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4.xml" ContentType="application/vnd.openxmlformats-officedocument.drawingml.chart+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ctrlProps/ctrlProp8.xml" ContentType="application/vnd.ms-excel.controlproperties+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2.xml" ContentType="application/vnd.openxmlformats-officedocument.spreadsheetml.pivot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7nebim185\Desktop\VBA-Excel-Automated-Dashboards\"/>
    </mc:Choice>
  </mc:AlternateContent>
  <xr:revisionPtr revIDLastSave="0" documentId="13_ncr:1_{44516A0C-3AA3-42AD-992B-A2DDED8069F2}" xr6:coauthVersionLast="47" xr6:coauthVersionMax="47" xr10:uidLastSave="{00000000-0000-0000-0000-000000000000}"/>
  <bookViews>
    <workbookView xWindow="-108" yWindow="-108" windowWidth="23256" windowHeight="12576" tabRatio="718" activeTab="1" xr2:uid="{00000000-000D-0000-FFFF-FFFF00000000}"/>
  </bookViews>
  <sheets>
    <sheet name="Parameters" sheetId="7" r:id="rId1"/>
    <sheet name="Disbursement" sheetId="17" r:id="rId2"/>
    <sheet name="General Porfolio" sheetId="33" r:id="rId3"/>
    <sheet name="Loans Port Progression" sheetId="28" r:id="rId4"/>
    <sheet name="Data" sheetId="16" r:id="rId5"/>
    <sheet name="Global Portfolio" sheetId="23" r:id="rId6"/>
    <sheet name="Delinquency" sheetId="22" r:id="rId7"/>
    <sheet name="Data-graph" sheetId="21" r:id="rId8"/>
    <sheet name="DelinquencyPerSector" sheetId="29" r:id="rId9"/>
    <sheet name="DelinquencyPerSector_Dashboard" sheetId="40" r:id="rId10"/>
    <sheet name="Sheet4" sheetId="46" r:id="rId11"/>
    <sheet name="Sheet5" sheetId="47" r:id="rId12"/>
    <sheet name="Sheet1" sheetId="30" r:id="rId13"/>
    <sheet name="Sheet6" sheetId="48" r:id="rId14"/>
    <sheet name="Delinquency With Sectors" sheetId="35" r:id="rId15"/>
    <sheet name="C" sheetId="32" r:id="rId16"/>
    <sheet name="Sheet2" sheetId="43" r:id="rId17"/>
    <sheet name="Sheet3" sheetId="44" r:id="rId18"/>
    <sheet name="PIVOT TABLE GLOBAL" sheetId="36" r:id="rId19"/>
    <sheet name="Delinquency With Sector EOM" sheetId="37" r:id="rId20"/>
    <sheet name="Analysis Data" sheetId="41" r:id="rId21"/>
    <sheet name="EOM Analysis" sheetId="42" r:id="rId22"/>
    <sheet name="Dates" sheetId="45" state="hidden" r:id="rId23"/>
  </sheets>
  <functionGroups builtInGroupCount="19"/>
  <externalReferences>
    <externalReference r:id="rId24"/>
    <externalReference r:id="rId25"/>
    <externalReference r:id="rId26"/>
    <externalReference r:id="rId27"/>
    <externalReference r:id="rId28"/>
  </externalReferences>
  <definedNames>
    <definedName name="_192.168.1.150_Daily_Delinquency_With_Sectors" localSheetId="14" hidden="1">'Delinquency With Sectors'!$A$1:$Q$1452</definedName>
    <definedName name="_192.168.1.150_M_CONSOLIDATED_Delinquency_Compulsory_EOM" localSheetId="19" hidden="1">'Delinquency With Sector EOM'!$A$1:$T$1492</definedName>
    <definedName name="_xlnm._FilterDatabase" localSheetId="15" hidden="1">'C'!$A$1:$A$94</definedName>
    <definedName name="_xlnm._FilterDatabase" localSheetId="4" hidden="1">Data!$N$1:$N$798</definedName>
    <definedName name="_xlnm._FilterDatabase" localSheetId="6" hidden="1">Delinquency!$A$1:$N$1454</definedName>
    <definedName name="_xlnm._FilterDatabase" localSheetId="8" hidden="1">DelinquencyPerSector!$I$1:$X$1400</definedName>
    <definedName name="_xlnm._FilterDatabase" localSheetId="1" hidden="1">Disbursement!$C$1:$C$365</definedName>
    <definedName name="_xlnm._FilterDatabase" localSheetId="2" hidden="1">'General Porfolio'!$A$10:$L$169</definedName>
    <definedName name="_xlnm._FilterDatabase" localSheetId="5" hidden="1">'Global Portfolio'!$N$1:$N$1475</definedName>
    <definedName name="Branches_OLP">'General Porfolio'!$C$6</definedName>
    <definedName name="COD_EMPRESA" localSheetId="21">[1]Parameters!#REF!</definedName>
    <definedName name="COD_EMPRESA" localSheetId="2">[2]Parameters!#REF!</definedName>
    <definedName name="COD_EMPRESA">Parameters!#REF!</definedName>
    <definedName name="credit_officers_list" localSheetId="21">'[1]Global Portfolio'!$N$2:$N$1000</definedName>
    <definedName name="credit_officers_list" localSheetId="2">'[2]Global Portfolio'!$N$2:$N$1000</definedName>
    <definedName name="credit_officers_list">'Global Portfolio'!$N$2:$N$1000</definedName>
    <definedName name="DB_NAME">Parameters!$B$8</definedName>
    <definedName name="DB_SERVER">Parameters!$B$7</definedName>
    <definedName name="Delinquency_Compulsory_Daily1" localSheetId="20" hidden="1">'Analysis Data'!$A$1:$U$1492</definedName>
    <definedName name="ExternalData_1" localSheetId="9" hidden="1">DelinquencyPerSector_Dashboard!$A$5:$P$136</definedName>
    <definedName name="ExternalData_1" localSheetId="3" hidden="1">'Loans Port Progression'!$W$9:$X$53</definedName>
    <definedName name="FindCreditOffier">'C'!$A$1:$C$30</definedName>
    <definedName name="FROM_DATE" localSheetId="21">[1]Parameters!$B$12</definedName>
    <definedName name="FROM_DATE">Parameters!$B$12</definedName>
    <definedName name="FROM_MONTH" localSheetId="21">[1]Parameters!#REF!</definedName>
    <definedName name="FROM_MONTH" localSheetId="2">[2]Parameters!#REF!</definedName>
    <definedName name="FROM_MONTH">Parameters!#REF!</definedName>
    <definedName name="FROM_YEAR" localSheetId="21">[1]Parameters!#REF!</definedName>
    <definedName name="FROM_YEAR" localSheetId="2">[2]Parameters!#REF!</definedName>
    <definedName name="FROM_YEAR">Parameters!#REF!</definedName>
    <definedName name="NM_DOCUMENT_NAME">Parameters!$D$108</definedName>
    <definedName name="NM_FROM_DATE">Parameters!$B$12</definedName>
    <definedName name="NM_PRODUCT_TOTAL_SAVINGS" localSheetId="8">[3]Parameters!#REF!</definedName>
    <definedName name="NM_PRODUCT_TOTAL_SAVINGS">[4]Parameters!#REF!</definedName>
    <definedName name="NM_PRODUCTS_NUMBER_OF_ACCOUNTS" localSheetId="8">[3]Parameters!#REF!</definedName>
    <definedName name="NM_PRODUCTS_NUMBER_OF_ACCOUNTS">[4]Parameters!#REF!</definedName>
    <definedName name="NM_PRODUCTS_TOTAL_SAVINGS" localSheetId="8">[3]Parameters!#REF!</definedName>
    <definedName name="NM_PRODUCTS_TOTAL_SAVINGS">[4]Parameters!#REF!</definedName>
    <definedName name="NM_TO_DATE" localSheetId="21">[1]Parameters!$B$15</definedName>
    <definedName name="NM_TO_DATE" localSheetId="2">[2]Parameters!$B$15</definedName>
    <definedName name="NM_TO_DATE">Parameters!$B$15</definedName>
    <definedName name="_xlnm.Print_Area" localSheetId="1">Disbursement!$A$2:$N$225</definedName>
    <definedName name="_xlnm.Print_Area" localSheetId="21">'EOM Analysis'!$B$5:$K$65</definedName>
    <definedName name="_xlnm.Print_Area" localSheetId="2">'General Porfolio'!$A$1:$S$179</definedName>
    <definedName name="_xlnm.Print_Area" localSheetId="3">'Loans Port Progression'!$A$1:$U$53</definedName>
    <definedName name="REPORT_CODE" localSheetId="21">[1]Parameters!#REF!</definedName>
    <definedName name="REPORT_CODE" localSheetId="2">[2]Parameters!#REF!</definedName>
    <definedName name="REPORT_CODE">Parameters!#REF!</definedName>
    <definedName name="TO_DATE">Parameters!$B$15</definedName>
    <definedName name="TO_MONTH" localSheetId="21">[1]Parameters!#REF!</definedName>
    <definedName name="TO_MONTH" localSheetId="2">[2]Parameters!#REF!</definedName>
    <definedName name="TO_MONTH">Parameters!#REF!</definedName>
    <definedName name="TO_YEAR" localSheetId="21">[1]Parameters!#REF!</definedName>
    <definedName name="TO_YEAR" localSheetId="2">[2]Parameters!#REF!</definedName>
    <definedName name="TO_YEAR">Parameters!#REF!</definedName>
  </definedNames>
  <calcPr calcId="191029"/>
  <pivotCaches>
    <pivotCache cacheId="0" r:id="rId29"/>
    <pivotCache cacheId="1" r:id="rId3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7" l="1"/>
  <c r="U3" i="37"/>
  <c r="V3" i="37" s="1"/>
  <c r="U4" i="37"/>
  <c r="U5" i="37"/>
  <c r="U6" i="37"/>
  <c r="U7" i="37"/>
  <c r="U8" i="37"/>
  <c r="U9" i="37"/>
  <c r="U10" i="37"/>
  <c r="U11" i="37"/>
  <c r="U12" i="37"/>
  <c r="U13" i="37"/>
  <c r="U14" i="37"/>
  <c r="U15" i="37"/>
  <c r="U16" i="37"/>
  <c r="U17" i="37"/>
  <c r="U18" i="37"/>
  <c r="U19" i="37"/>
  <c r="U20" i="37"/>
  <c r="U21" i="37"/>
  <c r="V21" i="37" s="1"/>
  <c r="U22" i="37"/>
  <c r="U23" i="37"/>
  <c r="U24" i="37"/>
  <c r="U25" i="37"/>
  <c r="V25" i="37" s="1"/>
  <c r="U26" i="37"/>
  <c r="U27" i="37"/>
  <c r="U28" i="37"/>
  <c r="U29" i="37"/>
  <c r="U30" i="37"/>
  <c r="U31" i="37"/>
  <c r="U32" i="37"/>
  <c r="U33" i="37"/>
  <c r="V33" i="37" s="1"/>
  <c r="U34" i="37"/>
  <c r="U35" i="37"/>
  <c r="U36" i="37"/>
  <c r="U37" i="37"/>
  <c r="U38" i="37"/>
  <c r="U39" i="37"/>
  <c r="U40" i="37"/>
  <c r="U41" i="37"/>
  <c r="U42" i="37"/>
  <c r="V42" i="37" s="1"/>
  <c r="U43" i="37"/>
  <c r="U44" i="37"/>
  <c r="U45" i="37"/>
  <c r="V45" i="37" s="1"/>
  <c r="U46" i="37"/>
  <c r="U47" i="37"/>
  <c r="U48" i="37"/>
  <c r="U49" i="37"/>
  <c r="V49" i="37" s="1"/>
  <c r="U50" i="37"/>
  <c r="U51" i="37"/>
  <c r="V51" i="37" s="1"/>
  <c r="U52" i="37"/>
  <c r="U53" i="37"/>
  <c r="U54" i="37"/>
  <c r="U55" i="37"/>
  <c r="U56" i="37"/>
  <c r="U57" i="37"/>
  <c r="V57" i="37" s="1"/>
  <c r="U58" i="37"/>
  <c r="U59" i="37"/>
  <c r="U60" i="37"/>
  <c r="U61" i="37"/>
  <c r="U62" i="37"/>
  <c r="U63" i="37"/>
  <c r="U64" i="37"/>
  <c r="U65" i="37"/>
  <c r="U66" i="37"/>
  <c r="U67" i="37"/>
  <c r="U68" i="37"/>
  <c r="V68" i="37" s="1"/>
  <c r="U69" i="37"/>
  <c r="U70" i="37"/>
  <c r="U71" i="37"/>
  <c r="U72" i="37"/>
  <c r="U73" i="37"/>
  <c r="U74" i="37"/>
  <c r="U75" i="37"/>
  <c r="U76" i="37"/>
  <c r="U77" i="37"/>
  <c r="U78" i="37"/>
  <c r="U79" i="37"/>
  <c r="U80" i="37"/>
  <c r="U81" i="37"/>
  <c r="U82" i="37"/>
  <c r="U83" i="37"/>
  <c r="U84" i="37"/>
  <c r="U85" i="37"/>
  <c r="U86" i="37"/>
  <c r="U87" i="37"/>
  <c r="U88" i="37"/>
  <c r="U89" i="37"/>
  <c r="U90" i="37"/>
  <c r="U91" i="37"/>
  <c r="U92" i="37"/>
  <c r="V92" i="37" s="1"/>
  <c r="U93" i="37"/>
  <c r="V93" i="37" s="1"/>
  <c r="U94" i="37"/>
  <c r="U95" i="37"/>
  <c r="U96" i="37"/>
  <c r="U97" i="37"/>
  <c r="U98" i="37"/>
  <c r="U99" i="37"/>
  <c r="U100" i="37"/>
  <c r="V100" i="37" s="1"/>
  <c r="U101" i="37"/>
  <c r="U102" i="37"/>
  <c r="U103" i="37"/>
  <c r="U104" i="37"/>
  <c r="U105" i="37"/>
  <c r="U106" i="37"/>
  <c r="U107" i="37"/>
  <c r="V107" i="37" s="1"/>
  <c r="U108" i="37"/>
  <c r="U109" i="37"/>
  <c r="V109" i="37" s="1"/>
  <c r="U110" i="37"/>
  <c r="U111" i="37"/>
  <c r="U112" i="37"/>
  <c r="U113" i="37"/>
  <c r="U114" i="37"/>
  <c r="U115" i="37"/>
  <c r="U116" i="37"/>
  <c r="U117" i="37"/>
  <c r="U118" i="37"/>
  <c r="U119" i="37"/>
  <c r="U120" i="37"/>
  <c r="U121" i="37"/>
  <c r="V121" i="37" s="1"/>
  <c r="U122" i="37"/>
  <c r="U123" i="37"/>
  <c r="U124" i="37"/>
  <c r="U125" i="37"/>
  <c r="U126" i="37"/>
  <c r="U127" i="37"/>
  <c r="U128" i="37"/>
  <c r="U129" i="37"/>
  <c r="U130" i="37"/>
  <c r="U131" i="37"/>
  <c r="V131" i="37" s="1"/>
  <c r="U132" i="37"/>
  <c r="U133" i="37"/>
  <c r="U134" i="37"/>
  <c r="U135" i="37"/>
  <c r="U136" i="37"/>
  <c r="U137" i="37"/>
  <c r="U138" i="37"/>
  <c r="U139" i="37"/>
  <c r="U140" i="37"/>
  <c r="U141" i="37"/>
  <c r="V141" i="37" s="1"/>
  <c r="U142" i="37"/>
  <c r="U143" i="37"/>
  <c r="U144" i="37"/>
  <c r="U145" i="37"/>
  <c r="U146" i="37"/>
  <c r="U147" i="37"/>
  <c r="U148" i="37"/>
  <c r="U149" i="37"/>
  <c r="U150" i="37"/>
  <c r="U151" i="37"/>
  <c r="U152" i="37"/>
  <c r="U153" i="37"/>
  <c r="U154" i="37"/>
  <c r="U155" i="37"/>
  <c r="V155" i="37" s="1"/>
  <c r="U156" i="37"/>
  <c r="U157" i="37"/>
  <c r="U158" i="37"/>
  <c r="U159" i="37"/>
  <c r="U160" i="37"/>
  <c r="U161" i="37"/>
  <c r="U162" i="37"/>
  <c r="U163" i="37"/>
  <c r="U164" i="37"/>
  <c r="U165" i="37"/>
  <c r="U166" i="37"/>
  <c r="U167" i="37"/>
  <c r="U168" i="37"/>
  <c r="U169" i="37"/>
  <c r="U170" i="37"/>
  <c r="U171" i="37"/>
  <c r="V171" i="37" s="1"/>
  <c r="U172" i="37"/>
  <c r="U173" i="37"/>
  <c r="U174" i="37"/>
  <c r="U175" i="37"/>
  <c r="V175" i="37" s="1"/>
  <c r="U176" i="37"/>
  <c r="U177" i="37"/>
  <c r="U178" i="37"/>
  <c r="U179" i="37"/>
  <c r="V179" i="37" s="1"/>
  <c r="U180" i="37"/>
  <c r="U181" i="37"/>
  <c r="V181" i="37" s="1"/>
  <c r="U182" i="37"/>
  <c r="U183" i="37"/>
  <c r="U184" i="37"/>
  <c r="U185" i="37"/>
  <c r="U186" i="37"/>
  <c r="U187" i="37"/>
  <c r="V187" i="37" s="1"/>
  <c r="U188" i="37"/>
  <c r="U189" i="37"/>
  <c r="U190" i="37"/>
  <c r="U191" i="37"/>
  <c r="U192" i="37"/>
  <c r="U193" i="37"/>
  <c r="U194" i="37"/>
  <c r="U195" i="37"/>
  <c r="U196" i="37"/>
  <c r="U197" i="37"/>
  <c r="U198" i="37"/>
  <c r="U199" i="37"/>
  <c r="U200" i="37"/>
  <c r="U201" i="37"/>
  <c r="U202" i="37"/>
  <c r="U203" i="37"/>
  <c r="U204" i="37"/>
  <c r="U205" i="37"/>
  <c r="U206" i="37"/>
  <c r="U207" i="37"/>
  <c r="U208" i="37"/>
  <c r="U209" i="37"/>
  <c r="U210" i="37"/>
  <c r="U211" i="37"/>
  <c r="U212" i="37"/>
  <c r="U213" i="37"/>
  <c r="U214" i="37"/>
  <c r="U215" i="37"/>
  <c r="U216" i="37"/>
  <c r="U217" i="37"/>
  <c r="V217" i="37" s="1"/>
  <c r="U218" i="37"/>
  <c r="U219" i="37"/>
  <c r="V219" i="37" s="1"/>
  <c r="U220" i="37"/>
  <c r="U221" i="37"/>
  <c r="U222" i="37"/>
  <c r="U223" i="37"/>
  <c r="U224" i="37"/>
  <c r="U225" i="37"/>
  <c r="U226" i="37"/>
  <c r="U227" i="37"/>
  <c r="U228" i="37"/>
  <c r="U229" i="37"/>
  <c r="U230" i="37"/>
  <c r="U231" i="37"/>
  <c r="U232" i="37"/>
  <c r="U233" i="37"/>
  <c r="U234" i="37"/>
  <c r="U235" i="37"/>
  <c r="U236" i="37"/>
  <c r="U237" i="37"/>
  <c r="U238" i="37"/>
  <c r="U239" i="37"/>
  <c r="U240" i="37"/>
  <c r="U241" i="37"/>
  <c r="U242" i="37"/>
  <c r="U243" i="37"/>
  <c r="U244" i="37"/>
  <c r="U245" i="37"/>
  <c r="U246" i="37"/>
  <c r="U247" i="37"/>
  <c r="U248" i="37"/>
  <c r="U249" i="37"/>
  <c r="U250" i="37"/>
  <c r="U251" i="37"/>
  <c r="U252" i="37"/>
  <c r="U253" i="37"/>
  <c r="U254" i="37"/>
  <c r="U255" i="37"/>
  <c r="U256" i="37"/>
  <c r="U257" i="37"/>
  <c r="U258" i="37"/>
  <c r="U259" i="37"/>
  <c r="U260" i="37"/>
  <c r="V260" i="37" s="1"/>
  <c r="U261" i="37"/>
  <c r="U262" i="37"/>
  <c r="U263" i="37"/>
  <c r="U264" i="37"/>
  <c r="U265" i="37"/>
  <c r="U266" i="37"/>
  <c r="U267" i="37"/>
  <c r="U268" i="37"/>
  <c r="U269" i="37"/>
  <c r="U270" i="37"/>
  <c r="U271" i="37"/>
  <c r="U272" i="37"/>
  <c r="U273" i="37"/>
  <c r="V273" i="37" s="1"/>
  <c r="U274" i="37"/>
  <c r="U275" i="37"/>
  <c r="U276" i="37"/>
  <c r="U277" i="37"/>
  <c r="U278" i="37"/>
  <c r="U279" i="37"/>
  <c r="U280" i="37"/>
  <c r="U281" i="37"/>
  <c r="U282" i="37"/>
  <c r="U283" i="37"/>
  <c r="U284" i="37"/>
  <c r="U285" i="37"/>
  <c r="U286" i="37"/>
  <c r="U287" i="37"/>
  <c r="V287" i="37" s="1"/>
  <c r="U288" i="37"/>
  <c r="U289" i="37"/>
  <c r="V289" i="37" s="1"/>
  <c r="U290" i="37"/>
  <c r="U291" i="37"/>
  <c r="U292" i="37"/>
  <c r="U293" i="37"/>
  <c r="V293" i="37" s="1"/>
  <c r="U294" i="37"/>
  <c r="U295" i="37"/>
  <c r="U296" i="37"/>
  <c r="U297" i="37"/>
  <c r="U298" i="37"/>
  <c r="U299" i="37"/>
  <c r="U300" i="37"/>
  <c r="U301" i="37"/>
  <c r="U302" i="37"/>
  <c r="U303" i="37"/>
  <c r="U304" i="37"/>
  <c r="U305" i="37"/>
  <c r="U306" i="37"/>
  <c r="U307" i="37"/>
  <c r="U308" i="37"/>
  <c r="U309" i="37"/>
  <c r="U310" i="37"/>
  <c r="U311" i="37"/>
  <c r="V311" i="37" s="1"/>
  <c r="U312" i="37"/>
  <c r="U313" i="37"/>
  <c r="U314" i="37"/>
  <c r="U315" i="37"/>
  <c r="U316" i="37"/>
  <c r="U317" i="37"/>
  <c r="U318" i="37"/>
  <c r="U319" i="37"/>
  <c r="V319" i="37" s="1"/>
  <c r="U320" i="37"/>
  <c r="U321" i="37"/>
  <c r="U322" i="37"/>
  <c r="U323" i="37"/>
  <c r="U324" i="37"/>
  <c r="U325" i="37"/>
  <c r="U326" i="37"/>
  <c r="U327" i="37"/>
  <c r="U328" i="37"/>
  <c r="U329" i="37"/>
  <c r="U330" i="37"/>
  <c r="U331" i="37"/>
  <c r="U332" i="37"/>
  <c r="U333" i="37"/>
  <c r="U334" i="37"/>
  <c r="U335" i="37"/>
  <c r="U336" i="37"/>
  <c r="U337" i="37"/>
  <c r="U338" i="37"/>
  <c r="U339" i="37"/>
  <c r="U340" i="37"/>
  <c r="U341" i="37"/>
  <c r="U342" i="37"/>
  <c r="U343" i="37"/>
  <c r="U344" i="37"/>
  <c r="U345" i="37"/>
  <c r="U346" i="37"/>
  <c r="U347" i="37"/>
  <c r="U348" i="37"/>
  <c r="U349" i="37"/>
  <c r="U350" i="37"/>
  <c r="U351" i="37"/>
  <c r="U352" i="37"/>
  <c r="U353" i="37"/>
  <c r="V353" i="37" s="1"/>
  <c r="U354" i="37"/>
  <c r="V354" i="37" s="1"/>
  <c r="U355" i="37"/>
  <c r="U356" i="37"/>
  <c r="U357" i="37"/>
  <c r="U358" i="37"/>
  <c r="U359" i="37"/>
  <c r="V359" i="37" s="1"/>
  <c r="U360" i="37"/>
  <c r="U361" i="37"/>
  <c r="V361" i="37" s="1"/>
  <c r="U362" i="37"/>
  <c r="U363" i="37"/>
  <c r="U364" i="37"/>
  <c r="U365" i="37"/>
  <c r="U366" i="37"/>
  <c r="U367" i="37"/>
  <c r="U368" i="37"/>
  <c r="U369" i="37"/>
  <c r="U370" i="37"/>
  <c r="U371" i="37"/>
  <c r="U372" i="37"/>
  <c r="U373" i="37"/>
  <c r="U374" i="37"/>
  <c r="U375" i="37"/>
  <c r="U376" i="37"/>
  <c r="U377" i="37"/>
  <c r="U378" i="37"/>
  <c r="U379" i="37"/>
  <c r="U380" i="37"/>
  <c r="X380" i="37" s="1"/>
  <c r="U381" i="37"/>
  <c r="U382" i="37"/>
  <c r="U383" i="37"/>
  <c r="U384" i="37"/>
  <c r="U385" i="37"/>
  <c r="U386" i="37"/>
  <c r="U387" i="37"/>
  <c r="U388" i="37"/>
  <c r="U389" i="37"/>
  <c r="U390" i="37"/>
  <c r="U391" i="37"/>
  <c r="U392" i="37"/>
  <c r="U393" i="37"/>
  <c r="U394" i="37"/>
  <c r="U395" i="37"/>
  <c r="U396" i="37"/>
  <c r="U397" i="37"/>
  <c r="U398" i="37"/>
  <c r="U399" i="37"/>
  <c r="V399" i="37" s="1"/>
  <c r="U400" i="37"/>
  <c r="U401" i="37"/>
  <c r="U402" i="37"/>
  <c r="U403" i="37"/>
  <c r="U404" i="37"/>
  <c r="U405" i="37"/>
  <c r="U406" i="37"/>
  <c r="U407" i="37"/>
  <c r="U408" i="37"/>
  <c r="U409" i="37"/>
  <c r="U410" i="37"/>
  <c r="U411" i="37"/>
  <c r="U412" i="37"/>
  <c r="U413" i="37"/>
  <c r="U414" i="37"/>
  <c r="U415" i="37"/>
  <c r="V415" i="37" s="1"/>
  <c r="U416" i="37"/>
  <c r="U417" i="37"/>
  <c r="U418" i="37"/>
  <c r="U419" i="37"/>
  <c r="U420" i="37"/>
  <c r="U421" i="37"/>
  <c r="U422" i="37"/>
  <c r="U423" i="37"/>
  <c r="U424" i="37"/>
  <c r="U425" i="37"/>
  <c r="U426" i="37"/>
  <c r="U427" i="37"/>
  <c r="U428" i="37"/>
  <c r="V428" i="37" s="1"/>
  <c r="U429" i="37"/>
  <c r="U430" i="37"/>
  <c r="U431" i="37"/>
  <c r="U432" i="37"/>
  <c r="U433" i="37"/>
  <c r="U434" i="37"/>
  <c r="U435" i="37"/>
  <c r="U436" i="37"/>
  <c r="V436" i="37" s="1"/>
  <c r="U437" i="37"/>
  <c r="U438" i="37"/>
  <c r="U439" i="37"/>
  <c r="V439" i="37" s="1"/>
  <c r="U440" i="37"/>
  <c r="U441" i="37"/>
  <c r="U442" i="37"/>
  <c r="U443" i="37"/>
  <c r="U444" i="37"/>
  <c r="U445" i="37"/>
  <c r="U446" i="37"/>
  <c r="U447" i="37"/>
  <c r="U448" i="37"/>
  <c r="U449" i="37"/>
  <c r="U450" i="37"/>
  <c r="U451" i="37"/>
  <c r="U452" i="37"/>
  <c r="U453" i="37"/>
  <c r="U454" i="37"/>
  <c r="U455" i="37"/>
  <c r="U456" i="37"/>
  <c r="U457" i="37"/>
  <c r="U458" i="37"/>
  <c r="U459" i="37"/>
  <c r="U460" i="37"/>
  <c r="W460" i="37" s="1"/>
  <c r="U461" i="37"/>
  <c r="U462" i="37"/>
  <c r="U463" i="37"/>
  <c r="U464" i="37"/>
  <c r="U465" i="37"/>
  <c r="U466" i="37"/>
  <c r="U467" i="37"/>
  <c r="U468" i="37"/>
  <c r="U469" i="37"/>
  <c r="U470" i="37"/>
  <c r="U471" i="37"/>
  <c r="U472" i="37"/>
  <c r="U473" i="37"/>
  <c r="U474" i="37"/>
  <c r="U475" i="37"/>
  <c r="U476" i="37"/>
  <c r="U477" i="37"/>
  <c r="U478" i="37"/>
  <c r="U479" i="37"/>
  <c r="U480" i="37"/>
  <c r="U481" i="37"/>
  <c r="U482" i="37"/>
  <c r="U483" i="37"/>
  <c r="V483" i="37" s="1"/>
  <c r="U484" i="37"/>
  <c r="U485" i="37"/>
  <c r="V485" i="37" s="1"/>
  <c r="U486" i="37"/>
  <c r="U487" i="37"/>
  <c r="U488" i="37"/>
  <c r="U489" i="37"/>
  <c r="U490" i="37"/>
  <c r="U491" i="37"/>
  <c r="V491" i="37" s="1"/>
  <c r="U492" i="37"/>
  <c r="U493" i="37"/>
  <c r="U494" i="37"/>
  <c r="U495" i="37"/>
  <c r="V495" i="37" s="1"/>
  <c r="U496" i="37"/>
  <c r="U497" i="37"/>
  <c r="U498" i="37"/>
  <c r="U499" i="37"/>
  <c r="U500" i="37"/>
  <c r="U501" i="37"/>
  <c r="U502" i="37"/>
  <c r="U503" i="37"/>
  <c r="U504" i="37"/>
  <c r="U505" i="37"/>
  <c r="U506" i="37"/>
  <c r="U507" i="37"/>
  <c r="U508" i="37"/>
  <c r="U509" i="37"/>
  <c r="U510" i="37"/>
  <c r="U511" i="37"/>
  <c r="U512" i="37"/>
  <c r="U513" i="37"/>
  <c r="V513" i="37" s="1"/>
  <c r="U514" i="37"/>
  <c r="U515" i="37"/>
  <c r="V515" i="37" s="1"/>
  <c r="U516" i="37"/>
  <c r="U517" i="37"/>
  <c r="U518" i="37"/>
  <c r="U519" i="37"/>
  <c r="V519" i="37" s="1"/>
  <c r="U520" i="37"/>
  <c r="U521" i="37"/>
  <c r="V521" i="37" s="1"/>
  <c r="U522" i="37"/>
  <c r="V522" i="37" s="1"/>
  <c r="U523" i="37"/>
  <c r="U524" i="37"/>
  <c r="V524" i="37" s="1"/>
  <c r="U525" i="37"/>
  <c r="U526" i="37"/>
  <c r="U527" i="37"/>
  <c r="U528" i="37"/>
  <c r="U529" i="37"/>
  <c r="U530" i="37"/>
  <c r="U531" i="37"/>
  <c r="U532" i="37"/>
  <c r="U533" i="37"/>
  <c r="U534" i="37"/>
  <c r="U535" i="37"/>
  <c r="U536" i="37"/>
  <c r="U537" i="37"/>
  <c r="U538" i="37"/>
  <c r="U539" i="37"/>
  <c r="V539" i="37" s="1"/>
  <c r="U540" i="37"/>
  <c r="U541" i="37"/>
  <c r="U542" i="37"/>
  <c r="U543" i="37"/>
  <c r="V543" i="37" s="1"/>
  <c r="U544" i="37"/>
  <c r="U545" i="37"/>
  <c r="U546" i="37"/>
  <c r="U547" i="37"/>
  <c r="U548" i="37"/>
  <c r="U549" i="37"/>
  <c r="U550" i="37"/>
  <c r="U551" i="37"/>
  <c r="U552" i="37"/>
  <c r="U553" i="37"/>
  <c r="U554" i="37"/>
  <c r="U555" i="37"/>
  <c r="U556" i="37"/>
  <c r="U557" i="37"/>
  <c r="U558" i="37"/>
  <c r="U559" i="37"/>
  <c r="U560" i="37"/>
  <c r="U561" i="37"/>
  <c r="U562" i="37"/>
  <c r="U563" i="37"/>
  <c r="U564" i="37"/>
  <c r="U565" i="37"/>
  <c r="U566" i="37"/>
  <c r="U567" i="37"/>
  <c r="U568" i="37"/>
  <c r="U569" i="37"/>
  <c r="U570" i="37"/>
  <c r="U571" i="37"/>
  <c r="U572" i="37"/>
  <c r="W572" i="37" s="1"/>
  <c r="U573" i="37"/>
  <c r="U574" i="37"/>
  <c r="U575" i="37"/>
  <c r="U576" i="37"/>
  <c r="U577" i="37"/>
  <c r="U578" i="37"/>
  <c r="U579" i="37"/>
  <c r="U580" i="37"/>
  <c r="U581" i="37"/>
  <c r="U582" i="37"/>
  <c r="U583" i="37"/>
  <c r="U584" i="37"/>
  <c r="U585" i="37"/>
  <c r="U586" i="37"/>
  <c r="U587" i="37"/>
  <c r="U588" i="37"/>
  <c r="U589" i="37"/>
  <c r="U590" i="37"/>
  <c r="U591" i="37"/>
  <c r="U592" i="37"/>
  <c r="U593" i="37"/>
  <c r="U594" i="37"/>
  <c r="U595" i="37"/>
  <c r="U596" i="37"/>
  <c r="U597" i="37"/>
  <c r="U598" i="37"/>
  <c r="U599" i="37"/>
  <c r="U600" i="37"/>
  <c r="U601" i="37"/>
  <c r="U602" i="37"/>
  <c r="U603" i="37"/>
  <c r="U604" i="37"/>
  <c r="U605" i="37"/>
  <c r="U606" i="37"/>
  <c r="U607" i="37"/>
  <c r="U608" i="37"/>
  <c r="U609" i="37"/>
  <c r="U610" i="37"/>
  <c r="U611" i="37"/>
  <c r="U612" i="37"/>
  <c r="U613" i="37"/>
  <c r="U614" i="37"/>
  <c r="U615" i="37"/>
  <c r="U616" i="37"/>
  <c r="U617" i="37"/>
  <c r="U618" i="37"/>
  <c r="U619" i="37"/>
  <c r="U620" i="37"/>
  <c r="U621" i="37"/>
  <c r="U622" i="37"/>
  <c r="U623" i="37"/>
  <c r="V623" i="37" s="1"/>
  <c r="U624" i="37"/>
  <c r="U625" i="37"/>
  <c r="U626" i="37"/>
  <c r="U627" i="37"/>
  <c r="U628" i="37"/>
  <c r="U629" i="37"/>
  <c r="U630" i="37"/>
  <c r="U631" i="37"/>
  <c r="U632" i="37"/>
  <c r="U633" i="37"/>
  <c r="U634" i="37"/>
  <c r="U635" i="37"/>
  <c r="U636" i="37"/>
  <c r="U637" i="37"/>
  <c r="U638" i="37"/>
  <c r="U639" i="37"/>
  <c r="U640" i="37"/>
  <c r="U641" i="37"/>
  <c r="U642" i="37"/>
  <c r="U643" i="37"/>
  <c r="U644" i="37"/>
  <c r="U645" i="37"/>
  <c r="U646" i="37"/>
  <c r="U647" i="37"/>
  <c r="V647" i="37" s="1"/>
  <c r="U648" i="37"/>
  <c r="U649" i="37"/>
  <c r="U650" i="37"/>
  <c r="U651" i="37"/>
  <c r="U652" i="37"/>
  <c r="U653" i="37"/>
  <c r="U654" i="37"/>
  <c r="U655" i="37"/>
  <c r="U656" i="37"/>
  <c r="U657" i="37"/>
  <c r="U658" i="37"/>
  <c r="U659" i="37"/>
  <c r="U660" i="37"/>
  <c r="U661" i="37"/>
  <c r="U662" i="37"/>
  <c r="U663" i="37"/>
  <c r="U664" i="37"/>
  <c r="U665" i="37"/>
  <c r="U666" i="37"/>
  <c r="U667" i="37"/>
  <c r="U668" i="37"/>
  <c r="U669" i="37"/>
  <c r="U670" i="37"/>
  <c r="U671" i="37"/>
  <c r="U672" i="37"/>
  <c r="U673" i="37"/>
  <c r="U674" i="37"/>
  <c r="U675" i="37"/>
  <c r="U676" i="37"/>
  <c r="U677" i="37"/>
  <c r="U678" i="37"/>
  <c r="U679" i="37"/>
  <c r="U680" i="37"/>
  <c r="U681" i="37"/>
  <c r="U682" i="37"/>
  <c r="U683" i="37"/>
  <c r="U684" i="37"/>
  <c r="U685" i="37"/>
  <c r="U686" i="37"/>
  <c r="U687" i="37"/>
  <c r="U688" i="37"/>
  <c r="U689" i="37"/>
  <c r="U690" i="37"/>
  <c r="U691" i="37"/>
  <c r="U692" i="37"/>
  <c r="U693" i="37"/>
  <c r="U694" i="37"/>
  <c r="U695" i="37"/>
  <c r="U696" i="37"/>
  <c r="U697" i="37"/>
  <c r="U698" i="37"/>
  <c r="U699" i="37"/>
  <c r="U700" i="37"/>
  <c r="U701" i="37"/>
  <c r="U702" i="37"/>
  <c r="U703" i="37"/>
  <c r="U704" i="37"/>
  <c r="U705" i="37"/>
  <c r="U706" i="37"/>
  <c r="U707" i="37"/>
  <c r="U708" i="37"/>
  <c r="U709" i="37"/>
  <c r="U710" i="37"/>
  <c r="U711" i="37"/>
  <c r="U712" i="37"/>
  <c r="U713" i="37"/>
  <c r="U714" i="37"/>
  <c r="U715" i="37"/>
  <c r="U716" i="37"/>
  <c r="U717" i="37"/>
  <c r="U718" i="37"/>
  <c r="U719" i="37"/>
  <c r="U720" i="37"/>
  <c r="U721" i="37"/>
  <c r="U722" i="37"/>
  <c r="U723" i="37"/>
  <c r="U724" i="37"/>
  <c r="U725" i="37"/>
  <c r="U726" i="37"/>
  <c r="U727" i="37"/>
  <c r="U728" i="37"/>
  <c r="U729" i="37"/>
  <c r="U730" i="37"/>
  <c r="U731" i="37"/>
  <c r="U732" i="37"/>
  <c r="U733" i="37"/>
  <c r="U734" i="37"/>
  <c r="U735" i="37"/>
  <c r="U736" i="37"/>
  <c r="U737" i="37"/>
  <c r="U738" i="37"/>
  <c r="U739" i="37"/>
  <c r="V739" i="37" s="1"/>
  <c r="U740" i="37"/>
  <c r="U741" i="37"/>
  <c r="U742" i="37"/>
  <c r="U743" i="37"/>
  <c r="U744" i="37"/>
  <c r="U745" i="37"/>
  <c r="U746" i="37"/>
  <c r="U747" i="37"/>
  <c r="U748" i="37"/>
  <c r="U749" i="37"/>
  <c r="U750" i="37"/>
  <c r="U751" i="37"/>
  <c r="U752" i="37"/>
  <c r="U753" i="37"/>
  <c r="U754" i="37"/>
  <c r="U755" i="37"/>
  <c r="U756" i="37"/>
  <c r="U757" i="37"/>
  <c r="V757" i="37" s="1"/>
  <c r="U758" i="37"/>
  <c r="U759" i="37"/>
  <c r="V759" i="37" s="1"/>
  <c r="U760" i="37"/>
  <c r="U761" i="37"/>
  <c r="V761" i="37" s="1"/>
  <c r="U762" i="37"/>
  <c r="U763" i="37"/>
  <c r="U764" i="37"/>
  <c r="U765" i="37"/>
  <c r="U766" i="37"/>
  <c r="U767" i="37"/>
  <c r="U768" i="37"/>
  <c r="U769" i="37"/>
  <c r="U770" i="37"/>
  <c r="U771" i="37"/>
  <c r="U772" i="37"/>
  <c r="U773" i="37"/>
  <c r="U774" i="37"/>
  <c r="U775" i="37"/>
  <c r="U776" i="37"/>
  <c r="U777" i="37"/>
  <c r="U778" i="37"/>
  <c r="V778" i="37" s="1"/>
  <c r="U779" i="37"/>
  <c r="U780" i="37"/>
  <c r="V780" i="37" s="1"/>
  <c r="U781" i="37"/>
  <c r="U782" i="37"/>
  <c r="U783" i="37"/>
  <c r="U784" i="37"/>
  <c r="U785" i="37"/>
  <c r="U786" i="37"/>
  <c r="U787" i="37"/>
  <c r="U788" i="37"/>
  <c r="U789" i="37"/>
  <c r="V789" i="37" s="1"/>
  <c r="U790" i="37"/>
  <c r="U791" i="37"/>
  <c r="U792" i="37"/>
  <c r="U793" i="37"/>
  <c r="U794" i="37"/>
  <c r="U795" i="37"/>
  <c r="U796" i="37"/>
  <c r="U797" i="37"/>
  <c r="U798" i="37"/>
  <c r="U799" i="37"/>
  <c r="U800" i="37"/>
  <c r="U801" i="37"/>
  <c r="U802" i="37"/>
  <c r="U803" i="37"/>
  <c r="V803" i="37" s="1"/>
  <c r="U804" i="37"/>
  <c r="Y804" i="37" s="1"/>
  <c r="U805" i="37"/>
  <c r="U806" i="37"/>
  <c r="U807" i="37"/>
  <c r="U808" i="37"/>
  <c r="U809" i="37"/>
  <c r="U810" i="37"/>
  <c r="U811" i="37"/>
  <c r="U812" i="37"/>
  <c r="Y812" i="37" s="1"/>
  <c r="U813" i="37"/>
  <c r="V813" i="37" s="1"/>
  <c r="U814" i="37"/>
  <c r="U815" i="37"/>
  <c r="U816" i="37"/>
  <c r="U817" i="37"/>
  <c r="U818" i="37"/>
  <c r="U819" i="37"/>
  <c r="U820" i="37"/>
  <c r="U821" i="37"/>
  <c r="U822" i="37"/>
  <c r="U823" i="37"/>
  <c r="U824" i="37"/>
  <c r="U825" i="37"/>
  <c r="U826" i="37"/>
  <c r="U827" i="37"/>
  <c r="U828" i="37"/>
  <c r="U829" i="37"/>
  <c r="U830" i="37"/>
  <c r="U831" i="37"/>
  <c r="U832" i="37"/>
  <c r="U833" i="37"/>
  <c r="U834" i="37"/>
  <c r="U835" i="37"/>
  <c r="U836" i="37"/>
  <c r="U837" i="37"/>
  <c r="U838" i="37"/>
  <c r="U839" i="37"/>
  <c r="U840" i="37"/>
  <c r="U841" i="37"/>
  <c r="U842" i="37"/>
  <c r="W842" i="37" s="1"/>
  <c r="U843" i="37"/>
  <c r="U844" i="37"/>
  <c r="U845" i="37"/>
  <c r="U846" i="37"/>
  <c r="U847" i="37"/>
  <c r="U848" i="37"/>
  <c r="U849" i="37"/>
  <c r="U850" i="37"/>
  <c r="U851" i="37"/>
  <c r="V851" i="37" s="1"/>
  <c r="U852" i="37"/>
  <c r="U853" i="37"/>
  <c r="U854" i="37"/>
  <c r="U855" i="37"/>
  <c r="U856" i="37"/>
  <c r="U857" i="37"/>
  <c r="U858" i="37"/>
  <c r="U859" i="37"/>
  <c r="U860" i="37"/>
  <c r="U861" i="37"/>
  <c r="U862" i="37"/>
  <c r="U863" i="37"/>
  <c r="U864" i="37"/>
  <c r="U865" i="37"/>
  <c r="U866" i="37"/>
  <c r="Y866" i="37" s="1"/>
  <c r="U867" i="37"/>
  <c r="U868" i="37"/>
  <c r="U869" i="37"/>
  <c r="U870" i="37"/>
  <c r="U871" i="37"/>
  <c r="U872" i="37"/>
  <c r="U873" i="37"/>
  <c r="U874" i="37"/>
  <c r="U875" i="37"/>
  <c r="U876" i="37"/>
  <c r="U877" i="37"/>
  <c r="U878" i="37"/>
  <c r="U879" i="37"/>
  <c r="U880" i="37"/>
  <c r="U881" i="37"/>
  <c r="U882" i="37"/>
  <c r="U883" i="37"/>
  <c r="U884" i="37"/>
  <c r="U885" i="37"/>
  <c r="U886" i="37"/>
  <c r="U887" i="37"/>
  <c r="U888" i="37"/>
  <c r="U889" i="37"/>
  <c r="U890" i="37"/>
  <c r="V890" i="37" s="1"/>
  <c r="U891" i="37"/>
  <c r="V891" i="37" s="1"/>
  <c r="U892" i="37"/>
  <c r="U893" i="37"/>
  <c r="U894" i="37"/>
  <c r="U895" i="37"/>
  <c r="U896" i="37"/>
  <c r="U897" i="37"/>
  <c r="U898" i="37"/>
  <c r="U899" i="37"/>
  <c r="U900" i="37"/>
  <c r="U901" i="37"/>
  <c r="U902" i="37"/>
  <c r="U903" i="37"/>
  <c r="U904" i="37"/>
  <c r="U905" i="37"/>
  <c r="U906" i="37"/>
  <c r="U907" i="37"/>
  <c r="V907" i="37" s="1"/>
  <c r="U908" i="37"/>
  <c r="U909" i="37"/>
  <c r="U910" i="37"/>
  <c r="U911" i="37"/>
  <c r="U912" i="37"/>
  <c r="U913" i="37"/>
  <c r="U914" i="37"/>
  <c r="U915" i="37"/>
  <c r="U916" i="37"/>
  <c r="U917" i="37"/>
  <c r="V917" i="37" s="1"/>
  <c r="U918" i="37"/>
  <c r="U919" i="37"/>
  <c r="U920" i="37"/>
  <c r="U921" i="37"/>
  <c r="U922" i="37"/>
  <c r="U923" i="37"/>
  <c r="U924" i="37"/>
  <c r="U925" i="37"/>
  <c r="U926" i="37"/>
  <c r="U927" i="37"/>
  <c r="V927" i="37" s="1"/>
  <c r="U928" i="37"/>
  <c r="U929" i="37"/>
  <c r="U930" i="37"/>
  <c r="U931" i="37"/>
  <c r="U932" i="37"/>
  <c r="U933" i="37"/>
  <c r="V933" i="37" s="1"/>
  <c r="U934" i="37"/>
  <c r="U935" i="37"/>
  <c r="U936" i="37"/>
  <c r="U937" i="37"/>
  <c r="U938" i="37"/>
  <c r="U939" i="37"/>
  <c r="U940" i="37"/>
  <c r="U941" i="37"/>
  <c r="U942" i="37"/>
  <c r="U943" i="37"/>
  <c r="U944" i="37"/>
  <c r="U945" i="37"/>
  <c r="U946" i="37"/>
  <c r="U947" i="37"/>
  <c r="U948" i="37"/>
  <c r="U949" i="37"/>
  <c r="U950" i="37"/>
  <c r="U951" i="37"/>
  <c r="U952" i="37"/>
  <c r="U953" i="37"/>
  <c r="U954" i="37"/>
  <c r="U955" i="37"/>
  <c r="U956" i="37"/>
  <c r="U957" i="37"/>
  <c r="U958" i="37"/>
  <c r="U959" i="37"/>
  <c r="U960" i="37"/>
  <c r="U961" i="37"/>
  <c r="V961" i="37" s="1"/>
  <c r="U962" i="37"/>
  <c r="U963" i="37"/>
  <c r="U964" i="37"/>
  <c r="V964" i="37" s="1"/>
  <c r="U965" i="37"/>
  <c r="V965" i="37" s="1"/>
  <c r="U966" i="37"/>
  <c r="U967" i="37"/>
  <c r="U968" i="37"/>
  <c r="U969" i="37"/>
  <c r="U970" i="37"/>
  <c r="U971" i="37"/>
  <c r="V971" i="37" s="1"/>
  <c r="U972" i="37"/>
  <c r="V972" i="37" s="1"/>
  <c r="U973" i="37"/>
  <c r="U974" i="37"/>
  <c r="U975" i="37"/>
  <c r="U976" i="37"/>
  <c r="U977" i="37"/>
  <c r="U978" i="37"/>
  <c r="U979" i="37"/>
  <c r="U980" i="37"/>
  <c r="U981" i="37"/>
  <c r="V981" i="37" s="1"/>
  <c r="U982" i="37"/>
  <c r="U983" i="37"/>
  <c r="U984" i="37"/>
  <c r="U985" i="37"/>
  <c r="U986" i="37"/>
  <c r="U987" i="37"/>
  <c r="U988" i="37"/>
  <c r="U989" i="37"/>
  <c r="U990" i="37"/>
  <c r="U991" i="37"/>
  <c r="U992" i="37"/>
  <c r="U993" i="37"/>
  <c r="U994" i="37"/>
  <c r="U995" i="37"/>
  <c r="U996" i="37"/>
  <c r="U997" i="37"/>
  <c r="U998" i="37"/>
  <c r="U999" i="37"/>
  <c r="U1000" i="37"/>
  <c r="U1001" i="37"/>
  <c r="U1002" i="37"/>
  <c r="U1003" i="37"/>
  <c r="U1004" i="37"/>
  <c r="U1005" i="37"/>
  <c r="U1006" i="37"/>
  <c r="U1007" i="37"/>
  <c r="U1008" i="37"/>
  <c r="U1009" i="37"/>
  <c r="U1010" i="37"/>
  <c r="U1011" i="37"/>
  <c r="U1012" i="37"/>
  <c r="U1013" i="37"/>
  <c r="V1013" i="37" s="1"/>
  <c r="U1014" i="37"/>
  <c r="U1015" i="37"/>
  <c r="U1016" i="37"/>
  <c r="U1017" i="37"/>
  <c r="U1018" i="37"/>
  <c r="U1019" i="37"/>
  <c r="U1020" i="37"/>
  <c r="V1020" i="37" s="1"/>
  <c r="U1021" i="37"/>
  <c r="U1022" i="37"/>
  <c r="U1023" i="37"/>
  <c r="U1024" i="37"/>
  <c r="U1025" i="37"/>
  <c r="U1026" i="37"/>
  <c r="U1027" i="37"/>
  <c r="U1028" i="37"/>
  <c r="U1029" i="37"/>
  <c r="U1030" i="37"/>
  <c r="U1031" i="37"/>
  <c r="U1032" i="37"/>
  <c r="U1033" i="37"/>
  <c r="U1034" i="37"/>
  <c r="U1035" i="37"/>
  <c r="U1036" i="37"/>
  <c r="U1037" i="37"/>
  <c r="U1038" i="37"/>
  <c r="U1039" i="37"/>
  <c r="U1040" i="37"/>
  <c r="U1041" i="37"/>
  <c r="U1042" i="37"/>
  <c r="U1043" i="37"/>
  <c r="U1044" i="37"/>
  <c r="U1045" i="37"/>
  <c r="U1046" i="37"/>
  <c r="U1047" i="37"/>
  <c r="U1048" i="37"/>
  <c r="U1049" i="37"/>
  <c r="U1050" i="37"/>
  <c r="U1051" i="37"/>
  <c r="U1052" i="37"/>
  <c r="U1053" i="37"/>
  <c r="U1054" i="37"/>
  <c r="U1055" i="37"/>
  <c r="U1056" i="37"/>
  <c r="U1057" i="37"/>
  <c r="U1058" i="37"/>
  <c r="U1059" i="37"/>
  <c r="U1060" i="37"/>
  <c r="U1061" i="37"/>
  <c r="U1062" i="37"/>
  <c r="U1063" i="37"/>
  <c r="U1064" i="37"/>
  <c r="U1065" i="37"/>
  <c r="U1066" i="37"/>
  <c r="U1067" i="37"/>
  <c r="U1068" i="37"/>
  <c r="U1069" i="37"/>
  <c r="U1070" i="37"/>
  <c r="U1071" i="37"/>
  <c r="U1072" i="37"/>
  <c r="U1073" i="37"/>
  <c r="U1074" i="37"/>
  <c r="U1075" i="37"/>
  <c r="U1076" i="37"/>
  <c r="U1077" i="37"/>
  <c r="U1078" i="37"/>
  <c r="U1079" i="37"/>
  <c r="U1080" i="37"/>
  <c r="U1081" i="37"/>
  <c r="U1082" i="37"/>
  <c r="U1083" i="37"/>
  <c r="U1084" i="37"/>
  <c r="U1085" i="37"/>
  <c r="U1086" i="37"/>
  <c r="U1087" i="37"/>
  <c r="U1088" i="37"/>
  <c r="U1089" i="37"/>
  <c r="U1090" i="37"/>
  <c r="U1091" i="37"/>
  <c r="U1092" i="37"/>
  <c r="U1093" i="37"/>
  <c r="U1094" i="37"/>
  <c r="U1095" i="37"/>
  <c r="U1096" i="37"/>
  <c r="U1097" i="37"/>
  <c r="U1098" i="37"/>
  <c r="U1099" i="37"/>
  <c r="U1100" i="37"/>
  <c r="W1100" i="37" s="1"/>
  <c r="U1101" i="37"/>
  <c r="V1101" i="37" s="1"/>
  <c r="U1102" i="37"/>
  <c r="U1103" i="37"/>
  <c r="U1104" i="37"/>
  <c r="U1105" i="37"/>
  <c r="U1106" i="37"/>
  <c r="U1107" i="37"/>
  <c r="U1108" i="37"/>
  <c r="U1109" i="37"/>
  <c r="U1110" i="37"/>
  <c r="U1111" i="37"/>
  <c r="U1112" i="37"/>
  <c r="U1113" i="37"/>
  <c r="U1114" i="37"/>
  <c r="U1115" i="37"/>
  <c r="U1116" i="37"/>
  <c r="U1117" i="37"/>
  <c r="U1118" i="37"/>
  <c r="U1119" i="37"/>
  <c r="U1120" i="37"/>
  <c r="U1121" i="37"/>
  <c r="U1122" i="37"/>
  <c r="U1123" i="37"/>
  <c r="U1124" i="37"/>
  <c r="U1125" i="37"/>
  <c r="U1126" i="37"/>
  <c r="U1127" i="37"/>
  <c r="V1127" i="37" s="1"/>
  <c r="U1128" i="37"/>
  <c r="U1129" i="37"/>
  <c r="U1130" i="37"/>
  <c r="U1131" i="37"/>
  <c r="U1132" i="37"/>
  <c r="U1133" i="37"/>
  <c r="U1134" i="37"/>
  <c r="U1135" i="37"/>
  <c r="U1136" i="37"/>
  <c r="U1137" i="37"/>
  <c r="V1137" i="37" s="1"/>
  <c r="U1138" i="37"/>
  <c r="U1139" i="37"/>
  <c r="U1140" i="37"/>
  <c r="U1141" i="37"/>
  <c r="U1142" i="37"/>
  <c r="U1143" i="37"/>
  <c r="U1144" i="37"/>
  <c r="U1145" i="37"/>
  <c r="U1146" i="37"/>
  <c r="U1147" i="37"/>
  <c r="V1147" i="37" s="1"/>
  <c r="U1148" i="37"/>
  <c r="U1149" i="37"/>
  <c r="U1150" i="37"/>
  <c r="U1151" i="37"/>
  <c r="U1152" i="37"/>
  <c r="U1153" i="37"/>
  <c r="U1154" i="37"/>
  <c r="U1155" i="37"/>
  <c r="U1156" i="37"/>
  <c r="U1157" i="37"/>
  <c r="U1158" i="37"/>
  <c r="U1159" i="37"/>
  <c r="U1160" i="37"/>
  <c r="U1161" i="37"/>
  <c r="U1162" i="37"/>
  <c r="U1163" i="37"/>
  <c r="U1164" i="37"/>
  <c r="U1165" i="37"/>
  <c r="U1166" i="37"/>
  <c r="U1167" i="37"/>
  <c r="U1168" i="37"/>
  <c r="U1169" i="37"/>
  <c r="U1170" i="37"/>
  <c r="U1171" i="37"/>
  <c r="U1172" i="37"/>
  <c r="U1173" i="37"/>
  <c r="U1174" i="37"/>
  <c r="U1175" i="37"/>
  <c r="U1176" i="37"/>
  <c r="U1177" i="37"/>
  <c r="U1178" i="37"/>
  <c r="U1179" i="37"/>
  <c r="U1180" i="37"/>
  <c r="U1181" i="37"/>
  <c r="U1182" i="37"/>
  <c r="U1183" i="37"/>
  <c r="U1184" i="37"/>
  <c r="U1185" i="37"/>
  <c r="U1186" i="37"/>
  <c r="U1187" i="37"/>
  <c r="U1188" i="37"/>
  <c r="U1189" i="37"/>
  <c r="U1190" i="37"/>
  <c r="U1191" i="37"/>
  <c r="U1192" i="37"/>
  <c r="U1193" i="37"/>
  <c r="U1194" i="37"/>
  <c r="U1195" i="37"/>
  <c r="U1196" i="37"/>
  <c r="U1197" i="37"/>
  <c r="U1198" i="37"/>
  <c r="U1199" i="37"/>
  <c r="U1200" i="37"/>
  <c r="U1201" i="37"/>
  <c r="U1202" i="37"/>
  <c r="U1203" i="37"/>
  <c r="U1204" i="37"/>
  <c r="U1205" i="37"/>
  <c r="U1206" i="37"/>
  <c r="U1207" i="37"/>
  <c r="U1208" i="37"/>
  <c r="U1209" i="37"/>
  <c r="V1209" i="37" s="1"/>
  <c r="U1210" i="37"/>
  <c r="U1211" i="37"/>
  <c r="U1212" i="37"/>
  <c r="U1213" i="37"/>
  <c r="U1214" i="37"/>
  <c r="U1215" i="37"/>
  <c r="U1216" i="37"/>
  <c r="U1217" i="37"/>
  <c r="U1218" i="37"/>
  <c r="U1219" i="37"/>
  <c r="U1220" i="37"/>
  <c r="U1221" i="37"/>
  <c r="U1222" i="37"/>
  <c r="U1223" i="37"/>
  <c r="U1224" i="37"/>
  <c r="U1225" i="37"/>
  <c r="U1226" i="37"/>
  <c r="U1227" i="37"/>
  <c r="U1228" i="37"/>
  <c r="U1229" i="37"/>
  <c r="V1229" i="37" s="1"/>
  <c r="U1230" i="37"/>
  <c r="U1231" i="37"/>
  <c r="U1232" i="37"/>
  <c r="U1233" i="37"/>
  <c r="U1234" i="37"/>
  <c r="U1235" i="37"/>
  <c r="U1236" i="37"/>
  <c r="U1237" i="37"/>
  <c r="U1238" i="37"/>
  <c r="U1239" i="37"/>
  <c r="U1240" i="37"/>
  <c r="U1241" i="37"/>
  <c r="U1242" i="37"/>
  <c r="U1243" i="37"/>
  <c r="U1244" i="37"/>
  <c r="U1245" i="37"/>
  <c r="U1246" i="37"/>
  <c r="U1247" i="37"/>
  <c r="U1248" i="37"/>
  <c r="U1249" i="37"/>
  <c r="U1250" i="37"/>
  <c r="U1251" i="37"/>
  <c r="U1252" i="37"/>
  <c r="U1253" i="37"/>
  <c r="U1254" i="37"/>
  <c r="U1255" i="37"/>
  <c r="U1256" i="37"/>
  <c r="U1257" i="37"/>
  <c r="U1258" i="37"/>
  <c r="U1259" i="37"/>
  <c r="U1260" i="37"/>
  <c r="U1261" i="37"/>
  <c r="U1262" i="37"/>
  <c r="U1263" i="37"/>
  <c r="U1264" i="37"/>
  <c r="U1265" i="37"/>
  <c r="U1266" i="37"/>
  <c r="U1267" i="37"/>
  <c r="U1268" i="37"/>
  <c r="U1269" i="37"/>
  <c r="U1270" i="37"/>
  <c r="U1271" i="37"/>
  <c r="U1272" i="37"/>
  <c r="U1273" i="37"/>
  <c r="U1274" i="37"/>
  <c r="U1275" i="37"/>
  <c r="U1276" i="37"/>
  <c r="U1277" i="37"/>
  <c r="U1278" i="37"/>
  <c r="U1279" i="37"/>
  <c r="U1280" i="37"/>
  <c r="U1281" i="37"/>
  <c r="U1282" i="37"/>
  <c r="U1283" i="37"/>
  <c r="U1284" i="37"/>
  <c r="U1285" i="37"/>
  <c r="U1286" i="37"/>
  <c r="U1287" i="37"/>
  <c r="U1288" i="37"/>
  <c r="U1289" i="37"/>
  <c r="U1290" i="37"/>
  <c r="U1291" i="37"/>
  <c r="U1292" i="37"/>
  <c r="U1293" i="37"/>
  <c r="U1294" i="37"/>
  <c r="U1295" i="37"/>
  <c r="U1296" i="37"/>
  <c r="U1297" i="37"/>
  <c r="U1298" i="37"/>
  <c r="U1299" i="37"/>
  <c r="U1300" i="37"/>
  <c r="U1301" i="37"/>
  <c r="U1302" i="37"/>
  <c r="U1303" i="37"/>
  <c r="U1304" i="37"/>
  <c r="U1305" i="37"/>
  <c r="U1306" i="37"/>
  <c r="U1307" i="37"/>
  <c r="U1308" i="37"/>
  <c r="U1309" i="37"/>
  <c r="U1310" i="37"/>
  <c r="U1311" i="37"/>
  <c r="U1312" i="37"/>
  <c r="U1313" i="37"/>
  <c r="U1314" i="37"/>
  <c r="U1315" i="37"/>
  <c r="U1316" i="37"/>
  <c r="U1317" i="37"/>
  <c r="U1318" i="37"/>
  <c r="U1319" i="37"/>
  <c r="U1320" i="37"/>
  <c r="U1321" i="37"/>
  <c r="U1322" i="37"/>
  <c r="U1323" i="37"/>
  <c r="U1324" i="37"/>
  <c r="U1325" i="37"/>
  <c r="U1326" i="37"/>
  <c r="U1327" i="37"/>
  <c r="U1328" i="37"/>
  <c r="U1329" i="37"/>
  <c r="U1330" i="37"/>
  <c r="U1331" i="37"/>
  <c r="U1332" i="37"/>
  <c r="U1333" i="37"/>
  <c r="U1334" i="37"/>
  <c r="U1335" i="37"/>
  <c r="U1336" i="37"/>
  <c r="U1337" i="37"/>
  <c r="U1338" i="37"/>
  <c r="U1339" i="37"/>
  <c r="U1340" i="37"/>
  <c r="U1341" i="37"/>
  <c r="U1342" i="37"/>
  <c r="U1343" i="37"/>
  <c r="U1344" i="37"/>
  <c r="U1345" i="37"/>
  <c r="U1346" i="37"/>
  <c r="U1347" i="37"/>
  <c r="U1348" i="37"/>
  <c r="U1349" i="37"/>
  <c r="U1350" i="37"/>
  <c r="U1351" i="37"/>
  <c r="U1352" i="37"/>
  <c r="U1353" i="37"/>
  <c r="U1354" i="37"/>
  <c r="U1355" i="37"/>
  <c r="U1356" i="37"/>
  <c r="U1357" i="37"/>
  <c r="U1358" i="37"/>
  <c r="U1359" i="37"/>
  <c r="U1360" i="37"/>
  <c r="U1361" i="37"/>
  <c r="U1362" i="37"/>
  <c r="V1362" i="37" s="1"/>
  <c r="U1363" i="37"/>
  <c r="U1364" i="37"/>
  <c r="U1365" i="37"/>
  <c r="U1366" i="37"/>
  <c r="U1367" i="37"/>
  <c r="U1368" i="37"/>
  <c r="U1369" i="37"/>
  <c r="U1370" i="37"/>
  <c r="V1370" i="37" s="1"/>
  <c r="U1371" i="37"/>
  <c r="U1372" i="37"/>
  <c r="U1373" i="37"/>
  <c r="U1374" i="37"/>
  <c r="U1375" i="37"/>
  <c r="U1376" i="37"/>
  <c r="U1377" i="37"/>
  <c r="U1378" i="37"/>
  <c r="U1379" i="37"/>
  <c r="U1380" i="37"/>
  <c r="U1381" i="37"/>
  <c r="U1382" i="37"/>
  <c r="U1383" i="37"/>
  <c r="U1384" i="37"/>
  <c r="U1385" i="37"/>
  <c r="U1386" i="37"/>
  <c r="U1387" i="37"/>
  <c r="U1388" i="37"/>
  <c r="U1389" i="37"/>
  <c r="U1390" i="37"/>
  <c r="U1391" i="37"/>
  <c r="U1392" i="37"/>
  <c r="U1393" i="37"/>
  <c r="U1394" i="37"/>
  <c r="U1395" i="37"/>
  <c r="U1396" i="37"/>
  <c r="U1397" i="37"/>
  <c r="U1398" i="37"/>
  <c r="U1399" i="37"/>
  <c r="U1400" i="37"/>
  <c r="U1401" i="37"/>
  <c r="U1402" i="37"/>
  <c r="U1403" i="37"/>
  <c r="U1404" i="37"/>
  <c r="U1405" i="37"/>
  <c r="U1406" i="37"/>
  <c r="U1407" i="37"/>
  <c r="U1408" i="37"/>
  <c r="U1409" i="37"/>
  <c r="U1410" i="37"/>
  <c r="U1411" i="37"/>
  <c r="U1412" i="37"/>
  <c r="U1413" i="37"/>
  <c r="U1414" i="37"/>
  <c r="U1415" i="37"/>
  <c r="U1416" i="37"/>
  <c r="U1417" i="37"/>
  <c r="U1418" i="37"/>
  <c r="U1419" i="37"/>
  <c r="U1420" i="37"/>
  <c r="U1421" i="37"/>
  <c r="U1422" i="37"/>
  <c r="U1423" i="37"/>
  <c r="U1424" i="37"/>
  <c r="U1425" i="37"/>
  <c r="U1426" i="37"/>
  <c r="U1427" i="37"/>
  <c r="U1428" i="37"/>
  <c r="U1429" i="37"/>
  <c r="U1430" i="37"/>
  <c r="U1431" i="37"/>
  <c r="U1432" i="37"/>
  <c r="U1433" i="37"/>
  <c r="U1434" i="37"/>
  <c r="U1435" i="37"/>
  <c r="U1436" i="37"/>
  <c r="U1437" i="37"/>
  <c r="U1438" i="37"/>
  <c r="U1439" i="37"/>
  <c r="U1440" i="37"/>
  <c r="U1441" i="37"/>
  <c r="U1442" i="37"/>
  <c r="U1443" i="37"/>
  <c r="U1444" i="37"/>
  <c r="U1445" i="37"/>
  <c r="U1446" i="37"/>
  <c r="U1447" i="37"/>
  <c r="U1448" i="37"/>
  <c r="U1449" i="37"/>
  <c r="U1450" i="37"/>
  <c r="U1451" i="37"/>
  <c r="U1452" i="37"/>
  <c r="U1453" i="37"/>
  <c r="U1454" i="37"/>
  <c r="U1455" i="37"/>
  <c r="U1456" i="37"/>
  <c r="U1457" i="37"/>
  <c r="U1458" i="37"/>
  <c r="U1459" i="37"/>
  <c r="U1460" i="37"/>
  <c r="U1461" i="37"/>
  <c r="U1462" i="37"/>
  <c r="U1463" i="37"/>
  <c r="U1464" i="37"/>
  <c r="U1465" i="37"/>
  <c r="U1466" i="37"/>
  <c r="U1467" i="37"/>
  <c r="U1468" i="37"/>
  <c r="U1469" i="37"/>
  <c r="U1470" i="37"/>
  <c r="U1471" i="37"/>
  <c r="U1472" i="37"/>
  <c r="U1473" i="37"/>
  <c r="U1474" i="37"/>
  <c r="U1475" i="37"/>
  <c r="U1476" i="37"/>
  <c r="U1477" i="37"/>
  <c r="U1478" i="37"/>
  <c r="U1479" i="37"/>
  <c r="U1480" i="37"/>
  <c r="U1481" i="37"/>
  <c r="U1482" i="37"/>
  <c r="U1483" i="37"/>
  <c r="U1484" i="37"/>
  <c r="U1485" i="37"/>
  <c r="U1486" i="37"/>
  <c r="U1487" i="37"/>
  <c r="U1488" i="37"/>
  <c r="U1489" i="37"/>
  <c r="U1490" i="37"/>
  <c r="U1491" i="37"/>
  <c r="U1492" i="37"/>
  <c r="V2" i="37"/>
  <c r="V4" i="37"/>
  <c r="V5" i="37"/>
  <c r="V6" i="37"/>
  <c r="W6" i="37" s="1"/>
  <c r="V7" i="37"/>
  <c r="V8" i="37"/>
  <c r="W8" i="37" s="1"/>
  <c r="V9" i="37"/>
  <c r="V10" i="37"/>
  <c r="V11" i="37"/>
  <c r="V12" i="37"/>
  <c r="V13" i="37"/>
  <c r="V14" i="37"/>
  <c r="V15" i="37"/>
  <c r="V16" i="37"/>
  <c r="V17" i="37"/>
  <c r="V18" i="37"/>
  <c r="V19" i="37"/>
  <c r="V20" i="37"/>
  <c r="V22" i="37"/>
  <c r="V23" i="37"/>
  <c r="V24" i="37"/>
  <c r="V26" i="37"/>
  <c r="V27" i="37"/>
  <c r="V28" i="37"/>
  <c r="V29" i="37"/>
  <c r="V30" i="37"/>
  <c r="V31" i="37"/>
  <c r="V32" i="37"/>
  <c r="V34" i="37"/>
  <c r="V35" i="37"/>
  <c r="V36" i="37"/>
  <c r="V37" i="37"/>
  <c r="V38" i="37"/>
  <c r="V39" i="37"/>
  <c r="V40" i="37"/>
  <c r="V41" i="37"/>
  <c r="V43" i="37"/>
  <c r="W43" i="37" s="1"/>
  <c r="V44" i="37"/>
  <c r="V46" i="37"/>
  <c r="V47" i="37"/>
  <c r="V48" i="37"/>
  <c r="V50" i="37"/>
  <c r="V52" i="37"/>
  <c r="V53" i="37"/>
  <c r="V54" i="37"/>
  <c r="V55" i="37"/>
  <c r="V56" i="37"/>
  <c r="V58" i="37"/>
  <c r="V59" i="37"/>
  <c r="V60" i="37"/>
  <c r="V61" i="37"/>
  <c r="V62" i="37"/>
  <c r="V63" i="37"/>
  <c r="V64" i="37"/>
  <c r="W64" i="37" s="1"/>
  <c r="V65" i="37"/>
  <c r="V66" i="37"/>
  <c r="V67" i="37"/>
  <c r="V69" i="37"/>
  <c r="V70" i="37"/>
  <c r="V71" i="37"/>
  <c r="V72" i="37"/>
  <c r="W72" i="37" s="1"/>
  <c r="V73" i="37"/>
  <c r="V74" i="37"/>
  <c r="V75" i="37"/>
  <c r="V76" i="37"/>
  <c r="V77" i="37"/>
  <c r="V78" i="37"/>
  <c r="V79" i="37"/>
  <c r="V80" i="37"/>
  <c r="V81" i="37"/>
  <c r="V82" i="37"/>
  <c r="V83" i="37"/>
  <c r="V84" i="37"/>
  <c r="V85" i="37"/>
  <c r="V86" i="37"/>
  <c r="V87" i="37"/>
  <c r="V88" i="37"/>
  <c r="W88" i="37" s="1"/>
  <c r="V89" i="37"/>
  <c r="V90" i="37"/>
  <c r="V91" i="37"/>
  <c r="V94" i="37"/>
  <c r="V95" i="37"/>
  <c r="V96" i="37"/>
  <c r="V97" i="37"/>
  <c r="V98" i="37"/>
  <c r="V99" i="37"/>
  <c r="V101" i="37"/>
  <c r="V102" i="37"/>
  <c r="V103" i="37"/>
  <c r="V104" i="37"/>
  <c r="V105" i="37"/>
  <c r="V106" i="37"/>
  <c r="V108" i="37"/>
  <c r="V110" i="37"/>
  <c r="V111" i="37"/>
  <c r="V112" i="37"/>
  <c r="V113" i="37"/>
  <c r="V114" i="37"/>
  <c r="V115" i="37"/>
  <c r="V116" i="37"/>
  <c r="V117" i="37"/>
  <c r="V118" i="37"/>
  <c r="V119" i="37"/>
  <c r="V120" i="37"/>
  <c r="V122" i="37"/>
  <c r="V123" i="37"/>
  <c r="X123" i="37" s="1"/>
  <c r="V124" i="37"/>
  <c r="V125" i="37"/>
  <c r="V126" i="37"/>
  <c r="V127" i="37"/>
  <c r="V128" i="37"/>
  <c r="V129" i="37"/>
  <c r="V130" i="37"/>
  <c r="V132" i="37"/>
  <c r="V133" i="37"/>
  <c r="V134" i="37"/>
  <c r="Y134" i="37" s="1"/>
  <c r="V135" i="37"/>
  <c r="V136" i="37"/>
  <c r="V137" i="37"/>
  <c r="V138" i="37"/>
  <c r="V139" i="37"/>
  <c r="V140" i="37"/>
  <c r="V142" i="37"/>
  <c r="W142" i="37" s="1"/>
  <c r="V143" i="37"/>
  <c r="V144" i="37"/>
  <c r="V145" i="37"/>
  <c r="V146" i="37"/>
  <c r="V147" i="37"/>
  <c r="V148" i="37"/>
  <c r="V149" i="37"/>
  <c r="V150" i="37"/>
  <c r="V151" i="37"/>
  <c r="V152" i="37"/>
  <c r="V153" i="37"/>
  <c r="V154" i="37"/>
  <c r="V156" i="37"/>
  <c r="V157" i="37"/>
  <c r="V158" i="37"/>
  <c r="V159" i="37"/>
  <c r="V160" i="37"/>
  <c r="V161" i="37"/>
  <c r="V162" i="37"/>
  <c r="V163" i="37"/>
  <c r="V164" i="37"/>
  <c r="V165" i="37"/>
  <c r="V166" i="37"/>
  <c r="V167" i="37"/>
  <c r="V168" i="37"/>
  <c r="V169" i="37"/>
  <c r="V170" i="37"/>
  <c r="V172" i="37"/>
  <c r="V173" i="37"/>
  <c r="V174" i="37"/>
  <c r="V176" i="37"/>
  <c r="V177" i="37"/>
  <c r="V178" i="37"/>
  <c r="V180" i="37"/>
  <c r="V182" i="37"/>
  <c r="V183" i="37"/>
  <c r="V184" i="37"/>
  <c r="V185" i="37"/>
  <c r="V186" i="37"/>
  <c r="V188" i="37"/>
  <c r="V189" i="37"/>
  <c r="V190" i="37"/>
  <c r="V191" i="37"/>
  <c r="V192" i="37"/>
  <c r="V193" i="37"/>
  <c r="V194" i="37"/>
  <c r="V195" i="37"/>
  <c r="V196" i="37"/>
  <c r="V197" i="37"/>
  <c r="V198" i="37"/>
  <c r="V199" i="37"/>
  <c r="V200" i="37"/>
  <c r="V201" i="37"/>
  <c r="V202" i="37"/>
  <c r="V203" i="37"/>
  <c r="V204" i="37"/>
  <c r="V205" i="37"/>
  <c r="V206" i="37"/>
  <c r="V207" i="37"/>
  <c r="V208" i="37"/>
  <c r="V209" i="37"/>
  <c r="V210" i="37"/>
  <c r="V211" i="37"/>
  <c r="V212" i="37"/>
  <c r="V213" i="37"/>
  <c r="V214" i="37"/>
  <c r="V215" i="37"/>
  <c r="V216" i="37"/>
  <c r="V218" i="37"/>
  <c r="V220" i="37"/>
  <c r="V221" i="37"/>
  <c r="V222" i="37"/>
  <c r="V223" i="37"/>
  <c r="V224" i="37"/>
  <c r="V225" i="37"/>
  <c r="V226" i="37"/>
  <c r="V227" i="37"/>
  <c r="V228" i="37"/>
  <c r="V229" i="37"/>
  <c r="V230" i="37"/>
  <c r="V231" i="37"/>
  <c r="V232" i="37"/>
  <c r="V233" i="37"/>
  <c r="V234" i="37"/>
  <c r="V235" i="37"/>
  <c r="V236" i="37"/>
  <c r="V237" i="37"/>
  <c r="V238" i="37"/>
  <c r="V239" i="37"/>
  <c r="V240" i="37"/>
  <c r="V241" i="37"/>
  <c r="V242" i="37"/>
  <c r="V243" i="37"/>
  <c r="V244" i="37"/>
  <c r="V245" i="37"/>
  <c r="V246" i="37"/>
  <c r="V247" i="37"/>
  <c r="W247" i="37" s="1"/>
  <c r="V248" i="37"/>
  <c r="V249" i="37"/>
  <c r="V250" i="37"/>
  <c r="V251" i="37"/>
  <c r="V252" i="37"/>
  <c r="V253" i="37"/>
  <c r="V254" i="37"/>
  <c r="V255" i="37"/>
  <c r="V256" i="37"/>
  <c r="V257" i="37"/>
  <c r="V258" i="37"/>
  <c r="V259" i="37"/>
  <c r="V261" i="37"/>
  <c r="V262" i="37"/>
  <c r="V263" i="37"/>
  <c r="V264" i="37"/>
  <c r="V265" i="37"/>
  <c r="V266" i="37"/>
  <c r="V267" i="37"/>
  <c r="V268" i="37"/>
  <c r="V269" i="37"/>
  <c r="V270" i="37"/>
  <c r="V271" i="37"/>
  <c r="V272" i="37"/>
  <c r="V274" i="37"/>
  <c r="V275" i="37"/>
  <c r="V276" i="37"/>
  <c r="V277" i="37"/>
  <c r="V278" i="37"/>
  <c r="Y278" i="37" s="1"/>
  <c r="V279" i="37"/>
  <c r="V280" i="37"/>
  <c r="V281" i="37"/>
  <c r="V282" i="37"/>
  <c r="V283" i="37"/>
  <c r="V284" i="37"/>
  <c r="V285" i="37"/>
  <c r="V286" i="37"/>
  <c r="V288" i="37"/>
  <c r="V290" i="37"/>
  <c r="V291" i="37"/>
  <c r="V292" i="37"/>
  <c r="V294" i="37"/>
  <c r="V295" i="37"/>
  <c r="V296" i="37"/>
  <c r="V297" i="37"/>
  <c r="W297" i="37" s="1"/>
  <c r="V298" i="37"/>
  <c r="V299" i="37"/>
  <c r="V300" i="37"/>
  <c r="V301" i="37"/>
  <c r="V302" i="37"/>
  <c r="V303" i="37"/>
  <c r="V304" i="37"/>
  <c r="V305" i="37"/>
  <c r="V306" i="37"/>
  <c r="V307" i="37"/>
  <c r="V308" i="37"/>
  <c r="V309" i="37"/>
  <c r="V310" i="37"/>
  <c r="V312" i="37"/>
  <c r="V313" i="37"/>
  <c r="V314" i="37"/>
  <c r="V315" i="37"/>
  <c r="V316" i="37"/>
  <c r="V317" i="37"/>
  <c r="V318" i="37"/>
  <c r="V320" i="37"/>
  <c r="V321" i="37"/>
  <c r="V322" i="37"/>
  <c r="V323" i="37"/>
  <c r="V324" i="37"/>
  <c r="V325" i="37"/>
  <c r="V326" i="37"/>
  <c r="V327" i="37"/>
  <c r="V328" i="37"/>
  <c r="V329" i="37"/>
  <c r="V330" i="37"/>
  <c r="V331" i="37"/>
  <c r="V332" i="37"/>
  <c r="V333" i="37"/>
  <c r="V334" i="37"/>
  <c r="V335" i="37"/>
  <c r="V336" i="37"/>
  <c r="V337" i="37"/>
  <c r="V338" i="37"/>
  <c r="V339" i="37"/>
  <c r="V340" i="37"/>
  <c r="V341" i="37"/>
  <c r="V342" i="37"/>
  <c r="V343" i="37"/>
  <c r="V344" i="37"/>
  <c r="V345" i="37"/>
  <c r="V346" i="37"/>
  <c r="V347" i="37"/>
  <c r="V348" i="37"/>
  <c r="V349" i="37"/>
  <c r="V350" i="37"/>
  <c r="V351" i="37"/>
  <c r="V352" i="37"/>
  <c r="V355" i="37"/>
  <c r="V356" i="37"/>
  <c r="V357" i="37"/>
  <c r="V358" i="37"/>
  <c r="V360" i="37"/>
  <c r="V362" i="37"/>
  <c r="V363" i="37"/>
  <c r="V364" i="37"/>
  <c r="V365" i="37"/>
  <c r="V366" i="37"/>
  <c r="V367" i="37"/>
  <c r="V368" i="37"/>
  <c r="X368" i="37" s="1"/>
  <c r="V369" i="37"/>
  <c r="V370" i="37"/>
  <c r="V371" i="37"/>
  <c r="V372" i="37"/>
  <c r="V373" i="37"/>
  <c r="V374" i="37"/>
  <c r="V375" i="37"/>
  <c r="V376" i="37"/>
  <c r="V377" i="37"/>
  <c r="V378" i="37"/>
  <c r="V379" i="37"/>
  <c r="V380" i="37"/>
  <c r="V381" i="37"/>
  <c r="V382" i="37"/>
  <c r="V383" i="37"/>
  <c r="V384" i="37"/>
  <c r="V385" i="37"/>
  <c r="V386" i="37"/>
  <c r="V387" i="37"/>
  <c r="V388" i="37"/>
  <c r="V389" i="37"/>
  <c r="V390" i="37"/>
  <c r="V391" i="37"/>
  <c r="V392" i="37"/>
  <c r="V393" i="37"/>
  <c r="V394" i="37"/>
  <c r="V395" i="37"/>
  <c r="V396" i="37"/>
  <c r="V397" i="37"/>
  <c r="V398" i="37"/>
  <c r="X398" i="37" s="1"/>
  <c r="V400" i="37"/>
  <c r="V401" i="37"/>
  <c r="V402" i="37"/>
  <c r="V403" i="37"/>
  <c r="V404" i="37"/>
  <c r="V405" i="37"/>
  <c r="V406" i="37"/>
  <c r="V407" i="37"/>
  <c r="V408" i="37"/>
  <c r="V409" i="37"/>
  <c r="V410" i="37"/>
  <c r="V411" i="37"/>
  <c r="V412" i="37"/>
  <c r="V413" i="37"/>
  <c r="V414" i="37"/>
  <c r="V416" i="37"/>
  <c r="V417" i="37"/>
  <c r="V418" i="37"/>
  <c r="V419" i="37"/>
  <c r="V420" i="37"/>
  <c r="V421" i="37"/>
  <c r="V422" i="37"/>
  <c r="V423" i="37"/>
  <c r="V424" i="37"/>
  <c r="V425" i="37"/>
  <c r="V426" i="37"/>
  <c r="V427" i="37"/>
  <c r="V429" i="37"/>
  <c r="V430" i="37"/>
  <c r="V431" i="37"/>
  <c r="V432" i="37"/>
  <c r="V433" i="37"/>
  <c r="V434" i="37"/>
  <c r="V435" i="37"/>
  <c r="V437" i="37"/>
  <c r="V438" i="37"/>
  <c r="W438" i="37" s="1"/>
  <c r="V440" i="37"/>
  <c r="W440" i="37" s="1"/>
  <c r="V441" i="37"/>
  <c r="V442" i="37"/>
  <c r="V443" i="37"/>
  <c r="V444" i="37"/>
  <c r="V445" i="37"/>
  <c r="V446" i="37"/>
  <c r="V447" i="37"/>
  <c r="V448" i="37"/>
  <c r="V449" i="37"/>
  <c r="V450" i="37"/>
  <c r="V451" i="37"/>
  <c r="V452" i="37"/>
  <c r="V453" i="37"/>
  <c r="V454" i="37"/>
  <c r="V455" i="37"/>
  <c r="V456" i="37"/>
  <c r="V457" i="37"/>
  <c r="V458" i="37"/>
  <c r="V459" i="37"/>
  <c r="V460" i="37"/>
  <c r="V461" i="37"/>
  <c r="V462" i="37"/>
  <c r="V463" i="37"/>
  <c r="V464" i="37"/>
  <c r="V465" i="37"/>
  <c r="V466" i="37"/>
  <c r="V467" i="37"/>
  <c r="V468" i="37"/>
  <c r="V469" i="37"/>
  <c r="V470" i="37"/>
  <c r="V471" i="37"/>
  <c r="V472" i="37"/>
  <c r="V473" i="37"/>
  <c r="V474" i="37"/>
  <c r="V475" i="37"/>
  <c r="V476" i="37"/>
  <c r="V477" i="37"/>
  <c r="V478" i="37"/>
  <c r="V479" i="37"/>
  <c r="V480" i="37"/>
  <c r="V481" i="37"/>
  <c r="V482" i="37"/>
  <c r="V484" i="37"/>
  <c r="V486" i="37"/>
  <c r="V487" i="37"/>
  <c r="V488" i="37"/>
  <c r="V489" i="37"/>
  <c r="V490" i="37"/>
  <c r="V492" i="37"/>
  <c r="V493" i="37"/>
  <c r="V494" i="37"/>
  <c r="V496" i="37"/>
  <c r="V497" i="37"/>
  <c r="V498" i="37"/>
  <c r="V499" i="37"/>
  <c r="V500" i="37"/>
  <c r="V501" i="37"/>
  <c r="V502" i="37"/>
  <c r="V503" i="37"/>
  <c r="V504" i="37"/>
  <c r="V505" i="37"/>
  <c r="V506" i="37"/>
  <c r="V507" i="37"/>
  <c r="V508" i="37"/>
  <c r="V509" i="37"/>
  <c r="V510" i="37"/>
  <c r="V511" i="37"/>
  <c r="V512" i="37"/>
  <c r="V514" i="37"/>
  <c r="V516" i="37"/>
  <c r="V517" i="37"/>
  <c r="V518" i="37"/>
  <c r="V520" i="37"/>
  <c r="V523" i="37"/>
  <c r="V525" i="37"/>
  <c r="V526" i="37"/>
  <c r="V527" i="37"/>
  <c r="V528" i="37"/>
  <c r="V529" i="37"/>
  <c r="V530" i="37"/>
  <c r="V531" i="37"/>
  <c r="V532" i="37"/>
  <c r="V533" i="37"/>
  <c r="V534" i="37"/>
  <c r="V535" i="37"/>
  <c r="V536" i="37"/>
  <c r="V537" i="37"/>
  <c r="V538" i="37"/>
  <c r="V540" i="37"/>
  <c r="V541" i="37"/>
  <c r="V542" i="37"/>
  <c r="V544" i="37"/>
  <c r="V545" i="37"/>
  <c r="V546" i="37"/>
  <c r="V547" i="37"/>
  <c r="V548" i="37"/>
  <c r="V549" i="37"/>
  <c r="V550" i="37"/>
  <c r="V551" i="37"/>
  <c r="V552" i="37"/>
  <c r="V553" i="37"/>
  <c r="V554" i="37"/>
  <c r="V555" i="37"/>
  <c r="V556" i="37"/>
  <c r="V557" i="37"/>
  <c r="V558" i="37"/>
  <c r="V559" i="37"/>
  <c r="V560" i="37"/>
  <c r="V561" i="37"/>
  <c r="V562" i="37"/>
  <c r="V563" i="37"/>
  <c r="V564" i="37"/>
  <c r="V565" i="37"/>
  <c r="V566" i="37"/>
  <c r="V567" i="37"/>
  <c r="V568" i="37"/>
  <c r="V569" i="37"/>
  <c r="V570" i="37"/>
  <c r="V571" i="37"/>
  <c r="V572" i="37"/>
  <c r="V573" i="37"/>
  <c r="V574" i="37"/>
  <c r="V575" i="37"/>
  <c r="V576" i="37"/>
  <c r="V577" i="37"/>
  <c r="V578" i="37"/>
  <c r="V579" i="37"/>
  <c r="V580" i="37"/>
  <c r="V581" i="37"/>
  <c r="V582" i="37"/>
  <c r="V583" i="37"/>
  <c r="V584" i="37"/>
  <c r="V585" i="37"/>
  <c r="V586" i="37"/>
  <c r="V587" i="37"/>
  <c r="V588" i="37"/>
  <c r="V589" i="37"/>
  <c r="V590" i="37"/>
  <c r="V591" i="37"/>
  <c r="V592" i="37"/>
  <c r="V593" i="37"/>
  <c r="V594" i="37"/>
  <c r="V595" i="37"/>
  <c r="V596" i="37"/>
  <c r="V597" i="37"/>
  <c r="V598" i="37"/>
  <c r="V599" i="37"/>
  <c r="V600" i="37"/>
  <c r="V601" i="37"/>
  <c r="V602" i="37"/>
  <c r="V603" i="37"/>
  <c r="V604" i="37"/>
  <c r="V605" i="37"/>
  <c r="V606" i="37"/>
  <c r="V607" i="37"/>
  <c r="V608" i="37"/>
  <c r="V609" i="37"/>
  <c r="V610" i="37"/>
  <c r="V611" i="37"/>
  <c r="V612" i="37"/>
  <c r="V613" i="37"/>
  <c r="V614" i="37"/>
  <c r="V615" i="37"/>
  <c r="V616" i="37"/>
  <c r="V617" i="37"/>
  <c r="V618" i="37"/>
  <c r="V619" i="37"/>
  <c r="V620" i="37"/>
  <c r="V621" i="37"/>
  <c r="V622" i="37"/>
  <c r="V624" i="37"/>
  <c r="V625" i="37"/>
  <c r="V626" i="37"/>
  <c r="V627" i="37"/>
  <c r="V628" i="37"/>
  <c r="V629" i="37"/>
  <c r="V630" i="37"/>
  <c r="V631" i="37"/>
  <c r="V632" i="37"/>
  <c r="V633" i="37"/>
  <c r="V634" i="37"/>
  <c r="V635" i="37"/>
  <c r="V636" i="37"/>
  <c r="V637" i="37"/>
  <c r="V638" i="37"/>
  <c r="V639" i="37"/>
  <c r="V640" i="37"/>
  <c r="V641" i="37"/>
  <c r="V642" i="37"/>
  <c r="V643" i="37"/>
  <c r="V644" i="37"/>
  <c r="V645" i="37"/>
  <c r="V646" i="37"/>
  <c r="V648" i="37"/>
  <c r="V649" i="37"/>
  <c r="V650" i="37"/>
  <c r="V651" i="37"/>
  <c r="V652" i="37"/>
  <c r="V653" i="37"/>
  <c r="V654" i="37"/>
  <c r="V655" i="37"/>
  <c r="V656" i="37"/>
  <c r="V657" i="37"/>
  <c r="V658" i="37"/>
  <c r="V659" i="37"/>
  <c r="V660" i="37"/>
  <c r="V661" i="37"/>
  <c r="V662" i="37"/>
  <c r="V663" i="37"/>
  <c r="V664" i="37"/>
  <c r="V665" i="37"/>
  <c r="V666" i="37"/>
  <c r="V667" i="37"/>
  <c r="V668" i="37"/>
  <c r="V669" i="37"/>
  <c r="V670" i="37"/>
  <c r="V671" i="37"/>
  <c r="V672" i="37"/>
  <c r="V673" i="37"/>
  <c r="V674" i="37"/>
  <c r="V675" i="37"/>
  <c r="V676" i="37"/>
  <c r="V677" i="37"/>
  <c r="V678" i="37"/>
  <c r="V679" i="37"/>
  <c r="V680" i="37"/>
  <c r="V681" i="37"/>
  <c r="V682" i="37"/>
  <c r="V683" i="37"/>
  <c r="V684" i="37"/>
  <c r="V685" i="37"/>
  <c r="V686" i="37"/>
  <c r="V687" i="37"/>
  <c r="V688" i="37"/>
  <c r="V689" i="37"/>
  <c r="V690" i="37"/>
  <c r="V691" i="37"/>
  <c r="V692" i="37"/>
  <c r="V693" i="37"/>
  <c r="V694" i="37"/>
  <c r="V695" i="37"/>
  <c r="V696" i="37"/>
  <c r="V697" i="37"/>
  <c r="V698" i="37"/>
  <c r="V699" i="37"/>
  <c r="V700" i="37"/>
  <c r="V701" i="37"/>
  <c r="V702" i="37"/>
  <c r="V703" i="37"/>
  <c r="V704" i="37"/>
  <c r="V705" i="37"/>
  <c r="V706" i="37"/>
  <c r="V707" i="37"/>
  <c r="V708" i="37"/>
  <c r="V709" i="37"/>
  <c r="V710" i="37"/>
  <c r="V711" i="37"/>
  <c r="V712" i="37"/>
  <c r="V713" i="37"/>
  <c r="V714" i="37"/>
  <c r="V715" i="37"/>
  <c r="V716" i="37"/>
  <c r="V717" i="37"/>
  <c r="V718" i="37"/>
  <c r="V719" i="37"/>
  <c r="V720" i="37"/>
  <c r="V721" i="37"/>
  <c r="V722" i="37"/>
  <c r="V723" i="37"/>
  <c r="V724" i="37"/>
  <c r="V725" i="37"/>
  <c r="V726" i="37"/>
  <c r="V727" i="37"/>
  <c r="V728" i="37"/>
  <c r="V729" i="37"/>
  <c r="V730" i="37"/>
  <c r="V731" i="37"/>
  <c r="V732" i="37"/>
  <c r="V733" i="37"/>
  <c r="V734" i="37"/>
  <c r="V735" i="37"/>
  <c r="V736" i="37"/>
  <c r="V737" i="37"/>
  <c r="V738" i="37"/>
  <c r="V740" i="37"/>
  <c r="V741" i="37"/>
  <c r="V742" i="37"/>
  <c r="V743" i="37"/>
  <c r="V744" i="37"/>
  <c r="V745" i="37"/>
  <c r="V746" i="37"/>
  <c r="V747" i="37"/>
  <c r="V748" i="37"/>
  <c r="V749" i="37"/>
  <c r="V750" i="37"/>
  <c r="V751" i="37"/>
  <c r="V752" i="37"/>
  <c r="V753" i="37"/>
  <c r="V754" i="37"/>
  <c r="V755" i="37"/>
  <c r="V756" i="37"/>
  <c r="V758" i="37"/>
  <c r="V760" i="37"/>
  <c r="V762" i="37"/>
  <c r="V763" i="37"/>
  <c r="V764" i="37"/>
  <c r="V765" i="37"/>
  <c r="V766" i="37"/>
  <c r="V767" i="37"/>
  <c r="V768" i="37"/>
  <c r="V769" i="37"/>
  <c r="V770" i="37"/>
  <c r="V771" i="37"/>
  <c r="V772" i="37"/>
  <c r="V773" i="37"/>
  <c r="V774" i="37"/>
  <c r="V775" i="37"/>
  <c r="V776" i="37"/>
  <c r="V777" i="37"/>
  <c r="V779" i="37"/>
  <c r="V781" i="37"/>
  <c r="V782" i="37"/>
  <c r="V783" i="37"/>
  <c r="V784" i="37"/>
  <c r="V785" i="37"/>
  <c r="V786" i="37"/>
  <c r="V787" i="37"/>
  <c r="V788" i="37"/>
  <c r="V790" i="37"/>
  <c r="V791" i="37"/>
  <c r="V792" i="37"/>
  <c r="V793" i="37"/>
  <c r="V794" i="37"/>
  <c r="V795" i="37"/>
  <c r="V796" i="37"/>
  <c r="Y796" i="37" s="1"/>
  <c r="V797" i="37"/>
  <c r="V798" i="37"/>
  <c r="V799" i="37"/>
  <c r="V800" i="37"/>
  <c r="V801" i="37"/>
  <c r="V802" i="37"/>
  <c r="V804" i="37"/>
  <c r="V805" i="37"/>
  <c r="X805" i="37" s="1"/>
  <c r="V806" i="37"/>
  <c r="V807" i="37"/>
  <c r="V808" i="37"/>
  <c r="V809" i="37"/>
  <c r="V810" i="37"/>
  <c r="V811" i="37"/>
  <c r="V812" i="37"/>
  <c r="V814" i="37"/>
  <c r="Y814" i="37" s="1"/>
  <c r="V815" i="37"/>
  <c r="V816" i="37"/>
  <c r="V817" i="37"/>
  <c r="V818" i="37"/>
  <c r="V819" i="37"/>
  <c r="V820" i="37"/>
  <c r="Y820" i="37" s="1"/>
  <c r="V821" i="37"/>
  <c r="V822" i="37"/>
  <c r="V823" i="37"/>
  <c r="V824" i="37"/>
  <c r="V825" i="37"/>
  <c r="V826" i="37"/>
  <c r="V827" i="37"/>
  <c r="V828" i="37"/>
  <c r="V829" i="37"/>
  <c r="V830" i="37"/>
  <c r="V831" i="37"/>
  <c r="V832" i="37"/>
  <c r="V833" i="37"/>
  <c r="V834" i="37"/>
  <c r="V835" i="37"/>
  <c r="V836" i="37"/>
  <c r="V837" i="37"/>
  <c r="V838" i="37"/>
  <c r="V839" i="37"/>
  <c r="V840" i="37"/>
  <c r="V841" i="37"/>
  <c r="V842" i="37"/>
  <c r="V843" i="37"/>
  <c r="V844" i="37"/>
  <c r="V845" i="37"/>
  <c r="V846" i="37"/>
  <c r="V847" i="37"/>
  <c r="V848" i="37"/>
  <c r="V849" i="37"/>
  <c r="V850" i="37"/>
  <c r="V852" i="37"/>
  <c r="V853" i="37"/>
  <c r="V854" i="37"/>
  <c r="V855" i="37"/>
  <c r="V856" i="37"/>
  <c r="V857" i="37"/>
  <c r="V858" i="37"/>
  <c r="V859" i="37"/>
  <c r="V860" i="37"/>
  <c r="V861" i="37"/>
  <c r="V862" i="37"/>
  <c r="V863" i="37"/>
  <c r="V864" i="37"/>
  <c r="V865" i="37"/>
  <c r="V866" i="37"/>
  <c r="V867" i="37"/>
  <c r="V868" i="37"/>
  <c r="V869" i="37"/>
  <c r="V870" i="37"/>
  <c r="V871" i="37"/>
  <c r="V872" i="37"/>
  <c r="V873" i="37"/>
  <c r="V874" i="37"/>
  <c r="V875" i="37"/>
  <c r="V876" i="37"/>
  <c r="V877" i="37"/>
  <c r="V878" i="37"/>
  <c r="V879" i="37"/>
  <c r="V880" i="37"/>
  <c r="V881" i="37"/>
  <c r="V882" i="37"/>
  <c r="V883" i="37"/>
  <c r="V884" i="37"/>
  <c r="V885" i="37"/>
  <c r="V886" i="37"/>
  <c r="V887" i="37"/>
  <c r="V888" i="37"/>
  <c r="V889" i="37"/>
  <c r="V892" i="37"/>
  <c r="V893" i="37"/>
  <c r="V894" i="37"/>
  <c r="V895" i="37"/>
  <c r="V896" i="37"/>
  <c r="V897" i="37"/>
  <c r="V898" i="37"/>
  <c r="V899" i="37"/>
  <c r="V900" i="37"/>
  <c r="V901" i="37"/>
  <c r="V902" i="37"/>
  <c r="V903" i="37"/>
  <c r="V904" i="37"/>
  <c r="V905" i="37"/>
  <c r="V906" i="37"/>
  <c r="V908" i="37"/>
  <c r="V909" i="37"/>
  <c r="V910" i="37"/>
  <c r="V911" i="37"/>
  <c r="V912" i="37"/>
  <c r="V913" i="37"/>
  <c r="V914" i="37"/>
  <c r="V915" i="37"/>
  <c r="V916" i="37"/>
  <c r="V918" i="37"/>
  <c r="V919" i="37"/>
  <c r="V920" i="37"/>
  <c r="V921" i="37"/>
  <c r="V922" i="37"/>
  <c r="W922" i="37" s="1"/>
  <c r="V923" i="37"/>
  <c r="V924" i="37"/>
  <c r="V925" i="37"/>
  <c r="V926" i="37"/>
  <c r="V928" i="37"/>
  <c r="V929" i="37"/>
  <c r="V930" i="37"/>
  <c r="V931" i="37"/>
  <c r="V932" i="37"/>
  <c r="V934" i="37"/>
  <c r="V935" i="37"/>
  <c r="V936" i="37"/>
  <c r="V937" i="37"/>
  <c r="V938" i="37"/>
  <c r="V939" i="37"/>
  <c r="V940" i="37"/>
  <c r="V941" i="37"/>
  <c r="V942" i="37"/>
  <c r="V943" i="37"/>
  <c r="V944" i="37"/>
  <c r="V945" i="37"/>
  <c r="V946" i="37"/>
  <c r="V947" i="37"/>
  <c r="V948" i="37"/>
  <c r="V949" i="37"/>
  <c r="V950" i="37"/>
  <c r="V951" i="37"/>
  <c r="V952" i="37"/>
  <c r="V953" i="37"/>
  <c r="V954" i="37"/>
  <c r="V955" i="37"/>
  <c r="V956" i="37"/>
  <c r="V957" i="37"/>
  <c r="V958" i="37"/>
  <c r="V959" i="37"/>
  <c r="V960" i="37"/>
  <c r="V962" i="37"/>
  <c r="V963" i="37"/>
  <c r="V966" i="37"/>
  <c r="V967" i="37"/>
  <c r="V968" i="37"/>
  <c r="V969" i="37"/>
  <c r="V970" i="37"/>
  <c r="V973" i="37"/>
  <c r="V974" i="37"/>
  <c r="V975" i="37"/>
  <c r="V976" i="37"/>
  <c r="V977" i="37"/>
  <c r="V978" i="37"/>
  <c r="V979" i="37"/>
  <c r="V980" i="37"/>
  <c r="V982" i="37"/>
  <c r="V983" i="37"/>
  <c r="V984" i="37"/>
  <c r="V985" i="37"/>
  <c r="V986" i="37"/>
  <c r="V987" i="37"/>
  <c r="V988" i="37"/>
  <c r="V989" i="37"/>
  <c r="V990" i="37"/>
  <c r="V991" i="37"/>
  <c r="V992" i="37"/>
  <c r="V993" i="37"/>
  <c r="V994" i="37"/>
  <c r="V995" i="37"/>
  <c r="V996" i="37"/>
  <c r="V997" i="37"/>
  <c r="V998" i="37"/>
  <c r="V999" i="37"/>
  <c r="V1000" i="37"/>
  <c r="V1001" i="37"/>
  <c r="V1002" i="37"/>
  <c r="V1003" i="37"/>
  <c r="V1004" i="37"/>
  <c r="V1005" i="37"/>
  <c r="V1006" i="37"/>
  <c r="V1007" i="37"/>
  <c r="V1008" i="37"/>
  <c r="V1009" i="37"/>
  <c r="V1010" i="37"/>
  <c r="V1011" i="37"/>
  <c r="V1012" i="37"/>
  <c r="V1014" i="37"/>
  <c r="V1015" i="37"/>
  <c r="V1016" i="37"/>
  <c r="V1017" i="37"/>
  <c r="V1018" i="37"/>
  <c r="V1019" i="37"/>
  <c r="V1021" i="37"/>
  <c r="V1022" i="37"/>
  <c r="V1023" i="37"/>
  <c r="V1024" i="37"/>
  <c r="V1025" i="37"/>
  <c r="V1026" i="37"/>
  <c r="V1027" i="37"/>
  <c r="V1028" i="37"/>
  <c r="V1029" i="37"/>
  <c r="V1030" i="37"/>
  <c r="V1031" i="37"/>
  <c r="V1032" i="37"/>
  <c r="V1033" i="37"/>
  <c r="V1034" i="37"/>
  <c r="V1035" i="37"/>
  <c r="V1036" i="37"/>
  <c r="V1037" i="37"/>
  <c r="V1038" i="37"/>
  <c r="V1039" i="37"/>
  <c r="V1040" i="37"/>
  <c r="V1041" i="37"/>
  <c r="V1042" i="37"/>
  <c r="V1043" i="37"/>
  <c r="V1044" i="37"/>
  <c r="V1045" i="37"/>
  <c r="V1046" i="37"/>
  <c r="V1047" i="37"/>
  <c r="V1048" i="37"/>
  <c r="V1049" i="37"/>
  <c r="V1050" i="37"/>
  <c r="V1051" i="37"/>
  <c r="V1052" i="37"/>
  <c r="V1053" i="37"/>
  <c r="V1054" i="37"/>
  <c r="V1055" i="37"/>
  <c r="V1056" i="37"/>
  <c r="V1057" i="37"/>
  <c r="V1058" i="37"/>
  <c r="V1059" i="37"/>
  <c r="V1060" i="37"/>
  <c r="V1061" i="37"/>
  <c r="V1062" i="37"/>
  <c r="V1063" i="37"/>
  <c r="V1064" i="37"/>
  <c r="V1065" i="37"/>
  <c r="V1066" i="37"/>
  <c r="V1067" i="37"/>
  <c r="V1068" i="37"/>
  <c r="V1069" i="37"/>
  <c r="V1070" i="37"/>
  <c r="V1071" i="37"/>
  <c r="V1072" i="37"/>
  <c r="V1073" i="37"/>
  <c r="V1074" i="37"/>
  <c r="V1075" i="37"/>
  <c r="V1076" i="37"/>
  <c r="V1077" i="37"/>
  <c r="V1078" i="37"/>
  <c r="V1079" i="37"/>
  <c r="V1080" i="37"/>
  <c r="V1081" i="37"/>
  <c r="V1082" i="37"/>
  <c r="V1083" i="37"/>
  <c r="V1084" i="37"/>
  <c r="V1085" i="37"/>
  <c r="V1086" i="37"/>
  <c r="V1087" i="37"/>
  <c r="V1088" i="37"/>
  <c r="V1089" i="37"/>
  <c r="V1090" i="37"/>
  <c r="V1091" i="37"/>
  <c r="V1092" i="37"/>
  <c r="V1093" i="37"/>
  <c r="V1094" i="37"/>
  <c r="V1095" i="37"/>
  <c r="V1096" i="37"/>
  <c r="V1097" i="37"/>
  <c r="V1098" i="37"/>
  <c r="V1099" i="37"/>
  <c r="V1100" i="37"/>
  <c r="V1102" i="37"/>
  <c r="V1103" i="37"/>
  <c r="V1104" i="37"/>
  <c r="W1104" i="37" s="1"/>
  <c r="V1105" i="37"/>
  <c r="V1106" i="37"/>
  <c r="V1107" i="37"/>
  <c r="V1108" i="37"/>
  <c r="V1109" i="37"/>
  <c r="V1110" i="37"/>
  <c r="V1111" i="37"/>
  <c r="V1112" i="37"/>
  <c r="W1112" i="37" s="1"/>
  <c r="V1113" i="37"/>
  <c r="V1114" i="37"/>
  <c r="V1115" i="37"/>
  <c r="V1116" i="37"/>
  <c r="V1117" i="37"/>
  <c r="V1118" i="37"/>
  <c r="V1119" i="37"/>
  <c r="V1120" i="37"/>
  <c r="V1121" i="37"/>
  <c r="V1122" i="37"/>
  <c r="V1123" i="37"/>
  <c r="V1124" i="37"/>
  <c r="V1125" i="37"/>
  <c r="V1126" i="37"/>
  <c r="V1128" i="37"/>
  <c r="V1129" i="37"/>
  <c r="V1130" i="37"/>
  <c r="V1131" i="37"/>
  <c r="V1132" i="37"/>
  <c r="V1133" i="37"/>
  <c r="V1134" i="37"/>
  <c r="V1135" i="37"/>
  <c r="V1136" i="37"/>
  <c r="V1138" i="37"/>
  <c r="V1139" i="37"/>
  <c r="V1140" i="37"/>
  <c r="V1141" i="37"/>
  <c r="V1142" i="37"/>
  <c r="V1143" i="37"/>
  <c r="V1144" i="37"/>
  <c r="V1145" i="37"/>
  <c r="V1146" i="37"/>
  <c r="V1148" i="37"/>
  <c r="V1149" i="37"/>
  <c r="V1150" i="37"/>
  <c r="V1151" i="37"/>
  <c r="V1152" i="37"/>
  <c r="V1153" i="37"/>
  <c r="V1154" i="37"/>
  <c r="V1155" i="37"/>
  <c r="V1156" i="37"/>
  <c r="V1157" i="37"/>
  <c r="V1158" i="37"/>
  <c r="V1159" i="37"/>
  <c r="V1160" i="37"/>
  <c r="V1161" i="37"/>
  <c r="V1162" i="37"/>
  <c r="V1163" i="37"/>
  <c r="V1164" i="37"/>
  <c r="V1165" i="37"/>
  <c r="V1166" i="37"/>
  <c r="V1167" i="37"/>
  <c r="V1168" i="37"/>
  <c r="V1169" i="37"/>
  <c r="V1170" i="37"/>
  <c r="V1171" i="37"/>
  <c r="V1172" i="37"/>
  <c r="V1173" i="37"/>
  <c r="V1174" i="37"/>
  <c r="V1175" i="37"/>
  <c r="V1176" i="37"/>
  <c r="V1177" i="37"/>
  <c r="V1178" i="37"/>
  <c r="V1179" i="37"/>
  <c r="V1180" i="37"/>
  <c r="V1181" i="37"/>
  <c r="V1182" i="37"/>
  <c r="V1183" i="37"/>
  <c r="V1184" i="37"/>
  <c r="V1185" i="37"/>
  <c r="V1186" i="37"/>
  <c r="V1187" i="37"/>
  <c r="V1188" i="37"/>
  <c r="V1189" i="37"/>
  <c r="V1190" i="37"/>
  <c r="V1191" i="37"/>
  <c r="V1192" i="37"/>
  <c r="V1193" i="37"/>
  <c r="V1194" i="37"/>
  <c r="V1195" i="37"/>
  <c r="V1196" i="37"/>
  <c r="V1197" i="37"/>
  <c r="V1198" i="37"/>
  <c r="V1199" i="37"/>
  <c r="V1200" i="37"/>
  <c r="V1201" i="37"/>
  <c r="V1202" i="37"/>
  <c r="V1203" i="37"/>
  <c r="V1204" i="37"/>
  <c r="V1205" i="37"/>
  <c r="V1206" i="37"/>
  <c r="V1207" i="37"/>
  <c r="V1208" i="37"/>
  <c r="V1210" i="37"/>
  <c r="V1211" i="37"/>
  <c r="V1212" i="37"/>
  <c r="V1213" i="37"/>
  <c r="V1214" i="37"/>
  <c r="V1215" i="37"/>
  <c r="V1216" i="37"/>
  <c r="V1217" i="37"/>
  <c r="V1218" i="37"/>
  <c r="V1219" i="37"/>
  <c r="V1220" i="37"/>
  <c r="V1221" i="37"/>
  <c r="V1222" i="37"/>
  <c r="V1223" i="37"/>
  <c r="V1224" i="37"/>
  <c r="V1225" i="37"/>
  <c r="V1226" i="37"/>
  <c r="V1227" i="37"/>
  <c r="V1228" i="37"/>
  <c r="V1230" i="37"/>
  <c r="V1231" i="37"/>
  <c r="V1232" i="37"/>
  <c r="V1233" i="37"/>
  <c r="V1234" i="37"/>
  <c r="V1235" i="37"/>
  <c r="V1236" i="37"/>
  <c r="V1237" i="37"/>
  <c r="V1238" i="37"/>
  <c r="V1239" i="37"/>
  <c r="V1240" i="37"/>
  <c r="V1241" i="37"/>
  <c r="V1242" i="37"/>
  <c r="V1243" i="37"/>
  <c r="V1244" i="37"/>
  <c r="V1245" i="37"/>
  <c r="V1246" i="37"/>
  <c r="V1247" i="37"/>
  <c r="V1248" i="37"/>
  <c r="V1249" i="37"/>
  <c r="V1250" i="37"/>
  <c r="V1251" i="37"/>
  <c r="V1252" i="37"/>
  <c r="V1253" i="37"/>
  <c r="V1254" i="37"/>
  <c r="V1255" i="37"/>
  <c r="V1256" i="37"/>
  <c r="V1257" i="37"/>
  <c r="V1258" i="37"/>
  <c r="V1259" i="37"/>
  <c r="V1260" i="37"/>
  <c r="V1261" i="37"/>
  <c r="V1262" i="37"/>
  <c r="V1263" i="37"/>
  <c r="V1264" i="37"/>
  <c r="V1265" i="37"/>
  <c r="V1266" i="37"/>
  <c r="V1267" i="37"/>
  <c r="V1268" i="37"/>
  <c r="V1269" i="37"/>
  <c r="V1270" i="37"/>
  <c r="V1271" i="37"/>
  <c r="V1272" i="37"/>
  <c r="V1273" i="37"/>
  <c r="V1274" i="37"/>
  <c r="V1275" i="37"/>
  <c r="V1276" i="37"/>
  <c r="V1277" i="37"/>
  <c r="V1278" i="37"/>
  <c r="V1279" i="37"/>
  <c r="V1280" i="37"/>
  <c r="V1281" i="37"/>
  <c r="V1282" i="37"/>
  <c r="V1283" i="37"/>
  <c r="V1284" i="37"/>
  <c r="V1285" i="37"/>
  <c r="V1286" i="37"/>
  <c r="V1287" i="37"/>
  <c r="V1288" i="37"/>
  <c r="V1289" i="37"/>
  <c r="V1290" i="37"/>
  <c r="V1291" i="37"/>
  <c r="V1292" i="37"/>
  <c r="V1293" i="37"/>
  <c r="V1294" i="37"/>
  <c r="V1295" i="37"/>
  <c r="V1296" i="37"/>
  <c r="V1297" i="37"/>
  <c r="V1298" i="37"/>
  <c r="V1299" i="37"/>
  <c r="V1300" i="37"/>
  <c r="V1301" i="37"/>
  <c r="V1302" i="37"/>
  <c r="V1303" i="37"/>
  <c r="V1304" i="37"/>
  <c r="V1305" i="37"/>
  <c r="V1306" i="37"/>
  <c r="V1307" i="37"/>
  <c r="V1308" i="37"/>
  <c r="V1309" i="37"/>
  <c r="V1310" i="37"/>
  <c r="V1311" i="37"/>
  <c r="V1312" i="37"/>
  <c r="V1313" i="37"/>
  <c r="V1314" i="37"/>
  <c r="V1315" i="37"/>
  <c r="V1316" i="37"/>
  <c r="V1317" i="37"/>
  <c r="V1318" i="37"/>
  <c r="V1319" i="37"/>
  <c r="V1320" i="37"/>
  <c r="V1321" i="37"/>
  <c r="V1322" i="37"/>
  <c r="V1323" i="37"/>
  <c r="V1324" i="37"/>
  <c r="V1325" i="37"/>
  <c r="V1326" i="37"/>
  <c r="V1327" i="37"/>
  <c r="V1328" i="37"/>
  <c r="V1329" i="37"/>
  <c r="V1330" i="37"/>
  <c r="V1331" i="37"/>
  <c r="V1332" i="37"/>
  <c r="V1333" i="37"/>
  <c r="V1334" i="37"/>
  <c r="V1335" i="37"/>
  <c r="V1336" i="37"/>
  <c r="V1337" i="37"/>
  <c r="V1338" i="37"/>
  <c r="V1339" i="37"/>
  <c r="V1340" i="37"/>
  <c r="V1341" i="37"/>
  <c r="V1342" i="37"/>
  <c r="V1343" i="37"/>
  <c r="V1344" i="37"/>
  <c r="V1345" i="37"/>
  <c r="V1346" i="37"/>
  <c r="V1347" i="37"/>
  <c r="V1348" i="37"/>
  <c r="V1349" i="37"/>
  <c r="V1350" i="37"/>
  <c r="V1351" i="37"/>
  <c r="V1352" i="37"/>
  <c r="V1353" i="37"/>
  <c r="V1354" i="37"/>
  <c r="V1355" i="37"/>
  <c r="V1356" i="37"/>
  <c r="V1357" i="37"/>
  <c r="V1358" i="37"/>
  <c r="V1359" i="37"/>
  <c r="V1360" i="37"/>
  <c r="V1361" i="37"/>
  <c r="V1363" i="37"/>
  <c r="V1364" i="37"/>
  <c r="V1365" i="37"/>
  <c r="V1366" i="37"/>
  <c r="V1367" i="37"/>
  <c r="V1368" i="37"/>
  <c r="V1369" i="37"/>
  <c r="V1371" i="37"/>
  <c r="V1372" i="37"/>
  <c r="V1373" i="37"/>
  <c r="V1374" i="37"/>
  <c r="V1375" i="37"/>
  <c r="V1376" i="37"/>
  <c r="V1377" i="37"/>
  <c r="V1378" i="37"/>
  <c r="V1379" i="37"/>
  <c r="V1380" i="37"/>
  <c r="V1381" i="37"/>
  <c r="V1382" i="37"/>
  <c r="V1383" i="37"/>
  <c r="V1384" i="37"/>
  <c r="V1385" i="37"/>
  <c r="V1386" i="37"/>
  <c r="V1387" i="37"/>
  <c r="V1388" i="37"/>
  <c r="V1389" i="37"/>
  <c r="V1390" i="37"/>
  <c r="V1391" i="37"/>
  <c r="V1392" i="37"/>
  <c r="V1393" i="37"/>
  <c r="V1394" i="37"/>
  <c r="V1395" i="37"/>
  <c r="V1396" i="37"/>
  <c r="V1397" i="37"/>
  <c r="V1398" i="37"/>
  <c r="V1399" i="37"/>
  <c r="V1400" i="37"/>
  <c r="V1401" i="37"/>
  <c r="V1402" i="37"/>
  <c r="V1403" i="37"/>
  <c r="V1404" i="37"/>
  <c r="V1405" i="37"/>
  <c r="V1406" i="37"/>
  <c r="V1407" i="37"/>
  <c r="V1408" i="37"/>
  <c r="V1409" i="37"/>
  <c r="V1410" i="37"/>
  <c r="V1411" i="37"/>
  <c r="V1412" i="37"/>
  <c r="V1413" i="37"/>
  <c r="V1414" i="37"/>
  <c r="V1415" i="37"/>
  <c r="V1416" i="37"/>
  <c r="V1417" i="37"/>
  <c r="V1418" i="37"/>
  <c r="V1419" i="37"/>
  <c r="V1420" i="37"/>
  <c r="V1421" i="37"/>
  <c r="V1422" i="37"/>
  <c r="V1423" i="37"/>
  <c r="V1424" i="37"/>
  <c r="V1425" i="37"/>
  <c r="V1426" i="37"/>
  <c r="V1427" i="37"/>
  <c r="V1428" i="37"/>
  <c r="V1429" i="37"/>
  <c r="V1430" i="37"/>
  <c r="V1431" i="37"/>
  <c r="V1432" i="37"/>
  <c r="V1433" i="37"/>
  <c r="V1434" i="37"/>
  <c r="V1435" i="37"/>
  <c r="V1436" i="37"/>
  <c r="V1437" i="37"/>
  <c r="V1438" i="37"/>
  <c r="V1439" i="37"/>
  <c r="V1440" i="37"/>
  <c r="V1441" i="37"/>
  <c r="V1442" i="37"/>
  <c r="V1443" i="37"/>
  <c r="V1444" i="37"/>
  <c r="V1445" i="37"/>
  <c r="V1446" i="37"/>
  <c r="V1447" i="37"/>
  <c r="V1448" i="37"/>
  <c r="V1449" i="37"/>
  <c r="V1450" i="37"/>
  <c r="V1451" i="37"/>
  <c r="V1452" i="37"/>
  <c r="V1453" i="37"/>
  <c r="V1454" i="37"/>
  <c r="V1455" i="37"/>
  <c r="V1456" i="37"/>
  <c r="V1457" i="37"/>
  <c r="V1458" i="37"/>
  <c r="V1459" i="37"/>
  <c r="V1460" i="37"/>
  <c r="V1461" i="37"/>
  <c r="V1462" i="37"/>
  <c r="V1463" i="37"/>
  <c r="V1464" i="37"/>
  <c r="V1465" i="37"/>
  <c r="V1466" i="37"/>
  <c r="V1467" i="37"/>
  <c r="V1468" i="37"/>
  <c r="V1469" i="37"/>
  <c r="V1470" i="37"/>
  <c r="V1471" i="37"/>
  <c r="V1472" i="37"/>
  <c r="V1473" i="37"/>
  <c r="V1474" i="37"/>
  <c r="V1475" i="37"/>
  <c r="V1476" i="37"/>
  <c r="V1477" i="37"/>
  <c r="V1478" i="37"/>
  <c r="V1479" i="37"/>
  <c r="V1480" i="37"/>
  <c r="V1481" i="37"/>
  <c r="V1482" i="37"/>
  <c r="V1483" i="37"/>
  <c r="V1484" i="37"/>
  <c r="V1485" i="37"/>
  <c r="V1486" i="37"/>
  <c r="V1487" i="37"/>
  <c r="V1488" i="37"/>
  <c r="V1489" i="37"/>
  <c r="V1490" i="37"/>
  <c r="V1491" i="37"/>
  <c r="V1492" i="37"/>
  <c r="W2" i="37"/>
  <c r="W3" i="37"/>
  <c r="W4" i="37"/>
  <c r="W5" i="37"/>
  <c r="W7" i="37"/>
  <c r="W9" i="37"/>
  <c r="W10" i="37"/>
  <c r="W11" i="37"/>
  <c r="W12" i="37"/>
  <c r="X12" i="37" s="1"/>
  <c r="W13" i="37"/>
  <c r="W14" i="37"/>
  <c r="W15" i="37"/>
  <c r="W16" i="37"/>
  <c r="W17" i="37"/>
  <c r="W18" i="37"/>
  <c r="W19" i="37"/>
  <c r="W20" i="37"/>
  <c r="W21" i="37"/>
  <c r="W22" i="37"/>
  <c r="W23" i="37"/>
  <c r="W24" i="37"/>
  <c r="W25" i="37"/>
  <c r="W26" i="37"/>
  <c r="W27" i="37"/>
  <c r="W28" i="37"/>
  <c r="W29" i="37"/>
  <c r="W30" i="37"/>
  <c r="W31" i="37"/>
  <c r="W32" i="37"/>
  <c r="W33" i="37"/>
  <c r="W34" i="37"/>
  <c r="W35" i="37"/>
  <c r="W36" i="37"/>
  <c r="W37" i="37"/>
  <c r="W38" i="37"/>
  <c r="W39" i="37"/>
  <c r="W40" i="37"/>
  <c r="W41" i="37"/>
  <c r="W42" i="37"/>
  <c r="W44" i="37"/>
  <c r="W45" i="37"/>
  <c r="W46" i="37"/>
  <c r="W47" i="37"/>
  <c r="W48" i="37"/>
  <c r="W49" i="37"/>
  <c r="W50" i="37"/>
  <c r="W51" i="37"/>
  <c r="W52" i="37"/>
  <c r="X52" i="37" s="1"/>
  <c r="W53" i="37"/>
  <c r="W54" i="37"/>
  <c r="W55" i="37"/>
  <c r="W56" i="37"/>
  <c r="W57" i="37"/>
  <c r="W59" i="37"/>
  <c r="W61" i="37"/>
  <c r="W62" i="37"/>
  <c r="W63" i="37"/>
  <c r="W65" i="37"/>
  <c r="W66" i="37"/>
  <c r="W67" i="37"/>
  <c r="W68" i="37"/>
  <c r="W69" i="37"/>
  <c r="W70" i="37"/>
  <c r="W71" i="37"/>
  <c r="W73" i="37"/>
  <c r="W74" i="37"/>
  <c r="W75" i="37"/>
  <c r="W76" i="37"/>
  <c r="W77" i="37"/>
  <c r="W78" i="37"/>
  <c r="W79" i="37"/>
  <c r="W80" i="37"/>
  <c r="W81" i="37"/>
  <c r="W82" i="37"/>
  <c r="W83" i="37"/>
  <c r="W84" i="37"/>
  <c r="W85" i="37"/>
  <c r="W86" i="37"/>
  <c r="W87" i="37"/>
  <c r="W89" i="37"/>
  <c r="W90" i="37"/>
  <c r="W91" i="37"/>
  <c r="W92" i="37"/>
  <c r="W93" i="37"/>
  <c r="W94" i="37"/>
  <c r="W95" i="37"/>
  <c r="W96" i="37"/>
  <c r="W97" i="37"/>
  <c r="W98" i="37"/>
  <c r="W99" i="37"/>
  <c r="W100" i="37"/>
  <c r="W101" i="37"/>
  <c r="W102" i="37"/>
  <c r="W103" i="37"/>
  <c r="W104" i="37"/>
  <c r="W105" i="37"/>
  <c r="W106" i="37"/>
  <c r="W107" i="37"/>
  <c r="W108" i="37"/>
  <c r="W109" i="37"/>
  <c r="W110" i="37"/>
  <c r="W112" i="37"/>
  <c r="W113" i="37"/>
  <c r="W114" i="37"/>
  <c r="W115" i="37"/>
  <c r="W116" i="37"/>
  <c r="W117" i="37"/>
  <c r="W118" i="37"/>
  <c r="W119" i="37"/>
  <c r="W120" i="37"/>
  <c r="W121" i="37"/>
  <c r="W122" i="37"/>
  <c r="W123" i="37"/>
  <c r="W124" i="37"/>
  <c r="W125" i="37"/>
  <c r="W126" i="37"/>
  <c r="W127" i="37"/>
  <c r="W128" i="37"/>
  <c r="W129" i="37"/>
  <c r="W130" i="37"/>
  <c r="W131" i="37"/>
  <c r="W132" i="37"/>
  <c r="W133" i="37"/>
  <c r="W134" i="37"/>
  <c r="W135" i="37"/>
  <c r="W136" i="37"/>
  <c r="W137" i="37"/>
  <c r="W138" i="37"/>
  <c r="W139" i="37"/>
  <c r="W140" i="37"/>
  <c r="W141" i="37"/>
  <c r="W143" i="37"/>
  <c r="W144" i="37"/>
  <c r="W145" i="37"/>
  <c r="W146" i="37"/>
  <c r="W147" i="37"/>
  <c r="W148" i="37"/>
  <c r="W149" i="37"/>
  <c r="W150" i="37"/>
  <c r="W151" i="37"/>
  <c r="W152" i="37"/>
  <c r="W153" i="37"/>
  <c r="W154" i="37"/>
  <c r="W155" i="37"/>
  <c r="W156" i="37"/>
  <c r="W157" i="37"/>
  <c r="W158" i="37"/>
  <c r="W159" i="37"/>
  <c r="W160" i="37"/>
  <c r="W161" i="37"/>
  <c r="W162" i="37"/>
  <c r="W163" i="37"/>
  <c r="W165" i="37"/>
  <c r="W166" i="37"/>
  <c r="W167" i="37"/>
  <c r="W168" i="37"/>
  <c r="W169" i="37"/>
  <c r="W170" i="37"/>
  <c r="W171" i="37"/>
  <c r="W172" i="37"/>
  <c r="W173" i="37"/>
  <c r="W174" i="37"/>
  <c r="W175" i="37"/>
  <c r="W176" i="37"/>
  <c r="W177" i="37"/>
  <c r="W178" i="37"/>
  <c r="W179" i="37"/>
  <c r="W180" i="37"/>
  <c r="W181" i="37"/>
  <c r="W182" i="37"/>
  <c r="W183" i="37"/>
  <c r="W184" i="37"/>
  <c r="W185" i="37"/>
  <c r="W186" i="37"/>
  <c r="W187" i="37"/>
  <c r="W188" i="37"/>
  <c r="W189" i="37"/>
  <c r="W190" i="37"/>
  <c r="W192" i="37"/>
  <c r="W193" i="37"/>
  <c r="W194" i="37"/>
  <c r="W195" i="37"/>
  <c r="W196" i="37"/>
  <c r="W197" i="37"/>
  <c r="W198" i="37"/>
  <c r="W200" i="37"/>
  <c r="W201" i="37"/>
  <c r="W202" i="37"/>
  <c r="W203" i="37"/>
  <c r="W204" i="37"/>
  <c r="W205" i="37"/>
  <c r="W206" i="37"/>
  <c r="Y206" i="37" s="1"/>
  <c r="W207" i="37"/>
  <c r="W208" i="37"/>
  <c r="W210" i="37"/>
  <c r="W211" i="37"/>
  <c r="W212" i="37"/>
  <c r="W213" i="37"/>
  <c r="W214" i="37"/>
  <c r="W215" i="37"/>
  <c r="W216" i="37"/>
  <c r="W217" i="37"/>
  <c r="W218" i="37"/>
  <c r="W219" i="37"/>
  <c r="W220" i="37"/>
  <c r="W221" i="37"/>
  <c r="W222" i="37"/>
  <c r="W223" i="37"/>
  <c r="W224" i="37"/>
  <c r="W225" i="37"/>
  <c r="W226" i="37"/>
  <c r="W227" i="37"/>
  <c r="W228" i="37"/>
  <c r="W229" i="37"/>
  <c r="W230" i="37"/>
  <c r="W231" i="37"/>
  <c r="W232" i="37"/>
  <c r="W233" i="37"/>
  <c r="W234" i="37"/>
  <c r="W235" i="37"/>
  <c r="W236" i="37"/>
  <c r="W237" i="37"/>
  <c r="W238" i="37"/>
  <c r="W239" i="37"/>
  <c r="W240" i="37"/>
  <c r="W241" i="37"/>
  <c r="W242" i="37"/>
  <c r="W243" i="37"/>
  <c r="W245" i="37"/>
  <c r="W246" i="37"/>
  <c r="W248" i="37"/>
  <c r="W249" i="37"/>
  <c r="W250" i="37"/>
  <c r="Y250" i="37" s="1"/>
  <c r="W251" i="37"/>
  <c r="W252" i="37"/>
  <c r="W253" i="37"/>
  <c r="W254" i="37"/>
  <c r="W255" i="37"/>
  <c r="W256" i="37"/>
  <c r="W257" i="37"/>
  <c r="W259" i="37"/>
  <c r="W260" i="37"/>
  <c r="W261" i="37"/>
  <c r="W262" i="37"/>
  <c r="W263" i="37"/>
  <c r="W264" i="37"/>
  <c r="W265" i="37"/>
  <c r="X265" i="37" s="1"/>
  <c r="W266" i="37"/>
  <c r="W267" i="37"/>
  <c r="W268" i="37"/>
  <c r="W269" i="37"/>
  <c r="W270" i="37"/>
  <c r="W271" i="37"/>
  <c r="W272" i="37"/>
  <c r="W273" i="37"/>
  <c r="W275" i="37"/>
  <c r="W276" i="37"/>
  <c r="W277" i="37"/>
  <c r="W278" i="37"/>
  <c r="W279" i="37"/>
  <c r="W280" i="37"/>
  <c r="W281" i="37"/>
  <c r="W282" i="37"/>
  <c r="W283" i="37"/>
  <c r="W284" i="37"/>
  <c r="W285" i="37"/>
  <c r="W286" i="37"/>
  <c r="W287" i="37"/>
  <c r="W288" i="37"/>
  <c r="W289" i="37"/>
  <c r="W290" i="37"/>
  <c r="W291" i="37"/>
  <c r="W292" i="37"/>
  <c r="W293" i="37"/>
  <c r="W294" i="37"/>
  <c r="W295" i="37"/>
  <c r="W296" i="37"/>
  <c r="W298" i="37"/>
  <c r="W299" i="37"/>
  <c r="W300" i="37"/>
  <c r="W301" i="37"/>
  <c r="W302" i="37"/>
  <c r="W303" i="37"/>
  <c r="W304" i="37"/>
  <c r="W305" i="37"/>
  <c r="W307" i="37"/>
  <c r="W308" i="37"/>
  <c r="W309" i="37"/>
  <c r="W310" i="37"/>
  <c r="W311" i="37"/>
  <c r="W312" i="37"/>
  <c r="W313" i="37"/>
  <c r="W314" i="37"/>
  <c r="W315" i="37"/>
  <c r="W316" i="37"/>
  <c r="W317" i="37"/>
  <c r="W318" i="37"/>
  <c r="W319" i="37"/>
  <c r="W320" i="37"/>
  <c r="W321" i="37"/>
  <c r="W322" i="37"/>
  <c r="W323" i="37"/>
  <c r="X323" i="37" s="1"/>
  <c r="W324" i="37"/>
  <c r="W325" i="37"/>
  <c r="W326" i="37"/>
  <c r="W327" i="37"/>
  <c r="W328" i="37"/>
  <c r="W329" i="37"/>
  <c r="W330" i="37"/>
  <c r="W331" i="37"/>
  <c r="W332" i="37"/>
  <c r="W333" i="37"/>
  <c r="W334" i="37"/>
  <c r="W336" i="37"/>
  <c r="W337" i="37"/>
  <c r="W338" i="37"/>
  <c r="W339" i="37"/>
  <c r="W340" i="37"/>
  <c r="W341" i="37"/>
  <c r="W342" i="37"/>
  <c r="W343" i="37"/>
  <c r="W344" i="37"/>
  <c r="W345" i="37"/>
  <c r="W346" i="37"/>
  <c r="W347" i="37"/>
  <c r="W348" i="37"/>
  <c r="W349" i="37"/>
  <c r="W350" i="37"/>
  <c r="W351" i="37"/>
  <c r="W352" i="37"/>
  <c r="W353" i="37"/>
  <c r="W354" i="37"/>
  <c r="W355" i="37"/>
  <c r="W356" i="37"/>
  <c r="W357" i="37"/>
  <c r="W358" i="37"/>
  <c r="W359" i="37"/>
  <c r="W360" i="37"/>
  <c r="W361" i="37"/>
  <c r="W362" i="37"/>
  <c r="W363" i="37"/>
  <c r="W364" i="37"/>
  <c r="W365" i="37"/>
  <c r="W366" i="37"/>
  <c r="W367" i="37"/>
  <c r="W368" i="37"/>
  <c r="W370" i="37"/>
  <c r="W371" i="37"/>
  <c r="W372" i="37"/>
  <c r="W373" i="37"/>
  <c r="W374" i="37"/>
  <c r="W375" i="37"/>
  <c r="W376" i="37"/>
  <c r="W377" i="37"/>
  <c r="W378" i="37"/>
  <c r="W379" i="37"/>
  <c r="W380" i="37"/>
  <c r="W381" i="37"/>
  <c r="W382" i="37"/>
  <c r="W383" i="37"/>
  <c r="W384" i="37"/>
  <c r="W385" i="37"/>
  <c r="W386" i="37"/>
  <c r="W387" i="37"/>
  <c r="W388" i="37"/>
  <c r="W389" i="37"/>
  <c r="X389" i="37" s="1"/>
  <c r="W390" i="37"/>
  <c r="W391" i="37"/>
  <c r="W392" i="37"/>
  <c r="W393" i="37"/>
  <c r="W394" i="37"/>
  <c r="W395" i="37"/>
  <c r="W396" i="37"/>
  <c r="W397" i="37"/>
  <c r="W398" i="37"/>
  <c r="W399" i="37"/>
  <c r="W400" i="37"/>
  <c r="W401" i="37"/>
  <c r="W402" i="37"/>
  <c r="W403" i="37"/>
  <c r="W404" i="37"/>
  <c r="W405" i="37"/>
  <c r="W406" i="37"/>
  <c r="W407" i="37"/>
  <c r="W408" i="37"/>
  <c r="W409" i="37"/>
  <c r="W410" i="37"/>
  <c r="W412" i="37"/>
  <c r="W413" i="37"/>
  <c r="W414" i="37"/>
  <c r="W415" i="37"/>
  <c r="W416" i="37"/>
  <c r="W417" i="37"/>
  <c r="W418" i="37"/>
  <c r="W419" i="37"/>
  <c r="W420" i="37"/>
  <c r="W421" i="37"/>
  <c r="W422" i="37"/>
  <c r="W423" i="37"/>
  <c r="W424" i="37"/>
  <c r="W425" i="37"/>
  <c r="W426" i="37"/>
  <c r="W427" i="37"/>
  <c r="W428" i="37"/>
  <c r="W429" i="37"/>
  <c r="W430" i="37"/>
  <c r="W431" i="37"/>
  <c r="W432" i="37"/>
  <c r="W433" i="37"/>
  <c r="W434" i="37"/>
  <c r="W435" i="37"/>
  <c r="W436" i="37"/>
  <c r="W437" i="37"/>
  <c r="W439" i="37"/>
  <c r="W441" i="37"/>
  <c r="W442" i="37"/>
  <c r="W443" i="37"/>
  <c r="W444" i="37"/>
  <c r="W445" i="37"/>
  <c r="W446" i="37"/>
  <c r="W447" i="37"/>
  <c r="W448" i="37"/>
  <c r="W449" i="37"/>
  <c r="W450" i="37"/>
  <c r="W451" i="37"/>
  <c r="W452" i="37"/>
  <c r="W453" i="37"/>
  <c r="W454" i="37"/>
  <c r="W455" i="37"/>
  <c r="W456" i="37"/>
  <c r="W457" i="37"/>
  <c r="W458" i="37"/>
  <c r="W461" i="37"/>
  <c r="W462" i="37"/>
  <c r="W463" i="37"/>
  <c r="W464" i="37"/>
  <c r="W465" i="37"/>
  <c r="W466" i="37"/>
  <c r="W467" i="37"/>
  <c r="W468" i="37"/>
  <c r="W469" i="37"/>
  <c r="W470" i="37"/>
  <c r="W471" i="37"/>
  <c r="W472" i="37"/>
  <c r="W474" i="37"/>
  <c r="W475" i="37"/>
  <c r="W476" i="37"/>
  <c r="W477" i="37"/>
  <c r="W478" i="37"/>
  <c r="W480" i="37"/>
  <c r="W481" i="37"/>
  <c r="W482" i="37"/>
  <c r="W483" i="37"/>
  <c r="W484" i="37"/>
  <c r="W485" i="37"/>
  <c r="W486" i="37"/>
  <c r="W487" i="37"/>
  <c r="W488" i="37"/>
  <c r="W489" i="37"/>
  <c r="W490" i="37"/>
  <c r="W491" i="37"/>
  <c r="W492" i="37"/>
  <c r="W493" i="37"/>
  <c r="W494" i="37"/>
  <c r="W495" i="37"/>
  <c r="W496" i="37"/>
  <c r="W497" i="37"/>
  <c r="W498" i="37"/>
  <c r="W499" i="37"/>
  <c r="W500" i="37"/>
  <c r="W501" i="37"/>
  <c r="W502" i="37"/>
  <c r="W503" i="37"/>
  <c r="W504" i="37"/>
  <c r="W505" i="37"/>
  <c r="W506" i="37"/>
  <c r="W507" i="37"/>
  <c r="W508" i="37"/>
  <c r="W509" i="37"/>
  <c r="W510" i="37"/>
  <c r="W511" i="37"/>
  <c r="W512" i="37"/>
  <c r="W513" i="37"/>
  <c r="W514" i="37"/>
  <c r="W515" i="37"/>
  <c r="W516" i="37"/>
  <c r="W517" i="37"/>
  <c r="W518" i="37"/>
  <c r="W519" i="37"/>
  <c r="W520" i="37"/>
  <c r="W521" i="37"/>
  <c r="W522" i="37"/>
  <c r="W523" i="37"/>
  <c r="W524" i="37"/>
  <c r="W525" i="37"/>
  <c r="W526" i="37"/>
  <c r="W527" i="37"/>
  <c r="W528" i="37"/>
  <c r="W529" i="37"/>
  <c r="W530" i="37"/>
  <c r="W531" i="37"/>
  <c r="W532" i="37"/>
  <c r="W533" i="37"/>
  <c r="W534" i="37"/>
  <c r="W535" i="37"/>
  <c r="W536" i="37"/>
  <c r="W537" i="37"/>
  <c r="W538" i="37"/>
  <c r="W539" i="37"/>
  <c r="W540" i="37"/>
  <c r="W541" i="37"/>
  <c r="W542" i="37"/>
  <c r="W543" i="37"/>
  <c r="W544" i="37"/>
  <c r="W545" i="37"/>
  <c r="W546" i="37"/>
  <c r="W547" i="37"/>
  <c r="W548" i="37"/>
  <c r="W549" i="37"/>
  <c r="W550" i="37"/>
  <c r="W551" i="37"/>
  <c r="W552" i="37"/>
  <c r="W553" i="37"/>
  <c r="W554" i="37"/>
  <c r="W555" i="37"/>
  <c r="W556" i="37"/>
  <c r="W557" i="37"/>
  <c r="W558" i="37"/>
  <c r="W559" i="37"/>
  <c r="W560" i="37"/>
  <c r="W561" i="37"/>
  <c r="W562" i="37"/>
  <c r="W563" i="37"/>
  <c r="W564" i="37"/>
  <c r="W566" i="37"/>
  <c r="W567" i="37"/>
  <c r="W568" i="37"/>
  <c r="W570" i="37"/>
  <c r="W571" i="37"/>
  <c r="W573" i="37"/>
  <c r="W574" i="37"/>
  <c r="W576" i="37"/>
  <c r="W577" i="37"/>
  <c r="W578" i="37"/>
  <c r="W579" i="37"/>
  <c r="W580" i="37"/>
  <c r="W581" i="37"/>
  <c r="W582" i="37"/>
  <c r="W583" i="37"/>
  <c r="W584" i="37"/>
  <c r="W585" i="37"/>
  <c r="W586" i="37"/>
  <c r="W587" i="37"/>
  <c r="W588" i="37"/>
  <c r="W589" i="37"/>
  <c r="W590" i="37"/>
  <c r="W591" i="37"/>
  <c r="W592" i="37"/>
  <c r="W593" i="37"/>
  <c r="W594" i="37"/>
  <c r="W595" i="37"/>
  <c r="W596" i="37"/>
  <c r="W597" i="37"/>
  <c r="W598" i="37"/>
  <c r="W599" i="37"/>
  <c r="W600" i="37"/>
  <c r="W601" i="37"/>
  <c r="W602" i="37"/>
  <c r="W603" i="37"/>
  <c r="W604" i="37"/>
  <c r="W605" i="37"/>
  <c r="W606" i="37"/>
  <c r="W607" i="37"/>
  <c r="W608" i="37"/>
  <c r="W610" i="37"/>
  <c r="W611" i="37"/>
  <c r="W612" i="37"/>
  <c r="W613" i="37"/>
  <c r="W614" i="37"/>
  <c r="W615" i="37"/>
  <c r="W616" i="37"/>
  <c r="W617" i="37"/>
  <c r="W618" i="37"/>
  <c r="W619" i="37"/>
  <c r="W620" i="37"/>
  <c r="W621" i="37"/>
  <c r="W622" i="37"/>
  <c r="W623" i="37"/>
  <c r="W624" i="37"/>
  <c r="W625" i="37"/>
  <c r="W626" i="37"/>
  <c r="W627" i="37"/>
  <c r="W628" i="37"/>
  <c r="W629" i="37"/>
  <c r="W630" i="37"/>
  <c r="W631" i="37"/>
  <c r="W632" i="37"/>
  <c r="W633" i="37"/>
  <c r="W634" i="37"/>
  <c r="W635" i="37"/>
  <c r="W636" i="37"/>
  <c r="W637" i="37"/>
  <c r="W638" i="37"/>
  <c r="W639" i="37"/>
  <c r="W640" i="37"/>
  <c r="W641" i="37"/>
  <c r="W642" i="37"/>
  <c r="W643" i="37"/>
  <c r="W644" i="37"/>
  <c r="W645" i="37"/>
  <c r="W646" i="37"/>
  <c r="W647" i="37"/>
  <c r="W648" i="37"/>
  <c r="W649" i="37"/>
  <c r="W650" i="37"/>
  <c r="W651" i="37"/>
  <c r="W652" i="37"/>
  <c r="W653" i="37"/>
  <c r="W654" i="37"/>
  <c r="W655" i="37"/>
  <c r="W656" i="37"/>
  <c r="W657" i="37"/>
  <c r="W658" i="37"/>
  <c r="W659" i="37"/>
  <c r="W660" i="37"/>
  <c r="W661" i="37"/>
  <c r="W662" i="37"/>
  <c r="W663" i="37"/>
  <c r="W664" i="37"/>
  <c r="W665" i="37"/>
  <c r="W666" i="37"/>
  <c r="W667" i="37"/>
  <c r="W668" i="37"/>
  <c r="W669" i="37"/>
  <c r="W670" i="37"/>
  <c r="W671" i="37"/>
  <c r="W672" i="37"/>
  <c r="W673" i="37"/>
  <c r="W674" i="37"/>
  <c r="W675" i="37"/>
  <c r="W676" i="37"/>
  <c r="W677" i="37"/>
  <c r="W678" i="37"/>
  <c r="W679" i="37"/>
  <c r="W680" i="37"/>
  <c r="W681" i="37"/>
  <c r="W682" i="37"/>
  <c r="W683" i="37"/>
  <c r="W684" i="37"/>
  <c r="W685" i="37"/>
  <c r="W686" i="37"/>
  <c r="W687" i="37"/>
  <c r="W688" i="37"/>
  <c r="W689" i="37"/>
  <c r="W690" i="37"/>
  <c r="W691" i="37"/>
  <c r="W692" i="37"/>
  <c r="W693" i="37"/>
  <c r="W694" i="37"/>
  <c r="W695" i="37"/>
  <c r="W696" i="37"/>
  <c r="W697" i="37"/>
  <c r="W698" i="37"/>
  <c r="W699" i="37"/>
  <c r="W700" i="37"/>
  <c r="W701" i="37"/>
  <c r="W702" i="37"/>
  <c r="W703" i="37"/>
  <c r="W704" i="37"/>
  <c r="W705" i="37"/>
  <c r="W706" i="37"/>
  <c r="W707" i="37"/>
  <c r="W708" i="37"/>
  <c r="W709" i="37"/>
  <c r="W710" i="37"/>
  <c r="W711" i="37"/>
  <c r="W712" i="37"/>
  <c r="W713" i="37"/>
  <c r="W714" i="37"/>
  <c r="W715" i="37"/>
  <c r="W716" i="37"/>
  <c r="W717" i="37"/>
  <c r="W718" i="37"/>
  <c r="W719" i="37"/>
  <c r="W720" i="37"/>
  <c r="W721" i="37"/>
  <c r="W722" i="37"/>
  <c r="W723" i="37"/>
  <c r="W724" i="37"/>
  <c r="W725" i="37"/>
  <c r="W726" i="37"/>
  <c r="W727" i="37"/>
  <c r="W728" i="37"/>
  <c r="W729" i="37"/>
  <c r="W730" i="37"/>
  <c r="W731" i="37"/>
  <c r="W732" i="37"/>
  <c r="W733" i="37"/>
  <c r="W734" i="37"/>
  <c r="W735" i="37"/>
  <c r="W736" i="37"/>
  <c r="W737" i="37"/>
  <c r="W738" i="37"/>
  <c r="W739" i="37"/>
  <c r="W740" i="37"/>
  <c r="W741" i="37"/>
  <c r="W742" i="37"/>
  <c r="W743" i="37"/>
  <c r="W744" i="37"/>
  <c r="W745" i="37"/>
  <c r="W746" i="37"/>
  <c r="W747" i="37"/>
  <c r="W748" i="37"/>
  <c r="W749" i="37"/>
  <c r="W750" i="37"/>
  <c r="W751" i="37"/>
  <c r="W752" i="37"/>
  <c r="W753" i="37"/>
  <c r="W754" i="37"/>
  <c r="W755" i="37"/>
  <c r="W756" i="37"/>
  <c r="W757" i="37"/>
  <c r="W758" i="37"/>
  <c r="W759" i="37"/>
  <c r="W760" i="37"/>
  <c r="W761" i="37"/>
  <c r="W762" i="37"/>
  <c r="W763" i="37"/>
  <c r="W764" i="37"/>
  <c r="W765" i="37"/>
  <c r="W766" i="37"/>
  <c r="W767" i="37"/>
  <c r="X767" i="37" s="1"/>
  <c r="W768" i="37"/>
  <c r="W769" i="37"/>
  <c r="W770" i="37"/>
  <c r="W771" i="37"/>
  <c r="W772" i="37"/>
  <c r="W773" i="37"/>
  <c r="W774" i="37"/>
  <c r="W775" i="37"/>
  <c r="W776" i="37"/>
  <c r="W777" i="37"/>
  <c r="W778" i="37"/>
  <c r="W779" i="37"/>
  <c r="W780" i="37"/>
  <c r="W781" i="37"/>
  <c r="W782" i="37"/>
  <c r="W783" i="37"/>
  <c r="W784" i="37"/>
  <c r="W785" i="37"/>
  <c r="W786" i="37"/>
  <c r="W787" i="37"/>
  <c r="W788" i="37"/>
  <c r="W789" i="37"/>
  <c r="W790" i="37"/>
  <c r="W791" i="37"/>
  <c r="X791" i="37" s="1"/>
  <c r="W792" i="37"/>
  <c r="W793" i="37"/>
  <c r="W794" i="37"/>
  <c r="W795" i="37"/>
  <c r="W796" i="37"/>
  <c r="W797" i="37"/>
  <c r="W798" i="37"/>
  <c r="W800" i="37"/>
  <c r="W801" i="37"/>
  <c r="W802" i="37"/>
  <c r="W803" i="37"/>
  <c r="W804" i="37"/>
  <c r="W805" i="37"/>
  <c r="W806" i="37"/>
  <c r="W807" i="37"/>
  <c r="W808" i="37"/>
  <c r="W809" i="37"/>
  <c r="W810" i="37"/>
  <c r="W811" i="37"/>
  <c r="W812" i="37"/>
  <c r="W813" i="37"/>
  <c r="W814" i="37"/>
  <c r="W815" i="37"/>
  <c r="W816" i="37"/>
  <c r="W817" i="37"/>
  <c r="W818" i="37"/>
  <c r="W819" i="37"/>
  <c r="W820" i="37"/>
  <c r="W821" i="37"/>
  <c r="W822" i="37"/>
  <c r="W823" i="37"/>
  <c r="W824" i="37"/>
  <c r="W825" i="37"/>
  <c r="W826" i="37"/>
  <c r="W827" i="37"/>
  <c r="W828" i="37"/>
  <c r="W829" i="37"/>
  <c r="W830" i="37"/>
  <c r="W831" i="37"/>
  <c r="W832" i="37"/>
  <c r="W833" i="37"/>
  <c r="W834" i="37"/>
  <c r="W835" i="37"/>
  <c r="W836" i="37"/>
  <c r="W837" i="37"/>
  <c r="W838" i="37"/>
  <c r="W839" i="37"/>
  <c r="W840" i="37"/>
  <c r="Y840" i="37" s="1"/>
  <c r="W843" i="37"/>
  <c r="W844" i="37"/>
  <c r="W845" i="37"/>
  <c r="W846" i="37"/>
  <c r="W848" i="37"/>
  <c r="W849" i="37"/>
  <c r="W850" i="37"/>
  <c r="W851" i="37"/>
  <c r="W852" i="37"/>
  <c r="W853" i="37"/>
  <c r="W854" i="37"/>
  <c r="W855" i="37"/>
  <c r="W856" i="37"/>
  <c r="W857" i="37"/>
  <c r="W858" i="37"/>
  <c r="Y858" i="37" s="1"/>
  <c r="W859" i="37"/>
  <c r="W860" i="37"/>
  <c r="W861" i="37"/>
  <c r="W862" i="37"/>
  <c r="W863" i="37"/>
  <c r="W864" i="37"/>
  <c r="W866" i="37"/>
  <c r="W867" i="37"/>
  <c r="W868" i="37"/>
  <c r="W869" i="37"/>
  <c r="W870" i="37"/>
  <c r="W871" i="37"/>
  <c r="W872" i="37"/>
  <c r="W873" i="37"/>
  <c r="W874" i="37"/>
  <c r="W876" i="37"/>
  <c r="W877" i="37"/>
  <c r="W878" i="37"/>
  <c r="W879" i="37"/>
  <c r="W880" i="37"/>
  <c r="W881" i="37"/>
  <c r="W882" i="37"/>
  <c r="W883" i="37"/>
  <c r="W884" i="37"/>
  <c r="W885" i="37"/>
  <c r="W886" i="37"/>
  <c r="W887" i="37"/>
  <c r="W888" i="37"/>
  <c r="W889" i="37"/>
  <c r="W890" i="37"/>
  <c r="W891" i="37"/>
  <c r="W892" i="37"/>
  <c r="W893" i="37"/>
  <c r="W894" i="37"/>
  <c r="W895" i="37"/>
  <c r="W896" i="37"/>
  <c r="W897" i="37"/>
  <c r="W898" i="37"/>
  <c r="W899" i="37"/>
  <c r="W900" i="37"/>
  <c r="W901" i="37"/>
  <c r="W902" i="37"/>
  <c r="W903" i="37"/>
  <c r="W904" i="37"/>
  <c r="W905" i="37"/>
  <c r="W906" i="37"/>
  <c r="W907" i="37"/>
  <c r="W908" i="37"/>
  <c r="Y908" i="37" s="1"/>
  <c r="W909" i="37"/>
  <c r="W910" i="37"/>
  <c r="W911" i="37"/>
  <c r="W912" i="37"/>
  <c r="W913" i="37"/>
  <c r="W914" i="37"/>
  <c r="W915" i="37"/>
  <c r="W916" i="37"/>
  <c r="W917" i="37"/>
  <c r="W918" i="37"/>
  <c r="W919" i="37"/>
  <c r="W920" i="37"/>
  <c r="W921" i="37"/>
  <c r="W923" i="37"/>
  <c r="W924" i="37"/>
  <c r="W925" i="37"/>
  <c r="W926" i="37"/>
  <c r="W927" i="37"/>
  <c r="W928" i="37"/>
  <c r="W929" i="37"/>
  <c r="W930" i="37"/>
  <c r="W931" i="37"/>
  <c r="W932" i="37"/>
  <c r="X932" i="37" s="1"/>
  <c r="W933" i="37"/>
  <c r="W934" i="37"/>
  <c r="W935" i="37"/>
  <c r="W936" i="37"/>
  <c r="W937" i="37"/>
  <c r="W938" i="37"/>
  <c r="W939" i="37"/>
  <c r="W940" i="37"/>
  <c r="W941" i="37"/>
  <c r="W942" i="37"/>
  <c r="W943" i="37"/>
  <c r="W944" i="37"/>
  <c r="W945" i="37"/>
  <c r="W946" i="37"/>
  <c r="W947" i="37"/>
  <c r="W948" i="37"/>
  <c r="Y948" i="37" s="1"/>
  <c r="W949" i="37"/>
  <c r="W950" i="37"/>
  <c r="W951" i="37"/>
  <c r="W952" i="37"/>
  <c r="W953" i="37"/>
  <c r="W954" i="37"/>
  <c r="W955" i="37"/>
  <c r="W956" i="37"/>
  <c r="W957" i="37"/>
  <c r="W958" i="37"/>
  <c r="W959" i="37"/>
  <c r="W960" i="37"/>
  <c r="W961" i="37"/>
  <c r="W962" i="37"/>
  <c r="W964" i="37"/>
  <c r="W965" i="37"/>
  <c r="W966" i="37"/>
  <c r="W967" i="37"/>
  <c r="W968" i="37"/>
  <c r="W969" i="37"/>
  <c r="W970" i="37"/>
  <c r="W971" i="37"/>
  <c r="W972" i="37"/>
  <c r="W973" i="37"/>
  <c r="W974" i="37"/>
  <c r="W975" i="37"/>
  <c r="W976" i="37"/>
  <c r="W977" i="37"/>
  <c r="W978" i="37"/>
  <c r="W980" i="37"/>
  <c r="W981" i="37"/>
  <c r="W982" i="37"/>
  <c r="W983" i="37"/>
  <c r="W984" i="37"/>
  <c r="W985" i="37"/>
  <c r="W986" i="37"/>
  <c r="W987" i="37"/>
  <c r="W988" i="37"/>
  <c r="W990" i="37"/>
  <c r="W991" i="37"/>
  <c r="W992" i="37"/>
  <c r="W993" i="37"/>
  <c r="W994" i="37"/>
  <c r="W995" i="37"/>
  <c r="W996" i="37"/>
  <c r="W998" i="37"/>
  <c r="W1000" i="37"/>
  <c r="W1001" i="37"/>
  <c r="W1002" i="37"/>
  <c r="W1003" i="37"/>
  <c r="W1004" i="37"/>
  <c r="W1005" i="37"/>
  <c r="W1006" i="37"/>
  <c r="W1007" i="37"/>
  <c r="W1008" i="37"/>
  <c r="W1009" i="37"/>
  <c r="W1010" i="37"/>
  <c r="W1011" i="37"/>
  <c r="W1012" i="37"/>
  <c r="W1013" i="37"/>
  <c r="W1014" i="37"/>
  <c r="W1015" i="37"/>
  <c r="W1016" i="37"/>
  <c r="W1017" i="37"/>
  <c r="W1018" i="37"/>
  <c r="W1019" i="37"/>
  <c r="W1020" i="37"/>
  <c r="W1021" i="37"/>
  <c r="W1022" i="37"/>
  <c r="W1023" i="37"/>
  <c r="W1024" i="37"/>
  <c r="W1025" i="37"/>
  <c r="W1026" i="37"/>
  <c r="W1027" i="37"/>
  <c r="W1028" i="37"/>
  <c r="W1029" i="37"/>
  <c r="W1030" i="37"/>
  <c r="W1031" i="37"/>
  <c r="W1032" i="37"/>
  <c r="W1033" i="37"/>
  <c r="W1034" i="37"/>
  <c r="W1035" i="37"/>
  <c r="W1036" i="37"/>
  <c r="W1037" i="37"/>
  <c r="W1038" i="37"/>
  <c r="W1039" i="37"/>
  <c r="W1040" i="37"/>
  <c r="W1041" i="37"/>
  <c r="W1042" i="37"/>
  <c r="W1043" i="37"/>
  <c r="W1044" i="37"/>
  <c r="W1045" i="37"/>
  <c r="W1046" i="37"/>
  <c r="W1047" i="37"/>
  <c r="W1048" i="37"/>
  <c r="W1049" i="37"/>
  <c r="W1050" i="37"/>
  <c r="W1051" i="37"/>
  <c r="W1052" i="37"/>
  <c r="W1053" i="37"/>
  <c r="W1054" i="37"/>
  <c r="W1055" i="37"/>
  <c r="W1056" i="37"/>
  <c r="W1057" i="37"/>
  <c r="W1058" i="37"/>
  <c r="W1059" i="37"/>
  <c r="W1060" i="37"/>
  <c r="W1061" i="37"/>
  <c r="W1062" i="37"/>
  <c r="W1063" i="37"/>
  <c r="W1064" i="37"/>
  <c r="X1064" i="37" s="1"/>
  <c r="W1065" i="37"/>
  <c r="W1066" i="37"/>
  <c r="W1067" i="37"/>
  <c r="W1068" i="37"/>
  <c r="W1069" i="37"/>
  <c r="W1070" i="37"/>
  <c r="W1071" i="37"/>
  <c r="W1072" i="37"/>
  <c r="W1073" i="37"/>
  <c r="W1074" i="37"/>
  <c r="W1075" i="37"/>
  <c r="W1076" i="37"/>
  <c r="W1077" i="37"/>
  <c r="W1078" i="37"/>
  <c r="W1079" i="37"/>
  <c r="W1080" i="37"/>
  <c r="W1081" i="37"/>
  <c r="W1082" i="37"/>
  <c r="W1083" i="37"/>
  <c r="W1084" i="37"/>
  <c r="W1085" i="37"/>
  <c r="W1086" i="37"/>
  <c r="W1087" i="37"/>
  <c r="W1088" i="37"/>
  <c r="W1089" i="37"/>
  <c r="W1090" i="37"/>
  <c r="W1091" i="37"/>
  <c r="W1092" i="37"/>
  <c r="W1093" i="37"/>
  <c r="W1094" i="37"/>
  <c r="W1095" i="37"/>
  <c r="W1096" i="37"/>
  <c r="W1097" i="37"/>
  <c r="W1098" i="37"/>
  <c r="W1099" i="37"/>
  <c r="W1101" i="37"/>
  <c r="W1102" i="37"/>
  <c r="W1103" i="37"/>
  <c r="W1105" i="37"/>
  <c r="W1106" i="37"/>
  <c r="W1107" i="37"/>
  <c r="W1108" i="37"/>
  <c r="W1109" i="37"/>
  <c r="W1110" i="37"/>
  <c r="W1111" i="37"/>
  <c r="W1113" i="37"/>
  <c r="W1114" i="37"/>
  <c r="W1115" i="37"/>
  <c r="W1116" i="37"/>
  <c r="W1117" i="37"/>
  <c r="W1118" i="37"/>
  <c r="W1119" i="37"/>
  <c r="W1120" i="37"/>
  <c r="W1121" i="37"/>
  <c r="W1122" i="37"/>
  <c r="W1123" i="37"/>
  <c r="W1124" i="37"/>
  <c r="W1125" i="37"/>
  <c r="W1126" i="37"/>
  <c r="W1127" i="37"/>
  <c r="W1128" i="37"/>
  <c r="W1129" i="37"/>
  <c r="W1130" i="37"/>
  <c r="W1131" i="37"/>
  <c r="W1132" i="37"/>
  <c r="W1133" i="37"/>
  <c r="W1134" i="37"/>
  <c r="W1135" i="37"/>
  <c r="W1136" i="37"/>
  <c r="W1137" i="37"/>
  <c r="W1138" i="37"/>
  <c r="W1139" i="37"/>
  <c r="W1140" i="37"/>
  <c r="W1141" i="37"/>
  <c r="W1142" i="37"/>
  <c r="W1143" i="37"/>
  <c r="W1144" i="37"/>
  <c r="W1145" i="37"/>
  <c r="W1146" i="37"/>
  <c r="W1147" i="37"/>
  <c r="W1148" i="37"/>
  <c r="W1149" i="37"/>
  <c r="W1150" i="37"/>
  <c r="W1151" i="37"/>
  <c r="W1152" i="37"/>
  <c r="W1153" i="37"/>
  <c r="W1154" i="37"/>
  <c r="W1155" i="37"/>
  <c r="W1156" i="37"/>
  <c r="W1157" i="37"/>
  <c r="W1158" i="37"/>
  <c r="W1159" i="37"/>
  <c r="W1160" i="37"/>
  <c r="W1161" i="37"/>
  <c r="W1162" i="37"/>
  <c r="W1163" i="37"/>
  <c r="W1164" i="37"/>
  <c r="W1165" i="37"/>
  <c r="W1166" i="37"/>
  <c r="W1167" i="37"/>
  <c r="W1168" i="37"/>
  <c r="W1169" i="37"/>
  <c r="W1170" i="37"/>
  <c r="W1171" i="37"/>
  <c r="W1172" i="37"/>
  <c r="W1173" i="37"/>
  <c r="W1174" i="37"/>
  <c r="W1175" i="37"/>
  <c r="W1176" i="37"/>
  <c r="W1177" i="37"/>
  <c r="W1178" i="37"/>
  <c r="W1179" i="37"/>
  <c r="W1180" i="37"/>
  <c r="W1181" i="37"/>
  <c r="W1182" i="37"/>
  <c r="W1183" i="37"/>
  <c r="W1184" i="37"/>
  <c r="W1185" i="37"/>
  <c r="W1186" i="37"/>
  <c r="W1187" i="37"/>
  <c r="W1188" i="37"/>
  <c r="W1189" i="37"/>
  <c r="W1190" i="37"/>
  <c r="W1191" i="37"/>
  <c r="W1192" i="37"/>
  <c r="W1193" i="37"/>
  <c r="W1194" i="37"/>
  <c r="W1195" i="37"/>
  <c r="W1196" i="37"/>
  <c r="W1197" i="37"/>
  <c r="W1198" i="37"/>
  <c r="W1199" i="37"/>
  <c r="W1200" i="37"/>
  <c r="W1201" i="37"/>
  <c r="W1202" i="37"/>
  <c r="W1203" i="37"/>
  <c r="W1204" i="37"/>
  <c r="W1205" i="37"/>
  <c r="W1206" i="37"/>
  <c r="W1207" i="37"/>
  <c r="W1208" i="37"/>
  <c r="W1209" i="37"/>
  <c r="W1210" i="37"/>
  <c r="W1211" i="37"/>
  <c r="W1212" i="37"/>
  <c r="W1214" i="37"/>
  <c r="W1215" i="37"/>
  <c r="W1216" i="37"/>
  <c r="W1217" i="37"/>
  <c r="W1218" i="37"/>
  <c r="W1219" i="37"/>
  <c r="W1220" i="37"/>
  <c r="W1221" i="37"/>
  <c r="W1222" i="37"/>
  <c r="W1223" i="37"/>
  <c r="W1224" i="37"/>
  <c r="W1225" i="37"/>
  <c r="W1226" i="37"/>
  <c r="W1227" i="37"/>
  <c r="W1228" i="37"/>
  <c r="W1229" i="37"/>
  <c r="W1230" i="37"/>
  <c r="W1231" i="37"/>
  <c r="W1232" i="37"/>
  <c r="W1233" i="37"/>
  <c r="W1234" i="37"/>
  <c r="W1235" i="37"/>
  <c r="W1236" i="37"/>
  <c r="W1237" i="37"/>
  <c r="W1238" i="37"/>
  <c r="W1239" i="37"/>
  <c r="W1240" i="37"/>
  <c r="W1241" i="37"/>
  <c r="W1242" i="37"/>
  <c r="W1243" i="37"/>
  <c r="W1244" i="37"/>
  <c r="W1245" i="37"/>
  <c r="W1246" i="37"/>
  <c r="W1247" i="37"/>
  <c r="W1248" i="37"/>
  <c r="W1249" i="37"/>
  <c r="W1250" i="37"/>
  <c r="W1251" i="37"/>
  <c r="W1252" i="37"/>
  <c r="W1253" i="37"/>
  <c r="W1254" i="37"/>
  <c r="W1255" i="37"/>
  <c r="W1256" i="37"/>
  <c r="W1257" i="37"/>
  <c r="W1258" i="37"/>
  <c r="W1259" i="37"/>
  <c r="W1260" i="37"/>
  <c r="W1262" i="37"/>
  <c r="W1263" i="37"/>
  <c r="W1264" i="37"/>
  <c r="W1265" i="37"/>
  <c r="W1266" i="37"/>
  <c r="W1267" i="37"/>
  <c r="W1268" i="37"/>
  <c r="W1269" i="37"/>
  <c r="W1270" i="37"/>
  <c r="W1271" i="37"/>
  <c r="W1272" i="37"/>
  <c r="W1273" i="37"/>
  <c r="W1274" i="37"/>
  <c r="W1275" i="37"/>
  <c r="W1276" i="37"/>
  <c r="W1277" i="37"/>
  <c r="W1278" i="37"/>
  <c r="W1279" i="37"/>
  <c r="W1280" i="37"/>
  <c r="W1281" i="37"/>
  <c r="W1282" i="37"/>
  <c r="W1283" i="37"/>
  <c r="W1284" i="37"/>
  <c r="W1285" i="37"/>
  <c r="W1286" i="37"/>
  <c r="W1287" i="37"/>
  <c r="W1288" i="37"/>
  <c r="W1289" i="37"/>
  <c r="W1290" i="37"/>
  <c r="W1291" i="37"/>
  <c r="W1292" i="37"/>
  <c r="W1293" i="37"/>
  <c r="W1294" i="37"/>
  <c r="W1295" i="37"/>
  <c r="W1296" i="37"/>
  <c r="W1297" i="37"/>
  <c r="W1298" i="37"/>
  <c r="W1299" i="37"/>
  <c r="W1300" i="37"/>
  <c r="W1301" i="37"/>
  <c r="W1302" i="37"/>
  <c r="W1303" i="37"/>
  <c r="W1304" i="37"/>
  <c r="W1305" i="37"/>
  <c r="W1306" i="37"/>
  <c r="W1307" i="37"/>
  <c r="W1308" i="37"/>
  <c r="W1309" i="37"/>
  <c r="W1310" i="37"/>
  <c r="W1311" i="37"/>
  <c r="W1312" i="37"/>
  <c r="W1313" i="37"/>
  <c r="W1314" i="37"/>
  <c r="W1315" i="37"/>
  <c r="W1316" i="37"/>
  <c r="W1317" i="37"/>
  <c r="W1318" i="37"/>
  <c r="W1319" i="37"/>
  <c r="W1320" i="37"/>
  <c r="W1321" i="37"/>
  <c r="W1322" i="37"/>
  <c r="W1323" i="37"/>
  <c r="W1324" i="37"/>
  <c r="W1325" i="37"/>
  <c r="W1326" i="37"/>
  <c r="W1327" i="37"/>
  <c r="W1328" i="37"/>
  <c r="W1329" i="37"/>
  <c r="W1330" i="37"/>
  <c r="W1331" i="37"/>
  <c r="W1332" i="37"/>
  <c r="W1333" i="37"/>
  <c r="W1334" i="37"/>
  <c r="W1335" i="37"/>
  <c r="W1336" i="37"/>
  <c r="W1337" i="37"/>
  <c r="W1338" i="37"/>
  <c r="W1339" i="37"/>
  <c r="W1340" i="37"/>
  <c r="W1341" i="37"/>
  <c r="W1342" i="37"/>
  <c r="W1343" i="37"/>
  <c r="W1344" i="37"/>
  <c r="W1345" i="37"/>
  <c r="W1346" i="37"/>
  <c r="W1347" i="37"/>
  <c r="W1348" i="37"/>
  <c r="W1349" i="37"/>
  <c r="W1350" i="37"/>
  <c r="W1351" i="37"/>
  <c r="W1352" i="37"/>
  <c r="W1353" i="37"/>
  <c r="W1354" i="37"/>
  <c r="W1355" i="37"/>
  <c r="W1356" i="37"/>
  <c r="W1357" i="37"/>
  <c r="W1358" i="37"/>
  <c r="W1359" i="37"/>
  <c r="W1360" i="37"/>
  <c r="W1361" i="37"/>
  <c r="W1362" i="37"/>
  <c r="W1363" i="37"/>
  <c r="W1364" i="37"/>
  <c r="W1365" i="37"/>
  <c r="W1366" i="37"/>
  <c r="W1367" i="37"/>
  <c r="W1368" i="37"/>
  <c r="W1369" i="37"/>
  <c r="W1370" i="37"/>
  <c r="W1371" i="37"/>
  <c r="W1372" i="37"/>
  <c r="W1373" i="37"/>
  <c r="W1374" i="37"/>
  <c r="W1375" i="37"/>
  <c r="W1376" i="37"/>
  <c r="W1377" i="37"/>
  <c r="W1378" i="37"/>
  <c r="W1379" i="37"/>
  <c r="W1380" i="37"/>
  <c r="W1381" i="37"/>
  <c r="W1382" i="37"/>
  <c r="W1383" i="37"/>
  <c r="W1384" i="37"/>
  <c r="W1385" i="37"/>
  <c r="W1386" i="37"/>
  <c r="W1387" i="37"/>
  <c r="W1388" i="37"/>
  <c r="W1389" i="37"/>
  <c r="W1390" i="37"/>
  <c r="W1391" i="37"/>
  <c r="W1392" i="37"/>
  <c r="W1393" i="37"/>
  <c r="W1394" i="37"/>
  <c r="W1395" i="37"/>
  <c r="W1396" i="37"/>
  <c r="W1397" i="37"/>
  <c r="W1398" i="37"/>
  <c r="W1399" i="37"/>
  <c r="W1400" i="37"/>
  <c r="W1401" i="37"/>
  <c r="W1402" i="37"/>
  <c r="W1403" i="37"/>
  <c r="W1404" i="37"/>
  <c r="W1405" i="37"/>
  <c r="W1406" i="37"/>
  <c r="W1407" i="37"/>
  <c r="W1408" i="37"/>
  <c r="W1409" i="37"/>
  <c r="W1410" i="37"/>
  <c r="W1411" i="37"/>
  <c r="W1412" i="37"/>
  <c r="W1413" i="37"/>
  <c r="W1414" i="37"/>
  <c r="W1415" i="37"/>
  <c r="W1416" i="37"/>
  <c r="W1417" i="37"/>
  <c r="W1418" i="37"/>
  <c r="W1419" i="37"/>
  <c r="W1420" i="37"/>
  <c r="W1421" i="37"/>
  <c r="W1422" i="37"/>
  <c r="W1423" i="37"/>
  <c r="W1424" i="37"/>
  <c r="W1425" i="37"/>
  <c r="W1426" i="37"/>
  <c r="W1427" i="37"/>
  <c r="W1428" i="37"/>
  <c r="W1429" i="37"/>
  <c r="W1430" i="37"/>
  <c r="W1431" i="37"/>
  <c r="W1432" i="37"/>
  <c r="W1433" i="37"/>
  <c r="W1434" i="37"/>
  <c r="W1435" i="37"/>
  <c r="W1436" i="37"/>
  <c r="W1437" i="37"/>
  <c r="W1438" i="37"/>
  <c r="W1439" i="37"/>
  <c r="W1440" i="37"/>
  <c r="W1441" i="37"/>
  <c r="W1442" i="37"/>
  <c r="W1443" i="37"/>
  <c r="W1444" i="37"/>
  <c r="W1445" i="37"/>
  <c r="W1446" i="37"/>
  <c r="W1447" i="37"/>
  <c r="W1448" i="37"/>
  <c r="W1449" i="37"/>
  <c r="W1450" i="37"/>
  <c r="W1451" i="37"/>
  <c r="W1452" i="37"/>
  <c r="W1453" i="37"/>
  <c r="W1454" i="37"/>
  <c r="W1455" i="37"/>
  <c r="W1456" i="37"/>
  <c r="W1457" i="37"/>
  <c r="W1458" i="37"/>
  <c r="W1459" i="37"/>
  <c r="W1460" i="37"/>
  <c r="W1461" i="37"/>
  <c r="W1462" i="37"/>
  <c r="W1463" i="37"/>
  <c r="W1464" i="37"/>
  <c r="W1465" i="37"/>
  <c r="W1466" i="37"/>
  <c r="W1467" i="37"/>
  <c r="W1468" i="37"/>
  <c r="W1469" i="37"/>
  <c r="W1470" i="37"/>
  <c r="W1471" i="37"/>
  <c r="W1472" i="37"/>
  <c r="W1473" i="37"/>
  <c r="W1474" i="37"/>
  <c r="W1475" i="37"/>
  <c r="W1476" i="37"/>
  <c r="W1477" i="37"/>
  <c r="W1478" i="37"/>
  <c r="W1479" i="37"/>
  <c r="W1480" i="37"/>
  <c r="W1481" i="37"/>
  <c r="W1482" i="37"/>
  <c r="W1483" i="37"/>
  <c r="W1484" i="37"/>
  <c r="W1485" i="37"/>
  <c r="W1486" i="37"/>
  <c r="W1487" i="37"/>
  <c r="W1488" i="37"/>
  <c r="W1489" i="37"/>
  <c r="W1490" i="37"/>
  <c r="W1491" i="37"/>
  <c r="W1492" i="37"/>
  <c r="X2" i="37"/>
  <c r="X3" i="37"/>
  <c r="X4" i="37"/>
  <c r="X5" i="37"/>
  <c r="X6" i="37"/>
  <c r="X7" i="37"/>
  <c r="X8" i="37"/>
  <c r="X9" i="37"/>
  <c r="X10" i="37"/>
  <c r="X11" i="37"/>
  <c r="X13" i="37"/>
  <c r="X14" i="37"/>
  <c r="X15" i="37"/>
  <c r="X16" i="37"/>
  <c r="X17" i="37"/>
  <c r="X18" i="37"/>
  <c r="X19" i="37"/>
  <c r="X20" i="37"/>
  <c r="X21" i="37"/>
  <c r="X22" i="37"/>
  <c r="X23" i="37"/>
  <c r="X24" i="37"/>
  <c r="X25" i="37"/>
  <c r="X26" i="37"/>
  <c r="X27" i="37"/>
  <c r="X28" i="37"/>
  <c r="X29" i="37"/>
  <c r="X30" i="37"/>
  <c r="X31" i="37"/>
  <c r="X32" i="37"/>
  <c r="Y32" i="37" s="1"/>
  <c r="X33" i="37"/>
  <c r="X34" i="37"/>
  <c r="X35" i="37"/>
  <c r="X36" i="37"/>
  <c r="X37" i="37"/>
  <c r="X38" i="37"/>
  <c r="X39" i="37"/>
  <c r="X40" i="37"/>
  <c r="X41" i="37"/>
  <c r="X42" i="37"/>
  <c r="X43" i="37"/>
  <c r="X44" i="37"/>
  <c r="X45" i="37"/>
  <c r="X46" i="37"/>
  <c r="X47" i="37"/>
  <c r="X48" i="37"/>
  <c r="X49" i="37"/>
  <c r="X50" i="37"/>
  <c r="X51" i="37"/>
  <c r="X53" i="37"/>
  <c r="X54" i="37"/>
  <c r="X55" i="37"/>
  <c r="X56" i="37"/>
  <c r="Y56" i="37" s="1"/>
  <c r="X57" i="37"/>
  <c r="X58" i="37"/>
  <c r="X59" i="37"/>
  <c r="X60" i="37"/>
  <c r="X61" i="37"/>
  <c r="Y61" i="37" s="1"/>
  <c r="X62" i="37"/>
  <c r="X63" i="37"/>
  <c r="X64" i="37"/>
  <c r="X65" i="37"/>
  <c r="X66" i="37"/>
  <c r="X67" i="37"/>
  <c r="X68" i="37"/>
  <c r="X69" i="37"/>
  <c r="X71" i="37"/>
  <c r="X72" i="37"/>
  <c r="X73" i="37"/>
  <c r="X74" i="37"/>
  <c r="X75" i="37"/>
  <c r="X76" i="37"/>
  <c r="X77" i="37"/>
  <c r="X78" i="37"/>
  <c r="X79" i="37"/>
  <c r="X80" i="37"/>
  <c r="X81" i="37"/>
  <c r="X83" i="37"/>
  <c r="X84" i="37"/>
  <c r="X85" i="37"/>
  <c r="X86" i="37"/>
  <c r="X87" i="37"/>
  <c r="X88" i="37"/>
  <c r="X89" i="37"/>
  <c r="X90" i="37"/>
  <c r="X91" i="37"/>
  <c r="X92" i="37"/>
  <c r="X93" i="37"/>
  <c r="X94" i="37"/>
  <c r="X95" i="37"/>
  <c r="X96" i="37"/>
  <c r="X97" i="37"/>
  <c r="X98" i="37"/>
  <c r="X99" i="37"/>
  <c r="X100" i="37"/>
  <c r="X101" i="37"/>
  <c r="X102" i="37"/>
  <c r="X103" i="37"/>
  <c r="X104" i="37"/>
  <c r="X105" i="37"/>
  <c r="X106" i="37"/>
  <c r="Y106" i="37" s="1"/>
  <c r="X107" i="37"/>
  <c r="X108" i="37"/>
  <c r="X109" i="37"/>
  <c r="X110" i="37"/>
  <c r="X111" i="37"/>
  <c r="X112" i="37"/>
  <c r="X113" i="37"/>
  <c r="X114" i="37"/>
  <c r="X115" i="37"/>
  <c r="X116" i="37"/>
  <c r="X117" i="37"/>
  <c r="X118" i="37"/>
  <c r="X119" i="37"/>
  <c r="X120" i="37"/>
  <c r="X121" i="37"/>
  <c r="X122" i="37"/>
  <c r="X124" i="37"/>
  <c r="X125" i="37"/>
  <c r="X126" i="37"/>
  <c r="X127" i="37"/>
  <c r="X128" i="37"/>
  <c r="X129" i="37"/>
  <c r="X130" i="37"/>
  <c r="X131" i="37"/>
  <c r="X132" i="37"/>
  <c r="X133" i="37"/>
  <c r="X134" i="37"/>
  <c r="X135" i="37"/>
  <c r="X136" i="37"/>
  <c r="X137" i="37"/>
  <c r="X138" i="37"/>
  <c r="X139" i="37"/>
  <c r="Y139" i="37" s="1"/>
  <c r="X140" i="37"/>
  <c r="X141" i="37"/>
  <c r="X142" i="37"/>
  <c r="X143" i="37"/>
  <c r="X144" i="37"/>
  <c r="X145" i="37"/>
  <c r="X146" i="37"/>
  <c r="Y146" i="37" s="1"/>
  <c r="X147" i="37"/>
  <c r="X148" i="37"/>
  <c r="X149" i="37"/>
  <c r="X150" i="37"/>
  <c r="X151" i="37"/>
  <c r="X152" i="37"/>
  <c r="X153" i="37"/>
  <c r="X154" i="37"/>
  <c r="X155" i="37"/>
  <c r="X156" i="37"/>
  <c r="X157" i="37"/>
  <c r="X158" i="37"/>
  <c r="X159" i="37"/>
  <c r="X160" i="37"/>
  <c r="X161" i="37"/>
  <c r="Y161" i="37" s="1"/>
  <c r="X162" i="37"/>
  <c r="X163" i="37"/>
  <c r="X164" i="37"/>
  <c r="X165" i="37"/>
  <c r="Y165" i="37" s="1"/>
  <c r="X166" i="37"/>
  <c r="Y166" i="37" s="1"/>
  <c r="X167" i="37"/>
  <c r="Y167" i="37" s="1"/>
  <c r="X168" i="37"/>
  <c r="X169" i="37"/>
  <c r="Y169" i="37" s="1"/>
  <c r="X170" i="37"/>
  <c r="X171" i="37"/>
  <c r="X172" i="37"/>
  <c r="X173" i="37"/>
  <c r="X174" i="37"/>
  <c r="X175" i="37"/>
  <c r="X176" i="37"/>
  <c r="X177" i="37"/>
  <c r="X178" i="37"/>
  <c r="X179" i="37"/>
  <c r="X180" i="37"/>
  <c r="X181" i="37"/>
  <c r="X182" i="37"/>
  <c r="X183" i="37"/>
  <c r="Y183" i="37" s="1"/>
  <c r="X184" i="37"/>
  <c r="X185" i="37"/>
  <c r="X186" i="37"/>
  <c r="X187" i="37"/>
  <c r="X189" i="37"/>
  <c r="X190" i="37"/>
  <c r="X191" i="37"/>
  <c r="X192" i="37"/>
  <c r="X193" i="37"/>
  <c r="Y193" i="37" s="1"/>
  <c r="X194" i="37"/>
  <c r="X195" i="37"/>
  <c r="X196" i="37"/>
  <c r="X197" i="37"/>
  <c r="X198" i="37"/>
  <c r="X199" i="37"/>
  <c r="X200" i="37"/>
  <c r="X201" i="37"/>
  <c r="X202" i="37"/>
  <c r="X203" i="37"/>
  <c r="X204" i="37"/>
  <c r="X205" i="37"/>
  <c r="X206" i="37"/>
  <c r="X207" i="37"/>
  <c r="X208" i="37"/>
  <c r="X209" i="37"/>
  <c r="X210" i="37"/>
  <c r="X211" i="37"/>
  <c r="X212" i="37"/>
  <c r="X213" i="37"/>
  <c r="X214" i="37"/>
  <c r="X215" i="37"/>
  <c r="X216" i="37"/>
  <c r="X217" i="37"/>
  <c r="X218" i="37"/>
  <c r="X219" i="37"/>
  <c r="X220" i="37"/>
  <c r="X221" i="37"/>
  <c r="X222" i="37"/>
  <c r="X223" i="37"/>
  <c r="X224" i="37"/>
  <c r="X225" i="37"/>
  <c r="X226" i="37"/>
  <c r="X227" i="37"/>
  <c r="X228" i="37"/>
  <c r="X229" i="37"/>
  <c r="X230" i="37"/>
  <c r="X231" i="37"/>
  <c r="X232" i="37"/>
  <c r="X233" i="37"/>
  <c r="X234" i="37"/>
  <c r="X235" i="37"/>
  <c r="Y235" i="37" s="1"/>
  <c r="X236" i="37"/>
  <c r="X237" i="37"/>
  <c r="X238" i="37"/>
  <c r="X239" i="37"/>
  <c r="X240" i="37"/>
  <c r="X241" i="37"/>
  <c r="X242" i="37"/>
  <c r="X243" i="37"/>
  <c r="X244" i="37"/>
  <c r="X245" i="37"/>
  <c r="X246" i="37"/>
  <c r="X247" i="37"/>
  <c r="X248" i="37"/>
  <c r="X249" i="37"/>
  <c r="X250" i="37"/>
  <c r="X251" i="37"/>
  <c r="X252" i="37"/>
  <c r="X253" i="37"/>
  <c r="X255" i="37"/>
  <c r="X256" i="37"/>
  <c r="X257" i="37"/>
  <c r="X258" i="37"/>
  <c r="X259" i="37"/>
  <c r="X260" i="37"/>
  <c r="X261" i="37"/>
  <c r="X263" i="37"/>
  <c r="X264" i="37"/>
  <c r="X266" i="37"/>
  <c r="X267" i="37"/>
  <c r="X268" i="37"/>
  <c r="X269" i="37"/>
  <c r="X270" i="37"/>
  <c r="X271" i="37"/>
  <c r="X272" i="37"/>
  <c r="X273" i="37"/>
  <c r="X274" i="37"/>
  <c r="X275" i="37"/>
  <c r="X276" i="37"/>
  <c r="X277" i="37"/>
  <c r="X278" i="37"/>
  <c r="X279" i="37"/>
  <c r="X280" i="37"/>
  <c r="X281" i="37"/>
  <c r="X282" i="37"/>
  <c r="X283" i="37"/>
  <c r="X284" i="37"/>
  <c r="X285" i="37"/>
  <c r="X286" i="37"/>
  <c r="X287" i="37"/>
  <c r="X289" i="37"/>
  <c r="X290" i="37"/>
  <c r="X291" i="37"/>
  <c r="X292" i="37"/>
  <c r="X293" i="37"/>
  <c r="X294" i="37"/>
  <c r="X295" i="37"/>
  <c r="X296" i="37"/>
  <c r="X297" i="37"/>
  <c r="X298" i="37"/>
  <c r="X299" i="37"/>
  <c r="X300" i="37"/>
  <c r="X301" i="37"/>
  <c r="X302" i="37"/>
  <c r="X303" i="37"/>
  <c r="X304" i="37"/>
  <c r="X305" i="37"/>
  <c r="X306" i="37"/>
  <c r="X307" i="37"/>
  <c r="X308" i="37"/>
  <c r="X309" i="37"/>
  <c r="X310" i="37"/>
  <c r="X311" i="37"/>
  <c r="X312" i="37"/>
  <c r="X313" i="37"/>
  <c r="X314" i="37"/>
  <c r="X315" i="37"/>
  <c r="X316" i="37"/>
  <c r="X317" i="37"/>
  <c r="X318" i="37"/>
  <c r="X319" i="37"/>
  <c r="X320" i="37"/>
  <c r="X321" i="37"/>
  <c r="X322" i="37"/>
  <c r="X324" i="37"/>
  <c r="X325" i="37"/>
  <c r="X326" i="37"/>
  <c r="X327" i="37"/>
  <c r="X328" i="37"/>
  <c r="X329" i="37"/>
  <c r="X330" i="37"/>
  <c r="X331" i="37"/>
  <c r="X332" i="37"/>
  <c r="X333" i="37"/>
  <c r="X334" i="37"/>
  <c r="X335" i="37"/>
  <c r="X336" i="37"/>
  <c r="X337" i="37"/>
  <c r="Y337" i="37" s="1"/>
  <c r="X338" i="37"/>
  <c r="X339" i="37"/>
  <c r="X340" i="37"/>
  <c r="X341" i="37"/>
  <c r="X343" i="37"/>
  <c r="X344" i="37"/>
  <c r="X345" i="37"/>
  <c r="X346" i="37"/>
  <c r="X347" i="37"/>
  <c r="X348" i="37"/>
  <c r="X349" i="37"/>
  <c r="X350" i="37"/>
  <c r="X351" i="37"/>
  <c r="X352" i="37"/>
  <c r="X353" i="37"/>
  <c r="X354" i="37"/>
  <c r="X355" i="37"/>
  <c r="X356" i="37"/>
  <c r="X357" i="37"/>
  <c r="X358" i="37"/>
  <c r="X359" i="37"/>
  <c r="X360" i="37"/>
  <c r="X361" i="37"/>
  <c r="X362" i="37"/>
  <c r="X363" i="37"/>
  <c r="X364" i="37"/>
  <c r="X365" i="37"/>
  <c r="X366" i="37"/>
  <c r="X367" i="37"/>
  <c r="X369" i="37"/>
  <c r="X370" i="37"/>
  <c r="X371" i="37"/>
  <c r="X372" i="37"/>
  <c r="X373" i="37"/>
  <c r="X374" i="37"/>
  <c r="X375" i="37"/>
  <c r="X376" i="37"/>
  <c r="X377" i="37"/>
  <c r="X378" i="37"/>
  <c r="X379" i="37"/>
  <c r="X381" i="37"/>
  <c r="X382" i="37"/>
  <c r="X383" i="37"/>
  <c r="X384" i="37"/>
  <c r="X385" i="37"/>
  <c r="X386" i="37"/>
  <c r="X387" i="37"/>
  <c r="X388" i="37"/>
  <c r="X390" i="37"/>
  <c r="X391" i="37"/>
  <c r="X392" i="37"/>
  <c r="X393" i="37"/>
  <c r="X394" i="37"/>
  <c r="X395" i="37"/>
  <c r="X396" i="37"/>
  <c r="X397" i="37"/>
  <c r="X399" i="37"/>
  <c r="X400" i="37"/>
  <c r="X401" i="37"/>
  <c r="X402" i="37"/>
  <c r="X403" i="37"/>
  <c r="X404" i="37"/>
  <c r="X405" i="37"/>
  <c r="X406" i="37"/>
  <c r="X407" i="37"/>
  <c r="X408" i="37"/>
  <c r="X409" i="37"/>
  <c r="X411" i="37"/>
  <c r="X412" i="37"/>
  <c r="X413" i="37"/>
  <c r="X414" i="37"/>
  <c r="X415" i="37"/>
  <c r="X416" i="37"/>
  <c r="X417" i="37"/>
  <c r="X418" i="37"/>
  <c r="X419" i="37"/>
  <c r="X420" i="37"/>
  <c r="X421" i="37"/>
  <c r="X422" i="37"/>
  <c r="X423" i="37"/>
  <c r="X424" i="37"/>
  <c r="X425" i="37"/>
  <c r="X426" i="37"/>
  <c r="X427" i="37"/>
  <c r="X428" i="37"/>
  <c r="X429" i="37"/>
  <c r="X430" i="37"/>
  <c r="X431" i="37"/>
  <c r="X432" i="37"/>
  <c r="X433" i="37"/>
  <c r="X434" i="37"/>
  <c r="X435" i="37"/>
  <c r="X436" i="37"/>
  <c r="X437" i="37"/>
  <c r="X438" i="37"/>
  <c r="X439" i="37"/>
  <c r="X440" i="37"/>
  <c r="X441" i="37"/>
  <c r="X442" i="37"/>
  <c r="X443" i="37"/>
  <c r="X444" i="37"/>
  <c r="X445" i="37"/>
  <c r="X446" i="37"/>
  <c r="X447" i="37"/>
  <c r="X448" i="37"/>
  <c r="X449" i="37"/>
  <c r="X450" i="37"/>
  <c r="X451" i="37"/>
  <c r="X453" i="37"/>
  <c r="X454" i="37"/>
  <c r="X455" i="37"/>
  <c r="X456" i="37"/>
  <c r="X457" i="37"/>
  <c r="X458" i="37"/>
  <c r="X459" i="37"/>
  <c r="X460" i="37"/>
  <c r="X461" i="37"/>
  <c r="X462" i="37"/>
  <c r="X463" i="37"/>
  <c r="Y463" i="37" s="1"/>
  <c r="X464" i="37"/>
  <c r="X465" i="37"/>
  <c r="X466" i="37"/>
  <c r="X467" i="37"/>
  <c r="X468" i="37"/>
  <c r="X469" i="37"/>
  <c r="X470" i="37"/>
  <c r="X471" i="37"/>
  <c r="X472" i="37"/>
  <c r="X473" i="37"/>
  <c r="X474" i="37"/>
  <c r="X475" i="37"/>
  <c r="X476" i="37"/>
  <c r="X477" i="37"/>
  <c r="X478" i="37"/>
  <c r="X479" i="37"/>
  <c r="X480" i="37"/>
  <c r="X481" i="37"/>
  <c r="X482" i="37"/>
  <c r="X483" i="37"/>
  <c r="X484" i="37"/>
  <c r="X485" i="37"/>
  <c r="X486" i="37"/>
  <c r="X487" i="37"/>
  <c r="X488" i="37"/>
  <c r="X489" i="37"/>
  <c r="X490" i="37"/>
  <c r="X491" i="37"/>
  <c r="X492" i="37"/>
  <c r="X493" i="37"/>
  <c r="X494" i="37"/>
  <c r="X495" i="37"/>
  <c r="X496" i="37"/>
  <c r="X497" i="37"/>
  <c r="X498" i="37"/>
  <c r="X499" i="37"/>
  <c r="X500" i="37"/>
  <c r="X501" i="37"/>
  <c r="X502" i="37"/>
  <c r="X503" i="37"/>
  <c r="X504" i="37"/>
  <c r="X505" i="37"/>
  <c r="X506" i="37"/>
  <c r="X507" i="37"/>
  <c r="Y507" i="37" s="1"/>
  <c r="X508" i="37"/>
  <c r="X509" i="37"/>
  <c r="X510" i="37"/>
  <c r="X511" i="37"/>
  <c r="X512" i="37"/>
  <c r="X513" i="37"/>
  <c r="X514" i="37"/>
  <c r="X515" i="37"/>
  <c r="X516" i="37"/>
  <c r="X517" i="37"/>
  <c r="X518" i="37"/>
  <c r="X519" i="37"/>
  <c r="X520" i="37"/>
  <c r="X521" i="37"/>
  <c r="X522" i="37"/>
  <c r="X523" i="37"/>
  <c r="X524" i="37"/>
  <c r="X525" i="37"/>
  <c r="X526" i="37"/>
  <c r="X527" i="37"/>
  <c r="X528" i="37"/>
  <c r="X529" i="37"/>
  <c r="X530" i="37"/>
  <c r="X531" i="37"/>
  <c r="X532" i="37"/>
  <c r="X533" i="37"/>
  <c r="X534" i="37"/>
  <c r="X535" i="37"/>
  <c r="X536" i="37"/>
  <c r="X537" i="37"/>
  <c r="X538" i="37"/>
  <c r="X539" i="37"/>
  <c r="X540" i="37"/>
  <c r="X541" i="37"/>
  <c r="X542" i="37"/>
  <c r="X543" i="37"/>
  <c r="X544" i="37"/>
  <c r="X545" i="37"/>
  <c r="X546" i="37"/>
  <c r="X547" i="37"/>
  <c r="X548" i="37"/>
  <c r="X549" i="37"/>
  <c r="X550" i="37"/>
  <c r="X551" i="37"/>
  <c r="X552" i="37"/>
  <c r="X553" i="37"/>
  <c r="X554" i="37"/>
  <c r="X555" i="37"/>
  <c r="X556" i="37"/>
  <c r="X557" i="37"/>
  <c r="X558" i="37"/>
  <c r="X559" i="37"/>
  <c r="X560" i="37"/>
  <c r="X561" i="37"/>
  <c r="X562" i="37"/>
  <c r="X563" i="37"/>
  <c r="X564" i="37"/>
  <c r="X565" i="37"/>
  <c r="X566" i="37"/>
  <c r="X567" i="37"/>
  <c r="X568" i="37"/>
  <c r="X569" i="37"/>
  <c r="X570" i="37"/>
  <c r="X571" i="37"/>
  <c r="X572" i="37"/>
  <c r="X573" i="37"/>
  <c r="X574" i="37"/>
  <c r="X575" i="37"/>
  <c r="X576" i="37"/>
  <c r="X577" i="37"/>
  <c r="X578" i="37"/>
  <c r="X579" i="37"/>
  <c r="X580" i="37"/>
  <c r="X581" i="37"/>
  <c r="X582" i="37"/>
  <c r="X583" i="37"/>
  <c r="X584" i="37"/>
  <c r="X585" i="37"/>
  <c r="X586" i="37"/>
  <c r="X587" i="37"/>
  <c r="X588" i="37"/>
  <c r="X589" i="37"/>
  <c r="X590" i="37"/>
  <c r="X591" i="37"/>
  <c r="X592" i="37"/>
  <c r="X593" i="37"/>
  <c r="X594" i="37"/>
  <c r="X595" i="37"/>
  <c r="X596" i="37"/>
  <c r="X597" i="37"/>
  <c r="X598" i="37"/>
  <c r="X599" i="37"/>
  <c r="X600" i="37"/>
  <c r="X601" i="37"/>
  <c r="X602" i="37"/>
  <c r="X603" i="37"/>
  <c r="X604" i="37"/>
  <c r="X605" i="37"/>
  <c r="X606" i="37"/>
  <c r="X607" i="37"/>
  <c r="X608" i="37"/>
  <c r="X609" i="37"/>
  <c r="X610" i="37"/>
  <c r="X611" i="37"/>
  <c r="X612" i="37"/>
  <c r="X613" i="37"/>
  <c r="X614" i="37"/>
  <c r="X615" i="37"/>
  <c r="X616" i="37"/>
  <c r="X617" i="37"/>
  <c r="X618" i="37"/>
  <c r="X619" i="37"/>
  <c r="X620" i="37"/>
  <c r="X621" i="37"/>
  <c r="X622" i="37"/>
  <c r="X623" i="37"/>
  <c r="X624" i="37"/>
  <c r="X625" i="37"/>
  <c r="X626" i="37"/>
  <c r="X627" i="37"/>
  <c r="X628" i="37"/>
  <c r="X629" i="37"/>
  <c r="X630" i="37"/>
  <c r="X631" i="37"/>
  <c r="X632" i="37"/>
  <c r="X633" i="37"/>
  <c r="X634" i="37"/>
  <c r="X635" i="37"/>
  <c r="X636" i="37"/>
  <c r="X637" i="37"/>
  <c r="X638" i="37"/>
  <c r="X639" i="37"/>
  <c r="X640" i="37"/>
  <c r="X641" i="37"/>
  <c r="X642" i="37"/>
  <c r="X643" i="37"/>
  <c r="X644" i="37"/>
  <c r="X645" i="37"/>
  <c r="X646" i="37"/>
  <c r="X647" i="37"/>
  <c r="X648" i="37"/>
  <c r="X649" i="37"/>
  <c r="X650" i="37"/>
  <c r="X651" i="37"/>
  <c r="X652" i="37"/>
  <c r="X653" i="37"/>
  <c r="X654" i="37"/>
  <c r="X655" i="37"/>
  <c r="X656" i="37"/>
  <c r="X657" i="37"/>
  <c r="X658" i="37"/>
  <c r="X659" i="37"/>
  <c r="X660" i="37"/>
  <c r="X661" i="37"/>
  <c r="X662" i="37"/>
  <c r="X663" i="37"/>
  <c r="X664" i="37"/>
  <c r="X665" i="37"/>
  <c r="X666" i="37"/>
  <c r="X667" i="37"/>
  <c r="X668" i="37"/>
  <c r="X669" i="37"/>
  <c r="X670" i="37"/>
  <c r="X671" i="37"/>
  <c r="X672" i="37"/>
  <c r="X673" i="37"/>
  <c r="X674" i="37"/>
  <c r="X675" i="37"/>
  <c r="X676" i="37"/>
  <c r="X677" i="37"/>
  <c r="X678" i="37"/>
  <c r="X679" i="37"/>
  <c r="X680" i="37"/>
  <c r="X681" i="37"/>
  <c r="X682" i="37"/>
  <c r="X683" i="37"/>
  <c r="X684" i="37"/>
  <c r="X685" i="37"/>
  <c r="X686" i="37"/>
  <c r="X687" i="37"/>
  <c r="X688" i="37"/>
  <c r="X689" i="37"/>
  <c r="X690" i="37"/>
  <c r="X691" i="37"/>
  <c r="X692" i="37"/>
  <c r="X693" i="37"/>
  <c r="X694" i="37"/>
  <c r="X695" i="37"/>
  <c r="X696" i="37"/>
  <c r="X697" i="37"/>
  <c r="X698" i="37"/>
  <c r="X699" i="37"/>
  <c r="X700" i="37"/>
  <c r="X701" i="37"/>
  <c r="X702" i="37"/>
  <c r="X703" i="37"/>
  <c r="X704" i="37"/>
  <c r="X705" i="37"/>
  <c r="X706" i="37"/>
  <c r="X707" i="37"/>
  <c r="X708" i="37"/>
  <c r="X709" i="37"/>
  <c r="X710" i="37"/>
  <c r="X711" i="37"/>
  <c r="X712" i="37"/>
  <c r="X713" i="37"/>
  <c r="X714" i="37"/>
  <c r="X715" i="37"/>
  <c r="X716" i="37"/>
  <c r="X717" i="37"/>
  <c r="X718" i="37"/>
  <c r="X719" i="37"/>
  <c r="X720" i="37"/>
  <c r="X721" i="37"/>
  <c r="X722" i="37"/>
  <c r="X723" i="37"/>
  <c r="X724" i="37"/>
  <c r="X725" i="37"/>
  <c r="X726" i="37"/>
  <c r="X727" i="37"/>
  <c r="X728" i="37"/>
  <c r="X729" i="37"/>
  <c r="X730" i="37"/>
  <c r="X731" i="37"/>
  <c r="X732" i="37"/>
  <c r="X733" i="37"/>
  <c r="X734" i="37"/>
  <c r="X735" i="37"/>
  <c r="X736" i="37"/>
  <c r="X737" i="37"/>
  <c r="X738" i="37"/>
  <c r="X739" i="37"/>
  <c r="X740" i="37"/>
  <c r="X741" i="37"/>
  <c r="X742" i="37"/>
  <c r="X743" i="37"/>
  <c r="X744" i="37"/>
  <c r="X745" i="37"/>
  <c r="X746" i="37"/>
  <c r="X747" i="37"/>
  <c r="X748" i="37"/>
  <c r="X749" i="37"/>
  <c r="X750" i="37"/>
  <c r="X751" i="37"/>
  <c r="X752" i="37"/>
  <c r="X753" i="37"/>
  <c r="X754" i="37"/>
  <c r="X755" i="37"/>
  <c r="X756" i="37"/>
  <c r="X757" i="37"/>
  <c r="X758" i="37"/>
  <c r="X759" i="37"/>
  <c r="X760" i="37"/>
  <c r="X761" i="37"/>
  <c r="X762" i="37"/>
  <c r="X763" i="37"/>
  <c r="X764" i="37"/>
  <c r="X765" i="37"/>
  <c r="X766" i="37"/>
  <c r="X768" i="37"/>
  <c r="X769" i="37"/>
  <c r="X770" i="37"/>
  <c r="X771" i="37"/>
  <c r="X772" i="37"/>
  <c r="X773" i="37"/>
  <c r="X774" i="37"/>
  <c r="X775" i="37"/>
  <c r="X776" i="37"/>
  <c r="X777" i="37"/>
  <c r="X778" i="37"/>
  <c r="X779" i="37"/>
  <c r="X780" i="37"/>
  <c r="X781" i="37"/>
  <c r="X782" i="37"/>
  <c r="X783" i="37"/>
  <c r="X784" i="37"/>
  <c r="X785" i="37"/>
  <c r="X786" i="37"/>
  <c r="X787" i="37"/>
  <c r="X788" i="37"/>
  <c r="X789" i="37"/>
  <c r="X790" i="37"/>
  <c r="X792" i="37"/>
  <c r="X793" i="37"/>
  <c r="X794" i="37"/>
  <c r="X795" i="37"/>
  <c r="X796" i="37"/>
  <c r="X797" i="37"/>
  <c r="Y797" i="37" s="1"/>
  <c r="X798" i="37"/>
  <c r="X799" i="37"/>
  <c r="X800" i="37"/>
  <c r="X801" i="37"/>
  <c r="X802" i="37"/>
  <c r="X803" i="37"/>
  <c r="X804" i="37"/>
  <c r="X806" i="37"/>
  <c r="X807" i="37"/>
  <c r="X808" i="37"/>
  <c r="X809" i="37"/>
  <c r="X810" i="37"/>
  <c r="X811" i="37"/>
  <c r="X812" i="37"/>
  <c r="X813" i="37"/>
  <c r="X814" i="37"/>
  <c r="X815" i="37"/>
  <c r="X816" i="37"/>
  <c r="X817" i="37"/>
  <c r="X818" i="37"/>
  <c r="X819" i="37"/>
  <c r="X820" i="37"/>
  <c r="X821" i="37"/>
  <c r="X822" i="37"/>
  <c r="X823" i="37"/>
  <c r="X824" i="37"/>
  <c r="X825" i="37"/>
  <c r="X826" i="37"/>
  <c r="X827" i="37"/>
  <c r="Y827" i="37" s="1"/>
  <c r="X828" i="37"/>
  <c r="X829" i="37"/>
  <c r="X830" i="37"/>
  <c r="X831" i="37"/>
  <c r="X832" i="37"/>
  <c r="X833" i="37"/>
  <c r="X834" i="37"/>
  <c r="X835" i="37"/>
  <c r="X836" i="37"/>
  <c r="X837" i="37"/>
  <c r="X838" i="37"/>
  <c r="X839" i="37"/>
  <c r="X840" i="37"/>
  <c r="X841" i="37"/>
  <c r="X842" i="37"/>
  <c r="X843" i="37"/>
  <c r="X844" i="37"/>
  <c r="X845" i="37"/>
  <c r="Y845" i="37" s="1"/>
  <c r="X846" i="37"/>
  <c r="X847" i="37"/>
  <c r="X848" i="37"/>
  <c r="X849" i="37"/>
  <c r="X850" i="37"/>
  <c r="X851" i="37"/>
  <c r="X852" i="37"/>
  <c r="X853" i="37"/>
  <c r="X854" i="37"/>
  <c r="X855" i="37"/>
  <c r="X856" i="37"/>
  <c r="X857" i="37"/>
  <c r="X858" i="37"/>
  <c r="X859" i="37"/>
  <c r="X860" i="37"/>
  <c r="X861" i="37"/>
  <c r="X862" i="37"/>
  <c r="X863" i="37"/>
  <c r="X864" i="37"/>
  <c r="X865" i="37"/>
  <c r="X866" i="37"/>
  <c r="X867" i="37"/>
  <c r="X868" i="37"/>
  <c r="X869" i="37"/>
  <c r="X870" i="37"/>
  <c r="X871" i="37"/>
  <c r="X872" i="37"/>
  <c r="X873" i="37"/>
  <c r="X875" i="37"/>
  <c r="X876" i="37"/>
  <c r="Y876" i="37" s="1"/>
  <c r="X877" i="37"/>
  <c r="X878" i="37"/>
  <c r="Y878" i="37" s="1"/>
  <c r="X879" i="37"/>
  <c r="X880" i="37"/>
  <c r="X881" i="37"/>
  <c r="X882" i="37"/>
  <c r="X883" i="37"/>
  <c r="X884" i="37"/>
  <c r="X885" i="37"/>
  <c r="X886" i="37"/>
  <c r="X887" i="37"/>
  <c r="X888" i="37"/>
  <c r="X889" i="37"/>
  <c r="X890" i="37"/>
  <c r="X891" i="37"/>
  <c r="X892" i="37"/>
  <c r="Y892" i="37" s="1"/>
  <c r="X893" i="37"/>
  <c r="X894" i="37"/>
  <c r="X895" i="37"/>
  <c r="X896" i="37"/>
  <c r="X897" i="37"/>
  <c r="X898" i="37"/>
  <c r="X899" i="37"/>
  <c r="Y899" i="37" s="1"/>
  <c r="X900" i="37"/>
  <c r="X901" i="37"/>
  <c r="X902" i="37"/>
  <c r="X903" i="37"/>
  <c r="X905" i="37"/>
  <c r="X906" i="37"/>
  <c r="X907" i="37"/>
  <c r="X908" i="37"/>
  <c r="X909" i="37"/>
  <c r="X910" i="37"/>
  <c r="X911" i="37"/>
  <c r="X912" i="37"/>
  <c r="X913" i="37"/>
  <c r="X914" i="37"/>
  <c r="X915" i="37"/>
  <c r="X916" i="37"/>
  <c r="X917" i="37"/>
  <c r="X918" i="37"/>
  <c r="X919" i="37"/>
  <c r="X920" i="37"/>
  <c r="X921" i="37"/>
  <c r="X922" i="37"/>
  <c r="X923" i="37"/>
  <c r="X924" i="37"/>
  <c r="X925" i="37"/>
  <c r="Y925" i="37" s="1"/>
  <c r="X926" i="37"/>
  <c r="X927" i="37"/>
  <c r="X928" i="37"/>
  <c r="X929" i="37"/>
  <c r="X930" i="37"/>
  <c r="X931" i="37"/>
  <c r="X933" i="37"/>
  <c r="X934" i="37"/>
  <c r="Y934" i="37" s="1"/>
  <c r="X935" i="37"/>
  <c r="X936" i="37"/>
  <c r="X937" i="37"/>
  <c r="X939" i="37"/>
  <c r="X940" i="37"/>
  <c r="X941" i="37"/>
  <c r="X942" i="37"/>
  <c r="X943" i="37"/>
  <c r="X944" i="37"/>
  <c r="X945" i="37"/>
  <c r="X946" i="37"/>
  <c r="X947" i="37"/>
  <c r="X948" i="37"/>
  <c r="X949" i="37"/>
  <c r="Y949" i="37" s="1"/>
  <c r="X950" i="37"/>
  <c r="X951" i="37"/>
  <c r="X952" i="37"/>
  <c r="X953" i="37"/>
  <c r="X954" i="37"/>
  <c r="X955" i="37"/>
  <c r="X956" i="37"/>
  <c r="X957" i="37"/>
  <c r="X958" i="37"/>
  <c r="X959" i="37"/>
  <c r="X960" i="37"/>
  <c r="X961" i="37"/>
  <c r="X962" i="37"/>
  <c r="X963" i="37"/>
  <c r="X964" i="37"/>
  <c r="X965" i="37"/>
  <c r="X966" i="37"/>
  <c r="X967" i="37"/>
  <c r="X968" i="37"/>
  <c r="X969" i="37"/>
  <c r="X970" i="37"/>
  <c r="X971" i="37"/>
  <c r="X972" i="37"/>
  <c r="X973" i="37"/>
  <c r="X974" i="37"/>
  <c r="X975" i="37"/>
  <c r="X976" i="37"/>
  <c r="X977" i="37"/>
  <c r="X978" i="37"/>
  <c r="X979" i="37"/>
  <c r="X980" i="37"/>
  <c r="X981" i="37"/>
  <c r="X982" i="37"/>
  <c r="X983" i="37"/>
  <c r="X984" i="37"/>
  <c r="X985" i="37"/>
  <c r="X986" i="37"/>
  <c r="X987" i="37"/>
  <c r="X988" i="37"/>
  <c r="X989" i="37"/>
  <c r="X990" i="37"/>
  <c r="X991" i="37"/>
  <c r="X992" i="37"/>
  <c r="X993" i="37"/>
  <c r="X994" i="37"/>
  <c r="X995" i="37"/>
  <c r="X996" i="37"/>
  <c r="X997" i="37"/>
  <c r="X998" i="37"/>
  <c r="X999" i="37"/>
  <c r="X1000" i="37"/>
  <c r="X1001" i="37"/>
  <c r="X1002" i="37"/>
  <c r="X1003" i="37"/>
  <c r="X1004" i="37"/>
  <c r="X1005" i="37"/>
  <c r="X1006" i="37"/>
  <c r="X1007" i="37"/>
  <c r="X1008" i="37"/>
  <c r="X1009" i="37"/>
  <c r="X1010" i="37"/>
  <c r="X1011" i="37"/>
  <c r="X1012" i="37"/>
  <c r="X1013" i="37"/>
  <c r="X1014" i="37"/>
  <c r="X1015" i="37"/>
  <c r="X1016" i="37"/>
  <c r="X1017" i="37"/>
  <c r="X1018" i="37"/>
  <c r="X1019" i="37"/>
  <c r="X1020" i="37"/>
  <c r="X1021" i="37"/>
  <c r="X1022" i="37"/>
  <c r="X1023" i="37"/>
  <c r="X1024" i="37"/>
  <c r="X1025" i="37"/>
  <c r="X1026" i="37"/>
  <c r="X1027" i="37"/>
  <c r="X1028" i="37"/>
  <c r="X1029" i="37"/>
  <c r="X1030" i="37"/>
  <c r="X1031" i="37"/>
  <c r="X1032" i="37"/>
  <c r="X1033" i="37"/>
  <c r="X1034" i="37"/>
  <c r="X1035" i="37"/>
  <c r="X1036" i="37"/>
  <c r="X1037" i="37"/>
  <c r="X1038" i="37"/>
  <c r="X1039" i="37"/>
  <c r="X1040" i="37"/>
  <c r="X1041" i="37"/>
  <c r="X1042" i="37"/>
  <c r="X1043" i="37"/>
  <c r="X1044" i="37"/>
  <c r="X1045" i="37"/>
  <c r="X1046" i="37"/>
  <c r="X1047" i="37"/>
  <c r="X1048" i="37"/>
  <c r="X1049" i="37"/>
  <c r="X1050" i="37"/>
  <c r="X1051" i="37"/>
  <c r="X1052" i="37"/>
  <c r="X1053" i="37"/>
  <c r="X1054" i="37"/>
  <c r="X1055" i="37"/>
  <c r="Y1055" i="37" s="1"/>
  <c r="X1056" i="37"/>
  <c r="X1057" i="37"/>
  <c r="X1059" i="37"/>
  <c r="X1060" i="37"/>
  <c r="X1061" i="37"/>
  <c r="X1062" i="37"/>
  <c r="X1063" i="37"/>
  <c r="X1065" i="37"/>
  <c r="X1066" i="37"/>
  <c r="X1067" i="37"/>
  <c r="X1068" i="37"/>
  <c r="X1069" i="37"/>
  <c r="X1070" i="37"/>
  <c r="X1071" i="37"/>
  <c r="X1072" i="37"/>
  <c r="X1073" i="37"/>
  <c r="X1074" i="37"/>
  <c r="X1075" i="37"/>
  <c r="X1076" i="37"/>
  <c r="X1077" i="37"/>
  <c r="X1078" i="37"/>
  <c r="X1079" i="37"/>
  <c r="X1080" i="37"/>
  <c r="X1081" i="37"/>
  <c r="X1082" i="37"/>
  <c r="X1083" i="37"/>
  <c r="X1084" i="37"/>
  <c r="X1085" i="37"/>
  <c r="X1086" i="37"/>
  <c r="X1087" i="37"/>
  <c r="X1088" i="37"/>
  <c r="X1089" i="37"/>
  <c r="X1090" i="37"/>
  <c r="X1091" i="37"/>
  <c r="X1092" i="37"/>
  <c r="X1093" i="37"/>
  <c r="X1094" i="37"/>
  <c r="X1095" i="37"/>
  <c r="X1096" i="37"/>
  <c r="X1097" i="37"/>
  <c r="X1098" i="37"/>
  <c r="X1099" i="37"/>
  <c r="X1100" i="37"/>
  <c r="X1101" i="37"/>
  <c r="X1102" i="37"/>
  <c r="X1103" i="37"/>
  <c r="X1104" i="37"/>
  <c r="X1105" i="37"/>
  <c r="X1106" i="37"/>
  <c r="X1107" i="37"/>
  <c r="X1108" i="37"/>
  <c r="X1109" i="37"/>
  <c r="X1110" i="37"/>
  <c r="X1111" i="37"/>
  <c r="X1112" i="37"/>
  <c r="X1113" i="37"/>
  <c r="X1114" i="37"/>
  <c r="X1115" i="37"/>
  <c r="X1116" i="37"/>
  <c r="X1117" i="37"/>
  <c r="X1118" i="37"/>
  <c r="X1119" i="37"/>
  <c r="X1120" i="37"/>
  <c r="X1121" i="37"/>
  <c r="X1122" i="37"/>
  <c r="X1123" i="37"/>
  <c r="X1124" i="37"/>
  <c r="X1125" i="37"/>
  <c r="X1126" i="37"/>
  <c r="X1127" i="37"/>
  <c r="X1128" i="37"/>
  <c r="X1129" i="37"/>
  <c r="X1130" i="37"/>
  <c r="X1131" i="37"/>
  <c r="X1132" i="37"/>
  <c r="X1133" i="37"/>
  <c r="X1134" i="37"/>
  <c r="X1135" i="37"/>
  <c r="X1136" i="37"/>
  <c r="X1137" i="37"/>
  <c r="X1138" i="37"/>
  <c r="X1139" i="37"/>
  <c r="X1140" i="37"/>
  <c r="X1141" i="37"/>
  <c r="X1142" i="37"/>
  <c r="X1143" i="37"/>
  <c r="X1144" i="37"/>
  <c r="X1145" i="37"/>
  <c r="X1146" i="37"/>
  <c r="X1147" i="37"/>
  <c r="X1148" i="37"/>
  <c r="X1149" i="37"/>
  <c r="X1150" i="37"/>
  <c r="X1151" i="37"/>
  <c r="X1152" i="37"/>
  <c r="X1153" i="37"/>
  <c r="X1154" i="37"/>
  <c r="X1155" i="37"/>
  <c r="X1156" i="37"/>
  <c r="X1157" i="37"/>
  <c r="X1158" i="37"/>
  <c r="X1159" i="37"/>
  <c r="X1160" i="37"/>
  <c r="X1161" i="37"/>
  <c r="X1162" i="37"/>
  <c r="X1163" i="37"/>
  <c r="X1164" i="37"/>
  <c r="X1165" i="37"/>
  <c r="X1166" i="37"/>
  <c r="X1167" i="37"/>
  <c r="X1168" i="37"/>
  <c r="X1169" i="37"/>
  <c r="X1170" i="37"/>
  <c r="X1171" i="37"/>
  <c r="X1172" i="37"/>
  <c r="X1173" i="37"/>
  <c r="X1174" i="37"/>
  <c r="X1175" i="37"/>
  <c r="X1176" i="37"/>
  <c r="X1177" i="37"/>
  <c r="X1178" i="37"/>
  <c r="X1179" i="37"/>
  <c r="X1180" i="37"/>
  <c r="X1181" i="37"/>
  <c r="X1182" i="37"/>
  <c r="X1183" i="37"/>
  <c r="X1184" i="37"/>
  <c r="X1185" i="37"/>
  <c r="X1186" i="37"/>
  <c r="X1187" i="37"/>
  <c r="X1188" i="37"/>
  <c r="X1189" i="37"/>
  <c r="X1190" i="37"/>
  <c r="X1191" i="37"/>
  <c r="X1192" i="37"/>
  <c r="X1193" i="37"/>
  <c r="X1194" i="37"/>
  <c r="X1195" i="37"/>
  <c r="X1196" i="37"/>
  <c r="X1197" i="37"/>
  <c r="X1198" i="37"/>
  <c r="X1199" i="37"/>
  <c r="X1200" i="37"/>
  <c r="X1201" i="37"/>
  <c r="X1202" i="37"/>
  <c r="X1203" i="37"/>
  <c r="X1204" i="37"/>
  <c r="X1205" i="37"/>
  <c r="X1206" i="37"/>
  <c r="X1207" i="37"/>
  <c r="X1208" i="37"/>
  <c r="X1209" i="37"/>
  <c r="X1210" i="37"/>
  <c r="X1211" i="37"/>
  <c r="X1212" i="37"/>
  <c r="X1213" i="37"/>
  <c r="X1214" i="37"/>
  <c r="X1215" i="37"/>
  <c r="X1216" i="37"/>
  <c r="X1217" i="37"/>
  <c r="X1218" i="37"/>
  <c r="X1219" i="37"/>
  <c r="X1220" i="37"/>
  <c r="X1221" i="37"/>
  <c r="X1222" i="37"/>
  <c r="X1223" i="37"/>
  <c r="X1224" i="37"/>
  <c r="X1225" i="37"/>
  <c r="X1226" i="37"/>
  <c r="X1227" i="37"/>
  <c r="X1228" i="37"/>
  <c r="X1229" i="37"/>
  <c r="X1230" i="37"/>
  <c r="X1231" i="37"/>
  <c r="X1232" i="37"/>
  <c r="X1233" i="37"/>
  <c r="X1234" i="37"/>
  <c r="X1235" i="37"/>
  <c r="X1236" i="37"/>
  <c r="X1237" i="37"/>
  <c r="X1238" i="37"/>
  <c r="X1239" i="37"/>
  <c r="X1240" i="37"/>
  <c r="X1241" i="37"/>
  <c r="X1242" i="37"/>
  <c r="X1243" i="37"/>
  <c r="X1244" i="37"/>
  <c r="X1245" i="37"/>
  <c r="X1246" i="37"/>
  <c r="X1247" i="37"/>
  <c r="X1248" i="37"/>
  <c r="X1249" i="37"/>
  <c r="X1250" i="37"/>
  <c r="X1251" i="37"/>
  <c r="X1252" i="37"/>
  <c r="X1253" i="37"/>
  <c r="X1254" i="37"/>
  <c r="X1255" i="37"/>
  <c r="X1256" i="37"/>
  <c r="X1257" i="37"/>
  <c r="X1258" i="37"/>
  <c r="X1259" i="37"/>
  <c r="X1260" i="37"/>
  <c r="X1261" i="37"/>
  <c r="X1262" i="37"/>
  <c r="X1263" i="37"/>
  <c r="X1264" i="37"/>
  <c r="X1265" i="37"/>
  <c r="X1266" i="37"/>
  <c r="X1267" i="37"/>
  <c r="X1268" i="37"/>
  <c r="X1269" i="37"/>
  <c r="X1270" i="37"/>
  <c r="X1271" i="37"/>
  <c r="X1272" i="37"/>
  <c r="X1273" i="37"/>
  <c r="X1274" i="37"/>
  <c r="X1275" i="37"/>
  <c r="X1276" i="37"/>
  <c r="X1277" i="37"/>
  <c r="X1278" i="37"/>
  <c r="X1279" i="37"/>
  <c r="X1280" i="37"/>
  <c r="X1281" i="37"/>
  <c r="X1282" i="37"/>
  <c r="X1283" i="37"/>
  <c r="X1284" i="37"/>
  <c r="X1285" i="37"/>
  <c r="X1286" i="37"/>
  <c r="X1287" i="37"/>
  <c r="X1288" i="37"/>
  <c r="X1289" i="37"/>
  <c r="X1290" i="37"/>
  <c r="X1291" i="37"/>
  <c r="X1292" i="37"/>
  <c r="X1293" i="37"/>
  <c r="X1294" i="37"/>
  <c r="X1295" i="37"/>
  <c r="X1296" i="37"/>
  <c r="X1297" i="37"/>
  <c r="X1298" i="37"/>
  <c r="X1299" i="37"/>
  <c r="X1300" i="37"/>
  <c r="X1301" i="37"/>
  <c r="X1302" i="37"/>
  <c r="X1303" i="37"/>
  <c r="X1304" i="37"/>
  <c r="X1305" i="37"/>
  <c r="X1306" i="37"/>
  <c r="X1307" i="37"/>
  <c r="X1308" i="37"/>
  <c r="X1309" i="37"/>
  <c r="X1310" i="37"/>
  <c r="X1311" i="37"/>
  <c r="X1312" i="37"/>
  <c r="X1313" i="37"/>
  <c r="X1314" i="37"/>
  <c r="X1315" i="37"/>
  <c r="X1316" i="37"/>
  <c r="X1317" i="37"/>
  <c r="X1318" i="37"/>
  <c r="X1319" i="37"/>
  <c r="X1320" i="37"/>
  <c r="X1321" i="37"/>
  <c r="X1322" i="37"/>
  <c r="X1323" i="37"/>
  <c r="X1324" i="37"/>
  <c r="X1325" i="37"/>
  <c r="X1326" i="37"/>
  <c r="X1327" i="37"/>
  <c r="X1328" i="37"/>
  <c r="X1329" i="37"/>
  <c r="X1330" i="37"/>
  <c r="X1331" i="37"/>
  <c r="X1332" i="37"/>
  <c r="X1333" i="37"/>
  <c r="X1334" i="37"/>
  <c r="X1335" i="37"/>
  <c r="X1336" i="37"/>
  <c r="X1337" i="37"/>
  <c r="X1338" i="37"/>
  <c r="X1339" i="37"/>
  <c r="X1340" i="37"/>
  <c r="X1341" i="37"/>
  <c r="X1342" i="37"/>
  <c r="X1343" i="37"/>
  <c r="X1344" i="37"/>
  <c r="X1345" i="37"/>
  <c r="X1346" i="37"/>
  <c r="X1347" i="37"/>
  <c r="X1348" i="37"/>
  <c r="X1349" i="37"/>
  <c r="X1350" i="37"/>
  <c r="X1351" i="37"/>
  <c r="X1352" i="37"/>
  <c r="X1353" i="37"/>
  <c r="X1354" i="37"/>
  <c r="X1355" i="37"/>
  <c r="X1356" i="37"/>
  <c r="X1357" i="37"/>
  <c r="X1358" i="37"/>
  <c r="X1359" i="37"/>
  <c r="X1360" i="37"/>
  <c r="X1361" i="37"/>
  <c r="X1362" i="37"/>
  <c r="X1363" i="37"/>
  <c r="X1364" i="37"/>
  <c r="X1365" i="37"/>
  <c r="X1366" i="37"/>
  <c r="X1367" i="37"/>
  <c r="X1368" i="37"/>
  <c r="X1369" i="37"/>
  <c r="X1370" i="37"/>
  <c r="X1371" i="37"/>
  <c r="X1372" i="37"/>
  <c r="X1373" i="37"/>
  <c r="X1374" i="37"/>
  <c r="X1375" i="37"/>
  <c r="X1376" i="37"/>
  <c r="X1377" i="37"/>
  <c r="X1378" i="37"/>
  <c r="X1379" i="37"/>
  <c r="X1380" i="37"/>
  <c r="X1381" i="37"/>
  <c r="X1382" i="37"/>
  <c r="X1383" i="37"/>
  <c r="X1384" i="37"/>
  <c r="X1385" i="37"/>
  <c r="X1386" i="37"/>
  <c r="X1387" i="37"/>
  <c r="X1388" i="37"/>
  <c r="X1389" i="37"/>
  <c r="X1390" i="37"/>
  <c r="X1391" i="37"/>
  <c r="X1392" i="37"/>
  <c r="X1393" i="37"/>
  <c r="X1394" i="37"/>
  <c r="X1395" i="37"/>
  <c r="X1396" i="37"/>
  <c r="X1397" i="37"/>
  <c r="X1398" i="37"/>
  <c r="X1399" i="37"/>
  <c r="X1400" i="37"/>
  <c r="X1401" i="37"/>
  <c r="X1402" i="37"/>
  <c r="X1403" i="37"/>
  <c r="X1404" i="37"/>
  <c r="X1405" i="37"/>
  <c r="X1406" i="37"/>
  <c r="X1407" i="37"/>
  <c r="X1408" i="37"/>
  <c r="X1409" i="37"/>
  <c r="X1410" i="37"/>
  <c r="X1411" i="37"/>
  <c r="X1412" i="37"/>
  <c r="X1413" i="37"/>
  <c r="X1414" i="37"/>
  <c r="X1415" i="37"/>
  <c r="X1416" i="37"/>
  <c r="X1417" i="37"/>
  <c r="X1418" i="37"/>
  <c r="X1419" i="37"/>
  <c r="X1420" i="37"/>
  <c r="X1421" i="37"/>
  <c r="X1422" i="37"/>
  <c r="X1423" i="37"/>
  <c r="X1424" i="37"/>
  <c r="X1425" i="37"/>
  <c r="X1426" i="37"/>
  <c r="X1427" i="37"/>
  <c r="X1428" i="37"/>
  <c r="X1429" i="37"/>
  <c r="X1430" i="37"/>
  <c r="X1431" i="37"/>
  <c r="X1432" i="37"/>
  <c r="X1433" i="37"/>
  <c r="X1434" i="37"/>
  <c r="X1435" i="37"/>
  <c r="X1436" i="37"/>
  <c r="X1437" i="37"/>
  <c r="X1438" i="37"/>
  <c r="X1439" i="37"/>
  <c r="X1440" i="37"/>
  <c r="X1441" i="37"/>
  <c r="X1442" i="37"/>
  <c r="X1443" i="37"/>
  <c r="X1444" i="37"/>
  <c r="X1445" i="37"/>
  <c r="X1446" i="37"/>
  <c r="X1447" i="37"/>
  <c r="X1448" i="37"/>
  <c r="X1449" i="37"/>
  <c r="X1450" i="37"/>
  <c r="X1451" i="37"/>
  <c r="X1452" i="37"/>
  <c r="X1453" i="37"/>
  <c r="X1454" i="37"/>
  <c r="X1455" i="37"/>
  <c r="X1456" i="37"/>
  <c r="X1457" i="37"/>
  <c r="X1458" i="37"/>
  <c r="X1459" i="37"/>
  <c r="X1460" i="37"/>
  <c r="X1461" i="37"/>
  <c r="X1462" i="37"/>
  <c r="X1463" i="37"/>
  <c r="X1464" i="37"/>
  <c r="X1465" i="37"/>
  <c r="X1466" i="37"/>
  <c r="X1467" i="37"/>
  <c r="X1468" i="37"/>
  <c r="X1469" i="37"/>
  <c r="X1470" i="37"/>
  <c r="X1471" i="37"/>
  <c r="X1472" i="37"/>
  <c r="X1473" i="37"/>
  <c r="X1474" i="37"/>
  <c r="X1475" i="37"/>
  <c r="X1476" i="37"/>
  <c r="X1477" i="37"/>
  <c r="X1478" i="37"/>
  <c r="X1479" i="37"/>
  <c r="X1480" i="37"/>
  <c r="X1481" i="37"/>
  <c r="X1482" i="37"/>
  <c r="X1483" i="37"/>
  <c r="X1484" i="37"/>
  <c r="X1485" i="37"/>
  <c r="X1486" i="37"/>
  <c r="X1487" i="37"/>
  <c r="X1488" i="37"/>
  <c r="X1489" i="37"/>
  <c r="X1490" i="37"/>
  <c r="X1491" i="37"/>
  <c r="X1492" i="37"/>
  <c r="Y2" i="37"/>
  <c r="Y3" i="37"/>
  <c r="Y4" i="37"/>
  <c r="Y5" i="37"/>
  <c r="Y6" i="37"/>
  <c r="Y7" i="37"/>
  <c r="Y8" i="37"/>
  <c r="Y9" i="37"/>
  <c r="Y10" i="37"/>
  <c r="Y11" i="37"/>
  <c r="Y12" i="37"/>
  <c r="Y13" i="37"/>
  <c r="Y14" i="37"/>
  <c r="Y15" i="37"/>
  <c r="Y16" i="37"/>
  <c r="Y17" i="37"/>
  <c r="Y18" i="37"/>
  <c r="Y19" i="37"/>
  <c r="Y20" i="37"/>
  <c r="Y21" i="37"/>
  <c r="Y22" i="37"/>
  <c r="Y23" i="37"/>
  <c r="Y24" i="37"/>
  <c r="Y25" i="37"/>
  <c r="Y26" i="37"/>
  <c r="Y27" i="37"/>
  <c r="Y28" i="37"/>
  <c r="Y29" i="37"/>
  <c r="Y30" i="37"/>
  <c r="Y31" i="37"/>
  <c r="Y33" i="37"/>
  <c r="Y34" i="37"/>
  <c r="Y35" i="37"/>
  <c r="Y36" i="37"/>
  <c r="Y37" i="37"/>
  <c r="Y38" i="37"/>
  <c r="Y39" i="37"/>
  <c r="Y40" i="37"/>
  <c r="Y41" i="37"/>
  <c r="Y42" i="37"/>
  <c r="Y43" i="37"/>
  <c r="Y44" i="37"/>
  <c r="Y45" i="37"/>
  <c r="Y46" i="37"/>
  <c r="Y47" i="37"/>
  <c r="Y48" i="37"/>
  <c r="Y49" i="37"/>
  <c r="Y50" i="37"/>
  <c r="Y51" i="37"/>
  <c r="Y52" i="37"/>
  <c r="Y53" i="37"/>
  <c r="Y54" i="37"/>
  <c r="Y55" i="37"/>
  <c r="Y57" i="37"/>
  <c r="Y58" i="37"/>
  <c r="Y59" i="37"/>
  <c r="Y60" i="37"/>
  <c r="Y62" i="37"/>
  <c r="Y63" i="37"/>
  <c r="Y64" i="37"/>
  <c r="Y65" i="37"/>
  <c r="Y66" i="37"/>
  <c r="Y67" i="37"/>
  <c r="Y68" i="37"/>
  <c r="Y69" i="37"/>
  <c r="Y70" i="37"/>
  <c r="Y71" i="37"/>
  <c r="Y72" i="37"/>
  <c r="Y73" i="37"/>
  <c r="Y74" i="37"/>
  <c r="Y75" i="37"/>
  <c r="Y76" i="37"/>
  <c r="Y77" i="37"/>
  <c r="Y78" i="37"/>
  <c r="Y79" i="37"/>
  <c r="Y80" i="37"/>
  <c r="Y81" i="37"/>
  <c r="Y82" i="37"/>
  <c r="Y83" i="37"/>
  <c r="Y84" i="37"/>
  <c r="Y85" i="37"/>
  <c r="Y86" i="37"/>
  <c r="Y87" i="37"/>
  <c r="Y88" i="37"/>
  <c r="Y89" i="37"/>
  <c r="Y90" i="37"/>
  <c r="Y91" i="37"/>
  <c r="Y92" i="37"/>
  <c r="Y93" i="37"/>
  <c r="Y94" i="37"/>
  <c r="Y95" i="37"/>
  <c r="Y96" i="37"/>
  <c r="Y97" i="37"/>
  <c r="Y98" i="37"/>
  <c r="Y99" i="37"/>
  <c r="Y100" i="37"/>
  <c r="Y101" i="37"/>
  <c r="Y102" i="37"/>
  <c r="Y103" i="37"/>
  <c r="Y104" i="37"/>
  <c r="Y105" i="37"/>
  <c r="Y107" i="37"/>
  <c r="Y108" i="37"/>
  <c r="Y109" i="37"/>
  <c r="Y110" i="37"/>
  <c r="Y111" i="37"/>
  <c r="Y112" i="37"/>
  <c r="Y113" i="37"/>
  <c r="Y114" i="37"/>
  <c r="Y115" i="37"/>
  <c r="Y116" i="37"/>
  <c r="Y117" i="37"/>
  <c r="Y118" i="37"/>
  <c r="Y119" i="37"/>
  <c r="Y120" i="37"/>
  <c r="Y121" i="37"/>
  <c r="Y122" i="37"/>
  <c r="Y123" i="37"/>
  <c r="Y124" i="37"/>
  <c r="Y125" i="37"/>
  <c r="Y126" i="37"/>
  <c r="Y127" i="37"/>
  <c r="Y128" i="37"/>
  <c r="Y129" i="37"/>
  <c r="Y130" i="37"/>
  <c r="Y131" i="37"/>
  <c r="Y132" i="37"/>
  <c r="Y133" i="37"/>
  <c r="Y135" i="37"/>
  <c r="Y136" i="37"/>
  <c r="Y137" i="37"/>
  <c r="Y138" i="37"/>
  <c r="Y140" i="37"/>
  <c r="Y141" i="37"/>
  <c r="Y142" i="37"/>
  <c r="Y143" i="37"/>
  <c r="Y144" i="37"/>
  <c r="Y145" i="37"/>
  <c r="Y147" i="37"/>
  <c r="Y148" i="37"/>
  <c r="Y149" i="37"/>
  <c r="Y150" i="37"/>
  <c r="Y151" i="37"/>
  <c r="Y152" i="37"/>
  <c r="Y153" i="37"/>
  <c r="Y154" i="37"/>
  <c r="Y155" i="37"/>
  <c r="Y156" i="37"/>
  <c r="Y158" i="37"/>
  <c r="Y159" i="37"/>
  <c r="Y160" i="37"/>
  <c r="Y162" i="37"/>
  <c r="Y163" i="37"/>
  <c r="Y164" i="37"/>
  <c r="Y168" i="37"/>
  <c r="Y170" i="37"/>
  <c r="Y171" i="37"/>
  <c r="Y172" i="37"/>
  <c r="Y173" i="37"/>
  <c r="Y174" i="37"/>
  <c r="Y175" i="37"/>
  <c r="Y176" i="37"/>
  <c r="Y177" i="37"/>
  <c r="Y178" i="37"/>
  <c r="Y179" i="37"/>
  <c r="Y180" i="37"/>
  <c r="Y181" i="37"/>
  <c r="Y182" i="37"/>
  <c r="Y184" i="37"/>
  <c r="Y185" i="37"/>
  <c r="Y186" i="37"/>
  <c r="Y187" i="37"/>
  <c r="Y188" i="37"/>
  <c r="Y189" i="37"/>
  <c r="Y190" i="37"/>
  <c r="Y191" i="37"/>
  <c r="Y192" i="37"/>
  <c r="Y194" i="37"/>
  <c r="Y195" i="37"/>
  <c r="Y196" i="37"/>
  <c r="Y197" i="37"/>
  <c r="Y198" i="37"/>
  <c r="Y199" i="37"/>
  <c r="Y200" i="37"/>
  <c r="Y201" i="37"/>
  <c r="Y202" i="37"/>
  <c r="Y203" i="37"/>
  <c r="Y204" i="37"/>
  <c r="Y205" i="37"/>
  <c r="Y207" i="37"/>
  <c r="Y208" i="37"/>
  <c r="Y209" i="37"/>
  <c r="Y210" i="37"/>
  <c r="Y211" i="37"/>
  <c r="Y212" i="37"/>
  <c r="Y213" i="37"/>
  <c r="Y214" i="37"/>
  <c r="Y215" i="37"/>
  <c r="Y216" i="37"/>
  <c r="Y217" i="37"/>
  <c r="Y218" i="37"/>
  <c r="Y219" i="37"/>
  <c r="Y220" i="37"/>
  <c r="Y221" i="37"/>
  <c r="Y222" i="37"/>
  <c r="Y223" i="37"/>
  <c r="Y224" i="37"/>
  <c r="Y225" i="37"/>
  <c r="Y226" i="37"/>
  <c r="Y227" i="37"/>
  <c r="Y228" i="37"/>
  <c r="Y229" i="37"/>
  <c r="Y230" i="37"/>
  <c r="Y232" i="37"/>
  <c r="Y234" i="37"/>
  <c r="Y236" i="37"/>
  <c r="Y237" i="37"/>
  <c r="Y238" i="37"/>
  <c r="Y239" i="37"/>
  <c r="Y240" i="37"/>
  <c r="Y242" i="37"/>
  <c r="Y243" i="37"/>
  <c r="Y244" i="37"/>
  <c r="Y245" i="37"/>
  <c r="Y246" i="37"/>
  <c r="Y247" i="37"/>
  <c r="Y248" i="37"/>
  <c r="Y249" i="37"/>
  <c r="Y251" i="37"/>
  <c r="Y252" i="37"/>
  <c r="Y253" i="37"/>
  <c r="Y254" i="37"/>
  <c r="Y256" i="37"/>
  <c r="Y257" i="37"/>
  <c r="Y258" i="37"/>
  <c r="Y259" i="37"/>
  <c r="Y260" i="37"/>
  <c r="Y261" i="37"/>
  <c r="Y262" i="37"/>
  <c r="Y263" i="37"/>
  <c r="Y264" i="37"/>
  <c r="Y265" i="37"/>
  <c r="Y266" i="37"/>
  <c r="Y268" i="37"/>
  <c r="Y269" i="37"/>
  <c r="Y270" i="37"/>
  <c r="Y271" i="37"/>
  <c r="Y272" i="37"/>
  <c r="Y273" i="37"/>
  <c r="Y274" i="37"/>
  <c r="Y275" i="37"/>
  <c r="Y276" i="37"/>
  <c r="Y277" i="37"/>
  <c r="Y279" i="37"/>
  <c r="Y280" i="37"/>
  <c r="Y281" i="37"/>
  <c r="Y282" i="37"/>
  <c r="Y283" i="37"/>
  <c r="Y284" i="37"/>
  <c r="Y285" i="37"/>
  <c r="Y286" i="37"/>
  <c r="Y287" i="37"/>
  <c r="Y288" i="37"/>
  <c r="Y289" i="37"/>
  <c r="Y290" i="37"/>
  <c r="Y291" i="37"/>
  <c r="Y292" i="37"/>
  <c r="Y293" i="37"/>
  <c r="Y294" i="37"/>
  <c r="Y295" i="37"/>
  <c r="Y296" i="37"/>
  <c r="Y297" i="37"/>
  <c r="Y298" i="37"/>
  <c r="Y299" i="37"/>
  <c r="Y300" i="37"/>
  <c r="Y301" i="37"/>
  <c r="Y302" i="37"/>
  <c r="Y303" i="37"/>
  <c r="Y304" i="37"/>
  <c r="Y305" i="37"/>
  <c r="Y306" i="37"/>
  <c r="Y307" i="37"/>
  <c r="Y308" i="37"/>
  <c r="Y309" i="37"/>
  <c r="Y310" i="37"/>
  <c r="Y311" i="37"/>
  <c r="Y312" i="37"/>
  <c r="Y313" i="37"/>
  <c r="Y314" i="37"/>
  <c r="Y315" i="37"/>
  <c r="Y316" i="37"/>
  <c r="Y317" i="37"/>
  <c r="Y318" i="37"/>
  <c r="Y319" i="37"/>
  <c r="Y320" i="37"/>
  <c r="Y321" i="37"/>
  <c r="Y322" i="37"/>
  <c r="Y323" i="37"/>
  <c r="Y324" i="37"/>
  <c r="Y325" i="37"/>
  <c r="Y326" i="37"/>
  <c r="Y327" i="37"/>
  <c r="Y328" i="37"/>
  <c r="Y329" i="37"/>
  <c r="Y330" i="37"/>
  <c r="Y331" i="37"/>
  <c r="Y332" i="37"/>
  <c r="Y333" i="37"/>
  <c r="Y334" i="37"/>
  <c r="Y335" i="37"/>
  <c r="Y336" i="37"/>
  <c r="Y338" i="37"/>
  <c r="Y339" i="37"/>
  <c r="Y340" i="37"/>
  <c r="Y341" i="37"/>
  <c r="Y342" i="37"/>
  <c r="Y343" i="37"/>
  <c r="Y344" i="37"/>
  <c r="Y345" i="37"/>
  <c r="Y346" i="37"/>
  <c r="Y347" i="37"/>
  <c r="Y348" i="37"/>
  <c r="Y349" i="37"/>
  <c r="Y350" i="37"/>
  <c r="Y351" i="37"/>
  <c r="Y352" i="37"/>
  <c r="Y353" i="37"/>
  <c r="Y354" i="37"/>
  <c r="Y355" i="37"/>
  <c r="Y356" i="37"/>
  <c r="Y357" i="37"/>
  <c r="Y358" i="37"/>
  <c r="Y359" i="37"/>
  <c r="Y360" i="37"/>
  <c r="Y361" i="37"/>
  <c r="Y362" i="37"/>
  <c r="Y363" i="37"/>
  <c r="Y364" i="37"/>
  <c r="Y365" i="37"/>
  <c r="Y366" i="37"/>
  <c r="Y367" i="37"/>
  <c r="Y368" i="37"/>
  <c r="Y369" i="37"/>
  <c r="Y370" i="37"/>
  <c r="Y371" i="37"/>
  <c r="Y372" i="37"/>
  <c r="Y373" i="37"/>
  <c r="Y374" i="37"/>
  <c r="Y375" i="37"/>
  <c r="Y376" i="37"/>
  <c r="Y377" i="37"/>
  <c r="Y378" i="37"/>
  <c r="Y379" i="37"/>
  <c r="Y380" i="37"/>
  <c r="Y381" i="37"/>
  <c r="Y382" i="37"/>
  <c r="Y383" i="37"/>
  <c r="Y384" i="37"/>
  <c r="Y385" i="37"/>
  <c r="Y386" i="37"/>
  <c r="Y387" i="37"/>
  <c r="Y388" i="37"/>
  <c r="Y389" i="37"/>
  <c r="Y390" i="37"/>
  <c r="Y391" i="37"/>
  <c r="Y392" i="37"/>
  <c r="Y393" i="37"/>
  <c r="Y394" i="37"/>
  <c r="Y395" i="37"/>
  <c r="Y396" i="37"/>
  <c r="Y397" i="37"/>
  <c r="Y398" i="37"/>
  <c r="Y399" i="37"/>
  <c r="Y400" i="37"/>
  <c r="Y401" i="37"/>
  <c r="Y402" i="37"/>
  <c r="Y403" i="37"/>
  <c r="Y404" i="37"/>
  <c r="Y405" i="37"/>
  <c r="Y406" i="37"/>
  <c r="Y407" i="37"/>
  <c r="Y408" i="37"/>
  <c r="Y409" i="37"/>
  <c r="Y410" i="37"/>
  <c r="Y411" i="37"/>
  <c r="Y412" i="37"/>
  <c r="Y413" i="37"/>
  <c r="Y414" i="37"/>
  <c r="Y415" i="37"/>
  <c r="Y416" i="37"/>
  <c r="Y417" i="37"/>
  <c r="Y418" i="37"/>
  <c r="Y419" i="37"/>
  <c r="Y420" i="37"/>
  <c r="Y421" i="37"/>
  <c r="Y422" i="37"/>
  <c r="Y423" i="37"/>
  <c r="Y424" i="37"/>
  <c r="Y425" i="37"/>
  <c r="Y426" i="37"/>
  <c r="Y427" i="37"/>
  <c r="Y428" i="37"/>
  <c r="Y429" i="37"/>
  <c r="Y430" i="37"/>
  <c r="Y431" i="37"/>
  <c r="Y432" i="37"/>
  <c r="Y433" i="37"/>
  <c r="Y434" i="37"/>
  <c r="Y435" i="37"/>
  <c r="Y436" i="37"/>
  <c r="Y437" i="37"/>
  <c r="Y438" i="37"/>
  <c r="Y439" i="37"/>
  <c r="Y440" i="37"/>
  <c r="Y441" i="37"/>
  <c r="Y442" i="37"/>
  <c r="Y443" i="37"/>
  <c r="Y444" i="37"/>
  <c r="Y445" i="37"/>
  <c r="Y446" i="37"/>
  <c r="Y447" i="37"/>
  <c r="Y448" i="37"/>
  <c r="Y449" i="37"/>
  <c r="Y450" i="37"/>
  <c r="Y451" i="37"/>
  <c r="Y452" i="37"/>
  <c r="Y453" i="37"/>
  <c r="Y454" i="37"/>
  <c r="Y455" i="37"/>
  <c r="Y456" i="37"/>
  <c r="Y457" i="37"/>
  <c r="Y458" i="37"/>
  <c r="Y459" i="37"/>
  <c r="Y460" i="37"/>
  <c r="Y461" i="37"/>
  <c r="Y462" i="37"/>
  <c r="Y464" i="37"/>
  <c r="Y465" i="37"/>
  <c r="Y466" i="37"/>
  <c r="Y467" i="37"/>
  <c r="Y468" i="37"/>
  <c r="Y469" i="37"/>
  <c r="Y470" i="37"/>
  <c r="Y471" i="37"/>
  <c r="Y472" i="37"/>
  <c r="Y473" i="37"/>
  <c r="Y474" i="37"/>
  <c r="Y475" i="37"/>
  <c r="Y476" i="37"/>
  <c r="Y477" i="37"/>
  <c r="Y478" i="37"/>
  <c r="Y479" i="37"/>
  <c r="Y480" i="37"/>
  <c r="Y481" i="37"/>
  <c r="Y482" i="37"/>
  <c r="Y483" i="37"/>
  <c r="Y484" i="37"/>
  <c r="Y485" i="37"/>
  <c r="Y486" i="37"/>
  <c r="Y487" i="37"/>
  <c r="Y488" i="37"/>
  <c r="Y489" i="37"/>
  <c r="Y490" i="37"/>
  <c r="Y491" i="37"/>
  <c r="Y492" i="37"/>
  <c r="Y493" i="37"/>
  <c r="Y494" i="37"/>
  <c r="Y495" i="37"/>
  <c r="Y496" i="37"/>
  <c r="Y497" i="37"/>
  <c r="Y498" i="37"/>
  <c r="Y499" i="37"/>
  <c r="Y500" i="37"/>
  <c r="Y501" i="37"/>
  <c r="Y502" i="37"/>
  <c r="Y503" i="37"/>
  <c r="Y504" i="37"/>
  <c r="Y505" i="37"/>
  <c r="Y506" i="37"/>
  <c r="Y508" i="37"/>
  <c r="Y509" i="37"/>
  <c r="Y510" i="37"/>
  <c r="Y511" i="37"/>
  <c r="Y512" i="37"/>
  <c r="Y513" i="37"/>
  <c r="Y514" i="37"/>
  <c r="Y515" i="37"/>
  <c r="Y516" i="37"/>
  <c r="Y517" i="37"/>
  <c r="Y518" i="37"/>
  <c r="Y519" i="37"/>
  <c r="Y520" i="37"/>
  <c r="Y521" i="37"/>
  <c r="Y522" i="37"/>
  <c r="Y523" i="37"/>
  <c r="Y524" i="37"/>
  <c r="Y525" i="37"/>
  <c r="Y526" i="37"/>
  <c r="Y527" i="37"/>
  <c r="Y528" i="37"/>
  <c r="Y529" i="37"/>
  <c r="Y530" i="37"/>
  <c r="Y531" i="37"/>
  <c r="Y532" i="37"/>
  <c r="Y533" i="37"/>
  <c r="Y534" i="37"/>
  <c r="Y535" i="37"/>
  <c r="Y536" i="37"/>
  <c r="Y537" i="37"/>
  <c r="Y538" i="37"/>
  <c r="Y539" i="37"/>
  <c r="Y540" i="37"/>
  <c r="Y541" i="37"/>
  <c r="Y542" i="37"/>
  <c r="Y543" i="37"/>
  <c r="Y544" i="37"/>
  <c r="Y545" i="37"/>
  <c r="Y546" i="37"/>
  <c r="Y547" i="37"/>
  <c r="Y548" i="37"/>
  <c r="Y549" i="37"/>
  <c r="Y550" i="37"/>
  <c r="Y551" i="37"/>
  <c r="Y552" i="37"/>
  <c r="Y553" i="37"/>
  <c r="Y554" i="37"/>
  <c r="Y555" i="37"/>
  <c r="Y556" i="37"/>
  <c r="Y557" i="37"/>
  <c r="Y558" i="37"/>
  <c r="Y559" i="37"/>
  <c r="Y560" i="37"/>
  <c r="Y561" i="37"/>
  <c r="Y562" i="37"/>
  <c r="Y563" i="37"/>
  <c r="Y564" i="37"/>
  <c r="Y565" i="37"/>
  <c r="Y566" i="37"/>
  <c r="Y567" i="37"/>
  <c r="Y568" i="37"/>
  <c r="Y569" i="37"/>
  <c r="Y570" i="37"/>
  <c r="Y571" i="37"/>
  <c r="Y572" i="37"/>
  <c r="Y573" i="37"/>
  <c r="Y574" i="37"/>
  <c r="Y575" i="37"/>
  <c r="Y576" i="37"/>
  <c r="Y577" i="37"/>
  <c r="Y578" i="37"/>
  <c r="Y579" i="37"/>
  <c r="Y580" i="37"/>
  <c r="Y581" i="37"/>
  <c r="Y582" i="37"/>
  <c r="Y583" i="37"/>
  <c r="Y584" i="37"/>
  <c r="Y585" i="37"/>
  <c r="Y586" i="37"/>
  <c r="Y587" i="37"/>
  <c r="Y588" i="37"/>
  <c r="Y589" i="37"/>
  <c r="Y590" i="37"/>
  <c r="Y591" i="37"/>
  <c r="Y592" i="37"/>
  <c r="Y593" i="37"/>
  <c r="Y594" i="37"/>
  <c r="Y595" i="37"/>
  <c r="Y596" i="37"/>
  <c r="Y597" i="37"/>
  <c r="Y598" i="37"/>
  <c r="Y599" i="37"/>
  <c r="Y600" i="37"/>
  <c r="Y601" i="37"/>
  <c r="Y602" i="37"/>
  <c r="Y603" i="37"/>
  <c r="Y604" i="37"/>
  <c r="Y605" i="37"/>
  <c r="Y606" i="37"/>
  <c r="Y607" i="37"/>
  <c r="Y608" i="37"/>
  <c r="Y609" i="37"/>
  <c r="Y610" i="37"/>
  <c r="Y611" i="37"/>
  <c r="Y612" i="37"/>
  <c r="Y613" i="37"/>
  <c r="Y614" i="37"/>
  <c r="Y615" i="37"/>
  <c r="Y616" i="37"/>
  <c r="Y617" i="37"/>
  <c r="Y618" i="37"/>
  <c r="Y619" i="37"/>
  <c r="Y620" i="37"/>
  <c r="Y621" i="37"/>
  <c r="Y622" i="37"/>
  <c r="Y623" i="37"/>
  <c r="Y624" i="37"/>
  <c r="Y625" i="37"/>
  <c r="Y626" i="37"/>
  <c r="Y627" i="37"/>
  <c r="Y628" i="37"/>
  <c r="Y629" i="37"/>
  <c r="Y630" i="37"/>
  <c r="Y631" i="37"/>
  <c r="Y632" i="37"/>
  <c r="Y633" i="37"/>
  <c r="Y634" i="37"/>
  <c r="Y635" i="37"/>
  <c r="Y636" i="37"/>
  <c r="Y637" i="37"/>
  <c r="Y638" i="37"/>
  <c r="Y639" i="37"/>
  <c r="Y640" i="37"/>
  <c r="Y641" i="37"/>
  <c r="Y642" i="37"/>
  <c r="Y643" i="37"/>
  <c r="Y644" i="37"/>
  <c r="Y645" i="37"/>
  <c r="Y646" i="37"/>
  <c r="Y647" i="37"/>
  <c r="Y648" i="37"/>
  <c r="Y649" i="37"/>
  <c r="Y650" i="37"/>
  <c r="Y651" i="37"/>
  <c r="Y652" i="37"/>
  <c r="Y653" i="37"/>
  <c r="Y654" i="37"/>
  <c r="Y655" i="37"/>
  <c r="Y656" i="37"/>
  <c r="Y657" i="37"/>
  <c r="Y658" i="37"/>
  <c r="Y659" i="37"/>
  <c r="Y660" i="37"/>
  <c r="Y661" i="37"/>
  <c r="Y662" i="37"/>
  <c r="Y663" i="37"/>
  <c r="Y664" i="37"/>
  <c r="Y665" i="37"/>
  <c r="Y666" i="37"/>
  <c r="Y667" i="37"/>
  <c r="Y668" i="37"/>
  <c r="Y669" i="37"/>
  <c r="Y670" i="37"/>
  <c r="Y671" i="37"/>
  <c r="Y672" i="37"/>
  <c r="Y673" i="37"/>
  <c r="Y674" i="37"/>
  <c r="Y675" i="37"/>
  <c r="Y676" i="37"/>
  <c r="Y677" i="37"/>
  <c r="Y678" i="37"/>
  <c r="Y679" i="37"/>
  <c r="Y680" i="37"/>
  <c r="Y681" i="37"/>
  <c r="Y682" i="37"/>
  <c r="Y683" i="37"/>
  <c r="Y684" i="37"/>
  <c r="Y685" i="37"/>
  <c r="Y686" i="37"/>
  <c r="Y687" i="37"/>
  <c r="Y688" i="37"/>
  <c r="Y689" i="37"/>
  <c r="Y690" i="37"/>
  <c r="Y691" i="37"/>
  <c r="Y692" i="37"/>
  <c r="Y693" i="37"/>
  <c r="Y694" i="37"/>
  <c r="Y695" i="37"/>
  <c r="Y696" i="37"/>
  <c r="Y697" i="37"/>
  <c r="Y698" i="37"/>
  <c r="Y699" i="37"/>
  <c r="Y700" i="37"/>
  <c r="Y701" i="37"/>
  <c r="Y702" i="37"/>
  <c r="Y703" i="37"/>
  <c r="Y704" i="37"/>
  <c r="Y705" i="37"/>
  <c r="Y706" i="37"/>
  <c r="Y707" i="37"/>
  <c r="Y708" i="37"/>
  <c r="Y709" i="37"/>
  <c r="Y710" i="37"/>
  <c r="Y711" i="37"/>
  <c r="Y712" i="37"/>
  <c r="Y713" i="37"/>
  <c r="Y714" i="37"/>
  <c r="Y715" i="37"/>
  <c r="Y716" i="37"/>
  <c r="Y717" i="37"/>
  <c r="Y718" i="37"/>
  <c r="Y719" i="37"/>
  <c r="Y720" i="37"/>
  <c r="Y721" i="37"/>
  <c r="Y722" i="37"/>
  <c r="Y723" i="37"/>
  <c r="Y724" i="37"/>
  <c r="Y725" i="37"/>
  <c r="Y726" i="37"/>
  <c r="Y727" i="37"/>
  <c r="Y728" i="37"/>
  <c r="Y729" i="37"/>
  <c r="Y730" i="37"/>
  <c r="Y731" i="37"/>
  <c r="Y732" i="37"/>
  <c r="Y733" i="37"/>
  <c r="Y734" i="37"/>
  <c r="Y735" i="37"/>
  <c r="Y736" i="37"/>
  <c r="Y737" i="37"/>
  <c r="Y738" i="37"/>
  <c r="Y739" i="37"/>
  <c r="Y740" i="37"/>
  <c r="Y741" i="37"/>
  <c r="Y742" i="37"/>
  <c r="Y743" i="37"/>
  <c r="Y744" i="37"/>
  <c r="Y745" i="37"/>
  <c r="Y746" i="37"/>
  <c r="Y747" i="37"/>
  <c r="Y748" i="37"/>
  <c r="Y749" i="37"/>
  <c r="Y750" i="37"/>
  <c r="Y752" i="37"/>
  <c r="Y753" i="37"/>
  <c r="Y754" i="37"/>
  <c r="Y755" i="37"/>
  <c r="Y756" i="37"/>
  <c r="Y757" i="37"/>
  <c r="Y758" i="37"/>
  <c r="Y759" i="37"/>
  <c r="Y760" i="37"/>
  <c r="Y761" i="37"/>
  <c r="Y762" i="37"/>
  <c r="Y763" i="37"/>
  <c r="Y764" i="37"/>
  <c r="Y765" i="37"/>
  <c r="Y766" i="37"/>
  <c r="Y767" i="37"/>
  <c r="Y768" i="37"/>
  <c r="Y769" i="37"/>
  <c r="Y770" i="37"/>
  <c r="Y771" i="37"/>
  <c r="Y772" i="37"/>
  <c r="Y773" i="37"/>
  <c r="Y774" i="37"/>
  <c r="Y776" i="37"/>
  <c r="Y777" i="37"/>
  <c r="Y778" i="37"/>
  <c r="Y779" i="37"/>
  <c r="Y780" i="37"/>
  <c r="Y781" i="37"/>
  <c r="Y782" i="37"/>
  <c r="Y783" i="37"/>
  <c r="Y784" i="37"/>
  <c r="Y785" i="37"/>
  <c r="Y786" i="37"/>
  <c r="Y787" i="37"/>
  <c r="Y788" i="37"/>
  <c r="Y789" i="37"/>
  <c r="Y790" i="37"/>
  <c r="Y791" i="37"/>
  <c r="Y792" i="37"/>
  <c r="Y793" i="37"/>
  <c r="Y794" i="37"/>
  <c r="Y795" i="37"/>
  <c r="Y798" i="37"/>
  <c r="Y799" i="37"/>
  <c r="Y800" i="37"/>
  <c r="Y801" i="37"/>
  <c r="Y802" i="37"/>
  <c r="Y803" i="37"/>
  <c r="Y805" i="37"/>
  <c r="Y806" i="37"/>
  <c r="Y807" i="37"/>
  <c r="Y808" i="37"/>
  <c r="Y809" i="37"/>
  <c r="Y810" i="37"/>
  <c r="Y811" i="37"/>
  <c r="Y813" i="37"/>
  <c r="Y815" i="37"/>
  <c r="Y816" i="37"/>
  <c r="Y817" i="37"/>
  <c r="Y818" i="37"/>
  <c r="Y819" i="37"/>
  <c r="Y821" i="37"/>
  <c r="Y822" i="37"/>
  <c r="Y823" i="37"/>
  <c r="Y824" i="37"/>
  <c r="Y825" i="37"/>
  <c r="Y826" i="37"/>
  <c r="Y828" i="37"/>
  <c r="Y829" i="37"/>
  <c r="Y830" i="37"/>
  <c r="Y831" i="37"/>
  <c r="Y832" i="37"/>
  <c r="Y833" i="37"/>
  <c r="Y834" i="37"/>
  <c r="Y835" i="37"/>
  <c r="Y836" i="37"/>
  <c r="Y837" i="37"/>
  <c r="Y838" i="37"/>
  <c r="Y839" i="37"/>
  <c r="Y841" i="37"/>
  <c r="Y842" i="37"/>
  <c r="Y843" i="37"/>
  <c r="Y844" i="37"/>
  <c r="Y846" i="37"/>
  <c r="Y847" i="37"/>
  <c r="Y848" i="37"/>
  <c r="Y849" i="37"/>
  <c r="Y850" i="37"/>
  <c r="Y851" i="37"/>
  <c r="Y852" i="37"/>
  <c r="Y853" i="37"/>
  <c r="Y854" i="37"/>
  <c r="Y855" i="37"/>
  <c r="Y856" i="37"/>
  <c r="Y857" i="37"/>
  <c r="Y859" i="37"/>
  <c r="Y860" i="37"/>
  <c r="Y861" i="37"/>
  <c r="Y862" i="37"/>
  <c r="Y863" i="37"/>
  <c r="Y864" i="37"/>
  <c r="Y865" i="37"/>
  <c r="Y867" i="37"/>
  <c r="Y868" i="37"/>
  <c r="Y869" i="37"/>
  <c r="Y870" i="37"/>
  <c r="Y871" i="37"/>
  <c r="Y872" i="37"/>
  <c r="Y873" i="37"/>
  <c r="Y874" i="37"/>
  <c r="Y875" i="37"/>
  <c r="Y877" i="37"/>
  <c r="Y880" i="37"/>
  <c r="Y881" i="37"/>
  <c r="Y882" i="37"/>
  <c r="Y883" i="37"/>
  <c r="Y884" i="37"/>
  <c r="Y885" i="37"/>
  <c r="Y886" i="37"/>
  <c r="Y888" i="37"/>
  <c r="Y889" i="37"/>
  <c r="Y890" i="37"/>
  <c r="Y891" i="37"/>
  <c r="Y893" i="37"/>
  <c r="Y894" i="37"/>
  <c r="Y895" i="37"/>
  <c r="Y896" i="37"/>
  <c r="Y897" i="37"/>
  <c r="Y898" i="37"/>
  <c r="Y900" i="37"/>
  <c r="Y901" i="37"/>
  <c r="Y902" i="37"/>
  <c r="Y903" i="37"/>
  <c r="Y904" i="37"/>
  <c r="Y905" i="37"/>
  <c r="Y906" i="37"/>
  <c r="Y907" i="37"/>
  <c r="Y909" i="37"/>
  <c r="Y910" i="37"/>
  <c r="Y912" i="37"/>
  <c r="Y913" i="37"/>
  <c r="Y914" i="37"/>
  <c r="Y915" i="37"/>
  <c r="Y916" i="37"/>
  <c r="Y917" i="37"/>
  <c r="Y918" i="37"/>
  <c r="Y919" i="37"/>
  <c r="Y920" i="37"/>
  <c r="Y921" i="37"/>
  <c r="Y922" i="37"/>
  <c r="Y923" i="37"/>
  <c r="Y924" i="37"/>
  <c r="Y926" i="37"/>
  <c r="Y927" i="37"/>
  <c r="Y928" i="37"/>
  <c r="Y929" i="37"/>
  <c r="Y930" i="37"/>
  <c r="Y931" i="37"/>
  <c r="Y932" i="37"/>
  <c r="Y933" i="37"/>
  <c r="Y935" i="37"/>
  <c r="Y936" i="37"/>
  <c r="Y937" i="37"/>
  <c r="Y938" i="37"/>
  <c r="Y939" i="37"/>
  <c r="Y940" i="37"/>
  <c r="Y941" i="37"/>
  <c r="Y942" i="37"/>
  <c r="Y943" i="37"/>
  <c r="Y944" i="37"/>
  <c r="Y945" i="37"/>
  <c r="Y946" i="37"/>
  <c r="Y947" i="37"/>
  <c r="Y950" i="37"/>
  <c r="Y951" i="37"/>
  <c r="Y952" i="37"/>
  <c r="Y953" i="37"/>
  <c r="Y954" i="37"/>
  <c r="Y955" i="37"/>
  <c r="Y956" i="37"/>
  <c r="Y957" i="37"/>
  <c r="Y958" i="37"/>
  <c r="Y959" i="37"/>
  <c r="Y960" i="37"/>
  <c r="Y961" i="37"/>
  <c r="Y962" i="37"/>
  <c r="Y963" i="37"/>
  <c r="Y964" i="37"/>
  <c r="Y965" i="37"/>
  <c r="Y966" i="37"/>
  <c r="Y967" i="37"/>
  <c r="Y968" i="37"/>
  <c r="Y969" i="37"/>
  <c r="Y970" i="37"/>
  <c r="Y971" i="37"/>
  <c r="Y972" i="37"/>
  <c r="Y973" i="37"/>
  <c r="Y974" i="37"/>
  <c r="Y975" i="37"/>
  <c r="Y976" i="37"/>
  <c r="Y977" i="37"/>
  <c r="Y978" i="37"/>
  <c r="Y979" i="37"/>
  <c r="Y980" i="37"/>
  <c r="Y981" i="37"/>
  <c r="Y982" i="37"/>
  <c r="Y983" i="37"/>
  <c r="Y984" i="37"/>
  <c r="Y985" i="37"/>
  <c r="Y986" i="37"/>
  <c r="Y987" i="37"/>
  <c r="Y988" i="37"/>
  <c r="Y989" i="37"/>
  <c r="Y990" i="37"/>
  <c r="Y991" i="37"/>
  <c r="Y992" i="37"/>
  <c r="Y993" i="37"/>
  <c r="Y994" i="37"/>
  <c r="Y995" i="37"/>
  <c r="Y996" i="37"/>
  <c r="Y997" i="37"/>
  <c r="Y998" i="37"/>
  <c r="Y999" i="37"/>
  <c r="Y1000" i="37"/>
  <c r="Y1001" i="37"/>
  <c r="Y1002" i="37"/>
  <c r="Y1003" i="37"/>
  <c r="Y1004" i="37"/>
  <c r="Y1005" i="37"/>
  <c r="Y1006" i="37"/>
  <c r="Y1007" i="37"/>
  <c r="Y1008" i="37"/>
  <c r="Y1009" i="37"/>
  <c r="Y1010" i="37"/>
  <c r="Y1011" i="37"/>
  <c r="Y1012" i="37"/>
  <c r="Y1013" i="37"/>
  <c r="Y1014" i="37"/>
  <c r="Y1015" i="37"/>
  <c r="Y1016" i="37"/>
  <c r="Y1017" i="37"/>
  <c r="Y1018" i="37"/>
  <c r="Y1019" i="37"/>
  <c r="Y1020" i="37"/>
  <c r="Y1021" i="37"/>
  <c r="Y1022" i="37"/>
  <c r="Y1023" i="37"/>
  <c r="Y1024" i="37"/>
  <c r="Y1025" i="37"/>
  <c r="Y1026" i="37"/>
  <c r="Y1027" i="37"/>
  <c r="Y1028" i="37"/>
  <c r="Y1029" i="37"/>
  <c r="Y1030" i="37"/>
  <c r="Y1031" i="37"/>
  <c r="Y1032" i="37"/>
  <c r="Y1033" i="37"/>
  <c r="Y1034" i="37"/>
  <c r="Y1036" i="37"/>
  <c r="Y1037" i="37"/>
  <c r="Y1038" i="37"/>
  <c r="Y1039" i="37"/>
  <c r="Y1040" i="37"/>
  <c r="Y1041" i="37"/>
  <c r="Y1042" i="37"/>
  <c r="Y1043" i="37"/>
  <c r="Y1044" i="37"/>
  <c r="Y1045" i="37"/>
  <c r="Y1046" i="37"/>
  <c r="Y1047" i="37"/>
  <c r="Y1048" i="37"/>
  <c r="Y1049" i="37"/>
  <c r="Y1050" i="37"/>
  <c r="Y1051" i="37"/>
  <c r="Y1052" i="37"/>
  <c r="Y1053" i="37"/>
  <c r="Y1054" i="37"/>
  <c r="Y1056" i="37"/>
  <c r="Y1057" i="37"/>
  <c r="Y1058" i="37"/>
  <c r="Y1059" i="37"/>
  <c r="Y1060" i="37"/>
  <c r="Y1061" i="37"/>
  <c r="Y1062" i="37"/>
  <c r="Y1063" i="37"/>
  <c r="Y1064" i="37"/>
  <c r="Y1065" i="37"/>
  <c r="Y1066" i="37"/>
  <c r="Y1067" i="37"/>
  <c r="Y1068" i="37"/>
  <c r="Y1069" i="37"/>
  <c r="Y1070" i="37"/>
  <c r="Y1071" i="37"/>
  <c r="Y1072" i="37"/>
  <c r="Y1073" i="37"/>
  <c r="Y1074" i="37"/>
  <c r="Y1075" i="37"/>
  <c r="Y1076" i="37"/>
  <c r="Y1077" i="37"/>
  <c r="Y1078" i="37"/>
  <c r="Y1079" i="37"/>
  <c r="Y1080" i="37"/>
  <c r="Y1081" i="37"/>
  <c r="Y1082" i="37"/>
  <c r="Y1083" i="37"/>
  <c r="Y1084" i="37"/>
  <c r="Y1085" i="37"/>
  <c r="Y1086" i="37"/>
  <c r="Y1087" i="37"/>
  <c r="Y1088" i="37"/>
  <c r="Y1089" i="37"/>
  <c r="Y1090" i="37"/>
  <c r="Y1091" i="37"/>
  <c r="Y1092" i="37"/>
  <c r="Y1094" i="37"/>
  <c r="Y1095" i="37"/>
  <c r="Y1096" i="37"/>
  <c r="Y1097" i="37"/>
  <c r="Y1098" i="37"/>
  <c r="Y1099" i="37"/>
  <c r="Y1100" i="37"/>
  <c r="Y1101" i="37"/>
  <c r="Y1102" i="37"/>
  <c r="Y1103" i="37"/>
  <c r="Y1104" i="37"/>
  <c r="Y1105" i="37"/>
  <c r="Y1106" i="37"/>
  <c r="Y1107" i="37"/>
  <c r="Y1108" i="37"/>
  <c r="Y1109" i="37"/>
  <c r="Y1110" i="37"/>
  <c r="Y1111" i="37"/>
  <c r="Y1112" i="37"/>
  <c r="Y1113" i="37"/>
  <c r="Y1114" i="37"/>
  <c r="Y1115" i="37"/>
  <c r="Y1116" i="37"/>
  <c r="Y1117" i="37"/>
  <c r="Y1118" i="37"/>
  <c r="Y1119" i="37"/>
  <c r="Y1120" i="37"/>
  <c r="Y1121" i="37"/>
  <c r="Y1122" i="37"/>
  <c r="Y1123" i="37"/>
  <c r="Y1124" i="37"/>
  <c r="Y1125" i="37"/>
  <c r="Y1126" i="37"/>
  <c r="Y1127" i="37"/>
  <c r="Y1128" i="37"/>
  <c r="Y1129" i="37"/>
  <c r="Y1130" i="37"/>
  <c r="Y1131" i="37"/>
  <c r="Y1132" i="37"/>
  <c r="Y1133" i="37"/>
  <c r="Y1134" i="37"/>
  <c r="Y1135" i="37"/>
  <c r="Y1136" i="37"/>
  <c r="Y1137" i="37"/>
  <c r="Y1138" i="37"/>
  <c r="Y1139" i="37"/>
  <c r="Y1140" i="37"/>
  <c r="Y1141" i="37"/>
  <c r="Y1142" i="37"/>
  <c r="Y1143" i="37"/>
  <c r="Y1144" i="37"/>
  <c r="Y1145" i="37"/>
  <c r="Y1146" i="37"/>
  <c r="Y1147" i="37"/>
  <c r="Y1148" i="37"/>
  <c r="Y1149" i="37"/>
  <c r="Y1150" i="37"/>
  <c r="Y1151" i="37"/>
  <c r="Y1152" i="37"/>
  <c r="Y1153" i="37"/>
  <c r="Y1154" i="37"/>
  <c r="Y1155" i="37"/>
  <c r="Y1156" i="37"/>
  <c r="Y1157" i="37"/>
  <c r="Y1158" i="37"/>
  <c r="Y1159" i="37"/>
  <c r="Y1160" i="37"/>
  <c r="Y1161" i="37"/>
  <c r="Y1162" i="37"/>
  <c r="Y1163" i="37"/>
  <c r="Y1164" i="37"/>
  <c r="Y1165" i="37"/>
  <c r="Y1166" i="37"/>
  <c r="Y1167" i="37"/>
  <c r="Y1168" i="37"/>
  <c r="Y1169" i="37"/>
  <c r="Y1170" i="37"/>
  <c r="Y1171" i="37"/>
  <c r="Y1172" i="37"/>
  <c r="Y1173" i="37"/>
  <c r="Y1174" i="37"/>
  <c r="Y1175" i="37"/>
  <c r="Y1176" i="37"/>
  <c r="Y1177" i="37"/>
  <c r="Y1178" i="37"/>
  <c r="Y1179" i="37"/>
  <c r="Y1180" i="37"/>
  <c r="Y1181" i="37"/>
  <c r="Y1182" i="37"/>
  <c r="Y1183" i="37"/>
  <c r="Y1184" i="37"/>
  <c r="Y1185" i="37"/>
  <c r="Y1186" i="37"/>
  <c r="Y1187" i="37"/>
  <c r="Y1188" i="37"/>
  <c r="Y1189" i="37"/>
  <c r="Y1190" i="37"/>
  <c r="Y1191" i="37"/>
  <c r="Y1192" i="37"/>
  <c r="Y1193" i="37"/>
  <c r="Y1194" i="37"/>
  <c r="Y1195" i="37"/>
  <c r="Y1196" i="37"/>
  <c r="Y1197" i="37"/>
  <c r="Y1198" i="37"/>
  <c r="Y1199" i="37"/>
  <c r="Y1200" i="37"/>
  <c r="Y1201" i="37"/>
  <c r="Y1202" i="37"/>
  <c r="Y1203" i="37"/>
  <c r="Y1204" i="37"/>
  <c r="Y1205" i="37"/>
  <c r="Y1206" i="37"/>
  <c r="Y1207" i="37"/>
  <c r="Y1208" i="37"/>
  <c r="Y1209" i="37"/>
  <c r="Y1210" i="37"/>
  <c r="Y1211" i="37"/>
  <c r="Y1212" i="37"/>
  <c r="Y1213" i="37"/>
  <c r="Y1214" i="37"/>
  <c r="Y1215" i="37"/>
  <c r="Y1216" i="37"/>
  <c r="Y1217" i="37"/>
  <c r="Y1218" i="37"/>
  <c r="Y1219" i="37"/>
  <c r="Y1220" i="37"/>
  <c r="Y1221" i="37"/>
  <c r="Y1222" i="37"/>
  <c r="Y1223" i="37"/>
  <c r="Y1224" i="37"/>
  <c r="Y1225" i="37"/>
  <c r="Y1226" i="37"/>
  <c r="Y1227" i="37"/>
  <c r="Y1228" i="37"/>
  <c r="Y1229" i="37"/>
  <c r="Y1230" i="37"/>
  <c r="Y1231" i="37"/>
  <c r="Y1232" i="37"/>
  <c r="Y1233" i="37"/>
  <c r="Y1234" i="37"/>
  <c r="Y1235" i="37"/>
  <c r="Y1236" i="37"/>
  <c r="Y1237" i="37"/>
  <c r="Y1238" i="37"/>
  <c r="Y1239" i="37"/>
  <c r="Y1240" i="37"/>
  <c r="Y1241" i="37"/>
  <c r="Y1242" i="37"/>
  <c r="Y1243" i="37"/>
  <c r="Y1244" i="37"/>
  <c r="Y1245" i="37"/>
  <c r="Y1246" i="37"/>
  <c r="Y1247" i="37"/>
  <c r="Y1248" i="37"/>
  <c r="Y1249" i="37"/>
  <c r="Y1250" i="37"/>
  <c r="Y1251" i="37"/>
  <c r="Y1252" i="37"/>
  <c r="Y1253" i="37"/>
  <c r="Y1254" i="37"/>
  <c r="Y1255" i="37"/>
  <c r="Y1256" i="37"/>
  <c r="Y1257" i="37"/>
  <c r="Y1258" i="37"/>
  <c r="Y1259" i="37"/>
  <c r="Y1260" i="37"/>
  <c r="Y1261" i="37"/>
  <c r="Y1262" i="37"/>
  <c r="Y1263" i="37"/>
  <c r="Y1264" i="37"/>
  <c r="Y1265" i="37"/>
  <c r="Y1266" i="37"/>
  <c r="Y1267" i="37"/>
  <c r="Y1268" i="37"/>
  <c r="Y1269" i="37"/>
  <c r="Y1270" i="37"/>
  <c r="Y1271" i="37"/>
  <c r="Y1272" i="37"/>
  <c r="Y1273" i="37"/>
  <c r="Y1274" i="37"/>
  <c r="Y1275" i="37"/>
  <c r="Y1276" i="37"/>
  <c r="Y1277" i="37"/>
  <c r="Y1278" i="37"/>
  <c r="Y1279" i="37"/>
  <c r="Y1280" i="37"/>
  <c r="Y1281" i="37"/>
  <c r="Y1282" i="37"/>
  <c r="Y1283" i="37"/>
  <c r="Y1284" i="37"/>
  <c r="Y1285" i="37"/>
  <c r="Y1286" i="37"/>
  <c r="Y1287" i="37"/>
  <c r="Y1288" i="37"/>
  <c r="Y1289" i="37"/>
  <c r="Y1290" i="37"/>
  <c r="Y1291" i="37"/>
  <c r="Y1292" i="37"/>
  <c r="Y1293" i="37"/>
  <c r="Y1294" i="37"/>
  <c r="Y1295" i="37"/>
  <c r="Y1296" i="37"/>
  <c r="Y1297" i="37"/>
  <c r="Y1298" i="37"/>
  <c r="Y1299" i="37"/>
  <c r="Y1300" i="37"/>
  <c r="Y1301" i="37"/>
  <c r="Y1302" i="37"/>
  <c r="Y1303" i="37"/>
  <c r="Y1304" i="37"/>
  <c r="Y1305" i="37"/>
  <c r="Y1306" i="37"/>
  <c r="Y1307" i="37"/>
  <c r="Y1308" i="37"/>
  <c r="Y1309" i="37"/>
  <c r="Y1310" i="37"/>
  <c r="Y1311" i="37"/>
  <c r="Y1312" i="37"/>
  <c r="Y1313" i="37"/>
  <c r="Y1314" i="37"/>
  <c r="Y1315" i="37"/>
  <c r="Y1316" i="37"/>
  <c r="Y1317" i="37"/>
  <c r="Y1318" i="37"/>
  <c r="Y1319" i="37"/>
  <c r="Y1320" i="37"/>
  <c r="Y1321" i="37"/>
  <c r="Y1322" i="37"/>
  <c r="Y1323" i="37"/>
  <c r="Y1324" i="37"/>
  <c r="Y1325" i="37"/>
  <c r="Y1326" i="37"/>
  <c r="Y1327" i="37"/>
  <c r="Y1328" i="37"/>
  <c r="Y1329" i="37"/>
  <c r="Y1330" i="37"/>
  <c r="Y1331" i="37"/>
  <c r="Y1332" i="37"/>
  <c r="Y1333" i="37"/>
  <c r="Y1334" i="37"/>
  <c r="Y1335" i="37"/>
  <c r="Y1336" i="37"/>
  <c r="Y1337" i="37"/>
  <c r="Y1338" i="37"/>
  <c r="Y1339" i="37"/>
  <c r="Y1340" i="37"/>
  <c r="Y1341" i="37"/>
  <c r="Y1342" i="37"/>
  <c r="Y1343" i="37"/>
  <c r="Y1344" i="37"/>
  <c r="Y1345" i="37"/>
  <c r="Y1346" i="37"/>
  <c r="Y1347" i="37"/>
  <c r="Y1348" i="37"/>
  <c r="Y1349" i="37"/>
  <c r="Y1350" i="37"/>
  <c r="Y1351" i="37"/>
  <c r="Y1352" i="37"/>
  <c r="Y1353" i="37"/>
  <c r="Y1354" i="37"/>
  <c r="Y1355" i="37"/>
  <c r="Y1356" i="37"/>
  <c r="Y1357" i="37"/>
  <c r="Y1358" i="37"/>
  <c r="Y1359" i="37"/>
  <c r="Y1360" i="37"/>
  <c r="Y1361" i="37"/>
  <c r="Y1362" i="37"/>
  <c r="Y1363" i="37"/>
  <c r="Y1364" i="37"/>
  <c r="Y1365" i="37"/>
  <c r="Y1366" i="37"/>
  <c r="Y1367" i="37"/>
  <c r="Y1368" i="37"/>
  <c r="Y1369" i="37"/>
  <c r="Y1370" i="37"/>
  <c r="Y1371" i="37"/>
  <c r="Y1372" i="37"/>
  <c r="Y1373" i="37"/>
  <c r="Y1374" i="37"/>
  <c r="Y1375" i="37"/>
  <c r="Y1376" i="37"/>
  <c r="Y1377" i="37"/>
  <c r="Y1378" i="37"/>
  <c r="Y1379" i="37"/>
  <c r="Y1380" i="37"/>
  <c r="Y1381" i="37"/>
  <c r="Y1382" i="37"/>
  <c r="Y1383" i="37"/>
  <c r="Y1384" i="37"/>
  <c r="Y1385" i="37"/>
  <c r="Y1386" i="37"/>
  <c r="Y1387" i="37"/>
  <c r="Y1388" i="37"/>
  <c r="Y1389" i="37"/>
  <c r="Y1390" i="37"/>
  <c r="Y1391" i="37"/>
  <c r="Y1392" i="37"/>
  <c r="Y1393" i="37"/>
  <c r="Y1394" i="37"/>
  <c r="Y1395" i="37"/>
  <c r="Y1396" i="37"/>
  <c r="Y1397" i="37"/>
  <c r="Y1398" i="37"/>
  <c r="Y1399" i="37"/>
  <c r="Y1400" i="37"/>
  <c r="Y1401" i="37"/>
  <c r="Y1402" i="37"/>
  <c r="Y1403" i="37"/>
  <c r="Y1404" i="37"/>
  <c r="Y1405" i="37"/>
  <c r="Y1406" i="37"/>
  <c r="Y1407" i="37"/>
  <c r="Y1408" i="37"/>
  <c r="Y1409" i="37"/>
  <c r="Y1410" i="37"/>
  <c r="Y1411" i="37"/>
  <c r="Y1412" i="37"/>
  <c r="Y1413" i="37"/>
  <c r="Y1414" i="37"/>
  <c r="Y1415" i="37"/>
  <c r="Y1416" i="37"/>
  <c r="Y1417" i="37"/>
  <c r="Y1418" i="37"/>
  <c r="Y1419" i="37"/>
  <c r="Y1420" i="37"/>
  <c r="Y1421" i="37"/>
  <c r="Y1422" i="37"/>
  <c r="Y1423" i="37"/>
  <c r="Y1424" i="37"/>
  <c r="Y1425" i="37"/>
  <c r="Y1426" i="37"/>
  <c r="Y1427" i="37"/>
  <c r="Y1428" i="37"/>
  <c r="Y1429" i="37"/>
  <c r="Y1430" i="37"/>
  <c r="Y1431" i="37"/>
  <c r="Y1432" i="37"/>
  <c r="Y1433" i="37"/>
  <c r="Y1434" i="37"/>
  <c r="Y1435" i="37"/>
  <c r="Y1436" i="37"/>
  <c r="Y1437" i="37"/>
  <c r="Y1438" i="37"/>
  <c r="Y1439" i="37"/>
  <c r="Y1440" i="37"/>
  <c r="Y1441" i="37"/>
  <c r="Y1442" i="37"/>
  <c r="Y1443" i="37"/>
  <c r="Y1444" i="37"/>
  <c r="Y1445" i="37"/>
  <c r="Y1446" i="37"/>
  <c r="Y1447" i="37"/>
  <c r="Y1448" i="37"/>
  <c r="Y1449" i="37"/>
  <c r="Y1450" i="37"/>
  <c r="Y1451" i="37"/>
  <c r="Y1452" i="37"/>
  <c r="Y1453" i="37"/>
  <c r="Y1454" i="37"/>
  <c r="Y1455" i="37"/>
  <c r="Y1456" i="37"/>
  <c r="Y1457" i="37"/>
  <c r="Y1458" i="37"/>
  <c r="Y1459" i="37"/>
  <c r="Y1460" i="37"/>
  <c r="Y1461" i="37"/>
  <c r="Y1462" i="37"/>
  <c r="Y1463" i="37"/>
  <c r="Y1464" i="37"/>
  <c r="Y1465" i="37"/>
  <c r="Y1466" i="37"/>
  <c r="Y1467" i="37"/>
  <c r="Y1468" i="37"/>
  <c r="Y1469" i="37"/>
  <c r="Y1470" i="37"/>
  <c r="Y1471" i="37"/>
  <c r="Y1472" i="37"/>
  <c r="Y1473" i="37"/>
  <c r="Y1474" i="37"/>
  <c r="Y1475" i="37"/>
  <c r="Y1476" i="37"/>
  <c r="Y1477" i="37"/>
  <c r="Y1478" i="37"/>
  <c r="Y1479" i="37"/>
  <c r="Y1480" i="37"/>
  <c r="Y1481" i="37"/>
  <c r="Y1482" i="37"/>
  <c r="Y1483" i="37"/>
  <c r="Y1484" i="37"/>
  <c r="Y1485" i="37"/>
  <c r="Y1486" i="37"/>
  <c r="Y1487" i="37"/>
  <c r="Y1488" i="37"/>
  <c r="Y1489" i="37"/>
  <c r="Y1490" i="37"/>
  <c r="Y1491" i="37"/>
  <c r="Y1492" i="37"/>
  <c r="Z2" i="37"/>
  <c r="Z3" i="37"/>
  <c r="Z4" i="37"/>
  <c r="Z5" i="37"/>
  <c r="Z6" i="37"/>
  <c r="Z7" i="37"/>
  <c r="Z8" i="37"/>
  <c r="Z9" i="37"/>
  <c r="Z10" i="37"/>
  <c r="Z11" i="37"/>
  <c r="Z12" i="37"/>
  <c r="Z13" i="37"/>
  <c r="Z14" i="37"/>
  <c r="Z15" i="37"/>
  <c r="Z16" i="37"/>
  <c r="Z17" i="37"/>
  <c r="Z18" i="37"/>
  <c r="Z19" i="37"/>
  <c r="Z20" i="37"/>
  <c r="Z21" i="37"/>
  <c r="Z22" i="37"/>
  <c r="Z23" i="37"/>
  <c r="Z24" i="37"/>
  <c r="Z25" i="37"/>
  <c r="Z26" i="37"/>
  <c r="Z27" i="37"/>
  <c r="Z28" i="37"/>
  <c r="Z29" i="37"/>
  <c r="Z30" i="37"/>
  <c r="Z31" i="37"/>
  <c r="Z32" i="37"/>
  <c r="Z33" i="37"/>
  <c r="Z34" i="37"/>
  <c r="Z35" i="37"/>
  <c r="Z36" i="37"/>
  <c r="Z37" i="37"/>
  <c r="Z38" i="37"/>
  <c r="Z39" i="37"/>
  <c r="Z40" i="37"/>
  <c r="Z41" i="37"/>
  <c r="Z42" i="37"/>
  <c r="Z43" i="37"/>
  <c r="Z44" i="37"/>
  <c r="Z45" i="37"/>
  <c r="Z46" i="37"/>
  <c r="Z47" i="37"/>
  <c r="Z48" i="37"/>
  <c r="Z49" i="37"/>
  <c r="Z50" i="37"/>
  <c r="Z51" i="37"/>
  <c r="Z52" i="37"/>
  <c r="Z53" i="37"/>
  <c r="Z54" i="37"/>
  <c r="Z55" i="37"/>
  <c r="Z56" i="37"/>
  <c r="Z57" i="37"/>
  <c r="Z58" i="37"/>
  <c r="Z59" i="37"/>
  <c r="Z60" i="37"/>
  <c r="Z61" i="37"/>
  <c r="Z62" i="37"/>
  <c r="Z63" i="37"/>
  <c r="Z64" i="37"/>
  <c r="Z65" i="37"/>
  <c r="Z66" i="37"/>
  <c r="Z67" i="37"/>
  <c r="Z68" i="37"/>
  <c r="Z69" i="37"/>
  <c r="Z70" i="37"/>
  <c r="Z71" i="37"/>
  <c r="Z72" i="37"/>
  <c r="Z73" i="37"/>
  <c r="Z74" i="37"/>
  <c r="Z75" i="37"/>
  <c r="Z76" i="37"/>
  <c r="Z77" i="37"/>
  <c r="Z78" i="37"/>
  <c r="Z79" i="37"/>
  <c r="Z80" i="37"/>
  <c r="Z81" i="37"/>
  <c r="Z82" i="37"/>
  <c r="Z83" i="37"/>
  <c r="Z84" i="37"/>
  <c r="Z85" i="37"/>
  <c r="Z86" i="37"/>
  <c r="Z87" i="37"/>
  <c r="Z88" i="37"/>
  <c r="Z89" i="37"/>
  <c r="Z90" i="37"/>
  <c r="Z91" i="37"/>
  <c r="Z92" i="37"/>
  <c r="Z93" i="37"/>
  <c r="Z94" i="37"/>
  <c r="Z95" i="37"/>
  <c r="Z96" i="37"/>
  <c r="Z97" i="37"/>
  <c r="Z98" i="37"/>
  <c r="Z99" i="37"/>
  <c r="Z100" i="37"/>
  <c r="Z101" i="37"/>
  <c r="Z102" i="37"/>
  <c r="Z103" i="37"/>
  <c r="Z104" i="37"/>
  <c r="Z105" i="37"/>
  <c r="Z106" i="37"/>
  <c r="Z107" i="37"/>
  <c r="Z108" i="37"/>
  <c r="Z109" i="37"/>
  <c r="Z110" i="37"/>
  <c r="Z111" i="37"/>
  <c r="Z112" i="37"/>
  <c r="Z113" i="37"/>
  <c r="Z114" i="37"/>
  <c r="Z115" i="37"/>
  <c r="Z116" i="37"/>
  <c r="Z117" i="37"/>
  <c r="Z118" i="37"/>
  <c r="Z119" i="37"/>
  <c r="Z120" i="37"/>
  <c r="Z121" i="37"/>
  <c r="Z122" i="37"/>
  <c r="Z123" i="37"/>
  <c r="Z124" i="37"/>
  <c r="Z125" i="37"/>
  <c r="Z126" i="37"/>
  <c r="Z127" i="37"/>
  <c r="Z128" i="37"/>
  <c r="Z129" i="37"/>
  <c r="Z130" i="37"/>
  <c r="Z131" i="37"/>
  <c r="Z132" i="37"/>
  <c r="Z133" i="37"/>
  <c r="Z134" i="37"/>
  <c r="Z135" i="37"/>
  <c r="Z136" i="37"/>
  <c r="Z137" i="37"/>
  <c r="Z138" i="37"/>
  <c r="Z139" i="37"/>
  <c r="Z140" i="37"/>
  <c r="Z141" i="37"/>
  <c r="Z142" i="37"/>
  <c r="Z143" i="37"/>
  <c r="Z144" i="37"/>
  <c r="Z145" i="37"/>
  <c r="Z146" i="37"/>
  <c r="Z147" i="37"/>
  <c r="Z148" i="37"/>
  <c r="Z149" i="37"/>
  <c r="Z150" i="37"/>
  <c r="Z151" i="37"/>
  <c r="Z152" i="37"/>
  <c r="Z153" i="37"/>
  <c r="Z154" i="37"/>
  <c r="Z155" i="37"/>
  <c r="Z156" i="37"/>
  <c r="Z157" i="37"/>
  <c r="Z158" i="37"/>
  <c r="Z159" i="37"/>
  <c r="Z160" i="37"/>
  <c r="Z161" i="37"/>
  <c r="Z162" i="37"/>
  <c r="Z163" i="37"/>
  <c r="Z164" i="37"/>
  <c r="Z165" i="37"/>
  <c r="Z166" i="37"/>
  <c r="Z167" i="37"/>
  <c r="Z168" i="37"/>
  <c r="Z169" i="37"/>
  <c r="Z170" i="37"/>
  <c r="Z171" i="37"/>
  <c r="Z172" i="37"/>
  <c r="Z173" i="37"/>
  <c r="Z174" i="37"/>
  <c r="Z175" i="37"/>
  <c r="Z176" i="37"/>
  <c r="Z177" i="37"/>
  <c r="Z178" i="37"/>
  <c r="Z179" i="37"/>
  <c r="Z180" i="37"/>
  <c r="Z181" i="37"/>
  <c r="Z182" i="37"/>
  <c r="Z183" i="37"/>
  <c r="Z184" i="37"/>
  <c r="Z185" i="37"/>
  <c r="Z186" i="37"/>
  <c r="Z187" i="37"/>
  <c r="Z188" i="37"/>
  <c r="Z189" i="37"/>
  <c r="Z190" i="37"/>
  <c r="Z191" i="37"/>
  <c r="Z192" i="37"/>
  <c r="Z193" i="37"/>
  <c r="Z194" i="37"/>
  <c r="Z195" i="37"/>
  <c r="Z196" i="37"/>
  <c r="Z197" i="37"/>
  <c r="Z198" i="37"/>
  <c r="Z199" i="37"/>
  <c r="Z200" i="37"/>
  <c r="Z201" i="37"/>
  <c r="Z202" i="37"/>
  <c r="Z203" i="37"/>
  <c r="Z204" i="37"/>
  <c r="Z205" i="37"/>
  <c r="Z206" i="37"/>
  <c r="Z207" i="37"/>
  <c r="Z208" i="37"/>
  <c r="Z209" i="37"/>
  <c r="Z210" i="37"/>
  <c r="Z211" i="37"/>
  <c r="Z212" i="37"/>
  <c r="Z213" i="37"/>
  <c r="Z214" i="37"/>
  <c r="Z215" i="37"/>
  <c r="Z216" i="37"/>
  <c r="Z217" i="37"/>
  <c r="Z218" i="37"/>
  <c r="Z219" i="37"/>
  <c r="Z220" i="37"/>
  <c r="Z221" i="37"/>
  <c r="Z222" i="37"/>
  <c r="Z223" i="37"/>
  <c r="Z224" i="37"/>
  <c r="Z225" i="37"/>
  <c r="Z226" i="37"/>
  <c r="Z227" i="37"/>
  <c r="Z228" i="37"/>
  <c r="Z229" i="37"/>
  <c r="Z230" i="37"/>
  <c r="Z231" i="37"/>
  <c r="Z232" i="37"/>
  <c r="Z233" i="37"/>
  <c r="Z234" i="37"/>
  <c r="Z235" i="37"/>
  <c r="Z236" i="37"/>
  <c r="Z237" i="37"/>
  <c r="Z238" i="37"/>
  <c r="Z239" i="37"/>
  <c r="Z240" i="37"/>
  <c r="Z241" i="37"/>
  <c r="Z242" i="37"/>
  <c r="Z243" i="37"/>
  <c r="Z244" i="37"/>
  <c r="Z245" i="37"/>
  <c r="Z246" i="37"/>
  <c r="Z247" i="37"/>
  <c r="Z248" i="37"/>
  <c r="Z249" i="37"/>
  <c r="Z250" i="37"/>
  <c r="Z251" i="37"/>
  <c r="Z252" i="37"/>
  <c r="Z253" i="37"/>
  <c r="Z254" i="37"/>
  <c r="Z255" i="37"/>
  <c r="Z256" i="37"/>
  <c r="Z257" i="37"/>
  <c r="Z258" i="37"/>
  <c r="Z259" i="37"/>
  <c r="Z260" i="37"/>
  <c r="Z261" i="37"/>
  <c r="Z262" i="37"/>
  <c r="Z263" i="37"/>
  <c r="Z264" i="37"/>
  <c r="Z265" i="37"/>
  <c r="Z266" i="37"/>
  <c r="Z267" i="37"/>
  <c r="Z268" i="37"/>
  <c r="Z269" i="37"/>
  <c r="Z270" i="37"/>
  <c r="Z271" i="37"/>
  <c r="Z272" i="37"/>
  <c r="Z273" i="37"/>
  <c r="Z274" i="37"/>
  <c r="Z275" i="37"/>
  <c r="Z276" i="37"/>
  <c r="Z277" i="37"/>
  <c r="Z278" i="37"/>
  <c r="Z279" i="37"/>
  <c r="Z280" i="37"/>
  <c r="Z281" i="37"/>
  <c r="Z282" i="37"/>
  <c r="Z283" i="37"/>
  <c r="Z284" i="37"/>
  <c r="Z285" i="37"/>
  <c r="Z286" i="37"/>
  <c r="Z287" i="37"/>
  <c r="Z288" i="37"/>
  <c r="Z289" i="37"/>
  <c r="Z290" i="37"/>
  <c r="Z291" i="37"/>
  <c r="Z292" i="37"/>
  <c r="Z293" i="37"/>
  <c r="Z294" i="37"/>
  <c r="Z295" i="37"/>
  <c r="Z296" i="37"/>
  <c r="Z297" i="37"/>
  <c r="Z298" i="37"/>
  <c r="Z299" i="37"/>
  <c r="Z300" i="37"/>
  <c r="Z301" i="37"/>
  <c r="Z302" i="37"/>
  <c r="Z303" i="37"/>
  <c r="Z304" i="37"/>
  <c r="Z305" i="37"/>
  <c r="Z306" i="37"/>
  <c r="Z307" i="37"/>
  <c r="Z308" i="37"/>
  <c r="Z309" i="37"/>
  <c r="Z310" i="37"/>
  <c r="Z311" i="37"/>
  <c r="Z312" i="37"/>
  <c r="Z313" i="37"/>
  <c r="Z314" i="37"/>
  <c r="Z315" i="37"/>
  <c r="Z316" i="37"/>
  <c r="Z317" i="37"/>
  <c r="Z318" i="37"/>
  <c r="Z319" i="37"/>
  <c r="Z320" i="37"/>
  <c r="Z321" i="37"/>
  <c r="Z322" i="37"/>
  <c r="Z323" i="37"/>
  <c r="Z324" i="37"/>
  <c r="Z325" i="37"/>
  <c r="Z326" i="37"/>
  <c r="Z327" i="37"/>
  <c r="Z328" i="37"/>
  <c r="Z329" i="37"/>
  <c r="Z330" i="37"/>
  <c r="Z331" i="37"/>
  <c r="Z332" i="37"/>
  <c r="Z333" i="37"/>
  <c r="Z334" i="37"/>
  <c r="Z335" i="37"/>
  <c r="Z336" i="37"/>
  <c r="Z337" i="37"/>
  <c r="Z338" i="37"/>
  <c r="Z339" i="37"/>
  <c r="Z340" i="37"/>
  <c r="Z341" i="37"/>
  <c r="Z342" i="37"/>
  <c r="Z343" i="37"/>
  <c r="Z344" i="37"/>
  <c r="Z345" i="37"/>
  <c r="Z346" i="37"/>
  <c r="Z347" i="37"/>
  <c r="Z348" i="37"/>
  <c r="Z349" i="37"/>
  <c r="Z350" i="37"/>
  <c r="Z351" i="37"/>
  <c r="Z352" i="37"/>
  <c r="Z353" i="37"/>
  <c r="Z354" i="37"/>
  <c r="Z355" i="37"/>
  <c r="Z356" i="37"/>
  <c r="Z357" i="37"/>
  <c r="Z358" i="37"/>
  <c r="Z359" i="37"/>
  <c r="Z360" i="37"/>
  <c r="Z361" i="37"/>
  <c r="Z362" i="37"/>
  <c r="Z363" i="37"/>
  <c r="Z364" i="37"/>
  <c r="Z365" i="37"/>
  <c r="Z366" i="37"/>
  <c r="Z367" i="37"/>
  <c r="Z368" i="37"/>
  <c r="Z369" i="37"/>
  <c r="Z370" i="37"/>
  <c r="Z371" i="37"/>
  <c r="Z372" i="37"/>
  <c r="Z373" i="37"/>
  <c r="Z374" i="37"/>
  <c r="Z375" i="37"/>
  <c r="Z376" i="37"/>
  <c r="Z377" i="37"/>
  <c r="Z378" i="37"/>
  <c r="Z379" i="37"/>
  <c r="Z380" i="37"/>
  <c r="Z381" i="37"/>
  <c r="Z382" i="37"/>
  <c r="Z383" i="37"/>
  <c r="Z384" i="37"/>
  <c r="Z385" i="37"/>
  <c r="Z386" i="37"/>
  <c r="Z387" i="37"/>
  <c r="Z388" i="37"/>
  <c r="Z389" i="37"/>
  <c r="Z390" i="37"/>
  <c r="Z391" i="37"/>
  <c r="Z392" i="37"/>
  <c r="Z393" i="37"/>
  <c r="Z394" i="37"/>
  <c r="Z395" i="37"/>
  <c r="Z396" i="37"/>
  <c r="Z397" i="37"/>
  <c r="Z398" i="37"/>
  <c r="Z399" i="37"/>
  <c r="Z400" i="37"/>
  <c r="Z401" i="37"/>
  <c r="Z402" i="37"/>
  <c r="Z403" i="37"/>
  <c r="Z404" i="37"/>
  <c r="Z405" i="37"/>
  <c r="Z406" i="37"/>
  <c r="Z407" i="37"/>
  <c r="Z408" i="37"/>
  <c r="Z409" i="37"/>
  <c r="Z410" i="37"/>
  <c r="Z411" i="37"/>
  <c r="Z412" i="37"/>
  <c r="Z413" i="37"/>
  <c r="Z414" i="37"/>
  <c r="Z415" i="37"/>
  <c r="Z416" i="37"/>
  <c r="Z417" i="37"/>
  <c r="Z418" i="37"/>
  <c r="Z419" i="37"/>
  <c r="Z420" i="37"/>
  <c r="Z421" i="37"/>
  <c r="Z422" i="37"/>
  <c r="Z423" i="37"/>
  <c r="Z424" i="37"/>
  <c r="Z425" i="37"/>
  <c r="Z426" i="37"/>
  <c r="Z427" i="37"/>
  <c r="Z428" i="37"/>
  <c r="Z429" i="37"/>
  <c r="Z430" i="37"/>
  <c r="Z431" i="37"/>
  <c r="Z432" i="37"/>
  <c r="Z433" i="37"/>
  <c r="Z434" i="37"/>
  <c r="Z435" i="37"/>
  <c r="Z436" i="37"/>
  <c r="Z437" i="37"/>
  <c r="Z438" i="37"/>
  <c r="Z439" i="37"/>
  <c r="Z440" i="37"/>
  <c r="Z441" i="37"/>
  <c r="Z442" i="37"/>
  <c r="Z443" i="37"/>
  <c r="Z444" i="37"/>
  <c r="Z445" i="37"/>
  <c r="Z446" i="37"/>
  <c r="Z447" i="37"/>
  <c r="Z448" i="37"/>
  <c r="Z449" i="37"/>
  <c r="Z450" i="37"/>
  <c r="Z451" i="37"/>
  <c r="Z452" i="37"/>
  <c r="Z453" i="37"/>
  <c r="Z454" i="37"/>
  <c r="Z455" i="37"/>
  <c r="Z456" i="37"/>
  <c r="Z457" i="37"/>
  <c r="Z458" i="37"/>
  <c r="Z459" i="37"/>
  <c r="Z460" i="37"/>
  <c r="Z461" i="37"/>
  <c r="Z462" i="37"/>
  <c r="Z463" i="37"/>
  <c r="Z464" i="37"/>
  <c r="Z465" i="37"/>
  <c r="Z466" i="37"/>
  <c r="Z467" i="37"/>
  <c r="Z468" i="37"/>
  <c r="Z469" i="37"/>
  <c r="Z470" i="37"/>
  <c r="Z471" i="37"/>
  <c r="Z472" i="37"/>
  <c r="Z473" i="37"/>
  <c r="Z474" i="37"/>
  <c r="Z475" i="37"/>
  <c r="Z476" i="37"/>
  <c r="Z477" i="37"/>
  <c r="Z478" i="37"/>
  <c r="Z479" i="37"/>
  <c r="Z480" i="37"/>
  <c r="Z481" i="37"/>
  <c r="Z482" i="37"/>
  <c r="Z483" i="37"/>
  <c r="Z484" i="37"/>
  <c r="Z485" i="37"/>
  <c r="Z486" i="37"/>
  <c r="Z487" i="37"/>
  <c r="Z488" i="37"/>
  <c r="Z489" i="37"/>
  <c r="Z490" i="37"/>
  <c r="Z491" i="37"/>
  <c r="Z492" i="37"/>
  <c r="Z493" i="37"/>
  <c r="Z494" i="37"/>
  <c r="Z495" i="37"/>
  <c r="Z496" i="37"/>
  <c r="Z497" i="37"/>
  <c r="Z498" i="37"/>
  <c r="Z499" i="37"/>
  <c r="Z500" i="37"/>
  <c r="Z501" i="37"/>
  <c r="Z502" i="37"/>
  <c r="Z503" i="37"/>
  <c r="Z504" i="37"/>
  <c r="Z505" i="37"/>
  <c r="Z506" i="37"/>
  <c r="Z507" i="37"/>
  <c r="Z508" i="37"/>
  <c r="Z509" i="37"/>
  <c r="Z510" i="37"/>
  <c r="Z511" i="37"/>
  <c r="Z512" i="37"/>
  <c r="Z513" i="37"/>
  <c r="Z514" i="37"/>
  <c r="Z515" i="37"/>
  <c r="Z516" i="37"/>
  <c r="Z517" i="37"/>
  <c r="Z518" i="37"/>
  <c r="Z519" i="37"/>
  <c r="Z520" i="37"/>
  <c r="Z521" i="37"/>
  <c r="Z522" i="37"/>
  <c r="Z523" i="37"/>
  <c r="Z524" i="37"/>
  <c r="Z525" i="37"/>
  <c r="Z526" i="37"/>
  <c r="Z527" i="37"/>
  <c r="Z528" i="37"/>
  <c r="Z529" i="37"/>
  <c r="Z530" i="37"/>
  <c r="Z531" i="37"/>
  <c r="Z532" i="37"/>
  <c r="Z533" i="37"/>
  <c r="Z534" i="37"/>
  <c r="Z535" i="37"/>
  <c r="Z536" i="37"/>
  <c r="Z537" i="37"/>
  <c r="Z538" i="37"/>
  <c r="Z539" i="37"/>
  <c r="Z540" i="37"/>
  <c r="Z541" i="37"/>
  <c r="Z542" i="37"/>
  <c r="Z543" i="37"/>
  <c r="Z544" i="37"/>
  <c r="Z545" i="37"/>
  <c r="Z546" i="37"/>
  <c r="Z547" i="37"/>
  <c r="Z548" i="37"/>
  <c r="Z549" i="37"/>
  <c r="Z550" i="37"/>
  <c r="Z551" i="37"/>
  <c r="Z552" i="37"/>
  <c r="Z553" i="37"/>
  <c r="Z554" i="37"/>
  <c r="Z555" i="37"/>
  <c r="Z556" i="37"/>
  <c r="Z557" i="37"/>
  <c r="Z558" i="37"/>
  <c r="Z559" i="37"/>
  <c r="Z560" i="37"/>
  <c r="Z561" i="37"/>
  <c r="Z562" i="37"/>
  <c r="Z563" i="37"/>
  <c r="Z564" i="37"/>
  <c r="Z565" i="37"/>
  <c r="Z566" i="37"/>
  <c r="Z567" i="37"/>
  <c r="Z568" i="37"/>
  <c r="Z569" i="37"/>
  <c r="Z570" i="37"/>
  <c r="Z571" i="37"/>
  <c r="Z572" i="37"/>
  <c r="Z573" i="37"/>
  <c r="Z574" i="37"/>
  <c r="Z575" i="37"/>
  <c r="Z576" i="37"/>
  <c r="Z577" i="37"/>
  <c r="Z578" i="37"/>
  <c r="Z579" i="37"/>
  <c r="Z580" i="37"/>
  <c r="Z581" i="37"/>
  <c r="Z582" i="37"/>
  <c r="Z583" i="37"/>
  <c r="Z584" i="37"/>
  <c r="Z585" i="37"/>
  <c r="Z586" i="37"/>
  <c r="Z587" i="37"/>
  <c r="Z588" i="37"/>
  <c r="Z589" i="37"/>
  <c r="Z590" i="37"/>
  <c r="Z591" i="37"/>
  <c r="Z592" i="37"/>
  <c r="Z593" i="37"/>
  <c r="Z594" i="37"/>
  <c r="Z595" i="37"/>
  <c r="Z596" i="37"/>
  <c r="Z597" i="37"/>
  <c r="Z598" i="37"/>
  <c r="Z599" i="37"/>
  <c r="Z600" i="37"/>
  <c r="Z601" i="37"/>
  <c r="Z602" i="37"/>
  <c r="Z603" i="37"/>
  <c r="Z604" i="37"/>
  <c r="Z605" i="37"/>
  <c r="Z606" i="37"/>
  <c r="Z607" i="37"/>
  <c r="Z608" i="37"/>
  <c r="Z609" i="37"/>
  <c r="Z610" i="37"/>
  <c r="Z611" i="37"/>
  <c r="Z612" i="37"/>
  <c r="Z613" i="37"/>
  <c r="Z614" i="37"/>
  <c r="Z615" i="37"/>
  <c r="Z616" i="37"/>
  <c r="Z617" i="37"/>
  <c r="Z618" i="37"/>
  <c r="Z619" i="37"/>
  <c r="Z620" i="37"/>
  <c r="Z621" i="37"/>
  <c r="Z622" i="37"/>
  <c r="Z623" i="37"/>
  <c r="Z624" i="37"/>
  <c r="Z625" i="37"/>
  <c r="Z626" i="37"/>
  <c r="Z627" i="37"/>
  <c r="Z628" i="37"/>
  <c r="Z629" i="37"/>
  <c r="Z630" i="37"/>
  <c r="Z631" i="37"/>
  <c r="Z632" i="37"/>
  <c r="Z633" i="37"/>
  <c r="Z634" i="37"/>
  <c r="Z635" i="37"/>
  <c r="Z636" i="37"/>
  <c r="Z637" i="37"/>
  <c r="Z638" i="37"/>
  <c r="Z639" i="37"/>
  <c r="Z640" i="37"/>
  <c r="Z641" i="37"/>
  <c r="Z642" i="37"/>
  <c r="Z643" i="37"/>
  <c r="Z644" i="37"/>
  <c r="Z645" i="37"/>
  <c r="Z646" i="37"/>
  <c r="Z647" i="37"/>
  <c r="Z648" i="37"/>
  <c r="Z649" i="37"/>
  <c r="Z650" i="37"/>
  <c r="Z651" i="37"/>
  <c r="Z652" i="37"/>
  <c r="Z653" i="37"/>
  <c r="Z654" i="37"/>
  <c r="Z655" i="37"/>
  <c r="Z656" i="37"/>
  <c r="Z657" i="37"/>
  <c r="Z658" i="37"/>
  <c r="Z659" i="37"/>
  <c r="Z660" i="37"/>
  <c r="Z661" i="37"/>
  <c r="Z662" i="37"/>
  <c r="Z663" i="37"/>
  <c r="Z664" i="37"/>
  <c r="Z665" i="37"/>
  <c r="Z666" i="37"/>
  <c r="Z667" i="37"/>
  <c r="Z668" i="37"/>
  <c r="Z669" i="37"/>
  <c r="Z670" i="37"/>
  <c r="Z671" i="37"/>
  <c r="Z672" i="37"/>
  <c r="Z673" i="37"/>
  <c r="Z674" i="37"/>
  <c r="Z675" i="37"/>
  <c r="Z676" i="37"/>
  <c r="Z677" i="37"/>
  <c r="Z678" i="37"/>
  <c r="Z679" i="37"/>
  <c r="Z680" i="37"/>
  <c r="Z681" i="37"/>
  <c r="Z682" i="37"/>
  <c r="Z683" i="37"/>
  <c r="Z684" i="37"/>
  <c r="Z685" i="37"/>
  <c r="Z686" i="37"/>
  <c r="Z687" i="37"/>
  <c r="Z688" i="37"/>
  <c r="Z689" i="37"/>
  <c r="Z690" i="37"/>
  <c r="Z691" i="37"/>
  <c r="Z692" i="37"/>
  <c r="Z693" i="37"/>
  <c r="Z694" i="37"/>
  <c r="Z695" i="37"/>
  <c r="Z696" i="37"/>
  <c r="Z697" i="37"/>
  <c r="Z698" i="37"/>
  <c r="Z699" i="37"/>
  <c r="Z700" i="37"/>
  <c r="Z701" i="37"/>
  <c r="Z702" i="37"/>
  <c r="Z703" i="37"/>
  <c r="Z704" i="37"/>
  <c r="Z705" i="37"/>
  <c r="Z706" i="37"/>
  <c r="Z707" i="37"/>
  <c r="Z708" i="37"/>
  <c r="Z709" i="37"/>
  <c r="Z710" i="37"/>
  <c r="Z711" i="37"/>
  <c r="Z712" i="37"/>
  <c r="Z713" i="37"/>
  <c r="Z714" i="37"/>
  <c r="Z715" i="37"/>
  <c r="Z716" i="37"/>
  <c r="Z717" i="37"/>
  <c r="Z718" i="37"/>
  <c r="Z719" i="37"/>
  <c r="Z720" i="37"/>
  <c r="Z721" i="37"/>
  <c r="Z722" i="37"/>
  <c r="Z723" i="37"/>
  <c r="Z724" i="37"/>
  <c r="Z725" i="37"/>
  <c r="Z726" i="37"/>
  <c r="Z727" i="37"/>
  <c r="Z728" i="37"/>
  <c r="Z729" i="37"/>
  <c r="Z730" i="37"/>
  <c r="Z731" i="37"/>
  <c r="Z732" i="37"/>
  <c r="Z733" i="37"/>
  <c r="Z734" i="37"/>
  <c r="Z735" i="37"/>
  <c r="Z736" i="37"/>
  <c r="Z737" i="37"/>
  <c r="Z738" i="37"/>
  <c r="Z739" i="37"/>
  <c r="Z740" i="37"/>
  <c r="Z741" i="37"/>
  <c r="Z742" i="37"/>
  <c r="Z743" i="37"/>
  <c r="Z744" i="37"/>
  <c r="Z745" i="37"/>
  <c r="Z746" i="37"/>
  <c r="Z747" i="37"/>
  <c r="Z748" i="37"/>
  <c r="Z749" i="37"/>
  <c r="Z750" i="37"/>
  <c r="Z751" i="37"/>
  <c r="Z752" i="37"/>
  <c r="Z753" i="37"/>
  <c r="Z754" i="37"/>
  <c r="Z755" i="37"/>
  <c r="Z756" i="37"/>
  <c r="Z757" i="37"/>
  <c r="Z758" i="37"/>
  <c r="Z759" i="37"/>
  <c r="Z760" i="37"/>
  <c r="Z761" i="37"/>
  <c r="Z762" i="37"/>
  <c r="Z763" i="37"/>
  <c r="Z764" i="37"/>
  <c r="Z765" i="37"/>
  <c r="Z766" i="37"/>
  <c r="Z767" i="37"/>
  <c r="Z768" i="37"/>
  <c r="Z769" i="37"/>
  <c r="Z770" i="37"/>
  <c r="Z771" i="37"/>
  <c r="Z772" i="37"/>
  <c r="Z773" i="37"/>
  <c r="Z774" i="37"/>
  <c r="Z775" i="37"/>
  <c r="Z776" i="37"/>
  <c r="Z777" i="37"/>
  <c r="Z778" i="37"/>
  <c r="Z779" i="37"/>
  <c r="Z780" i="37"/>
  <c r="Z781" i="37"/>
  <c r="Z782" i="37"/>
  <c r="Z783" i="37"/>
  <c r="Z784" i="37"/>
  <c r="Z785" i="37"/>
  <c r="Z786" i="37"/>
  <c r="Z787" i="37"/>
  <c r="Z788" i="37"/>
  <c r="Z789" i="37"/>
  <c r="Z790" i="37"/>
  <c r="Z791" i="37"/>
  <c r="Z792" i="37"/>
  <c r="Z793" i="37"/>
  <c r="Z794" i="37"/>
  <c r="Z795" i="37"/>
  <c r="Z796" i="37"/>
  <c r="Z797" i="37"/>
  <c r="Z798" i="37"/>
  <c r="Z799" i="37"/>
  <c r="Z800" i="37"/>
  <c r="Z801" i="37"/>
  <c r="Z802" i="37"/>
  <c r="Z803" i="37"/>
  <c r="Z804" i="37"/>
  <c r="Z805" i="37"/>
  <c r="Z806" i="37"/>
  <c r="Z807" i="37"/>
  <c r="Z808" i="37"/>
  <c r="Z809" i="37"/>
  <c r="Z810" i="37"/>
  <c r="Z811" i="37"/>
  <c r="Z812" i="37"/>
  <c r="Z813" i="37"/>
  <c r="Z814" i="37"/>
  <c r="Z815" i="37"/>
  <c r="Z816" i="37"/>
  <c r="Z817" i="37"/>
  <c r="Z818" i="37"/>
  <c r="Z819" i="37"/>
  <c r="Z820" i="37"/>
  <c r="Z821" i="37"/>
  <c r="Z822" i="37"/>
  <c r="Z823" i="37"/>
  <c r="Z824" i="37"/>
  <c r="Z825" i="37"/>
  <c r="Z826" i="37"/>
  <c r="Z827" i="37"/>
  <c r="Z828" i="37"/>
  <c r="Z829" i="37"/>
  <c r="Z830" i="37"/>
  <c r="Z831" i="37"/>
  <c r="Z832" i="37"/>
  <c r="Z833" i="37"/>
  <c r="Z834" i="37"/>
  <c r="Z835" i="37"/>
  <c r="Z836" i="37"/>
  <c r="Z837" i="37"/>
  <c r="Z838" i="37"/>
  <c r="Z839" i="37"/>
  <c r="Z840" i="37"/>
  <c r="Z841" i="37"/>
  <c r="Z842" i="37"/>
  <c r="Z843" i="37"/>
  <c r="Z844" i="37"/>
  <c r="Z845" i="37"/>
  <c r="Z846" i="37"/>
  <c r="Z847" i="37"/>
  <c r="Z848" i="37"/>
  <c r="Z849" i="37"/>
  <c r="Z850" i="37"/>
  <c r="Z851" i="37"/>
  <c r="Z852" i="37"/>
  <c r="Z853" i="37"/>
  <c r="Z854" i="37"/>
  <c r="Z855" i="37"/>
  <c r="Z856" i="37"/>
  <c r="Z857" i="37"/>
  <c r="Z858" i="37"/>
  <c r="Z859" i="37"/>
  <c r="Z860" i="37"/>
  <c r="Z861" i="37"/>
  <c r="Z862" i="37"/>
  <c r="Z863" i="37"/>
  <c r="Z864" i="37"/>
  <c r="Z865" i="37"/>
  <c r="Z866" i="37"/>
  <c r="Z867" i="37"/>
  <c r="Z868" i="37"/>
  <c r="Z869" i="37"/>
  <c r="Z870" i="37"/>
  <c r="Z871" i="37"/>
  <c r="Z872" i="37"/>
  <c r="Z873" i="37"/>
  <c r="Z874" i="37"/>
  <c r="Z875" i="37"/>
  <c r="Z876" i="37"/>
  <c r="Z877" i="37"/>
  <c r="Z878" i="37"/>
  <c r="Z879" i="37"/>
  <c r="Z880" i="37"/>
  <c r="Z881" i="37"/>
  <c r="Z882" i="37"/>
  <c r="Z883" i="37"/>
  <c r="Z884" i="37"/>
  <c r="Z885" i="37"/>
  <c r="Z886" i="37"/>
  <c r="Z887" i="37"/>
  <c r="Z888" i="37"/>
  <c r="Z889" i="37"/>
  <c r="Z890" i="37"/>
  <c r="Z891" i="37"/>
  <c r="Z892" i="37"/>
  <c r="Z893" i="37"/>
  <c r="Z894" i="37"/>
  <c r="Z895" i="37"/>
  <c r="Z896" i="37"/>
  <c r="Z897" i="37"/>
  <c r="Z898" i="37"/>
  <c r="Z899" i="37"/>
  <c r="Z900" i="37"/>
  <c r="Z901" i="37"/>
  <c r="Z902" i="37"/>
  <c r="Z903" i="37"/>
  <c r="Z904" i="37"/>
  <c r="Z905" i="37"/>
  <c r="Z906" i="37"/>
  <c r="Z907" i="37"/>
  <c r="Z908" i="37"/>
  <c r="Z909" i="37"/>
  <c r="Z910" i="37"/>
  <c r="Z911" i="37"/>
  <c r="Z912" i="37"/>
  <c r="Z913" i="37"/>
  <c r="Z914" i="37"/>
  <c r="Z915" i="37"/>
  <c r="Z916" i="37"/>
  <c r="Z917" i="37"/>
  <c r="Z918" i="37"/>
  <c r="Z919" i="37"/>
  <c r="Z920" i="37"/>
  <c r="Z921" i="37"/>
  <c r="Z922" i="37"/>
  <c r="Z923" i="37"/>
  <c r="Z924" i="37"/>
  <c r="Z925" i="37"/>
  <c r="Z926" i="37"/>
  <c r="Z927" i="37"/>
  <c r="Z928" i="37"/>
  <c r="Z929" i="37"/>
  <c r="Z930" i="37"/>
  <c r="Z931" i="37"/>
  <c r="Z932" i="37"/>
  <c r="Z933" i="37"/>
  <c r="Z934" i="37"/>
  <c r="Z935" i="37"/>
  <c r="Z936" i="37"/>
  <c r="Z937" i="37"/>
  <c r="Z938" i="37"/>
  <c r="Z939" i="37"/>
  <c r="Z940" i="37"/>
  <c r="Z941" i="37"/>
  <c r="Z942" i="37"/>
  <c r="Z943" i="37"/>
  <c r="Z944" i="37"/>
  <c r="Z945" i="37"/>
  <c r="Z946" i="37"/>
  <c r="Z947" i="37"/>
  <c r="Z948" i="37"/>
  <c r="Z949" i="37"/>
  <c r="Z950" i="37"/>
  <c r="Z951" i="37"/>
  <c r="Z952" i="37"/>
  <c r="Z953" i="37"/>
  <c r="Z954" i="37"/>
  <c r="Z955" i="37"/>
  <c r="Z956" i="37"/>
  <c r="Z957" i="37"/>
  <c r="Z958" i="37"/>
  <c r="Z959" i="37"/>
  <c r="Z960" i="37"/>
  <c r="Z961" i="37"/>
  <c r="Z962" i="37"/>
  <c r="Z963" i="37"/>
  <c r="Z964" i="37"/>
  <c r="Z965" i="37"/>
  <c r="Z966" i="37"/>
  <c r="Z967" i="37"/>
  <c r="Z968" i="37"/>
  <c r="Z969" i="37"/>
  <c r="Z970" i="37"/>
  <c r="Z971" i="37"/>
  <c r="Z972" i="37"/>
  <c r="Z973" i="37"/>
  <c r="Z974" i="37"/>
  <c r="Z975" i="37"/>
  <c r="Z976" i="37"/>
  <c r="Z977" i="37"/>
  <c r="Z978" i="37"/>
  <c r="Z979" i="37"/>
  <c r="Z980" i="37"/>
  <c r="Z981" i="37"/>
  <c r="Z982" i="37"/>
  <c r="Z983" i="37"/>
  <c r="Z984" i="37"/>
  <c r="Z985" i="37"/>
  <c r="Z986" i="37"/>
  <c r="Z987" i="37"/>
  <c r="Z988" i="37"/>
  <c r="Z989" i="37"/>
  <c r="Z990" i="37"/>
  <c r="Z991" i="37"/>
  <c r="Z992" i="37"/>
  <c r="Z993" i="37"/>
  <c r="Z994" i="37"/>
  <c r="Z995" i="37"/>
  <c r="Z996" i="37"/>
  <c r="Z997" i="37"/>
  <c r="Z998" i="37"/>
  <c r="Z999" i="37"/>
  <c r="Z1000" i="37"/>
  <c r="Z1001" i="37"/>
  <c r="Z1002" i="37"/>
  <c r="Z1003" i="37"/>
  <c r="Z1004" i="37"/>
  <c r="Z1005" i="37"/>
  <c r="Z1006" i="37"/>
  <c r="Z1007" i="37"/>
  <c r="Z1008" i="37"/>
  <c r="Z1009" i="37"/>
  <c r="Z1010" i="37"/>
  <c r="Z1011" i="37"/>
  <c r="Z1012" i="37"/>
  <c r="Z1013" i="37"/>
  <c r="Z1014" i="37"/>
  <c r="Z1015" i="37"/>
  <c r="Z1016" i="37"/>
  <c r="Z1017" i="37"/>
  <c r="Z1018" i="37"/>
  <c r="Z1019" i="37"/>
  <c r="Z1020" i="37"/>
  <c r="Z1021" i="37"/>
  <c r="Z1022" i="37"/>
  <c r="Z1023" i="37"/>
  <c r="Z1024" i="37"/>
  <c r="Z1025" i="37"/>
  <c r="Z1026" i="37"/>
  <c r="Z1027" i="37"/>
  <c r="Z1028" i="37"/>
  <c r="Z1029" i="37"/>
  <c r="Z1030" i="37"/>
  <c r="Z1031" i="37"/>
  <c r="Z1032" i="37"/>
  <c r="Z1033" i="37"/>
  <c r="Z1034" i="37"/>
  <c r="Z1035" i="37"/>
  <c r="Z1036" i="37"/>
  <c r="Z1037" i="37"/>
  <c r="Z1038" i="37"/>
  <c r="Z1039" i="37"/>
  <c r="Z1040" i="37"/>
  <c r="Z1041" i="37"/>
  <c r="Z1042" i="37"/>
  <c r="Z1043" i="37"/>
  <c r="Z1044" i="37"/>
  <c r="Z1045" i="37"/>
  <c r="Z1046" i="37"/>
  <c r="Z1047" i="37"/>
  <c r="Z1048" i="37"/>
  <c r="Z1049" i="37"/>
  <c r="Z1050" i="37"/>
  <c r="Z1051" i="37"/>
  <c r="Z1052" i="37"/>
  <c r="Z1053" i="37"/>
  <c r="Z1054" i="37"/>
  <c r="Z1055" i="37"/>
  <c r="Z1056" i="37"/>
  <c r="Z1057" i="37"/>
  <c r="Z1058" i="37"/>
  <c r="Z1059" i="37"/>
  <c r="Z1060" i="37"/>
  <c r="Z1061" i="37"/>
  <c r="Z1062" i="37"/>
  <c r="Z1063" i="37"/>
  <c r="Z1064" i="37"/>
  <c r="Z1065" i="37"/>
  <c r="Z1066" i="37"/>
  <c r="Z1067" i="37"/>
  <c r="Z1068" i="37"/>
  <c r="Z1069" i="37"/>
  <c r="Z1070" i="37"/>
  <c r="Z1071" i="37"/>
  <c r="Z1072" i="37"/>
  <c r="Z1073" i="37"/>
  <c r="Z1074" i="37"/>
  <c r="Z1075" i="37"/>
  <c r="Z1076" i="37"/>
  <c r="Z1077" i="37"/>
  <c r="Z1078" i="37"/>
  <c r="Z1079" i="37"/>
  <c r="Z1080" i="37"/>
  <c r="Z1081" i="37"/>
  <c r="Z1082" i="37"/>
  <c r="Z1083" i="37"/>
  <c r="Z1084" i="37"/>
  <c r="Z1085" i="37"/>
  <c r="Z1086" i="37"/>
  <c r="Z1087" i="37"/>
  <c r="Z1088" i="37"/>
  <c r="Z1089" i="37"/>
  <c r="Z1090" i="37"/>
  <c r="Z1091" i="37"/>
  <c r="Z1092" i="37"/>
  <c r="Z1093" i="37"/>
  <c r="Z1094" i="37"/>
  <c r="Z1095" i="37"/>
  <c r="Z1096" i="37"/>
  <c r="Z1097" i="37"/>
  <c r="Z1098" i="37"/>
  <c r="Z1099" i="37"/>
  <c r="Z1100" i="37"/>
  <c r="Z1101" i="37"/>
  <c r="Z1102" i="37"/>
  <c r="Z1103" i="37"/>
  <c r="Z1104" i="37"/>
  <c r="Z1105" i="37"/>
  <c r="Z1106" i="37"/>
  <c r="Z1107" i="37"/>
  <c r="Z1108" i="37"/>
  <c r="Z1109" i="37"/>
  <c r="Z1110" i="37"/>
  <c r="Z1111" i="37"/>
  <c r="Z1112" i="37"/>
  <c r="Z1113" i="37"/>
  <c r="Z1114" i="37"/>
  <c r="Z1115" i="37"/>
  <c r="Z1116" i="37"/>
  <c r="Z1117" i="37"/>
  <c r="Z1118" i="37"/>
  <c r="Z1119" i="37"/>
  <c r="Z1120" i="37"/>
  <c r="Z1121" i="37"/>
  <c r="Z1122" i="37"/>
  <c r="Z1123" i="37"/>
  <c r="Z1124" i="37"/>
  <c r="Z1125" i="37"/>
  <c r="Z1126" i="37"/>
  <c r="Z1127" i="37"/>
  <c r="Z1128" i="37"/>
  <c r="Z1129" i="37"/>
  <c r="Z1130" i="37"/>
  <c r="Z1131" i="37"/>
  <c r="Z1132" i="37"/>
  <c r="Z1133" i="37"/>
  <c r="Z1134" i="37"/>
  <c r="Z1135" i="37"/>
  <c r="Z1136" i="37"/>
  <c r="Z1137" i="37"/>
  <c r="Z1138" i="37"/>
  <c r="Z1139" i="37"/>
  <c r="Z1140" i="37"/>
  <c r="Z1141" i="37"/>
  <c r="Z1142" i="37"/>
  <c r="Z1143" i="37"/>
  <c r="Z1144" i="37"/>
  <c r="Z1145" i="37"/>
  <c r="Z1146" i="37"/>
  <c r="Z1147" i="37"/>
  <c r="Z1148" i="37"/>
  <c r="Z1149" i="37"/>
  <c r="Z1150" i="37"/>
  <c r="Z1151" i="37"/>
  <c r="Z1152" i="37"/>
  <c r="Z1153" i="37"/>
  <c r="Z1154" i="37"/>
  <c r="Z1155" i="37"/>
  <c r="Z1156" i="37"/>
  <c r="Z1157" i="37"/>
  <c r="Z1158" i="37"/>
  <c r="Z1159" i="37"/>
  <c r="Z1160" i="37"/>
  <c r="Z1161" i="37"/>
  <c r="Z1162" i="37"/>
  <c r="Z1163" i="37"/>
  <c r="Z1164" i="37"/>
  <c r="Z1165" i="37"/>
  <c r="Z1166" i="37"/>
  <c r="Z1167" i="37"/>
  <c r="Z1168" i="37"/>
  <c r="Z1169" i="37"/>
  <c r="Z1170" i="37"/>
  <c r="Z1171" i="37"/>
  <c r="Z1172" i="37"/>
  <c r="Z1173" i="37"/>
  <c r="Z1174" i="37"/>
  <c r="Z1175" i="37"/>
  <c r="Z1176" i="37"/>
  <c r="Z1177" i="37"/>
  <c r="Z1178" i="37"/>
  <c r="Z1179" i="37"/>
  <c r="Z1180" i="37"/>
  <c r="Z1181" i="37"/>
  <c r="Z1182" i="37"/>
  <c r="Z1183" i="37"/>
  <c r="Z1184" i="37"/>
  <c r="Z1185" i="37"/>
  <c r="Z1186" i="37"/>
  <c r="Z1187" i="37"/>
  <c r="Z1188" i="37"/>
  <c r="Z1189" i="37"/>
  <c r="Z1190" i="37"/>
  <c r="Z1191" i="37"/>
  <c r="Z1192" i="37"/>
  <c r="Z1193" i="37"/>
  <c r="Z1194" i="37"/>
  <c r="Z1195" i="37"/>
  <c r="Z1196" i="37"/>
  <c r="Z1197" i="37"/>
  <c r="Z1198" i="37"/>
  <c r="Z1199" i="37"/>
  <c r="Z1200" i="37"/>
  <c r="Z1201" i="37"/>
  <c r="Z1202" i="37"/>
  <c r="Z1203" i="37"/>
  <c r="Z1204" i="37"/>
  <c r="Z1205" i="37"/>
  <c r="Z1206" i="37"/>
  <c r="Z1207" i="37"/>
  <c r="Z1208" i="37"/>
  <c r="Z1209" i="37"/>
  <c r="Z1210" i="37"/>
  <c r="Z1211" i="37"/>
  <c r="Z1212" i="37"/>
  <c r="Z1213" i="37"/>
  <c r="Z1214" i="37"/>
  <c r="Z1215" i="37"/>
  <c r="Z1216" i="37"/>
  <c r="Z1217" i="37"/>
  <c r="Z1218" i="37"/>
  <c r="Z1219" i="37"/>
  <c r="Z1220" i="37"/>
  <c r="Z1221" i="37"/>
  <c r="Z1222" i="37"/>
  <c r="Z1223" i="37"/>
  <c r="Z1224" i="37"/>
  <c r="Z1225" i="37"/>
  <c r="Z1226" i="37"/>
  <c r="Z1227" i="37"/>
  <c r="Z1228" i="37"/>
  <c r="Z1229" i="37"/>
  <c r="Z1230" i="37"/>
  <c r="Z1231" i="37"/>
  <c r="Z1232" i="37"/>
  <c r="Z1233" i="37"/>
  <c r="Z1234" i="37"/>
  <c r="Z1235" i="37"/>
  <c r="Z1236" i="37"/>
  <c r="Z1237" i="37"/>
  <c r="Z1238" i="37"/>
  <c r="Z1239" i="37"/>
  <c r="Z1240" i="37"/>
  <c r="Z1241" i="37"/>
  <c r="Z1242" i="37"/>
  <c r="Z1243" i="37"/>
  <c r="Z1244" i="37"/>
  <c r="Z1245" i="37"/>
  <c r="Z1246" i="37"/>
  <c r="Z1247" i="37"/>
  <c r="Z1248" i="37"/>
  <c r="Z1249" i="37"/>
  <c r="Z1250" i="37"/>
  <c r="Z1251" i="37"/>
  <c r="Z1252" i="37"/>
  <c r="Z1253" i="37"/>
  <c r="Z1254" i="37"/>
  <c r="Z1255" i="37"/>
  <c r="Z1256" i="37"/>
  <c r="Z1257" i="37"/>
  <c r="Z1258" i="37"/>
  <c r="Z1259" i="37"/>
  <c r="Z1260" i="37"/>
  <c r="Z1261" i="37"/>
  <c r="Z1262" i="37"/>
  <c r="Z1263" i="37"/>
  <c r="Z1264" i="37"/>
  <c r="Z1265" i="37"/>
  <c r="Z1266" i="37"/>
  <c r="Z1267" i="37"/>
  <c r="Z1268" i="37"/>
  <c r="Z1269" i="37"/>
  <c r="Z1270" i="37"/>
  <c r="Z1271" i="37"/>
  <c r="Z1272" i="37"/>
  <c r="Z1273" i="37"/>
  <c r="Z1274" i="37"/>
  <c r="Z1275" i="37"/>
  <c r="Z1276" i="37"/>
  <c r="Z1277" i="37"/>
  <c r="Z1278" i="37"/>
  <c r="Z1279" i="37"/>
  <c r="Z1280" i="37"/>
  <c r="Z1281" i="37"/>
  <c r="Z1282" i="37"/>
  <c r="Z1283" i="37"/>
  <c r="Z1284" i="37"/>
  <c r="Z1285" i="37"/>
  <c r="Z1286" i="37"/>
  <c r="Z1287" i="37"/>
  <c r="Z1288" i="37"/>
  <c r="Z1289" i="37"/>
  <c r="Z1290" i="37"/>
  <c r="Z1291" i="37"/>
  <c r="Z1292" i="37"/>
  <c r="Z1293" i="37"/>
  <c r="Z1294" i="37"/>
  <c r="Z1295" i="37"/>
  <c r="Z1296" i="37"/>
  <c r="Z1297" i="37"/>
  <c r="Z1298" i="37"/>
  <c r="Z1299" i="37"/>
  <c r="Z1300" i="37"/>
  <c r="Z1301" i="37"/>
  <c r="Z1302" i="37"/>
  <c r="Z1303" i="37"/>
  <c r="Z1304" i="37"/>
  <c r="Z1305" i="37"/>
  <c r="Z1306" i="37"/>
  <c r="Z1307" i="37"/>
  <c r="Z1308" i="37"/>
  <c r="Z1309" i="37"/>
  <c r="Z1310" i="37"/>
  <c r="Z1311" i="37"/>
  <c r="Z1312" i="37"/>
  <c r="Z1313" i="37"/>
  <c r="Z1314" i="37"/>
  <c r="Z1315" i="37"/>
  <c r="Z1316" i="37"/>
  <c r="Z1317" i="37"/>
  <c r="Z1318" i="37"/>
  <c r="Z1319" i="37"/>
  <c r="Z1320" i="37"/>
  <c r="Z1321" i="37"/>
  <c r="Z1322" i="37"/>
  <c r="Z1323" i="37"/>
  <c r="Z1324" i="37"/>
  <c r="Z1325" i="37"/>
  <c r="Z1326" i="37"/>
  <c r="Z1327" i="37"/>
  <c r="Z1328" i="37"/>
  <c r="Z1329" i="37"/>
  <c r="Z1330" i="37"/>
  <c r="Z1331" i="37"/>
  <c r="Z1332" i="37"/>
  <c r="Z1333" i="37"/>
  <c r="Z1334" i="37"/>
  <c r="Z1335" i="37"/>
  <c r="Z1336" i="37"/>
  <c r="Z1337" i="37"/>
  <c r="Z1338" i="37"/>
  <c r="Z1339" i="37"/>
  <c r="Z1340" i="37"/>
  <c r="Z1341" i="37"/>
  <c r="Z1342" i="37"/>
  <c r="Z1343" i="37"/>
  <c r="Z1344" i="37"/>
  <c r="Z1345" i="37"/>
  <c r="Z1346" i="37"/>
  <c r="Z1347" i="37"/>
  <c r="Z1348" i="37"/>
  <c r="Z1349" i="37"/>
  <c r="Z1350" i="37"/>
  <c r="Z1351" i="37"/>
  <c r="Z1352" i="37"/>
  <c r="Z1353" i="37"/>
  <c r="Z1354" i="37"/>
  <c r="Z1355" i="37"/>
  <c r="Z1356" i="37"/>
  <c r="Z1357" i="37"/>
  <c r="Z1358" i="37"/>
  <c r="Z1359" i="37"/>
  <c r="Z1360" i="37"/>
  <c r="Z1361" i="37"/>
  <c r="Z1362" i="37"/>
  <c r="Z1363" i="37"/>
  <c r="Z1364" i="37"/>
  <c r="Z1365" i="37"/>
  <c r="Z1366" i="37"/>
  <c r="Z1367" i="37"/>
  <c r="Z1368" i="37"/>
  <c r="Z1369" i="37"/>
  <c r="Z1370" i="37"/>
  <c r="Z1371" i="37"/>
  <c r="Z1372" i="37"/>
  <c r="Z1373" i="37"/>
  <c r="Z1374" i="37"/>
  <c r="Z1375" i="37"/>
  <c r="Z1376" i="37"/>
  <c r="Z1377" i="37"/>
  <c r="Z1378" i="37"/>
  <c r="Z1379" i="37"/>
  <c r="Z1380" i="37"/>
  <c r="Z1381" i="37"/>
  <c r="Z1382" i="37"/>
  <c r="Z1383" i="37"/>
  <c r="Z1384" i="37"/>
  <c r="Z1385" i="37"/>
  <c r="Z1386" i="37"/>
  <c r="Z1387" i="37"/>
  <c r="Z1388" i="37"/>
  <c r="Z1389" i="37"/>
  <c r="Z1390" i="37"/>
  <c r="Z1391" i="37"/>
  <c r="Z1392" i="37"/>
  <c r="Z1393" i="37"/>
  <c r="Z1394" i="37"/>
  <c r="Z1395" i="37"/>
  <c r="Z1396" i="37"/>
  <c r="Z1397" i="37"/>
  <c r="Z1398" i="37"/>
  <c r="Z1399" i="37"/>
  <c r="Z1400" i="37"/>
  <c r="Z1401" i="37"/>
  <c r="Z1402" i="37"/>
  <c r="Z1403" i="37"/>
  <c r="Z1404" i="37"/>
  <c r="Z1405" i="37"/>
  <c r="Z1406" i="37"/>
  <c r="Z1407" i="37"/>
  <c r="Z1408" i="37"/>
  <c r="Z1409" i="37"/>
  <c r="Z1410" i="37"/>
  <c r="Z1411" i="37"/>
  <c r="Z1412" i="37"/>
  <c r="Z1413" i="37"/>
  <c r="Z1414" i="37"/>
  <c r="Z1415" i="37"/>
  <c r="Z1416" i="37"/>
  <c r="Z1417" i="37"/>
  <c r="Z1418" i="37"/>
  <c r="Z1419" i="37"/>
  <c r="Z1420" i="37"/>
  <c r="Z1421" i="37"/>
  <c r="Z1422" i="37"/>
  <c r="Z1423" i="37"/>
  <c r="Z1424" i="37"/>
  <c r="Z1425" i="37"/>
  <c r="Z1426" i="37"/>
  <c r="Z1427" i="37"/>
  <c r="Z1428" i="37"/>
  <c r="Z1429" i="37"/>
  <c r="Z1430" i="37"/>
  <c r="Z1431" i="37"/>
  <c r="Z1432" i="37"/>
  <c r="Z1433" i="37"/>
  <c r="Z1434" i="37"/>
  <c r="Z1435" i="37"/>
  <c r="Z1436" i="37"/>
  <c r="Z1437" i="37"/>
  <c r="Z1438" i="37"/>
  <c r="Z1439" i="37"/>
  <c r="Z1440" i="37"/>
  <c r="Z1441" i="37"/>
  <c r="Z1442" i="37"/>
  <c r="Z1443" i="37"/>
  <c r="Z1444" i="37"/>
  <c r="Z1445" i="37"/>
  <c r="Z1446" i="37"/>
  <c r="Z1447" i="37"/>
  <c r="Z1448" i="37"/>
  <c r="Z1449" i="37"/>
  <c r="Z1450" i="37"/>
  <c r="Z1451" i="37"/>
  <c r="Z1452" i="37"/>
  <c r="Z1453" i="37"/>
  <c r="Z1454" i="37"/>
  <c r="Z1455" i="37"/>
  <c r="Z1456" i="37"/>
  <c r="Z1457" i="37"/>
  <c r="Z1458" i="37"/>
  <c r="Z1459" i="37"/>
  <c r="Z1460" i="37"/>
  <c r="Z1461" i="37"/>
  <c r="Z1462" i="37"/>
  <c r="Z1463" i="37"/>
  <c r="Z1464" i="37"/>
  <c r="Z1465" i="37"/>
  <c r="Z1466" i="37"/>
  <c r="Z1467" i="37"/>
  <c r="Z1468" i="37"/>
  <c r="Z1469" i="37"/>
  <c r="Z1470" i="37"/>
  <c r="Z1471" i="37"/>
  <c r="Z1472" i="37"/>
  <c r="Z1473" i="37"/>
  <c r="Z1474" i="37"/>
  <c r="Z1475" i="37"/>
  <c r="Z1476" i="37"/>
  <c r="Z1477" i="37"/>
  <c r="Z1478" i="37"/>
  <c r="Z1479" i="37"/>
  <c r="Z1480" i="37"/>
  <c r="Z1481" i="37"/>
  <c r="Z1482" i="37"/>
  <c r="Z1483" i="37"/>
  <c r="Z1484" i="37"/>
  <c r="Z1485" i="37"/>
  <c r="Z1486" i="37"/>
  <c r="Z1487" i="37"/>
  <c r="Z1488" i="37"/>
  <c r="Z1489" i="37"/>
  <c r="Z1490" i="37"/>
  <c r="Z1491" i="37"/>
  <c r="Z1492" i="37"/>
  <c r="AA2" i="37"/>
  <c r="AA3" i="37"/>
  <c r="AA4" i="37"/>
  <c r="AA5" i="37"/>
  <c r="AA6" i="37"/>
  <c r="AA7" i="37"/>
  <c r="AA8" i="37"/>
  <c r="AA9" i="37"/>
  <c r="AA10" i="37"/>
  <c r="AA11" i="37"/>
  <c r="AA12" i="37"/>
  <c r="AA13" i="37"/>
  <c r="AA14" i="37"/>
  <c r="AA15" i="37"/>
  <c r="AA16" i="37"/>
  <c r="AA17" i="37"/>
  <c r="AA18" i="37"/>
  <c r="AA19" i="37"/>
  <c r="AA20" i="37"/>
  <c r="AA21" i="37"/>
  <c r="AA22" i="37"/>
  <c r="AA23" i="37"/>
  <c r="AA24" i="37"/>
  <c r="AA25" i="37"/>
  <c r="AA26" i="37"/>
  <c r="AA27" i="37"/>
  <c r="AA28" i="37"/>
  <c r="AA29" i="37"/>
  <c r="AA30" i="37"/>
  <c r="AA31" i="37"/>
  <c r="AA32" i="37"/>
  <c r="AA33" i="37"/>
  <c r="AA34" i="37"/>
  <c r="AA35" i="37"/>
  <c r="AA36" i="37"/>
  <c r="AA37" i="37"/>
  <c r="AA38" i="37"/>
  <c r="AA39" i="37"/>
  <c r="AA40" i="37"/>
  <c r="AA41" i="37"/>
  <c r="AA42" i="37"/>
  <c r="AA43" i="37"/>
  <c r="AA44" i="37"/>
  <c r="AA45" i="37"/>
  <c r="AA46" i="37"/>
  <c r="AA47" i="37"/>
  <c r="AA48" i="37"/>
  <c r="AA49" i="37"/>
  <c r="AA50" i="37"/>
  <c r="AA51" i="37"/>
  <c r="AA52" i="37"/>
  <c r="AA53" i="37"/>
  <c r="AA54" i="37"/>
  <c r="AA55" i="37"/>
  <c r="AA56" i="37"/>
  <c r="AA57" i="37"/>
  <c r="AA58" i="37"/>
  <c r="AA59" i="37"/>
  <c r="AA60" i="37"/>
  <c r="AA61" i="37"/>
  <c r="AA62" i="37"/>
  <c r="AA63" i="37"/>
  <c r="AA64" i="37"/>
  <c r="AA65" i="37"/>
  <c r="AA66" i="37"/>
  <c r="AA67" i="37"/>
  <c r="AA68" i="37"/>
  <c r="AA69" i="37"/>
  <c r="AA70" i="37"/>
  <c r="AA71" i="37"/>
  <c r="AA72" i="37"/>
  <c r="AA73" i="37"/>
  <c r="AA74" i="37"/>
  <c r="AA75" i="37"/>
  <c r="AA76" i="37"/>
  <c r="AA77" i="37"/>
  <c r="AA78" i="37"/>
  <c r="AA79" i="37"/>
  <c r="AA80" i="37"/>
  <c r="AA81" i="37"/>
  <c r="AA82" i="37"/>
  <c r="AA83" i="37"/>
  <c r="AA84" i="37"/>
  <c r="AA85" i="37"/>
  <c r="AA86" i="37"/>
  <c r="AA87" i="37"/>
  <c r="AA88" i="37"/>
  <c r="AA89" i="37"/>
  <c r="AA90" i="37"/>
  <c r="AA91" i="37"/>
  <c r="AA92" i="37"/>
  <c r="AA93" i="37"/>
  <c r="AA94" i="37"/>
  <c r="AA95" i="37"/>
  <c r="AA96" i="37"/>
  <c r="AA97" i="37"/>
  <c r="AA98" i="37"/>
  <c r="AA99" i="37"/>
  <c r="AA100" i="37"/>
  <c r="AA101" i="37"/>
  <c r="AA102" i="37"/>
  <c r="AA103" i="37"/>
  <c r="AA104" i="37"/>
  <c r="AA105" i="37"/>
  <c r="AA106" i="37"/>
  <c r="AA107" i="37"/>
  <c r="AA108" i="37"/>
  <c r="AA109" i="37"/>
  <c r="AA110" i="37"/>
  <c r="AA111" i="37"/>
  <c r="AA112" i="37"/>
  <c r="AA113" i="37"/>
  <c r="AA114" i="37"/>
  <c r="AA115" i="37"/>
  <c r="AA116" i="37"/>
  <c r="AA117" i="37"/>
  <c r="AA118" i="37"/>
  <c r="AA119" i="37"/>
  <c r="AA120" i="37"/>
  <c r="AA121" i="37"/>
  <c r="AA122" i="37"/>
  <c r="AA123" i="37"/>
  <c r="AA124" i="37"/>
  <c r="AA125" i="37"/>
  <c r="AA126" i="37"/>
  <c r="AA127" i="37"/>
  <c r="AA128" i="37"/>
  <c r="AA129" i="37"/>
  <c r="AA130" i="37"/>
  <c r="AA131" i="37"/>
  <c r="AA132" i="37"/>
  <c r="AA133" i="37"/>
  <c r="AA134" i="37"/>
  <c r="AA135" i="37"/>
  <c r="AA136" i="37"/>
  <c r="AA137" i="37"/>
  <c r="AA138" i="37"/>
  <c r="AA139" i="37"/>
  <c r="AA140" i="37"/>
  <c r="AA141" i="37"/>
  <c r="AA142" i="37"/>
  <c r="AA143" i="37"/>
  <c r="AA144" i="37"/>
  <c r="AA145" i="37"/>
  <c r="AA146" i="37"/>
  <c r="AA147" i="37"/>
  <c r="AA148" i="37"/>
  <c r="AA149" i="37"/>
  <c r="AA150" i="37"/>
  <c r="AA151" i="37"/>
  <c r="AA152" i="37"/>
  <c r="AA153" i="37"/>
  <c r="AA154" i="37"/>
  <c r="AA155" i="37"/>
  <c r="AA156" i="37"/>
  <c r="AA157" i="37"/>
  <c r="AA158" i="37"/>
  <c r="AA159" i="37"/>
  <c r="AA160" i="37"/>
  <c r="AA161" i="37"/>
  <c r="AA162" i="37"/>
  <c r="AA163" i="37"/>
  <c r="AA164" i="37"/>
  <c r="AA165" i="37"/>
  <c r="AA166" i="37"/>
  <c r="AA167" i="37"/>
  <c r="AA168" i="37"/>
  <c r="AA169" i="37"/>
  <c r="AA170" i="37"/>
  <c r="AA171" i="37"/>
  <c r="AA172" i="37"/>
  <c r="AA173" i="37"/>
  <c r="AA174" i="37"/>
  <c r="AA175" i="37"/>
  <c r="AA176" i="37"/>
  <c r="AA177" i="37"/>
  <c r="AA178" i="37"/>
  <c r="AA179" i="37"/>
  <c r="AA180" i="37"/>
  <c r="AA181" i="37"/>
  <c r="AA182" i="37"/>
  <c r="AA183" i="37"/>
  <c r="AA184" i="37"/>
  <c r="AA185" i="37"/>
  <c r="AA186" i="37"/>
  <c r="AA187" i="37"/>
  <c r="AA188" i="37"/>
  <c r="AA189" i="37"/>
  <c r="AA190" i="37"/>
  <c r="AA191" i="37"/>
  <c r="AA192" i="37"/>
  <c r="AA193" i="37"/>
  <c r="AA194" i="37"/>
  <c r="AA195" i="37"/>
  <c r="AA196" i="37"/>
  <c r="AA197" i="37"/>
  <c r="AA198" i="37"/>
  <c r="AA199" i="37"/>
  <c r="AA200" i="37"/>
  <c r="AA201" i="37"/>
  <c r="AA202" i="37"/>
  <c r="AA203" i="37"/>
  <c r="AA204" i="37"/>
  <c r="AA205" i="37"/>
  <c r="AA206" i="37"/>
  <c r="AA207" i="37"/>
  <c r="AA208" i="37"/>
  <c r="AA209" i="37"/>
  <c r="AA210" i="37"/>
  <c r="AA211" i="37"/>
  <c r="AA212" i="37"/>
  <c r="AA213" i="37"/>
  <c r="AA214" i="37"/>
  <c r="AA215" i="37"/>
  <c r="AA216" i="37"/>
  <c r="AA217" i="37"/>
  <c r="AA218" i="37"/>
  <c r="AA219" i="37"/>
  <c r="AA220" i="37"/>
  <c r="AA221" i="37"/>
  <c r="AA222" i="37"/>
  <c r="AA223" i="37"/>
  <c r="AA224" i="37"/>
  <c r="AA225" i="37"/>
  <c r="AA226" i="37"/>
  <c r="AA227" i="37"/>
  <c r="AA228" i="37"/>
  <c r="AA229" i="37"/>
  <c r="AA230" i="37"/>
  <c r="AA231" i="37"/>
  <c r="AA232" i="37"/>
  <c r="AA233" i="37"/>
  <c r="AA234" i="37"/>
  <c r="AA235" i="37"/>
  <c r="AA236" i="37"/>
  <c r="AA237" i="37"/>
  <c r="AA238" i="37"/>
  <c r="AA239" i="37"/>
  <c r="AA240" i="37"/>
  <c r="AA241" i="37"/>
  <c r="AA242" i="37"/>
  <c r="AA243" i="37"/>
  <c r="AA244" i="37"/>
  <c r="AA245" i="37"/>
  <c r="AA246" i="37"/>
  <c r="AA247" i="37"/>
  <c r="AA248" i="37"/>
  <c r="AA249" i="37"/>
  <c r="AA250" i="37"/>
  <c r="AA251" i="37"/>
  <c r="AA252" i="37"/>
  <c r="AA253" i="37"/>
  <c r="AA254" i="37"/>
  <c r="AA255" i="37"/>
  <c r="AA256" i="37"/>
  <c r="AA257" i="37"/>
  <c r="AA258" i="37"/>
  <c r="AA259" i="37"/>
  <c r="AA260" i="37"/>
  <c r="AA261" i="37"/>
  <c r="AA262" i="37"/>
  <c r="AA263" i="37"/>
  <c r="AA264" i="37"/>
  <c r="AA265" i="37"/>
  <c r="AA266" i="37"/>
  <c r="AA267" i="37"/>
  <c r="AA268" i="37"/>
  <c r="AA269" i="37"/>
  <c r="AA270" i="37"/>
  <c r="AA271" i="37"/>
  <c r="AA272" i="37"/>
  <c r="AA273" i="37"/>
  <c r="AA274" i="37"/>
  <c r="AA275" i="37"/>
  <c r="AA276" i="37"/>
  <c r="AA277" i="37"/>
  <c r="AA278" i="37"/>
  <c r="AA279" i="37"/>
  <c r="AA280" i="37"/>
  <c r="AA281" i="37"/>
  <c r="AA282" i="37"/>
  <c r="AA283" i="37"/>
  <c r="AA284" i="37"/>
  <c r="AA285" i="37"/>
  <c r="AA286" i="37"/>
  <c r="AA287" i="37"/>
  <c r="AA288" i="37"/>
  <c r="AA289" i="37"/>
  <c r="AA290" i="37"/>
  <c r="AA291" i="37"/>
  <c r="AA292" i="37"/>
  <c r="AA293" i="37"/>
  <c r="AA294" i="37"/>
  <c r="AA295" i="37"/>
  <c r="AA296" i="37"/>
  <c r="AA297" i="37"/>
  <c r="AA298" i="37"/>
  <c r="AA299" i="37"/>
  <c r="AA300" i="37"/>
  <c r="AA301" i="37"/>
  <c r="AA302" i="37"/>
  <c r="AA303" i="37"/>
  <c r="AA304" i="37"/>
  <c r="AA305" i="37"/>
  <c r="AA306" i="37"/>
  <c r="AA307" i="37"/>
  <c r="AA308" i="37"/>
  <c r="AA309" i="37"/>
  <c r="AA310" i="37"/>
  <c r="AA311" i="37"/>
  <c r="AA312" i="37"/>
  <c r="AA313" i="37"/>
  <c r="AA314" i="37"/>
  <c r="AA315" i="37"/>
  <c r="AA316" i="37"/>
  <c r="AA317" i="37"/>
  <c r="AA318" i="37"/>
  <c r="AA319" i="37"/>
  <c r="AA320" i="37"/>
  <c r="AA321" i="37"/>
  <c r="AA322" i="37"/>
  <c r="AA323" i="37"/>
  <c r="AA324" i="37"/>
  <c r="AA325" i="37"/>
  <c r="AA326" i="37"/>
  <c r="AA327" i="37"/>
  <c r="AA328" i="37"/>
  <c r="AA329" i="37"/>
  <c r="AA330" i="37"/>
  <c r="AA331" i="37"/>
  <c r="AA332" i="37"/>
  <c r="AA333" i="37"/>
  <c r="AA334" i="37"/>
  <c r="AA335" i="37"/>
  <c r="AA336" i="37"/>
  <c r="AA337" i="37"/>
  <c r="AA338" i="37"/>
  <c r="AA339" i="37"/>
  <c r="AA340" i="37"/>
  <c r="AA341" i="37"/>
  <c r="AA342" i="37"/>
  <c r="AA343" i="37"/>
  <c r="AA344" i="37"/>
  <c r="AA345" i="37"/>
  <c r="AA346" i="37"/>
  <c r="AA347" i="37"/>
  <c r="AA348" i="37"/>
  <c r="AA349" i="37"/>
  <c r="AA350" i="37"/>
  <c r="AA351" i="37"/>
  <c r="AA352" i="37"/>
  <c r="AA353" i="37"/>
  <c r="AA354" i="37"/>
  <c r="AA355" i="37"/>
  <c r="AA356" i="37"/>
  <c r="AA357" i="37"/>
  <c r="AA358" i="37"/>
  <c r="AA359" i="37"/>
  <c r="AA360" i="37"/>
  <c r="AA361" i="37"/>
  <c r="AA362" i="37"/>
  <c r="AA363" i="37"/>
  <c r="AA364" i="37"/>
  <c r="AA365" i="37"/>
  <c r="AA366" i="37"/>
  <c r="AA367" i="37"/>
  <c r="AA368" i="37"/>
  <c r="AA369" i="37"/>
  <c r="AA370" i="37"/>
  <c r="AA371" i="37"/>
  <c r="AA372" i="37"/>
  <c r="AA373" i="37"/>
  <c r="AA374" i="37"/>
  <c r="AA375" i="37"/>
  <c r="AA376" i="37"/>
  <c r="AA377" i="37"/>
  <c r="AA378" i="37"/>
  <c r="AA379" i="37"/>
  <c r="AA380" i="37"/>
  <c r="AA381" i="37"/>
  <c r="AA382" i="37"/>
  <c r="AA383" i="37"/>
  <c r="AA384" i="37"/>
  <c r="AA385" i="37"/>
  <c r="AA386" i="37"/>
  <c r="AA387" i="37"/>
  <c r="AA388" i="37"/>
  <c r="AA389" i="37"/>
  <c r="AA390" i="37"/>
  <c r="AA391" i="37"/>
  <c r="AA392" i="37"/>
  <c r="AA393" i="37"/>
  <c r="AA394" i="37"/>
  <c r="AA395" i="37"/>
  <c r="AA396" i="37"/>
  <c r="AA397" i="37"/>
  <c r="AA398" i="37"/>
  <c r="AA399" i="37"/>
  <c r="AA400" i="37"/>
  <c r="AA401" i="37"/>
  <c r="AA402" i="37"/>
  <c r="AA403" i="37"/>
  <c r="AA404" i="37"/>
  <c r="AA405" i="37"/>
  <c r="AA406" i="37"/>
  <c r="AA407" i="37"/>
  <c r="AA408" i="37"/>
  <c r="AA409" i="37"/>
  <c r="AA410" i="37"/>
  <c r="AA411" i="37"/>
  <c r="AA412" i="37"/>
  <c r="AA413" i="37"/>
  <c r="AA414" i="37"/>
  <c r="AA415" i="37"/>
  <c r="AA416" i="37"/>
  <c r="AA417" i="37"/>
  <c r="AA418" i="37"/>
  <c r="AA419" i="37"/>
  <c r="AA420" i="37"/>
  <c r="AA421" i="37"/>
  <c r="AA422" i="37"/>
  <c r="AA423" i="37"/>
  <c r="AA424" i="37"/>
  <c r="AA425" i="37"/>
  <c r="AA426" i="37"/>
  <c r="AA427" i="37"/>
  <c r="AA428" i="37"/>
  <c r="AA429" i="37"/>
  <c r="AA430" i="37"/>
  <c r="AA431" i="37"/>
  <c r="AA432" i="37"/>
  <c r="AA433" i="37"/>
  <c r="AA434" i="37"/>
  <c r="AA435" i="37"/>
  <c r="AA436" i="37"/>
  <c r="AA437" i="37"/>
  <c r="AA438" i="37"/>
  <c r="AA439" i="37"/>
  <c r="AA440" i="37"/>
  <c r="AA441" i="37"/>
  <c r="AA442" i="37"/>
  <c r="AA443" i="37"/>
  <c r="AA444" i="37"/>
  <c r="AA445" i="37"/>
  <c r="AA446" i="37"/>
  <c r="AA447" i="37"/>
  <c r="AA448" i="37"/>
  <c r="AA449" i="37"/>
  <c r="AA450" i="37"/>
  <c r="AA451" i="37"/>
  <c r="AA452" i="37"/>
  <c r="AA453" i="37"/>
  <c r="AA454" i="37"/>
  <c r="AA455" i="37"/>
  <c r="AA456" i="37"/>
  <c r="AA457" i="37"/>
  <c r="AA458" i="37"/>
  <c r="AA459" i="37"/>
  <c r="AA460" i="37"/>
  <c r="AA461" i="37"/>
  <c r="AA462" i="37"/>
  <c r="AA463" i="37"/>
  <c r="AA464" i="37"/>
  <c r="AA465" i="37"/>
  <c r="AA466" i="37"/>
  <c r="AA467" i="37"/>
  <c r="AA468" i="37"/>
  <c r="AA469" i="37"/>
  <c r="AA470" i="37"/>
  <c r="AA471" i="37"/>
  <c r="AA472" i="37"/>
  <c r="AA473" i="37"/>
  <c r="AA474" i="37"/>
  <c r="AA475" i="37"/>
  <c r="AA476" i="37"/>
  <c r="AA477" i="37"/>
  <c r="AA478" i="37"/>
  <c r="AA479" i="37"/>
  <c r="AA480" i="37"/>
  <c r="AA481" i="37"/>
  <c r="AA482" i="37"/>
  <c r="AA483" i="37"/>
  <c r="AA484" i="37"/>
  <c r="AA485" i="37"/>
  <c r="AA486" i="37"/>
  <c r="AA487" i="37"/>
  <c r="AA488" i="37"/>
  <c r="AA489" i="37"/>
  <c r="AA490" i="37"/>
  <c r="AA491" i="37"/>
  <c r="AA492" i="37"/>
  <c r="AA493" i="37"/>
  <c r="AA494" i="37"/>
  <c r="AA495" i="37"/>
  <c r="AA496" i="37"/>
  <c r="AA497" i="37"/>
  <c r="AA498" i="37"/>
  <c r="AA499" i="37"/>
  <c r="AA500" i="37"/>
  <c r="AA501" i="37"/>
  <c r="AA502" i="37"/>
  <c r="AA503" i="37"/>
  <c r="AA504" i="37"/>
  <c r="AA505" i="37"/>
  <c r="AA506" i="37"/>
  <c r="AA507" i="37"/>
  <c r="AA508" i="37"/>
  <c r="AA509" i="37"/>
  <c r="AA510" i="37"/>
  <c r="AA511" i="37"/>
  <c r="AA512" i="37"/>
  <c r="AA513" i="37"/>
  <c r="AA514" i="37"/>
  <c r="AA515" i="37"/>
  <c r="AA516" i="37"/>
  <c r="AA517" i="37"/>
  <c r="AA518" i="37"/>
  <c r="AA519" i="37"/>
  <c r="AA520" i="37"/>
  <c r="AA521" i="37"/>
  <c r="AA522" i="37"/>
  <c r="AA523" i="37"/>
  <c r="AA524" i="37"/>
  <c r="AA525" i="37"/>
  <c r="AA526" i="37"/>
  <c r="AA527" i="37"/>
  <c r="AA528" i="37"/>
  <c r="AA529" i="37"/>
  <c r="AA530" i="37"/>
  <c r="AA531" i="37"/>
  <c r="AA532" i="37"/>
  <c r="AA533" i="37"/>
  <c r="AA534" i="37"/>
  <c r="AA535" i="37"/>
  <c r="AA536" i="37"/>
  <c r="AA537" i="37"/>
  <c r="AA538" i="37"/>
  <c r="AA539" i="37"/>
  <c r="AA540" i="37"/>
  <c r="AA541" i="37"/>
  <c r="AA542" i="37"/>
  <c r="AA543" i="37"/>
  <c r="AA544" i="37"/>
  <c r="AA545" i="37"/>
  <c r="AA546" i="37"/>
  <c r="AA547" i="37"/>
  <c r="AA548" i="37"/>
  <c r="AA549" i="37"/>
  <c r="AA550" i="37"/>
  <c r="AA551" i="37"/>
  <c r="AA552" i="37"/>
  <c r="AA553" i="37"/>
  <c r="AA554" i="37"/>
  <c r="AA555" i="37"/>
  <c r="AA556" i="37"/>
  <c r="AA557" i="37"/>
  <c r="AA558" i="37"/>
  <c r="AA559" i="37"/>
  <c r="AA560" i="37"/>
  <c r="AA561" i="37"/>
  <c r="AA562" i="37"/>
  <c r="AA563" i="37"/>
  <c r="AA564" i="37"/>
  <c r="AA565" i="37"/>
  <c r="AA566" i="37"/>
  <c r="AA567" i="37"/>
  <c r="AA568" i="37"/>
  <c r="AA569" i="37"/>
  <c r="AA570" i="37"/>
  <c r="AA571" i="37"/>
  <c r="AA572" i="37"/>
  <c r="AA573" i="37"/>
  <c r="AA574" i="37"/>
  <c r="AA575" i="37"/>
  <c r="AA576" i="37"/>
  <c r="AA577" i="37"/>
  <c r="AA578" i="37"/>
  <c r="AA579" i="37"/>
  <c r="AA580" i="37"/>
  <c r="AA581" i="37"/>
  <c r="AA582" i="37"/>
  <c r="AA583" i="37"/>
  <c r="AA584" i="37"/>
  <c r="AA585" i="37"/>
  <c r="AA586" i="37"/>
  <c r="AA587" i="37"/>
  <c r="AA588" i="37"/>
  <c r="AA589" i="37"/>
  <c r="AA590" i="37"/>
  <c r="AA591" i="37"/>
  <c r="AA592" i="37"/>
  <c r="AA593" i="37"/>
  <c r="AA594" i="37"/>
  <c r="AA595" i="37"/>
  <c r="AA596" i="37"/>
  <c r="AA597" i="37"/>
  <c r="AA598" i="37"/>
  <c r="AA599" i="37"/>
  <c r="AA600" i="37"/>
  <c r="AA601" i="37"/>
  <c r="AA602" i="37"/>
  <c r="AA603" i="37"/>
  <c r="AA604" i="37"/>
  <c r="AA605" i="37"/>
  <c r="AA606" i="37"/>
  <c r="AA607" i="37"/>
  <c r="AA608" i="37"/>
  <c r="AA609" i="37"/>
  <c r="AA610" i="37"/>
  <c r="AA611" i="37"/>
  <c r="AA612" i="37"/>
  <c r="AA613" i="37"/>
  <c r="AA614" i="37"/>
  <c r="AA615" i="37"/>
  <c r="AA616" i="37"/>
  <c r="AA617" i="37"/>
  <c r="AA618" i="37"/>
  <c r="AA619" i="37"/>
  <c r="AA620" i="37"/>
  <c r="AA621" i="37"/>
  <c r="AA622" i="37"/>
  <c r="AA623" i="37"/>
  <c r="AA624" i="37"/>
  <c r="AA625" i="37"/>
  <c r="AA626" i="37"/>
  <c r="AA627" i="37"/>
  <c r="AA628" i="37"/>
  <c r="AA629" i="37"/>
  <c r="AA630" i="37"/>
  <c r="AA631" i="37"/>
  <c r="AA632" i="37"/>
  <c r="AA633" i="37"/>
  <c r="AA634" i="37"/>
  <c r="AA635" i="37"/>
  <c r="AA636" i="37"/>
  <c r="AA637" i="37"/>
  <c r="AA638" i="37"/>
  <c r="AA639" i="37"/>
  <c r="AA640" i="37"/>
  <c r="AA641" i="37"/>
  <c r="AA642" i="37"/>
  <c r="AA643" i="37"/>
  <c r="AA644" i="37"/>
  <c r="AA645" i="37"/>
  <c r="AA646" i="37"/>
  <c r="AA647" i="37"/>
  <c r="AA648" i="37"/>
  <c r="AA649" i="37"/>
  <c r="AA650" i="37"/>
  <c r="AA651" i="37"/>
  <c r="AA652" i="37"/>
  <c r="AA653" i="37"/>
  <c r="AA654" i="37"/>
  <c r="AA655" i="37"/>
  <c r="AA656" i="37"/>
  <c r="AA657" i="37"/>
  <c r="AA658" i="37"/>
  <c r="AA659" i="37"/>
  <c r="AA660" i="37"/>
  <c r="AA661" i="37"/>
  <c r="AA662" i="37"/>
  <c r="AA663" i="37"/>
  <c r="AA664" i="37"/>
  <c r="AA665" i="37"/>
  <c r="AA666" i="37"/>
  <c r="AA667" i="37"/>
  <c r="AA668" i="37"/>
  <c r="AA669" i="37"/>
  <c r="AA670" i="37"/>
  <c r="AA671" i="37"/>
  <c r="AA672" i="37"/>
  <c r="AA673" i="37"/>
  <c r="AA674" i="37"/>
  <c r="AA675" i="37"/>
  <c r="AA676" i="37"/>
  <c r="AA677" i="37"/>
  <c r="AA678" i="37"/>
  <c r="AA679" i="37"/>
  <c r="AA680" i="37"/>
  <c r="AA681" i="37"/>
  <c r="AA682" i="37"/>
  <c r="AA683" i="37"/>
  <c r="AA684" i="37"/>
  <c r="AA685" i="37"/>
  <c r="AA686" i="37"/>
  <c r="AA687" i="37"/>
  <c r="AA688" i="37"/>
  <c r="AA689" i="37"/>
  <c r="AA690" i="37"/>
  <c r="AA691" i="37"/>
  <c r="AA692" i="37"/>
  <c r="AA693" i="37"/>
  <c r="AA694" i="37"/>
  <c r="AA695" i="37"/>
  <c r="AA696" i="37"/>
  <c r="AA697" i="37"/>
  <c r="AA698" i="37"/>
  <c r="AA699" i="37"/>
  <c r="AA700" i="37"/>
  <c r="AA701" i="37"/>
  <c r="AA702" i="37"/>
  <c r="AA703" i="37"/>
  <c r="AA704" i="37"/>
  <c r="AA705" i="37"/>
  <c r="AA706" i="37"/>
  <c r="AA707" i="37"/>
  <c r="AA708" i="37"/>
  <c r="AA709" i="37"/>
  <c r="AA710" i="37"/>
  <c r="AA711" i="37"/>
  <c r="AA712" i="37"/>
  <c r="AA713" i="37"/>
  <c r="AA714" i="37"/>
  <c r="AA715" i="37"/>
  <c r="AA716" i="37"/>
  <c r="AA717" i="37"/>
  <c r="AA718" i="37"/>
  <c r="AA719" i="37"/>
  <c r="AA720" i="37"/>
  <c r="AA721" i="37"/>
  <c r="AA722" i="37"/>
  <c r="AA723" i="37"/>
  <c r="AA724" i="37"/>
  <c r="AA725" i="37"/>
  <c r="AA726" i="37"/>
  <c r="AA727" i="37"/>
  <c r="AA728" i="37"/>
  <c r="AA729" i="37"/>
  <c r="AA730" i="37"/>
  <c r="AA731" i="37"/>
  <c r="AA732" i="37"/>
  <c r="AA733" i="37"/>
  <c r="AA734" i="37"/>
  <c r="AA735" i="37"/>
  <c r="AA736" i="37"/>
  <c r="AA737" i="37"/>
  <c r="AA738" i="37"/>
  <c r="AA739" i="37"/>
  <c r="AA740" i="37"/>
  <c r="AA741" i="37"/>
  <c r="AA742" i="37"/>
  <c r="AA743" i="37"/>
  <c r="AA744" i="37"/>
  <c r="AA745" i="37"/>
  <c r="AA746" i="37"/>
  <c r="AA747" i="37"/>
  <c r="AA748" i="37"/>
  <c r="AA749" i="37"/>
  <c r="AA750" i="37"/>
  <c r="AA751" i="37"/>
  <c r="AA752" i="37"/>
  <c r="AA753" i="37"/>
  <c r="AA754" i="37"/>
  <c r="AA755" i="37"/>
  <c r="AA756" i="37"/>
  <c r="AA757" i="37"/>
  <c r="AA758" i="37"/>
  <c r="AA759" i="37"/>
  <c r="AA760" i="37"/>
  <c r="AA761" i="37"/>
  <c r="AA762" i="37"/>
  <c r="AA763" i="37"/>
  <c r="AA764" i="37"/>
  <c r="AA765" i="37"/>
  <c r="AA766" i="37"/>
  <c r="AA767" i="37"/>
  <c r="AA768" i="37"/>
  <c r="AA769" i="37"/>
  <c r="AA770" i="37"/>
  <c r="AA771" i="37"/>
  <c r="AA772" i="37"/>
  <c r="AA773" i="37"/>
  <c r="AA774" i="37"/>
  <c r="AA775" i="37"/>
  <c r="AA776" i="37"/>
  <c r="AA777" i="37"/>
  <c r="AA778" i="37"/>
  <c r="AA779" i="37"/>
  <c r="AA780" i="37"/>
  <c r="AA781" i="37"/>
  <c r="AA782" i="37"/>
  <c r="AA783" i="37"/>
  <c r="AA784" i="37"/>
  <c r="AA785" i="37"/>
  <c r="AA786" i="37"/>
  <c r="AA787" i="37"/>
  <c r="AA788" i="37"/>
  <c r="AA789" i="37"/>
  <c r="AA790" i="37"/>
  <c r="AA791" i="37"/>
  <c r="AA792" i="37"/>
  <c r="AA793" i="37"/>
  <c r="AA794" i="37"/>
  <c r="AA795" i="37"/>
  <c r="AA796" i="37"/>
  <c r="AA797" i="37"/>
  <c r="AA798" i="37"/>
  <c r="AA799" i="37"/>
  <c r="AA800" i="37"/>
  <c r="AA801" i="37"/>
  <c r="AA802" i="37"/>
  <c r="AA803" i="37"/>
  <c r="AA804" i="37"/>
  <c r="AA805" i="37"/>
  <c r="AA806" i="37"/>
  <c r="AA807" i="37"/>
  <c r="AA808" i="37"/>
  <c r="AA809" i="37"/>
  <c r="AA810" i="37"/>
  <c r="AA811" i="37"/>
  <c r="AA812" i="37"/>
  <c r="AA813" i="37"/>
  <c r="AA814" i="37"/>
  <c r="AA815" i="37"/>
  <c r="AA816" i="37"/>
  <c r="AA817" i="37"/>
  <c r="AA818" i="37"/>
  <c r="AA819" i="37"/>
  <c r="AA820" i="37"/>
  <c r="AA821" i="37"/>
  <c r="AA822" i="37"/>
  <c r="AA823" i="37"/>
  <c r="AA824" i="37"/>
  <c r="AA825" i="37"/>
  <c r="AA826" i="37"/>
  <c r="AA827" i="37"/>
  <c r="AA828" i="37"/>
  <c r="AA829" i="37"/>
  <c r="AA830" i="37"/>
  <c r="AA831" i="37"/>
  <c r="AA832" i="37"/>
  <c r="AA833" i="37"/>
  <c r="AA834" i="37"/>
  <c r="AA835" i="37"/>
  <c r="AA836" i="37"/>
  <c r="AA837" i="37"/>
  <c r="AA838" i="37"/>
  <c r="AA839" i="37"/>
  <c r="AA840" i="37"/>
  <c r="AA841" i="37"/>
  <c r="AA842" i="37"/>
  <c r="AA843" i="37"/>
  <c r="AA844" i="37"/>
  <c r="AA845" i="37"/>
  <c r="AA846" i="37"/>
  <c r="AA847" i="37"/>
  <c r="AA848" i="37"/>
  <c r="AA849" i="37"/>
  <c r="AA850" i="37"/>
  <c r="AA851" i="37"/>
  <c r="AA852" i="37"/>
  <c r="AA853" i="37"/>
  <c r="AA854" i="37"/>
  <c r="AA855" i="37"/>
  <c r="AA856" i="37"/>
  <c r="AA857" i="37"/>
  <c r="AA858" i="37"/>
  <c r="AA859" i="37"/>
  <c r="AA860" i="37"/>
  <c r="AA861" i="37"/>
  <c r="AA862" i="37"/>
  <c r="AA863" i="37"/>
  <c r="AA864" i="37"/>
  <c r="AA865" i="37"/>
  <c r="AA866" i="37"/>
  <c r="AA867" i="37"/>
  <c r="AA868" i="37"/>
  <c r="AA869" i="37"/>
  <c r="AA870" i="37"/>
  <c r="AA871" i="37"/>
  <c r="AA872" i="37"/>
  <c r="AA873" i="37"/>
  <c r="AA874" i="37"/>
  <c r="AA875" i="37"/>
  <c r="AA876" i="37"/>
  <c r="AA877" i="37"/>
  <c r="AA878" i="37"/>
  <c r="AA879" i="37"/>
  <c r="AA880" i="37"/>
  <c r="AA881" i="37"/>
  <c r="AA882" i="37"/>
  <c r="AA883" i="37"/>
  <c r="AA884" i="37"/>
  <c r="AA885" i="37"/>
  <c r="AA886" i="37"/>
  <c r="AA887" i="37"/>
  <c r="AA888" i="37"/>
  <c r="AA889" i="37"/>
  <c r="AA890" i="37"/>
  <c r="AA891" i="37"/>
  <c r="AA892" i="37"/>
  <c r="AA893" i="37"/>
  <c r="AA894" i="37"/>
  <c r="AA895" i="37"/>
  <c r="AA896" i="37"/>
  <c r="AA897" i="37"/>
  <c r="AA898" i="37"/>
  <c r="AA899" i="37"/>
  <c r="AA900" i="37"/>
  <c r="AA901" i="37"/>
  <c r="AA902" i="37"/>
  <c r="AA903" i="37"/>
  <c r="AA904" i="37"/>
  <c r="AA905" i="37"/>
  <c r="AA906" i="37"/>
  <c r="AA907" i="37"/>
  <c r="AA908" i="37"/>
  <c r="AA909" i="37"/>
  <c r="AA910" i="37"/>
  <c r="AA911" i="37"/>
  <c r="AA912" i="37"/>
  <c r="AA913" i="37"/>
  <c r="AA914" i="37"/>
  <c r="AA915" i="37"/>
  <c r="AA916" i="37"/>
  <c r="AA917" i="37"/>
  <c r="AA918" i="37"/>
  <c r="AA919" i="37"/>
  <c r="AA920" i="37"/>
  <c r="AA921" i="37"/>
  <c r="AA922" i="37"/>
  <c r="AA923" i="37"/>
  <c r="AA924" i="37"/>
  <c r="AA925" i="37"/>
  <c r="AA926" i="37"/>
  <c r="AA927" i="37"/>
  <c r="AA928" i="37"/>
  <c r="AA929" i="37"/>
  <c r="AA930" i="37"/>
  <c r="AA931" i="37"/>
  <c r="AA932" i="37"/>
  <c r="AA933" i="37"/>
  <c r="AA934" i="37"/>
  <c r="AA935" i="37"/>
  <c r="AA936" i="37"/>
  <c r="AA937" i="37"/>
  <c r="AA938" i="37"/>
  <c r="AA939" i="37"/>
  <c r="AA940" i="37"/>
  <c r="AA941" i="37"/>
  <c r="AA942" i="37"/>
  <c r="AA943" i="37"/>
  <c r="AA944" i="37"/>
  <c r="AA945" i="37"/>
  <c r="AA946" i="37"/>
  <c r="AA947" i="37"/>
  <c r="AA948" i="37"/>
  <c r="AA949" i="37"/>
  <c r="AA950" i="37"/>
  <c r="AA951" i="37"/>
  <c r="AA952" i="37"/>
  <c r="AA953" i="37"/>
  <c r="AA954" i="37"/>
  <c r="AA955" i="37"/>
  <c r="AA956" i="37"/>
  <c r="AA957" i="37"/>
  <c r="AA958" i="37"/>
  <c r="AA959" i="37"/>
  <c r="AA960" i="37"/>
  <c r="AA961" i="37"/>
  <c r="AA962" i="37"/>
  <c r="AA963" i="37"/>
  <c r="AA964" i="37"/>
  <c r="AA965" i="37"/>
  <c r="AA966" i="37"/>
  <c r="AA967" i="37"/>
  <c r="AA968" i="37"/>
  <c r="AA969" i="37"/>
  <c r="AA970" i="37"/>
  <c r="AA971" i="37"/>
  <c r="AA972" i="37"/>
  <c r="AA973" i="37"/>
  <c r="AA974" i="37"/>
  <c r="AA975" i="37"/>
  <c r="AA976" i="37"/>
  <c r="AA977" i="37"/>
  <c r="AA978" i="37"/>
  <c r="AA979" i="37"/>
  <c r="AA980" i="37"/>
  <c r="AA981" i="37"/>
  <c r="AA982" i="37"/>
  <c r="AA983" i="37"/>
  <c r="AA984" i="37"/>
  <c r="AA985" i="37"/>
  <c r="AA986" i="37"/>
  <c r="AA987" i="37"/>
  <c r="AA988" i="37"/>
  <c r="AA989" i="37"/>
  <c r="AA990" i="37"/>
  <c r="AA991" i="37"/>
  <c r="AA992" i="37"/>
  <c r="AA993" i="37"/>
  <c r="AA994" i="37"/>
  <c r="AA995" i="37"/>
  <c r="AA996" i="37"/>
  <c r="AA997" i="37"/>
  <c r="AA998" i="37"/>
  <c r="AA999" i="37"/>
  <c r="AA1000" i="37"/>
  <c r="AA1001" i="37"/>
  <c r="AA1002" i="37"/>
  <c r="AA1003" i="37"/>
  <c r="AA1004" i="37"/>
  <c r="AA1005" i="37"/>
  <c r="AA1006" i="37"/>
  <c r="AA1007" i="37"/>
  <c r="AA1008" i="37"/>
  <c r="AA1009" i="37"/>
  <c r="AA1010" i="37"/>
  <c r="AA1011" i="37"/>
  <c r="AA1012" i="37"/>
  <c r="AA1013" i="37"/>
  <c r="AA1014" i="37"/>
  <c r="AA1015" i="37"/>
  <c r="AA1016" i="37"/>
  <c r="AA1017" i="37"/>
  <c r="AA1018" i="37"/>
  <c r="AA1019" i="37"/>
  <c r="AA1020" i="37"/>
  <c r="AA1021" i="37"/>
  <c r="AA1022" i="37"/>
  <c r="AA1023" i="37"/>
  <c r="AA1024" i="37"/>
  <c r="AA1025" i="37"/>
  <c r="AA1026" i="37"/>
  <c r="AA1027" i="37"/>
  <c r="AA1028" i="37"/>
  <c r="AA1029" i="37"/>
  <c r="AA1030" i="37"/>
  <c r="AA1031" i="37"/>
  <c r="AA1032" i="37"/>
  <c r="AA1033" i="37"/>
  <c r="AA1034" i="37"/>
  <c r="AA1035" i="37"/>
  <c r="AA1036" i="37"/>
  <c r="AA1037" i="37"/>
  <c r="AA1038" i="37"/>
  <c r="AA1039" i="37"/>
  <c r="AA1040" i="37"/>
  <c r="AA1041" i="37"/>
  <c r="AA1042" i="37"/>
  <c r="AA1043" i="37"/>
  <c r="AA1044" i="37"/>
  <c r="AA1045" i="37"/>
  <c r="AA1046" i="37"/>
  <c r="AA1047" i="37"/>
  <c r="AA1048" i="37"/>
  <c r="AA1049" i="37"/>
  <c r="AA1050" i="37"/>
  <c r="AA1051" i="37"/>
  <c r="AA1052" i="37"/>
  <c r="AA1053" i="37"/>
  <c r="AA1054" i="37"/>
  <c r="AA1055" i="37"/>
  <c r="AA1056" i="37"/>
  <c r="AA1057" i="37"/>
  <c r="AA1058" i="37"/>
  <c r="AA1059" i="37"/>
  <c r="AA1060" i="37"/>
  <c r="AA1061" i="37"/>
  <c r="AA1062" i="37"/>
  <c r="AA1063" i="37"/>
  <c r="AA1064" i="37"/>
  <c r="AA1065" i="37"/>
  <c r="AA1066" i="37"/>
  <c r="AA1067" i="37"/>
  <c r="AA1068" i="37"/>
  <c r="AA1069" i="37"/>
  <c r="AA1070" i="37"/>
  <c r="AA1071" i="37"/>
  <c r="AA1072" i="37"/>
  <c r="AA1073" i="37"/>
  <c r="AA1074" i="37"/>
  <c r="AA1075" i="37"/>
  <c r="AA1076" i="37"/>
  <c r="AA1077" i="37"/>
  <c r="AA1078" i="37"/>
  <c r="AA1079" i="37"/>
  <c r="AA1080" i="37"/>
  <c r="AA1081" i="37"/>
  <c r="AA1082" i="37"/>
  <c r="AA1083" i="37"/>
  <c r="AA1084" i="37"/>
  <c r="AA1085" i="37"/>
  <c r="AA1086" i="37"/>
  <c r="AA1087" i="37"/>
  <c r="AA1088" i="37"/>
  <c r="AA1089" i="37"/>
  <c r="AA1090" i="37"/>
  <c r="AA1091" i="37"/>
  <c r="AA1092" i="37"/>
  <c r="AA1093" i="37"/>
  <c r="AA1094" i="37"/>
  <c r="AA1095" i="37"/>
  <c r="AA1096" i="37"/>
  <c r="AA1097" i="37"/>
  <c r="AA1098" i="37"/>
  <c r="AA1099" i="37"/>
  <c r="AA1100" i="37"/>
  <c r="AA1101" i="37"/>
  <c r="AA1102" i="37"/>
  <c r="AA1103" i="37"/>
  <c r="AA1104" i="37"/>
  <c r="AA1105" i="37"/>
  <c r="AA1106" i="37"/>
  <c r="AA1107" i="37"/>
  <c r="AA1108" i="37"/>
  <c r="AA1109" i="37"/>
  <c r="AA1110" i="37"/>
  <c r="AA1111" i="37"/>
  <c r="AA1112" i="37"/>
  <c r="AA1113" i="37"/>
  <c r="AA1114" i="37"/>
  <c r="AA1115" i="37"/>
  <c r="AA1116" i="37"/>
  <c r="AA1117" i="37"/>
  <c r="AA1118" i="37"/>
  <c r="AA1119" i="37"/>
  <c r="AA1120" i="37"/>
  <c r="AA1121" i="37"/>
  <c r="AA1122" i="37"/>
  <c r="AA1123" i="37"/>
  <c r="AA1124" i="37"/>
  <c r="AA1125" i="37"/>
  <c r="AA1126" i="37"/>
  <c r="AA1127" i="37"/>
  <c r="AA1128" i="37"/>
  <c r="AA1129" i="37"/>
  <c r="AA1130" i="37"/>
  <c r="AA1131" i="37"/>
  <c r="AA1132" i="37"/>
  <c r="AA1133" i="37"/>
  <c r="AA1134" i="37"/>
  <c r="AA1135" i="37"/>
  <c r="AA1136" i="37"/>
  <c r="AA1137" i="37"/>
  <c r="AA1138" i="37"/>
  <c r="AA1139" i="37"/>
  <c r="AA1140" i="37"/>
  <c r="AA1141" i="37"/>
  <c r="AA1142" i="37"/>
  <c r="AA1143" i="37"/>
  <c r="AA1144" i="37"/>
  <c r="AA1145" i="37"/>
  <c r="AA1146" i="37"/>
  <c r="AA1147" i="37"/>
  <c r="AA1148" i="37"/>
  <c r="AA1149" i="37"/>
  <c r="AA1150" i="37"/>
  <c r="AA1151" i="37"/>
  <c r="AA1152" i="37"/>
  <c r="AA1153" i="37"/>
  <c r="AA1154" i="37"/>
  <c r="AA1155" i="37"/>
  <c r="AA1156" i="37"/>
  <c r="AA1157" i="37"/>
  <c r="AA1158" i="37"/>
  <c r="AA1159" i="37"/>
  <c r="AA1160" i="37"/>
  <c r="AA1161" i="37"/>
  <c r="AA1162" i="37"/>
  <c r="AA1163" i="37"/>
  <c r="AA1164" i="37"/>
  <c r="AA1165" i="37"/>
  <c r="AA1166" i="37"/>
  <c r="AA1167" i="37"/>
  <c r="AA1168" i="37"/>
  <c r="AA1169" i="37"/>
  <c r="AA1170" i="37"/>
  <c r="AA1171" i="37"/>
  <c r="AA1172" i="37"/>
  <c r="AA1173" i="37"/>
  <c r="AA1174" i="37"/>
  <c r="AA1175" i="37"/>
  <c r="AA1176" i="37"/>
  <c r="AA1177" i="37"/>
  <c r="AA1178" i="37"/>
  <c r="AA1179" i="37"/>
  <c r="AA1180" i="37"/>
  <c r="AA1181" i="37"/>
  <c r="AA1182" i="37"/>
  <c r="AA1183" i="37"/>
  <c r="AA1184" i="37"/>
  <c r="AA1185" i="37"/>
  <c r="AA1186" i="37"/>
  <c r="AA1187" i="37"/>
  <c r="AA1188" i="37"/>
  <c r="AA1189" i="37"/>
  <c r="AA1190" i="37"/>
  <c r="AA1191" i="37"/>
  <c r="AA1192" i="37"/>
  <c r="AA1193" i="37"/>
  <c r="AA1194" i="37"/>
  <c r="AA1195" i="37"/>
  <c r="AA1196" i="37"/>
  <c r="AA1197" i="37"/>
  <c r="AA1198" i="37"/>
  <c r="AA1199" i="37"/>
  <c r="AA1200" i="37"/>
  <c r="AA1201" i="37"/>
  <c r="AA1202" i="37"/>
  <c r="AA1203" i="37"/>
  <c r="AA1204" i="37"/>
  <c r="AA1205" i="37"/>
  <c r="AA1206" i="37"/>
  <c r="AA1207" i="37"/>
  <c r="AA1208" i="37"/>
  <c r="AA1209" i="37"/>
  <c r="AA1210" i="37"/>
  <c r="AA1211" i="37"/>
  <c r="AA1212" i="37"/>
  <c r="AA1213" i="37"/>
  <c r="AA1214" i="37"/>
  <c r="AA1215" i="37"/>
  <c r="AA1216" i="37"/>
  <c r="AA1217" i="37"/>
  <c r="AA1218" i="37"/>
  <c r="AA1219" i="37"/>
  <c r="AA1220" i="37"/>
  <c r="AA1221" i="37"/>
  <c r="AA1222" i="37"/>
  <c r="AA1223" i="37"/>
  <c r="AA1224" i="37"/>
  <c r="AA1225" i="37"/>
  <c r="AA1226" i="37"/>
  <c r="AA1227" i="37"/>
  <c r="AA1228" i="37"/>
  <c r="AA1229" i="37"/>
  <c r="AA1230" i="37"/>
  <c r="AA1231" i="37"/>
  <c r="AA1232" i="37"/>
  <c r="AA1233" i="37"/>
  <c r="AA1234" i="37"/>
  <c r="AA1235" i="37"/>
  <c r="AA1236" i="37"/>
  <c r="AA1237" i="37"/>
  <c r="AA1238" i="37"/>
  <c r="AA1239" i="37"/>
  <c r="AA1240" i="37"/>
  <c r="AA1241" i="37"/>
  <c r="AA1242" i="37"/>
  <c r="AA1243" i="37"/>
  <c r="AA1244" i="37"/>
  <c r="AA1245" i="37"/>
  <c r="AA1246" i="37"/>
  <c r="AA1247" i="37"/>
  <c r="AA1248" i="37"/>
  <c r="AA1249" i="37"/>
  <c r="AA1250" i="37"/>
  <c r="AA1251" i="37"/>
  <c r="AA1252" i="37"/>
  <c r="AA1253" i="37"/>
  <c r="AA1254" i="37"/>
  <c r="AA1255" i="37"/>
  <c r="AA1256" i="37"/>
  <c r="AA1257" i="37"/>
  <c r="AA1258" i="37"/>
  <c r="AA1259" i="37"/>
  <c r="AA1260" i="37"/>
  <c r="AA1261" i="37"/>
  <c r="AA1262" i="37"/>
  <c r="AA1263" i="37"/>
  <c r="AA1264" i="37"/>
  <c r="AA1265" i="37"/>
  <c r="AA1266" i="37"/>
  <c r="AA1267" i="37"/>
  <c r="AA1268" i="37"/>
  <c r="AA1269" i="37"/>
  <c r="AA1270" i="37"/>
  <c r="AA1271" i="37"/>
  <c r="AA1272" i="37"/>
  <c r="AA1273" i="37"/>
  <c r="AA1274" i="37"/>
  <c r="AA1275" i="37"/>
  <c r="AA1276" i="37"/>
  <c r="AA1277" i="37"/>
  <c r="AA1278" i="37"/>
  <c r="AA1279" i="37"/>
  <c r="AA1280" i="37"/>
  <c r="AA1281" i="37"/>
  <c r="AA1282" i="37"/>
  <c r="AA1283" i="37"/>
  <c r="AA1284" i="37"/>
  <c r="AA1285" i="37"/>
  <c r="AA1286" i="37"/>
  <c r="AA1287" i="37"/>
  <c r="AA1288" i="37"/>
  <c r="AA1289" i="37"/>
  <c r="AA1290" i="37"/>
  <c r="AA1291" i="37"/>
  <c r="AA1292" i="37"/>
  <c r="AA1293" i="37"/>
  <c r="AA1294" i="37"/>
  <c r="AA1295" i="37"/>
  <c r="AA1296" i="37"/>
  <c r="AA1297" i="37"/>
  <c r="AA1298" i="37"/>
  <c r="AA1299" i="37"/>
  <c r="AA1300" i="37"/>
  <c r="AA1301" i="37"/>
  <c r="AA1302" i="37"/>
  <c r="AA1303" i="37"/>
  <c r="AA1304" i="37"/>
  <c r="AA1305" i="37"/>
  <c r="AA1306" i="37"/>
  <c r="AA1307" i="37"/>
  <c r="AA1308" i="37"/>
  <c r="AA1309" i="37"/>
  <c r="AA1310" i="37"/>
  <c r="AA1311" i="37"/>
  <c r="AA1312" i="37"/>
  <c r="AA1313" i="37"/>
  <c r="AA1314" i="37"/>
  <c r="AA1315" i="37"/>
  <c r="AA1316" i="37"/>
  <c r="AA1317" i="37"/>
  <c r="AA1318" i="37"/>
  <c r="AA1319" i="37"/>
  <c r="AA1320" i="37"/>
  <c r="AA1321" i="37"/>
  <c r="AA1322" i="37"/>
  <c r="AA1323" i="37"/>
  <c r="AA1324" i="37"/>
  <c r="AA1325" i="37"/>
  <c r="AA1326" i="37"/>
  <c r="AA1327" i="37"/>
  <c r="AA1328" i="37"/>
  <c r="AA1329" i="37"/>
  <c r="AA1330" i="37"/>
  <c r="AA1331" i="37"/>
  <c r="AA1332" i="37"/>
  <c r="AA1333" i="37"/>
  <c r="AA1334" i="37"/>
  <c r="AA1335" i="37"/>
  <c r="AA1336" i="37"/>
  <c r="AA1337" i="37"/>
  <c r="AA1338" i="37"/>
  <c r="AA1339" i="37"/>
  <c r="AA1340" i="37"/>
  <c r="AA1341" i="37"/>
  <c r="AA1342" i="37"/>
  <c r="AA1343" i="37"/>
  <c r="AA1344" i="37"/>
  <c r="AA1345" i="37"/>
  <c r="AA1346" i="37"/>
  <c r="AA1347" i="37"/>
  <c r="AA1348" i="37"/>
  <c r="AA1349" i="37"/>
  <c r="AA1350" i="37"/>
  <c r="AA1351" i="37"/>
  <c r="AA1352" i="37"/>
  <c r="AA1353" i="37"/>
  <c r="AA1354" i="37"/>
  <c r="AA1355" i="37"/>
  <c r="AA1356" i="37"/>
  <c r="AA1357" i="37"/>
  <c r="AA1358" i="37"/>
  <c r="AA1359" i="37"/>
  <c r="AA1360" i="37"/>
  <c r="AA1361" i="37"/>
  <c r="AA1362" i="37"/>
  <c r="AA1363" i="37"/>
  <c r="AA1364" i="37"/>
  <c r="AA1365" i="37"/>
  <c r="AA1366" i="37"/>
  <c r="AA1367" i="37"/>
  <c r="AA1368" i="37"/>
  <c r="AA1369" i="37"/>
  <c r="AA1370" i="37"/>
  <c r="AA1371" i="37"/>
  <c r="AA1372" i="37"/>
  <c r="AA1373" i="37"/>
  <c r="AA1374" i="37"/>
  <c r="AA1375" i="37"/>
  <c r="AA1376" i="37"/>
  <c r="AA1377" i="37"/>
  <c r="AA1378" i="37"/>
  <c r="AA1379" i="37"/>
  <c r="AA1380" i="37"/>
  <c r="AA1381" i="37"/>
  <c r="AA1382" i="37"/>
  <c r="AA1383" i="37"/>
  <c r="AA1384" i="37"/>
  <c r="AA1385" i="37"/>
  <c r="AA1386" i="37"/>
  <c r="AA1387" i="37"/>
  <c r="AA1388" i="37"/>
  <c r="AA1389" i="37"/>
  <c r="AA1390" i="37"/>
  <c r="AA1391" i="37"/>
  <c r="AA1392" i="37"/>
  <c r="AA1393" i="37"/>
  <c r="AA1394" i="37"/>
  <c r="AA1395" i="37"/>
  <c r="AA1396" i="37"/>
  <c r="AA1397" i="37"/>
  <c r="AA1398" i="37"/>
  <c r="AA1399" i="37"/>
  <c r="AA1400" i="37"/>
  <c r="AA1401" i="37"/>
  <c r="AA1402" i="37"/>
  <c r="AA1403" i="37"/>
  <c r="AA1404" i="37"/>
  <c r="AA1405" i="37"/>
  <c r="AA1406" i="37"/>
  <c r="AA1407" i="37"/>
  <c r="AA1408" i="37"/>
  <c r="AA1409" i="37"/>
  <c r="AA1410" i="37"/>
  <c r="AA1411" i="37"/>
  <c r="AA1412" i="37"/>
  <c r="AA1413" i="37"/>
  <c r="AA1414" i="37"/>
  <c r="AA1415" i="37"/>
  <c r="AA1416" i="37"/>
  <c r="AA1417" i="37"/>
  <c r="AA1418" i="37"/>
  <c r="AA1419" i="37"/>
  <c r="AA1420" i="37"/>
  <c r="AA1421" i="37"/>
  <c r="AA1422" i="37"/>
  <c r="AA1423" i="37"/>
  <c r="AA1424" i="37"/>
  <c r="AA1425" i="37"/>
  <c r="AA1426" i="37"/>
  <c r="AA1427" i="37"/>
  <c r="AA1428" i="37"/>
  <c r="AA1429" i="37"/>
  <c r="AA1430" i="37"/>
  <c r="AA1431" i="37"/>
  <c r="AA1432" i="37"/>
  <c r="AA1433" i="37"/>
  <c r="AA1434" i="37"/>
  <c r="AA1435" i="37"/>
  <c r="AA1436" i="37"/>
  <c r="AA1437" i="37"/>
  <c r="AA1438" i="37"/>
  <c r="AA1439" i="37"/>
  <c r="AA1440" i="37"/>
  <c r="AA1441" i="37"/>
  <c r="AA1442" i="37"/>
  <c r="AA1443" i="37"/>
  <c r="AA1444" i="37"/>
  <c r="AA1445" i="37"/>
  <c r="AA1446" i="37"/>
  <c r="AA1447" i="37"/>
  <c r="AA1448" i="37"/>
  <c r="AA1449" i="37"/>
  <c r="AA1450" i="37"/>
  <c r="AA1451" i="37"/>
  <c r="AA1452" i="37"/>
  <c r="AA1453" i="37"/>
  <c r="AA1454" i="37"/>
  <c r="AA1455" i="37"/>
  <c r="AA1456" i="37"/>
  <c r="AA1457" i="37"/>
  <c r="AA1458" i="37"/>
  <c r="AA1459" i="37"/>
  <c r="AA1460" i="37"/>
  <c r="AA1461" i="37"/>
  <c r="AA1462" i="37"/>
  <c r="AA1463" i="37"/>
  <c r="AA1464" i="37"/>
  <c r="AA1465" i="37"/>
  <c r="AA1466" i="37"/>
  <c r="AA1467" i="37"/>
  <c r="AA1468" i="37"/>
  <c r="AA1469" i="37"/>
  <c r="AA1470" i="37"/>
  <c r="AA1471" i="37"/>
  <c r="AA1472" i="37"/>
  <c r="AA1473" i="37"/>
  <c r="AA1474" i="37"/>
  <c r="AA1475" i="37"/>
  <c r="AA1476" i="37"/>
  <c r="AA1477" i="37"/>
  <c r="AA1478" i="37"/>
  <c r="AA1479" i="37"/>
  <c r="AA1480" i="37"/>
  <c r="AA1481" i="37"/>
  <c r="AA1482" i="37"/>
  <c r="AA1483" i="37"/>
  <c r="AA1484" i="37"/>
  <c r="AA1485" i="37"/>
  <c r="AA1486" i="37"/>
  <c r="AA1487" i="37"/>
  <c r="AA1488" i="37"/>
  <c r="AA1489" i="37"/>
  <c r="AA1490" i="37"/>
  <c r="AA1491" i="37"/>
  <c r="AA1492" i="37"/>
  <c r="AB2" i="37"/>
  <c r="AB3" i="37"/>
  <c r="AB4" i="37"/>
  <c r="AB5" i="37"/>
  <c r="AB6" i="37"/>
  <c r="AB7" i="37"/>
  <c r="AB8" i="37"/>
  <c r="AB9" i="37"/>
  <c r="AB10" i="37"/>
  <c r="AB11" i="37"/>
  <c r="AB12" i="37"/>
  <c r="AB13" i="37"/>
  <c r="AB14" i="37"/>
  <c r="AB15" i="37"/>
  <c r="AB16" i="37"/>
  <c r="AB17" i="37"/>
  <c r="AB18" i="37"/>
  <c r="AB19" i="37"/>
  <c r="AB20" i="37"/>
  <c r="AB21" i="37"/>
  <c r="AB22" i="37"/>
  <c r="AB23" i="37"/>
  <c r="AB24" i="37"/>
  <c r="AB25" i="37"/>
  <c r="AB26" i="37"/>
  <c r="AB27" i="37"/>
  <c r="AB28" i="37"/>
  <c r="AB29" i="37"/>
  <c r="AB30" i="37"/>
  <c r="AB31" i="37"/>
  <c r="AB32" i="37"/>
  <c r="AB33" i="37"/>
  <c r="AB34" i="37"/>
  <c r="AB35" i="37"/>
  <c r="AB36" i="37"/>
  <c r="AB37" i="37"/>
  <c r="AB38" i="37"/>
  <c r="AB39" i="37"/>
  <c r="AB40" i="37"/>
  <c r="AB41" i="37"/>
  <c r="AB42" i="37"/>
  <c r="AB43" i="37"/>
  <c r="AB44" i="37"/>
  <c r="AB45" i="37"/>
  <c r="AB46" i="37"/>
  <c r="AB47" i="37"/>
  <c r="AB48" i="37"/>
  <c r="AB49" i="37"/>
  <c r="AB50" i="37"/>
  <c r="AB51" i="37"/>
  <c r="AB52" i="37"/>
  <c r="AB53" i="37"/>
  <c r="AB54" i="37"/>
  <c r="AB55" i="37"/>
  <c r="AB56" i="37"/>
  <c r="AB57" i="37"/>
  <c r="AB58" i="37"/>
  <c r="AB59" i="37"/>
  <c r="AB60" i="37"/>
  <c r="AB61" i="37"/>
  <c r="AB62" i="37"/>
  <c r="AB63" i="37"/>
  <c r="AB64" i="37"/>
  <c r="AB65" i="37"/>
  <c r="AB66" i="37"/>
  <c r="AB67" i="37"/>
  <c r="AB68" i="37"/>
  <c r="AB69" i="37"/>
  <c r="AB70" i="37"/>
  <c r="AB71" i="37"/>
  <c r="AB72" i="37"/>
  <c r="AB73" i="37"/>
  <c r="AB74" i="37"/>
  <c r="AB75" i="37"/>
  <c r="AB76" i="37"/>
  <c r="AB77" i="37"/>
  <c r="AB78" i="37"/>
  <c r="AB79" i="37"/>
  <c r="AB80" i="37"/>
  <c r="AB81" i="37"/>
  <c r="AB82" i="37"/>
  <c r="AB83" i="37"/>
  <c r="AB84" i="37"/>
  <c r="AB85" i="37"/>
  <c r="AB86" i="37"/>
  <c r="AB87" i="37"/>
  <c r="AB88" i="37"/>
  <c r="AB89" i="37"/>
  <c r="AB90" i="37"/>
  <c r="AB91" i="37"/>
  <c r="AB92" i="37"/>
  <c r="AB93" i="37"/>
  <c r="AB94" i="37"/>
  <c r="AB95" i="37"/>
  <c r="AB96" i="37"/>
  <c r="AB97" i="37"/>
  <c r="AB98" i="37"/>
  <c r="AB99" i="37"/>
  <c r="AB100" i="37"/>
  <c r="AB101" i="37"/>
  <c r="AB102" i="37"/>
  <c r="AB103" i="37"/>
  <c r="AB104" i="37"/>
  <c r="AB105" i="37"/>
  <c r="AB106" i="37"/>
  <c r="AB107" i="37"/>
  <c r="AB108" i="37"/>
  <c r="AB109" i="37"/>
  <c r="AB110" i="37"/>
  <c r="AB111" i="37"/>
  <c r="AB112" i="37"/>
  <c r="AB113" i="37"/>
  <c r="AB114" i="37"/>
  <c r="AB115" i="37"/>
  <c r="AB116" i="37"/>
  <c r="AB117" i="37"/>
  <c r="AB118" i="37"/>
  <c r="AB119" i="37"/>
  <c r="AB120" i="37"/>
  <c r="AB121" i="37"/>
  <c r="AB122" i="37"/>
  <c r="AB123" i="37"/>
  <c r="AB124" i="37"/>
  <c r="AB125" i="37"/>
  <c r="AB126" i="37"/>
  <c r="AB127" i="37"/>
  <c r="AB128" i="37"/>
  <c r="AB129" i="37"/>
  <c r="AB130" i="37"/>
  <c r="AB131" i="37"/>
  <c r="AB132" i="37"/>
  <c r="AB133" i="37"/>
  <c r="AB134" i="37"/>
  <c r="AB135" i="37"/>
  <c r="AB136" i="37"/>
  <c r="AB137" i="37"/>
  <c r="AB138" i="37"/>
  <c r="AB139" i="37"/>
  <c r="AB140" i="37"/>
  <c r="AB141" i="37"/>
  <c r="AB142" i="37"/>
  <c r="AB143" i="37"/>
  <c r="AB144" i="37"/>
  <c r="AB145" i="37"/>
  <c r="AB146" i="37"/>
  <c r="AB147" i="37"/>
  <c r="AB148" i="37"/>
  <c r="AB149" i="37"/>
  <c r="AB150" i="37"/>
  <c r="AB151" i="37"/>
  <c r="AB152" i="37"/>
  <c r="AB153" i="37"/>
  <c r="AB154" i="37"/>
  <c r="AB155" i="37"/>
  <c r="AB156" i="37"/>
  <c r="AB157" i="37"/>
  <c r="AB158" i="37"/>
  <c r="AB159" i="37"/>
  <c r="AB160" i="37"/>
  <c r="AB161" i="37"/>
  <c r="AB162" i="37"/>
  <c r="AB163" i="37"/>
  <c r="AB164" i="37"/>
  <c r="AB165" i="37"/>
  <c r="AB166" i="37"/>
  <c r="AB167" i="37"/>
  <c r="AB168" i="37"/>
  <c r="AB169" i="37"/>
  <c r="AB170" i="37"/>
  <c r="AB171" i="37"/>
  <c r="AB172" i="37"/>
  <c r="AB173" i="37"/>
  <c r="AB174" i="37"/>
  <c r="AB175" i="37"/>
  <c r="AB176" i="37"/>
  <c r="AB177" i="37"/>
  <c r="AB178" i="37"/>
  <c r="AB179" i="37"/>
  <c r="AB180" i="37"/>
  <c r="AB181" i="37"/>
  <c r="AB182" i="37"/>
  <c r="AB183" i="37"/>
  <c r="AB184" i="37"/>
  <c r="AB185" i="37"/>
  <c r="AB186" i="37"/>
  <c r="AB187" i="37"/>
  <c r="AB188" i="37"/>
  <c r="AB189" i="37"/>
  <c r="AB190" i="37"/>
  <c r="AB191" i="37"/>
  <c r="AB192" i="37"/>
  <c r="AB193" i="37"/>
  <c r="AB194" i="37"/>
  <c r="AB195" i="37"/>
  <c r="AB196" i="37"/>
  <c r="AB197" i="37"/>
  <c r="AB198" i="37"/>
  <c r="AB199" i="37"/>
  <c r="AB200" i="37"/>
  <c r="AB201" i="37"/>
  <c r="AB202" i="37"/>
  <c r="AB203" i="37"/>
  <c r="AB204" i="37"/>
  <c r="AB205" i="37"/>
  <c r="AB206" i="37"/>
  <c r="AB207" i="37"/>
  <c r="AB208" i="37"/>
  <c r="AB209" i="37"/>
  <c r="AB210" i="37"/>
  <c r="AB211" i="37"/>
  <c r="AB212" i="37"/>
  <c r="AB213" i="37"/>
  <c r="AB214" i="37"/>
  <c r="AB215" i="37"/>
  <c r="AB216" i="37"/>
  <c r="AB217" i="37"/>
  <c r="AB218" i="37"/>
  <c r="AB219" i="37"/>
  <c r="AB220" i="37"/>
  <c r="AB221" i="37"/>
  <c r="AB222" i="37"/>
  <c r="AB223" i="37"/>
  <c r="AB224" i="37"/>
  <c r="AB225" i="37"/>
  <c r="AB226" i="37"/>
  <c r="AB227" i="37"/>
  <c r="AB228" i="37"/>
  <c r="AB229" i="37"/>
  <c r="AB230" i="37"/>
  <c r="AB231" i="37"/>
  <c r="AB232" i="37"/>
  <c r="AB233" i="37"/>
  <c r="AB234" i="37"/>
  <c r="AB235" i="37"/>
  <c r="AB236" i="37"/>
  <c r="AB237" i="37"/>
  <c r="AB238" i="37"/>
  <c r="AB239" i="37"/>
  <c r="AB240" i="37"/>
  <c r="AB241" i="37"/>
  <c r="AB242" i="37"/>
  <c r="AB243" i="37"/>
  <c r="AB244" i="37"/>
  <c r="AB245" i="37"/>
  <c r="AB246" i="37"/>
  <c r="AB247" i="37"/>
  <c r="AB248" i="37"/>
  <c r="AB249" i="37"/>
  <c r="AB250" i="37"/>
  <c r="AB251" i="37"/>
  <c r="AB252" i="37"/>
  <c r="AB253" i="37"/>
  <c r="AB254" i="37"/>
  <c r="AB255" i="37"/>
  <c r="AB256" i="37"/>
  <c r="AB257" i="37"/>
  <c r="AB258" i="37"/>
  <c r="AB259" i="37"/>
  <c r="AB260" i="37"/>
  <c r="AB261" i="37"/>
  <c r="AB262" i="37"/>
  <c r="AB263" i="37"/>
  <c r="AB264" i="37"/>
  <c r="AB265" i="37"/>
  <c r="AB266" i="37"/>
  <c r="AB267" i="37"/>
  <c r="AB268" i="37"/>
  <c r="AB269" i="37"/>
  <c r="AB270" i="37"/>
  <c r="AB271" i="37"/>
  <c r="AB272" i="37"/>
  <c r="AB273" i="37"/>
  <c r="AB274" i="37"/>
  <c r="AB275" i="37"/>
  <c r="AB276" i="37"/>
  <c r="AB277" i="37"/>
  <c r="AB278" i="37"/>
  <c r="AB279" i="37"/>
  <c r="AB280" i="37"/>
  <c r="AB281" i="37"/>
  <c r="AB282" i="37"/>
  <c r="AB283" i="37"/>
  <c r="AB284" i="37"/>
  <c r="AB285" i="37"/>
  <c r="AB286" i="37"/>
  <c r="AB287" i="37"/>
  <c r="AB288" i="37"/>
  <c r="AB289" i="37"/>
  <c r="AB290" i="37"/>
  <c r="AB291" i="37"/>
  <c r="AB292" i="37"/>
  <c r="AB293" i="37"/>
  <c r="AB294" i="37"/>
  <c r="AB295" i="37"/>
  <c r="AB296" i="37"/>
  <c r="AB297" i="37"/>
  <c r="AB298" i="37"/>
  <c r="AB299" i="37"/>
  <c r="AB300" i="37"/>
  <c r="AB301" i="37"/>
  <c r="AB302" i="37"/>
  <c r="AB303" i="37"/>
  <c r="AB304" i="37"/>
  <c r="AB305" i="37"/>
  <c r="AB306" i="37"/>
  <c r="AB307" i="37"/>
  <c r="AB308" i="37"/>
  <c r="AB309" i="37"/>
  <c r="AB310" i="37"/>
  <c r="AB311" i="37"/>
  <c r="AB312" i="37"/>
  <c r="AB313" i="37"/>
  <c r="AB314" i="37"/>
  <c r="AB315" i="37"/>
  <c r="AB316" i="37"/>
  <c r="AB317" i="37"/>
  <c r="AB318" i="37"/>
  <c r="AB319" i="37"/>
  <c r="AB320" i="37"/>
  <c r="AB321" i="37"/>
  <c r="AB322" i="37"/>
  <c r="AB323" i="37"/>
  <c r="AB324" i="37"/>
  <c r="AB325" i="37"/>
  <c r="AB326" i="37"/>
  <c r="AB327" i="37"/>
  <c r="AB328" i="37"/>
  <c r="AB329" i="37"/>
  <c r="AB330" i="37"/>
  <c r="AB331" i="37"/>
  <c r="AB332" i="37"/>
  <c r="AB333" i="37"/>
  <c r="AB334" i="37"/>
  <c r="AB335" i="37"/>
  <c r="AB336" i="37"/>
  <c r="AB337" i="37"/>
  <c r="AB338" i="37"/>
  <c r="AB339" i="37"/>
  <c r="AB340" i="37"/>
  <c r="AB341" i="37"/>
  <c r="AB342" i="37"/>
  <c r="AB343" i="37"/>
  <c r="AB344" i="37"/>
  <c r="AB345" i="37"/>
  <c r="AB346" i="37"/>
  <c r="AB347" i="37"/>
  <c r="AB348" i="37"/>
  <c r="AB349" i="37"/>
  <c r="AB350" i="37"/>
  <c r="AB351" i="37"/>
  <c r="AB352" i="37"/>
  <c r="AB353" i="37"/>
  <c r="AB354" i="37"/>
  <c r="AB355" i="37"/>
  <c r="AB356" i="37"/>
  <c r="AB357" i="37"/>
  <c r="AB358" i="37"/>
  <c r="AB359" i="37"/>
  <c r="AB360" i="37"/>
  <c r="AB361" i="37"/>
  <c r="AB362" i="37"/>
  <c r="AB363" i="37"/>
  <c r="AB364" i="37"/>
  <c r="AB365" i="37"/>
  <c r="AB366" i="37"/>
  <c r="AB367" i="37"/>
  <c r="AB368" i="37"/>
  <c r="AB369" i="37"/>
  <c r="AB370" i="37"/>
  <c r="AB371" i="37"/>
  <c r="AB372" i="37"/>
  <c r="AB373" i="37"/>
  <c r="AB374" i="37"/>
  <c r="AB375" i="37"/>
  <c r="AB376" i="37"/>
  <c r="AB377" i="37"/>
  <c r="AB378" i="37"/>
  <c r="AB379" i="37"/>
  <c r="AB380" i="37"/>
  <c r="AB381" i="37"/>
  <c r="AB382" i="37"/>
  <c r="AB383" i="37"/>
  <c r="AB384" i="37"/>
  <c r="AB385" i="37"/>
  <c r="AB386" i="37"/>
  <c r="AB387" i="37"/>
  <c r="AB388" i="37"/>
  <c r="AB389" i="37"/>
  <c r="AB390" i="37"/>
  <c r="AB391" i="37"/>
  <c r="AB392" i="37"/>
  <c r="AB393" i="37"/>
  <c r="AB394" i="37"/>
  <c r="AB395" i="37"/>
  <c r="AB396" i="37"/>
  <c r="AB397" i="37"/>
  <c r="AB398" i="37"/>
  <c r="AB399" i="37"/>
  <c r="AB400" i="37"/>
  <c r="AB401" i="37"/>
  <c r="AB402" i="37"/>
  <c r="AB403" i="37"/>
  <c r="AB404" i="37"/>
  <c r="AB405" i="37"/>
  <c r="AB406" i="37"/>
  <c r="AB407" i="37"/>
  <c r="AB408" i="37"/>
  <c r="AB409" i="37"/>
  <c r="AB410" i="37"/>
  <c r="AB411" i="37"/>
  <c r="AB412" i="37"/>
  <c r="AB413" i="37"/>
  <c r="AB414" i="37"/>
  <c r="AB415" i="37"/>
  <c r="AB416" i="37"/>
  <c r="AB417" i="37"/>
  <c r="AB418" i="37"/>
  <c r="AB419" i="37"/>
  <c r="AB420" i="37"/>
  <c r="AB421" i="37"/>
  <c r="AB422" i="37"/>
  <c r="AB423" i="37"/>
  <c r="AB424" i="37"/>
  <c r="AB425" i="37"/>
  <c r="AB426" i="37"/>
  <c r="AB427" i="37"/>
  <c r="AB428" i="37"/>
  <c r="AB429" i="37"/>
  <c r="AB430" i="37"/>
  <c r="AB431" i="37"/>
  <c r="AB432" i="37"/>
  <c r="AB433" i="37"/>
  <c r="AB434" i="37"/>
  <c r="AB435" i="37"/>
  <c r="AB436" i="37"/>
  <c r="AB437" i="37"/>
  <c r="AB438" i="37"/>
  <c r="AB439" i="37"/>
  <c r="AB440" i="37"/>
  <c r="AB441" i="37"/>
  <c r="AB442" i="37"/>
  <c r="AB443" i="37"/>
  <c r="AB444" i="37"/>
  <c r="AB445" i="37"/>
  <c r="AB446" i="37"/>
  <c r="AB447" i="37"/>
  <c r="AB448" i="37"/>
  <c r="AB449" i="37"/>
  <c r="AB450" i="37"/>
  <c r="AB451" i="37"/>
  <c r="AB452" i="37"/>
  <c r="AB453" i="37"/>
  <c r="AB454" i="37"/>
  <c r="AB455" i="37"/>
  <c r="AB456" i="37"/>
  <c r="AB457" i="37"/>
  <c r="AB458" i="37"/>
  <c r="AB459" i="37"/>
  <c r="AB460" i="37"/>
  <c r="AB461" i="37"/>
  <c r="AB462" i="37"/>
  <c r="AB463" i="37"/>
  <c r="AB464" i="37"/>
  <c r="AB465" i="37"/>
  <c r="AB466" i="37"/>
  <c r="AB467" i="37"/>
  <c r="AB468" i="37"/>
  <c r="AB469" i="37"/>
  <c r="AB470" i="37"/>
  <c r="AB471" i="37"/>
  <c r="AB472" i="37"/>
  <c r="AB473" i="37"/>
  <c r="AB474" i="37"/>
  <c r="AB475" i="37"/>
  <c r="AB476" i="37"/>
  <c r="AB477" i="37"/>
  <c r="AB478" i="37"/>
  <c r="AB479" i="37"/>
  <c r="AB480" i="37"/>
  <c r="AB481" i="37"/>
  <c r="AB482" i="37"/>
  <c r="AB483" i="37"/>
  <c r="AB484" i="37"/>
  <c r="AB485" i="37"/>
  <c r="AB486" i="37"/>
  <c r="AB487" i="37"/>
  <c r="AB488" i="37"/>
  <c r="AB489" i="37"/>
  <c r="AB490" i="37"/>
  <c r="AB491" i="37"/>
  <c r="AB492" i="37"/>
  <c r="AB493" i="37"/>
  <c r="AB494" i="37"/>
  <c r="AB495" i="37"/>
  <c r="AB496" i="37"/>
  <c r="AB497" i="37"/>
  <c r="AB498" i="37"/>
  <c r="AB499" i="37"/>
  <c r="AB500" i="37"/>
  <c r="AB501" i="37"/>
  <c r="AB502" i="37"/>
  <c r="AB503" i="37"/>
  <c r="AB504" i="37"/>
  <c r="AB505" i="37"/>
  <c r="AB506" i="37"/>
  <c r="AB507" i="37"/>
  <c r="AB508" i="37"/>
  <c r="AB509" i="37"/>
  <c r="AB510" i="37"/>
  <c r="AB511" i="37"/>
  <c r="AB512" i="37"/>
  <c r="AB513" i="37"/>
  <c r="AB514" i="37"/>
  <c r="AB515" i="37"/>
  <c r="AB516" i="37"/>
  <c r="AB517" i="37"/>
  <c r="AB518" i="37"/>
  <c r="AB519" i="37"/>
  <c r="AB520" i="37"/>
  <c r="AB521" i="37"/>
  <c r="AB522" i="37"/>
  <c r="AB523" i="37"/>
  <c r="AB524" i="37"/>
  <c r="AB525" i="37"/>
  <c r="AB526" i="37"/>
  <c r="AB527" i="37"/>
  <c r="AB528" i="37"/>
  <c r="AB529" i="37"/>
  <c r="AB530" i="37"/>
  <c r="AB531" i="37"/>
  <c r="AB532" i="37"/>
  <c r="AB533" i="37"/>
  <c r="AB534" i="37"/>
  <c r="AB535" i="37"/>
  <c r="AB536" i="37"/>
  <c r="AB537" i="37"/>
  <c r="AB538" i="37"/>
  <c r="AB539" i="37"/>
  <c r="AB540" i="37"/>
  <c r="AB541" i="37"/>
  <c r="AB542" i="37"/>
  <c r="AB543" i="37"/>
  <c r="AB544" i="37"/>
  <c r="AB545" i="37"/>
  <c r="AB546" i="37"/>
  <c r="AB547" i="37"/>
  <c r="AB548" i="37"/>
  <c r="AB549" i="37"/>
  <c r="AB550" i="37"/>
  <c r="AB551" i="37"/>
  <c r="AB552" i="37"/>
  <c r="AB553" i="37"/>
  <c r="AB554" i="37"/>
  <c r="AB555" i="37"/>
  <c r="AB556" i="37"/>
  <c r="AB557" i="37"/>
  <c r="AB558" i="37"/>
  <c r="AB559" i="37"/>
  <c r="AB560" i="37"/>
  <c r="AB561" i="37"/>
  <c r="AB562" i="37"/>
  <c r="AB563" i="37"/>
  <c r="AB564" i="37"/>
  <c r="AB565" i="37"/>
  <c r="AB566" i="37"/>
  <c r="AB567" i="37"/>
  <c r="AB568" i="37"/>
  <c r="AB569" i="37"/>
  <c r="AB570" i="37"/>
  <c r="AB571" i="37"/>
  <c r="AB572" i="37"/>
  <c r="AB573" i="37"/>
  <c r="AB574" i="37"/>
  <c r="AB575" i="37"/>
  <c r="AB576" i="37"/>
  <c r="AB577" i="37"/>
  <c r="AB578" i="37"/>
  <c r="AB579" i="37"/>
  <c r="AB580" i="37"/>
  <c r="AB581" i="37"/>
  <c r="AB582" i="37"/>
  <c r="AB583" i="37"/>
  <c r="AB584" i="37"/>
  <c r="AB585" i="37"/>
  <c r="AB586" i="37"/>
  <c r="AB587" i="37"/>
  <c r="AB588" i="37"/>
  <c r="AB589" i="37"/>
  <c r="AB590" i="37"/>
  <c r="AB591" i="37"/>
  <c r="AB592" i="37"/>
  <c r="AB593" i="37"/>
  <c r="AB594" i="37"/>
  <c r="AB595" i="37"/>
  <c r="AB596" i="37"/>
  <c r="AB597" i="37"/>
  <c r="AB598" i="37"/>
  <c r="AB599" i="37"/>
  <c r="AB600" i="37"/>
  <c r="AB601" i="37"/>
  <c r="AB602" i="37"/>
  <c r="AB603" i="37"/>
  <c r="AB604" i="37"/>
  <c r="AB605" i="37"/>
  <c r="AB606" i="37"/>
  <c r="AB607" i="37"/>
  <c r="AB608" i="37"/>
  <c r="AB609" i="37"/>
  <c r="AB610" i="37"/>
  <c r="AB611" i="37"/>
  <c r="AB612" i="37"/>
  <c r="AB613" i="37"/>
  <c r="AB614" i="37"/>
  <c r="AB615" i="37"/>
  <c r="AB616" i="37"/>
  <c r="AB617" i="37"/>
  <c r="AB618" i="37"/>
  <c r="AB619" i="37"/>
  <c r="AB620" i="37"/>
  <c r="AB621" i="37"/>
  <c r="AB622" i="37"/>
  <c r="AB623" i="37"/>
  <c r="AB624" i="37"/>
  <c r="AB625" i="37"/>
  <c r="AB626" i="37"/>
  <c r="AB627" i="37"/>
  <c r="AB628" i="37"/>
  <c r="AB629" i="37"/>
  <c r="AB630" i="37"/>
  <c r="AB631" i="37"/>
  <c r="AB632" i="37"/>
  <c r="AB633" i="37"/>
  <c r="AB634" i="37"/>
  <c r="AB635" i="37"/>
  <c r="AB636" i="37"/>
  <c r="AB637" i="37"/>
  <c r="AB638" i="37"/>
  <c r="AB639" i="37"/>
  <c r="AB640" i="37"/>
  <c r="AB641" i="37"/>
  <c r="AB642" i="37"/>
  <c r="AB643" i="37"/>
  <c r="AB644" i="37"/>
  <c r="AB645" i="37"/>
  <c r="AB646" i="37"/>
  <c r="AB647" i="37"/>
  <c r="AB648" i="37"/>
  <c r="AB649" i="37"/>
  <c r="AB650" i="37"/>
  <c r="AB651" i="37"/>
  <c r="AB652" i="37"/>
  <c r="AB653" i="37"/>
  <c r="AB654" i="37"/>
  <c r="AB655" i="37"/>
  <c r="AB656" i="37"/>
  <c r="AB657" i="37"/>
  <c r="AB658" i="37"/>
  <c r="AB659" i="37"/>
  <c r="AB660" i="37"/>
  <c r="AB661" i="37"/>
  <c r="AB662" i="37"/>
  <c r="AB663" i="37"/>
  <c r="AB664" i="37"/>
  <c r="AB665" i="37"/>
  <c r="AB666" i="37"/>
  <c r="AB667" i="37"/>
  <c r="AB668" i="37"/>
  <c r="AB669" i="37"/>
  <c r="AB670" i="37"/>
  <c r="AB671" i="37"/>
  <c r="AB672" i="37"/>
  <c r="AB673" i="37"/>
  <c r="AB674" i="37"/>
  <c r="AB675" i="37"/>
  <c r="AB676" i="37"/>
  <c r="AB677" i="37"/>
  <c r="AB678" i="37"/>
  <c r="AB679" i="37"/>
  <c r="AB680" i="37"/>
  <c r="AB681" i="37"/>
  <c r="AB682" i="37"/>
  <c r="AB683" i="37"/>
  <c r="AB684" i="37"/>
  <c r="AB685" i="37"/>
  <c r="AB686" i="37"/>
  <c r="AB687" i="37"/>
  <c r="AB688" i="37"/>
  <c r="AB689" i="37"/>
  <c r="AB690" i="37"/>
  <c r="AB691" i="37"/>
  <c r="AB692" i="37"/>
  <c r="AB693" i="37"/>
  <c r="AB694" i="37"/>
  <c r="AB695" i="37"/>
  <c r="AB696" i="37"/>
  <c r="AB697" i="37"/>
  <c r="AB698" i="37"/>
  <c r="AB699" i="37"/>
  <c r="AB700" i="37"/>
  <c r="AB701" i="37"/>
  <c r="AB702" i="37"/>
  <c r="AB703" i="37"/>
  <c r="AB704" i="37"/>
  <c r="AB705" i="37"/>
  <c r="AB706" i="37"/>
  <c r="AB707" i="37"/>
  <c r="AB708" i="37"/>
  <c r="AB709" i="37"/>
  <c r="AB710" i="37"/>
  <c r="AB711" i="37"/>
  <c r="AB712" i="37"/>
  <c r="AB713" i="37"/>
  <c r="AB714" i="37"/>
  <c r="AB715" i="37"/>
  <c r="AB716" i="37"/>
  <c r="AB717" i="37"/>
  <c r="AB718" i="37"/>
  <c r="AB719" i="37"/>
  <c r="AB720" i="37"/>
  <c r="AB721" i="37"/>
  <c r="AB722" i="37"/>
  <c r="AB723" i="37"/>
  <c r="AB724" i="37"/>
  <c r="AB725" i="37"/>
  <c r="AB726" i="37"/>
  <c r="AB727" i="37"/>
  <c r="AB728" i="37"/>
  <c r="AB729" i="37"/>
  <c r="AB730" i="37"/>
  <c r="AB731" i="37"/>
  <c r="AB732" i="37"/>
  <c r="AB733" i="37"/>
  <c r="AB734" i="37"/>
  <c r="AB735" i="37"/>
  <c r="AB736" i="37"/>
  <c r="AB737" i="37"/>
  <c r="AB738" i="37"/>
  <c r="AB739" i="37"/>
  <c r="AB740" i="37"/>
  <c r="AB741" i="37"/>
  <c r="AB742" i="37"/>
  <c r="AB743" i="37"/>
  <c r="AB744" i="37"/>
  <c r="AB745" i="37"/>
  <c r="AB746" i="37"/>
  <c r="AB747" i="37"/>
  <c r="AB748" i="37"/>
  <c r="AB749" i="37"/>
  <c r="AB750" i="37"/>
  <c r="AB751" i="37"/>
  <c r="AB752" i="37"/>
  <c r="AB753" i="37"/>
  <c r="AB754" i="37"/>
  <c r="AB755" i="37"/>
  <c r="AB756" i="37"/>
  <c r="AB757" i="37"/>
  <c r="AB758" i="37"/>
  <c r="AB759" i="37"/>
  <c r="AB760" i="37"/>
  <c r="AB761" i="37"/>
  <c r="AB762" i="37"/>
  <c r="AB763" i="37"/>
  <c r="AB764" i="37"/>
  <c r="AB765" i="37"/>
  <c r="AB766" i="37"/>
  <c r="AB767" i="37"/>
  <c r="AB768" i="37"/>
  <c r="AB769" i="37"/>
  <c r="AB770" i="37"/>
  <c r="AB771" i="37"/>
  <c r="AB772" i="37"/>
  <c r="AB773" i="37"/>
  <c r="AB774" i="37"/>
  <c r="AB775" i="37"/>
  <c r="AB776" i="37"/>
  <c r="AB777" i="37"/>
  <c r="AB778" i="37"/>
  <c r="AB779" i="37"/>
  <c r="AB780" i="37"/>
  <c r="AB781" i="37"/>
  <c r="AB782" i="37"/>
  <c r="AB783" i="37"/>
  <c r="AB784" i="37"/>
  <c r="AB785" i="37"/>
  <c r="AB786" i="37"/>
  <c r="AB787" i="37"/>
  <c r="AB788" i="37"/>
  <c r="AB789" i="37"/>
  <c r="AB790" i="37"/>
  <c r="AB791" i="37"/>
  <c r="AB792" i="37"/>
  <c r="AB793" i="37"/>
  <c r="AB794" i="37"/>
  <c r="AB795" i="37"/>
  <c r="AB796" i="37"/>
  <c r="AB797" i="37"/>
  <c r="AB798" i="37"/>
  <c r="AB799" i="37"/>
  <c r="AB800" i="37"/>
  <c r="AB801" i="37"/>
  <c r="AB802" i="37"/>
  <c r="AB803" i="37"/>
  <c r="AB804" i="37"/>
  <c r="AB805" i="37"/>
  <c r="AB806" i="37"/>
  <c r="AB807" i="37"/>
  <c r="AB808" i="37"/>
  <c r="AB809" i="37"/>
  <c r="AB810" i="37"/>
  <c r="AB811" i="37"/>
  <c r="AB812" i="37"/>
  <c r="AB813" i="37"/>
  <c r="AB814" i="37"/>
  <c r="AB815" i="37"/>
  <c r="AB816" i="37"/>
  <c r="AB817" i="37"/>
  <c r="AB818" i="37"/>
  <c r="AB819" i="37"/>
  <c r="AB820" i="37"/>
  <c r="AB821" i="37"/>
  <c r="AB822" i="37"/>
  <c r="AB823" i="37"/>
  <c r="AB824" i="37"/>
  <c r="AB825" i="37"/>
  <c r="AB826" i="37"/>
  <c r="AB827" i="37"/>
  <c r="AB828" i="37"/>
  <c r="AB829" i="37"/>
  <c r="AB830" i="37"/>
  <c r="AB831" i="37"/>
  <c r="AB832" i="37"/>
  <c r="AB833" i="37"/>
  <c r="AB834" i="37"/>
  <c r="AB835" i="37"/>
  <c r="AB836" i="37"/>
  <c r="AB837" i="37"/>
  <c r="AB838" i="37"/>
  <c r="AB839" i="37"/>
  <c r="AB840" i="37"/>
  <c r="AB841" i="37"/>
  <c r="AB842" i="37"/>
  <c r="AB843" i="37"/>
  <c r="AB844" i="37"/>
  <c r="AB845" i="37"/>
  <c r="AB846" i="37"/>
  <c r="AB847" i="37"/>
  <c r="AB848" i="37"/>
  <c r="AB849" i="37"/>
  <c r="AB850" i="37"/>
  <c r="AB851" i="37"/>
  <c r="AB852" i="37"/>
  <c r="AB853" i="37"/>
  <c r="AB854" i="37"/>
  <c r="AB855" i="37"/>
  <c r="AB856" i="37"/>
  <c r="AB857" i="37"/>
  <c r="AB858" i="37"/>
  <c r="AB859" i="37"/>
  <c r="AB860" i="37"/>
  <c r="AB861" i="37"/>
  <c r="AB862" i="37"/>
  <c r="AB863" i="37"/>
  <c r="AB864" i="37"/>
  <c r="AB865" i="37"/>
  <c r="AB866" i="37"/>
  <c r="AB867" i="37"/>
  <c r="AB868" i="37"/>
  <c r="AB869" i="37"/>
  <c r="AB870" i="37"/>
  <c r="AB871" i="37"/>
  <c r="AB872" i="37"/>
  <c r="AB873" i="37"/>
  <c r="AB874" i="37"/>
  <c r="AB875" i="37"/>
  <c r="AB876" i="37"/>
  <c r="AB877" i="37"/>
  <c r="AB878" i="37"/>
  <c r="AB879" i="37"/>
  <c r="AB880" i="37"/>
  <c r="AB881" i="37"/>
  <c r="AB882" i="37"/>
  <c r="AB883" i="37"/>
  <c r="AB884" i="37"/>
  <c r="AB885" i="37"/>
  <c r="AB886" i="37"/>
  <c r="AB887" i="37"/>
  <c r="AB888" i="37"/>
  <c r="AB889" i="37"/>
  <c r="AB890" i="37"/>
  <c r="AB891" i="37"/>
  <c r="AB892" i="37"/>
  <c r="AB893" i="37"/>
  <c r="AB894" i="37"/>
  <c r="AB895" i="37"/>
  <c r="AB896" i="37"/>
  <c r="AB897" i="37"/>
  <c r="AB898" i="37"/>
  <c r="AB899" i="37"/>
  <c r="AB900" i="37"/>
  <c r="AB901" i="37"/>
  <c r="AB902" i="37"/>
  <c r="AB903" i="37"/>
  <c r="AB904" i="37"/>
  <c r="AB905" i="37"/>
  <c r="AB906" i="37"/>
  <c r="AB907" i="37"/>
  <c r="AB908" i="37"/>
  <c r="AB909" i="37"/>
  <c r="AB910" i="37"/>
  <c r="AB911" i="37"/>
  <c r="AB912" i="37"/>
  <c r="AB913" i="37"/>
  <c r="AB914" i="37"/>
  <c r="AB915" i="37"/>
  <c r="AB916" i="37"/>
  <c r="AB917" i="37"/>
  <c r="AB918" i="37"/>
  <c r="AB919" i="37"/>
  <c r="AB920" i="37"/>
  <c r="AB921" i="37"/>
  <c r="AB922" i="37"/>
  <c r="AB923" i="37"/>
  <c r="AB924" i="37"/>
  <c r="AB925" i="37"/>
  <c r="AB926" i="37"/>
  <c r="AB927" i="37"/>
  <c r="AB928" i="37"/>
  <c r="AB929" i="37"/>
  <c r="AB930" i="37"/>
  <c r="AB931" i="37"/>
  <c r="AB932" i="37"/>
  <c r="AB933" i="37"/>
  <c r="AB934" i="37"/>
  <c r="AB935" i="37"/>
  <c r="AB936" i="37"/>
  <c r="AB937" i="37"/>
  <c r="AB938" i="37"/>
  <c r="AB939" i="37"/>
  <c r="AB940" i="37"/>
  <c r="AB941" i="37"/>
  <c r="AB942" i="37"/>
  <c r="AB943" i="37"/>
  <c r="AB944" i="37"/>
  <c r="AB945" i="37"/>
  <c r="AB946" i="37"/>
  <c r="AB947" i="37"/>
  <c r="AB948" i="37"/>
  <c r="AB949" i="37"/>
  <c r="AB950" i="37"/>
  <c r="AB951" i="37"/>
  <c r="AB952" i="37"/>
  <c r="AB953" i="37"/>
  <c r="AB954" i="37"/>
  <c r="AB955" i="37"/>
  <c r="AB956" i="37"/>
  <c r="AB957" i="37"/>
  <c r="AB958" i="37"/>
  <c r="AB959" i="37"/>
  <c r="AB960" i="37"/>
  <c r="AB961" i="37"/>
  <c r="AB962" i="37"/>
  <c r="AB963" i="37"/>
  <c r="AB964" i="37"/>
  <c r="AB965" i="37"/>
  <c r="AB966" i="37"/>
  <c r="AB967" i="37"/>
  <c r="AB968" i="37"/>
  <c r="AB969" i="37"/>
  <c r="AB970" i="37"/>
  <c r="AB971" i="37"/>
  <c r="AB972" i="37"/>
  <c r="AB973" i="37"/>
  <c r="AB974" i="37"/>
  <c r="AB975" i="37"/>
  <c r="AB976" i="37"/>
  <c r="AB977" i="37"/>
  <c r="AB978" i="37"/>
  <c r="AB979" i="37"/>
  <c r="AB980" i="37"/>
  <c r="AB981" i="37"/>
  <c r="AB982" i="37"/>
  <c r="AB983" i="37"/>
  <c r="AB984" i="37"/>
  <c r="AB985" i="37"/>
  <c r="AB986" i="37"/>
  <c r="AB987" i="37"/>
  <c r="AB988" i="37"/>
  <c r="AB989" i="37"/>
  <c r="AB990" i="37"/>
  <c r="AB991" i="37"/>
  <c r="AB992" i="37"/>
  <c r="AB993" i="37"/>
  <c r="AB994" i="37"/>
  <c r="AB995" i="37"/>
  <c r="AB996" i="37"/>
  <c r="AB997" i="37"/>
  <c r="AB998" i="37"/>
  <c r="AB999" i="37"/>
  <c r="AB1000" i="37"/>
  <c r="AB1001" i="37"/>
  <c r="AB1002" i="37"/>
  <c r="AB1003" i="37"/>
  <c r="AB1004" i="37"/>
  <c r="AB1005" i="37"/>
  <c r="AB1006" i="37"/>
  <c r="AB1007" i="37"/>
  <c r="AB1008" i="37"/>
  <c r="AB1009" i="37"/>
  <c r="AB1010" i="37"/>
  <c r="AB1011" i="37"/>
  <c r="AB1012" i="37"/>
  <c r="AB1013" i="37"/>
  <c r="AB1014" i="37"/>
  <c r="AB1015" i="37"/>
  <c r="AB1016" i="37"/>
  <c r="AB1017" i="37"/>
  <c r="AB1018" i="37"/>
  <c r="AB1019" i="37"/>
  <c r="AB1020" i="37"/>
  <c r="AB1021" i="37"/>
  <c r="AB1022" i="37"/>
  <c r="AB1023" i="37"/>
  <c r="AB1024" i="37"/>
  <c r="AB1025" i="37"/>
  <c r="AB1026" i="37"/>
  <c r="AB1027" i="37"/>
  <c r="AB1028" i="37"/>
  <c r="AB1029" i="37"/>
  <c r="AB1030" i="37"/>
  <c r="AB1031" i="37"/>
  <c r="AB1032" i="37"/>
  <c r="AB1033" i="37"/>
  <c r="AB1034" i="37"/>
  <c r="AB1035" i="37"/>
  <c r="AB1036" i="37"/>
  <c r="AB1037" i="37"/>
  <c r="AB1038" i="37"/>
  <c r="AB1039" i="37"/>
  <c r="AB1040" i="37"/>
  <c r="AB1041" i="37"/>
  <c r="AB1042" i="37"/>
  <c r="AB1043" i="37"/>
  <c r="AB1044" i="37"/>
  <c r="AB1045" i="37"/>
  <c r="AB1046" i="37"/>
  <c r="AB1047" i="37"/>
  <c r="AB1048" i="37"/>
  <c r="AB1049" i="37"/>
  <c r="AB1050" i="37"/>
  <c r="AB1051" i="37"/>
  <c r="AB1052" i="37"/>
  <c r="AB1053" i="37"/>
  <c r="AB1054" i="37"/>
  <c r="AB1055" i="37"/>
  <c r="AB1056" i="37"/>
  <c r="AB1057" i="37"/>
  <c r="AB1058" i="37"/>
  <c r="AB1059" i="37"/>
  <c r="AB1060" i="37"/>
  <c r="AB1061" i="37"/>
  <c r="AB1062" i="37"/>
  <c r="AB1063" i="37"/>
  <c r="AB1064" i="37"/>
  <c r="AB1065" i="37"/>
  <c r="AB1066" i="37"/>
  <c r="AB1067" i="37"/>
  <c r="AB1068" i="37"/>
  <c r="AB1069" i="37"/>
  <c r="AB1070" i="37"/>
  <c r="AB1071" i="37"/>
  <c r="AB1072" i="37"/>
  <c r="AB1073" i="37"/>
  <c r="AB1074" i="37"/>
  <c r="AB1075" i="37"/>
  <c r="AB1076" i="37"/>
  <c r="AB1077" i="37"/>
  <c r="AB1078" i="37"/>
  <c r="AB1079" i="37"/>
  <c r="AB1080" i="37"/>
  <c r="AB1081" i="37"/>
  <c r="AB1082" i="37"/>
  <c r="AB1083" i="37"/>
  <c r="AB1084" i="37"/>
  <c r="AB1085" i="37"/>
  <c r="AB1086" i="37"/>
  <c r="AB1087" i="37"/>
  <c r="AB1088" i="37"/>
  <c r="AB1089" i="37"/>
  <c r="AB1090" i="37"/>
  <c r="AB1091" i="37"/>
  <c r="AB1092" i="37"/>
  <c r="AB1093" i="37"/>
  <c r="AB1094" i="37"/>
  <c r="AB1095" i="37"/>
  <c r="AB1096" i="37"/>
  <c r="AB1097" i="37"/>
  <c r="AB1098" i="37"/>
  <c r="AB1099" i="37"/>
  <c r="AB1100" i="37"/>
  <c r="AB1101" i="37"/>
  <c r="AB1102" i="37"/>
  <c r="AB1103" i="37"/>
  <c r="AB1104" i="37"/>
  <c r="AB1105" i="37"/>
  <c r="AB1106" i="37"/>
  <c r="AB1107" i="37"/>
  <c r="AB1108" i="37"/>
  <c r="AB1109" i="37"/>
  <c r="AB1110" i="37"/>
  <c r="AB1111" i="37"/>
  <c r="AB1112" i="37"/>
  <c r="AB1113" i="37"/>
  <c r="AB1114" i="37"/>
  <c r="AB1115" i="37"/>
  <c r="AB1116" i="37"/>
  <c r="AB1117" i="37"/>
  <c r="AB1118" i="37"/>
  <c r="AB1119" i="37"/>
  <c r="AB1120" i="37"/>
  <c r="AB1121" i="37"/>
  <c r="AB1122" i="37"/>
  <c r="AB1123" i="37"/>
  <c r="AB1124" i="37"/>
  <c r="AB1125" i="37"/>
  <c r="AB1126" i="37"/>
  <c r="AB1127" i="37"/>
  <c r="AB1128" i="37"/>
  <c r="AB1129" i="37"/>
  <c r="AB1130" i="37"/>
  <c r="AB1131" i="37"/>
  <c r="AB1132" i="37"/>
  <c r="AB1133" i="37"/>
  <c r="AB1134" i="37"/>
  <c r="AB1135" i="37"/>
  <c r="AB1136" i="37"/>
  <c r="AB1137" i="37"/>
  <c r="AB1138" i="37"/>
  <c r="AB1139" i="37"/>
  <c r="AB1140" i="37"/>
  <c r="AB1141" i="37"/>
  <c r="AB1142" i="37"/>
  <c r="AB1143" i="37"/>
  <c r="AB1144" i="37"/>
  <c r="AB1145" i="37"/>
  <c r="AB1146" i="37"/>
  <c r="AB1147" i="37"/>
  <c r="AB1148" i="37"/>
  <c r="AB1149" i="37"/>
  <c r="AB1150" i="37"/>
  <c r="AB1151" i="37"/>
  <c r="AB1152" i="37"/>
  <c r="AB1153" i="37"/>
  <c r="AB1154" i="37"/>
  <c r="AB1155" i="37"/>
  <c r="AB1156" i="37"/>
  <c r="AB1157" i="37"/>
  <c r="AB1158" i="37"/>
  <c r="AB1159" i="37"/>
  <c r="AB1160" i="37"/>
  <c r="AB1161" i="37"/>
  <c r="AB1162" i="37"/>
  <c r="AB1163" i="37"/>
  <c r="AB1164" i="37"/>
  <c r="AB1165" i="37"/>
  <c r="AB1166" i="37"/>
  <c r="AB1167" i="37"/>
  <c r="AB1168" i="37"/>
  <c r="AB1169" i="37"/>
  <c r="AB1170" i="37"/>
  <c r="AB1171" i="37"/>
  <c r="AB1172" i="37"/>
  <c r="AB1173" i="37"/>
  <c r="AB1174" i="37"/>
  <c r="AB1175" i="37"/>
  <c r="AB1176" i="37"/>
  <c r="AB1177" i="37"/>
  <c r="AB1178" i="37"/>
  <c r="AB1179" i="37"/>
  <c r="AB1180" i="37"/>
  <c r="AB1181" i="37"/>
  <c r="AB1182" i="37"/>
  <c r="AB1183" i="37"/>
  <c r="AB1184" i="37"/>
  <c r="AB1185" i="37"/>
  <c r="AB1186" i="37"/>
  <c r="AB1187" i="37"/>
  <c r="AB1188" i="37"/>
  <c r="AB1189" i="37"/>
  <c r="AB1190" i="37"/>
  <c r="AB1191" i="37"/>
  <c r="AB1192" i="37"/>
  <c r="AB1193" i="37"/>
  <c r="AB1194" i="37"/>
  <c r="AB1195" i="37"/>
  <c r="AB1196" i="37"/>
  <c r="AB1197" i="37"/>
  <c r="AB1198" i="37"/>
  <c r="AB1199" i="37"/>
  <c r="AB1200" i="37"/>
  <c r="AB1201" i="37"/>
  <c r="AB1202" i="37"/>
  <c r="AB1203" i="37"/>
  <c r="AB1204" i="37"/>
  <c r="AB1205" i="37"/>
  <c r="AB1206" i="37"/>
  <c r="AB1207" i="37"/>
  <c r="AB1208" i="37"/>
  <c r="AB1209" i="37"/>
  <c r="AB1210" i="37"/>
  <c r="AB1211" i="37"/>
  <c r="AB1212" i="37"/>
  <c r="AB1213" i="37"/>
  <c r="AB1214" i="37"/>
  <c r="AB1215" i="37"/>
  <c r="AB1216" i="37"/>
  <c r="AB1217" i="37"/>
  <c r="AB1218" i="37"/>
  <c r="AB1219" i="37"/>
  <c r="AB1220" i="37"/>
  <c r="AB1221" i="37"/>
  <c r="AB1222" i="37"/>
  <c r="AB1223" i="37"/>
  <c r="AB1224" i="37"/>
  <c r="AB1225" i="37"/>
  <c r="AB1226" i="37"/>
  <c r="AB1227" i="37"/>
  <c r="AB1228" i="37"/>
  <c r="AB1229" i="37"/>
  <c r="AB1230" i="37"/>
  <c r="AB1231" i="37"/>
  <c r="AB1232" i="37"/>
  <c r="AB1233" i="37"/>
  <c r="AB1234" i="37"/>
  <c r="AB1235" i="37"/>
  <c r="AB1236" i="37"/>
  <c r="AB1237" i="37"/>
  <c r="AB1238" i="37"/>
  <c r="AB1239" i="37"/>
  <c r="AB1240" i="37"/>
  <c r="AB1241" i="37"/>
  <c r="AB1242" i="37"/>
  <c r="AB1243" i="37"/>
  <c r="AB1244" i="37"/>
  <c r="AB1245" i="37"/>
  <c r="AB1246" i="37"/>
  <c r="AB1247" i="37"/>
  <c r="AB1248" i="37"/>
  <c r="AB1249" i="37"/>
  <c r="AB1250" i="37"/>
  <c r="AB1251" i="37"/>
  <c r="AB1252" i="37"/>
  <c r="AB1253" i="37"/>
  <c r="AB1254" i="37"/>
  <c r="AB1255" i="37"/>
  <c r="AB1256" i="37"/>
  <c r="AB1257" i="37"/>
  <c r="AB1258" i="37"/>
  <c r="AB1259" i="37"/>
  <c r="AB1260" i="37"/>
  <c r="AB1261" i="37"/>
  <c r="AB1262" i="37"/>
  <c r="AB1263" i="37"/>
  <c r="AB1264" i="37"/>
  <c r="AB1265" i="37"/>
  <c r="AB1266" i="37"/>
  <c r="AB1267" i="37"/>
  <c r="AB1268" i="37"/>
  <c r="AB1269" i="37"/>
  <c r="AB1270" i="37"/>
  <c r="AB1271" i="37"/>
  <c r="AB1272" i="37"/>
  <c r="AB1273" i="37"/>
  <c r="AB1274" i="37"/>
  <c r="AB1275" i="37"/>
  <c r="AB1276" i="37"/>
  <c r="AB1277" i="37"/>
  <c r="AB1278" i="37"/>
  <c r="AB1279" i="37"/>
  <c r="AB1280" i="37"/>
  <c r="AB1281" i="37"/>
  <c r="AB1282" i="37"/>
  <c r="AB1283" i="37"/>
  <c r="AB1284" i="37"/>
  <c r="AB1285" i="37"/>
  <c r="AB1286" i="37"/>
  <c r="AB1287" i="37"/>
  <c r="AB1288" i="37"/>
  <c r="AB1289" i="37"/>
  <c r="AB1290" i="37"/>
  <c r="AB1291" i="37"/>
  <c r="AB1292" i="37"/>
  <c r="AB1293" i="37"/>
  <c r="AB1294" i="37"/>
  <c r="AB1295" i="37"/>
  <c r="AB1296" i="37"/>
  <c r="AB1297" i="37"/>
  <c r="AB1298" i="37"/>
  <c r="AB1299" i="37"/>
  <c r="AB1300" i="37"/>
  <c r="AB1301" i="37"/>
  <c r="AB1302" i="37"/>
  <c r="AB1303" i="37"/>
  <c r="AB1304" i="37"/>
  <c r="AB1305" i="37"/>
  <c r="AB1306" i="37"/>
  <c r="AB1307" i="37"/>
  <c r="AB1308" i="37"/>
  <c r="AB1309" i="37"/>
  <c r="AB1310" i="37"/>
  <c r="AB1311" i="37"/>
  <c r="AB1312" i="37"/>
  <c r="AB1313" i="37"/>
  <c r="AB1314" i="37"/>
  <c r="AB1315" i="37"/>
  <c r="AB1316" i="37"/>
  <c r="AB1317" i="37"/>
  <c r="AB1318" i="37"/>
  <c r="AB1319" i="37"/>
  <c r="AB1320" i="37"/>
  <c r="AB1321" i="37"/>
  <c r="AB1322" i="37"/>
  <c r="AB1323" i="37"/>
  <c r="AB1324" i="37"/>
  <c r="AB1325" i="37"/>
  <c r="AB1326" i="37"/>
  <c r="AB1327" i="37"/>
  <c r="AB1328" i="37"/>
  <c r="AB1329" i="37"/>
  <c r="AB1330" i="37"/>
  <c r="AB1331" i="37"/>
  <c r="AB1332" i="37"/>
  <c r="AB1333" i="37"/>
  <c r="AB1334" i="37"/>
  <c r="AB1335" i="37"/>
  <c r="AB1336" i="37"/>
  <c r="AB1337" i="37"/>
  <c r="AB1338" i="37"/>
  <c r="AB1339" i="37"/>
  <c r="AB1340" i="37"/>
  <c r="AB1341" i="37"/>
  <c r="AB1342" i="37"/>
  <c r="AB1343" i="37"/>
  <c r="AB1344" i="37"/>
  <c r="AB1345" i="37"/>
  <c r="AB1346" i="37"/>
  <c r="AB1347" i="37"/>
  <c r="AB1348" i="37"/>
  <c r="AB1349" i="37"/>
  <c r="AB1350" i="37"/>
  <c r="AB1351" i="37"/>
  <c r="AB1352" i="37"/>
  <c r="AB1353" i="37"/>
  <c r="AB1354" i="37"/>
  <c r="AB1355" i="37"/>
  <c r="AB1356" i="37"/>
  <c r="AB1357" i="37"/>
  <c r="AB1358" i="37"/>
  <c r="AB1359" i="37"/>
  <c r="AB1360" i="37"/>
  <c r="AB1361" i="37"/>
  <c r="AB1362" i="37"/>
  <c r="AB1363" i="37"/>
  <c r="AB1364" i="37"/>
  <c r="AB1365" i="37"/>
  <c r="AB1366" i="37"/>
  <c r="AB1367" i="37"/>
  <c r="AB1368" i="37"/>
  <c r="AB1369" i="37"/>
  <c r="AB1370" i="37"/>
  <c r="AB1371" i="37"/>
  <c r="AB1372" i="37"/>
  <c r="AB1373" i="37"/>
  <c r="AB1374" i="37"/>
  <c r="AB1375" i="37"/>
  <c r="AB1376" i="37"/>
  <c r="AB1377" i="37"/>
  <c r="AB1378" i="37"/>
  <c r="AB1379" i="37"/>
  <c r="AB1380" i="37"/>
  <c r="AB1381" i="37"/>
  <c r="AB1382" i="37"/>
  <c r="AB1383" i="37"/>
  <c r="AB1384" i="37"/>
  <c r="AB1385" i="37"/>
  <c r="AB1386" i="37"/>
  <c r="AB1387" i="37"/>
  <c r="AB1388" i="37"/>
  <c r="AB1389" i="37"/>
  <c r="AB1390" i="37"/>
  <c r="AB1391" i="37"/>
  <c r="AB1392" i="37"/>
  <c r="AB1393" i="37"/>
  <c r="AB1394" i="37"/>
  <c r="AB1395" i="37"/>
  <c r="AB1396" i="37"/>
  <c r="AB1397" i="37"/>
  <c r="AB1398" i="37"/>
  <c r="AB1399" i="37"/>
  <c r="AB1400" i="37"/>
  <c r="AB1401" i="37"/>
  <c r="AB1402" i="37"/>
  <c r="AB1403" i="37"/>
  <c r="AB1404" i="37"/>
  <c r="AB1405" i="37"/>
  <c r="AB1406" i="37"/>
  <c r="AB1407" i="37"/>
  <c r="AB1408" i="37"/>
  <c r="AB1409" i="37"/>
  <c r="AB1410" i="37"/>
  <c r="AB1411" i="37"/>
  <c r="AB1412" i="37"/>
  <c r="AB1413" i="37"/>
  <c r="AB1414" i="37"/>
  <c r="AB1415" i="37"/>
  <c r="AB1416" i="37"/>
  <c r="AB1417" i="37"/>
  <c r="AB1418" i="37"/>
  <c r="AB1419" i="37"/>
  <c r="AB1420" i="37"/>
  <c r="AB1421" i="37"/>
  <c r="AB1422" i="37"/>
  <c r="AB1423" i="37"/>
  <c r="AB1424" i="37"/>
  <c r="AB1425" i="37"/>
  <c r="AB1426" i="37"/>
  <c r="AB1427" i="37"/>
  <c r="AB1428" i="37"/>
  <c r="AB1429" i="37"/>
  <c r="AB1430" i="37"/>
  <c r="AB1431" i="37"/>
  <c r="AB1432" i="37"/>
  <c r="AB1433" i="37"/>
  <c r="AB1434" i="37"/>
  <c r="AB1435" i="37"/>
  <c r="AB1436" i="37"/>
  <c r="AB1437" i="37"/>
  <c r="AB1438" i="37"/>
  <c r="AB1439" i="37"/>
  <c r="AB1440" i="37"/>
  <c r="AB1441" i="37"/>
  <c r="AB1442" i="37"/>
  <c r="AB1443" i="37"/>
  <c r="AB1444" i="37"/>
  <c r="AB1445" i="37"/>
  <c r="AB1446" i="37"/>
  <c r="AB1447" i="37"/>
  <c r="AB1448" i="37"/>
  <c r="AB1449" i="37"/>
  <c r="AB1450" i="37"/>
  <c r="AB1451" i="37"/>
  <c r="AB1452" i="37"/>
  <c r="AB1453" i="37"/>
  <c r="AB1454" i="37"/>
  <c r="AB1455" i="37"/>
  <c r="AB1456" i="37"/>
  <c r="AB1457" i="37"/>
  <c r="AB1458" i="37"/>
  <c r="AB1459" i="37"/>
  <c r="AB1460" i="37"/>
  <c r="AB1461" i="37"/>
  <c r="AB1462" i="37"/>
  <c r="AB1463" i="37"/>
  <c r="AB1464" i="37"/>
  <c r="AB1465" i="37"/>
  <c r="AB1466" i="37"/>
  <c r="AB1467" i="37"/>
  <c r="AB1468" i="37"/>
  <c r="AB1469" i="37"/>
  <c r="AB1470" i="37"/>
  <c r="AB1471" i="37"/>
  <c r="AB1472" i="37"/>
  <c r="AB1473" i="37"/>
  <c r="AB1474" i="37"/>
  <c r="AB1475" i="37"/>
  <c r="AB1476" i="37"/>
  <c r="AB1477" i="37"/>
  <c r="AB1478" i="37"/>
  <c r="AB1479" i="37"/>
  <c r="AB1480" i="37"/>
  <c r="AB1481" i="37"/>
  <c r="AB1482" i="37"/>
  <c r="AB1483" i="37"/>
  <c r="AB1484" i="37"/>
  <c r="AB1485" i="37"/>
  <c r="AB1486" i="37"/>
  <c r="AB1487" i="37"/>
  <c r="AB1488" i="37"/>
  <c r="AB1489" i="37"/>
  <c r="AB1490" i="37"/>
  <c r="AB1491" i="37"/>
  <c r="AB1492" i="37"/>
  <c r="R2" i="35"/>
  <c r="R3" i="35"/>
  <c r="R4" i="35"/>
  <c r="R5" i="35"/>
  <c r="R6" i="35"/>
  <c r="R7"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131" i="35"/>
  <c r="R132" i="35"/>
  <c r="R133" i="35"/>
  <c r="R134" i="35"/>
  <c r="R135" i="35"/>
  <c r="R136" i="35"/>
  <c r="R137" i="35"/>
  <c r="R138" i="35"/>
  <c r="R139" i="35"/>
  <c r="R140" i="35"/>
  <c r="R141" i="35"/>
  <c r="R142" i="35"/>
  <c r="R143" i="35"/>
  <c r="R144" i="35"/>
  <c r="R145" i="35"/>
  <c r="R146" i="35"/>
  <c r="R147" i="35"/>
  <c r="R148" i="35"/>
  <c r="R149" i="35"/>
  <c r="R150" i="35"/>
  <c r="R151" i="35"/>
  <c r="R152" i="35"/>
  <c r="R153" i="35"/>
  <c r="R154" i="35"/>
  <c r="R155" i="35"/>
  <c r="R156" i="35"/>
  <c r="R157" i="35"/>
  <c r="R158" i="35"/>
  <c r="R159" i="35"/>
  <c r="R160" i="35"/>
  <c r="R161" i="35"/>
  <c r="R162" i="35"/>
  <c r="R163" i="35"/>
  <c r="R164" i="35"/>
  <c r="R165" i="35"/>
  <c r="R166" i="35"/>
  <c r="R167" i="35"/>
  <c r="R168" i="35"/>
  <c r="R169" i="35"/>
  <c r="R170" i="35"/>
  <c r="R171" i="35"/>
  <c r="R172" i="35"/>
  <c r="R173" i="35"/>
  <c r="R174" i="35"/>
  <c r="R175" i="35"/>
  <c r="R176" i="35"/>
  <c r="R177" i="35"/>
  <c r="R178" i="35"/>
  <c r="R179" i="35"/>
  <c r="R180" i="35"/>
  <c r="R181" i="35"/>
  <c r="R182" i="35"/>
  <c r="R183" i="35"/>
  <c r="R184" i="35"/>
  <c r="R185" i="35"/>
  <c r="R186" i="35"/>
  <c r="R187" i="35"/>
  <c r="R188" i="35"/>
  <c r="R189" i="35"/>
  <c r="R190" i="35"/>
  <c r="R191" i="35"/>
  <c r="R192" i="35"/>
  <c r="R193" i="35"/>
  <c r="R194" i="35"/>
  <c r="R195" i="35"/>
  <c r="R196" i="35"/>
  <c r="R197" i="35"/>
  <c r="R198" i="35"/>
  <c r="R199" i="35"/>
  <c r="R200" i="35"/>
  <c r="R201" i="35"/>
  <c r="R202" i="35"/>
  <c r="R203" i="35"/>
  <c r="R204" i="35"/>
  <c r="R205" i="35"/>
  <c r="R206" i="35"/>
  <c r="R207" i="35"/>
  <c r="R208" i="35"/>
  <c r="R209" i="35"/>
  <c r="R210" i="35"/>
  <c r="R211" i="35"/>
  <c r="R212" i="35"/>
  <c r="R213" i="35"/>
  <c r="R214" i="35"/>
  <c r="R215" i="35"/>
  <c r="R216" i="35"/>
  <c r="R217" i="35"/>
  <c r="R218" i="35"/>
  <c r="R219" i="35"/>
  <c r="R220" i="35"/>
  <c r="R221" i="35"/>
  <c r="R222" i="35"/>
  <c r="R223" i="35"/>
  <c r="R224" i="35"/>
  <c r="R225" i="35"/>
  <c r="R226" i="35"/>
  <c r="R227" i="35"/>
  <c r="R228" i="35"/>
  <c r="R229" i="35"/>
  <c r="R230" i="35"/>
  <c r="R231" i="35"/>
  <c r="R232" i="35"/>
  <c r="R233" i="35"/>
  <c r="R234" i="35"/>
  <c r="R235" i="35"/>
  <c r="R236" i="35"/>
  <c r="R237" i="35"/>
  <c r="R238" i="35"/>
  <c r="R239" i="35"/>
  <c r="R240" i="35"/>
  <c r="R241" i="35"/>
  <c r="R242" i="35"/>
  <c r="R243" i="35"/>
  <c r="R244" i="35"/>
  <c r="R245" i="35"/>
  <c r="R246" i="35"/>
  <c r="R247" i="35"/>
  <c r="R248" i="35"/>
  <c r="R249" i="35"/>
  <c r="R250" i="35"/>
  <c r="R251" i="35"/>
  <c r="R252" i="35"/>
  <c r="R253" i="35"/>
  <c r="R254" i="35"/>
  <c r="R255" i="35"/>
  <c r="R256" i="35"/>
  <c r="R257" i="35"/>
  <c r="R258" i="35"/>
  <c r="R259" i="35"/>
  <c r="R260" i="35"/>
  <c r="R261" i="35"/>
  <c r="R262" i="35"/>
  <c r="R263" i="35"/>
  <c r="R264" i="35"/>
  <c r="R265" i="35"/>
  <c r="R266" i="35"/>
  <c r="R267" i="35"/>
  <c r="R268" i="35"/>
  <c r="R269" i="35"/>
  <c r="R270" i="35"/>
  <c r="R271" i="35"/>
  <c r="R272" i="35"/>
  <c r="R273" i="35"/>
  <c r="R274" i="35"/>
  <c r="R275" i="35"/>
  <c r="R276" i="35"/>
  <c r="R277" i="35"/>
  <c r="R278" i="35"/>
  <c r="R279" i="35"/>
  <c r="R280" i="35"/>
  <c r="R281" i="35"/>
  <c r="R282" i="35"/>
  <c r="R283" i="35"/>
  <c r="R284" i="35"/>
  <c r="R285" i="35"/>
  <c r="R286" i="35"/>
  <c r="R287" i="35"/>
  <c r="R288" i="35"/>
  <c r="R289" i="35"/>
  <c r="R290" i="35"/>
  <c r="R291" i="35"/>
  <c r="R292" i="35"/>
  <c r="R293" i="35"/>
  <c r="R294" i="35"/>
  <c r="R295" i="35"/>
  <c r="R296" i="35"/>
  <c r="R297" i="35"/>
  <c r="R298" i="35"/>
  <c r="R299" i="35"/>
  <c r="R300" i="35"/>
  <c r="R301" i="35"/>
  <c r="R302" i="35"/>
  <c r="R303" i="35"/>
  <c r="R304" i="35"/>
  <c r="R305" i="35"/>
  <c r="R306" i="35"/>
  <c r="R307" i="35"/>
  <c r="R308" i="35"/>
  <c r="R309" i="35"/>
  <c r="R310" i="35"/>
  <c r="R311" i="35"/>
  <c r="R312" i="35"/>
  <c r="R313" i="35"/>
  <c r="R314" i="35"/>
  <c r="R315" i="35"/>
  <c r="R316" i="35"/>
  <c r="R317" i="35"/>
  <c r="R318" i="35"/>
  <c r="R319" i="35"/>
  <c r="R320" i="35"/>
  <c r="R321" i="35"/>
  <c r="R322" i="35"/>
  <c r="R323" i="35"/>
  <c r="R324" i="35"/>
  <c r="R325" i="35"/>
  <c r="R326" i="35"/>
  <c r="R327" i="35"/>
  <c r="R328" i="35"/>
  <c r="R329" i="35"/>
  <c r="R330" i="35"/>
  <c r="R331" i="35"/>
  <c r="R332" i="35"/>
  <c r="R333" i="35"/>
  <c r="R334" i="35"/>
  <c r="R335" i="35"/>
  <c r="R336" i="35"/>
  <c r="R337" i="35"/>
  <c r="R338" i="35"/>
  <c r="R339" i="35"/>
  <c r="R340" i="35"/>
  <c r="R341" i="35"/>
  <c r="R342" i="35"/>
  <c r="R343" i="35"/>
  <c r="R344" i="35"/>
  <c r="R345" i="35"/>
  <c r="R346" i="35"/>
  <c r="R347" i="35"/>
  <c r="R348" i="35"/>
  <c r="R349" i="35"/>
  <c r="R350" i="35"/>
  <c r="R351" i="35"/>
  <c r="R352" i="35"/>
  <c r="R353" i="35"/>
  <c r="R354" i="35"/>
  <c r="R355" i="35"/>
  <c r="R356" i="35"/>
  <c r="R357" i="35"/>
  <c r="R358" i="35"/>
  <c r="R359" i="35"/>
  <c r="R360" i="35"/>
  <c r="R361" i="35"/>
  <c r="R362" i="35"/>
  <c r="R363" i="35"/>
  <c r="R364" i="35"/>
  <c r="R365" i="35"/>
  <c r="R366" i="35"/>
  <c r="R367" i="35"/>
  <c r="R368" i="35"/>
  <c r="R369" i="35"/>
  <c r="R370" i="35"/>
  <c r="R371" i="35"/>
  <c r="R372" i="35"/>
  <c r="R373" i="35"/>
  <c r="R374" i="35"/>
  <c r="R375" i="35"/>
  <c r="R376" i="35"/>
  <c r="R377" i="35"/>
  <c r="R378" i="35"/>
  <c r="R379" i="35"/>
  <c r="R380" i="35"/>
  <c r="R381" i="35"/>
  <c r="R382" i="35"/>
  <c r="R383" i="35"/>
  <c r="R384" i="35"/>
  <c r="R385" i="35"/>
  <c r="R386" i="35"/>
  <c r="R387" i="35"/>
  <c r="R388" i="35"/>
  <c r="R389" i="35"/>
  <c r="R390" i="35"/>
  <c r="R391" i="35"/>
  <c r="R392" i="35"/>
  <c r="R393" i="35"/>
  <c r="R394" i="35"/>
  <c r="R395" i="35"/>
  <c r="R396" i="35"/>
  <c r="R397" i="35"/>
  <c r="R398" i="35"/>
  <c r="R399" i="35"/>
  <c r="R400" i="35"/>
  <c r="R401" i="35"/>
  <c r="R402" i="35"/>
  <c r="R403" i="35"/>
  <c r="R404" i="35"/>
  <c r="R405" i="35"/>
  <c r="R406" i="35"/>
  <c r="R407" i="35"/>
  <c r="R408" i="35"/>
  <c r="R409" i="35"/>
  <c r="R410" i="35"/>
  <c r="R411" i="35"/>
  <c r="R412" i="35"/>
  <c r="R413" i="35"/>
  <c r="R414" i="35"/>
  <c r="R415" i="35"/>
  <c r="R416" i="35"/>
  <c r="R417" i="35"/>
  <c r="R418" i="35"/>
  <c r="R419" i="35"/>
  <c r="R420" i="35"/>
  <c r="R421" i="35"/>
  <c r="R422" i="35"/>
  <c r="R423" i="35"/>
  <c r="R424" i="35"/>
  <c r="R425" i="35"/>
  <c r="R426" i="35"/>
  <c r="R427" i="35"/>
  <c r="R428" i="35"/>
  <c r="R429" i="35"/>
  <c r="R430" i="35"/>
  <c r="R431" i="35"/>
  <c r="R432" i="35"/>
  <c r="R433" i="35"/>
  <c r="R434" i="35"/>
  <c r="R435" i="35"/>
  <c r="R436" i="35"/>
  <c r="R437" i="35"/>
  <c r="R438" i="35"/>
  <c r="R439" i="35"/>
  <c r="R440" i="35"/>
  <c r="R441" i="35"/>
  <c r="R442" i="35"/>
  <c r="R443" i="35"/>
  <c r="R444" i="35"/>
  <c r="R445" i="35"/>
  <c r="R446" i="35"/>
  <c r="R447" i="35"/>
  <c r="R448" i="35"/>
  <c r="R449" i="35"/>
  <c r="R450" i="35"/>
  <c r="R451" i="35"/>
  <c r="R452" i="35"/>
  <c r="R453" i="35"/>
  <c r="R454" i="35"/>
  <c r="R455" i="35"/>
  <c r="R456" i="35"/>
  <c r="R457" i="35"/>
  <c r="R458" i="35"/>
  <c r="R459" i="35"/>
  <c r="R460" i="35"/>
  <c r="R461" i="35"/>
  <c r="R462" i="35"/>
  <c r="R463" i="35"/>
  <c r="R464" i="35"/>
  <c r="R465" i="35"/>
  <c r="R466" i="35"/>
  <c r="R467" i="35"/>
  <c r="R468" i="35"/>
  <c r="R469" i="35"/>
  <c r="R470" i="35"/>
  <c r="R471" i="35"/>
  <c r="R472" i="35"/>
  <c r="R473" i="35"/>
  <c r="R474" i="35"/>
  <c r="R475" i="35"/>
  <c r="R476" i="35"/>
  <c r="R477" i="35"/>
  <c r="R478" i="35"/>
  <c r="R479" i="35"/>
  <c r="R480" i="35"/>
  <c r="R481" i="35"/>
  <c r="R482" i="35"/>
  <c r="R483" i="35"/>
  <c r="R484" i="35"/>
  <c r="R485" i="35"/>
  <c r="R486" i="35"/>
  <c r="R487" i="35"/>
  <c r="R488" i="35"/>
  <c r="R489" i="35"/>
  <c r="R490" i="35"/>
  <c r="R491" i="35"/>
  <c r="R492" i="35"/>
  <c r="R493" i="35"/>
  <c r="R494" i="35"/>
  <c r="R495" i="35"/>
  <c r="R496" i="35"/>
  <c r="R497" i="35"/>
  <c r="R498" i="35"/>
  <c r="R499" i="35"/>
  <c r="R500" i="35"/>
  <c r="R501" i="35"/>
  <c r="R502" i="35"/>
  <c r="R503" i="35"/>
  <c r="R504" i="35"/>
  <c r="R505" i="35"/>
  <c r="R506" i="35"/>
  <c r="R507" i="35"/>
  <c r="R508" i="35"/>
  <c r="R509" i="35"/>
  <c r="R510" i="35"/>
  <c r="R511" i="35"/>
  <c r="R512" i="35"/>
  <c r="R513" i="35"/>
  <c r="R514" i="35"/>
  <c r="R515" i="35"/>
  <c r="R516" i="35"/>
  <c r="R517" i="35"/>
  <c r="R518" i="35"/>
  <c r="R519" i="35"/>
  <c r="R520" i="35"/>
  <c r="R521" i="35"/>
  <c r="R522" i="35"/>
  <c r="R523" i="35"/>
  <c r="R524" i="35"/>
  <c r="R525" i="35"/>
  <c r="R526" i="35"/>
  <c r="R527" i="35"/>
  <c r="R528" i="35"/>
  <c r="R529" i="35"/>
  <c r="R530" i="35"/>
  <c r="R531" i="35"/>
  <c r="R532" i="35"/>
  <c r="R533" i="35"/>
  <c r="R534" i="35"/>
  <c r="R535" i="35"/>
  <c r="R536" i="35"/>
  <c r="R537" i="35"/>
  <c r="R538" i="35"/>
  <c r="R539" i="35"/>
  <c r="R540" i="35"/>
  <c r="R541" i="35"/>
  <c r="R542" i="35"/>
  <c r="R543" i="35"/>
  <c r="R544" i="35"/>
  <c r="R545" i="35"/>
  <c r="R546" i="35"/>
  <c r="R547" i="35"/>
  <c r="R548" i="35"/>
  <c r="R549" i="35"/>
  <c r="R550" i="35"/>
  <c r="R551" i="35"/>
  <c r="R552" i="35"/>
  <c r="R553" i="35"/>
  <c r="R554" i="35"/>
  <c r="R555" i="35"/>
  <c r="R556" i="35"/>
  <c r="R557" i="35"/>
  <c r="R558" i="35"/>
  <c r="R559" i="35"/>
  <c r="R560" i="35"/>
  <c r="R561" i="35"/>
  <c r="R562" i="35"/>
  <c r="R563" i="35"/>
  <c r="R564" i="35"/>
  <c r="R565" i="35"/>
  <c r="R566" i="35"/>
  <c r="R567" i="35"/>
  <c r="R568" i="35"/>
  <c r="R569" i="35"/>
  <c r="R570" i="35"/>
  <c r="R571" i="35"/>
  <c r="R572" i="35"/>
  <c r="R573" i="35"/>
  <c r="R574" i="35"/>
  <c r="R575" i="35"/>
  <c r="R576" i="35"/>
  <c r="R577" i="35"/>
  <c r="R578" i="35"/>
  <c r="R579" i="35"/>
  <c r="R580" i="35"/>
  <c r="R581" i="35"/>
  <c r="R582" i="35"/>
  <c r="R583" i="35"/>
  <c r="R584" i="35"/>
  <c r="R585" i="35"/>
  <c r="R586" i="35"/>
  <c r="R587" i="35"/>
  <c r="R588" i="35"/>
  <c r="R589" i="35"/>
  <c r="R590" i="35"/>
  <c r="R591" i="35"/>
  <c r="R592" i="35"/>
  <c r="R593" i="35"/>
  <c r="R594" i="35"/>
  <c r="R595" i="35"/>
  <c r="R596" i="35"/>
  <c r="R597" i="35"/>
  <c r="R598" i="35"/>
  <c r="R599" i="35"/>
  <c r="R600" i="35"/>
  <c r="R601" i="35"/>
  <c r="R602" i="35"/>
  <c r="R603" i="35"/>
  <c r="R604" i="35"/>
  <c r="R605" i="35"/>
  <c r="R606" i="35"/>
  <c r="R607" i="35"/>
  <c r="R608" i="35"/>
  <c r="R609" i="35"/>
  <c r="R610" i="35"/>
  <c r="R611" i="35"/>
  <c r="R612" i="35"/>
  <c r="R613" i="35"/>
  <c r="R614" i="35"/>
  <c r="R615" i="35"/>
  <c r="R616" i="35"/>
  <c r="R617" i="35"/>
  <c r="R618" i="35"/>
  <c r="R619" i="35"/>
  <c r="R620" i="35"/>
  <c r="R621" i="35"/>
  <c r="R622" i="35"/>
  <c r="R623" i="35"/>
  <c r="R624" i="35"/>
  <c r="R625" i="35"/>
  <c r="R626" i="35"/>
  <c r="R627" i="35"/>
  <c r="R628" i="35"/>
  <c r="R629" i="35"/>
  <c r="R630" i="35"/>
  <c r="R631" i="35"/>
  <c r="R632" i="35"/>
  <c r="R633" i="35"/>
  <c r="R634" i="35"/>
  <c r="R635" i="35"/>
  <c r="R636" i="35"/>
  <c r="R637" i="35"/>
  <c r="R638" i="35"/>
  <c r="R639" i="35"/>
  <c r="R640" i="35"/>
  <c r="R641" i="35"/>
  <c r="R642" i="35"/>
  <c r="R643" i="35"/>
  <c r="R644" i="35"/>
  <c r="R645" i="35"/>
  <c r="R646" i="35"/>
  <c r="R647" i="35"/>
  <c r="R648" i="35"/>
  <c r="R649" i="35"/>
  <c r="R650" i="35"/>
  <c r="R651" i="35"/>
  <c r="R652" i="35"/>
  <c r="R653" i="35"/>
  <c r="R654" i="35"/>
  <c r="R655" i="35"/>
  <c r="R656" i="35"/>
  <c r="R657" i="35"/>
  <c r="R658" i="35"/>
  <c r="R659" i="35"/>
  <c r="R660" i="35"/>
  <c r="R661" i="35"/>
  <c r="R662" i="35"/>
  <c r="R663" i="35"/>
  <c r="R664" i="35"/>
  <c r="R665" i="35"/>
  <c r="R666" i="35"/>
  <c r="R667" i="35"/>
  <c r="R668" i="35"/>
  <c r="R669" i="35"/>
  <c r="R670" i="35"/>
  <c r="R671" i="35"/>
  <c r="R672" i="35"/>
  <c r="R673" i="35"/>
  <c r="R674" i="35"/>
  <c r="R675" i="35"/>
  <c r="R676" i="35"/>
  <c r="R677" i="35"/>
  <c r="R678" i="35"/>
  <c r="R679" i="35"/>
  <c r="R680" i="35"/>
  <c r="R681" i="35"/>
  <c r="R682" i="35"/>
  <c r="R683" i="35"/>
  <c r="R684" i="35"/>
  <c r="R685" i="35"/>
  <c r="R686" i="35"/>
  <c r="R687" i="35"/>
  <c r="R688" i="35"/>
  <c r="R689" i="35"/>
  <c r="R690" i="35"/>
  <c r="R691" i="35"/>
  <c r="R692" i="35"/>
  <c r="R693" i="35"/>
  <c r="R694" i="35"/>
  <c r="R695" i="35"/>
  <c r="R696" i="35"/>
  <c r="R697" i="35"/>
  <c r="R698" i="35"/>
  <c r="R699" i="35"/>
  <c r="R700" i="35"/>
  <c r="R701" i="35"/>
  <c r="R702" i="35"/>
  <c r="R703" i="35"/>
  <c r="R704" i="35"/>
  <c r="R705" i="35"/>
  <c r="R706" i="35"/>
  <c r="R707" i="35"/>
  <c r="R708" i="35"/>
  <c r="R709" i="35"/>
  <c r="R710" i="35"/>
  <c r="R711" i="35"/>
  <c r="R712" i="35"/>
  <c r="R713" i="35"/>
  <c r="R714" i="35"/>
  <c r="R715" i="35"/>
  <c r="R716" i="35"/>
  <c r="R717" i="35"/>
  <c r="R718" i="35"/>
  <c r="R719" i="35"/>
  <c r="R720" i="35"/>
  <c r="R721" i="35"/>
  <c r="R722" i="35"/>
  <c r="R723" i="35"/>
  <c r="R724" i="35"/>
  <c r="R725" i="35"/>
  <c r="R726" i="35"/>
  <c r="R727" i="35"/>
  <c r="R728" i="35"/>
  <c r="R729" i="35"/>
  <c r="R730" i="35"/>
  <c r="R731" i="35"/>
  <c r="R732" i="35"/>
  <c r="R733" i="35"/>
  <c r="R734" i="35"/>
  <c r="R735" i="35"/>
  <c r="R736" i="35"/>
  <c r="R737" i="35"/>
  <c r="R738" i="35"/>
  <c r="R739" i="35"/>
  <c r="R740" i="35"/>
  <c r="R741" i="35"/>
  <c r="R742" i="35"/>
  <c r="R743" i="35"/>
  <c r="R744" i="35"/>
  <c r="R745" i="35"/>
  <c r="R746" i="35"/>
  <c r="R747" i="35"/>
  <c r="R748" i="35"/>
  <c r="R749" i="35"/>
  <c r="R750" i="35"/>
  <c r="R751" i="35"/>
  <c r="R752" i="35"/>
  <c r="R753" i="35"/>
  <c r="R754" i="35"/>
  <c r="R755" i="35"/>
  <c r="R756" i="35"/>
  <c r="R757" i="35"/>
  <c r="R758" i="35"/>
  <c r="R759" i="35"/>
  <c r="R760" i="35"/>
  <c r="R761" i="35"/>
  <c r="R762" i="35"/>
  <c r="R763" i="35"/>
  <c r="R764" i="35"/>
  <c r="R765" i="35"/>
  <c r="R766" i="35"/>
  <c r="R767" i="35"/>
  <c r="R768" i="35"/>
  <c r="R769" i="35"/>
  <c r="R770" i="35"/>
  <c r="R771" i="35"/>
  <c r="R772" i="35"/>
  <c r="R773" i="35"/>
  <c r="R774" i="35"/>
  <c r="R775" i="35"/>
  <c r="R776" i="35"/>
  <c r="R777" i="35"/>
  <c r="R778" i="35"/>
  <c r="R779" i="35"/>
  <c r="R780" i="35"/>
  <c r="R781" i="35"/>
  <c r="R782" i="35"/>
  <c r="R783" i="35"/>
  <c r="R784" i="35"/>
  <c r="R785" i="35"/>
  <c r="R786" i="35"/>
  <c r="R787" i="35"/>
  <c r="R788" i="35"/>
  <c r="R789" i="35"/>
  <c r="R790" i="35"/>
  <c r="R791" i="35"/>
  <c r="R792" i="35"/>
  <c r="R793" i="35"/>
  <c r="R794" i="35"/>
  <c r="R795" i="35"/>
  <c r="R796" i="35"/>
  <c r="R797" i="35"/>
  <c r="R798" i="35"/>
  <c r="R799" i="35"/>
  <c r="R800" i="35"/>
  <c r="R801" i="35"/>
  <c r="R802" i="35"/>
  <c r="R803" i="35"/>
  <c r="R804" i="35"/>
  <c r="R805" i="35"/>
  <c r="R806" i="35"/>
  <c r="R807" i="35"/>
  <c r="R808" i="35"/>
  <c r="R809" i="35"/>
  <c r="R810" i="35"/>
  <c r="R811" i="35"/>
  <c r="R812" i="35"/>
  <c r="R813" i="35"/>
  <c r="R814" i="35"/>
  <c r="R815" i="35"/>
  <c r="R816" i="35"/>
  <c r="R817" i="35"/>
  <c r="R818" i="35"/>
  <c r="R819" i="35"/>
  <c r="R820" i="35"/>
  <c r="R821" i="35"/>
  <c r="R822" i="35"/>
  <c r="R823" i="35"/>
  <c r="R824" i="35"/>
  <c r="R825" i="35"/>
  <c r="R826" i="35"/>
  <c r="R827" i="35"/>
  <c r="R828" i="35"/>
  <c r="R829" i="35"/>
  <c r="R830" i="35"/>
  <c r="R831" i="35"/>
  <c r="R832" i="35"/>
  <c r="R833" i="35"/>
  <c r="R834" i="35"/>
  <c r="R835" i="35"/>
  <c r="R836" i="35"/>
  <c r="R837" i="35"/>
  <c r="R838" i="35"/>
  <c r="R839" i="35"/>
  <c r="R840" i="35"/>
  <c r="R841" i="35"/>
  <c r="R842" i="35"/>
  <c r="R843" i="35"/>
  <c r="R844" i="35"/>
  <c r="R845" i="35"/>
  <c r="R846" i="35"/>
  <c r="R847" i="35"/>
  <c r="R848" i="35"/>
  <c r="R849" i="35"/>
  <c r="R850" i="35"/>
  <c r="R851" i="35"/>
  <c r="R852" i="35"/>
  <c r="R853" i="35"/>
  <c r="R854" i="35"/>
  <c r="R855" i="35"/>
  <c r="R856" i="35"/>
  <c r="R857" i="35"/>
  <c r="R858" i="35"/>
  <c r="R859" i="35"/>
  <c r="R860" i="35"/>
  <c r="R861" i="35"/>
  <c r="R862" i="35"/>
  <c r="R863" i="35"/>
  <c r="R864" i="35"/>
  <c r="R865" i="35"/>
  <c r="R866" i="35"/>
  <c r="R867" i="35"/>
  <c r="R868" i="35"/>
  <c r="R869" i="35"/>
  <c r="R870" i="35"/>
  <c r="R871" i="35"/>
  <c r="R872" i="35"/>
  <c r="R873" i="35"/>
  <c r="R874" i="35"/>
  <c r="R875" i="35"/>
  <c r="R876" i="35"/>
  <c r="R877" i="35"/>
  <c r="R878" i="35"/>
  <c r="R879" i="35"/>
  <c r="R880" i="35"/>
  <c r="R881" i="35"/>
  <c r="R882" i="35"/>
  <c r="R883" i="35"/>
  <c r="R884" i="35"/>
  <c r="R885" i="35"/>
  <c r="R886" i="35"/>
  <c r="R887" i="35"/>
  <c r="R888" i="35"/>
  <c r="R889" i="35"/>
  <c r="R890" i="35"/>
  <c r="R891" i="35"/>
  <c r="R892" i="35"/>
  <c r="R893" i="35"/>
  <c r="R894" i="35"/>
  <c r="R895" i="35"/>
  <c r="R896" i="35"/>
  <c r="R897" i="35"/>
  <c r="R898" i="35"/>
  <c r="R899" i="35"/>
  <c r="R900" i="35"/>
  <c r="R901" i="35"/>
  <c r="R902" i="35"/>
  <c r="R903" i="35"/>
  <c r="R904" i="35"/>
  <c r="R905" i="35"/>
  <c r="R906" i="35"/>
  <c r="R907" i="35"/>
  <c r="R908" i="35"/>
  <c r="R909" i="35"/>
  <c r="R910" i="35"/>
  <c r="R911" i="35"/>
  <c r="R912" i="35"/>
  <c r="R913" i="35"/>
  <c r="R914" i="35"/>
  <c r="R915" i="35"/>
  <c r="R916" i="35"/>
  <c r="R917" i="35"/>
  <c r="R918" i="35"/>
  <c r="R919" i="35"/>
  <c r="R920" i="35"/>
  <c r="R921" i="35"/>
  <c r="R922" i="35"/>
  <c r="R923" i="35"/>
  <c r="R924" i="35"/>
  <c r="R925" i="35"/>
  <c r="R926" i="35"/>
  <c r="R927" i="35"/>
  <c r="R928" i="35"/>
  <c r="R929" i="35"/>
  <c r="R930" i="35"/>
  <c r="R931" i="35"/>
  <c r="R932" i="35"/>
  <c r="R933" i="35"/>
  <c r="R934" i="35"/>
  <c r="R935" i="35"/>
  <c r="R936" i="35"/>
  <c r="R937" i="35"/>
  <c r="R938" i="35"/>
  <c r="R939" i="35"/>
  <c r="R940" i="35"/>
  <c r="R941" i="35"/>
  <c r="R942" i="35"/>
  <c r="R943" i="35"/>
  <c r="R944" i="35"/>
  <c r="R945" i="35"/>
  <c r="R946" i="35"/>
  <c r="R947" i="35"/>
  <c r="R948" i="35"/>
  <c r="R949" i="35"/>
  <c r="R950" i="35"/>
  <c r="R951" i="35"/>
  <c r="R952" i="35"/>
  <c r="R953" i="35"/>
  <c r="R954" i="35"/>
  <c r="R955" i="35"/>
  <c r="R956" i="35"/>
  <c r="R957" i="35"/>
  <c r="R958" i="35"/>
  <c r="R959" i="35"/>
  <c r="R960" i="35"/>
  <c r="R961" i="35"/>
  <c r="R962" i="35"/>
  <c r="R963" i="35"/>
  <c r="R964" i="35"/>
  <c r="R965" i="35"/>
  <c r="R966" i="35"/>
  <c r="R967" i="35"/>
  <c r="R968" i="35"/>
  <c r="R969" i="35"/>
  <c r="R970" i="35"/>
  <c r="R971" i="35"/>
  <c r="R972" i="35"/>
  <c r="R973" i="35"/>
  <c r="R974" i="35"/>
  <c r="R975" i="35"/>
  <c r="R976" i="35"/>
  <c r="R977" i="35"/>
  <c r="R978" i="35"/>
  <c r="R979" i="35"/>
  <c r="R980" i="35"/>
  <c r="R981" i="35"/>
  <c r="R982" i="35"/>
  <c r="R983" i="35"/>
  <c r="R984" i="35"/>
  <c r="R985" i="35"/>
  <c r="R986" i="35"/>
  <c r="R987" i="35"/>
  <c r="R988" i="35"/>
  <c r="R989" i="35"/>
  <c r="R990" i="35"/>
  <c r="R991" i="35"/>
  <c r="R992" i="35"/>
  <c r="R993" i="35"/>
  <c r="R994" i="35"/>
  <c r="R995" i="35"/>
  <c r="R996" i="35"/>
  <c r="R997" i="35"/>
  <c r="R998" i="35"/>
  <c r="R999" i="35"/>
  <c r="R1000" i="35"/>
  <c r="R1001" i="35"/>
  <c r="R1002" i="35"/>
  <c r="R1003" i="35"/>
  <c r="R1004" i="35"/>
  <c r="R1005" i="35"/>
  <c r="R1006" i="35"/>
  <c r="R1007" i="35"/>
  <c r="R1008" i="35"/>
  <c r="R1009" i="35"/>
  <c r="R1010" i="35"/>
  <c r="R1011" i="35"/>
  <c r="R1012" i="35"/>
  <c r="R1013" i="35"/>
  <c r="R1014" i="35"/>
  <c r="R1015" i="35"/>
  <c r="R1016" i="35"/>
  <c r="R1017" i="35"/>
  <c r="R1018" i="35"/>
  <c r="R1019" i="35"/>
  <c r="R1020" i="35"/>
  <c r="R1021" i="35"/>
  <c r="R1022" i="35"/>
  <c r="R1023" i="35"/>
  <c r="R1024" i="35"/>
  <c r="R1025" i="35"/>
  <c r="R1026" i="35"/>
  <c r="R1027" i="35"/>
  <c r="R1028" i="35"/>
  <c r="R1029" i="35"/>
  <c r="R1030" i="35"/>
  <c r="R1031" i="35"/>
  <c r="R1032" i="35"/>
  <c r="R1033" i="35"/>
  <c r="R1034" i="35"/>
  <c r="R1035" i="35"/>
  <c r="R1036" i="35"/>
  <c r="R1037" i="35"/>
  <c r="R1038" i="35"/>
  <c r="R1039" i="35"/>
  <c r="R1040" i="35"/>
  <c r="R1041" i="35"/>
  <c r="R1042" i="35"/>
  <c r="R1043" i="35"/>
  <c r="R1044" i="35"/>
  <c r="R1045" i="35"/>
  <c r="R1046" i="35"/>
  <c r="R1047" i="35"/>
  <c r="R1048" i="35"/>
  <c r="R1049" i="35"/>
  <c r="R1050" i="35"/>
  <c r="R1051" i="35"/>
  <c r="R1052" i="35"/>
  <c r="R1053" i="35"/>
  <c r="R1054" i="35"/>
  <c r="R1055" i="35"/>
  <c r="R1056" i="35"/>
  <c r="R1057" i="35"/>
  <c r="R1058" i="35"/>
  <c r="R1059" i="35"/>
  <c r="R1060" i="35"/>
  <c r="R1061" i="35"/>
  <c r="R1062" i="35"/>
  <c r="R1063" i="35"/>
  <c r="R1064" i="35"/>
  <c r="R1065" i="35"/>
  <c r="R1066" i="35"/>
  <c r="R1067" i="35"/>
  <c r="R1068" i="35"/>
  <c r="R1069" i="35"/>
  <c r="R1070" i="35"/>
  <c r="R1071" i="35"/>
  <c r="R1072" i="35"/>
  <c r="R1073" i="35"/>
  <c r="R1074" i="35"/>
  <c r="R1075" i="35"/>
  <c r="R1076" i="35"/>
  <c r="R1077" i="35"/>
  <c r="R1078" i="35"/>
  <c r="R1079" i="35"/>
  <c r="R1080" i="35"/>
  <c r="R1081" i="35"/>
  <c r="R1082" i="35"/>
  <c r="R1083" i="35"/>
  <c r="R1084" i="35"/>
  <c r="R1085" i="35"/>
  <c r="R1086" i="35"/>
  <c r="R1087" i="35"/>
  <c r="R1088" i="35"/>
  <c r="R1089" i="35"/>
  <c r="R1090" i="35"/>
  <c r="R1091" i="35"/>
  <c r="R1092" i="35"/>
  <c r="R1093" i="35"/>
  <c r="R1094" i="35"/>
  <c r="R1095" i="35"/>
  <c r="R1096" i="35"/>
  <c r="R1097" i="35"/>
  <c r="R1098" i="35"/>
  <c r="R1099" i="35"/>
  <c r="R1100" i="35"/>
  <c r="R1101" i="35"/>
  <c r="R1102" i="35"/>
  <c r="R1103" i="35"/>
  <c r="R1104" i="35"/>
  <c r="R1105" i="35"/>
  <c r="R1106" i="35"/>
  <c r="R1107" i="35"/>
  <c r="R1108" i="35"/>
  <c r="R1109" i="35"/>
  <c r="R1110" i="35"/>
  <c r="R1111" i="35"/>
  <c r="R1112" i="35"/>
  <c r="R1113" i="35"/>
  <c r="R1114" i="35"/>
  <c r="R1115" i="35"/>
  <c r="R1116" i="35"/>
  <c r="R1117" i="35"/>
  <c r="R1118" i="35"/>
  <c r="R1119" i="35"/>
  <c r="R1120" i="35"/>
  <c r="R1121" i="35"/>
  <c r="R1122" i="35"/>
  <c r="R1123" i="35"/>
  <c r="R1124" i="35"/>
  <c r="R1125" i="35"/>
  <c r="R1126" i="35"/>
  <c r="R1127" i="35"/>
  <c r="R1128" i="35"/>
  <c r="R1129" i="35"/>
  <c r="R1130" i="35"/>
  <c r="R1131" i="35"/>
  <c r="R1132" i="35"/>
  <c r="R1133" i="35"/>
  <c r="R1134" i="35"/>
  <c r="R1135" i="35"/>
  <c r="R1136" i="35"/>
  <c r="R1137" i="35"/>
  <c r="R1138" i="35"/>
  <c r="R1139" i="35"/>
  <c r="R1140" i="35"/>
  <c r="R1141" i="35"/>
  <c r="R1142" i="35"/>
  <c r="R1143" i="35"/>
  <c r="R1144" i="35"/>
  <c r="R1145" i="35"/>
  <c r="R1146" i="35"/>
  <c r="R1147" i="35"/>
  <c r="R1148" i="35"/>
  <c r="R1149" i="35"/>
  <c r="R1150" i="35"/>
  <c r="R1151" i="35"/>
  <c r="R1152" i="35"/>
  <c r="R1153" i="35"/>
  <c r="R1154" i="35"/>
  <c r="R1155" i="35"/>
  <c r="R1156" i="35"/>
  <c r="R1157" i="35"/>
  <c r="R1158" i="35"/>
  <c r="R1159" i="35"/>
  <c r="R1160" i="35"/>
  <c r="R1161" i="35"/>
  <c r="R1162" i="35"/>
  <c r="R1163" i="35"/>
  <c r="R1164" i="35"/>
  <c r="R1165" i="35"/>
  <c r="R1166" i="35"/>
  <c r="R1167" i="35"/>
  <c r="R1168" i="35"/>
  <c r="R1169" i="35"/>
  <c r="R1170" i="35"/>
  <c r="R1171" i="35"/>
  <c r="R1172" i="35"/>
  <c r="R1173" i="35"/>
  <c r="R1174" i="35"/>
  <c r="R1175" i="35"/>
  <c r="R1176" i="35"/>
  <c r="R1177" i="35"/>
  <c r="R1178" i="35"/>
  <c r="R1179" i="35"/>
  <c r="R1180" i="35"/>
  <c r="R1181" i="35"/>
  <c r="R1182" i="35"/>
  <c r="R1183" i="35"/>
  <c r="R1184" i="35"/>
  <c r="R1185" i="35"/>
  <c r="R1186" i="35"/>
  <c r="R1187" i="35"/>
  <c r="R1188" i="35"/>
  <c r="R1189" i="35"/>
  <c r="R1190" i="35"/>
  <c r="R1191" i="35"/>
  <c r="R1192" i="35"/>
  <c r="R1193" i="35"/>
  <c r="R1194" i="35"/>
  <c r="R1195" i="35"/>
  <c r="R1196" i="35"/>
  <c r="R1197" i="35"/>
  <c r="R1198" i="35"/>
  <c r="R1199" i="35"/>
  <c r="R1200" i="35"/>
  <c r="R1201" i="35"/>
  <c r="R1202" i="35"/>
  <c r="R1203" i="35"/>
  <c r="R1204" i="35"/>
  <c r="R1205" i="35"/>
  <c r="R1206" i="35"/>
  <c r="R1207" i="35"/>
  <c r="R1208" i="35"/>
  <c r="R1209" i="35"/>
  <c r="R1210" i="35"/>
  <c r="R1211" i="35"/>
  <c r="R1212" i="35"/>
  <c r="R1213" i="35"/>
  <c r="R1214" i="35"/>
  <c r="R1215" i="35"/>
  <c r="R1216" i="35"/>
  <c r="R1217" i="35"/>
  <c r="R1218" i="35"/>
  <c r="R1219" i="35"/>
  <c r="R1220" i="35"/>
  <c r="R1221" i="35"/>
  <c r="R1222" i="35"/>
  <c r="R1223" i="35"/>
  <c r="R1224" i="35"/>
  <c r="R1225" i="35"/>
  <c r="R1226" i="35"/>
  <c r="R1227" i="35"/>
  <c r="R1228" i="35"/>
  <c r="R1229" i="35"/>
  <c r="R1230" i="35"/>
  <c r="R1231" i="35"/>
  <c r="R1232" i="35"/>
  <c r="R1233" i="35"/>
  <c r="R1234" i="35"/>
  <c r="R1235" i="35"/>
  <c r="R1236" i="35"/>
  <c r="R1237" i="35"/>
  <c r="R1238" i="35"/>
  <c r="R1239" i="35"/>
  <c r="R1240" i="35"/>
  <c r="R1241" i="35"/>
  <c r="R1242" i="35"/>
  <c r="R1243" i="35"/>
  <c r="R1244" i="35"/>
  <c r="R1245" i="35"/>
  <c r="R1246" i="35"/>
  <c r="R1247" i="35"/>
  <c r="R1248" i="35"/>
  <c r="R1249" i="35"/>
  <c r="R1250" i="35"/>
  <c r="R1251" i="35"/>
  <c r="R1252" i="35"/>
  <c r="R1253" i="35"/>
  <c r="R1254" i="35"/>
  <c r="R1255" i="35"/>
  <c r="R1256" i="35"/>
  <c r="R1257" i="35"/>
  <c r="R1258" i="35"/>
  <c r="R1259" i="35"/>
  <c r="R1260" i="35"/>
  <c r="R1261" i="35"/>
  <c r="R1262" i="35"/>
  <c r="R1263" i="35"/>
  <c r="R1264" i="35"/>
  <c r="R1265" i="35"/>
  <c r="R1266" i="35"/>
  <c r="R1267" i="35"/>
  <c r="R1268" i="35"/>
  <c r="R1269" i="35"/>
  <c r="R1270" i="35"/>
  <c r="R1271" i="35"/>
  <c r="R1272" i="35"/>
  <c r="R1273" i="35"/>
  <c r="R1274" i="35"/>
  <c r="R1275" i="35"/>
  <c r="R1276" i="35"/>
  <c r="R1277" i="35"/>
  <c r="R1278" i="35"/>
  <c r="R1279" i="35"/>
  <c r="R1280" i="35"/>
  <c r="R1281" i="35"/>
  <c r="R1282" i="35"/>
  <c r="R1283" i="35"/>
  <c r="R1284" i="35"/>
  <c r="R1285" i="35"/>
  <c r="R1286" i="35"/>
  <c r="R1287" i="35"/>
  <c r="R1288" i="35"/>
  <c r="R1289" i="35"/>
  <c r="R1290" i="35"/>
  <c r="R1291" i="35"/>
  <c r="R1292" i="35"/>
  <c r="R1293" i="35"/>
  <c r="R1294" i="35"/>
  <c r="R1295" i="35"/>
  <c r="R1296" i="35"/>
  <c r="R1297" i="35"/>
  <c r="R1298" i="35"/>
  <c r="R1299" i="35"/>
  <c r="R1300" i="35"/>
  <c r="R1301" i="35"/>
  <c r="R1302" i="35"/>
  <c r="R1303" i="35"/>
  <c r="R1304" i="35"/>
  <c r="R1305" i="35"/>
  <c r="R1306" i="35"/>
  <c r="R1307" i="35"/>
  <c r="R1308" i="35"/>
  <c r="R1309" i="35"/>
  <c r="R1310" i="35"/>
  <c r="R1311" i="35"/>
  <c r="R1312" i="35"/>
  <c r="R1313" i="35"/>
  <c r="R1314" i="35"/>
  <c r="R1315" i="35"/>
  <c r="R1316" i="35"/>
  <c r="R1317" i="35"/>
  <c r="R1318" i="35"/>
  <c r="R1319" i="35"/>
  <c r="R1320" i="35"/>
  <c r="R1321" i="35"/>
  <c r="R1322" i="35"/>
  <c r="R1323" i="35"/>
  <c r="R1324" i="35"/>
  <c r="R1325" i="35"/>
  <c r="R1326" i="35"/>
  <c r="R1327" i="35"/>
  <c r="R1328" i="35"/>
  <c r="R1329" i="35"/>
  <c r="R1330" i="35"/>
  <c r="R1331" i="35"/>
  <c r="R1332" i="35"/>
  <c r="R1333" i="35"/>
  <c r="R1334" i="35"/>
  <c r="R1335" i="35"/>
  <c r="R1336" i="35"/>
  <c r="R1337" i="35"/>
  <c r="R1338" i="35"/>
  <c r="R1339" i="35"/>
  <c r="R1340" i="35"/>
  <c r="R1341" i="35"/>
  <c r="R1342" i="35"/>
  <c r="R1343" i="35"/>
  <c r="R1344" i="35"/>
  <c r="R1345" i="35"/>
  <c r="R1346" i="35"/>
  <c r="R1347" i="35"/>
  <c r="R1348" i="35"/>
  <c r="R1349" i="35"/>
  <c r="R1350" i="35"/>
  <c r="R1351" i="35"/>
  <c r="R1352" i="35"/>
  <c r="R1353" i="35"/>
  <c r="R1354" i="35"/>
  <c r="R1355" i="35"/>
  <c r="R1356" i="35"/>
  <c r="R1357" i="35"/>
  <c r="R1358" i="35"/>
  <c r="R1359" i="35"/>
  <c r="R1360" i="35"/>
  <c r="R1361" i="35"/>
  <c r="R1362" i="35"/>
  <c r="R1363" i="35"/>
  <c r="R1364" i="35"/>
  <c r="R1365" i="35"/>
  <c r="R1366" i="35"/>
  <c r="R1367" i="35"/>
  <c r="R1368" i="35"/>
  <c r="R1369" i="35"/>
  <c r="R1370" i="35"/>
  <c r="R1371" i="35"/>
  <c r="R1372" i="35"/>
  <c r="R1373" i="35"/>
  <c r="R1374" i="35"/>
  <c r="R1375" i="35"/>
  <c r="R1376" i="35"/>
  <c r="R1377" i="35"/>
  <c r="R1378" i="35"/>
  <c r="R1379" i="35"/>
  <c r="R1380" i="35"/>
  <c r="R1381" i="35"/>
  <c r="R1382" i="35"/>
  <c r="R1383" i="35"/>
  <c r="R1384" i="35"/>
  <c r="R1385" i="35"/>
  <c r="R1386" i="35"/>
  <c r="R1387" i="35"/>
  <c r="R1388" i="35"/>
  <c r="R1389" i="35"/>
  <c r="R1390" i="35"/>
  <c r="R1391" i="35"/>
  <c r="R1392" i="35"/>
  <c r="R1393" i="35"/>
  <c r="R1394" i="35"/>
  <c r="R1395" i="35"/>
  <c r="R1396" i="35"/>
  <c r="R1397" i="35"/>
  <c r="R1398" i="35"/>
  <c r="R1399" i="35"/>
  <c r="R1400" i="35"/>
  <c r="R1401" i="35"/>
  <c r="R1402" i="35"/>
  <c r="R1403" i="35"/>
  <c r="R1404" i="35"/>
  <c r="R1405" i="35"/>
  <c r="R1406" i="35"/>
  <c r="R1407" i="35"/>
  <c r="R1408" i="35"/>
  <c r="R1409" i="35"/>
  <c r="R1410" i="35"/>
  <c r="R1411" i="35"/>
  <c r="R1412" i="35"/>
  <c r="R1413" i="35"/>
  <c r="R1414" i="35"/>
  <c r="R1415" i="35"/>
  <c r="R1416" i="35"/>
  <c r="R1417" i="35"/>
  <c r="R1418" i="35"/>
  <c r="R1419" i="35"/>
  <c r="R1420" i="35"/>
  <c r="R1421" i="35"/>
  <c r="R1422" i="35"/>
  <c r="R1423" i="35"/>
  <c r="R1424" i="35"/>
  <c r="R1425" i="35"/>
  <c r="R1426" i="35"/>
  <c r="R1427" i="35"/>
  <c r="R1428" i="35"/>
  <c r="R1429" i="35"/>
  <c r="R1430" i="35"/>
  <c r="R1431" i="35"/>
  <c r="R1432" i="35"/>
  <c r="R1433" i="35"/>
  <c r="R1434" i="35"/>
  <c r="R1435" i="35"/>
  <c r="R1436" i="35"/>
  <c r="R1437" i="35"/>
  <c r="R1438" i="35"/>
  <c r="R1439" i="35"/>
  <c r="R1440" i="35"/>
  <c r="R1441" i="35"/>
  <c r="R1442" i="35"/>
  <c r="R1443" i="35"/>
  <c r="R1444" i="35"/>
  <c r="R1445" i="35"/>
  <c r="R1446" i="35"/>
  <c r="R1447" i="35"/>
  <c r="R1448" i="35"/>
  <c r="R1449" i="35"/>
  <c r="R1450" i="35"/>
  <c r="R1451" i="35"/>
  <c r="R1452" i="35"/>
  <c r="S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132" i="35"/>
  <c r="S133" i="35"/>
  <c r="S134" i="35"/>
  <c r="S135" i="35"/>
  <c r="S136" i="35"/>
  <c r="S137" i="35"/>
  <c r="S138" i="35"/>
  <c r="S139" i="35"/>
  <c r="S140" i="35"/>
  <c r="S141" i="35"/>
  <c r="S142" i="35"/>
  <c r="S143" i="35"/>
  <c r="S144" i="35"/>
  <c r="S145" i="35"/>
  <c r="S146" i="35"/>
  <c r="S147" i="35"/>
  <c r="S148" i="35"/>
  <c r="S149" i="35"/>
  <c r="S150" i="35"/>
  <c r="S151" i="35"/>
  <c r="S152" i="35"/>
  <c r="S153" i="35"/>
  <c r="S154" i="35"/>
  <c r="S155" i="35"/>
  <c r="S156" i="35"/>
  <c r="S157" i="35"/>
  <c r="S158" i="35"/>
  <c r="S159" i="35"/>
  <c r="S160" i="35"/>
  <c r="S161" i="35"/>
  <c r="S162" i="35"/>
  <c r="S163" i="35"/>
  <c r="S164" i="35"/>
  <c r="S165" i="35"/>
  <c r="S166" i="35"/>
  <c r="S167" i="35"/>
  <c r="S168" i="35"/>
  <c r="S169" i="35"/>
  <c r="S170" i="35"/>
  <c r="S171" i="35"/>
  <c r="S172" i="35"/>
  <c r="S173" i="35"/>
  <c r="S174" i="35"/>
  <c r="S175" i="35"/>
  <c r="S176" i="35"/>
  <c r="S177" i="35"/>
  <c r="S178" i="35"/>
  <c r="S179" i="35"/>
  <c r="S180" i="35"/>
  <c r="S181" i="35"/>
  <c r="S182" i="35"/>
  <c r="S183" i="35"/>
  <c r="S184" i="35"/>
  <c r="S185" i="35"/>
  <c r="S186" i="35"/>
  <c r="S187" i="35"/>
  <c r="S188" i="35"/>
  <c r="S189" i="35"/>
  <c r="S190" i="35"/>
  <c r="S191" i="35"/>
  <c r="S192" i="35"/>
  <c r="S193" i="35"/>
  <c r="S194" i="35"/>
  <c r="S195" i="35"/>
  <c r="S196" i="35"/>
  <c r="S197" i="35"/>
  <c r="S198" i="35"/>
  <c r="S199" i="35"/>
  <c r="S200" i="35"/>
  <c r="S201" i="35"/>
  <c r="S202" i="35"/>
  <c r="S203" i="35"/>
  <c r="S204" i="35"/>
  <c r="S205" i="35"/>
  <c r="S206" i="35"/>
  <c r="S207" i="35"/>
  <c r="S208" i="35"/>
  <c r="S209" i="35"/>
  <c r="S210" i="35"/>
  <c r="S211" i="35"/>
  <c r="S212" i="35"/>
  <c r="S213" i="35"/>
  <c r="S214" i="35"/>
  <c r="S215" i="35"/>
  <c r="S216" i="35"/>
  <c r="S217" i="35"/>
  <c r="S218" i="35"/>
  <c r="S219" i="35"/>
  <c r="S220" i="35"/>
  <c r="S221" i="35"/>
  <c r="S222" i="35"/>
  <c r="S223" i="35"/>
  <c r="S224" i="35"/>
  <c r="S225" i="35"/>
  <c r="S226" i="35"/>
  <c r="S227" i="35"/>
  <c r="S228" i="35"/>
  <c r="S229" i="35"/>
  <c r="S230" i="35"/>
  <c r="S231" i="35"/>
  <c r="S232" i="35"/>
  <c r="S233" i="35"/>
  <c r="S234" i="35"/>
  <c r="S235" i="35"/>
  <c r="S236" i="35"/>
  <c r="S237" i="35"/>
  <c r="S238" i="35"/>
  <c r="S239" i="35"/>
  <c r="S240" i="35"/>
  <c r="S241" i="35"/>
  <c r="S242" i="35"/>
  <c r="S243" i="35"/>
  <c r="S244" i="35"/>
  <c r="S245" i="35"/>
  <c r="S246" i="35"/>
  <c r="S247" i="35"/>
  <c r="S248" i="35"/>
  <c r="S249" i="35"/>
  <c r="S250" i="35"/>
  <c r="S251" i="35"/>
  <c r="S252" i="35"/>
  <c r="S253" i="35"/>
  <c r="S254" i="35"/>
  <c r="S255" i="35"/>
  <c r="S256" i="35"/>
  <c r="S257" i="35"/>
  <c r="S258" i="35"/>
  <c r="S259" i="35"/>
  <c r="S260" i="35"/>
  <c r="S261" i="35"/>
  <c r="S262" i="35"/>
  <c r="S263" i="35"/>
  <c r="S264" i="35"/>
  <c r="S265" i="35"/>
  <c r="S266" i="35"/>
  <c r="S267" i="35"/>
  <c r="S268" i="35"/>
  <c r="S269" i="35"/>
  <c r="S270" i="35"/>
  <c r="S271" i="35"/>
  <c r="S272" i="35"/>
  <c r="S273" i="35"/>
  <c r="S274" i="35"/>
  <c r="S275" i="35"/>
  <c r="S276" i="35"/>
  <c r="S277" i="35"/>
  <c r="S278" i="35"/>
  <c r="S279" i="35"/>
  <c r="S280" i="35"/>
  <c r="S281" i="35"/>
  <c r="S282" i="35"/>
  <c r="S283" i="35"/>
  <c r="S284" i="35"/>
  <c r="S285" i="35"/>
  <c r="S286" i="35"/>
  <c r="S287" i="35"/>
  <c r="S288" i="35"/>
  <c r="S289" i="35"/>
  <c r="S290" i="35"/>
  <c r="S291" i="35"/>
  <c r="S292" i="35"/>
  <c r="S293" i="35"/>
  <c r="S294" i="35"/>
  <c r="S295" i="35"/>
  <c r="S296" i="35"/>
  <c r="S297" i="35"/>
  <c r="S298" i="35"/>
  <c r="S299" i="35"/>
  <c r="S300" i="35"/>
  <c r="S301" i="35"/>
  <c r="S302" i="35"/>
  <c r="S303" i="35"/>
  <c r="S304" i="35"/>
  <c r="S305" i="35"/>
  <c r="S306" i="35"/>
  <c r="S307" i="35"/>
  <c r="S308" i="35"/>
  <c r="S309" i="35"/>
  <c r="S310" i="35"/>
  <c r="S311" i="35"/>
  <c r="S312" i="35"/>
  <c r="S313" i="35"/>
  <c r="S314" i="35"/>
  <c r="S315" i="35"/>
  <c r="S316" i="35"/>
  <c r="S317" i="35"/>
  <c r="S318" i="35"/>
  <c r="S319" i="35"/>
  <c r="S320" i="35"/>
  <c r="S321" i="35"/>
  <c r="S322" i="35"/>
  <c r="S323" i="35"/>
  <c r="S324" i="35"/>
  <c r="S325" i="35"/>
  <c r="S326" i="35"/>
  <c r="S327" i="35"/>
  <c r="S328" i="35"/>
  <c r="S329" i="35"/>
  <c r="S330" i="35"/>
  <c r="S331" i="35"/>
  <c r="S332" i="35"/>
  <c r="S333" i="35"/>
  <c r="S334" i="35"/>
  <c r="S335" i="35"/>
  <c r="S336" i="35"/>
  <c r="S337" i="35"/>
  <c r="S338" i="35"/>
  <c r="S339" i="35"/>
  <c r="S340" i="35"/>
  <c r="S341" i="35"/>
  <c r="S342" i="35"/>
  <c r="S343" i="35"/>
  <c r="S344" i="35"/>
  <c r="S345" i="35"/>
  <c r="S346" i="35"/>
  <c r="S347" i="35"/>
  <c r="S348" i="35"/>
  <c r="S349" i="35"/>
  <c r="S350" i="35"/>
  <c r="S351" i="35"/>
  <c r="S352" i="35"/>
  <c r="S353" i="35"/>
  <c r="S354" i="35"/>
  <c r="S355" i="35"/>
  <c r="S356" i="35"/>
  <c r="S357" i="35"/>
  <c r="S358" i="35"/>
  <c r="S359" i="35"/>
  <c r="S360" i="35"/>
  <c r="S361" i="35"/>
  <c r="S362" i="35"/>
  <c r="S363" i="35"/>
  <c r="S364" i="35"/>
  <c r="S365" i="35"/>
  <c r="S366" i="35"/>
  <c r="S367" i="35"/>
  <c r="S368" i="35"/>
  <c r="S369" i="35"/>
  <c r="S370" i="35"/>
  <c r="S371" i="35"/>
  <c r="S372" i="35"/>
  <c r="S373" i="35"/>
  <c r="S374" i="35"/>
  <c r="S375" i="35"/>
  <c r="S376" i="35"/>
  <c r="S377" i="35"/>
  <c r="S378" i="35"/>
  <c r="S379" i="35"/>
  <c r="S380" i="35"/>
  <c r="S381" i="35"/>
  <c r="S382" i="35"/>
  <c r="S383" i="35"/>
  <c r="S384" i="35"/>
  <c r="S385" i="35"/>
  <c r="S386" i="35"/>
  <c r="S387" i="35"/>
  <c r="S388" i="35"/>
  <c r="S389" i="35"/>
  <c r="S390" i="35"/>
  <c r="S391" i="35"/>
  <c r="S392" i="35"/>
  <c r="S393" i="35"/>
  <c r="S394" i="35"/>
  <c r="S395" i="35"/>
  <c r="S396" i="35"/>
  <c r="S397" i="35"/>
  <c r="S398" i="35"/>
  <c r="S399" i="35"/>
  <c r="S400" i="35"/>
  <c r="S401" i="35"/>
  <c r="S402" i="35"/>
  <c r="S403" i="35"/>
  <c r="S404" i="35"/>
  <c r="S405" i="35"/>
  <c r="S406" i="35"/>
  <c r="S407" i="35"/>
  <c r="S408" i="35"/>
  <c r="S409" i="35"/>
  <c r="S410" i="35"/>
  <c r="S411" i="35"/>
  <c r="S412" i="35"/>
  <c r="S413" i="35"/>
  <c r="S414" i="35"/>
  <c r="S415" i="35"/>
  <c r="S416" i="35"/>
  <c r="S417" i="35"/>
  <c r="S418" i="35"/>
  <c r="S419" i="35"/>
  <c r="S420" i="35"/>
  <c r="S421" i="35"/>
  <c r="S422" i="35"/>
  <c r="S423" i="35"/>
  <c r="S424" i="35"/>
  <c r="S425" i="35"/>
  <c r="S426" i="35"/>
  <c r="S427" i="35"/>
  <c r="S428" i="35"/>
  <c r="S429" i="35"/>
  <c r="S430" i="35"/>
  <c r="S431" i="35"/>
  <c r="S432" i="35"/>
  <c r="S433" i="35"/>
  <c r="S434" i="35"/>
  <c r="S435" i="35"/>
  <c r="S436" i="35"/>
  <c r="S437" i="35"/>
  <c r="S438" i="35"/>
  <c r="S439" i="35"/>
  <c r="S440" i="35"/>
  <c r="S441" i="35"/>
  <c r="S442" i="35"/>
  <c r="S443" i="35"/>
  <c r="S444" i="35"/>
  <c r="S445" i="35"/>
  <c r="S446" i="35"/>
  <c r="S447" i="35"/>
  <c r="S448" i="35"/>
  <c r="S449" i="35"/>
  <c r="S450" i="35"/>
  <c r="S451" i="35"/>
  <c r="S452" i="35"/>
  <c r="S453" i="35"/>
  <c r="S454" i="35"/>
  <c r="S455" i="35"/>
  <c r="S456" i="35"/>
  <c r="S457" i="35"/>
  <c r="S458" i="35"/>
  <c r="S459" i="35"/>
  <c r="S460" i="35"/>
  <c r="S461" i="35"/>
  <c r="S462" i="35"/>
  <c r="S463" i="35"/>
  <c r="S464" i="35"/>
  <c r="S465" i="35"/>
  <c r="S466" i="35"/>
  <c r="S467" i="35"/>
  <c r="S468" i="35"/>
  <c r="S469" i="35"/>
  <c r="S470" i="35"/>
  <c r="S471" i="35"/>
  <c r="S472" i="35"/>
  <c r="S473" i="35"/>
  <c r="S474" i="35"/>
  <c r="S475" i="35"/>
  <c r="S476" i="35"/>
  <c r="S477" i="35"/>
  <c r="S478" i="35"/>
  <c r="S479" i="35"/>
  <c r="S480" i="35"/>
  <c r="S481" i="35"/>
  <c r="S482" i="35"/>
  <c r="S483" i="35"/>
  <c r="S484" i="35"/>
  <c r="S485" i="35"/>
  <c r="S486" i="35"/>
  <c r="S487" i="35"/>
  <c r="S488" i="35"/>
  <c r="S489" i="35"/>
  <c r="S490" i="35"/>
  <c r="S491" i="35"/>
  <c r="S492" i="35"/>
  <c r="S493" i="35"/>
  <c r="S494" i="35"/>
  <c r="S495" i="35"/>
  <c r="S496" i="35"/>
  <c r="S497" i="35"/>
  <c r="S498" i="35"/>
  <c r="S499" i="35"/>
  <c r="S500" i="35"/>
  <c r="S501" i="35"/>
  <c r="S502" i="35"/>
  <c r="S503" i="35"/>
  <c r="S504" i="35"/>
  <c r="S505" i="35"/>
  <c r="S506" i="35"/>
  <c r="S507" i="35"/>
  <c r="S508" i="35"/>
  <c r="S509" i="35"/>
  <c r="S510" i="35"/>
  <c r="S511" i="35"/>
  <c r="S512" i="35"/>
  <c r="S513" i="35"/>
  <c r="S514" i="35"/>
  <c r="S515" i="35"/>
  <c r="S516" i="35"/>
  <c r="S517" i="35"/>
  <c r="S518" i="35"/>
  <c r="S519" i="35"/>
  <c r="S520" i="35"/>
  <c r="S521" i="35"/>
  <c r="S522" i="35"/>
  <c r="S523" i="35"/>
  <c r="S524" i="35"/>
  <c r="S525" i="35"/>
  <c r="S526" i="35"/>
  <c r="S527" i="35"/>
  <c r="S528" i="35"/>
  <c r="S529" i="35"/>
  <c r="S530" i="35"/>
  <c r="S531" i="35"/>
  <c r="S532" i="35"/>
  <c r="S533" i="35"/>
  <c r="S534" i="35"/>
  <c r="S535" i="35"/>
  <c r="S536" i="35"/>
  <c r="S537" i="35"/>
  <c r="S538" i="35"/>
  <c r="S539" i="35"/>
  <c r="S540" i="35"/>
  <c r="S541" i="35"/>
  <c r="S542" i="35"/>
  <c r="S543" i="35"/>
  <c r="S544" i="35"/>
  <c r="S545" i="35"/>
  <c r="S546" i="35"/>
  <c r="S547" i="35"/>
  <c r="S548" i="35"/>
  <c r="S549" i="35"/>
  <c r="S550" i="35"/>
  <c r="S551" i="35"/>
  <c r="S552" i="35"/>
  <c r="S553" i="35"/>
  <c r="S554" i="35"/>
  <c r="S555" i="35"/>
  <c r="S556" i="35"/>
  <c r="S557" i="35"/>
  <c r="S558" i="35"/>
  <c r="S559" i="35"/>
  <c r="S560" i="35"/>
  <c r="S561" i="35"/>
  <c r="S562" i="35"/>
  <c r="S563" i="35"/>
  <c r="S564" i="35"/>
  <c r="S565" i="35"/>
  <c r="S566" i="35"/>
  <c r="S567" i="35"/>
  <c r="S568" i="35"/>
  <c r="S569" i="35"/>
  <c r="S570" i="35"/>
  <c r="S571" i="35"/>
  <c r="S572" i="35"/>
  <c r="S573" i="35"/>
  <c r="S574" i="35"/>
  <c r="S575" i="35"/>
  <c r="S576" i="35"/>
  <c r="S577" i="35"/>
  <c r="S578" i="35"/>
  <c r="S579" i="35"/>
  <c r="S580" i="35"/>
  <c r="S581" i="35"/>
  <c r="S582" i="35"/>
  <c r="S583" i="35"/>
  <c r="S584" i="35"/>
  <c r="S585" i="35"/>
  <c r="S586" i="35"/>
  <c r="S587" i="35"/>
  <c r="S588" i="35"/>
  <c r="S589" i="35"/>
  <c r="S590" i="35"/>
  <c r="S591" i="35"/>
  <c r="S592" i="35"/>
  <c r="S593" i="35"/>
  <c r="S594" i="35"/>
  <c r="S595" i="35"/>
  <c r="S596" i="35"/>
  <c r="S597" i="35"/>
  <c r="S598" i="35"/>
  <c r="S599" i="35"/>
  <c r="S600" i="35"/>
  <c r="S601" i="35"/>
  <c r="S602" i="35"/>
  <c r="S603" i="35"/>
  <c r="S604" i="35"/>
  <c r="S605" i="35"/>
  <c r="S606" i="35"/>
  <c r="S607" i="35"/>
  <c r="S608" i="35"/>
  <c r="S609" i="35"/>
  <c r="S610" i="35"/>
  <c r="S611" i="35"/>
  <c r="S612" i="35"/>
  <c r="S613" i="35"/>
  <c r="S614" i="35"/>
  <c r="S615" i="35"/>
  <c r="S616" i="35"/>
  <c r="S617" i="35"/>
  <c r="S618" i="35"/>
  <c r="S619" i="35"/>
  <c r="S620" i="35"/>
  <c r="S621" i="35"/>
  <c r="S622" i="35"/>
  <c r="S623" i="35"/>
  <c r="S624" i="35"/>
  <c r="S625" i="35"/>
  <c r="S626" i="35"/>
  <c r="S627" i="35"/>
  <c r="S628" i="35"/>
  <c r="S629" i="35"/>
  <c r="S630" i="35"/>
  <c r="S631" i="35"/>
  <c r="S632" i="35"/>
  <c r="S633" i="35"/>
  <c r="S634" i="35"/>
  <c r="S635" i="35"/>
  <c r="S636" i="35"/>
  <c r="S637" i="35"/>
  <c r="S638" i="35"/>
  <c r="S639" i="35"/>
  <c r="S640" i="35"/>
  <c r="S641" i="35"/>
  <c r="S642" i="35"/>
  <c r="S643" i="35"/>
  <c r="S644" i="35"/>
  <c r="S645" i="35"/>
  <c r="S646" i="35"/>
  <c r="S647" i="35"/>
  <c r="S648" i="35"/>
  <c r="S649" i="35"/>
  <c r="S650" i="35"/>
  <c r="S651" i="35"/>
  <c r="S652" i="35"/>
  <c r="S653" i="35"/>
  <c r="S654" i="35"/>
  <c r="S655" i="35"/>
  <c r="S656" i="35"/>
  <c r="S657" i="35"/>
  <c r="S658" i="35"/>
  <c r="S659" i="35"/>
  <c r="S660" i="35"/>
  <c r="S661" i="35"/>
  <c r="S662" i="35"/>
  <c r="S663" i="35"/>
  <c r="S664" i="35"/>
  <c r="S665" i="35"/>
  <c r="S666" i="35"/>
  <c r="S667" i="35"/>
  <c r="S668" i="35"/>
  <c r="S669" i="35"/>
  <c r="S670" i="35"/>
  <c r="S671" i="35"/>
  <c r="S672" i="35"/>
  <c r="S673" i="35"/>
  <c r="S674" i="35"/>
  <c r="S675" i="35"/>
  <c r="S676" i="35"/>
  <c r="S677" i="35"/>
  <c r="S678" i="35"/>
  <c r="S679" i="35"/>
  <c r="S680" i="35"/>
  <c r="S681" i="35"/>
  <c r="S682" i="35"/>
  <c r="S683" i="35"/>
  <c r="S684" i="35"/>
  <c r="S685" i="35"/>
  <c r="S686" i="35"/>
  <c r="S687" i="35"/>
  <c r="S688" i="35"/>
  <c r="S689" i="35"/>
  <c r="S690" i="35"/>
  <c r="S691" i="35"/>
  <c r="S692" i="35"/>
  <c r="S693" i="35"/>
  <c r="S694" i="35"/>
  <c r="S695" i="35"/>
  <c r="S696" i="35"/>
  <c r="S697" i="35"/>
  <c r="S698" i="35"/>
  <c r="S699" i="35"/>
  <c r="S700" i="35"/>
  <c r="S701" i="35"/>
  <c r="S702" i="35"/>
  <c r="S703" i="35"/>
  <c r="S704" i="35"/>
  <c r="S705" i="35"/>
  <c r="S706" i="35"/>
  <c r="S707" i="35"/>
  <c r="S708" i="35"/>
  <c r="S709" i="35"/>
  <c r="S710" i="35"/>
  <c r="S711" i="35"/>
  <c r="S712" i="35"/>
  <c r="S713" i="35"/>
  <c r="S714" i="35"/>
  <c r="S715" i="35"/>
  <c r="S716" i="35"/>
  <c r="S717" i="35"/>
  <c r="S718" i="35"/>
  <c r="S719" i="35"/>
  <c r="S720" i="35"/>
  <c r="S721" i="35"/>
  <c r="S722" i="35"/>
  <c r="S723" i="35"/>
  <c r="S724" i="35"/>
  <c r="S725" i="35"/>
  <c r="S726" i="35"/>
  <c r="S727" i="35"/>
  <c r="S728" i="35"/>
  <c r="S729" i="35"/>
  <c r="S730" i="35"/>
  <c r="S731" i="35"/>
  <c r="S732" i="35"/>
  <c r="S733" i="35"/>
  <c r="S734" i="35"/>
  <c r="S735" i="35"/>
  <c r="S736" i="35"/>
  <c r="S737" i="35"/>
  <c r="S738" i="35"/>
  <c r="S739" i="35"/>
  <c r="S740" i="35"/>
  <c r="S741" i="35"/>
  <c r="S742" i="35"/>
  <c r="S743" i="35"/>
  <c r="S744" i="35"/>
  <c r="S745" i="35"/>
  <c r="S746" i="35"/>
  <c r="S747" i="35"/>
  <c r="S748" i="35"/>
  <c r="S749" i="35"/>
  <c r="S750" i="35"/>
  <c r="S751" i="35"/>
  <c r="S752" i="35"/>
  <c r="S753" i="35"/>
  <c r="S754" i="35"/>
  <c r="S755" i="35"/>
  <c r="S756" i="35"/>
  <c r="S757" i="35"/>
  <c r="S758" i="35"/>
  <c r="S759" i="35"/>
  <c r="S760" i="35"/>
  <c r="S761" i="35"/>
  <c r="S762" i="35"/>
  <c r="S763" i="35"/>
  <c r="S764" i="35"/>
  <c r="S765" i="35"/>
  <c r="S766" i="35"/>
  <c r="S767" i="35"/>
  <c r="S768" i="35"/>
  <c r="S769" i="35"/>
  <c r="S770" i="35"/>
  <c r="S771" i="35"/>
  <c r="S772" i="35"/>
  <c r="S773" i="35"/>
  <c r="S774" i="35"/>
  <c r="S775" i="35"/>
  <c r="S776" i="35"/>
  <c r="S777" i="35"/>
  <c r="S778" i="35"/>
  <c r="S779" i="35"/>
  <c r="S780" i="35"/>
  <c r="S781" i="35"/>
  <c r="S782" i="35"/>
  <c r="S783" i="35"/>
  <c r="S784" i="35"/>
  <c r="S785" i="35"/>
  <c r="S786" i="35"/>
  <c r="S787" i="35"/>
  <c r="S788" i="35"/>
  <c r="S789" i="35"/>
  <c r="S790" i="35"/>
  <c r="S791" i="35"/>
  <c r="S792" i="35"/>
  <c r="S793" i="35"/>
  <c r="S794" i="35"/>
  <c r="S795" i="35"/>
  <c r="S796" i="35"/>
  <c r="S797" i="35"/>
  <c r="S798" i="35"/>
  <c r="S799" i="35"/>
  <c r="S800" i="35"/>
  <c r="S801" i="35"/>
  <c r="S802" i="35"/>
  <c r="S803" i="35"/>
  <c r="S804" i="35"/>
  <c r="S805" i="35"/>
  <c r="S806" i="35"/>
  <c r="S807" i="35"/>
  <c r="S808" i="35"/>
  <c r="S809" i="35"/>
  <c r="S810" i="35"/>
  <c r="S811" i="35"/>
  <c r="S812" i="35"/>
  <c r="S813" i="35"/>
  <c r="S814" i="35"/>
  <c r="S815" i="35"/>
  <c r="S816" i="35"/>
  <c r="S817" i="35"/>
  <c r="S818" i="35"/>
  <c r="S819" i="35"/>
  <c r="S820" i="35"/>
  <c r="S821" i="35"/>
  <c r="S822" i="35"/>
  <c r="S823" i="35"/>
  <c r="S824" i="35"/>
  <c r="S825" i="35"/>
  <c r="S826" i="35"/>
  <c r="S827" i="35"/>
  <c r="S828" i="35"/>
  <c r="S829" i="35"/>
  <c r="S830" i="35"/>
  <c r="S831" i="35"/>
  <c r="S832" i="35"/>
  <c r="S833" i="35"/>
  <c r="S834" i="35"/>
  <c r="S835" i="35"/>
  <c r="S836" i="35"/>
  <c r="S837" i="35"/>
  <c r="S838" i="35"/>
  <c r="S839" i="35"/>
  <c r="S840" i="35"/>
  <c r="S841" i="35"/>
  <c r="S842" i="35"/>
  <c r="S843" i="35"/>
  <c r="S844" i="35"/>
  <c r="S845" i="35"/>
  <c r="S846" i="35"/>
  <c r="S847" i="35"/>
  <c r="S848" i="35"/>
  <c r="S849" i="35"/>
  <c r="S850" i="35"/>
  <c r="S851" i="35"/>
  <c r="S852" i="35"/>
  <c r="S853" i="35"/>
  <c r="S854" i="35"/>
  <c r="S855" i="35"/>
  <c r="S856" i="35"/>
  <c r="S857" i="35"/>
  <c r="S858" i="35"/>
  <c r="S859" i="35"/>
  <c r="S860" i="35"/>
  <c r="S861" i="35"/>
  <c r="S862" i="35"/>
  <c r="S863" i="35"/>
  <c r="S864" i="35"/>
  <c r="S865" i="35"/>
  <c r="S866" i="35"/>
  <c r="S867" i="35"/>
  <c r="S868" i="35"/>
  <c r="S869" i="35"/>
  <c r="S870" i="35"/>
  <c r="S871" i="35"/>
  <c r="S872" i="35"/>
  <c r="S873" i="35"/>
  <c r="S874" i="35"/>
  <c r="S875" i="35"/>
  <c r="S876" i="35"/>
  <c r="S877" i="35"/>
  <c r="S878" i="35"/>
  <c r="S879" i="35"/>
  <c r="S880" i="35"/>
  <c r="S881" i="35"/>
  <c r="S882" i="35"/>
  <c r="S883" i="35"/>
  <c r="S884" i="35"/>
  <c r="S885" i="35"/>
  <c r="S886" i="35"/>
  <c r="S887" i="35"/>
  <c r="S888" i="35"/>
  <c r="S889" i="35"/>
  <c r="S890" i="35"/>
  <c r="S891" i="35"/>
  <c r="S892" i="35"/>
  <c r="S893" i="35"/>
  <c r="S894" i="35"/>
  <c r="S895" i="35"/>
  <c r="S896" i="35"/>
  <c r="S897" i="35"/>
  <c r="S898" i="35"/>
  <c r="S899" i="35"/>
  <c r="S900" i="35"/>
  <c r="S901" i="35"/>
  <c r="S902" i="35"/>
  <c r="S903" i="35"/>
  <c r="S904" i="35"/>
  <c r="S905" i="35"/>
  <c r="S906" i="35"/>
  <c r="S907" i="35"/>
  <c r="S908" i="35"/>
  <c r="S909" i="35"/>
  <c r="S910" i="35"/>
  <c r="S911" i="35"/>
  <c r="S912" i="35"/>
  <c r="S913" i="35"/>
  <c r="S914" i="35"/>
  <c r="S915" i="35"/>
  <c r="S916" i="35"/>
  <c r="S917" i="35"/>
  <c r="S918" i="35"/>
  <c r="S919" i="35"/>
  <c r="S920" i="35"/>
  <c r="S921" i="35"/>
  <c r="S922" i="35"/>
  <c r="S923" i="35"/>
  <c r="S924" i="35"/>
  <c r="S925" i="35"/>
  <c r="S926" i="35"/>
  <c r="S927" i="35"/>
  <c r="S928" i="35"/>
  <c r="S929" i="35"/>
  <c r="S930" i="35"/>
  <c r="S931" i="35"/>
  <c r="S932" i="35"/>
  <c r="S933" i="35"/>
  <c r="S934" i="35"/>
  <c r="S935" i="35"/>
  <c r="S936" i="35"/>
  <c r="S937" i="35"/>
  <c r="S938" i="35"/>
  <c r="S939" i="35"/>
  <c r="S940" i="35"/>
  <c r="S941" i="35"/>
  <c r="S942" i="35"/>
  <c r="S943" i="35"/>
  <c r="S944" i="35"/>
  <c r="S945" i="35"/>
  <c r="S946" i="35"/>
  <c r="S947" i="35"/>
  <c r="S948" i="35"/>
  <c r="S949" i="35"/>
  <c r="S950" i="35"/>
  <c r="S951" i="35"/>
  <c r="S952" i="35"/>
  <c r="S953" i="35"/>
  <c r="S954" i="35"/>
  <c r="S955" i="35"/>
  <c r="S956" i="35"/>
  <c r="S957" i="35"/>
  <c r="S958" i="35"/>
  <c r="S959" i="35"/>
  <c r="S960" i="35"/>
  <c r="S961" i="35"/>
  <c r="S962" i="35"/>
  <c r="S963" i="35"/>
  <c r="S964" i="35"/>
  <c r="S965" i="35"/>
  <c r="S966" i="35"/>
  <c r="S967" i="35"/>
  <c r="S968" i="35"/>
  <c r="S969" i="35"/>
  <c r="S970" i="35"/>
  <c r="S971" i="35"/>
  <c r="S972" i="35"/>
  <c r="S973" i="35"/>
  <c r="S974" i="35"/>
  <c r="S975" i="35"/>
  <c r="S976" i="35"/>
  <c r="S977" i="35"/>
  <c r="S978" i="35"/>
  <c r="S979" i="35"/>
  <c r="S980" i="35"/>
  <c r="S981" i="35"/>
  <c r="S982" i="35"/>
  <c r="S983" i="35"/>
  <c r="S984" i="35"/>
  <c r="S985" i="35"/>
  <c r="S986" i="35"/>
  <c r="S987" i="35"/>
  <c r="S988" i="35"/>
  <c r="S989" i="35"/>
  <c r="S990" i="35"/>
  <c r="S991" i="35"/>
  <c r="S992" i="35"/>
  <c r="S993" i="35"/>
  <c r="S994" i="35"/>
  <c r="S995" i="35"/>
  <c r="S996" i="35"/>
  <c r="S997" i="35"/>
  <c r="S998" i="35"/>
  <c r="S999" i="35"/>
  <c r="S1000" i="35"/>
  <c r="S1001" i="35"/>
  <c r="S1002" i="35"/>
  <c r="S1003" i="35"/>
  <c r="S1004" i="35"/>
  <c r="S1005" i="35"/>
  <c r="S1006" i="35"/>
  <c r="S1007" i="35"/>
  <c r="S1008" i="35"/>
  <c r="S1009" i="35"/>
  <c r="S1010" i="35"/>
  <c r="S1011" i="35"/>
  <c r="S1012" i="35"/>
  <c r="S1013" i="35"/>
  <c r="S1014" i="35"/>
  <c r="S1015" i="35"/>
  <c r="S1016" i="35"/>
  <c r="S1017" i="35"/>
  <c r="S1018" i="35"/>
  <c r="S1019" i="35"/>
  <c r="S1020" i="35"/>
  <c r="S1021" i="35"/>
  <c r="S1022" i="35"/>
  <c r="S1023" i="35"/>
  <c r="S1024" i="35"/>
  <c r="S1025" i="35"/>
  <c r="S1026" i="35"/>
  <c r="S1027" i="35"/>
  <c r="S1028" i="35"/>
  <c r="S1029" i="35"/>
  <c r="S1030" i="35"/>
  <c r="S1031" i="35"/>
  <c r="S1032" i="35"/>
  <c r="S1033" i="35"/>
  <c r="S1034" i="35"/>
  <c r="S1035" i="35"/>
  <c r="S1036" i="35"/>
  <c r="S1037" i="35"/>
  <c r="S1038" i="35"/>
  <c r="S1039" i="35"/>
  <c r="S1040" i="35"/>
  <c r="S1041" i="35"/>
  <c r="S1042" i="35"/>
  <c r="S1043" i="35"/>
  <c r="S1044" i="35"/>
  <c r="S1045" i="35"/>
  <c r="S1046" i="35"/>
  <c r="S1047" i="35"/>
  <c r="S1048" i="35"/>
  <c r="S1049" i="35"/>
  <c r="S1050" i="35"/>
  <c r="S1051" i="35"/>
  <c r="S1052" i="35"/>
  <c r="S1053" i="35"/>
  <c r="S1054" i="35"/>
  <c r="S1055" i="35"/>
  <c r="S1056" i="35"/>
  <c r="S1057" i="35"/>
  <c r="S1058" i="35"/>
  <c r="S1059" i="35"/>
  <c r="S1060" i="35"/>
  <c r="S1061" i="35"/>
  <c r="S1062" i="35"/>
  <c r="S1063" i="35"/>
  <c r="S1064" i="35"/>
  <c r="S1065" i="35"/>
  <c r="S1066" i="35"/>
  <c r="S1067" i="35"/>
  <c r="S1068" i="35"/>
  <c r="S1069" i="35"/>
  <c r="S1070" i="35"/>
  <c r="S1071" i="35"/>
  <c r="S1072" i="35"/>
  <c r="S1073" i="35"/>
  <c r="S1074" i="35"/>
  <c r="S1075" i="35"/>
  <c r="S1076" i="35"/>
  <c r="S1077" i="35"/>
  <c r="S1078" i="35"/>
  <c r="S1079" i="35"/>
  <c r="S1080" i="35"/>
  <c r="S1081" i="35"/>
  <c r="S1082" i="35"/>
  <c r="S1083" i="35"/>
  <c r="S1084" i="35"/>
  <c r="S1085" i="35"/>
  <c r="S1086" i="35"/>
  <c r="S1087" i="35"/>
  <c r="S1088" i="35"/>
  <c r="S1089" i="35"/>
  <c r="S1090" i="35"/>
  <c r="S1091" i="35"/>
  <c r="S1092" i="35"/>
  <c r="S1093" i="35"/>
  <c r="S1094" i="35"/>
  <c r="S1095" i="35"/>
  <c r="S1096" i="35"/>
  <c r="S1097" i="35"/>
  <c r="S1098" i="35"/>
  <c r="S1099" i="35"/>
  <c r="S1100" i="35"/>
  <c r="S1101" i="35"/>
  <c r="S1102" i="35"/>
  <c r="S1103" i="35"/>
  <c r="S1104" i="35"/>
  <c r="S1105" i="35"/>
  <c r="S1106" i="35"/>
  <c r="S1107" i="35"/>
  <c r="S1108" i="35"/>
  <c r="S1109" i="35"/>
  <c r="S1110" i="35"/>
  <c r="S1111" i="35"/>
  <c r="S1112" i="35"/>
  <c r="S1113" i="35"/>
  <c r="S1114" i="35"/>
  <c r="S1115" i="35"/>
  <c r="S1116" i="35"/>
  <c r="S1117" i="35"/>
  <c r="S1118" i="35"/>
  <c r="S1119" i="35"/>
  <c r="S1120" i="35"/>
  <c r="S1121" i="35"/>
  <c r="S1122" i="35"/>
  <c r="S1123" i="35"/>
  <c r="S1124" i="35"/>
  <c r="S1125" i="35"/>
  <c r="S1126" i="35"/>
  <c r="S1127" i="35"/>
  <c r="S1128" i="35"/>
  <c r="S1129" i="35"/>
  <c r="S1130" i="35"/>
  <c r="S1131" i="35"/>
  <c r="S1132" i="35"/>
  <c r="S1133" i="35"/>
  <c r="S1134" i="35"/>
  <c r="S1135" i="35"/>
  <c r="S1136" i="35"/>
  <c r="S1137" i="35"/>
  <c r="S1138" i="35"/>
  <c r="S1139" i="35"/>
  <c r="S1140" i="35"/>
  <c r="S1141" i="35"/>
  <c r="S1142" i="35"/>
  <c r="S1143" i="35"/>
  <c r="S1144" i="35"/>
  <c r="S1145" i="35"/>
  <c r="S1146" i="35"/>
  <c r="S1147" i="35"/>
  <c r="S1148" i="35"/>
  <c r="S1149" i="35"/>
  <c r="S1150" i="35"/>
  <c r="S1151" i="35"/>
  <c r="S1152" i="35"/>
  <c r="S1153" i="35"/>
  <c r="S1154" i="35"/>
  <c r="S1155" i="35"/>
  <c r="S1156" i="35"/>
  <c r="S1157" i="35"/>
  <c r="S1158" i="35"/>
  <c r="S1159" i="35"/>
  <c r="S1160" i="35"/>
  <c r="S1161" i="35"/>
  <c r="S1162" i="35"/>
  <c r="S1163" i="35"/>
  <c r="S1164" i="35"/>
  <c r="S1165" i="35"/>
  <c r="S1166" i="35"/>
  <c r="S1167" i="35"/>
  <c r="S1168" i="35"/>
  <c r="S1169" i="35"/>
  <c r="S1170" i="35"/>
  <c r="S1171" i="35"/>
  <c r="S1172" i="35"/>
  <c r="S1173" i="35"/>
  <c r="S1174" i="35"/>
  <c r="S1175" i="35"/>
  <c r="S1176" i="35"/>
  <c r="S1177" i="35"/>
  <c r="S1178" i="35"/>
  <c r="S1179" i="35"/>
  <c r="S1180" i="35"/>
  <c r="S1181" i="35"/>
  <c r="S1182" i="35"/>
  <c r="S1183" i="35"/>
  <c r="S1184" i="35"/>
  <c r="S1185" i="35"/>
  <c r="S1186" i="35"/>
  <c r="S1187" i="35"/>
  <c r="S1188" i="35"/>
  <c r="S1189" i="35"/>
  <c r="S1190" i="35"/>
  <c r="S1191" i="35"/>
  <c r="S1192" i="35"/>
  <c r="S1193" i="35"/>
  <c r="S1194" i="35"/>
  <c r="S1195" i="35"/>
  <c r="S1196" i="35"/>
  <c r="S1197" i="35"/>
  <c r="S1198" i="35"/>
  <c r="S1199" i="35"/>
  <c r="S1200" i="35"/>
  <c r="S1201" i="35"/>
  <c r="S1202" i="35"/>
  <c r="S1203" i="35"/>
  <c r="S1204" i="35"/>
  <c r="S1205" i="35"/>
  <c r="S1206" i="35"/>
  <c r="S1207" i="35"/>
  <c r="S1208" i="35"/>
  <c r="S1209" i="35"/>
  <c r="S1210" i="35"/>
  <c r="S1211" i="35"/>
  <c r="S1212" i="35"/>
  <c r="S1213" i="35"/>
  <c r="S1214" i="35"/>
  <c r="S1215" i="35"/>
  <c r="S1216" i="35"/>
  <c r="S1217" i="35"/>
  <c r="S1218" i="35"/>
  <c r="S1219" i="35"/>
  <c r="S1220" i="35"/>
  <c r="S1221" i="35"/>
  <c r="S1222" i="35"/>
  <c r="S1223" i="35"/>
  <c r="S1224" i="35"/>
  <c r="S1225" i="35"/>
  <c r="S1226" i="35"/>
  <c r="S1227" i="35"/>
  <c r="S1228" i="35"/>
  <c r="S1229" i="35"/>
  <c r="S1230" i="35"/>
  <c r="S1231" i="35"/>
  <c r="S1232" i="35"/>
  <c r="S1233" i="35"/>
  <c r="S1234" i="35"/>
  <c r="S1235" i="35"/>
  <c r="S1236" i="35"/>
  <c r="S1237" i="35"/>
  <c r="S1238" i="35"/>
  <c r="S1239" i="35"/>
  <c r="S1240" i="35"/>
  <c r="S1241" i="35"/>
  <c r="S1242" i="35"/>
  <c r="S1243" i="35"/>
  <c r="S1244" i="35"/>
  <c r="S1245" i="35"/>
  <c r="S1246" i="35"/>
  <c r="S1247" i="35"/>
  <c r="S1248" i="35"/>
  <c r="S1249" i="35"/>
  <c r="S1250" i="35"/>
  <c r="S1251" i="35"/>
  <c r="S1252" i="35"/>
  <c r="S1253" i="35"/>
  <c r="S1254" i="35"/>
  <c r="S1255" i="35"/>
  <c r="S1256" i="35"/>
  <c r="S1257" i="35"/>
  <c r="S1258" i="35"/>
  <c r="S1259" i="35"/>
  <c r="S1260" i="35"/>
  <c r="S1261" i="35"/>
  <c r="S1262" i="35"/>
  <c r="S1263" i="35"/>
  <c r="S1264" i="35"/>
  <c r="S1265" i="35"/>
  <c r="S1266" i="35"/>
  <c r="S1267" i="35"/>
  <c r="S1268" i="35"/>
  <c r="S1269" i="35"/>
  <c r="S1270" i="35"/>
  <c r="S1271" i="35"/>
  <c r="S1272" i="35"/>
  <c r="S1273" i="35"/>
  <c r="S1274" i="35"/>
  <c r="S1275" i="35"/>
  <c r="S1276" i="35"/>
  <c r="S1277" i="35"/>
  <c r="S1278" i="35"/>
  <c r="S1279" i="35"/>
  <c r="S1280" i="35"/>
  <c r="S1281" i="35"/>
  <c r="S1282" i="35"/>
  <c r="S1283" i="35"/>
  <c r="S1284" i="35"/>
  <c r="S1285" i="35"/>
  <c r="S1286" i="35"/>
  <c r="S1287" i="35"/>
  <c r="S1288" i="35"/>
  <c r="S1289" i="35"/>
  <c r="S1290" i="35"/>
  <c r="S1291" i="35"/>
  <c r="S1292" i="35"/>
  <c r="S1293" i="35"/>
  <c r="S1294" i="35"/>
  <c r="S1295" i="35"/>
  <c r="S1296" i="35"/>
  <c r="S1297" i="35"/>
  <c r="S1298" i="35"/>
  <c r="S1299" i="35"/>
  <c r="S1300" i="35"/>
  <c r="S1301" i="35"/>
  <c r="S1302" i="35"/>
  <c r="S1303" i="35"/>
  <c r="S1304" i="35"/>
  <c r="S1305" i="35"/>
  <c r="S1306" i="35"/>
  <c r="S1307" i="35"/>
  <c r="S1308" i="35"/>
  <c r="S1309" i="35"/>
  <c r="S1310" i="35"/>
  <c r="S1311" i="35"/>
  <c r="S1312" i="35"/>
  <c r="S1313" i="35"/>
  <c r="S1314" i="35"/>
  <c r="S1315" i="35"/>
  <c r="S1316" i="35"/>
  <c r="S1317" i="35"/>
  <c r="S1318" i="35"/>
  <c r="S1319" i="35"/>
  <c r="S1320" i="35"/>
  <c r="S1321" i="35"/>
  <c r="S1322" i="35"/>
  <c r="S1323" i="35"/>
  <c r="S1324" i="35"/>
  <c r="S1325" i="35"/>
  <c r="S1326" i="35"/>
  <c r="S1327" i="35"/>
  <c r="S1328" i="35"/>
  <c r="S1329" i="35"/>
  <c r="S1330" i="35"/>
  <c r="S1331" i="35"/>
  <c r="S1332" i="35"/>
  <c r="S1333" i="35"/>
  <c r="S1334" i="35"/>
  <c r="S1335" i="35"/>
  <c r="S1336" i="35"/>
  <c r="S1337" i="35"/>
  <c r="S1338" i="35"/>
  <c r="S1339" i="35"/>
  <c r="S1340" i="35"/>
  <c r="S1341" i="35"/>
  <c r="S1342" i="35"/>
  <c r="S1343" i="35"/>
  <c r="S1344" i="35"/>
  <c r="S1345" i="35"/>
  <c r="S1346" i="35"/>
  <c r="S1347" i="35"/>
  <c r="S1348" i="35"/>
  <c r="S1349" i="35"/>
  <c r="S1350" i="35"/>
  <c r="S1351" i="35"/>
  <c r="S1352" i="35"/>
  <c r="S1353" i="35"/>
  <c r="S1354" i="35"/>
  <c r="S1355" i="35"/>
  <c r="S1356" i="35"/>
  <c r="S1357" i="35"/>
  <c r="S1358" i="35"/>
  <c r="S1359" i="35"/>
  <c r="S1360" i="35"/>
  <c r="S1361" i="35"/>
  <c r="S1362" i="35"/>
  <c r="S1363" i="35"/>
  <c r="S1364" i="35"/>
  <c r="S1365" i="35"/>
  <c r="S1366" i="35"/>
  <c r="S1367" i="35"/>
  <c r="S1368" i="35"/>
  <c r="S1369" i="35"/>
  <c r="S1370" i="35"/>
  <c r="S1371" i="35"/>
  <c r="S1372" i="35"/>
  <c r="S1373" i="35"/>
  <c r="S1374" i="35"/>
  <c r="S1375" i="35"/>
  <c r="S1376" i="35"/>
  <c r="S1377" i="35"/>
  <c r="S1378" i="35"/>
  <c r="S1379" i="35"/>
  <c r="S1380" i="35"/>
  <c r="S1381" i="35"/>
  <c r="S1382" i="35"/>
  <c r="S1383" i="35"/>
  <c r="S1384" i="35"/>
  <c r="S1385" i="35"/>
  <c r="S1386" i="35"/>
  <c r="S1387" i="35"/>
  <c r="S1388" i="35"/>
  <c r="S1389" i="35"/>
  <c r="S1390" i="35"/>
  <c r="S1391" i="35"/>
  <c r="S1392" i="35"/>
  <c r="S1393" i="35"/>
  <c r="S1394" i="35"/>
  <c r="S1395" i="35"/>
  <c r="S1396" i="35"/>
  <c r="S1397" i="35"/>
  <c r="S1398" i="35"/>
  <c r="S1399" i="35"/>
  <c r="S1400" i="35"/>
  <c r="S1401" i="35"/>
  <c r="S1402" i="35"/>
  <c r="S1403" i="35"/>
  <c r="S1404" i="35"/>
  <c r="S1405" i="35"/>
  <c r="S1406" i="35"/>
  <c r="S1407" i="35"/>
  <c r="S1408" i="35"/>
  <c r="S1409" i="35"/>
  <c r="S1410" i="35"/>
  <c r="S1411" i="35"/>
  <c r="S1412" i="35"/>
  <c r="S1413" i="35"/>
  <c r="S1414" i="35"/>
  <c r="S1415" i="35"/>
  <c r="S1416" i="35"/>
  <c r="S1417" i="35"/>
  <c r="S1418" i="35"/>
  <c r="S1419" i="35"/>
  <c r="S1420" i="35"/>
  <c r="S1421" i="35"/>
  <c r="S1422" i="35"/>
  <c r="S1423" i="35"/>
  <c r="S1424" i="35"/>
  <c r="S1425" i="35"/>
  <c r="S1426" i="35"/>
  <c r="S1427" i="35"/>
  <c r="S1428" i="35"/>
  <c r="S1429" i="35"/>
  <c r="S1430" i="35"/>
  <c r="S1431" i="35"/>
  <c r="S1432" i="35"/>
  <c r="S1433" i="35"/>
  <c r="S1434" i="35"/>
  <c r="S1435" i="35"/>
  <c r="S1436" i="35"/>
  <c r="S1437" i="35"/>
  <c r="S1438" i="35"/>
  <c r="S1439" i="35"/>
  <c r="S1440" i="35"/>
  <c r="S1441" i="35"/>
  <c r="S1442" i="35"/>
  <c r="S1443" i="35"/>
  <c r="S1444" i="35"/>
  <c r="S1445" i="35"/>
  <c r="S1446" i="35"/>
  <c r="S1447" i="35"/>
  <c r="S1448" i="35"/>
  <c r="S1449" i="35"/>
  <c r="S1450" i="35"/>
  <c r="S1451" i="35"/>
  <c r="S1452" i="35"/>
  <c r="T2" i="35"/>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501" i="35"/>
  <c r="T502" i="35"/>
  <c r="T503" i="35"/>
  <c r="T504" i="35"/>
  <c r="T505" i="35"/>
  <c r="T506" i="35"/>
  <c r="T507" i="35"/>
  <c r="T508" i="35"/>
  <c r="T509" i="35"/>
  <c r="T510" i="35"/>
  <c r="T511" i="35"/>
  <c r="T512" i="35"/>
  <c r="T513" i="35"/>
  <c r="T514" i="35"/>
  <c r="T515" i="35"/>
  <c r="T516" i="35"/>
  <c r="T517" i="35"/>
  <c r="T518" i="35"/>
  <c r="T519" i="35"/>
  <c r="T520" i="35"/>
  <c r="T521" i="35"/>
  <c r="T522" i="35"/>
  <c r="T523" i="35"/>
  <c r="T524" i="35"/>
  <c r="T525" i="35"/>
  <c r="T526" i="35"/>
  <c r="T527" i="35"/>
  <c r="T528" i="35"/>
  <c r="T529" i="35"/>
  <c r="T530" i="35"/>
  <c r="T531" i="35"/>
  <c r="T532" i="35"/>
  <c r="T533" i="35"/>
  <c r="T534" i="35"/>
  <c r="T535" i="35"/>
  <c r="T536" i="35"/>
  <c r="T537" i="35"/>
  <c r="T538" i="35"/>
  <c r="T539" i="35"/>
  <c r="T540" i="35"/>
  <c r="T541" i="35"/>
  <c r="T542" i="35"/>
  <c r="T543" i="35"/>
  <c r="T544" i="35"/>
  <c r="T545" i="35"/>
  <c r="T546" i="35"/>
  <c r="T547" i="35"/>
  <c r="T548" i="35"/>
  <c r="T549" i="35"/>
  <c r="T550" i="35"/>
  <c r="T551" i="35"/>
  <c r="T552" i="35"/>
  <c r="T553" i="35"/>
  <c r="T554" i="35"/>
  <c r="T555" i="35"/>
  <c r="T556" i="35"/>
  <c r="T557" i="35"/>
  <c r="T558" i="35"/>
  <c r="T559" i="35"/>
  <c r="T560" i="35"/>
  <c r="T561" i="35"/>
  <c r="T562" i="35"/>
  <c r="T563" i="35"/>
  <c r="T564" i="35"/>
  <c r="T565" i="35"/>
  <c r="T566" i="35"/>
  <c r="T567" i="35"/>
  <c r="T568" i="35"/>
  <c r="T569" i="35"/>
  <c r="T570" i="35"/>
  <c r="T571" i="35"/>
  <c r="T572" i="35"/>
  <c r="T573" i="35"/>
  <c r="T574" i="35"/>
  <c r="T575" i="35"/>
  <c r="T576" i="35"/>
  <c r="T577" i="35"/>
  <c r="T578" i="35"/>
  <c r="T579" i="35"/>
  <c r="T580" i="35"/>
  <c r="T581" i="35"/>
  <c r="T582" i="35"/>
  <c r="T583" i="35"/>
  <c r="T584" i="35"/>
  <c r="T585" i="35"/>
  <c r="T586" i="35"/>
  <c r="T587" i="35"/>
  <c r="T588" i="35"/>
  <c r="T589" i="35"/>
  <c r="T590" i="35"/>
  <c r="T591" i="35"/>
  <c r="T592" i="35"/>
  <c r="T593" i="35"/>
  <c r="T594" i="35"/>
  <c r="T595" i="35"/>
  <c r="T596" i="35"/>
  <c r="T597" i="35"/>
  <c r="T598" i="35"/>
  <c r="T599" i="35"/>
  <c r="T600" i="35"/>
  <c r="T601" i="35"/>
  <c r="T602" i="35"/>
  <c r="T603" i="35"/>
  <c r="T604" i="35"/>
  <c r="T605" i="35"/>
  <c r="T606" i="35"/>
  <c r="T607" i="35"/>
  <c r="T608" i="35"/>
  <c r="T609" i="35"/>
  <c r="T610" i="35"/>
  <c r="T611" i="35"/>
  <c r="T612" i="35"/>
  <c r="T613" i="35"/>
  <c r="T614" i="35"/>
  <c r="T615" i="35"/>
  <c r="T616" i="35"/>
  <c r="T617" i="35"/>
  <c r="T618" i="35"/>
  <c r="T619" i="35"/>
  <c r="T620" i="35"/>
  <c r="T621" i="35"/>
  <c r="T622" i="35"/>
  <c r="T623" i="35"/>
  <c r="T624" i="35"/>
  <c r="T625" i="35"/>
  <c r="T626" i="35"/>
  <c r="T627" i="35"/>
  <c r="T628" i="35"/>
  <c r="T629" i="35"/>
  <c r="T630" i="35"/>
  <c r="T631" i="35"/>
  <c r="T632" i="35"/>
  <c r="T633" i="35"/>
  <c r="T634" i="35"/>
  <c r="T635" i="35"/>
  <c r="T636" i="35"/>
  <c r="T637" i="35"/>
  <c r="T638" i="35"/>
  <c r="T639" i="35"/>
  <c r="T640" i="35"/>
  <c r="T641" i="35"/>
  <c r="T642" i="35"/>
  <c r="T643" i="35"/>
  <c r="T644" i="35"/>
  <c r="T645" i="35"/>
  <c r="T646" i="35"/>
  <c r="T647" i="35"/>
  <c r="T648" i="35"/>
  <c r="T649" i="35"/>
  <c r="T650" i="35"/>
  <c r="T651" i="35"/>
  <c r="T652" i="35"/>
  <c r="T653" i="35"/>
  <c r="T654" i="35"/>
  <c r="T655" i="35"/>
  <c r="T656" i="35"/>
  <c r="T657" i="35"/>
  <c r="T658" i="35"/>
  <c r="T659" i="35"/>
  <c r="T660" i="35"/>
  <c r="T661" i="35"/>
  <c r="T662" i="35"/>
  <c r="T663" i="35"/>
  <c r="T664" i="35"/>
  <c r="T665" i="35"/>
  <c r="T666" i="35"/>
  <c r="T667" i="35"/>
  <c r="T668" i="35"/>
  <c r="T669" i="35"/>
  <c r="T670" i="35"/>
  <c r="T671" i="35"/>
  <c r="T672" i="35"/>
  <c r="T673" i="35"/>
  <c r="T674" i="35"/>
  <c r="T675" i="35"/>
  <c r="T676" i="35"/>
  <c r="T677" i="35"/>
  <c r="T678" i="35"/>
  <c r="T679" i="35"/>
  <c r="T680" i="35"/>
  <c r="T681" i="35"/>
  <c r="T682" i="35"/>
  <c r="T683" i="35"/>
  <c r="T684" i="35"/>
  <c r="T685" i="35"/>
  <c r="T686" i="35"/>
  <c r="T687" i="35"/>
  <c r="T688" i="35"/>
  <c r="T689" i="35"/>
  <c r="T690" i="35"/>
  <c r="T691" i="35"/>
  <c r="T692" i="35"/>
  <c r="T693" i="35"/>
  <c r="T694" i="35"/>
  <c r="T695" i="35"/>
  <c r="T696" i="35"/>
  <c r="T697" i="35"/>
  <c r="T698" i="35"/>
  <c r="T699" i="35"/>
  <c r="T700" i="35"/>
  <c r="T701" i="35"/>
  <c r="T702" i="35"/>
  <c r="T703" i="35"/>
  <c r="T704" i="35"/>
  <c r="T705" i="35"/>
  <c r="T706" i="35"/>
  <c r="T707" i="35"/>
  <c r="T708" i="35"/>
  <c r="T709" i="35"/>
  <c r="T710" i="35"/>
  <c r="T711" i="35"/>
  <c r="T712" i="35"/>
  <c r="T713" i="35"/>
  <c r="T714" i="35"/>
  <c r="T715" i="35"/>
  <c r="T716" i="35"/>
  <c r="T717" i="35"/>
  <c r="T718" i="35"/>
  <c r="T719" i="35"/>
  <c r="T720" i="35"/>
  <c r="T721" i="35"/>
  <c r="T722" i="35"/>
  <c r="T723" i="35"/>
  <c r="T724" i="35"/>
  <c r="T725" i="35"/>
  <c r="T726" i="35"/>
  <c r="T727" i="35"/>
  <c r="T728" i="35"/>
  <c r="T729" i="35"/>
  <c r="T730" i="35"/>
  <c r="T731" i="35"/>
  <c r="T732" i="35"/>
  <c r="T733" i="35"/>
  <c r="T734" i="35"/>
  <c r="T735" i="35"/>
  <c r="T736" i="35"/>
  <c r="T737" i="35"/>
  <c r="T738" i="35"/>
  <c r="T739" i="35"/>
  <c r="T740" i="35"/>
  <c r="T741" i="35"/>
  <c r="T742" i="35"/>
  <c r="T743" i="35"/>
  <c r="T744" i="35"/>
  <c r="T745" i="35"/>
  <c r="T746" i="35"/>
  <c r="T747" i="35"/>
  <c r="T748" i="35"/>
  <c r="T749" i="35"/>
  <c r="T750" i="35"/>
  <c r="T751" i="35"/>
  <c r="T752" i="35"/>
  <c r="T753" i="35"/>
  <c r="T754" i="35"/>
  <c r="T755" i="35"/>
  <c r="T756" i="35"/>
  <c r="T757" i="35"/>
  <c r="T758" i="35"/>
  <c r="T759" i="35"/>
  <c r="T760" i="35"/>
  <c r="T761" i="35"/>
  <c r="T762" i="35"/>
  <c r="T763" i="35"/>
  <c r="T764" i="35"/>
  <c r="T765" i="35"/>
  <c r="T766" i="35"/>
  <c r="T767" i="35"/>
  <c r="T768" i="35"/>
  <c r="T769" i="35"/>
  <c r="T770" i="35"/>
  <c r="T771" i="35"/>
  <c r="T772" i="35"/>
  <c r="T773" i="35"/>
  <c r="T774" i="35"/>
  <c r="T775" i="35"/>
  <c r="T776" i="35"/>
  <c r="T777" i="35"/>
  <c r="T778" i="35"/>
  <c r="T779" i="35"/>
  <c r="T780" i="35"/>
  <c r="T781" i="35"/>
  <c r="T782" i="35"/>
  <c r="T783" i="35"/>
  <c r="T784" i="35"/>
  <c r="T785" i="35"/>
  <c r="T786" i="35"/>
  <c r="T787" i="35"/>
  <c r="T788" i="35"/>
  <c r="T789" i="35"/>
  <c r="T790" i="35"/>
  <c r="T791" i="35"/>
  <c r="T792" i="35"/>
  <c r="T793" i="35"/>
  <c r="T794" i="35"/>
  <c r="T795" i="35"/>
  <c r="T796" i="35"/>
  <c r="T797" i="35"/>
  <c r="T798" i="35"/>
  <c r="T799" i="35"/>
  <c r="T800" i="35"/>
  <c r="T801" i="35"/>
  <c r="T802" i="35"/>
  <c r="T803" i="35"/>
  <c r="T804" i="35"/>
  <c r="T805" i="35"/>
  <c r="T806" i="35"/>
  <c r="T807" i="35"/>
  <c r="T808" i="35"/>
  <c r="T809" i="35"/>
  <c r="T810" i="35"/>
  <c r="T811" i="35"/>
  <c r="T812" i="35"/>
  <c r="T813" i="35"/>
  <c r="T814" i="35"/>
  <c r="T815" i="35"/>
  <c r="T816" i="35"/>
  <c r="T817" i="35"/>
  <c r="T818" i="35"/>
  <c r="T819" i="35"/>
  <c r="T820" i="35"/>
  <c r="T821" i="35"/>
  <c r="T822" i="35"/>
  <c r="T823" i="35"/>
  <c r="T824" i="35"/>
  <c r="T825" i="35"/>
  <c r="T826" i="35"/>
  <c r="T827" i="35"/>
  <c r="T828" i="35"/>
  <c r="T829" i="35"/>
  <c r="T830" i="35"/>
  <c r="T831" i="35"/>
  <c r="T832" i="35"/>
  <c r="T833" i="35"/>
  <c r="T834" i="35"/>
  <c r="T835" i="35"/>
  <c r="T836" i="35"/>
  <c r="T837" i="35"/>
  <c r="T838" i="35"/>
  <c r="T839" i="35"/>
  <c r="T840" i="35"/>
  <c r="T841" i="35"/>
  <c r="T842" i="35"/>
  <c r="T843" i="35"/>
  <c r="T844" i="35"/>
  <c r="T845" i="35"/>
  <c r="T846" i="35"/>
  <c r="T847" i="35"/>
  <c r="T848" i="35"/>
  <c r="T849" i="35"/>
  <c r="T850" i="35"/>
  <c r="T851" i="35"/>
  <c r="T852" i="35"/>
  <c r="T853" i="35"/>
  <c r="T854" i="35"/>
  <c r="T855" i="35"/>
  <c r="T856" i="35"/>
  <c r="T857" i="35"/>
  <c r="T858" i="35"/>
  <c r="T859" i="35"/>
  <c r="T860" i="35"/>
  <c r="T861" i="35"/>
  <c r="T862" i="35"/>
  <c r="T863" i="35"/>
  <c r="T864" i="35"/>
  <c r="T865" i="35"/>
  <c r="T866" i="35"/>
  <c r="T867" i="35"/>
  <c r="T868" i="35"/>
  <c r="T869" i="35"/>
  <c r="T870" i="35"/>
  <c r="T871" i="35"/>
  <c r="T872" i="35"/>
  <c r="T873" i="35"/>
  <c r="T874" i="35"/>
  <c r="T875" i="35"/>
  <c r="T876" i="35"/>
  <c r="T877" i="35"/>
  <c r="T878" i="35"/>
  <c r="T879" i="35"/>
  <c r="T880" i="35"/>
  <c r="T881" i="35"/>
  <c r="T882" i="35"/>
  <c r="T883" i="35"/>
  <c r="T884" i="35"/>
  <c r="T885" i="35"/>
  <c r="T886" i="35"/>
  <c r="T887" i="35"/>
  <c r="T888" i="35"/>
  <c r="T889" i="35"/>
  <c r="T890" i="35"/>
  <c r="T891" i="35"/>
  <c r="T892" i="35"/>
  <c r="T893" i="35"/>
  <c r="T894" i="35"/>
  <c r="T895" i="35"/>
  <c r="T896" i="35"/>
  <c r="T897" i="35"/>
  <c r="T898" i="35"/>
  <c r="T899" i="35"/>
  <c r="T900" i="35"/>
  <c r="T901" i="35"/>
  <c r="T902" i="35"/>
  <c r="T903" i="35"/>
  <c r="T904" i="35"/>
  <c r="T905" i="35"/>
  <c r="T906" i="35"/>
  <c r="T907" i="35"/>
  <c r="T908" i="35"/>
  <c r="T909" i="35"/>
  <c r="T910" i="35"/>
  <c r="T911" i="35"/>
  <c r="T912" i="35"/>
  <c r="T913" i="35"/>
  <c r="T914" i="35"/>
  <c r="T915" i="35"/>
  <c r="T916" i="35"/>
  <c r="T917" i="35"/>
  <c r="T918" i="35"/>
  <c r="T919" i="35"/>
  <c r="T920" i="35"/>
  <c r="T921" i="35"/>
  <c r="T922" i="35"/>
  <c r="T923" i="35"/>
  <c r="T924" i="35"/>
  <c r="T925" i="35"/>
  <c r="T926" i="35"/>
  <c r="T927" i="35"/>
  <c r="T928" i="35"/>
  <c r="T929" i="35"/>
  <c r="T930" i="35"/>
  <c r="T931" i="35"/>
  <c r="T932" i="35"/>
  <c r="T933" i="35"/>
  <c r="T934" i="35"/>
  <c r="T935" i="35"/>
  <c r="T936" i="35"/>
  <c r="T937" i="35"/>
  <c r="T938" i="35"/>
  <c r="T939" i="35"/>
  <c r="T940" i="35"/>
  <c r="T941" i="35"/>
  <c r="T942" i="35"/>
  <c r="T943" i="35"/>
  <c r="T944" i="35"/>
  <c r="T945" i="35"/>
  <c r="T946" i="35"/>
  <c r="T947" i="35"/>
  <c r="T948" i="35"/>
  <c r="T949" i="35"/>
  <c r="T950" i="35"/>
  <c r="T951" i="35"/>
  <c r="T952" i="35"/>
  <c r="T953" i="35"/>
  <c r="T954" i="35"/>
  <c r="T955" i="35"/>
  <c r="T956" i="35"/>
  <c r="T957" i="35"/>
  <c r="T958" i="35"/>
  <c r="T959" i="35"/>
  <c r="T960" i="35"/>
  <c r="T961" i="35"/>
  <c r="T962" i="35"/>
  <c r="T963" i="35"/>
  <c r="T964" i="35"/>
  <c r="T965" i="35"/>
  <c r="T966" i="35"/>
  <c r="T967" i="35"/>
  <c r="T968" i="35"/>
  <c r="T969" i="35"/>
  <c r="T970" i="35"/>
  <c r="T971" i="35"/>
  <c r="T972" i="35"/>
  <c r="T973" i="35"/>
  <c r="T974" i="35"/>
  <c r="T975" i="35"/>
  <c r="T976" i="35"/>
  <c r="T977" i="35"/>
  <c r="T978" i="35"/>
  <c r="T979" i="35"/>
  <c r="T980" i="35"/>
  <c r="T981" i="35"/>
  <c r="T982" i="35"/>
  <c r="T983" i="35"/>
  <c r="T984" i="35"/>
  <c r="T985" i="35"/>
  <c r="T986" i="35"/>
  <c r="T987" i="35"/>
  <c r="T988" i="35"/>
  <c r="T989" i="35"/>
  <c r="T990" i="35"/>
  <c r="T991" i="35"/>
  <c r="T992" i="35"/>
  <c r="T993" i="35"/>
  <c r="T994" i="35"/>
  <c r="T995" i="35"/>
  <c r="T996" i="35"/>
  <c r="T997" i="35"/>
  <c r="T998" i="35"/>
  <c r="T999" i="35"/>
  <c r="T1000" i="35"/>
  <c r="T1001" i="35"/>
  <c r="T1002" i="35"/>
  <c r="T1003" i="35"/>
  <c r="T1004" i="35"/>
  <c r="T1005" i="35"/>
  <c r="T1006" i="35"/>
  <c r="T1007" i="35"/>
  <c r="T1008" i="35"/>
  <c r="T1009" i="35"/>
  <c r="T1010" i="35"/>
  <c r="T1011" i="35"/>
  <c r="T1012" i="35"/>
  <c r="T1013" i="35"/>
  <c r="T1014" i="35"/>
  <c r="T1015" i="35"/>
  <c r="T1016" i="35"/>
  <c r="T1017" i="35"/>
  <c r="T1018" i="35"/>
  <c r="T1019" i="35"/>
  <c r="T1020" i="35"/>
  <c r="T1021" i="35"/>
  <c r="T1022" i="35"/>
  <c r="T1023" i="35"/>
  <c r="T1024" i="35"/>
  <c r="T1025" i="35"/>
  <c r="T1026" i="35"/>
  <c r="T1027" i="35"/>
  <c r="T1028" i="35"/>
  <c r="T1029" i="35"/>
  <c r="T1030" i="35"/>
  <c r="T1031" i="35"/>
  <c r="T1032" i="35"/>
  <c r="T1033" i="35"/>
  <c r="T1034" i="35"/>
  <c r="T1035" i="35"/>
  <c r="T1036" i="35"/>
  <c r="T1037" i="35"/>
  <c r="T1038" i="35"/>
  <c r="T1039" i="35"/>
  <c r="T1040" i="35"/>
  <c r="T1041" i="35"/>
  <c r="T1042" i="35"/>
  <c r="T1043" i="35"/>
  <c r="T1044" i="35"/>
  <c r="T1045" i="35"/>
  <c r="T1046" i="35"/>
  <c r="T1047" i="35"/>
  <c r="T1048" i="35"/>
  <c r="T1049" i="35"/>
  <c r="T1050" i="35"/>
  <c r="T1051" i="35"/>
  <c r="T1052" i="35"/>
  <c r="T1053" i="35"/>
  <c r="T1054" i="35"/>
  <c r="T1055" i="35"/>
  <c r="T1056" i="35"/>
  <c r="T1057" i="35"/>
  <c r="T1058" i="35"/>
  <c r="T1059" i="35"/>
  <c r="T1060" i="35"/>
  <c r="T1061" i="35"/>
  <c r="T1062" i="35"/>
  <c r="T1063" i="35"/>
  <c r="T1064" i="35"/>
  <c r="T1065" i="35"/>
  <c r="T1066" i="35"/>
  <c r="T1067" i="35"/>
  <c r="T1068" i="35"/>
  <c r="T1069" i="35"/>
  <c r="T1070" i="35"/>
  <c r="T1071" i="35"/>
  <c r="T1072" i="35"/>
  <c r="T1073" i="35"/>
  <c r="T1074" i="35"/>
  <c r="T1075" i="35"/>
  <c r="T1076" i="35"/>
  <c r="T1077" i="35"/>
  <c r="T1078" i="35"/>
  <c r="T1079" i="35"/>
  <c r="T1080" i="35"/>
  <c r="T1081" i="35"/>
  <c r="T1082" i="35"/>
  <c r="T1083" i="35"/>
  <c r="T1084" i="35"/>
  <c r="T1085" i="35"/>
  <c r="T1086" i="35"/>
  <c r="T1087" i="35"/>
  <c r="T1088" i="35"/>
  <c r="T1089" i="35"/>
  <c r="T1090" i="35"/>
  <c r="T1091" i="35"/>
  <c r="T1092" i="35"/>
  <c r="T1093" i="35"/>
  <c r="T1094" i="35"/>
  <c r="T1095" i="35"/>
  <c r="T1096" i="35"/>
  <c r="T1097" i="35"/>
  <c r="T1098" i="35"/>
  <c r="T1099" i="35"/>
  <c r="T1100" i="35"/>
  <c r="T1101" i="35"/>
  <c r="T1102" i="35"/>
  <c r="T1103" i="35"/>
  <c r="T1104" i="35"/>
  <c r="T1105" i="35"/>
  <c r="T1106" i="35"/>
  <c r="T1107" i="35"/>
  <c r="T1108" i="35"/>
  <c r="T1109" i="35"/>
  <c r="T1110" i="35"/>
  <c r="T1111" i="35"/>
  <c r="T1112" i="35"/>
  <c r="T1113" i="35"/>
  <c r="T1114" i="35"/>
  <c r="T1115" i="35"/>
  <c r="T1116" i="35"/>
  <c r="T1117" i="35"/>
  <c r="T1118" i="35"/>
  <c r="T1119" i="35"/>
  <c r="T1120" i="35"/>
  <c r="T1121" i="35"/>
  <c r="T1122" i="35"/>
  <c r="T1123" i="35"/>
  <c r="T1124" i="35"/>
  <c r="T1125" i="35"/>
  <c r="T1126" i="35"/>
  <c r="T1127" i="35"/>
  <c r="T1128" i="35"/>
  <c r="T1129" i="35"/>
  <c r="T1130" i="35"/>
  <c r="T1131" i="35"/>
  <c r="T1132" i="35"/>
  <c r="T1133" i="35"/>
  <c r="T1134" i="35"/>
  <c r="T1135" i="35"/>
  <c r="T1136" i="35"/>
  <c r="T1137" i="35"/>
  <c r="T1138" i="35"/>
  <c r="T1139" i="35"/>
  <c r="T1140" i="35"/>
  <c r="T1141" i="35"/>
  <c r="T1142" i="35"/>
  <c r="T1143" i="35"/>
  <c r="T1144" i="35"/>
  <c r="T1145" i="35"/>
  <c r="T1146" i="35"/>
  <c r="T1147" i="35"/>
  <c r="T1148" i="35"/>
  <c r="T1149" i="35"/>
  <c r="T1150" i="35"/>
  <c r="T1151" i="35"/>
  <c r="T1152" i="35"/>
  <c r="T1153" i="35"/>
  <c r="T1154" i="35"/>
  <c r="T1155" i="35"/>
  <c r="T1156" i="35"/>
  <c r="T1157" i="35"/>
  <c r="T1158" i="35"/>
  <c r="T1159" i="35"/>
  <c r="T1160" i="35"/>
  <c r="T1161" i="35"/>
  <c r="T1162" i="35"/>
  <c r="T1163" i="35"/>
  <c r="T1164" i="35"/>
  <c r="T1165" i="35"/>
  <c r="T1166" i="35"/>
  <c r="T1167" i="35"/>
  <c r="T1168" i="35"/>
  <c r="T1169" i="35"/>
  <c r="T1170" i="35"/>
  <c r="T1171" i="35"/>
  <c r="T1172" i="35"/>
  <c r="T1173" i="35"/>
  <c r="T1174" i="35"/>
  <c r="T1175" i="35"/>
  <c r="T1176" i="35"/>
  <c r="T1177" i="35"/>
  <c r="T1178" i="35"/>
  <c r="T1179" i="35"/>
  <c r="T1180" i="35"/>
  <c r="T1181" i="35"/>
  <c r="T1182" i="35"/>
  <c r="T1183" i="35"/>
  <c r="T1184" i="35"/>
  <c r="T1185" i="35"/>
  <c r="T1186" i="35"/>
  <c r="T1187" i="35"/>
  <c r="T1188" i="35"/>
  <c r="T1189" i="35"/>
  <c r="T1190" i="35"/>
  <c r="T1191" i="35"/>
  <c r="T1192" i="35"/>
  <c r="T1193" i="35"/>
  <c r="T1194" i="35"/>
  <c r="T1195" i="35"/>
  <c r="T1196" i="35"/>
  <c r="T1197" i="35"/>
  <c r="T1198" i="35"/>
  <c r="T1199" i="35"/>
  <c r="T1200" i="35"/>
  <c r="T1201" i="35"/>
  <c r="T1202" i="35"/>
  <c r="T1203" i="35"/>
  <c r="T1204" i="35"/>
  <c r="T1205" i="35"/>
  <c r="T1206" i="35"/>
  <c r="T1207" i="35"/>
  <c r="T1208" i="35"/>
  <c r="T1209" i="35"/>
  <c r="T1210" i="35"/>
  <c r="T1211" i="35"/>
  <c r="T1212" i="35"/>
  <c r="T1213" i="35"/>
  <c r="T1214" i="35"/>
  <c r="T1215" i="35"/>
  <c r="T1216" i="35"/>
  <c r="T1217" i="35"/>
  <c r="T1218" i="35"/>
  <c r="T1219" i="35"/>
  <c r="T1220" i="35"/>
  <c r="T1221" i="35"/>
  <c r="T1222" i="35"/>
  <c r="T1223" i="35"/>
  <c r="T1224" i="35"/>
  <c r="T1225" i="35"/>
  <c r="T1226" i="35"/>
  <c r="T1227" i="35"/>
  <c r="T1228" i="35"/>
  <c r="T1229" i="35"/>
  <c r="T1230" i="35"/>
  <c r="T1231" i="35"/>
  <c r="T1232" i="35"/>
  <c r="T1233" i="35"/>
  <c r="T1234" i="35"/>
  <c r="T1235" i="35"/>
  <c r="T1236" i="35"/>
  <c r="T1237" i="35"/>
  <c r="T1238" i="35"/>
  <c r="T1239" i="35"/>
  <c r="T1240" i="35"/>
  <c r="T1241" i="35"/>
  <c r="T1242" i="35"/>
  <c r="T1243" i="35"/>
  <c r="T1244" i="35"/>
  <c r="T1245" i="35"/>
  <c r="T1246" i="35"/>
  <c r="T1247" i="35"/>
  <c r="T1248" i="35"/>
  <c r="T1249" i="35"/>
  <c r="T1250" i="35"/>
  <c r="T1251" i="35"/>
  <c r="T1252" i="35"/>
  <c r="T1253" i="35"/>
  <c r="T1254" i="35"/>
  <c r="T1255" i="35"/>
  <c r="T1256" i="35"/>
  <c r="T1257" i="35"/>
  <c r="T1258" i="35"/>
  <c r="T1259" i="35"/>
  <c r="T1260" i="35"/>
  <c r="T1261" i="35"/>
  <c r="T1262" i="35"/>
  <c r="T1263" i="35"/>
  <c r="T1264" i="35"/>
  <c r="T1265" i="35"/>
  <c r="T1266" i="35"/>
  <c r="T1267" i="35"/>
  <c r="T1268" i="35"/>
  <c r="T1269" i="35"/>
  <c r="T1270" i="35"/>
  <c r="T1271" i="35"/>
  <c r="T1272" i="35"/>
  <c r="T1273" i="35"/>
  <c r="T1274" i="35"/>
  <c r="T1275" i="35"/>
  <c r="T1276" i="35"/>
  <c r="T1277" i="35"/>
  <c r="T1278" i="35"/>
  <c r="T1279" i="35"/>
  <c r="T1280" i="35"/>
  <c r="T1281" i="35"/>
  <c r="T1282" i="35"/>
  <c r="T1283" i="35"/>
  <c r="T1284" i="35"/>
  <c r="T1285" i="35"/>
  <c r="T1286" i="35"/>
  <c r="T1287" i="35"/>
  <c r="T1288" i="35"/>
  <c r="T1289" i="35"/>
  <c r="T1290" i="35"/>
  <c r="T1291" i="35"/>
  <c r="T1292" i="35"/>
  <c r="T1293" i="35"/>
  <c r="T1294" i="35"/>
  <c r="T1295" i="35"/>
  <c r="T1296" i="35"/>
  <c r="T1297" i="35"/>
  <c r="T1298" i="35"/>
  <c r="T1299" i="35"/>
  <c r="T1300" i="35"/>
  <c r="T1301" i="35"/>
  <c r="T1302" i="35"/>
  <c r="T1303" i="35"/>
  <c r="T1304" i="35"/>
  <c r="T1305" i="35"/>
  <c r="T1306" i="35"/>
  <c r="T1307" i="35"/>
  <c r="T1308" i="35"/>
  <c r="T1309" i="35"/>
  <c r="T1310" i="35"/>
  <c r="T1311" i="35"/>
  <c r="T1312" i="35"/>
  <c r="T1313" i="35"/>
  <c r="T1314" i="35"/>
  <c r="T1315" i="35"/>
  <c r="T1316" i="35"/>
  <c r="T1317" i="35"/>
  <c r="T1318" i="35"/>
  <c r="T1319" i="35"/>
  <c r="T1320" i="35"/>
  <c r="T1321" i="35"/>
  <c r="T1322" i="35"/>
  <c r="T1323" i="35"/>
  <c r="T1324" i="35"/>
  <c r="T1325" i="35"/>
  <c r="T1326" i="35"/>
  <c r="T1327" i="35"/>
  <c r="T1328" i="35"/>
  <c r="T1329" i="35"/>
  <c r="T1330" i="35"/>
  <c r="T1331" i="35"/>
  <c r="T1332" i="35"/>
  <c r="T1333" i="35"/>
  <c r="T1334" i="35"/>
  <c r="T1335" i="35"/>
  <c r="T1336" i="35"/>
  <c r="T1337" i="35"/>
  <c r="T1338" i="35"/>
  <c r="T1339" i="35"/>
  <c r="T1340" i="35"/>
  <c r="T1341" i="35"/>
  <c r="T1342" i="35"/>
  <c r="T1343" i="35"/>
  <c r="T1344" i="35"/>
  <c r="T1345" i="35"/>
  <c r="T1346" i="35"/>
  <c r="T1347" i="35"/>
  <c r="T1348" i="35"/>
  <c r="T1349" i="35"/>
  <c r="T1350" i="35"/>
  <c r="T1351" i="35"/>
  <c r="T1352" i="35"/>
  <c r="T1353" i="35"/>
  <c r="T1354" i="35"/>
  <c r="T1355" i="35"/>
  <c r="T1356" i="35"/>
  <c r="T1357" i="35"/>
  <c r="T1358" i="35"/>
  <c r="T1359" i="35"/>
  <c r="T1360" i="35"/>
  <c r="T1361" i="35"/>
  <c r="T1362" i="35"/>
  <c r="T1363" i="35"/>
  <c r="T1364" i="35"/>
  <c r="T1365" i="35"/>
  <c r="T1366" i="35"/>
  <c r="T1367" i="35"/>
  <c r="T1368" i="35"/>
  <c r="T1369" i="35"/>
  <c r="T1370" i="35"/>
  <c r="T1371" i="35"/>
  <c r="T1372" i="35"/>
  <c r="T1373" i="35"/>
  <c r="T1374" i="35"/>
  <c r="T1375" i="35"/>
  <c r="T1376" i="35"/>
  <c r="T1377" i="35"/>
  <c r="T1378" i="35"/>
  <c r="T1379" i="35"/>
  <c r="T1380" i="35"/>
  <c r="T1381" i="35"/>
  <c r="T1382" i="35"/>
  <c r="T1383" i="35"/>
  <c r="T1384" i="35"/>
  <c r="T1385" i="35"/>
  <c r="T1386" i="35"/>
  <c r="T1387" i="35"/>
  <c r="T1388" i="35"/>
  <c r="T1389" i="35"/>
  <c r="T1390" i="35"/>
  <c r="T1391" i="35"/>
  <c r="T1392" i="35"/>
  <c r="T1393" i="35"/>
  <c r="T1394" i="35"/>
  <c r="T1395" i="35"/>
  <c r="T1396" i="35"/>
  <c r="T1397" i="35"/>
  <c r="T1398" i="35"/>
  <c r="T1399" i="35"/>
  <c r="T1400" i="35"/>
  <c r="T1401" i="35"/>
  <c r="T1402" i="35"/>
  <c r="T1403" i="35"/>
  <c r="T1404" i="35"/>
  <c r="T1405" i="35"/>
  <c r="T1406" i="35"/>
  <c r="T1407" i="35"/>
  <c r="T1408" i="35"/>
  <c r="T1409" i="35"/>
  <c r="T1410" i="35"/>
  <c r="T1411" i="35"/>
  <c r="T1412" i="35"/>
  <c r="T1413" i="35"/>
  <c r="T1414" i="35"/>
  <c r="T1415" i="35"/>
  <c r="T1416" i="35"/>
  <c r="T1417" i="35"/>
  <c r="T1418" i="35"/>
  <c r="T1419" i="35"/>
  <c r="T1420" i="35"/>
  <c r="T1421" i="35"/>
  <c r="T1422" i="35"/>
  <c r="T1423" i="35"/>
  <c r="T1424" i="35"/>
  <c r="T1425" i="35"/>
  <c r="T1426" i="35"/>
  <c r="T1427" i="35"/>
  <c r="T1428" i="35"/>
  <c r="T1429" i="35"/>
  <c r="T1430" i="35"/>
  <c r="T1431" i="35"/>
  <c r="T1432" i="35"/>
  <c r="T1433" i="35"/>
  <c r="T1434" i="35"/>
  <c r="T1435" i="35"/>
  <c r="T1436" i="35"/>
  <c r="T1437" i="35"/>
  <c r="T1438" i="35"/>
  <c r="T1439" i="35"/>
  <c r="T1440" i="35"/>
  <c r="T1441" i="35"/>
  <c r="T1442" i="35"/>
  <c r="T1443" i="35"/>
  <c r="T1444" i="35"/>
  <c r="T1445" i="35"/>
  <c r="T1446" i="35"/>
  <c r="T1447" i="35"/>
  <c r="T1448" i="35"/>
  <c r="T1449" i="35"/>
  <c r="T1450" i="35"/>
  <c r="T1451" i="35"/>
  <c r="T1452" i="35"/>
  <c r="U2" i="35"/>
  <c r="U3" i="35"/>
  <c r="U4" i="35"/>
  <c r="U5" i="35"/>
  <c r="U6" i="35"/>
  <c r="U7" i="35"/>
  <c r="U8" i="35"/>
  <c r="U9" i="35"/>
  <c r="U10" i="35"/>
  <c r="U11" i="35"/>
  <c r="U12" i="35"/>
  <c r="U13" i="35"/>
  <c r="U14" i="35"/>
  <c r="U15" i="35"/>
  <c r="U16" i="35"/>
  <c r="U17" i="35"/>
  <c r="U18" i="35"/>
  <c r="U19" i="35"/>
  <c r="U20" i="35"/>
  <c r="U21" i="35"/>
  <c r="U22" i="35"/>
  <c r="U23" i="35"/>
  <c r="U24" i="35"/>
  <c r="U25" i="35"/>
  <c r="U26" i="35"/>
  <c r="U27" i="35"/>
  <c r="U28" i="35"/>
  <c r="U29" i="35"/>
  <c r="U30" i="35"/>
  <c r="U31" i="35"/>
  <c r="U32" i="35"/>
  <c r="U33" i="35"/>
  <c r="U34" i="35"/>
  <c r="U35" i="35"/>
  <c r="U36" i="35"/>
  <c r="U37" i="35"/>
  <c r="U38" i="35"/>
  <c r="U39" i="35"/>
  <c r="U40" i="35"/>
  <c r="U41" i="35"/>
  <c r="U42" i="35"/>
  <c r="U43" i="35"/>
  <c r="U44" i="35"/>
  <c r="U45" i="35"/>
  <c r="U46" i="35"/>
  <c r="U47" i="35"/>
  <c r="U48" i="35"/>
  <c r="U49" i="35"/>
  <c r="U50" i="35"/>
  <c r="U51" i="35"/>
  <c r="U52" i="35"/>
  <c r="U53" i="35"/>
  <c r="U54" i="35"/>
  <c r="U55" i="35"/>
  <c r="U56" i="35"/>
  <c r="U57" i="35"/>
  <c r="U58" i="35"/>
  <c r="U59" i="35"/>
  <c r="U60" i="35"/>
  <c r="U61" i="35"/>
  <c r="U62" i="35"/>
  <c r="U63" i="35"/>
  <c r="U64" i="35"/>
  <c r="U65" i="35"/>
  <c r="U66" i="35"/>
  <c r="U67" i="35"/>
  <c r="U68" i="35"/>
  <c r="U69" i="35"/>
  <c r="U70" i="35"/>
  <c r="U71" i="35"/>
  <c r="U72" i="35"/>
  <c r="U73" i="35"/>
  <c r="U74" i="35"/>
  <c r="U75" i="35"/>
  <c r="U76" i="35"/>
  <c r="U77" i="35"/>
  <c r="U78" i="35"/>
  <c r="U79" i="35"/>
  <c r="U80" i="35"/>
  <c r="U81" i="35"/>
  <c r="U82" i="35"/>
  <c r="U83" i="35"/>
  <c r="U84" i="35"/>
  <c r="U85" i="35"/>
  <c r="U86" i="35"/>
  <c r="U87" i="35"/>
  <c r="U88" i="35"/>
  <c r="U89" i="35"/>
  <c r="U90" i="35"/>
  <c r="U91" i="35"/>
  <c r="U92" i="35"/>
  <c r="U93" i="35"/>
  <c r="U94" i="35"/>
  <c r="U95" i="35"/>
  <c r="U96" i="35"/>
  <c r="U97" i="35"/>
  <c r="U98" i="35"/>
  <c r="U99" i="35"/>
  <c r="U100" i="35"/>
  <c r="U101" i="35"/>
  <c r="U102" i="35"/>
  <c r="U103" i="35"/>
  <c r="U104" i="35"/>
  <c r="U105" i="35"/>
  <c r="U106" i="35"/>
  <c r="U107" i="35"/>
  <c r="U108" i="35"/>
  <c r="U109" i="35"/>
  <c r="U110" i="35"/>
  <c r="U111" i="35"/>
  <c r="U112" i="35"/>
  <c r="U113" i="35"/>
  <c r="U114" i="35"/>
  <c r="U115" i="35"/>
  <c r="U116" i="35"/>
  <c r="U117" i="35"/>
  <c r="U118" i="35"/>
  <c r="U119" i="35"/>
  <c r="U120" i="35"/>
  <c r="U121" i="35"/>
  <c r="U122" i="35"/>
  <c r="U123" i="35"/>
  <c r="U124" i="35"/>
  <c r="U125" i="35"/>
  <c r="U126" i="35"/>
  <c r="U127" i="35"/>
  <c r="U128" i="35"/>
  <c r="U129" i="35"/>
  <c r="U130" i="35"/>
  <c r="U131" i="35"/>
  <c r="U132" i="35"/>
  <c r="U133" i="35"/>
  <c r="U134" i="35"/>
  <c r="U135" i="35"/>
  <c r="U136" i="35"/>
  <c r="U137" i="35"/>
  <c r="U138" i="35"/>
  <c r="U139" i="35"/>
  <c r="U140" i="35"/>
  <c r="U141" i="35"/>
  <c r="U142" i="35"/>
  <c r="U143" i="35"/>
  <c r="U144" i="35"/>
  <c r="U145" i="35"/>
  <c r="U146" i="35"/>
  <c r="U147" i="35"/>
  <c r="U148" i="35"/>
  <c r="U149" i="35"/>
  <c r="U150" i="35"/>
  <c r="U151" i="35"/>
  <c r="U152" i="35"/>
  <c r="U153" i="35"/>
  <c r="U154" i="35"/>
  <c r="U155" i="35"/>
  <c r="U156" i="35"/>
  <c r="U157" i="35"/>
  <c r="U158" i="35"/>
  <c r="U159" i="35"/>
  <c r="U160" i="35"/>
  <c r="U161" i="35"/>
  <c r="U162" i="35"/>
  <c r="U163" i="35"/>
  <c r="U164" i="35"/>
  <c r="U165" i="35"/>
  <c r="U166" i="35"/>
  <c r="U167" i="35"/>
  <c r="U168" i="35"/>
  <c r="U169" i="35"/>
  <c r="U170" i="35"/>
  <c r="U171" i="35"/>
  <c r="U172" i="35"/>
  <c r="U173" i="35"/>
  <c r="U174" i="35"/>
  <c r="U175" i="35"/>
  <c r="U176" i="35"/>
  <c r="U177" i="35"/>
  <c r="U178" i="35"/>
  <c r="U179" i="35"/>
  <c r="U180" i="35"/>
  <c r="U181" i="35"/>
  <c r="U182" i="35"/>
  <c r="U183" i="35"/>
  <c r="U184" i="35"/>
  <c r="U185" i="35"/>
  <c r="U186" i="35"/>
  <c r="U187" i="35"/>
  <c r="U188" i="35"/>
  <c r="U189" i="35"/>
  <c r="U190" i="35"/>
  <c r="U191" i="35"/>
  <c r="U192" i="35"/>
  <c r="U193" i="35"/>
  <c r="U194" i="35"/>
  <c r="U195" i="35"/>
  <c r="U196" i="35"/>
  <c r="U197" i="35"/>
  <c r="U198" i="35"/>
  <c r="U199" i="35"/>
  <c r="U200" i="35"/>
  <c r="U201" i="35"/>
  <c r="U202" i="35"/>
  <c r="U203" i="35"/>
  <c r="U204" i="35"/>
  <c r="U205" i="35"/>
  <c r="U206" i="35"/>
  <c r="U207" i="35"/>
  <c r="U208" i="35"/>
  <c r="U209" i="35"/>
  <c r="U210" i="35"/>
  <c r="U211" i="35"/>
  <c r="U212" i="35"/>
  <c r="U213" i="35"/>
  <c r="U214" i="35"/>
  <c r="U215" i="35"/>
  <c r="U216" i="35"/>
  <c r="U217" i="35"/>
  <c r="U218" i="35"/>
  <c r="U219" i="35"/>
  <c r="U220" i="35"/>
  <c r="U221" i="35"/>
  <c r="U222" i="35"/>
  <c r="U223" i="35"/>
  <c r="U224" i="35"/>
  <c r="U225" i="35"/>
  <c r="U226" i="35"/>
  <c r="U227" i="35"/>
  <c r="U228" i="35"/>
  <c r="U229" i="35"/>
  <c r="U230" i="35"/>
  <c r="U231" i="35"/>
  <c r="U232" i="35"/>
  <c r="U233" i="35"/>
  <c r="U234" i="35"/>
  <c r="U235" i="35"/>
  <c r="U236" i="35"/>
  <c r="U237" i="35"/>
  <c r="U238" i="35"/>
  <c r="U239" i="35"/>
  <c r="U240" i="35"/>
  <c r="U241" i="35"/>
  <c r="U242" i="35"/>
  <c r="U243" i="35"/>
  <c r="U244" i="35"/>
  <c r="U245" i="35"/>
  <c r="U246" i="35"/>
  <c r="U247" i="35"/>
  <c r="U248" i="35"/>
  <c r="U249" i="35"/>
  <c r="U250" i="35"/>
  <c r="U251" i="35"/>
  <c r="U252" i="35"/>
  <c r="U253" i="35"/>
  <c r="U254" i="35"/>
  <c r="U255" i="35"/>
  <c r="U256" i="35"/>
  <c r="U257" i="35"/>
  <c r="U258" i="35"/>
  <c r="U259" i="35"/>
  <c r="U260" i="35"/>
  <c r="U261" i="35"/>
  <c r="U262" i="35"/>
  <c r="U263" i="35"/>
  <c r="U264" i="35"/>
  <c r="U265" i="35"/>
  <c r="U266" i="35"/>
  <c r="U267" i="35"/>
  <c r="U268" i="35"/>
  <c r="U269" i="35"/>
  <c r="U270" i="35"/>
  <c r="U271" i="35"/>
  <c r="U272" i="35"/>
  <c r="U273" i="35"/>
  <c r="U274" i="35"/>
  <c r="U275" i="35"/>
  <c r="U276" i="35"/>
  <c r="U277" i="35"/>
  <c r="U278" i="35"/>
  <c r="U279" i="35"/>
  <c r="U280" i="35"/>
  <c r="U281" i="35"/>
  <c r="U282" i="35"/>
  <c r="U283" i="35"/>
  <c r="U284" i="35"/>
  <c r="U285" i="35"/>
  <c r="U286" i="35"/>
  <c r="U287" i="35"/>
  <c r="U288" i="35"/>
  <c r="U289" i="35"/>
  <c r="U290" i="35"/>
  <c r="U291" i="35"/>
  <c r="U292" i="35"/>
  <c r="U293" i="35"/>
  <c r="U294" i="35"/>
  <c r="U295" i="35"/>
  <c r="U296" i="35"/>
  <c r="U297" i="35"/>
  <c r="U298" i="35"/>
  <c r="U299" i="35"/>
  <c r="U300" i="35"/>
  <c r="U301" i="35"/>
  <c r="U302" i="35"/>
  <c r="U303" i="35"/>
  <c r="U304" i="35"/>
  <c r="U305" i="35"/>
  <c r="U306" i="35"/>
  <c r="U307" i="35"/>
  <c r="U308" i="35"/>
  <c r="U309" i="35"/>
  <c r="U310" i="35"/>
  <c r="U311" i="35"/>
  <c r="U312" i="35"/>
  <c r="U313" i="35"/>
  <c r="U314" i="35"/>
  <c r="U315" i="35"/>
  <c r="U316" i="35"/>
  <c r="U317" i="35"/>
  <c r="U318" i="35"/>
  <c r="U319" i="35"/>
  <c r="U320" i="35"/>
  <c r="U321" i="35"/>
  <c r="U322" i="35"/>
  <c r="U323" i="35"/>
  <c r="U324" i="35"/>
  <c r="U325" i="35"/>
  <c r="U326" i="35"/>
  <c r="U327" i="35"/>
  <c r="U328" i="35"/>
  <c r="U329" i="35"/>
  <c r="U330" i="35"/>
  <c r="U331" i="35"/>
  <c r="U332" i="35"/>
  <c r="U333" i="35"/>
  <c r="U334" i="35"/>
  <c r="U335" i="35"/>
  <c r="U336" i="35"/>
  <c r="U337" i="35"/>
  <c r="U338" i="35"/>
  <c r="U339" i="35"/>
  <c r="U340" i="35"/>
  <c r="U341" i="35"/>
  <c r="U342" i="35"/>
  <c r="U343" i="35"/>
  <c r="U344" i="35"/>
  <c r="U345" i="35"/>
  <c r="U346" i="35"/>
  <c r="U347" i="35"/>
  <c r="U348" i="35"/>
  <c r="U349" i="35"/>
  <c r="U350" i="35"/>
  <c r="U351" i="35"/>
  <c r="U352" i="35"/>
  <c r="U353" i="35"/>
  <c r="U354" i="35"/>
  <c r="U355" i="35"/>
  <c r="U356" i="35"/>
  <c r="U357" i="35"/>
  <c r="U358" i="35"/>
  <c r="U359" i="35"/>
  <c r="U360" i="35"/>
  <c r="U361" i="35"/>
  <c r="U362" i="35"/>
  <c r="U363" i="35"/>
  <c r="U364" i="35"/>
  <c r="U365" i="35"/>
  <c r="U366" i="35"/>
  <c r="U367" i="35"/>
  <c r="U368" i="35"/>
  <c r="U369" i="35"/>
  <c r="U370" i="35"/>
  <c r="U371" i="35"/>
  <c r="U372" i="35"/>
  <c r="U373" i="35"/>
  <c r="U374" i="35"/>
  <c r="U375" i="35"/>
  <c r="U376" i="35"/>
  <c r="U377" i="35"/>
  <c r="U378" i="35"/>
  <c r="U379" i="35"/>
  <c r="U380" i="35"/>
  <c r="U381" i="35"/>
  <c r="U382" i="35"/>
  <c r="U383" i="35"/>
  <c r="U384" i="35"/>
  <c r="U385" i="35"/>
  <c r="U386" i="35"/>
  <c r="U387" i="35"/>
  <c r="U388" i="35"/>
  <c r="U389" i="35"/>
  <c r="U390" i="35"/>
  <c r="U391" i="35"/>
  <c r="U392" i="35"/>
  <c r="U393" i="35"/>
  <c r="U394" i="35"/>
  <c r="U395" i="35"/>
  <c r="U396" i="35"/>
  <c r="U397" i="35"/>
  <c r="U398" i="35"/>
  <c r="U399" i="35"/>
  <c r="U400" i="35"/>
  <c r="U401" i="35"/>
  <c r="U402" i="35"/>
  <c r="U403" i="35"/>
  <c r="U404" i="35"/>
  <c r="U405" i="35"/>
  <c r="U406" i="35"/>
  <c r="U407" i="35"/>
  <c r="U408" i="35"/>
  <c r="U409" i="35"/>
  <c r="U410" i="35"/>
  <c r="U411" i="35"/>
  <c r="U412" i="35"/>
  <c r="U413" i="35"/>
  <c r="U414" i="35"/>
  <c r="U415" i="35"/>
  <c r="U416" i="35"/>
  <c r="U417" i="35"/>
  <c r="U418" i="35"/>
  <c r="U419" i="35"/>
  <c r="U420" i="35"/>
  <c r="U421" i="35"/>
  <c r="U422" i="35"/>
  <c r="U423" i="35"/>
  <c r="U424" i="35"/>
  <c r="U425" i="35"/>
  <c r="U426" i="35"/>
  <c r="U427" i="35"/>
  <c r="U428" i="35"/>
  <c r="U429" i="35"/>
  <c r="U430" i="35"/>
  <c r="U431" i="35"/>
  <c r="U432" i="35"/>
  <c r="U433" i="35"/>
  <c r="U434" i="35"/>
  <c r="U435" i="35"/>
  <c r="U436" i="35"/>
  <c r="U437" i="35"/>
  <c r="U438" i="35"/>
  <c r="U439" i="35"/>
  <c r="U440" i="35"/>
  <c r="U441" i="35"/>
  <c r="U442" i="35"/>
  <c r="U443" i="35"/>
  <c r="U444" i="35"/>
  <c r="U445" i="35"/>
  <c r="U446" i="35"/>
  <c r="U447" i="35"/>
  <c r="U448" i="35"/>
  <c r="U449" i="35"/>
  <c r="U450" i="35"/>
  <c r="U451" i="35"/>
  <c r="U452" i="35"/>
  <c r="U453" i="35"/>
  <c r="U454" i="35"/>
  <c r="U455" i="35"/>
  <c r="U456" i="35"/>
  <c r="U457" i="35"/>
  <c r="U458" i="35"/>
  <c r="U459" i="35"/>
  <c r="U460" i="35"/>
  <c r="U461" i="35"/>
  <c r="U462" i="35"/>
  <c r="U463" i="35"/>
  <c r="U464" i="35"/>
  <c r="U465" i="35"/>
  <c r="U466" i="35"/>
  <c r="U467" i="35"/>
  <c r="U468" i="35"/>
  <c r="U469" i="35"/>
  <c r="U470" i="35"/>
  <c r="U471" i="35"/>
  <c r="U472" i="35"/>
  <c r="U473" i="35"/>
  <c r="U474" i="35"/>
  <c r="U475" i="35"/>
  <c r="U476" i="35"/>
  <c r="U477" i="35"/>
  <c r="U478" i="35"/>
  <c r="U479" i="35"/>
  <c r="U480" i="35"/>
  <c r="U481" i="35"/>
  <c r="U482" i="35"/>
  <c r="U483" i="35"/>
  <c r="U484" i="35"/>
  <c r="U485" i="35"/>
  <c r="U486" i="35"/>
  <c r="U487" i="35"/>
  <c r="U488" i="35"/>
  <c r="U489" i="35"/>
  <c r="U490" i="35"/>
  <c r="U491" i="35"/>
  <c r="U492" i="35"/>
  <c r="U493" i="35"/>
  <c r="U494" i="35"/>
  <c r="U495" i="35"/>
  <c r="U496" i="35"/>
  <c r="U497" i="35"/>
  <c r="U498" i="35"/>
  <c r="U499" i="35"/>
  <c r="U500" i="35"/>
  <c r="U501" i="35"/>
  <c r="U502" i="35"/>
  <c r="U503" i="35"/>
  <c r="U504" i="35"/>
  <c r="U505" i="35"/>
  <c r="U506" i="35"/>
  <c r="U507" i="35"/>
  <c r="U508" i="35"/>
  <c r="U509" i="35"/>
  <c r="U510" i="35"/>
  <c r="U511" i="35"/>
  <c r="U512" i="35"/>
  <c r="U513" i="35"/>
  <c r="U514" i="35"/>
  <c r="U515" i="35"/>
  <c r="U516" i="35"/>
  <c r="U517" i="35"/>
  <c r="U518" i="35"/>
  <c r="U519" i="35"/>
  <c r="U520" i="35"/>
  <c r="U521" i="35"/>
  <c r="U522" i="35"/>
  <c r="U523" i="35"/>
  <c r="U524" i="35"/>
  <c r="U525" i="35"/>
  <c r="U526" i="35"/>
  <c r="U527" i="35"/>
  <c r="U528" i="35"/>
  <c r="U529" i="35"/>
  <c r="U530" i="35"/>
  <c r="U531" i="35"/>
  <c r="U532" i="35"/>
  <c r="U533" i="35"/>
  <c r="U534" i="35"/>
  <c r="U535" i="35"/>
  <c r="U536" i="35"/>
  <c r="U537" i="35"/>
  <c r="U538" i="35"/>
  <c r="U539" i="35"/>
  <c r="U540" i="35"/>
  <c r="U541" i="35"/>
  <c r="U542" i="35"/>
  <c r="U543" i="35"/>
  <c r="U544" i="35"/>
  <c r="U545" i="35"/>
  <c r="U546" i="35"/>
  <c r="U547" i="35"/>
  <c r="U548" i="35"/>
  <c r="U549" i="35"/>
  <c r="U550" i="35"/>
  <c r="U551" i="35"/>
  <c r="U552" i="35"/>
  <c r="U553" i="35"/>
  <c r="U554" i="35"/>
  <c r="U555" i="35"/>
  <c r="U556" i="35"/>
  <c r="U557" i="35"/>
  <c r="U558" i="35"/>
  <c r="U559" i="35"/>
  <c r="U560" i="35"/>
  <c r="U561" i="35"/>
  <c r="U562" i="35"/>
  <c r="U563" i="35"/>
  <c r="U564" i="35"/>
  <c r="U565" i="35"/>
  <c r="U566" i="35"/>
  <c r="U567" i="35"/>
  <c r="U568" i="35"/>
  <c r="U569" i="35"/>
  <c r="U570" i="35"/>
  <c r="U571" i="35"/>
  <c r="U572" i="35"/>
  <c r="U573" i="35"/>
  <c r="U574" i="35"/>
  <c r="U575" i="35"/>
  <c r="U576" i="35"/>
  <c r="U577" i="35"/>
  <c r="U578" i="35"/>
  <c r="U579" i="35"/>
  <c r="U580" i="35"/>
  <c r="U581" i="35"/>
  <c r="U582" i="35"/>
  <c r="U583" i="35"/>
  <c r="U584" i="35"/>
  <c r="U585" i="35"/>
  <c r="U586" i="35"/>
  <c r="U587" i="35"/>
  <c r="U588" i="35"/>
  <c r="U589" i="35"/>
  <c r="U590" i="35"/>
  <c r="U591" i="35"/>
  <c r="U592" i="35"/>
  <c r="U593" i="35"/>
  <c r="U594" i="35"/>
  <c r="U595" i="35"/>
  <c r="U596" i="35"/>
  <c r="U597" i="35"/>
  <c r="U598" i="35"/>
  <c r="U599" i="35"/>
  <c r="U600" i="35"/>
  <c r="U601" i="35"/>
  <c r="U602" i="35"/>
  <c r="U603" i="35"/>
  <c r="U604" i="35"/>
  <c r="U605" i="35"/>
  <c r="U606" i="35"/>
  <c r="U607" i="35"/>
  <c r="U608" i="35"/>
  <c r="U609" i="35"/>
  <c r="U610" i="35"/>
  <c r="U611" i="35"/>
  <c r="U612" i="35"/>
  <c r="U613" i="35"/>
  <c r="U614" i="35"/>
  <c r="U615" i="35"/>
  <c r="U616" i="35"/>
  <c r="U617" i="35"/>
  <c r="U618" i="35"/>
  <c r="U619" i="35"/>
  <c r="U620" i="35"/>
  <c r="U621" i="35"/>
  <c r="U622" i="35"/>
  <c r="U623" i="35"/>
  <c r="U624" i="35"/>
  <c r="U625" i="35"/>
  <c r="U626" i="35"/>
  <c r="U627" i="35"/>
  <c r="U628" i="35"/>
  <c r="U629" i="35"/>
  <c r="U630" i="35"/>
  <c r="U631" i="35"/>
  <c r="U632" i="35"/>
  <c r="U633" i="35"/>
  <c r="U634" i="35"/>
  <c r="U635" i="35"/>
  <c r="U636" i="35"/>
  <c r="U637" i="35"/>
  <c r="U638" i="35"/>
  <c r="U639" i="35"/>
  <c r="U640" i="35"/>
  <c r="U641" i="35"/>
  <c r="U642" i="35"/>
  <c r="U643" i="35"/>
  <c r="U644" i="35"/>
  <c r="U645" i="35"/>
  <c r="U646" i="35"/>
  <c r="U647" i="35"/>
  <c r="U648" i="35"/>
  <c r="U649" i="35"/>
  <c r="U650" i="35"/>
  <c r="U651" i="35"/>
  <c r="U652" i="35"/>
  <c r="U653" i="35"/>
  <c r="U654" i="35"/>
  <c r="U655" i="35"/>
  <c r="U656" i="35"/>
  <c r="U657" i="35"/>
  <c r="U658" i="35"/>
  <c r="U659" i="35"/>
  <c r="U660" i="35"/>
  <c r="U661" i="35"/>
  <c r="U662" i="35"/>
  <c r="U663" i="35"/>
  <c r="U664" i="35"/>
  <c r="U665" i="35"/>
  <c r="U666" i="35"/>
  <c r="U667" i="35"/>
  <c r="U668" i="35"/>
  <c r="U669" i="35"/>
  <c r="U670" i="35"/>
  <c r="U671" i="35"/>
  <c r="U672" i="35"/>
  <c r="U673" i="35"/>
  <c r="U674" i="35"/>
  <c r="U675" i="35"/>
  <c r="U676" i="35"/>
  <c r="U677" i="35"/>
  <c r="U678" i="35"/>
  <c r="U679" i="35"/>
  <c r="U680" i="35"/>
  <c r="U681" i="35"/>
  <c r="U682" i="35"/>
  <c r="U683" i="35"/>
  <c r="U684" i="35"/>
  <c r="U685" i="35"/>
  <c r="U686" i="35"/>
  <c r="U687" i="35"/>
  <c r="U688" i="35"/>
  <c r="U689" i="35"/>
  <c r="U690" i="35"/>
  <c r="U691" i="35"/>
  <c r="U692" i="35"/>
  <c r="U693" i="35"/>
  <c r="U694" i="35"/>
  <c r="U695" i="35"/>
  <c r="U696" i="35"/>
  <c r="U697" i="35"/>
  <c r="U698" i="35"/>
  <c r="U699" i="35"/>
  <c r="U700" i="35"/>
  <c r="U701" i="35"/>
  <c r="U702" i="35"/>
  <c r="U703" i="35"/>
  <c r="U704" i="35"/>
  <c r="U705" i="35"/>
  <c r="U706" i="35"/>
  <c r="U707" i="35"/>
  <c r="U708" i="35"/>
  <c r="U709" i="35"/>
  <c r="U710" i="35"/>
  <c r="U711" i="35"/>
  <c r="U712" i="35"/>
  <c r="U713" i="35"/>
  <c r="U714" i="35"/>
  <c r="U715" i="35"/>
  <c r="U716" i="35"/>
  <c r="U717" i="35"/>
  <c r="U718" i="35"/>
  <c r="U719" i="35"/>
  <c r="U720" i="35"/>
  <c r="U721" i="35"/>
  <c r="U722" i="35"/>
  <c r="U723" i="35"/>
  <c r="U724" i="35"/>
  <c r="U725" i="35"/>
  <c r="U726" i="35"/>
  <c r="U727" i="35"/>
  <c r="U728" i="35"/>
  <c r="U729" i="35"/>
  <c r="U730" i="35"/>
  <c r="U731" i="35"/>
  <c r="U732" i="35"/>
  <c r="U733" i="35"/>
  <c r="U734" i="35"/>
  <c r="U735" i="35"/>
  <c r="U736" i="35"/>
  <c r="U737" i="35"/>
  <c r="U738" i="35"/>
  <c r="U739" i="35"/>
  <c r="U740" i="35"/>
  <c r="U741" i="35"/>
  <c r="U742" i="35"/>
  <c r="U743" i="35"/>
  <c r="U744" i="35"/>
  <c r="U745" i="35"/>
  <c r="U746" i="35"/>
  <c r="U747" i="35"/>
  <c r="U748" i="35"/>
  <c r="U749" i="35"/>
  <c r="U750" i="35"/>
  <c r="U751" i="35"/>
  <c r="U752" i="35"/>
  <c r="U753" i="35"/>
  <c r="U754" i="35"/>
  <c r="U755" i="35"/>
  <c r="U756" i="35"/>
  <c r="U757" i="35"/>
  <c r="U758" i="35"/>
  <c r="U759" i="35"/>
  <c r="U760" i="35"/>
  <c r="U761" i="35"/>
  <c r="U762" i="35"/>
  <c r="U763" i="35"/>
  <c r="U764" i="35"/>
  <c r="U765" i="35"/>
  <c r="U766" i="35"/>
  <c r="U767" i="35"/>
  <c r="U768" i="35"/>
  <c r="U769" i="35"/>
  <c r="U770" i="35"/>
  <c r="U771" i="35"/>
  <c r="U772" i="35"/>
  <c r="U773" i="35"/>
  <c r="U774" i="35"/>
  <c r="U775" i="35"/>
  <c r="U776" i="35"/>
  <c r="U777" i="35"/>
  <c r="U778" i="35"/>
  <c r="U779" i="35"/>
  <c r="U780" i="35"/>
  <c r="U781" i="35"/>
  <c r="U782" i="35"/>
  <c r="U783" i="35"/>
  <c r="U784" i="35"/>
  <c r="U785" i="35"/>
  <c r="U786" i="35"/>
  <c r="U787" i="35"/>
  <c r="U788" i="35"/>
  <c r="U789" i="35"/>
  <c r="U790" i="35"/>
  <c r="U791" i="35"/>
  <c r="U792" i="35"/>
  <c r="U793" i="35"/>
  <c r="U794" i="35"/>
  <c r="U795" i="35"/>
  <c r="U796" i="35"/>
  <c r="U797" i="35"/>
  <c r="U798" i="35"/>
  <c r="U799" i="35"/>
  <c r="U800" i="35"/>
  <c r="U801" i="35"/>
  <c r="U802" i="35"/>
  <c r="U803" i="35"/>
  <c r="U804" i="35"/>
  <c r="U805" i="35"/>
  <c r="U806" i="35"/>
  <c r="U807" i="35"/>
  <c r="U808" i="35"/>
  <c r="U809" i="35"/>
  <c r="U810" i="35"/>
  <c r="U811" i="35"/>
  <c r="U812" i="35"/>
  <c r="U813" i="35"/>
  <c r="U814" i="35"/>
  <c r="U815" i="35"/>
  <c r="U816" i="35"/>
  <c r="U817" i="35"/>
  <c r="U818" i="35"/>
  <c r="U819" i="35"/>
  <c r="U820" i="35"/>
  <c r="U821" i="35"/>
  <c r="U822" i="35"/>
  <c r="U823" i="35"/>
  <c r="U824" i="35"/>
  <c r="U825" i="35"/>
  <c r="U826" i="35"/>
  <c r="U827" i="35"/>
  <c r="U828" i="35"/>
  <c r="U829" i="35"/>
  <c r="U830" i="35"/>
  <c r="U831" i="35"/>
  <c r="U832" i="35"/>
  <c r="U833" i="35"/>
  <c r="U834" i="35"/>
  <c r="U835" i="35"/>
  <c r="U836" i="35"/>
  <c r="U837" i="35"/>
  <c r="U838" i="35"/>
  <c r="U839" i="35"/>
  <c r="U840" i="35"/>
  <c r="U841" i="35"/>
  <c r="U842" i="35"/>
  <c r="U843" i="35"/>
  <c r="U844" i="35"/>
  <c r="U845" i="35"/>
  <c r="U846" i="35"/>
  <c r="U847" i="35"/>
  <c r="U848" i="35"/>
  <c r="U849" i="35"/>
  <c r="U850" i="35"/>
  <c r="U851" i="35"/>
  <c r="U852" i="35"/>
  <c r="U853" i="35"/>
  <c r="U854" i="35"/>
  <c r="U855" i="35"/>
  <c r="U856" i="35"/>
  <c r="U857" i="35"/>
  <c r="U858" i="35"/>
  <c r="U859" i="35"/>
  <c r="U860" i="35"/>
  <c r="U861" i="35"/>
  <c r="U862" i="35"/>
  <c r="U863" i="35"/>
  <c r="U864" i="35"/>
  <c r="U865" i="35"/>
  <c r="U866" i="35"/>
  <c r="U867" i="35"/>
  <c r="U868" i="35"/>
  <c r="U869" i="35"/>
  <c r="U870" i="35"/>
  <c r="U871" i="35"/>
  <c r="U872" i="35"/>
  <c r="U873" i="35"/>
  <c r="U874" i="35"/>
  <c r="U875" i="35"/>
  <c r="U876" i="35"/>
  <c r="U877" i="35"/>
  <c r="U878" i="35"/>
  <c r="U879" i="35"/>
  <c r="U880" i="35"/>
  <c r="U881" i="35"/>
  <c r="U882" i="35"/>
  <c r="U883" i="35"/>
  <c r="U884" i="35"/>
  <c r="U885" i="35"/>
  <c r="U886" i="35"/>
  <c r="U887" i="35"/>
  <c r="U888" i="35"/>
  <c r="U889" i="35"/>
  <c r="U890" i="35"/>
  <c r="U891" i="35"/>
  <c r="U892" i="35"/>
  <c r="U893" i="35"/>
  <c r="U894" i="35"/>
  <c r="U895" i="35"/>
  <c r="U896" i="35"/>
  <c r="U897" i="35"/>
  <c r="U898" i="35"/>
  <c r="U899" i="35"/>
  <c r="U900" i="35"/>
  <c r="U901" i="35"/>
  <c r="U902" i="35"/>
  <c r="U903" i="35"/>
  <c r="U904" i="35"/>
  <c r="U905" i="35"/>
  <c r="U906" i="35"/>
  <c r="U907" i="35"/>
  <c r="U908" i="35"/>
  <c r="U909" i="35"/>
  <c r="U910" i="35"/>
  <c r="U911" i="35"/>
  <c r="U912" i="35"/>
  <c r="U913" i="35"/>
  <c r="U914" i="35"/>
  <c r="U915" i="35"/>
  <c r="U916" i="35"/>
  <c r="U917" i="35"/>
  <c r="U918" i="35"/>
  <c r="U919" i="35"/>
  <c r="U920" i="35"/>
  <c r="U921" i="35"/>
  <c r="U922" i="35"/>
  <c r="U923" i="35"/>
  <c r="U924" i="35"/>
  <c r="U925" i="35"/>
  <c r="U926" i="35"/>
  <c r="U927" i="35"/>
  <c r="U928" i="35"/>
  <c r="U929" i="35"/>
  <c r="U930" i="35"/>
  <c r="U931" i="35"/>
  <c r="U932" i="35"/>
  <c r="U933" i="35"/>
  <c r="U934" i="35"/>
  <c r="U935" i="35"/>
  <c r="U936" i="35"/>
  <c r="U937" i="35"/>
  <c r="U938" i="35"/>
  <c r="U939" i="35"/>
  <c r="U940" i="35"/>
  <c r="U941" i="35"/>
  <c r="U942" i="35"/>
  <c r="U943" i="35"/>
  <c r="U944" i="35"/>
  <c r="U945" i="35"/>
  <c r="U946" i="35"/>
  <c r="U947" i="35"/>
  <c r="U948" i="35"/>
  <c r="U949" i="35"/>
  <c r="U950" i="35"/>
  <c r="U951" i="35"/>
  <c r="U952" i="35"/>
  <c r="U953" i="35"/>
  <c r="U954" i="35"/>
  <c r="U955" i="35"/>
  <c r="U956" i="35"/>
  <c r="U957" i="35"/>
  <c r="U958" i="35"/>
  <c r="U959" i="35"/>
  <c r="U960" i="35"/>
  <c r="U961" i="35"/>
  <c r="U962" i="35"/>
  <c r="U963" i="35"/>
  <c r="U964" i="35"/>
  <c r="U965" i="35"/>
  <c r="U966" i="35"/>
  <c r="U967" i="35"/>
  <c r="U968" i="35"/>
  <c r="U969" i="35"/>
  <c r="U970" i="35"/>
  <c r="U971" i="35"/>
  <c r="U972" i="35"/>
  <c r="U973" i="35"/>
  <c r="U974" i="35"/>
  <c r="U975" i="35"/>
  <c r="U976" i="35"/>
  <c r="U977" i="35"/>
  <c r="U978" i="35"/>
  <c r="U979" i="35"/>
  <c r="U980" i="35"/>
  <c r="U981" i="35"/>
  <c r="U982" i="35"/>
  <c r="U983" i="35"/>
  <c r="U984" i="35"/>
  <c r="U985" i="35"/>
  <c r="U986" i="35"/>
  <c r="U987" i="35"/>
  <c r="U988" i="35"/>
  <c r="U989" i="35"/>
  <c r="U990" i="35"/>
  <c r="U991" i="35"/>
  <c r="U992" i="35"/>
  <c r="U993" i="35"/>
  <c r="U994" i="35"/>
  <c r="U995" i="35"/>
  <c r="U996" i="35"/>
  <c r="U997" i="35"/>
  <c r="U998" i="35"/>
  <c r="U999" i="35"/>
  <c r="U1000" i="35"/>
  <c r="U1001" i="35"/>
  <c r="U1002" i="35"/>
  <c r="U1003" i="35"/>
  <c r="U1004" i="35"/>
  <c r="U1005" i="35"/>
  <c r="U1006" i="35"/>
  <c r="U1007" i="35"/>
  <c r="U1008" i="35"/>
  <c r="U1009" i="35"/>
  <c r="U1010" i="35"/>
  <c r="U1011" i="35"/>
  <c r="U1012" i="35"/>
  <c r="U1013" i="35"/>
  <c r="U1014" i="35"/>
  <c r="U1015" i="35"/>
  <c r="U1016" i="35"/>
  <c r="U1017" i="35"/>
  <c r="U1018" i="35"/>
  <c r="U1019" i="35"/>
  <c r="U1020" i="35"/>
  <c r="U1021" i="35"/>
  <c r="U1022" i="35"/>
  <c r="U1023" i="35"/>
  <c r="U1024" i="35"/>
  <c r="U1025" i="35"/>
  <c r="U1026" i="35"/>
  <c r="U1027" i="35"/>
  <c r="U1028" i="35"/>
  <c r="U1029" i="35"/>
  <c r="U1030" i="35"/>
  <c r="U1031" i="35"/>
  <c r="U1032" i="35"/>
  <c r="U1033" i="35"/>
  <c r="U1034" i="35"/>
  <c r="U1035" i="35"/>
  <c r="U1036" i="35"/>
  <c r="U1037" i="35"/>
  <c r="U1038" i="35"/>
  <c r="U1039" i="35"/>
  <c r="U1040" i="35"/>
  <c r="U1041" i="35"/>
  <c r="U1042" i="35"/>
  <c r="U1043" i="35"/>
  <c r="U1044" i="35"/>
  <c r="U1045" i="35"/>
  <c r="U1046" i="35"/>
  <c r="U1047" i="35"/>
  <c r="U1048" i="35"/>
  <c r="U1049" i="35"/>
  <c r="U1050" i="35"/>
  <c r="U1051" i="35"/>
  <c r="U1052" i="35"/>
  <c r="U1053" i="35"/>
  <c r="U1054" i="35"/>
  <c r="U1055" i="35"/>
  <c r="U1056" i="35"/>
  <c r="U1057" i="35"/>
  <c r="U1058" i="35"/>
  <c r="U1059" i="35"/>
  <c r="U1060" i="35"/>
  <c r="U1061" i="35"/>
  <c r="U1062" i="35"/>
  <c r="U1063" i="35"/>
  <c r="U1064" i="35"/>
  <c r="U1065" i="35"/>
  <c r="U1066" i="35"/>
  <c r="U1067" i="35"/>
  <c r="U1068" i="35"/>
  <c r="U1069" i="35"/>
  <c r="U1070" i="35"/>
  <c r="U1071" i="35"/>
  <c r="U1072" i="35"/>
  <c r="U1073" i="35"/>
  <c r="U1074" i="35"/>
  <c r="U1075" i="35"/>
  <c r="U1076" i="35"/>
  <c r="U1077" i="35"/>
  <c r="U1078" i="35"/>
  <c r="U1079" i="35"/>
  <c r="U1080" i="35"/>
  <c r="U1081" i="35"/>
  <c r="U1082" i="35"/>
  <c r="U1083" i="35"/>
  <c r="U1084" i="35"/>
  <c r="U1085" i="35"/>
  <c r="U1086" i="35"/>
  <c r="U1087" i="35"/>
  <c r="U1088" i="35"/>
  <c r="U1089" i="35"/>
  <c r="U1090" i="35"/>
  <c r="U1091" i="35"/>
  <c r="U1092" i="35"/>
  <c r="U1093" i="35"/>
  <c r="U1094" i="35"/>
  <c r="U1095" i="35"/>
  <c r="U1096" i="35"/>
  <c r="U1097" i="35"/>
  <c r="U1098" i="35"/>
  <c r="U1099" i="35"/>
  <c r="U1100" i="35"/>
  <c r="U1101" i="35"/>
  <c r="U1102" i="35"/>
  <c r="U1103" i="35"/>
  <c r="U1104" i="35"/>
  <c r="U1105" i="35"/>
  <c r="U1106" i="35"/>
  <c r="U1107" i="35"/>
  <c r="U1108" i="35"/>
  <c r="U1109" i="35"/>
  <c r="U1110" i="35"/>
  <c r="U1111" i="35"/>
  <c r="U1112" i="35"/>
  <c r="U1113" i="35"/>
  <c r="U1114" i="35"/>
  <c r="U1115" i="35"/>
  <c r="U1116" i="35"/>
  <c r="U1117" i="35"/>
  <c r="U1118" i="35"/>
  <c r="U1119" i="35"/>
  <c r="U1120" i="35"/>
  <c r="U1121" i="35"/>
  <c r="U1122" i="35"/>
  <c r="U1123" i="35"/>
  <c r="U1124" i="35"/>
  <c r="U1125" i="35"/>
  <c r="U1126" i="35"/>
  <c r="U1127" i="35"/>
  <c r="U1128" i="35"/>
  <c r="U1129" i="35"/>
  <c r="U1130" i="35"/>
  <c r="U1131" i="35"/>
  <c r="U1132" i="35"/>
  <c r="U1133" i="35"/>
  <c r="U1134" i="35"/>
  <c r="U1135" i="35"/>
  <c r="U1136" i="35"/>
  <c r="U1137" i="35"/>
  <c r="U1138" i="35"/>
  <c r="U1139" i="35"/>
  <c r="U1140" i="35"/>
  <c r="U1141" i="35"/>
  <c r="U1142" i="35"/>
  <c r="U1143" i="35"/>
  <c r="U1144" i="35"/>
  <c r="U1145" i="35"/>
  <c r="U1146" i="35"/>
  <c r="U1147" i="35"/>
  <c r="U1148" i="35"/>
  <c r="U1149" i="35"/>
  <c r="U1150" i="35"/>
  <c r="U1151" i="35"/>
  <c r="U1152" i="35"/>
  <c r="U1153" i="35"/>
  <c r="U1154" i="35"/>
  <c r="U1155" i="35"/>
  <c r="U1156" i="35"/>
  <c r="U1157" i="35"/>
  <c r="U1158" i="35"/>
  <c r="U1159" i="35"/>
  <c r="U1160" i="35"/>
  <c r="U1161" i="35"/>
  <c r="U1162" i="35"/>
  <c r="U1163" i="35"/>
  <c r="U1164" i="35"/>
  <c r="U1165" i="35"/>
  <c r="U1166" i="35"/>
  <c r="U1167" i="35"/>
  <c r="U1168" i="35"/>
  <c r="U1169" i="35"/>
  <c r="U1170" i="35"/>
  <c r="U1171" i="35"/>
  <c r="U1172" i="35"/>
  <c r="U1173" i="35"/>
  <c r="U1174" i="35"/>
  <c r="U1175" i="35"/>
  <c r="U1176" i="35"/>
  <c r="U1177" i="35"/>
  <c r="U1178" i="35"/>
  <c r="U1179" i="35"/>
  <c r="U1180" i="35"/>
  <c r="U1181" i="35"/>
  <c r="U1182" i="35"/>
  <c r="U1183" i="35"/>
  <c r="U1184" i="35"/>
  <c r="U1185" i="35"/>
  <c r="U1186" i="35"/>
  <c r="U1187" i="35"/>
  <c r="U1188" i="35"/>
  <c r="U1189" i="35"/>
  <c r="U1190" i="35"/>
  <c r="U1191" i="35"/>
  <c r="U1192" i="35"/>
  <c r="U1193" i="35"/>
  <c r="U1194" i="35"/>
  <c r="U1195" i="35"/>
  <c r="U1196" i="35"/>
  <c r="U1197" i="35"/>
  <c r="U1198" i="35"/>
  <c r="U1199" i="35"/>
  <c r="U1200" i="35"/>
  <c r="U1201" i="35"/>
  <c r="U1202" i="35"/>
  <c r="U1203" i="35"/>
  <c r="U1204" i="35"/>
  <c r="U1205" i="35"/>
  <c r="U1206" i="35"/>
  <c r="U1207" i="35"/>
  <c r="U1208" i="35"/>
  <c r="U1209" i="35"/>
  <c r="U1210" i="35"/>
  <c r="U1211" i="35"/>
  <c r="U1212" i="35"/>
  <c r="U1213" i="35"/>
  <c r="U1214" i="35"/>
  <c r="U1215" i="35"/>
  <c r="U1216" i="35"/>
  <c r="U1217" i="35"/>
  <c r="U1218" i="35"/>
  <c r="U1219" i="35"/>
  <c r="U1220" i="35"/>
  <c r="U1221" i="35"/>
  <c r="U1222" i="35"/>
  <c r="U1223" i="35"/>
  <c r="U1224" i="35"/>
  <c r="U1225" i="35"/>
  <c r="U1226" i="35"/>
  <c r="U1227" i="35"/>
  <c r="U1228" i="35"/>
  <c r="U1229" i="35"/>
  <c r="U1230" i="35"/>
  <c r="U1231" i="35"/>
  <c r="U1232" i="35"/>
  <c r="U1233" i="35"/>
  <c r="U1234" i="35"/>
  <c r="U1235" i="35"/>
  <c r="U1236" i="35"/>
  <c r="U1237" i="35"/>
  <c r="U1238" i="35"/>
  <c r="U1239" i="35"/>
  <c r="U1240" i="35"/>
  <c r="U1241" i="35"/>
  <c r="U1242" i="35"/>
  <c r="U1243" i="35"/>
  <c r="U1244" i="35"/>
  <c r="U1245" i="35"/>
  <c r="U1246" i="35"/>
  <c r="U1247" i="35"/>
  <c r="U1248" i="35"/>
  <c r="U1249" i="35"/>
  <c r="U1250" i="35"/>
  <c r="U1251" i="35"/>
  <c r="U1252" i="35"/>
  <c r="U1253" i="35"/>
  <c r="U1254" i="35"/>
  <c r="U1255" i="35"/>
  <c r="U1256" i="35"/>
  <c r="U1257" i="35"/>
  <c r="U1258" i="35"/>
  <c r="U1259" i="35"/>
  <c r="U1260" i="35"/>
  <c r="U1261" i="35"/>
  <c r="U1262" i="35"/>
  <c r="U1263" i="35"/>
  <c r="U1264" i="35"/>
  <c r="U1265" i="35"/>
  <c r="U1266" i="35"/>
  <c r="U1267" i="35"/>
  <c r="U1268" i="35"/>
  <c r="U1269" i="35"/>
  <c r="U1270" i="35"/>
  <c r="U1271" i="35"/>
  <c r="U1272" i="35"/>
  <c r="U1273" i="35"/>
  <c r="U1274" i="35"/>
  <c r="U1275" i="35"/>
  <c r="U1276" i="35"/>
  <c r="U1277" i="35"/>
  <c r="U1278" i="35"/>
  <c r="U1279" i="35"/>
  <c r="U1280" i="35"/>
  <c r="U1281" i="35"/>
  <c r="U1282" i="35"/>
  <c r="U1283" i="35"/>
  <c r="U1284" i="35"/>
  <c r="U1285" i="35"/>
  <c r="U1286" i="35"/>
  <c r="U1287" i="35"/>
  <c r="U1288" i="35"/>
  <c r="U1289" i="35"/>
  <c r="U1290" i="35"/>
  <c r="U1291" i="35"/>
  <c r="U1292" i="35"/>
  <c r="U1293" i="35"/>
  <c r="U1294" i="35"/>
  <c r="U1295" i="35"/>
  <c r="U1296" i="35"/>
  <c r="U1297" i="35"/>
  <c r="U1298" i="35"/>
  <c r="U1299" i="35"/>
  <c r="U1300" i="35"/>
  <c r="U1301" i="35"/>
  <c r="U1302" i="35"/>
  <c r="U1303" i="35"/>
  <c r="U1304" i="35"/>
  <c r="U1305" i="35"/>
  <c r="U1306" i="35"/>
  <c r="U1307" i="35"/>
  <c r="U1308" i="35"/>
  <c r="U1309" i="35"/>
  <c r="U1310" i="35"/>
  <c r="U1311" i="35"/>
  <c r="U1312" i="35"/>
  <c r="U1313" i="35"/>
  <c r="U1314" i="35"/>
  <c r="U1315" i="35"/>
  <c r="U1316" i="35"/>
  <c r="U1317" i="35"/>
  <c r="U1318" i="35"/>
  <c r="U1319" i="35"/>
  <c r="U1320" i="35"/>
  <c r="U1321" i="35"/>
  <c r="U1322" i="35"/>
  <c r="U1323" i="35"/>
  <c r="U1324" i="35"/>
  <c r="U1325" i="35"/>
  <c r="U1326" i="35"/>
  <c r="U1327" i="35"/>
  <c r="U1328" i="35"/>
  <c r="U1329" i="35"/>
  <c r="U1330" i="35"/>
  <c r="U1331" i="35"/>
  <c r="U1332" i="35"/>
  <c r="U1333" i="35"/>
  <c r="U1334" i="35"/>
  <c r="U1335" i="35"/>
  <c r="U1336" i="35"/>
  <c r="U1337" i="35"/>
  <c r="U1338" i="35"/>
  <c r="U1339" i="35"/>
  <c r="U1340" i="35"/>
  <c r="U1341" i="35"/>
  <c r="U1342" i="35"/>
  <c r="U1343" i="35"/>
  <c r="U1344" i="35"/>
  <c r="U1345" i="35"/>
  <c r="U1346" i="35"/>
  <c r="U1347" i="35"/>
  <c r="U1348" i="35"/>
  <c r="U1349" i="35"/>
  <c r="U1350" i="35"/>
  <c r="U1351" i="35"/>
  <c r="U1352" i="35"/>
  <c r="U1353" i="35"/>
  <c r="U1354" i="35"/>
  <c r="U1355" i="35"/>
  <c r="U1356" i="35"/>
  <c r="U1357" i="35"/>
  <c r="U1358" i="35"/>
  <c r="U1359" i="35"/>
  <c r="U1360" i="35"/>
  <c r="U1361" i="35"/>
  <c r="U1362" i="35"/>
  <c r="U1363" i="35"/>
  <c r="U1364" i="35"/>
  <c r="U1365" i="35"/>
  <c r="U1366" i="35"/>
  <c r="U1367" i="35"/>
  <c r="U1368" i="35"/>
  <c r="U1369" i="35"/>
  <c r="U1370" i="35"/>
  <c r="U1371" i="35"/>
  <c r="U1372" i="35"/>
  <c r="U1373" i="35"/>
  <c r="U1374" i="35"/>
  <c r="U1375" i="35"/>
  <c r="U1376" i="35"/>
  <c r="U1377" i="35"/>
  <c r="U1378" i="35"/>
  <c r="U1379" i="35"/>
  <c r="U1380" i="35"/>
  <c r="U1381" i="35"/>
  <c r="U1382" i="35"/>
  <c r="U1383" i="35"/>
  <c r="U1384" i="35"/>
  <c r="U1385" i="35"/>
  <c r="U1386" i="35"/>
  <c r="U1387" i="35"/>
  <c r="U1388" i="35"/>
  <c r="U1389" i="35"/>
  <c r="U1390" i="35"/>
  <c r="U1391" i="35"/>
  <c r="U1392" i="35"/>
  <c r="U1393" i="35"/>
  <c r="U1394" i="35"/>
  <c r="U1395" i="35"/>
  <c r="U1396" i="35"/>
  <c r="U1397" i="35"/>
  <c r="U1398" i="35"/>
  <c r="U1399" i="35"/>
  <c r="U1400" i="35"/>
  <c r="U1401" i="35"/>
  <c r="U1402" i="35"/>
  <c r="U1403" i="35"/>
  <c r="U1404" i="35"/>
  <c r="U1405" i="35"/>
  <c r="U1406" i="35"/>
  <c r="U1407" i="35"/>
  <c r="U1408" i="35"/>
  <c r="U1409" i="35"/>
  <c r="U1410" i="35"/>
  <c r="U1411" i="35"/>
  <c r="U1412" i="35"/>
  <c r="U1413" i="35"/>
  <c r="U1414" i="35"/>
  <c r="U1415" i="35"/>
  <c r="U1416" i="35"/>
  <c r="U1417" i="35"/>
  <c r="U1418" i="35"/>
  <c r="U1419" i="35"/>
  <c r="U1420" i="35"/>
  <c r="U1421" i="35"/>
  <c r="U1422" i="35"/>
  <c r="U1423" i="35"/>
  <c r="U1424" i="35"/>
  <c r="U1425" i="35"/>
  <c r="U1426" i="35"/>
  <c r="U1427" i="35"/>
  <c r="U1428" i="35"/>
  <c r="U1429" i="35"/>
  <c r="U1430" i="35"/>
  <c r="U1431" i="35"/>
  <c r="U1432" i="35"/>
  <c r="U1433" i="35"/>
  <c r="U1434" i="35"/>
  <c r="U1435" i="35"/>
  <c r="U1436" i="35"/>
  <c r="U1437" i="35"/>
  <c r="U1438" i="35"/>
  <c r="U1439" i="35"/>
  <c r="U1440" i="35"/>
  <c r="U1441" i="35"/>
  <c r="U1442" i="35"/>
  <c r="U1443" i="35"/>
  <c r="U1444" i="35"/>
  <c r="U1445" i="35"/>
  <c r="U1446" i="35"/>
  <c r="U1447" i="35"/>
  <c r="U1448" i="35"/>
  <c r="U1449" i="35"/>
  <c r="U1450" i="35"/>
  <c r="U1451" i="35"/>
  <c r="U1452" i="35"/>
  <c r="V2" i="35"/>
  <c r="V3" i="35"/>
  <c r="V4" i="35"/>
  <c r="V5" i="35"/>
  <c r="V6" i="35"/>
  <c r="V7" i="35"/>
  <c r="V8" i="35"/>
  <c r="V9" i="35"/>
  <c r="V10" i="35"/>
  <c r="V11" i="35"/>
  <c r="V12" i="35"/>
  <c r="V13" i="35"/>
  <c r="V14" i="35"/>
  <c r="V15" i="35"/>
  <c r="V16" i="35"/>
  <c r="V17" i="35"/>
  <c r="V18" i="35"/>
  <c r="V19" i="35"/>
  <c r="V20" i="35"/>
  <c r="V21" i="35"/>
  <c r="V22" i="35"/>
  <c r="V23" i="35"/>
  <c r="V24" i="35"/>
  <c r="V25" i="35"/>
  <c r="V26" i="35"/>
  <c r="V27" i="35"/>
  <c r="V28" i="35"/>
  <c r="V29" i="35"/>
  <c r="V30" i="35"/>
  <c r="V31" i="35"/>
  <c r="V32" i="35"/>
  <c r="V33" i="35"/>
  <c r="V34" i="35"/>
  <c r="V35" i="35"/>
  <c r="V36" i="35"/>
  <c r="V37" i="35"/>
  <c r="V38" i="35"/>
  <c r="V39" i="35"/>
  <c r="V40" i="35"/>
  <c r="V41" i="35"/>
  <c r="V42" i="35"/>
  <c r="V43" i="35"/>
  <c r="V44" i="35"/>
  <c r="V45" i="35"/>
  <c r="V46" i="35"/>
  <c r="V47" i="35"/>
  <c r="V48" i="35"/>
  <c r="V49" i="35"/>
  <c r="V50" i="35"/>
  <c r="V51" i="35"/>
  <c r="V52" i="35"/>
  <c r="V53" i="35"/>
  <c r="V54" i="35"/>
  <c r="V55" i="35"/>
  <c r="V56" i="35"/>
  <c r="V57" i="35"/>
  <c r="V58" i="35"/>
  <c r="V59" i="35"/>
  <c r="V60" i="35"/>
  <c r="V61" i="35"/>
  <c r="V62" i="35"/>
  <c r="V63" i="35"/>
  <c r="V64" i="35"/>
  <c r="V65" i="35"/>
  <c r="V66" i="35"/>
  <c r="V67" i="35"/>
  <c r="V68" i="35"/>
  <c r="V69" i="35"/>
  <c r="V70" i="35"/>
  <c r="V71" i="35"/>
  <c r="V72" i="35"/>
  <c r="V73" i="35"/>
  <c r="V74" i="35"/>
  <c r="V75" i="35"/>
  <c r="V76" i="35"/>
  <c r="V77" i="35"/>
  <c r="V78" i="35"/>
  <c r="V79" i="35"/>
  <c r="V80" i="35"/>
  <c r="V81" i="35"/>
  <c r="V82" i="35"/>
  <c r="V83" i="35"/>
  <c r="V84" i="35"/>
  <c r="V85" i="35"/>
  <c r="V86" i="35"/>
  <c r="V87" i="35"/>
  <c r="V88" i="35"/>
  <c r="V89" i="35"/>
  <c r="V90" i="35"/>
  <c r="V91" i="35"/>
  <c r="V92" i="35"/>
  <c r="V93" i="35"/>
  <c r="V94" i="35"/>
  <c r="V95" i="35"/>
  <c r="V96" i="35"/>
  <c r="V97" i="35"/>
  <c r="V98" i="35"/>
  <c r="V99" i="35"/>
  <c r="V100" i="35"/>
  <c r="V101" i="35"/>
  <c r="V102" i="35"/>
  <c r="V103" i="35"/>
  <c r="V104" i="35"/>
  <c r="V105" i="35"/>
  <c r="V106" i="35"/>
  <c r="V107" i="35"/>
  <c r="V108" i="35"/>
  <c r="V109" i="35"/>
  <c r="V110" i="35"/>
  <c r="V111" i="35"/>
  <c r="V112" i="35"/>
  <c r="V113" i="35"/>
  <c r="V114" i="35"/>
  <c r="V115" i="35"/>
  <c r="V116" i="35"/>
  <c r="V117" i="35"/>
  <c r="V118" i="35"/>
  <c r="V119" i="35"/>
  <c r="V120" i="35"/>
  <c r="V121" i="35"/>
  <c r="V122" i="35"/>
  <c r="V123" i="35"/>
  <c r="V124" i="35"/>
  <c r="V125" i="35"/>
  <c r="V126" i="35"/>
  <c r="V127" i="35"/>
  <c r="V128" i="35"/>
  <c r="V129" i="35"/>
  <c r="V130" i="35"/>
  <c r="V131" i="35"/>
  <c r="V132" i="35"/>
  <c r="V133" i="35"/>
  <c r="V134" i="35"/>
  <c r="V135" i="35"/>
  <c r="V136" i="35"/>
  <c r="V137" i="35"/>
  <c r="V138" i="35"/>
  <c r="V139" i="35"/>
  <c r="V140" i="35"/>
  <c r="V141" i="35"/>
  <c r="V142" i="35"/>
  <c r="V143" i="35"/>
  <c r="V144" i="35"/>
  <c r="V145" i="35"/>
  <c r="V146" i="35"/>
  <c r="V147" i="35"/>
  <c r="V148" i="35"/>
  <c r="V149" i="35"/>
  <c r="V150" i="35"/>
  <c r="V151" i="35"/>
  <c r="V152" i="35"/>
  <c r="V153" i="35"/>
  <c r="V154" i="35"/>
  <c r="V155" i="35"/>
  <c r="V156" i="35"/>
  <c r="V157" i="35"/>
  <c r="V158" i="35"/>
  <c r="V159" i="35"/>
  <c r="V160" i="35"/>
  <c r="V161" i="35"/>
  <c r="V162" i="35"/>
  <c r="V163" i="35"/>
  <c r="V164" i="35"/>
  <c r="V165" i="35"/>
  <c r="V166" i="35"/>
  <c r="V167" i="35"/>
  <c r="V168" i="35"/>
  <c r="V169" i="35"/>
  <c r="V170" i="35"/>
  <c r="V171" i="35"/>
  <c r="V172" i="35"/>
  <c r="V173" i="35"/>
  <c r="V174" i="35"/>
  <c r="V175" i="35"/>
  <c r="V176" i="35"/>
  <c r="V177" i="35"/>
  <c r="V178" i="35"/>
  <c r="V179" i="35"/>
  <c r="V180" i="35"/>
  <c r="V181" i="35"/>
  <c r="V182" i="35"/>
  <c r="V183" i="35"/>
  <c r="V184" i="35"/>
  <c r="V185" i="35"/>
  <c r="V186" i="35"/>
  <c r="V187" i="35"/>
  <c r="V188" i="35"/>
  <c r="V189" i="35"/>
  <c r="V190" i="35"/>
  <c r="V191" i="35"/>
  <c r="V192" i="35"/>
  <c r="V193" i="35"/>
  <c r="V194" i="35"/>
  <c r="V195" i="35"/>
  <c r="V196" i="35"/>
  <c r="V197" i="35"/>
  <c r="V198" i="35"/>
  <c r="V199" i="35"/>
  <c r="V200" i="35"/>
  <c r="V201" i="35"/>
  <c r="V202" i="35"/>
  <c r="V203" i="35"/>
  <c r="V204" i="35"/>
  <c r="V205" i="35"/>
  <c r="V206" i="35"/>
  <c r="V207" i="35"/>
  <c r="V208" i="35"/>
  <c r="V209" i="35"/>
  <c r="V210" i="35"/>
  <c r="V211" i="35"/>
  <c r="V212" i="35"/>
  <c r="V213" i="35"/>
  <c r="V214" i="35"/>
  <c r="V215" i="35"/>
  <c r="V216" i="35"/>
  <c r="V217" i="35"/>
  <c r="V218" i="35"/>
  <c r="V219" i="35"/>
  <c r="V220" i="35"/>
  <c r="V221" i="35"/>
  <c r="V222" i="35"/>
  <c r="V223" i="35"/>
  <c r="V224" i="35"/>
  <c r="V225" i="35"/>
  <c r="V226" i="35"/>
  <c r="V227" i="35"/>
  <c r="V228" i="35"/>
  <c r="V229" i="35"/>
  <c r="V230" i="35"/>
  <c r="V231" i="35"/>
  <c r="V232" i="35"/>
  <c r="V233" i="35"/>
  <c r="V234" i="35"/>
  <c r="V235" i="35"/>
  <c r="V236" i="35"/>
  <c r="V237" i="35"/>
  <c r="V238" i="35"/>
  <c r="V239" i="35"/>
  <c r="V240" i="35"/>
  <c r="V241" i="35"/>
  <c r="V242" i="35"/>
  <c r="V243" i="35"/>
  <c r="V244" i="35"/>
  <c r="V245" i="35"/>
  <c r="V246" i="35"/>
  <c r="V247" i="35"/>
  <c r="V248" i="35"/>
  <c r="V249" i="35"/>
  <c r="V250" i="35"/>
  <c r="V251" i="35"/>
  <c r="V252" i="35"/>
  <c r="V253" i="35"/>
  <c r="V254" i="35"/>
  <c r="V255" i="35"/>
  <c r="V256" i="35"/>
  <c r="V257" i="35"/>
  <c r="V258" i="35"/>
  <c r="V259" i="35"/>
  <c r="V260" i="35"/>
  <c r="V261" i="35"/>
  <c r="V262" i="35"/>
  <c r="V263" i="35"/>
  <c r="V264" i="35"/>
  <c r="V265" i="35"/>
  <c r="V266" i="35"/>
  <c r="V267" i="35"/>
  <c r="V268" i="35"/>
  <c r="V269" i="35"/>
  <c r="V270" i="35"/>
  <c r="V271" i="35"/>
  <c r="V272" i="35"/>
  <c r="V273" i="35"/>
  <c r="V274" i="35"/>
  <c r="V275" i="35"/>
  <c r="V276" i="35"/>
  <c r="V277" i="35"/>
  <c r="V278" i="35"/>
  <c r="V279" i="35"/>
  <c r="V280" i="35"/>
  <c r="V281" i="35"/>
  <c r="V282" i="35"/>
  <c r="V283" i="35"/>
  <c r="V284" i="35"/>
  <c r="V285" i="35"/>
  <c r="V286" i="35"/>
  <c r="V287" i="35"/>
  <c r="V288" i="35"/>
  <c r="V289" i="35"/>
  <c r="V290" i="35"/>
  <c r="V291" i="35"/>
  <c r="V292" i="35"/>
  <c r="V293" i="35"/>
  <c r="V294" i="35"/>
  <c r="V295" i="35"/>
  <c r="V296" i="35"/>
  <c r="V297" i="35"/>
  <c r="V298" i="35"/>
  <c r="V299" i="35"/>
  <c r="V300" i="35"/>
  <c r="V301" i="35"/>
  <c r="V302" i="35"/>
  <c r="V303" i="35"/>
  <c r="V304" i="35"/>
  <c r="V305" i="35"/>
  <c r="V306" i="35"/>
  <c r="V307" i="35"/>
  <c r="V308" i="35"/>
  <c r="V309" i="35"/>
  <c r="V310" i="35"/>
  <c r="V311" i="35"/>
  <c r="V312" i="35"/>
  <c r="V313" i="35"/>
  <c r="V314" i="35"/>
  <c r="V315" i="35"/>
  <c r="V316" i="35"/>
  <c r="V317" i="35"/>
  <c r="V318" i="35"/>
  <c r="V319" i="35"/>
  <c r="V320" i="35"/>
  <c r="V321" i="35"/>
  <c r="V322" i="35"/>
  <c r="V323" i="35"/>
  <c r="V324" i="35"/>
  <c r="V325" i="35"/>
  <c r="V326" i="35"/>
  <c r="V327" i="35"/>
  <c r="V328" i="35"/>
  <c r="V329" i="35"/>
  <c r="V330" i="35"/>
  <c r="V331" i="35"/>
  <c r="V332" i="35"/>
  <c r="V333" i="35"/>
  <c r="V334" i="35"/>
  <c r="V335" i="35"/>
  <c r="V336" i="35"/>
  <c r="V337" i="35"/>
  <c r="V338" i="35"/>
  <c r="V339" i="35"/>
  <c r="V340" i="35"/>
  <c r="V341" i="35"/>
  <c r="V342" i="35"/>
  <c r="V343" i="35"/>
  <c r="V344" i="35"/>
  <c r="V345" i="35"/>
  <c r="V346" i="35"/>
  <c r="V347" i="35"/>
  <c r="V348" i="35"/>
  <c r="V349" i="35"/>
  <c r="V350" i="35"/>
  <c r="V351" i="35"/>
  <c r="V352" i="35"/>
  <c r="V353" i="35"/>
  <c r="V354" i="35"/>
  <c r="V355" i="35"/>
  <c r="V356" i="35"/>
  <c r="V357" i="35"/>
  <c r="V358" i="35"/>
  <c r="V359" i="35"/>
  <c r="V360" i="35"/>
  <c r="V361" i="35"/>
  <c r="V362" i="35"/>
  <c r="V363" i="35"/>
  <c r="V364" i="35"/>
  <c r="V365" i="35"/>
  <c r="V366" i="35"/>
  <c r="V367" i="35"/>
  <c r="V368" i="35"/>
  <c r="V369" i="35"/>
  <c r="V370" i="35"/>
  <c r="V371" i="35"/>
  <c r="V372" i="35"/>
  <c r="V373" i="35"/>
  <c r="V374" i="35"/>
  <c r="V375" i="35"/>
  <c r="V376" i="35"/>
  <c r="V377" i="35"/>
  <c r="V378" i="35"/>
  <c r="V379" i="35"/>
  <c r="V380" i="35"/>
  <c r="V381" i="35"/>
  <c r="V382" i="35"/>
  <c r="V383" i="35"/>
  <c r="V384" i="35"/>
  <c r="V385" i="35"/>
  <c r="V386" i="35"/>
  <c r="V387" i="35"/>
  <c r="V388" i="35"/>
  <c r="V389" i="35"/>
  <c r="V390" i="35"/>
  <c r="V391" i="35"/>
  <c r="V392" i="35"/>
  <c r="V393" i="35"/>
  <c r="V394" i="35"/>
  <c r="V395" i="35"/>
  <c r="V396" i="35"/>
  <c r="V397" i="35"/>
  <c r="V398" i="35"/>
  <c r="V399" i="35"/>
  <c r="V400" i="35"/>
  <c r="V401" i="35"/>
  <c r="V402" i="35"/>
  <c r="V403" i="35"/>
  <c r="V404" i="35"/>
  <c r="V405" i="35"/>
  <c r="V406" i="35"/>
  <c r="V407" i="35"/>
  <c r="V408" i="35"/>
  <c r="V409" i="35"/>
  <c r="V410" i="35"/>
  <c r="V411" i="35"/>
  <c r="V412" i="35"/>
  <c r="V413" i="35"/>
  <c r="V414" i="35"/>
  <c r="V415" i="35"/>
  <c r="V416" i="35"/>
  <c r="V417" i="35"/>
  <c r="V418" i="35"/>
  <c r="V419" i="35"/>
  <c r="V420" i="35"/>
  <c r="V421" i="35"/>
  <c r="V422" i="35"/>
  <c r="V423" i="35"/>
  <c r="V424" i="35"/>
  <c r="V425" i="35"/>
  <c r="V426" i="35"/>
  <c r="V427" i="35"/>
  <c r="V428" i="35"/>
  <c r="V429" i="35"/>
  <c r="V430" i="35"/>
  <c r="V431" i="35"/>
  <c r="V432" i="35"/>
  <c r="V433" i="35"/>
  <c r="V434" i="35"/>
  <c r="V435" i="35"/>
  <c r="V436" i="35"/>
  <c r="V437" i="35"/>
  <c r="V438" i="35"/>
  <c r="V439" i="35"/>
  <c r="V440" i="35"/>
  <c r="V441" i="35"/>
  <c r="V442" i="35"/>
  <c r="V443" i="35"/>
  <c r="V444" i="35"/>
  <c r="V445" i="35"/>
  <c r="V446" i="35"/>
  <c r="V447" i="35"/>
  <c r="V448" i="35"/>
  <c r="V449" i="35"/>
  <c r="V450" i="35"/>
  <c r="V451" i="35"/>
  <c r="V452" i="35"/>
  <c r="V453" i="35"/>
  <c r="V454" i="35"/>
  <c r="V455" i="35"/>
  <c r="V456" i="35"/>
  <c r="V457" i="35"/>
  <c r="V458" i="35"/>
  <c r="V459" i="35"/>
  <c r="V460" i="35"/>
  <c r="V461" i="35"/>
  <c r="V462" i="35"/>
  <c r="V463" i="35"/>
  <c r="V464" i="35"/>
  <c r="V465" i="35"/>
  <c r="V466" i="35"/>
  <c r="V467" i="35"/>
  <c r="V468" i="35"/>
  <c r="V469" i="35"/>
  <c r="V470" i="35"/>
  <c r="V471" i="35"/>
  <c r="V472" i="35"/>
  <c r="V473" i="35"/>
  <c r="V474" i="35"/>
  <c r="V475" i="35"/>
  <c r="V476" i="35"/>
  <c r="V477" i="35"/>
  <c r="V478" i="35"/>
  <c r="V479" i="35"/>
  <c r="V480" i="35"/>
  <c r="V481" i="35"/>
  <c r="V482" i="35"/>
  <c r="V483" i="35"/>
  <c r="V484" i="35"/>
  <c r="V485" i="35"/>
  <c r="V486" i="35"/>
  <c r="V487" i="35"/>
  <c r="V488" i="35"/>
  <c r="V489" i="35"/>
  <c r="V490" i="35"/>
  <c r="V491" i="35"/>
  <c r="V492" i="35"/>
  <c r="V493" i="35"/>
  <c r="V494" i="35"/>
  <c r="V495" i="35"/>
  <c r="V496" i="35"/>
  <c r="V497" i="35"/>
  <c r="V498" i="35"/>
  <c r="V499" i="35"/>
  <c r="V500" i="35"/>
  <c r="V501" i="35"/>
  <c r="V502" i="35"/>
  <c r="V503" i="35"/>
  <c r="V504" i="35"/>
  <c r="V505" i="35"/>
  <c r="V506" i="35"/>
  <c r="V507" i="35"/>
  <c r="V508" i="35"/>
  <c r="V509" i="35"/>
  <c r="V510" i="35"/>
  <c r="V511" i="35"/>
  <c r="V512" i="35"/>
  <c r="V513" i="35"/>
  <c r="V514" i="35"/>
  <c r="V515" i="35"/>
  <c r="V516" i="35"/>
  <c r="V517" i="35"/>
  <c r="V518" i="35"/>
  <c r="V519" i="35"/>
  <c r="V520" i="35"/>
  <c r="V521" i="35"/>
  <c r="V522" i="35"/>
  <c r="V523" i="35"/>
  <c r="V524" i="35"/>
  <c r="V525" i="35"/>
  <c r="V526" i="35"/>
  <c r="V527" i="35"/>
  <c r="V528" i="35"/>
  <c r="V529" i="35"/>
  <c r="V530" i="35"/>
  <c r="V531" i="35"/>
  <c r="V532" i="35"/>
  <c r="V533" i="35"/>
  <c r="V534" i="35"/>
  <c r="V535" i="35"/>
  <c r="V536" i="35"/>
  <c r="V537" i="35"/>
  <c r="V538" i="35"/>
  <c r="V539" i="35"/>
  <c r="V540" i="35"/>
  <c r="V541" i="35"/>
  <c r="V542" i="35"/>
  <c r="V543" i="35"/>
  <c r="V544" i="35"/>
  <c r="V545" i="35"/>
  <c r="V546" i="35"/>
  <c r="V547" i="35"/>
  <c r="V548" i="35"/>
  <c r="V549" i="35"/>
  <c r="V550" i="35"/>
  <c r="V551" i="35"/>
  <c r="V552" i="35"/>
  <c r="V553" i="35"/>
  <c r="V554" i="35"/>
  <c r="V555" i="35"/>
  <c r="V556" i="35"/>
  <c r="V557" i="35"/>
  <c r="V558" i="35"/>
  <c r="V559" i="35"/>
  <c r="V560" i="35"/>
  <c r="V561" i="35"/>
  <c r="V562" i="35"/>
  <c r="V563" i="35"/>
  <c r="V564" i="35"/>
  <c r="V565" i="35"/>
  <c r="V566" i="35"/>
  <c r="V567" i="35"/>
  <c r="V568" i="35"/>
  <c r="V569" i="35"/>
  <c r="V570" i="35"/>
  <c r="V571" i="35"/>
  <c r="V572" i="35"/>
  <c r="V573" i="35"/>
  <c r="V574" i="35"/>
  <c r="V575" i="35"/>
  <c r="V576" i="35"/>
  <c r="V577" i="35"/>
  <c r="V578" i="35"/>
  <c r="V579" i="35"/>
  <c r="V580" i="35"/>
  <c r="V581" i="35"/>
  <c r="V582" i="35"/>
  <c r="V583" i="35"/>
  <c r="V584" i="35"/>
  <c r="V585" i="35"/>
  <c r="V586" i="35"/>
  <c r="V587" i="35"/>
  <c r="V588" i="35"/>
  <c r="V589" i="35"/>
  <c r="V590" i="35"/>
  <c r="V591" i="35"/>
  <c r="V592" i="35"/>
  <c r="V593" i="35"/>
  <c r="V594" i="35"/>
  <c r="V595" i="35"/>
  <c r="V596" i="35"/>
  <c r="V597" i="35"/>
  <c r="V598" i="35"/>
  <c r="V599" i="35"/>
  <c r="V600" i="35"/>
  <c r="V601" i="35"/>
  <c r="V602" i="35"/>
  <c r="V603" i="35"/>
  <c r="V604" i="35"/>
  <c r="V605" i="35"/>
  <c r="V606" i="35"/>
  <c r="V607" i="35"/>
  <c r="V608" i="35"/>
  <c r="V609" i="35"/>
  <c r="V610" i="35"/>
  <c r="V611" i="35"/>
  <c r="V612" i="35"/>
  <c r="V613" i="35"/>
  <c r="V614" i="35"/>
  <c r="V615" i="35"/>
  <c r="V616" i="35"/>
  <c r="V617" i="35"/>
  <c r="V618" i="35"/>
  <c r="V619" i="35"/>
  <c r="V620" i="35"/>
  <c r="V621" i="35"/>
  <c r="V622" i="35"/>
  <c r="V623" i="35"/>
  <c r="V624" i="35"/>
  <c r="V625" i="35"/>
  <c r="V626" i="35"/>
  <c r="V627" i="35"/>
  <c r="V628" i="35"/>
  <c r="V629" i="35"/>
  <c r="V630" i="35"/>
  <c r="V631" i="35"/>
  <c r="V632" i="35"/>
  <c r="V633" i="35"/>
  <c r="V634" i="35"/>
  <c r="V635" i="35"/>
  <c r="V636" i="35"/>
  <c r="V637" i="35"/>
  <c r="V638" i="35"/>
  <c r="V639" i="35"/>
  <c r="V640" i="35"/>
  <c r="V641" i="35"/>
  <c r="V642" i="35"/>
  <c r="V643" i="35"/>
  <c r="V644" i="35"/>
  <c r="V645" i="35"/>
  <c r="V646" i="35"/>
  <c r="V647" i="35"/>
  <c r="V648" i="35"/>
  <c r="V649" i="35"/>
  <c r="V650" i="35"/>
  <c r="V651" i="35"/>
  <c r="V652" i="35"/>
  <c r="V653" i="35"/>
  <c r="V654" i="35"/>
  <c r="V655" i="35"/>
  <c r="V656" i="35"/>
  <c r="V657" i="35"/>
  <c r="V658" i="35"/>
  <c r="V659" i="35"/>
  <c r="V660" i="35"/>
  <c r="V661" i="35"/>
  <c r="V662" i="35"/>
  <c r="V663" i="35"/>
  <c r="V664" i="35"/>
  <c r="V665" i="35"/>
  <c r="V666" i="35"/>
  <c r="V667" i="35"/>
  <c r="V668" i="35"/>
  <c r="V669" i="35"/>
  <c r="V670" i="35"/>
  <c r="V671" i="35"/>
  <c r="V672" i="35"/>
  <c r="V673" i="35"/>
  <c r="V674" i="35"/>
  <c r="V675" i="35"/>
  <c r="V676" i="35"/>
  <c r="V677" i="35"/>
  <c r="V678" i="35"/>
  <c r="V679" i="35"/>
  <c r="V680" i="35"/>
  <c r="V681" i="35"/>
  <c r="V682" i="35"/>
  <c r="V683" i="35"/>
  <c r="V684" i="35"/>
  <c r="V685" i="35"/>
  <c r="V686" i="35"/>
  <c r="V687" i="35"/>
  <c r="V688" i="35"/>
  <c r="V689" i="35"/>
  <c r="V690" i="35"/>
  <c r="V691" i="35"/>
  <c r="V692" i="35"/>
  <c r="V693" i="35"/>
  <c r="V694" i="35"/>
  <c r="V695" i="35"/>
  <c r="V696" i="35"/>
  <c r="V697" i="35"/>
  <c r="V698" i="35"/>
  <c r="V699" i="35"/>
  <c r="V700" i="35"/>
  <c r="V701" i="35"/>
  <c r="V702" i="35"/>
  <c r="V703" i="35"/>
  <c r="V704" i="35"/>
  <c r="V705" i="35"/>
  <c r="V706" i="35"/>
  <c r="V707" i="35"/>
  <c r="V708" i="35"/>
  <c r="V709" i="35"/>
  <c r="V710" i="35"/>
  <c r="V711" i="35"/>
  <c r="V712" i="35"/>
  <c r="V713" i="35"/>
  <c r="V714" i="35"/>
  <c r="V715" i="35"/>
  <c r="V716" i="35"/>
  <c r="V717" i="35"/>
  <c r="V718" i="35"/>
  <c r="V719" i="35"/>
  <c r="V720" i="35"/>
  <c r="V721" i="35"/>
  <c r="V722" i="35"/>
  <c r="V723" i="35"/>
  <c r="V724" i="35"/>
  <c r="V725" i="35"/>
  <c r="V726" i="35"/>
  <c r="V727" i="35"/>
  <c r="V728" i="35"/>
  <c r="V729" i="35"/>
  <c r="V730" i="35"/>
  <c r="V731" i="35"/>
  <c r="V732" i="35"/>
  <c r="V733" i="35"/>
  <c r="V734" i="35"/>
  <c r="V735" i="35"/>
  <c r="V736" i="35"/>
  <c r="V737" i="35"/>
  <c r="V738" i="35"/>
  <c r="V739" i="35"/>
  <c r="V740" i="35"/>
  <c r="V741" i="35"/>
  <c r="V742" i="35"/>
  <c r="V743" i="35"/>
  <c r="V744" i="35"/>
  <c r="V745" i="35"/>
  <c r="V746" i="35"/>
  <c r="V747" i="35"/>
  <c r="V748" i="35"/>
  <c r="V749" i="35"/>
  <c r="V750" i="35"/>
  <c r="V751" i="35"/>
  <c r="V752" i="35"/>
  <c r="V753" i="35"/>
  <c r="V754" i="35"/>
  <c r="V755" i="35"/>
  <c r="V756" i="35"/>
  <c r="V757" i="35"/>
  <c r="V758" i="35"/>
  <c r="V759" i="35"/>
  <c r="V760" i="35"/>
  <c r="V761" i="35"/>
  <c r="V762" i="35"/>
  <c r="V763" i="35"/>
  <c r="V764" i="35"/>
  <c r="V765" i="35"/>
  <c r="V766" i="35"/>
  <c r="V767" i="35"/>
  <c r="V768" i="35"/>
  <c r="V769" i="35"/>
  <c r="V770" i="35"/>
  <c r="V771" i="35"/>
  <c r="V772" i="35"/>
  <c r="V773" i="35"/>
  <c r="V774" i="35"/>
  <c r="V775" i="35"/>
  <c r="V776" i="35"/>
  <c r="V777" i="35"/>
  <c r="V778" i="35"/>
  <c r="V779" i="35"/>
  <c r="V780" i="35"/>
  <c r="V781" i="35"/>
  <c r="V782" i="35"/>
  <c r="V783" i="35"/>
  <c r="V784" i="35"/>
  <c r="V785" i="35"/>
  <c r="V786" i="35"/>
  <c r="V787" i="35"/>
  <c r="V788" i="35"/>
  <c r="V789" i="35"/>
  <c r="V790" i="35"/>
  <c r="V791" i="35"/>
  <c r="V792" i="35"/>
  <c r="V793" i="35"/>
  <c r="V794" i="35"/>
  <c r="V795" i="35"/>
  <c r="V796" i="35"/>
  <c r="V797" i="35"/>
  <c r="V798" i="35"/>
  <c r="V799" i="35"/>
  <c r="V800" i="35"/>
  <c r="V801" i="35"/>
  <c r="V802" i="35"/>
  <c r="V803" i="35"/>
  <c r="V804" i="35"/>
  <c r="V805" i="35"/>
  <c r="V806" i="35"/>
  <c r="V807" i="35"/>
  <c r="V808" i="35"/>
  <c r="V809" i="35"/>
  <c r="V810" i="35"/>
  <c r="V811" i="35"/>
  <c r="V812" i="35"/>
  <c r="V813" i="35"/>
  <c r="V814" i="35"/>
  <c r="V815" i="35"/>
  <c r="V816" i="35"/>
  <c r="V817" i="35"/>
  <c r="V818" i="35"/>
  <c r="V819" i="35"/>
  <c r="V820" i="35"/>
  <c r="V821" i="35"/>
  <c r="V822" i="35"/>
  <c r="V823" i="35"/>
  <c r="V824" i="35"/>
  <c r="V825" i="35"/>
  <c r="V826" i="35"/>
  <c r="V827" i="35"/>
  <c r="V828" i="35"/>
  <c r="V829" i="35"/>
  <c r="V830" i="35"/>
  <c r="V831" i="35"/>
  <c r="V832" i="35"/>
  <c r="V833" i="35"/>
  <c r="V834" i="35"/>
  <c r="V835" i="35"/>
  <c r="V836" i="35"/>
  <c r="V837" i="35"/>
  <c r="V838" i="35"/>
  <c r="V839" i="35"/>
  <c r="V840" i="35"/>
  <c r="V841" i="35"/>
  <c r="V842" i="35"/>
  <c r="V843" i="35"/>
  <c r="V844" i="35"/>
  <c r="V845" i="35"/>
  <c r="V846" i="35"/>
  <c r="V847" i="35"/>
  <c r="V848" i="35"/>
  <c r="V849" i="35"/>
  <c r="V850" i="35"/>
  <c r="V851" i="35"/>
  <c r="V852" i="35"/>
  <c r="V853" i="35"/>
  <c r="V854" i="35"/>
  <c r="V855" i="35"/>
  <c r="V856" i="35"/>
  <c r="V857" i="35"/>
  <c r="V858" i="35"/>
  <c r="V859" i="35"/>
  <c r="V860" i="35"/>
  <c r="V861" i="35"/>
  <c r="V862" i="35"/>
  <c r="V863" i="35"/>
  <c r="V864" i="35"/>
  <c r="V865" i="35"/>
  <c r="V866" i="35"/>
  <c r="V867" i="35"/>
  <c r="V868" i="35"/>
  <c r="V869" i="35"/>
  <c r="V870" i="35"/>
  <c r="V871" i="35"/>
  <c r="V872" i="35"/>
  <c r="V873" i="35"/>
  <c r="V874" i="35"/>
  <c r="V875" i="35"/>
  <c r="V876" i="35"/>
  <c r="V877" i="35"/>
  <c r="V878" i="35"/>
  <c r="V879" i="35"/>
  <c r="V880" i="35"/>
  <c r="V881" i="35"/>
  <c r="V882" i="35"/>
  <c r="V883" i="35"/>
  <c r="V884" i="35"/>
  <c r="V885" i="35"/>
  <c r="V886" i="35"/>
  <c r="V887" i="35"/>
  <c r="V888" i="35"/>
  <c r="V889" i="35"/>
  <c r="V890" i="35"/>
  <c r="V891" i="35"/>
  <c r="V892" i="35"/>
  <c r="V893" i="35"/>
  <c r="V894" i="35"/>
  <c r="V895" i="35"/>
  <c r="V896" i="35"/>
  <c r="V897" i="35"/>
  <c r="V898" i="35"/>
  <c r="V899" i="35"/>
  <c r="V900" i="35"/>
  <c r="V901" i="35"/>
  <c r="V902" i="35"/>
  <c r="V903" i="35"/>
  <c r="V904" i="35"/>
  <c r="V905" i="35"/>
  <c r="V906" i="35"/>
  <c r="V907" i="35"/>
  <c r="V908" i="35"/>
  <c r="V909" i="35"/>
  <c r="V910" i="35"/>
  <c r="V911" i="35"/>
  <c r="V912" i="35"/>
  <c r="V913" i="35"/>
  <c r="V914" i="35"/>
  <c r="V915" i="35"/>
  <c r="V916" i="35"/>
  <c r="V917" i="35"/>
  <c r="V918" i="35"/>
  <c r="V919" i="35"/>
  <c r="V920" i="35"/>
  <c r="V921" i="35"/>
  <c r="V922" i="35"/>
  <c r="V923" i="35"/>
  <c r="V924" i="35"/>
  <c r="V925" i="35"/>
  <c r="V926" i="35"/>
  <c r="V927" i="35"/>
  <c r="V928" i="35"/>
  <c r="V929" i="35"/>
  <c r="V930" i="35"/>
  <c r="V931" i="35"/>
  <c r="V932" i="35"/>
  <c r="V933" i="35"/>
  <c r="V934" i="35"/>
  <c r="V935" i="35"/>
  <c r="V936" i="35"/>
  <c r="V937" i="35"/>
  <c r="V938" i="35"/>
  <c r="V939" i="35"/>
  <c r="V940" i="35"/>
  <c r="V941" i="35"/>
  <c r="V942" i="35"/>
  <c r="V943" i="35"/>
  <c r="V944" i="35"/>
  <c r="V945" i="35"/>
  <c r="V946" i="35"/>
  <c r="V947" i="35"/>
  <c r="V948" i="35"/>
  <c r="V949" i="35"/>
  <c r="V950" i="35"/>
  <c r="V951" i="35"/>
  <c r="V952" i="35"/>
  <c r="V953" i="35"/>
  <c r="V954" i="35"/>
  <c r="V955" i="35"/>
  <c r="V956" i="35"/>
  <c r="V957" i="35"/>
  <c r="V958" i="35"/>
  <c r="V959" i="35"/>
  <c r="V960" i="35"/>
  <c r="V961" i="35"/>
  <c r="V962" i="35"/>
  <c r="V963" i="35"/>
  <c r="V964" i="35"/>
  <c r="V965" i="35"/>
  <c r="V966" i="35"/>
  <c r="V967" i="35"/>
  <c r="V968" i="35"/>
  <c r="V969" i="35"/>
  <c r="V970" i="35"/>
  <c r="V971" i="35"/>
  <c r="V972" i="35"/>
  <c r="V973" i="35"/>
  <c r="V974" i="35"/>
  <c r="V975" i="35"/>
  <c r="V976" i="35"/>
  <c r="V977" i="35"/>
  <c r="V978" i="35"/>
  <c r="V979" i="35"/>
  <c r="V980" i="35"/>
  <c r="V981" i="35"/>
  <c r="V982" i="35"/>
  <c r="V983" i="35"/>
  <c r="V984" i="35"/>
  <c r="V985" i="35"/>
  <c r="V986" i="35"/>
  <c r="V987" i="35"/>
  <c r="V988" i="35"/>
  <c r="V989" i="35"/>
  <c r="V990" i="35"/>
  <c r="V991" i="35"/>
  <c r="V992" i="35"/>
  <c r="V993" i="35"/>
  <c r="V994" i="35"/>
  <c r="V995" i="35"/>
  <c r="V996" i="35"/>
  <c r="V997" i="35"/>
  <c r="V998" i="35"/>
  <c r="V999" i="35"/>
  <c r="V1000" i="35"/>
  <c r="V1001" i="35"/>
  <c r="V1002" i="35"/>
  <c r="V1003" i="35"/>
  <c r="V1004" i="35"/>
  <c r="V1005" i="35"/>
  <c r="V1006" i="35"/>
  <c r="V1007" i="35"/>
  <c r="V1008" i="35"/>
  <c r="V1009" i="35"/>
  <c r="V1010" i="35"/>
  <c r="V1011" i="35"/>
  <c r="V1012" i="35"/>
  <c r="V1013" i="35"/>
  <c r="V1014" i="35"/>
  <c r="V1015" i="35"/>
  <c r="V1016" i="35"/>
  <c r="V1017" i="35"/>
  <c r="V1018" i="35"/>
  <c r="V1019" i="35"/>
  <c r="V1020" i="35"/>
  <c r="V1021" i="35"/>
  <c r="V1022" i="35"/>
  <c r="V1023" i="35"/>
  <c r="V1024" i="35"/>
  <c r="V1025" i="35"/>
  <c r="V1026" i="35"/>
  <c r="V1027" i="35"/>
  <c r="V1028" i="35"/>
  <c r="V1029" i="35"/>
  <c r="V1030" i="35"/>
  <c r="V1031" i="35"/>
  <c r="V1032" i="35"/>
  <c r="V1033" i="35"/>
  <c r="V1034" i="35"/>
  <c r="V1035" i="35"/>
  <c r="V1036" i="35"/>
  <c r="V1037" i="35"/>
  <c r="V1038" i="35"/>
  <c r="V1039" i="35"/>
  <c r="V1040" i="35"/>
  <c r="V1041" i="35"/>
  <c r="V1042" i="35"/>
  <c r="V1043" i="35"/>
  <c r="V1044" i="35"/>
  <c r="V1045" i="35"/>
  <c r="V1046" i="35"/>
  <c r="V1047" i="35"/>
  <c r="V1048" i="35"/>
  <c r="V1049" i="35"/>
  <c r="V1050" i="35"/>
  <c r="V1051" i="35"/>
  <c r="V1052" i="35"/>
  <c r="V1053" i="35"/>
  <c r="V1054" i="35"/>
  <c r="V1055" i="35"/>
  <c r="V1056" i="35"/>
  <c r="V1057" i="35"/>
  <c r="V1058" i="35"/>
  <c r="V1059" i="35"/>
  <c r="V1060" i="35"/>
  <c r="V1061" i="35"/>
  <c r="V1062" i="35"/>
  <c r="V1063" i="35"/>
  <c r="V1064" i="35"/>
  <c r="V1065" i="35"/>
  <c r="V1066" i="35"/>
  <c r="V1067" i="35"/>
  <c r="V1068" i="35"/>
  <c r="V1069" i="35"/>
  <c r="V1070" i="35"/>
  <c r="V1071" i="35"/>
  <c r="V1072" i="35"/>
  <c r="V1073" i="35"/>
  <c r="V1074" i="35"/>
  <c r="V1075" i="35"/>
  <c r="V1076" i="35"/>
  <c r="V1077" i="35"/>
  <c r="V1078" i="35"/>
  <c r="V1079" i="35"/>
  <c r="V1080" i="35"/>
  <c r="V1081" i="35"/>
  <c r="V1082" i="35"/>
  <c r="V1083" i="35"/>
  <c r="V1084" i="35"/>
  <c r="V1085" i="35"/>
  <c r="V1086" i="35"/>
  <c r="V1087" i="35"/>
  <c r="V1088" i="35"/>
  <c r="V1089" i="35"/>
  <c r="V1090" i="35"/>
  <c r="V1091" i="35"/>
  <c r="V1092" i="35"/>
  <c r="V1093" i="35"/>
  <c r="V1094" i="35"/>
  <c r="V1095" i="35"/>
  <c r="V1096" i="35"/>
  <c r="V1097" i="35"/>
  <c r="V1098" i="35"/>
  <c r="V1099" i="35"/>
  <c r="V1100" i="35"/>
  <c r="V1101" i="35"/>
  <c r="V1102" i="35"/>
  <c r="V1103" i="35"/>
  <c r="V1104" i="35"/>
  <c r="V1105" i="35"/>
  <c r="V1106" i="35"/>
  <c r="V1107" i="35"/>
  <c r="V1108" i="35"/>
  <c r="V1109" i="35"/>
  <c r="V1110" i="35"/>
  <c r="V1111" i="35"/>
  <c r="V1112" i="35"/>
  <c r="V1113" i="35"/>
  <c r="V1114" i="35"/>
  <c r="V1115" i="35"/>
  <c r="V1116" i="35"/>
  <c r="V1117" i="35"/>
  <c r="V1118" i="35"/>
  <c r="V1119" i="35"/>
  <c r="V1120" i="35"/>
  <c r="V1121" i="35"/>
  <c r="V1122" i="35"/>
  <c r="V1123" i="35"/>
  <c r="V1124" i="35"/>
  <c r="V1125" i="35"/>
  <c r="V1126" i="35"/>
  <c r="V1127" i="35"/>
  <c r="V1128" i="35"/>
  <c r="V1129" i="35"/>
  <c r="V1130" i="35"/>
  <c r="V1131" i="35"/>
  <c r="V1132" i="35"/>
  <c r="V1133" i="35"/>
  <c r="V1134" i="35"/>
  <c r="V1135" i="35"/>
  <c r="V1136" i="35"/>
  <c r="V1137" i="35"/>
  <c r="V1138" i="35"/>
  <c r="V1139" i="35"/>
  <c r="V1140" i="35"/>
  <c r="V1141" i="35"/>
  <c r="V1142" i="35"/>
  <c r="V1143" i="35"/>
  <c r="V1144" i="35"/>
  <c r="V1145" i="35"/>
  <c r="V1146" i="35"/>
  <c r="V1147" i="35"/>
  <c r="V1148" i="35"/>
  <c r="V1149" i="35"/>
  <c r="V1150" i="35"/>
  <c r="V1151" i="35"/>
  <c r="V1152" i="35"/>
  <c r="V1153" i="35"/>
  <c r="V1154" i="35"/>
  <c r="V1155" i="35"/>
  <c r="V1156" i="35"/>
  <c r="V1157" i="35"/>
  <c r="V1158" i="35"/>
  <c r="V1159" i="35"/>
  <c r="V1160" i="35"/>
  <c r="V1161" i="35"/>
  <c r="V1162" i="35"/>
  <c r="V1163" i="35"/>
  <c r="V1164" i="35"/>
  <c r="V1165" i="35"/>
  <c r="V1166" i="35"/>
  <c r="V1167" i="35"/>
  <c r="V1168" i="35"/>
  <c r="V1169" i="35"/>
  <c r="V1170" i="35"/>
  <c r="V1171" i="35"/>
  <c r="V1172" i="35"/>
  <c r="V1173" i="35"/>
  <c r="V1174" i="35"/>
  <c r="V1175" i="35"/>
  <c r="V1176" i="35"/>
  <c r="V1177" i="35"/>
  <c r="V1178" i="35"/>
  <c r="V1179" i="35"/>
  <c r="V1180" i="35"/>
  <c r="V1181" i="35"/>
  <c r="V1182" i="35"/>
  <c r="V1183" i="35"/>
  <c r="V1184" i="35"/>
  <c r="V1185" i="35"/>
  <c r="V1186" i="35"/>
  <c r="V1187" i="35"/>
  <c r="V1188" i="35"/>
  <c r="V1189" i="35"/>
  <c r="V1190" i="35"/>
  <c r="V1191" i="35"/>
  <c r="V1192" i="35"/>
  <c r="V1193" i="35"/>
  <c r="V1194" i="35"/>
  <c r="V1195" i="35"/>
  <c r="V1196" i="35"/>
  <c r="V1197" i="35"/>
  <c r="V1198" i="35"/>
  <c r="V1199" i="35"/>
  <c r="V1200" i="35"/>
  <c r="V1201" i="35"/>
  <c r="V1202" i="35"/>
  <c r="V1203" i="35"/>
  <c r="V1204" i="35"/>
  <c r="V1205" i="35"/>
  <c r="V1206" i="35"/>
  <c r="V1207" i="35"/>
  <c r="V1208" i="35"/>
  <c r="V1209" i="35"/>
  <c r="V1210" i="35"/>
  <c r="V1211" i="35"/>
  <c r="V1212" i="35"/>
  <c r="V1213" i="35"/>
  <c r="V1214" i="35"/>
  <c r="V1215" i="35"/>
  <c r="V1216" i="35"/>
  <c r="V1217" i="35"/>
  <c r="V1218" i="35"/>
  <c r="V1219" i="35"/>
  <c r="V1220" i="35"/>
  <c r="V1221" i="35"/>
  <c r="V1222" i="35"/>
  <c r="V1223" i="35"/>
  <c r="V1224" i="35"/>
  <c r="V1225" i="35"/>
  <c r="V1226" i="35"/>
  <c r="V1227" i="35"/>
  <c r="V1228" i="35"/>
  <c r="V1229" i="35"/>
  <c r="V1230" i="35"/>
  <c r="V1231" i="35"/>
  <c r="V1232" i="35"/>
  <c r="V1233" i="35"/>
  <c r="V1234" i="35"/>
  <c r="V1235" i="35"/>
  <c r="V1236" i="35"/>
  <c r="V1237" i="35"/>
  <c r="V1238" i="35"/>
  <c r="V1239" i="35"/>
  <c r="V1240" i="35"/>
  <c r="V1241" i="35"/>
  <c r="V1242" i="35"/>
  <c r="V1243" i="35"/>
  <c r="V1244" i="35"/>
  <c r="V1245" i="35"/>
  <c r="V1246" i="35"/>
  <c r="V1247" i="35"/>
  <c r="V1248" i="35"/>
  <c r="V1249" i="35"/>
  <c r="V1250" i="35"/>
  <c r="V1251" i="35"/>
  <c r="V1252" i="35"/>
  <c r="V1253" i="35"/>
  <c r="V1254" i="35"/>
  <c r="V1255" i="35"/>
  <c r="V1256" i="35"/>
  <c r="V1257" i="35"/>
  <c r="V1258" i="35"/>
  <c r="V1259" i="35"/>
  <c r="V1260" i="35"/>
  <c r="V1261" i="35"/>
  <c r="V1262" i="35"/>
  <c r="V1263" i="35"/>
  <c r="V1264" i="35"/>
  <c r="V1265" i="35"/>
  <c r="V1266" i="35"/>
  <c r="V1267" i="35"/>
  <c r="V1268" i="35"/>
  <c r="V1269" i="35"/>
  <c r="V1270" i="35"/>
  <c r="V1271" i="35"/>
  <c r="V1272" i="35"/>
  <c r="V1273" i="35"/>
  <c r="V1274" i="35"/>
  <c r="V1275" i="35"/>
  <c r="V1276" i="35"/>
  <c r="V1277" i="35"/>
  <c r="V1278" i="35"/>
  <c r="V1279" i="35"/>
  <c r="V1280" i="35"/>
  <c r="V1281" i="35"/>
  <c r="V1282" i="35"/>
  <c r="V1283" i="35"/>
  <c r="V1284" i="35"/>
  <c r="V1285" i="35"/>
  <c r="V1286" i="35"/>
  <c r="V1287" i="35"/>
  <c r="V1288" i="35"/>
  <c r="V1289" i="35"/>
  <c r="V1290" i="35"/>
  <c r="V1291" i="35"/>
  <c r="V1292" i="35"/>
  <c r="V1293" i="35"/>
  <c r="V1294" i="35"/>
  <c r="V1295" i="35"/>
  <c r="V1296" i="35"/>
  <c r="V1297" i="35"/>
  <c r="V1298" i="35"/>
  <c r="V1299" i="35"/>
  <c r="V1300" i="35"/>
  <c r="V1301" i="35"/>
  <c r="V1302" i="35"/>
  <c r="V1303" i="35"/>
  <c r="V1304" i="35"/>
  <c r="V1305" i="35"/>
  <c r="V1306" i="35"/>
  <c r="V1307" i="35"/>
  <c r="V1308" i="35"/>
  <c r="V1309" i="35"/>
  <c r="V1310" i="35"/>
  <c r="V1311" i="35"/>
  <c r="V1312" i="35"/>
  <c r="V1313" i="35"/>
  <c r="V1314" i="35"/>
  <c r="V1315" i="35"/>
  <c r="V1316" i="35"/>
  <c r="V1317" i="35"/>
  <c r="V1318" i="35"/>
  <c r="V1319" i="35"/>
  <c r="V1320" i="35"/>
  <c r="V1321" i="35"/>
  <c r="V1322" i="35"/>
  <c r="V1323" i="35"/>
  <c r="V1324" i="35"/>
  <c r="V1325" i="35"/>
  <c r="V1326" i="35"/>
  <c r="V1327" i="35"/>
  <c r="V1328" i="35"/>
  <c r="V1329" i="35"/>
  <c r="V1330" i="35"/>
  <c r="V1331" i="35"/>
  <c r="V1332" i="35"/>
  <c r="V1333" i="35"/>
  <c r="V1334" i="35"/>
  <c r="V1335" i="35"/>
  <c r="V1336" i="35"/>
  <c r="V1337" i="35"/>
  <c r="V1338" i="35"/>
  <c r="V1339" i="35"/>
  <c r="V1340" i="35"/>
  <c r="V1341" i="35"/>
  <c r="V1342" i="35"/>
  <c r="V1343" i="35"/>
  <c r="V1344" i="35"/>
  <c r="V1345" i="35"/>
  <c r="V1346" i="35"/>
  <c r="V1347" i="35"/>
  <c r="V1348" i="35"/>
  <c r="V1349" i="35"/>
  <c r="V1350" i="35"/>
  <c r="V1351" i="35"/>
  <c r="V1352" i="35"/>
  <c r="V1353" i="35"/>
  <c r="V1354" i="35"/>
  <c r="V1355" i="35"/>
  <c r="V1356" i="35"/>
  <c r="V1357" i="35"/>
  <c r="V1358" i="35"/>
  <c r="V1359" i="35"/>
  <c r="V1360" i="35"/>
  <c r="V1361" i="35"/>
  <c r="V1362" i="35"/>
  <c r="V1363" i="35"/>
  <c r="V1364" i="35"/>
  <c r="V1365" i="35"/>
  <c r="V1366" i="35"/>
  <c r="V1367" i="35"/>
  <c r="V1368" i="35"/>
  <c r="V1369" i="35"/>
  <c r="V1370" i="35"/>
  <c r="V1371" i="35"/>
  <c r="V1372" i="35"/>
  <c r="V1373" i="35"/>
  <c r="V1374" i="35"/>
  <c r="V1375" i="35"/>
  <c r="V1376" i="35"/>
  <c r="V1377" i="35"/>
  <c r="V1378" i="35"/>
  <c r="V1379" i="35"/>
  <c r="V1380" i="35"/>
  <c r="V1381" i="35"/>
  <c r="V1382" i="35"/>
  <c r="V1383" i="35"/>
  <c r="V1384" i="35"/>
  <c r="V1385" i="35"/>
  <c r="V1386" i="35"/>
  <c r="V1387" i="35"/>
  <c r="V1388" i="35"/>
  <c r="V1389" i="35"/>
  <c r="V1390" i="35"/>
  <c r="V1391" i="35"/>
  <c r="V1392" i="35"/>
  <c r="V1393" i="35"/>
  <c r="V1394" i="35"/>
  <c r="V1395" i="35"/>
  <c r="V1396" i="35"/>
  <c r="V1397" i="35"/>
  <c r="V1398" i="35"/>
  <c r="V1399" i="35"/>
  <c r="V1400" i="35"/>
  <c r="V1401" i="35"/>
  <c r="V1402" i="35"/>
  <c r="V1403" i="35"/>
  <c r="V1404" i="35"/>
  <c r="V1405" i="35"/>
  <c r="V1406" i="35"/>
  <c r="V1407" i="35"/>
  <c r="V1408" i="35"/>
  <c r="V1409" i="35"/>
  <c r="V1410" i="35"/>
  <c r="V1411" i="35"/>
  <c r="V1412" i="35"/>
  <c r="V1413" i="35"/>
  <c r="V1414" i="35"/>
  <c r="V1415" i="35"/>
  <c r="V1416" i="35"/>
  <c r="V1417" i="35"/>
  <c r="V1418" i="35"/>
  <c r="V1419" i="35"/>
  <c r="V1420" i="35"/>
  <c r="V1421" i="35"/>
  <c r="V1422" i="35"/>
  <c r="V1423" i="35"/>
  <c r="V1424" i="35"/>
  <c r="V1425" i="35"/>
  <c r="V1426" i="35"/>
  <c r="V1427" i="35"/>
  <c r="V1428" i="35"/>
  <c r="V1429" i="35"/>
  <c r="V1430" i="35"/>
  <c r="V1431" i="35"/>
  <c r="V1432" i="35"/>
  <c r="V1433" i="35"/>
  <c r="V1434" i="35"/>
  <c r="V1435" i="35"/>
  <c r="V1436" i="35"/>
  <c r="V1437" i="35"/>
  <c r="V1438" i="35"/>
  <c r="V1439" i="35"/>
  <c r="V1440" i="35"/>
  <c r="V1441" i="35"/>
  <c r="V1442" i="35"/>
  <c r="V1443" i="35"/>
  <c r="V1444" i="35"/>
  <c r="V1445" i="35"/>
  <c r="V1446" i="35"/>
  <c r="V1447" i="35"/>
  <c r="V1448" i="35"/>
  <c r="V1449" i="35"/>
  <c r="V1450" i="35"/>
  <c r="V1451" i="35"/>
  <c r="V1452" i="35"/>
  <c r="W2" i="35"/>
  <c r="W3" i="35"/>
  <c r="W4" i="35"/>
  <c r="W5" i="35"/>
  <c r="W6" i="35"/>
  <c r="W7" i="35"/>
  <c r="W8" i="35"/>
  <c r="W9" i="35"/>
  <c r="W10" i="35"/>
  <c r="W11" i="35"/>
  <c r="W12" i="35"/>
  <c r="W13" i="35"/>
  <c r="W14" i="35"/>
  <c r="W15" i="35"/>
  <c r="W16" i="35"/>
  <c r="W17" i="35"/>
  <c r="W18" i="35"/>
  <c r="W19" i="35"/>
  <c r="W20" i="35"/>
  <c r="W21" i="35"/>
  <c r="W22" i="35"/>
  <c r="W23" i="35"/>
  <c r="W24" i="35"/>
  <c r="W25" i="35"/>
  <c r="W26" i="35"/>
  <c r="W27" i="35"/>
  <c r="W28" i="35"/>
  <c r="W29" i="35"/>
  <c r="W30" i="35"/>
  <c r="W31" i="35"/>
  <c r="W32" i="35"/>
  <c r="W33" i="35"/>
  <c r="W34" i="35"/>
  <c r="W35" i="35"/>
  <c r="W36" i="35"/>
  <c r="W37" i="35"/>
  <c r="W38" i="35"/>
  <c r="W39" i="35"/>
  <c r="W40" i="35"/>
  <c r="W41" i="35"/>
  <c r="W42" i="35"/>
  <c r="W43" i="35"/>
  <c r="W44" i="35"/>
  <c r="W45" i="35"/>
  <c r="W46" i="35"/>
  <c r="W47" i="35"/>
  <c r="W48" i="35"/>
  <c r="W49" i="35"/>
  <c r="W50" i="35"/>
  <c r="W51" i="35"/>
  <c r="W52" i="35"/>
  <c r="W53" i="35"/>
  <c r="W54" i="35"/>
  <c r="W55" i="35"/>
  <c r="W56" i="35"/>
  <c r="W57" i="35"/>
  <c r="W58" i="35"/>
  <c r="W59" i="35"/>
  <c r="W60" i="35"/>
  <c r="W61" i="35"/>
  <c r="W62" i="35"/>
  <c r="W63" i="35"/>
  <c r="W64" i="35"/>
  <c r="W65" i="35"/>
  <c r="W66" i="35"/>
  <c r="W67" i="35"/>
  <c r="W68" i="35"/>
  <c r="W69" i="35"/>
  <c r="W70" i="35"/>
  <c r="W71" i="35"/>
  <c r="W72" i="35"/>
  <c r="W73" i="35"/>
  <c r="W74" i="35"/>
  <c r="W75" i="35"/>
  <c r="W76" i="35"/>
  <c r="W77" i="35"/>
  <c r="W78" i="35"/>
  <c r="W79" i="35"/>
  <c r="W80" i="35"/>
  <c r="W81" i="35"/>
  <c r="W82" i="35"/>
  <c r="W83" i="35"/>
  <c r="W84" i="35"/>
  <c r="W85" i="35"/>
  <c r="W86" i="35"/>
  <c r="W87" i="35"/>
  <c r="W88" i="35"/>
  <c r="W89" i="35"/>
  <c r="W90" i="35"/>
  <c r="W91" i="35"/>
  <c r="W92" i="35"/>
  <c r="W93" i="35"/>
  <c r="W94" i="35"/>
  <c r="W95" i="35"/>
  <c r="W96" i="35"/>
  <c r="W97" i="35"/>
  <c r="W98" i="35"/>
  <c r="W99" i="35"/>
  <c r="W100" i="35"/>
  <c r="W101" i="35"/>
  <c r="W102" i="35"/>
  <c r="W103" i="35"/>
  <c r="W104" i="35"/>
  <c r="W105" i="35"/>
  <c r="W106" i="35"/>
  <c r="W107" i="35"/>
  <c r="W108" i="35"/>
  <c r="W109" i="35"/>
  <c r="W110" i="35"/>
  <c r="W111" i="35"/>
  <c r="W112" i="35"/>
  <c r="W113" i="35"/>
  <c r="W114" i="35"/>
  <c r="W115" i="35"/>
  <c r="W116" i="35"/>
  <c r="W117" i="35"/>
  <c r="W118" i="35"/>
  <c r="W119" i="35"/>
  <c r="W120" i="35"/>
  <c r="W121" i="35"/>
  <c r="W122" i="35"/>
  <c r="W123" i="35"/>
  <c r="W124" i="35"/>
  <c r="W125" i="35"/>
  <c r="W126" i="35"/>
  <c r="W127" i="35"/>
  <c r="W128" i="35"/>
  <c r="W129" i="35"/>
  <c r="W130" i="35"/>
  <c r="W131" i="35"/>
  <c r="W132" i="35"/>
  <c r="W133" i="35"/>
  <c r="W134" i="35"/>
  <c r="W135" i="35"/>
  <c r="W136" i="35"/>
  <c r="W137" i="35"/>
  <c r="W138" i="35"/>
  <c r="W139" i="35"/>
  <c r="W140" i="35"/>
  <c r="W141" i="35"/>
  <c r="W142" i="35"/>
  <c r="W143" i="35"/>
  <c r="W144" i="35"/>
  <c r="W145" i="35"/>
  <c r="W146" i="35"/>
  <c r="W147" i="35"/>
  <c r="W148" i="35"/>
  <c r="W149" i="35"/>
  <c r="W150" i="35"/>
  <c r="W151" i="35"/>
  <c r="W152" i="35"/>
  <c r="W153" i="35"/>
  <c r="W154" i="35"/>
  <c r="W155" i="35"/>
  <c r="W156" i="35"/>
  <c r="W157" i="35"/>
  <c r="W158" i="35"/>
  <c r="W159" i="35"/>
  <c r="W160" i="35"/>
  <c r="W161" i="35"/>
  <c r="W162" i="35"/>
  <c r="W163" i="35"/>
  <c r="W164" i="35"/>
  <c r="W165" i="35"/>
  <c r="W166" i="35"/>
  <c r="W167" i="35"/>
  <c r="W168" i="35"/>
  <c r="W169" i="35"/>
  <c r="W170" i="35"/>
  <c r="W171" i="35"/>
  <c r="W172" i="35"/>
  <c r="W173" i="35"/>
  <c r="W174" i="35"/>
  <c r="W175" i="35"/>
  <c r="W176" i="35"/>
  <c r="W177" i="35"/>
  <c r="W178" i="35"/>
  <c r="W179" i="35"/>
  <c r="W180" i="35"/>
  <c r="W181" i="35"/>
  <c r="W182" i="35"/>
  <c r="W183" i="35"/>
  <c r="W184" i="35"/>
  <c r="W185" i="35"/>
  <c r="W186" i="35"/>
  <c r="W187" i="35"/>
  <c r="W188" i="35"/>
  <c r="W189" i="35"/>
  <c r="W190" i="35"/>
  <c r="W191" i="35"/>
  <c r="W192" i="35"/>
  <c r="W193" i="35"/>
  <c r="W194" i="35"/>
  <c r="W195" i="35"/>
  <c r="W196" i="35"/>
  <c r="W197" i="35"/>
  <c r="W198" i="35"/>
  <c r="W199" i="35"/>
  <c r="W200" i="35"/>
  <c r="W201" i="35"/>
  <c r="W202" i="35"/>
  <c r="W203" i="35"/>
  <c r="W204" i="35"/>
  <c r="W205" i="35"/>
  <c r="W206" i="35"/>
  <c r="W207" i="35"/>
  <c r="W208" i="35"/>
  <c r="W209" i="35"/>
  <c r="W210" i="35"/>
  <c r="W211" i="35"/>
  <c r="W212" i="35"/>
  <c r="W213" i="35"/>
  <c r="W214" i="35"/>
  <c r="W215" i="35"/>
  <c r="W216" i="35"/>
  <c r="W217" i="35"/>
  <c r="W218" i="35"/>
  <c r="W219" i="35"/>
  <c r="W220" i="35"/>
  <c r="W221" i="35"/>
  <c r="W222" i="35"/>
  <c r="W223" i="35"/>
  <c r="W224" i="35"/>
  <c r="W225" i="35"/>
  <c r="W226" i="35"/>
  <c r="W227" i="35"/>
  <c r="W228" i="35"/>
  <c r="W229" i="35"/>
  <c r="W230" i="35"/>
  <c r="W231" i="35"/>
  <c r="W232" i="35"/>
  <c r="W233" i="35"/>
  <c r="W234" i="35"/>
  <c r="W235" i="35"/>
  <c r="W236" i="35"/>
  <c r="W237" i="35"/>
  <c r="W238" i="35"/>
  <c r="W239" i="35"/>
  <c r="W240" i="35"/>
  <c r="W241" i="35"/>
  <c r="W242" i="35"/>
  <c r="W243" i="35"/>
  <c r="W244" i="35"/>
  <c r="W245" i="35"/>
  <c r="W246" i="35"/>
  <c r="W247" i="35"/>
  <c r="W248" i="35"/>
  <c r="W249" i="35"/>
  <c r="W250" i="35"/>
  <c r="W251" i="35"/>
  <c r="W252" i="35"/>
  <c r="W253" i="35"/>
  <c r="W254" i="35"/>
  <c r="W255" i="35"/>
  <c r="W256" i="35"/>
  <c r="W257" i="35"/>
  <c r="W258" i="35"/>
  <c r="W259" i="35"/>
  <c r="W260" i="35"/>
  <c r="W261" i="35"/>
  <c r="W262" i="35"/>
  <c r="W263" i="35"/>
  <c r="W264" i="35"/>
  <c r="W265" i="35"/>
  <c r="W266" i="35"/>
  <c r="W267" i="35"/>
  <c r="W268" i="35"/>
  <c r="W269" i="35"/>
  <c r="W270" i="35"/>
  <c r="W271" i="35"/>
  <c r="W272" i="35"/>
  <c r="W273" i="35"/>
  <c r="W274" i="35"/>
  <c r="W275" i="35"/>
  <c r="W276" i="35"/>
  <c r="W277" i="35"/>
  <c r="W278" i="35"/>
  <c r="W279" i="35"/>
  <c r="W280" i="35"/>
  <c r="W281" i="35"/>
  <c r="W282" i="35"/>
  <c r="W283" i="35"/>
  <c r="W284" i="35"/>
  <c r="W285" i="35"/>
  <c r="W286" i="35"/>
  <c r="W287" i="35"/>
  <c r="W288" i="35"/>
  <c r="W289" i="35"/>
  <c r="W290" i="35"/>
  <c r="W291" i="35"/>
  <c r="W292" i="35"/>
  <c r="W293" i="35"/>
  <c r="W294" i="35"/>
  <c r="W295" i="35"/>
  <c r="W296" i="35"/>
  <c r="W297" i="35"/>
  <c r="W298" i="35"/>
  <c r="W299" i="35"/>
  <c r="W300" i="35"/>
  <c r="W301" i="35"/>
  <c r="W302" i="35"/>
  <c r="W303" i="35"/>
  <c r="W304" i="35"/>
  <c r="W305" i="35"/>
  <c r="W306" i="35"/>
  <c r="W307" i="35"/>
  <c r="W308" i="35"/>
  <c r="W309" i="35"/>
  <c r="W310" i="35"/>
  <c r="W311" i="35"/>
  <c r="W312" i="35"/>
  <c r="W313" i="35"/>
  <c r="W314" i="35"/>
  <c r="W315" i="35"/>
  <c r="W316" i="35"/>
  <c r="W317" i="35"/>
  <c r="W318" i="35"/>
  <c r="W319" i="35"/>
  <c r="W320" i="35"/>
  <c r="W321" i="35"/>
  <c r="W322" i="35"/>
  <c r="W323" i="35"/>
  <c r="W324" i="35"/>
  <c r="W325" i="35"/>
  <c r="W326" i="35"/>
  <c r="W327" i="35"/>
  <c r="W328" i="35"/>
  <c r="W329" i="35"/>
  <c r="W330" i="35"/>
  <c r="W331" i="35"/>
  <c r="W332" i="35"/>
  <c r="W333" i="35"/>
  <c r="W334" i="35"/>
  <c r="W335" i="35"/>
  <c r="W336" i="35"/>
  <c r="W337" i="35"/>
  <c r="W338" i="35"/>
  <c r="W339" i="35"/>
  <c r="W340" i="35"/>
  <c r="W341" i="35"/>
  <c r="W342" i="35"/>
  <c r="W343" i="35"/>
  <c r="W344" i="35"/>
  <c r="W345" i="35"/>
  <c r="W346" i="35"/>
  <c r="W347" i="35"/>
  <c r="W348" i="35"/>
  <c r="W349" i="35"/>
  <c r="W350" i="35"/>
  <c r="W351" i="35"/>
  <c r="W352" i="35"/>
  <c r="W353" i="35"/>
  <c r="W354" i="35"/>
  <c r="W355" i="35"/>
  <c r="W356" i="35"/>
  <c r="W357" i="35"/>
  <c r="W358" i="35"/>
  <c r="W359" i="35"/>
  <c r="W360" i="35"/>
  <c r="W361" i="35"/>
  <c r="W362" i="35"/>
  <c r="W363" i="35"/>
  <c r="W364" i="35"/>
  <c r="W365" i="35"/>
  <c r="W366" i="35"/>
  <c r="W367" i="35"/>
  <c r="W368" i="35"/>
  <c r="W369" i="35"/>
  <c r="W370" i="35"/>
  <c r="W371" i="35"/>
  <c r="W372" i="35"/>
  <c r="W373" i="35"/>
  <c r="W374" i="35"/>
  <c r="W375" i="35"/>
  <c r="W376" i="35"/>
  <c r="W377" i="35"/>
  <c r="W378" i="35"/>
  <c r="W379" i="35"/>
  <c r="W380" i="35"/>
  <c r="W381" i="35"/>
  <c r="W382" i="35"/>
  <c r="W383" i="35"/>
  <c r="W384" i="35"/>
  <c r="W385" i="35"/>
  <c r="W386" i="35"/>
  <c r="W387" i="35"/>
  <c r="W388" i="35"/>
  <c r="W389" i="35"/>
  <c r="W390" i="35"/>
  <c r="W391" i="35"/>
  <c r="W392" i="35"/>
  <c r="W393" i="35"/>
  <c r="W394" i="35"/>
  <c r="W395" i="35"/>
  <c r="W396" i="35"/>
  <c r="W397" i="35"/>
  <c r="W398" i="35"/>
  <c r="W399" i="35"/>
  <c r="W400" i="35"/>
  <c r="W401" i="35"/>
  <c r="W402" i="35"/>
  <c r="W403" i="35"/>
  <c r="W404" i="35"/>
  <c r="W405" i="35"/>
  <c r="W406" i="35"/>
  <c r="W407" i="35"/>
  <c r="W408" i="35"/>
  <c r="W409" i="35"/>
  <c r="W410" i="35"/>
  <c r="W411" i="35"/>
  <c r="W412" i="35"/>
  <c r="W413" i="35"/>
  <c r="W414" i="35"/>
  <c r="W415" i="35"/>
  <c r="W416" i="35"/>
  <c r="W417" i="35"/>
  <c r="W418" i="35"/>
  <c r="W419" i="35"/>
  <c r="W420" i="35"/>
  <c r="W421" i="35"/>
  <c r="W422" i="35"/>
  <c r="W423" i="35"/>
  <c r="W424" i="35"/>
  <c r="W425" i="35"/>
  <c r="W426" i="35"/>
  <c r="W427" i="35"/>
  <c r="W428" i="35"/>
  <c r="W429" i="35"/>
  <c r="W430" i="35"/>
  <c r="W431" i="35"/>
  <c r="W432" i="35"/>
  <c r="W433" i="35"/>
  <c r="W434" i="35"/>
  <c r="W435" i="35"/>
  <c r="W436" i="35"/>
  <c r="W437" i="35"/>
  <c r="W438" i="35"/>
  <c r="W439" i="35"/>
  <c r="W440" i="35"/>
  <c r="W441" i="35"/>
  <c r="W442" i="35"/>
  <c r="W443" i="35"/>
  <c r="W444" i="35"/>
  <c r="W445" i="35"/>
  <c r="W446" i="35"/>
  <c r="W447" i="35"/>
  <c r="W448" i="35"/>
  <c r="W449" i="35"/>
  <c r="W450" i="35"/>
  <c r="W451" i="35"/>
  <c r="W452" i="35"/>
  <c r="W453" i="35"/>
  <c r="W454" i="35"/>
  <c r="W455" i="35"/>
  <c r="W456" i="35"/>
  <c r="W457" i="35"/>
  <c r="W458" i="35"/>
  <c r="W459" i="35"/>
  <c r="W460" i="35"/>
  <c r="W461" i="35"/>
  <c r="W462" i="35"/>
  <c r="W463" i="35"/>
  <c r="W464" i="35"/>
  <c r="W465" i="35"/>
  <c r="W466" i="35"/>
  <c r="W467" i="35"/>
  <c r="W468" i="35"/>
  <c r="W469" i="35"/>
  <c r="W470" i="35"/>
  <c r="W471" i="35"/>
  <c r="W472" i="35"/>
  <c r="W473" i="35"/>
  <c r="W474" i="35"/>
  <c r="W475" i="35"/>
  <c r="W476" i="35"/>
  <c r="W477" i="35"/>
  <c r="W478" i="35"/>
  <c r="W479" i="35"/>
  <c r="W480" i="35"/>
  <c r="W481" i="35"/>
  <c r="W482" i="35"/>
  <c r="W483" i="35"/>
  <c r="W484" i="35"/>
  <c r="W485" i="35"/>
  <c r="W486" i="35"/>
  <c r="W487" i="35"/>
  <c r="W488" i="35"/>
  <c r="W489" i="35"/>
  <c r="W490" i="35"/>
  <c r="W491" i="35"/>
  <c r="W492" i="35"/>
  <c r="W493" i="35"/>
  <c r="W494" i="35"/>
  <c r="W495" i="35"/>
  <c r="W496" i="35"/>
  <c r="W497" i="35"/>
  <c r="W498" i="35"/>
  <c r="W499" i="35"/>
  <c r="W500" i="35"/>
  <c r="W501" i="35"/>
  <c r="W502" i="35"/>
  <c r="W503" i="35"/>
  <c r="W504" i="35"/>
  <c r="W505" i="35"/>
  <c r="W506" i="35"/>
  <c r="W507" i="35"/>
  <c r="W508" i="35"/>
  <c r="W509" i="35"/>
  <c r="W510" i="35"/>
  <c r="W511" i="35"/>
  <c r="W512" i="35"/>
  <c r="W513" i="35"/>
  <c r="W514" i="35"/>
  <c r="W515" i="35"/>
  <c r="W516" i="35"/>
  <c r="W517" i="35"/>
  <c r="W518" i="35"/>
  <c r="W519" i="35"/>
  <c r="W520" i="35"/>
  <c r="W521" i="35"/>
  <c r="W522" i="35"/>
  <c r="W523" i="35"/>
  <c r="W524" i="35"/>
  <c r="W525" i="35"/>
  <c r="W526" i="35"/>
  <c r="W527" i="35"/>
  <c r="W528" i="35"/>
  <c r="W529" i="35"/>
  <c r="W530" i="35"/>
  <c r="W531" i="35"/>
  <c r="W532" i="35"/>
  <c r="W533" i="35"/>
  <c r="W534" i="35"/>
  <c r="W535" i="35"/>
  <c r="W536" i="35"/>
  <c r="W537" i="35"/>
  <c r="W538" i="35"/>
  <c r="W539" i="35"/>
  <c r="W540" i="35"/>
  <c r="W541" i="35"/>
  <c r="W542" i="35"/>
  <c r="W543" i="35"/>
  <c r="W544" i="35"/>
  <c r="W545" i="35"/>
  <c r="W546" i="35"/>
  <c r="W547" i="35"/>
  <c r="W548" i="35"/>
  <c r="W549" i="35"/>
  <c r="W550" i="35"/>
  <c r="W551" i="35"/>
  <c r="W552" i="35"/>
  <c r="W553" i="35"/>
  <c r="W554" i="35"/>
  <c r="W555" i="35"/>
  <c r="W556" i="35"/>
  <c r="W557" i="35"/>
  <c r="W558" i="35"/>
  <c r="W559" i="35"/>
  <c r="W560" i="35"/>
  <c r="W561" i="35"/>
  <c r="W562" i="35"/>
  <c r="W563" i="35"/>
  <c r="W564" i="35"/>
  <c r="W565" i="35"/>
  <c r="W566" i="35"/>
  <c r="W567" i="35"/>
  <c r="W568" i="35"/>
  <c r="W569" i="35"/>
  <c r="W570" i="35"/>
  <c r="W571" i="35"/>
  <c r="W572" i="35"/>
  <c r="W573" i="35"/>
  <c r="W574" i="35"/>
  <c r="W575" i="35"/>
  <c r="W576" i="35"/>
  <c r="W577" i="35"/>
  <c r="W578" i="35"/>
  <c r="W579" i="35"/>
  <c r="W580" i="35"/>
  <c r="W581" i="35"/>
  <c r="W582" i="35"/>
  <c r="W583" i="35"/>
  <c r="W584" i="35"/>
  <c r="W585" i="35"/>
  <c r="W586" i="35"/>
  <c r="W587" i="35"/>
  <c r="W588" i="35"/>
  <c r="W589" i="35"/>
  <c r="W590" i="35"/>
  <c r="W591" i="35"/>
  <c r="W592" i="35"/>
  <c r="W593" i="35"/>
  <c r="W594" i="35"/>
  <c r="W595" i="35"/>
  <c r="W596" i="35"/>
  <c r="W597" i="35"/>
  <c r="W598" i="35"/>
  <c r="W599" i="35"/>
  <c r="W600" i="35"/>
  <c r="W601" i="35"/>
  <c r="W602" i="35"/>
  <c r="W603" i="35"/>
  <c r="W604" i="35"/>
  <c r="W605" i="35"/>
  <c r="W606" i="35"/>
  <c r="W607" i="35"/>
  <c r="W608" i="35"/>
  <c r="W609" i="35"/>
  <c r="W610" i="35"/>
  <c r="W611" i="35"/>
  <c r="W612" i="35"/>
  <c r="W613" i="35"/>
  <c r="W614" i="35"/>
  <c r="W615" i="35"/>
  <c r="W616" i="35"/>
  <c r="W617" i="35"/>
  <c r="W618" i="35"/>
  <c r="W619" i="35"/>
  <c r="W620" i="35"/>
  <c r="W621" i="35"/>
  <c r="W622" i="35"/>
  <c r="W623" i="35"/>
  <c r="W624" i="35"/>
  <c r="W625" i="35"/>
  <c r="W626" i="35"/>
  <c r="W627" i="35"/>
  <c r="W628" i="35"/>
  <c r="W629" i="35"/>
  <c r="W630" i="35"/>
  <c r="W631" i="35"/>
  <c r="W632" i="35"/>
  <c r="W633" i="35"/>
  <c r="W634" i="35"/>
  <c r="W635" i="35"/>
  <c r="W636" i="35"/>
  <c r="W637" i="35"/>
  <c r="W638" i="35"/>
  <c r="W639" i="35"/>
  <c r="W640" i="35"/>
  <c r="W641" i="35"/>
  <c r="W642" i="35"/>
  <c r="W643" i="35"/>
  <c r="W644" i="35"/>
  <c r="W645" i="35"/>
  <c r="W646" i="35"/>
  <c r="W647" i="35"/>
  <c r="W648" i="35"/>
  <c r="W649" i="35"/>
  <c r="W650" i="35"/>
  <c r="W651" i="35"/>
  <c r="W652" i="35"/>
  <c r="W653" i="35"/>
  <c r="W654" i="35"/>
  <c r="W655" i="35"/>
  <c r="W656" i="35"/>
  <c r="W657" i="35"/>
  <c r="W658" i="35"/>
  <c r="W659" i="35"/>
  <c r="W660" i="35"/>
  <c r="W661" i="35"/>
  <c r="W662" i="35"/>
  <c r="W663" i="35"/>
  <c r="W664" i="35"/>
  <c r="W665" i="35"/>
  <c r="W666" i="35"/>
  <c r="W667" i="35"/>
  <c r="W668" i="35"/>
  <c r="W669" i="35"/>
  <c r="W670" i="35"/>
  <c r="W671" i="35"/>
  <c r="W672" i="35"/>
  <c r="W673" i="35"/>
  <c r="W674" i="35"/>
  <c r="W675" i="35"/>
  <c r="W676" i="35"/>
  <c r="W677" i="35"/>
  <c r="W678" i="35"/>
  <c r="W679" i="35"/>
  <c r="W680" i="35"/>
  <c r="W681" i="35"/>
  <c r="W682" i="35"/>
  <c r="W683" i="35"/>
  <c r="W684" i="35"/>
  <c r="W685" i="35"/>
  <c r="W686" i="35"/>
  <c r="W687" i="35"/>
  <c r="W688" i="35"/>
  <c r="W689" i="35"/>
  <c r="W690" i="35"/>
  <c r="W691" i="35"/>
  <c r="W692" i="35"/>
  <c r="W693" i="35"/>
  <c r="W694" i="35"/>
  <c r="W695" i="35"/>
  <c r="W696" i="35"/>
  <c r="W697" i="35"/>
  <c r="W698" i="35"/>
  <c r="W699" i="35"/>
  <c r="W700" i="35"/>
  <c r="W701" i="35"/>
  <c r="W702" i="35"/>
  <c r="W703" i="35"/>
  <c r="W704" i="35"/>
  <c r="W705" i="35"/>
  <c r="W706" i="35"/>
  <c r="W707" i="35"/>
  <c r="W708" i="35"/>
  <c r="W709" i="35"/>
  <c r="W710" i="35"/>
  <c r="W711" i="35"/>
  <c r="W712" i="35"/>
  <c r="W713" i="35"/>
  <c r="W714" i="35"/>
  <c r="W715" i="35"/>
  <c r="W716" i="35"/>
  <c r="W717" i="35"/>
  <c r="W718" i="35"/>
  <c r="W719" i="35"/>
  <c r="W720" i="35"/>
  <c r="W721" i="35"/>
  <c r="W722" i="35"/>
  <c r="W723" i="35"/>
  <c r="W724" i="35"/>
  <c r="W725" i="35"/>
  <c r="W726" i="35"/>
  <c r="W727" i="35"/>
  <c r="W728" i="35"/>
  <c r="W729" i="35"/>
  <c r="W730" i="35"/>
  <c r="W731" i="35"/>
  <c r="W732" i="35"/>
  <c r="W733" i="35"/>
  <c r="W734" i="35"/>
  <c r="W735" i="35"/>
  <c r="W736" i="35"/>
  <c r="W737" i="35"/>
  <c r="W738" i="35"/>
  <c r="W739" i="35"/>
  <c r="W740" i="35"/>
  <c r="W741" i="35"/>
  <c r="W742" i="35"/>
  <c r="W743" i="35"/>
  <c r="W744" i="35"/>
  <c r="W745" i="35"/>
  <c r="W746" i="35"/>
  <c r="W747" i="35"/>
  <c r="W748" i="35"/>
  <c r="W749" i="35"/>
  <c r="W750" i="35"/>
  <c r="W751" i="35"/>
  <c r="W752" i="35"/>
  <c r="W753" i="35"/>
  <c r="W754" i="35"/>
  <c r="W755" i="35"/>
  <c r="W756" i="35"/>
  <c r="W757" i="35"/>
  <c r="W758" i="35"/>
  <c r="W759" i="35"/>
  <c r="W760" i="35"/>
  <c r="W761" i="35"/>
  <c r="W762" i="35"/>
  <c r="W763" i="35"/>
  <c r="W764" i="35"/>
  <c r="W765" i="35"/>
  <c r="W766" i="35"/>
  <c r="W767" i="35"/>
  <c r="W768" i="35"/>
  <c r="W769" i="35"/>
  <c r="W770" i="35"/>
  <c r="W771" i="35"/>
  <c r="W772" i="35"/>
  <c r="W773" i="35"/>
  <c r="W774" i="35"/>
  <c r="W775" i="35"/>
  <c r="W776" i="35"/>
  <c r="W777" i="35"/>
  <c r="W778" i="35"/>
  <c r="W779" i="35"/>
  <c r="W780" i="35"/>
  <c r="W781" i="35"/>
  <c r="W782" i="35"/>
  <c r="W783" i="35"/>
  <c r="W784" i="35"/>
  <c r="W785" i="35"/>
  <c r="W786" i="35"/>
  <c r="W787" i="35"/>
  <c r="W788" i="35"/>
  <c r="W789" i="35"/>
  <c r="W790" i="35"/>
  <c r="W791" i="35"/>
  <c r="W792" i="35"/>
  <c r="W793" i="35"/>
  <c r="W794" i="35"/>
  <c r="W795" i="35"/>
  <c r="W796" i="35"/>
  <c r="W797" i="35"/>
  <c r="W798" i="35"/>
  <c r="W799" i="35"/>
  <c r="W800" i="35"/>
  <c r="W801" i="35"/>
  <c r="W802" i="35"/>
  <c r="W803" i="35"/>
  <c r="W804" i="35"/>
  <c r="W805" i="35"/>
  <c r="W806" i="35"/>
  <c r="W807" i="35"/>
  <c r="W808" i="35"/>
  <c r="W809" i="35"/>
  <c r="W810" i="35"/>
  <c r="W811" i="35"/>
  <c r="W812" i="35"/>
  <c r="W813" i="35"/>
  <c r="W814" i="35"/>
  <c r="W815" i="35"/>
  <c r="W816" i="35"/>
  <c r="W817" i="35"/>
  <c r="W818" i="35"/>
  <c r="W819" i="35"/>
  <c r="W820" i="35"/>
  <c r="W821" i="35"/>
  <c r="W822" i="35"/>
  <c r="W823" i="35"/>
  <c r="W824" i="35"/>
  <c r="W825" i="35"/>
  <c r="W826" i="35"/>
  <c r="W827" i="35"/>
  <c r="W828" i="35"/>
  <c r="W829" i="35"/>
  <c r="W830" i="35"/>
  <c r="W831" i="35"/>
  <c r="W832" i="35"/>
  <c r="W833" i="35"/>
  <c r="W834" i="35"/>
  <c r="W835" i="35"/>
  <c r="W836" i="35"/>
  <c r="W837" i="35"/>
  <c r="W838" i="35"/>
  <c r="W839" i="35"/>
  <c r="W840" i="35"/>
  <c r="W841" i="35"/>
  <c r="W842" i="35"/>
  <c r="W843" i="35"/>
  <c r="W844" i="35"/>
  <c r="W845" i="35"/>
  <c r="W846" i="35"/>
  <c r="W847" i="35"/>
  <c r="W848" i="35"/>
  <c r="W849" i="35"/>
  <c r="W850" i="35"/>
  <c r="W851" i="35"/>
  <c r="W852" i="35"/>
  <c r="W853" i="35"/>
  <c r="W854" i="35"/>
  <c r="W855" i="35"/>
  <c r="W856" i="35"/>
  <c r="W857" i="35"/>
  <c r="W858" i="35"/>
  <c r="W859" i="35"/>
  <c r="W860" i="35"/>
  <c r="W861" i="35"/>
  <c r="W862" i="35"/>
  <c r="W863" i="35"/>
  <c r="W864" i="35"/>
  <c r="W865" i="35"/>
  <c r="W866" i="35"/>
  <c r="W867" i="35"/>
  <c r="W868" i="35"/>
  <c r="W869" i="35"/>
  <c r="W870" i="35"/>
  <c r="W871" i="35"/>
  <c r="W872" i="35"/>
  <c r="W873" i="35"/>
  <c r="W874" i="35"/>
  <c r="W875" i="35"/>
  <c r="W876" i="35"/>
  <c r="W877" i="35"/>
  <c r="W878" i="35"/>
  <c r="W879" i="35"/>
  <c r="W880" i="35"/>
  <c r="W881" i="35"/>
  <c r="W882" i="35"/>
  <c r="W883" i="35"/>
  <c r="W884" i="35"/>
  <c r="W885" i="35"/>
  <c r="W886" i="35"/>
  <c r="W887" i="35"/>
  <c r="W888" i="35"/>
  <c r="W889" i="35"/>
  <c r="W890" i="35"/>
  <c r="W891" i="35"/>
  <c r="W892" i="35"/>
  <c r="W893" i="35"/>
  <c r="W894" i="35"/>
  <c r="W895" i="35"/>
  <c r="W896" i="35"/>
  <c r="W897" i="35"/>
  <c r="W898" i="35"/>
  <c r="W899" i="35"/>
  <c r="W900" i="35"/>
  <c r="W901" i="35"/>
  <c r="W902" i="35"/>
  <c r="W903" i="35"/>
  <c r="W904" i="35"/>
  <c r="W905" i="35"/>
  <c r="W906" i="35"/>
  <c r="W907" i="35"/>
  <c r="W908" i="35"/>
  <c r="W909" i="35"/>
  <c r="W910" i="35"/>
  <c r="W911" i="35"/>
  <c r="W912" i="35"/>
  <c r="W913" i="35"/>
  <c r="W914" i="35"/>
  <c r="W915" i="35"/>
  <c r="W916" i="35"/>
  <c r="W917" i="35"/>
  <c r="W918" i="35"/>
  <c r="W919" i="35"/>
  <c r="W920" i="35"/>
  <c r="W921" i="35"/>
  <c r="W922" i="35"/>
  <c r="W923" i="35"/>
  <c r="W924" i="35"/>
  <c r="W925" i="35"/>
  <c r="W926" i="35"/>
  <c r="W927" i="35"/>
  <c r="W928" i="35"/>
  <c r="W929" i="35"/>
  <c r="W930" i="35"/>
  <c r="W931" i="35"/>
  <c r="W932" i="35"/>
  <c r="W933" i="35"/>
  <c r="W934" i="35"/>
  <c r="W935" i="35"/>
  <c r="W936" i="35"/>
  <c r="W937" i="35"/>
  <c r="W938" i="35"/>
  <c r="W939" i="35"/>
  <c r="W940" i="35"/>
  <c r="W941" i="35"/>
  <c r="W942" i="35"/>
  <c r="W943" i="35"/>
  <c r="W944" i="35"/>
  <c r="W945" i="35"/>
  <c r="W946" i="35"/>
  <c r="W947" i="35"/>
  <c r="W948" i="35"/>
  <c r="W949" i="35"/>
  <c r="W950" i="35"/>
  <c r="W951" i="35"/>
  <c r="W952" i="35"/>
  <c r="W953" i="35"/>
  <c r="W954" i="35"/>
  <c r="W955" i="35"/>
  <c r="W956" i="35"/>
  <c r="W957" i="35"/>
  <c r="W958" i="35"/>
  <c r="W959" i="35"/>
  <c r="W960" i="35"/>
  <c r="W961" i="35"/>
  <c r="W962" i="35"/>
  <c r="W963" i="35"/>
  <c r="W964" i="35"/>
  <c r="W965" i="35"/>
  <c r="W966" i="35"/>
  <c r="W967" i="35"/>
  <c r="W968" i="35"/>
  <c r="W969" i="35"/>
  <c r="W970" i="35"/>
  <c r="W971" i="35"/>
  <c r="W972" i="35"/>
  <c r="W973" i="35"/>
  <c r="W974" i="35"/>
  <c r="W975" i="35"/>
  <c r="W976" i="35"/>
  <c r="W977" i="35"/>
  <c r="W978" i="35"/>
  <c r="W979" i="35"/>
  <c r="W980" i="35"/>
  <c r="W981" i="35"/>
  <c r="W982" i="35"/>
  <c r="W983" i="35"/>
  <c r="W984" i="35"/>
  <c r="W985" i="35"/>
  <c r="W986" i="35"/>
  <c r="W987" i="35"/>
  <c r="W988" i="35"/>
  <c r="W989" i="35"/>
  <c r="W990" i="35"/>
  <c r="W991" i="35"/>
  <c r="W992" i="35"/>
  <c r="W993" i="35"/>
  <c r="W994" i="35"/>
  <c r="W995" i="35"/>
  <c r="W996" i="35"/>
  <c r="W997" i="35"/>
  <c r="W998" i="35"/>
  <c r="W999" i="35"/>
  <c r="W1000" i="35"/>
  <c r="W1001" i="35"/>
  <c r="W1002" i="35"/>
  <c r="W1003" i="35"/>
  <c r="W1004" i="35"/>
  <c r="W1005" i="35"/>
  <c r="W1006" i="35"/>
  <c r="W1007" i="35"/>
  <c r="W1008" i="35"/>
  <c r="W1009" i="35"/>
  <c r="W1010" i="35"/>
  <c r="W1011" i="35"/>
  <c r="W1012" i="35"/>
  <c r="W1013" i="35"/>
  <c r="W1014" i="35"/>
  <c r="W1015" i="35"/>
  <c r="W1016" i="35"/>
  <c r="W1017" i="35"/>
  <c r="W1018" i="35"/>
  <c r="W1019" i="35"/>
  <c r="W1020" i="35"/>
  <c r="W1021" i="35"/>
  <c r="W1022" i="35"/>
  <c r="W1023" i="35"/>
  <c r="W1024" i="35"/>
  <c r="W1025" i="35"/>
  <c r="W1026" i="35"/>
  <c r="W1027" i="35"/>
  <c r="W1028" i="35"/>
  <c r="W1029" i="35"/>
  <c r="W1030" i="35"/>
  <c r="W1031" i="35"/>
  <c r="W1032" i="35"/>
  <c r="W1033" i="35"/>
  <c r="W1034" i="35"/>
  <c r="W1035" i="35"/>
  <c r="W1036" i="35"/>
  <c r="W1037" i="35"/>
  <c r="W1038" i="35"/>
  <c r="W1039" i="35"/>
  <c r="W1040" i="35"/>
  <c r="W1041" i="35"/>
  <c r="W1042" i="35"/>
  <c r="W1043" i="35"/>
  <c r="W1044" i="35"/>
  <c r="W1045" i="35"/>
  <c r="W1046" i="35"/>
  <c r="W1047" i="35"/>
  <c r="W1048" i="35"/>
  <c r="W1049" i="35"/>
  <c r="W1050" i="35"/>
  <c r="W1051" i="35"/>
  <c r="W1052" i="35"/>
  <c r="W1053" i="35"/>
  <c r="W1054" i="35"/>
  <c r="W1055" i="35"/>
  <c r="W1056" i="35"/>
  <c r="W1057" i="35"/>
  <c r="W1058" i="35"/>
  <c r="W1059" i="35"/>
  <c r="W1060" i="35"/>
  <c r="W1061" i="35"/>
  <c r="W1062" i="35"/>
  <c r="W1063" i="35"/>
  <c r="W1064" i="35"/>
  <c r="W1065" i="35"/>
  <c r="W1066" i="35"/>
  <c r="W1067" i="35"/>
  <c r="W1068" i="35"/>
  <c r="W1069" i="35"/>
  <c r="W1070" i="35"/>
  <c r="W1071" i="35"/>
  <c r="W1072" i="35"/>
  <c r="W1073" i="35"/>
  <c r="W1074" i="35"/>
  <c r="W1075" i="35"/>
  <c r="W1076" i="35"/>
  <c r="W1077" i="35"/>
  <c r="W1078" i="35"/>
  <c r="W1079" i="35"/>
  <c r="W1080" i="35"/>
  <c r="W1081" i="35"/>
  <c r="W1082" i="35"/>
  <c r="W1083" i="35"/>
  <c r="W1084" i="35"/>
  <c r="W1085" i="35"/>
  <c r="W1086" i="35"/>
  <c r="W1087" i="35"/>
  <c r="W1088" i="35"/>
  <c r="W1089" i="35"/>
  <c r="W1090" i="35"/>
  <c r="W1091" i="35"/>
  <c r="W1092" i="35"/>
  <c r="W1093" i="35"/>
  <c r="W1094" i="35"/>
  <c r="W1095" i="35"/>
  <c r="W1096" i="35"/>
  <c r="W1097" i="35"/>
  <c r="W1098" i="35"/>
  <c r="W1099" i="35"/>
  <c r="W1100" i="35"/>
  <c r="W1101" i="35"/>
  <c r="W1102" i="35"/>
  <c r="W1103" i="35"/>
  <c r="W1104" i="35"/>
  <c r="W1105" i="35"/>
  <c r="W1106" i="35"/>
  <c r="W1107" i="35"/>
  <c r="W1108" i="35"/>
  <c r="W1109" i="35"/>
  <c r="W1110" i="35"/>
  <c r="W1111" i="35"/>
  <c r="W1112" i="35"/>
  <c r="W1113" i="35"/>
  <c r="W1114" i="35"/>
  <c r="W1115" i="35"/>
  <c r="W1116" i="35"/>
  <c r="W1117" i="35"/>
  <c r="W1118" i="35"/>
  <c r="W1119" i="35"/>
  <c r="W1120" i="35"/>
  <c r="W1121" i="35"/>
  <c r="W1122" i="35"/>
  <c r="W1123" i="35"/>
  <c r="W1124" i="35"/>
  <c r="W1125" i="35"/>
  <c r="W1126" i="35"/>
  <c r="W1127" i="35"/>
  <c r="W1128" i="35"/>
  <c r="W1129" i="35"/>
  <c r="W1130" i="35"/>
  <c r="W1131" i="35"/>
  <c r="W1132" i="35"/>
  <c r="W1133" i="35"/>
  <c r="W1134" i="35"/>
  <c r="W1135" i="35"/>
  <c r="W1136" i="35"/>
  <c r="W1137" i="35"/>
  <c r="W1138" i="35"/>
  <c r="W1139" i="35"/>
  <c r="W1140" i="35"/>
  <c r="W1141" i="35"/>
  <c r="W1142" i="35"/>
  <c r="W1143" i="35"/>
  <c r="W1144" i="35"/>
  <c r="W1145" i="35"/>
  <c r="W1146" i="35"/>
  <c r="W1147" i="35"/>
  <c r="W1148" i="35"/>
  <c r="W1149" i="35"/>
  <c r="W1150" i="35"/>
  <c r="W1151" i="35"/>
  <c r="W1152" i="35"/>
  <c r="W1153" i="35"/>
  <c r="W1154" i="35"/>
  <c r="W1155" i="35"/>
  <c r="W1156" i="35"/>
  <c r="W1157" i="35"/>
  <c r="W1158" i="35"/>
  <c r="W1159" i="35"/>
  <c r="W1160" i="35"/>
  <c r="W1161" i="35"/>
  <c r="W1162" i="35"/>
  <c r="W1163" i="35"/>
  <c r="W1164" i="35"/>
  <c r="W1165" i="35"/>
  <c r="W1166" i="35"/>
  <c r="W1167" i="35"/>
  <c r="W1168" i="35"/>
  <c r="W1169" i="35"/>
  <c r="W1170" i="35"/>
  <c r="W1171" i="35"/>
  <c r="W1172" i="35"/>
  <c r="W1173" i="35"/>
  <c r="W1174" i="35"/>
  <c r="W1175" i="35"/>
  <c r="W1176" i="35"/>
  <c r="W1177" i="35"/>
  <c r="W1178" i="35"/>
  <c r="W1179" i="35"/>
  <c r="W1180" i="35"/>
  <c r="W1181" i="35"/>
  <c r="W1182" i="35"/>
  <c r="W1183" i="35"/>
  <c r="W1184" i="35"/>
  <c r="W1185" i="35"/>
  <c r="W1186" i="35"/>
  <c r="W1187" i="35"/>
  <c r="W1188" i="35"/>
  <c r="W1189" i="35"/>
  <c r="W1190" i="35"/>
  <c r="W1191" i="35"/>
  <c r="W1192" i="35"/>
  <c r="W1193" i="35"/>
  <c r="W1194" i="35"/>
  <c r="W1195" i="35"/>
  <c r="W1196" i="35"/>
  <c r="W1197" i="35"/>
  <c r="W1198" i="35"/>
  <c r="W1199" i="35"/>
  <c r="W1200" i="35"/>
  <c r="W1201" i="35"/>
  <c r="W1202" i="35"/>
  <c r="W1203" i="35"/>
  <c r="W1204" i="35"/>
  <c r="W1205" i="35"/>
  <c r="W1206" i="35"/>
  <c r="W1207" i="35"/>
  <c r="W1208" i="35"/>
  <c r="W1209" i="35"/>
  <c r="W1210" i="35"/>
  <c r="W1211" i="35"/>
  <c r="W1212" i="35"/>
  <c r="W1213" i="35"/>
  <c r="W1214" i="35"/>
  <c r="W1215" i="35"/>
  <c r="W1216" i="35"/>
  <c r="W1217" i="35"/>
  <c r="W1218" i="35"/>
  <c r="W1219" i="35"/>
  <c r="W1220" i="35"/>
  <c r="W1221" i="35"/>
  <c r="W1222" i="35"/>
  <c r="W1223" i="35"/>
  <c r="W1224" i="35"/>
  <c r="W1225" i="35"/>
  <c r="W1226" i="35"/>
  <c r="W1227" i="35"/>
  <c r="W1228" i="35"/>
  <c r="W1229" i="35"/>
  <c r="W1230" i="35"/>
  <c r="W1231" i="35"/>
  <c r="W1232" i="35"/>
  <c r="W1233" i="35"/>
  <c r="W1234" i="35"/>
  <c r="W1235" i="35"/>
  <c r="W1236" i="35"/>
  <c r="W1237" i="35"/>
  <c r="W1238" i="35"/>
  <c r="W1239" i="35"/>
  <c r="W1240" i="35"/>
  <c r="W1241" i="35"/>
  <c r="W1242" i="35"/>
  <c r="W1243" i="35"/>
  <c r="W1244" i="35"/>
  <c r="W1245" i="35"/>
  <c r="W1246" i="35"/>
  <c r="W1247" i="35"/>
  <c r="W1248" i="35"/>
  <c r="W1249" i="35"/>
  <c r="W1250" i="35"/>
  <c r="W1251" i="35"/>
  <c r="W1252" i="35"/>
  <c r="W1253" i="35"/>
  <c r="W1254" i="35"/>
  <c r="W1255" i="35"/>
  <c r="W1256" i="35"/>
  <c r="W1257" i="35"/>
  <c r="W1258" i="35"/>
  <c r="W1259" i="35"/>
  <c r="W1260" i="35"/>
  <c r="W1261" i="35"/>
  <c r="W1262" i="35"/>
  <c r="W1263" i="35"/>
  <c r="W1264" i="35"/>
  <c r="W1265" i="35"/>
  <c r="W1266" i="35"/>
  <c r="W1267" i="35"/>
  <c r="W1268" i="35"/>
  <c r="W1269" i="35"/>
  <c r="W1270" i="35"/>
  <c r="W1271" i="35"/>
  <c r="W1272" i="35"/>
  <c r="W1273" i="35"/>
  <c r="W1274" i="35"/>
  <c r="W1275" i="35"/>
  <c r="W1276" i="35"/>
  <c r="W1277" i="35"/>
  <c r="W1278" i="35"/>
  <c r="W1279" i="35"/>
  <c r="W1280" i="35"/>
  <c r="W1281" i="35"/>
  <c r="W1282" i="35"/>
  <c r="W1283" i="35"/>
  <c r="W1284" i="35"/>
  <c r="W1285" i="35"/>
  <c r="W1286" i="35"/>
  <c r="W1287" i="35"/>
  <c r="W1288" i="35"/>
  <c r="W1289" i="35"/>
  <c r="W1290" i="35"/>
  <c r="W1291" i="35"/>
  <c r="W1292" i="35"/>
  <c r="W1293" i="35"/>
  <c r="W1294" i="35"/>
  <c r="W1295" i="35"/>
  <c r="W1296" i="35"/>
  <c r="W1297" i="35"/>
  <c r="W1298" i="35"/>
  <c r="W1299" i="35"/>
  <c r="W1300" i="35"/>
  <c r="W1301" i="35"/>
  <c r="W1302" i="35"/>
  <c r="W1303" i="35"/>
  <c r="W1304" i="35"/>
  <c r="W1305" i="35"/>
  <c r="W1306" i="35"/>
  <c r="W1307" i="35"/>
  <c r="W1308" i="35"/>
  <c r="W1309" i="35"/>
  <c r="W1310" i="35"/>
  <c r="W1311" i="35"/>
  <c r="W1312" i="35"/>
  <c r="W1313" i="35"/>
  <c r="W1314" i="35"/>
  <c r="W1315" i="35"/>
  <c r="W1316" i="35"/>
  <c r="W1317" i="35"/>
  <c r="W1318" i="35"/>
  <c r="W1319" i="35"/>
  <c r="W1320" i="35"/>
  <c r="W1321" i="35"/>
  <c r="W1322" i="35"/>
  <c r="W1323" i="35"/>
  <c r="W1324" i="35"/>
  <c r="W1325" i="35"/>
  <c r="W1326" i="35"/>
  <c r="W1327" i="35"/>
  <c r="W1328" i="35"/>
  <c r="W1329" i="35"/>
  <c r="W1330" i="35"/>
  <c r="W1331" i="35"/>
  <c r="W1332" i="35"/>
  <c r="W1333" i="35"/>
  <c r="W1334" i="35"/>
  <c r="W1335" i="35"/>
  <c r="W1336" i="35"/>
  <c r="W1337" i="35"/>
  <c r="W1338" i="35"/>
  <c r="W1339" i="35"/>
  <c r="W1340" i="35"/>
  <c r="W1341" i="35"/>
  <c r="W1342" i="35"/>
  <c r="W1343" i="35"/>
  <c r="W1344" i="35"/>
  <c r="W1345" i="35"/>
  <c r="W1346" i="35"/>
  <c r="W1347" i="35"/>
  <c r="W1348" i="35"/>
  <c r="W1349" i="35"/>
  <c r="W1350" i="35"/>
  <c r="W1351" i="35"/>
  <c r="W1352" i="35"/>
  <c r="W1353" i="35"/>
  <c r="W1354" i="35"/>
  <c r="W1355" i="35"/>
  <c r="W1356" i="35"/>
  <c r="W1357" i="35"/>
  <c r="W1358" i="35"/>
  <c r="W1359" i="35"/>
  <c r="W1360" i="35"/>
  <c r="W1361" i="35"/>
  <c r="W1362" i="35"/>
  <c r="W1363" i="35"/>
  <c r="W1364" i="35"/>
  <c r="W1365" i="35"/>
  <c r="W1366" i="35"/>
  <c r="W1367" i="35"/>
  <c r="W1368" i="35"/>
  <c r="W1369" i="35"/>
  <c r="W1370" i="35"/>
  <c r="W1371" i="35"/>
  <c r="W1372" i="35"/>
  <c r="W1373" i="35"/>
  <c r="W1374" i="35"/>
  <c r="W1375" i="35"/>
  <c r="W1376" i="35"/>
  <c r="W1377" i="35"/>
  <c r="W1378" i="35"/>
  <c r="W1379" i="35"/>
  <c r="W1380" i="35"/>
  <c r="W1381" i="35"/>
  <c r="W1382" i="35"/>
  <c r="W1383" i="35"/>
  <c r="W1384" i="35"/>
  <c r="W1385" i="35"/>
  <c r="W1386" i="35"/>
  <c r="W1387" i="35"/>
  <c r="W1388" i="35"/>
  <c r="W1389" i="35"/>
  <c r="W1390" i="35"/>
  <c r="W1391" i="35"/>
  <c r="W1392" i="35"/>
  <c r="W1393" i="35"/>
  <c r="W1394" i="35"/>
  <c r="W1395" i="35"/>
  <c r="W1396" i="35"/>
  <c r="W1397" i="35"/>
  <c r="W1398" i="35"/>
  <c r="W1399" i="35"/>
  <c r="W1400" i="35"/>
  <c r="W1401" i="35"/>
  <c r="W1402" i="35"/>
  <c r="W1403" i="35"/>
  <c r="W1404" i="35"/>
  <c r="W1405" i="35"/>
  <c r="W1406" i="35"/>
  <c r="W1407" i="35"/>
  <c r="W1408" i="35"/>
  <c r="W1409" i="35"/>
  <c r="W1410" i="35"/>
  <c r="W1411" i="35"/>
  <c r="W1412" i="35"/>
  <c r="W1413" i="35"/>
  <c r="W1414" i="35"/>
  <c r="W1415" i="35"/>
  <c r="W1416" i="35"/>
  <c r="W1417" i="35"/>
  <c r="W1418" i="35"/>
  <c r="W1419" i="35"/>
  <c r="W1420" i="35"/>
  <c r="W1421" i="35"/>
  <c r="W1422" i="35"/>
  <c r="W1423" i="35"/>
  <c r="W1424" i="35"/>
  <c r="W1425" i="35"/>
  <c r="W1426" i="35"/>
  <c r="W1427" i="35"/>
  <c r="W1428" i="35"/>
  <c r="W1429" i="35"/>
  <c r="W1430" i="35"/>
  <c r="W1431" i="35"/>
  <c r="W1432" i="35"/>
  <c r="W1433" i="35"/>
  <c r="W1434" i="35"/>
  <c r="W1435" i="35"/>
  <c r="W1436" i="35"/>
  <c r="W1437" i="35"/>
  <c r="W1438" i="35"/>
  <c r="W1439" i="35"/>
  <c r="W1440" i="35"/>
  <c r="W1441" i="35"/>
  <c r="W1442" i="35"/>
  <c r="W1443" i="35"/>
  <c r="W1444" i="35"/>
  <c r="W1445" i="35"/>
  <c r="W1446" i="35"/>
  <c r="W1447" i="35"/>
  <c r="W1448" i="35"/>
  <c r="W1449" i="35"/>
  <c r="W1450" i="35"/>
  <c r="W1451" i="35"/>
  <c r="W1452" i="35"/>
  <c r="D68" i="40"/>
  <c r="D69" i="40"/>
  <c r="D34" i="40"/>
  <c r="D37" i="40"/>
  <c r="D70" i="40"/>
  <c r="D30" i="40"/>
  <c r="D71" i="40"/>
  <c r="D59" i="40"/>
  <c r="D72" i="40"/>
  <c r="D73" i="40"/>
  <c r="D74" i="40"/>
  <c r="D53" i="40"/>
  <c r="D22" i="40"/>
  <c r="D19" i="40"/>
  <c r="D57" i="40"/>
  <c r="D62" i="40"/>
  <c r="D11" i="40"/>
  <c r="D25" i="40"/>
  <c r="D75" i="40"/>
  <c r="D76" i="40"/>
  <c r="D45" i="40"/>
  <c r="D77" i="40"/>
  <c r="D78" i="40"/>
  <c r="D65" i="40"/>
  <c r="D79" i="40"/>
  <c r="D61" i="40"/>
  <c r="D80" i="40"/>
  <c r="D33" i="40"/>
  <c r="D29" i="40"/>
  <c r="D81" i="40"/>
  <c r="D82" i="40"/>
  <c r="D83" i="40"/>
  <c r="D84" i="40"/>
  <c r="D85" i="40"/>
  <c r="D86" i="40"/>
  <c r="D49" i="40"/>
  <c r="D56" i="40"/>
  <c r="D32" i="40"/>
  <c r="D87" i="40"/>
  <c r="D31" i="40"/>
  <c r="D88" i="40"/>
  <c r="D89" i="40"/>
  <c r="D39" i="40"/>
  <c r="D90" i="40"/>
  <c r="D91" i="40"/>
  <c r="D51" i="40"/>
  <c r="D92" i="40"/>
  <c r="D93" i="40"/>
  <c r="D46" i="40"/>
  <c r="D94" i="40"/>
  <c r="D95" i="40"/>
  <c r="D50" i="40"/>
  <c r="D9" i="40"/>
  <c r="D20" i="40"/>
  <c r="D8" i="40"/>
  <c r="D96" i="40"/>
  <c r="D10" i="40"/>
  <c r="D97" i="40"/>
  <c r="D98" i="40"/>
  <c r="D99" i="40"/>
  <c r="D100" i="40"/>
  <c r="D101" i="40"/>
  <c r="D60" i="40"/>
  <c r="D102" i="40"/>
  <c r="D103" i="40"/>
  <c r="D67" i="40"/>
  <c r="D104" i="40"/>
  <c r="D21" i="40"/>
  <c r="D44" i="40"/>
  <c r="D105" i="40"/>
  <c r="D106" i="40"/>
  <c r="D28" i="40"/>
  <c r="D38" i="40"/>
  <c r="D107" i="40"/>
  <c r="D48" i="40"/>
  <c r="D108" i="40"/>
  <c r="D109" i="40"/>
  <c r="D110" i="40"/>
  <c r="D63" i="40"/>
  <c r="D43" i="40"/>
  <c r="D54" i="40"/>
  <c r="D52" i="40"/>
  <c r="D111" i="40"/>
  <c r="D26" i="40"/>
  <c r="D112" i="40"/>
  <c r="D7" i="40"/>
  <c r="D17" i="40"/>
  <c r="D64" i="40"/>
  <c r="D113" i="40"/>
  <c r="D114" i="40"/>
  <c r="D115" i="40"/>
  <c r="D47" i="40"/>
  <c r="D116" i="40"/>
  <c r="D40" i="40"/>
  <c r="D117" i="40"/>
  <c r="D27" i="40"/>
  <c r="D118" i="40"/>
  <c r="D41" i="40"/>
  <c r="D119" i="40"/>
  <c r="D120" i="40"/>
  <c r="D121" i="40"/>
  <c r="D6" i="40"/>
  <c r="D122" i="40"/>
  <c r="D123" i="40"/>
  <c r="D124" i="40"/>
  <c r="D58" i="40"/>
  <c r="D125" i="40"/>
  <c r="D55" i="40"/>
  <c r="D12" i="40"/>
  <c r="D42" i="40"/>
  <c r="D126" i="40"/>
  <c r="D36" i="40"/>
  <c r="D16" i="40"/>
  <c r="D14" i="40"/>
  <c r="D35" i="40"/>
  <c r="D127" i="40"/>
  <c r="D66" i="40"/>
  <c r="D128" i="40"/>
  <c r="D24" i="40"/>
  <c r="D129" i="40"/>
  <c r="D130" i="40"/>
  <c r="D131" i="40"/>
  <c r="D13" i="40"/>
  <c r="D132" i="40"/>
  <c r="D133" i="40"/>
  <c r="D134" i="40"/>
  <c r="D135" i="40"/>
  <c r="D23" i="40"/>
  <c r="D136" i="40"/>
  <c r="D18" i="40"/>
  <c r="D15" i="40"/>
  <c r="F68" i="40"/>
  <c r="F69" i="40"/>
  <c r="F34" i="40"/>
  <c r="F37" i="40"/>
  <c r="F70" i="40"/>
  <c r="F30" i="40"/>
  <c r="F71" i="40"/>
  <c r="F59" i="40"/>
  <c r="F72" i="40"/>
  <c r="F73" i="40"/>
  <c r="F74" i="40"/>
  <c r="F53" i="40"/>
  <c r="F22" i="40"/>
  <c r="F19" i="40"/>
  <c r="F57" i="40"/>
  <c r="F62" i="40"/>
  <c r="F11" i="40"/>
  <c r="F25" i="40"/>
  <c r="F75" i="40"/>
  <c r="F76" i="40"/>
  <c r="F45" i="40"/>
  <c r="F77" i="40"/>
  <c r="F78" i="40"/>
  <c r="F65" i="40"/>
  <c r="F79" i="40"/>
  <c r="F61" i="40"/>
  <c r="F80" i="40"/>
  <c r="F33" i="40"/>
  <c r="F29" i="40"/>
  <c r="F81" i="40"/>
  <c r="F82" i="40"/>
  <c r="F83" i="40"/>
  <c r="F84" i="40"/>
  <c r="F85" i="40"/>
  <c r="F86" i="40"/>
  <c r="F49" i="40"/>
  <c r="F56" i="40"/>
  <c r="F32" i="40"/>
  <c r="F87" i="40"/>
  <c r="F31" i="40"/>
  <c r="F88" i="40"/>
  <c r="F89" i="40"/>
  <c r="F39" i="40"/>
  <c r="F90" i="40"/>
  <c r="F91" i="40"/>
  <c r="F51" i="40"/>
  <c r="F92" i="40"/>
  <c r="F93" i="40"/>
  <c r="F46" i="40"/>
  <c r="F94" i="40"/>
  <c r="F95" i="40"/>
  <c r="F50" i="40"/>
  <c r="F9" i="40"/>
  <c r="F20" i="40"/>
  <c r="F8" i="40"/>
  <c r="F96" i="40"/>
  <c r="F10" i="40"/>
  <c r="F97" i="40"/>
  <c r="F98" i="40"/>
  <c r="F99" i="40"/>
  <c r="F100" i="40"/>
  <c r="F101" i="40"/>
  <c r="F60" i="40"/>
  <c r="F102" i="40"/>
  <c r="F103" i="40"/>
  <c r="F67" i="40"/>
  <c r="F104" i="40"/>
  <c r="F21" i="40"/>
  <c r="F44" i="40"/>
  <c r="F105" i="40"/>
  <c r="F106" i="40"/>
  <c r="F28" i="40"/>
  <c r="F38" i="40"/>
  <c r="F107" i="40"/>
  <c r="F48" i="40"/>
  <c r="F108" i="40"/>
  <c r="F109" i="40"/>
  <c r="F110" i="40"/>
  <c r="F63" i="40"/>
  <c r="F43" i="40"/>
  <c r="F54" i="40"/>
  <c r="F52" i="40"/>
  <c r="F111" i="40"/>
  <c r="F26" i="40"/>
  <c r="F112" i="40"/>
  <c r="F7" i="40"/>
  <c r="F17" i="40"/>
  <c r="F64" i="40"/>
  <c r="F113" i="40"/>
  <c r="F114" i="40"/>
  <c r="F115" i="40"/>
  <c r="F47" i="40"/>
  <c r="F116" i="40"/>
  <c r="F40" i="40"/>
  <c r="F117" i="40"/>
  <c r="F27" i="40"/>
  <c r="F118" i="40"/>
  <c r="F41" i="40"/>
  <c r="F119" i="40"/>
  <c r="F120" i="40"/>
  <c r="F121" i="40"/>
  <c r="F6" i="40"/>
  <c r="F122" i="40"/>
  <c r="F123" i="40"/>
  <c r="F124" i="40"/>
  <c r="F58" i="40"/>
  <c r="F125" i="40"/>
  <c r="F55" i="40"/>
  <c r="F12" i="40"/>
  <c r="F42" i="40"/>
  <c r="F126" i="40"/>
  <c r="F36" i="40"/>
  <c r="F16" i="40"/>
  <c r="F14" i="40"/>
  <c r="F35" i="40"/>
  <c r="F127" i="40"/>
  <c r="F66" i="40"/>
  <c r="F128" i="40"/>
  <c r="F24" i="40"/>
  <c r="F129" i="40"/>
  <c r="F130" i="40"/>
  <c r="F131" i="40"/>
  <c r="F13" i="40"/>
  <c r="F132" i="40"/>
  <c r="F133" i="40"/>
  <c r="F134" i="40"/>
  <c r="F135" i="40"/>
  <c r="F23" i="40"/>
  <c r="F136" i="40"/>
  <c r="F18" i="40"/>
  <c r="F15" i="40"/>
  <c r="G68" i="40"/>
  <c r="G69" i="40"/>
  <c r="G34" i="40"/>
  <c r="G37" i="40"/>
  <c r="G70" i="40"/>
  <c r="G30" i="40"/>
  <c r="G71" i="40"/>
  <c r="G59" i="40"/>
  <c r="G72" i="40"/>
  <c r="G73" i="40"/>
  <c r="G74" i="40"/>
  <c r="G53" i="40"/>
  <c r="G22" i="40"/>
  <c r="G19" i="40"/>
  <c r="G57" i="40"/>
  <c r="G62" i="40"/>
  <c r="G11" i="40"/>
  <c r="G25" i="40"/>
  <c r="G75" i="40"/>
  <c r="G76" i="40"/>
  <c r="G45" i="40"/>
  <c r="G77" i="40"/>
  <c r="G78" i="40"/>
  <c r="G65" i="40"/>
  <c r="G79" i="40"/>
  <c r="G61" i="40"/>
  <c r="G80" i="40"/>
  <c r="G33" i="40"/>
  <c r="G29" i="40"/>
  <c r="G81" i="40"/>
  <c r="G82" i="40"/>
  <c r="G83" i="40"/>
  <c r="G84" i="40"/>
  <c r="G85" i="40"/>
  <c r="G86" i="40"/>
  <c r="G49" i="40"/>
  <c r="G56" i="40"/>
  <c r="G32" i="40"/>
  <c r="G87" i="40"/>
  <c r="G31" i="40"/>
  <c r="G88" i="40"/>
  <c r="G89" i="40"/>
  <c r="G39" i="40"/>
  <c r="G90" i="40"/>
  <c r="G91" i="40"/>
  <c r="G51" i="40"/>
  <c r="G92" i="40"/>
  <c r="G93" i="40"/>
  <c r="G46" i="40"/>
  <c r="G94" i="40"/>
  <c r="G95" i="40"/>
  <c r="G50" i="40"/>
  <c r="G9" i="40"/>
  <c r="G20" i="40"/>
  <c r="G8" i="40"/>
  <c r="G96" i="40"/>
  <c r="G10" i="40"/>
  <c r="G97" i="40"/>
  <c r="G98" i="40"/>
  <c r="G99" i="40"/>
  <c r="G100" i="40"/>
  <c r="G101" i="40"/>
  <c r="G60" i="40"/>
  <c r="G102" i="40"/>
  <c r="G103" i="40"/>
  <c r="G67" i="40"/>
  <c r="G104" i="40"/>
  <c r="G21" i="40"/>
  <c r="G44" i="40"/>
  <c r="G105" i="40"/>
  <c r="G106" i="40"/>
  <c r="G28" i="40"/>
  <c r="G38" i="40"/>
  <c r="G107" i="40"/>
  <c r="G48" i="40"/>
  <c r="G108" i="40"/>
  <c r="G109" i="40"/>
  <c r="G110" i="40"/>
  <c r="G63" i="40"/>
  <c r="G43" i="40"/>
  <c r="G54" i="40"/>
  <c r="G52" i="40"/>
  <c r="G111" i="40"/>
  <c r="G26" i="40"/>
  <c r="G112" i="40"/>
  <c r="G7" i="40"/>
  <c r="G17" i="40"/>
  <c r="G64" i="40"/>
  <c r="G113" i="40"/>
  <c r="G114" i="40"/>
  <c r="G115" i="40"/>
  <c r="G47" i="40"/>
  <c r="G116" i="40"/>
  <c r="G40" i="40"/>
  <c r="G117" i="40"/>
  <c r="G27" i="40"/>
  <c r="G118" i="40"/>
  <c r="G41" i="40"/>
  <c r="G119" i="40"/>
  <c r="G120" i="40"/>
  <c r="G121" i="40"/>
  <c r="G6" i="40"/>
  <c r="G122" i="40"/>
  <c r="G123" i="40"/>
  <c r="G124" i="40"/>
  <c r="G58" i="40"/>
  <c r="G125" i="40"/>
  <c r="G55" i="40"/>
  <c r="G12" i="40"/>
  <c r="G42" i="40"/>
  <c r="G126" i="40"/>
  <c r="G36" i="40"/>
  <c r="G16" i="40"/>
  <c r="G14" i="40"/>
  <c r="G35" i="40"/>
  <c r="G127" i="40"/>
  <c r="G66" i="40"/>
  <c r="G128" i="40"/>
  <c r="G24" i="40"/>
  <c r="G129" i="40"/>
  <c r="G130" i="40"/>
  <c r="G131" i="40"/>
  <c r="G13" i="40"/>
  <c r="G132" i="40"/>
  <c r="G133" i="40"/>
  <c r="G134" i="40"/>
  <c r="G135" i="40"/>
  <c r="G23" i="40"/>
  <c r="G136" i="40"/>
  <c r="G18" i="40"/>
  <c r="G15" i="40"/>
  <c r="I68" i="40"/>
  <c r="I69" i="40"/>
  <c r="I34" i="40"/>
  <c r="I37" i="40"/>
  <c r="I70" i="40"/>
  <c r="I30" i="40"/>
  <c r="I71" i="40"/>
  <c r="I59" i="40"/>
  <c r="I72" i="40"/>
  <c r="I73" i="40"/>
  <c r="I74" i="40"/>
  <c r="I53" i="40"/>
  <c r="I22" i="40"/>
  <c r="I19" i="40"/>
  <c r="I57" i="40"/>
  <c r="I62" i="40"/>
  <c r="I11" i="40"/>
  <c r="I25" i="40"/>
  <c r="I75" i="40"/>
  <c r="I76" i="40"/>
  <c r="I45" i="40"/>
  <c r="I77" i="40"/>
  <c r="I78" i="40"/>
  <c r="I65" i="40"/>
  <c r="I79" i="40"/>
  <c r="I61" i="40"/>
  <c r="I80" i="40"/>
  <c r="I33" i="40"/>
  <c r="I29" i="40"/>
  <c r="I81" i="40"/>
  <c r="I82" i="40"/>
  <c r="I83" i="40"/>
  <c r="I84" i="40"/>
  <c r="I85" i="40"/>
  <c r="I86" i="40"/>
  <c r="I49" i="40"/>
  <c r="I56" i="40"/>
  <c r="I32" i="40"/>
  <c r="I87" i="40"/>
  <c r="I31" i="40"/>
  <c r="I88" i="40"/>
  <c r="I89" i="40"/>
  <c r="I39" i="40"/>
  <c r="I90" i="40"/>
  <c r="I91" i="40"/>
  <c r="I51" i="40"/>
  <c r="I92" i="40"/>
  <c r="I93" i="40"/>
  <c r="I46" i="40"/>
  <c r="I94" i="40"/>
  <c r="I95" i="40"/>
  <c r="I50" i="40"/>
  <c r="I9" i="40"/>
  <c r="I20" i="40"/>
  <c r="I8" i="40"/>
  <c r="I96" i="40"/>
  <c r="I10" i="40"/>
  <c r="I97" i="40"/>
  <c r="I98" i="40"/>
  <c r="I99" i="40"/>
  <c r="I100" i="40"/>
  <c r="I101" i="40"/>
  <c r="I60" i="40"/>
  <c r="I102" i="40"/>
  <c r="I103" i="40"/>
  <c r="I67" i="40"/>
  <c r="I104" i="40"/>
  <c r="I21" i="40"/>
  <c r="I44" i="40"/>
  <c r="I105" i="40"/>
  <c r="I106" i="40"/>
  <c r="I28" i="40"/>
  <c r="I38" i="40"/>
  <c r="I107" i="40"/>
  <c r="I48" i="40"/>
  <c r="I108" i="40"/>
  <c r="I109" i="40"/>
  <c r="I110" i="40"/>
  <c r="I63" i="40"/>
  <c r="I43" i="40"/>
  <c r="I54" i="40"/>
  <c r="I52" i="40"/>
  <c r="I111" i="40"/>
  <c r="I26" i="40"/>
  <c r="I112" i="40"/>
  <c r="I7" i="40"/>
  <c r="I17" i="40"/>
  <c r="I64" i="40"/>
  <c r="I113" i="40"/>
  <c r="I114" i="40"/>
  <c r="I115" i="40"/>
  <c r="I47" i="40"/>
  <c r="I116" i="40"/>
  <c r="I40" i="40"/>
  <c r="I117" i="40"/>
  <c r="I27" i="40"/>
  <c r="I118" i="40"/>
  <c r="I41" i="40"/>
  <c r="I119" i="40"/>
  <c r="I120" i="40"/>
  <c r="I121" i="40"/>
  <c r="I6" i="40"/>
  <c r="I122" i="40"/>
  <c r="I123" i="40"/>
  <c r="I124" i="40"/>
  <c r="I58" i="40"/>
  <c r="I125" i="40"/>
  <c r="I55" i="40"/>
  <c r="I12" i="40"/>
  <c r="I42" i="40"/>
  <c r="I126" i="40"/>
  <c r="I36" i="40"/>
  <c r="I16" i="40"/>
  <c r="I14" i="40"/>
  <c r="I35" i="40"/>
  <c r="I127" i="40"/>
  <c r="I66" i="40"/>
  <c r="I128" i="40"/>
  <c r="I24" i="40"/>
  <c r="I129" i="40"/>
  <c r="I130" i="40"/>
  <c r="I131" i="40"/>
  <c r="I13" i="40"/>
  <c r="I132" i="40"/>
  <c r="I133" i="40"/>
  <c r="I134" i="40"/>
  <c r="I135" i="40"/>
  <c r="I23" i="40"/>
  <c r="I136" i="40"/>
  <c r="I18" i="40"/>
  <c r="I15" i="40"/>
  <c r="J68" i="40"/>
  <c r="J69" i="40"/>
  <c r="J34" i="40"/>
  <c r="J37" i="40"/>
  <c r="J70" i="40"/>
  <c r="J30" i="40"/>
  <c r="J71" i="40"/>
  <c r="J59" i="40"/>
  <c r="J72" i="40"/>
  <c r="J73" i="40"/>
  <c r="J74" i="40"/>
  <c r="J53" i="40"/>
  <c r="J22" i="40"/>
  <c r="J19" i="40"/>
  <c r="J57" i="40"/>
  <c r="J62" i="40"/>
  <c r="J11" i="40"/>
  <c r="J25" i="40"/>
  <c r="J75" i="40"/>
  <c r="J76" i="40"/>
  <c r="J45" i="40"/>
  <c r="J77" i="40"/>
  <c r="J78" i="40"/>
  <c r="J65" i="40"/>
  <c r="J79" i="40"/>
  <c r="J61" i="40"/>
  <c r="J80" i="40"/>
  <c r="J33" i="40"/>
  <c r="J29" i="40"/>
  <c r="J81" i="40"/>
  <c r="J82" i="40"/>
  <c r="J83" i="40"/>
  <c r="J84" i="40"/>
  <c r="J85" i="40"/>
  <c r="J86" i="40"/>
  <c r="J49" i="40"/>
  <c r="J56" i="40"/>
  <c r="J32" i="40"/>
  <c r="J87" i="40"/>
  <c r="J31" i="40"/>
  <c r="J88" i="40"/>
  <c r="J89" i="40"/>
  <c r="J39" i="40"/>
  <c r="J90" i="40"/>
  <c r="J91" i="40"/>
  <c r="J51" i="40"/>
  <c r="J92" i="40"/>
  <c r="J93" i="40"/>
  <c r="J46" i="40"/>
  <c r="J94" i="40"/>
  <c r="J95" i="40"/>
  <c r="J50" i="40"/>
  <c r="J9" i="40"/>
  <c r="J20" i="40"/>
  <c r="J8" i="40"/>
  <c r="J96" i="40"/>
  <c r="J10" i="40"/>
  <c r="J97" i="40"/>
  <c r="J98" i="40"/>
  <c r="J99" i="40"/>
  <c r="J100" i="40"/>
  <c r="J101" i="40"/>
  <c r="J60" i="40"/>
  <c r="J102" i="40"/>
  <c r="J103" i="40"/>
  <c r="J67" i="40"/>
  <c r="J104" i="40"/>
  <c r="J21" i="40"/>
  <c r="J44" i="40"/>
  <c r="J105" i="40"/>
  <c r="J106" i="40"/>
  <c r="J28" i="40"/>
  <c r="J38" i="40"/>
  <c r="J107" i="40"/>
  <c r="J48" i="40"/>
  <c r="J108" i="40"/>
  <c r="J109" i="40"/>
  <c r="J110" i="40"/>
  <c r="J63" i="40"/>
  <c r="J43" i="40"/>
  <c r="J54" i="40"/>
  <c r="J52" i="40"/>
  <c r="J111" i="40"/>
  <c r="J26" i="40"/>
  <c r="J112" i="40"/>
  <c r="J7" i="40"/>
  <c r="J17" i="40"/>
  <c r="J64" i="40"/>
  <c r="J113" i="40"/>
  <c r="J114" i="40"/>
  <c r="J115" i="40"/>
  <c r="J47" i="40"/>
  <c r="J116" i="40"/>
  <c r="J40" i="40"/>
  <c r="J117" i="40"/>
  <c r="J27" i="40"/>
  <c r="J118" i="40"/>
  <c r="J41" i="40"/>
  <c r="J119" i="40"/>
  <c r="J120" i="40"/>
  <c r="J121" i="40"/>
  <c r="J6" i="40"/>
  <c r="J122" i="40"/>
  <c r="J123" i="40"/>
  <c r="J124" i="40"/>
  <c r="J58" i="40"/>
  <c r="J125" i="40"/>
  <c r="J55" i="40"/>
  <c r="J12" i="40"/>
  <c r="J42" i="40"/>
  <c r="J126" i="40"/>
  <c r="J36" i="40"/>
  <c r="J16" i="40"/>
  <c r="J14" i="40"/>
  <c r="J35" i="40"/>
  <c r="J127" i="40"/>
  <c r="J66" i="40"/>
  <c r="J128" i="40"/>
  <c r="J24" i="40"/>
  <c r="J129" i="40"/>
  <c r="J130" i="40"/>
  <c r="J131" i="40"/>
  <c r="J13" i="40"/>
  <c r="J132" i="40"/>
  <c r="J133" i="40"/>
  <c r="J134" i="40"/>
  <c r="J135" i="40"/>
  <c r="J23" i="40"/>
  <c r="J136" i="40"/>
  <c r="J18" i="40"/>
  <c r="J15" i="40"/>
  <c r="L68" i="40"/>
  <c r="L69" i="40"/>
  <c r="L34" i="40"/>
  <c r="L37" i="40"/>
  <c r="L70" i="40"/>
  <c r="L30" i="40"/>
  <c r="L71" i="40"/>
  <c r="L59" i="40"/>
  <c r="L72" i="40"/>
  <c r="L73" i="40"/>
  <c r="L74" i="40"/>
  <c r="L53" i="40"/>
  <c r="L22" i="40"/>
  <c r="L19" i="40"/>
  <c r="L57" i="40"/>
  <c r="L62" i="40"/>
  <c r="L11" i="40"/>
  <c r="L25" i="40"/>
  <c r="L75" i="40"/>
  <c r="L76" i="40"/>
  <c r="L45" i="40"/>
  <c r="L77" i="40"/>
  <c r="L78" i="40"/>
  <c r="L65" i="40"/>
  <c r="L79" i="40"/>
  <c r="L61" i="40"/>
  <c r="L80" i="40"/>
  <c r="L33" i="40"/>
  <c r="L29" i="40"/>
  <c r="L81" i="40"/>
  <c r="L82" i="40"/>
  <c r="L83" i="40"/>
  <c r="L84" i="40"/>
  <c r="L85" i="40"/>
  <c r="L86" i="40"/>
  <c r="L49" i="40"/>
  <c r="L56" i="40"/>
  <c r="L32" i="40"/>
  <c r="L87" i="40"/>
  <c r="L31" i="40"/>
  <c r="L88" i="40"/>
  <c r="L89" i="40"/>
  <c r="L39" i="40"/>
  <c r="L90" i="40"/>
  <c r="L91" i="40"/>
  <c r="L51" i="40"/>
  <c r="L92" i="40"/>
  <c r="L93" i="40"/>
  <c r="L46" i="40"/>
  <c r="L94" i="40"/>
  <c r="L95" i="40"/>
  <c r="L50" i="40"/>
  <c r="L9" i="40"/>
  <c r="L20" i="40"/>
  <c r="L8" i="40"/>
  <c r="L96" i="40"/>
  <c r="L10" i="40"/>
  <c r="L97" i="40"/>
  <c r="L98" i="40"/>
  <c r="L99" i="40"/>
  <c r="L100" i="40"/>
  <c r="L101" i="40"/>
  <c r="L60" i="40"/>
  <c r="L102" i="40"/>
  <c r="L103" i="40"/>
  <c r="L67" i="40"/>
  <c r="L104" i="40"/>
  <c r="L21" i="40"/>
  <c r="L44" i="40"/>
  <c r="L105" i="40"/>
  <c r="L106" i="40"/>
  <c r="L28" i="40"/>
  <c r="L38" i="40"/>
  <c r="L107" i="40"/>
  <c r="L48" i="40"/>
  <c r="L108" i="40"/>
  <c r="L109" i="40"/>
  <c r="L110" i="40"/>
  <c r="L63" i="40"/>
  <c r="L43" i="40"/>
  <c r="L54" i="40"/>
  <c r="L52" i="40"/>
  <c r="L111" i="40"/>
  <c r="L26" i="40"/>
  <c r="L112" i="40"/>
  <c r="L7" i="40"/>
  <c r="L17" i="40"/>
  <c r="L64" i="40"/>
  <c r="L113" i="40"/>
  <c r="L114" i="40"/>
  <c r="L115" i="40"/>
  <c r="L47" i="40"/>
  <c r="L116" i="40"/>
  <c r="L40" i="40"/>
  <c r="L117" i="40"/>
  <c r="L27" i="40"/>
  <c r="L118" i="40"/>
  <c r="L41" i="40"/>
  <c r="L119" i="40"/>
  <c r="L120" i="40"/>
  <c r="L121" i="40"/>
  <c r="L6" i="40"/>
  <c r="L122" i="40"/>
  <c r="L123" i="40"/>
  <c r="L124" i="40"/>
  <c r="L58" i="40"/>
  <c r="L125" i="40"/>
  <c r="L55" i="40"/>
  <c r="L12" i="40"/>
  <c r="L42" i="40"/>
  <c r="L126" i="40"/>
  <c r="L36" i="40"/>
  <c r="L16" i="40"/>
  <c r="L14" i="40"/>
  <c r="L35" i="40"/>
  <c r="L127" i="40"/>
  <c r="L66" i="40"/>
  <c r="L128" i="40"/>
  <c r="L24" i="40"/>
  <c r="L129" i="40"/>
  <c r="L130" i="40"/>
  <c r="L131" i="40"/>
  <c r="L13" i="40"/>
  <c r="L132" i="40"/>
  <c r="L133" i="40"/>
  <c r="L134" i="40"/>
  <c r="L135" i="40"/>
  <c r="L23" i="40"/>
  <c r="L136" i="40"/>
  <c r="L18" i="40"/>
  <c r="L15" i="40"/>
  <c r="M68" i="40"/>
  <c r="M69" i="40"/>
  <c r="M34" i="40"/>
  <c r="M37" i="40"/>
  <c r="M70" i="40"/>
  <c r="M30" i="40"/>
  <c r="M71" i="40"/>
  <c r="M59" i="40"/>
  <c r="M72" i="40"/>
  <c r="M73" i="40"/>
  <c r="M74" i="40"/>
  <c r="M53" i="40"/>
  <c r="M22" i="40"/>
  <c r="M19" i="40"/>
  <c r="M57" i="40"/>
  <c r="M62" i="40"/>
  <c r="M11" i="40"/>
  <c r="M25" i="40"/>
  <c r="M75" i="40"/>
  <c r="M76" i="40"/>
  <c r="M45" i="40"/>
  <c r="M77" i="40"/>
  <c r="M78" i="40"/>
  <c r="M65" i="40"/>
  <c r="M79" i="40"/>
  <c r="M61" i="40"/>
  <c r="M80" i="40"/>
  <c r="M33" i="40"/>
  <c r="M29" i="40"/>
  <c r="M81" i="40"/>
  <c r="M82" i="40"/>
  <c r="M83" i="40"/>
  <c r="M84" i="40"/>
  <c r="M85" i="40"/>
  <c r="M86" i="40"/>
  <c r="M49" i="40"/>
  <c r="M56" i="40"/>
  <c r="M32" i="40"/>
  <c r="M87" i="40"/>
  <c r="M31" i="40"/>
  <c r="M88" i="40"/>
  <c r="M89" i="40"/>
  <c r="M39" i="40"/>
  <c r="M90" i="40"/>
  <c r="M91" i="40"/>
  <c r="M51" i="40"/>
  <c r="M92" i="40"/>
  <c r="M93" i="40"/>
  <c r="M46" i="40"/>
  <c r="M94" i="40"/>
  <c r="M95" i="40"/>
  <c r="M50" i="40"/>
  <c r="M9" i="40"/>
  <c r="M20" i="40"/>
  <c r="M8" i="40"/>
  <c r="M96" i="40"/>
  <c r="M10" i="40"/>
  <c r="M97" i="40"/>
  <c r="M98" i="40"/>
  <c r="M99" i="40"/>
  <c r="M100" i="40"/>
  <c r="M101" i="40"/>
  <c r="M60" i="40"/>
  <c r="M102" i="40"/>
  <c r="M103" i="40"/>
  <c r="M67" i="40"/>
  <c r="M104" i="40"/>
  <c r="M21" i="40"/>
  <c r="M44" i="40"/>
  <c r="M105" i="40"/>
  <c r="M106" i="40"/>
  <c r="M28" i="40"/>
  <c r="M38" i="40"/>
  <c r="M107" i="40"/>
  <c r="M48" i="40"/>
  <c r="M108" i="40"/>
  <c r="M109" i="40"/>
  <c r="M110" i="40"/>
  <c r="M63" i="40"/>
  <c r="M43" i="40"/>
  <c r="M54" i="40"/>
  <c r="M52" i="40"/>
  <c r="M111" i="40"/>
  <c r="M26" i="40"/>
  <c r="M112" i="40"/>
  <c r="M7" i="40"/>
  <c r="M17" i="40"/>
  <c r="M64" i="40"/>
  <c r="M113" i="40"/>
  <c r="M114" i="40"/>
  <c r="M115" i="40"/>
  <c r="M47" i="40"/>
  <c r="M116" i="40"/>
  <c r="M40" i="40"/>
  <c r="M117" i="40"/>
  <c r="M27" i="40"/>
  <c r="M118" i="40"/>
  <c r="M41" i="40"/>
  <c r="M119" i="40"/>
  <c r="M120" i="40"/>
  <c r="M121" i="40"/>
  <c r="M6" i="40"/>
  <c r="M122" i="40"/>
  <c r="M123" i="40"/>
  <c r="M124" i="40"/>
  <c r="M58" i="40"/>
  <c r="M125" i="40"/>
  <c r="M55" i="40"/>
  <c r="M12" i="40"/>
  <c r="M42" i="40"/>
  <c r="M126" i="40"/>
  <c r="M36" i="40"/>
  <c r="M16" i="40"/>
  <c r="M14" i="40"/>
  <c r="M35" i="40"/>
  <c r="M127" i="40"/>
  <c r="M66" i="40"/>
  <c r="M128" i="40"/>
  <c r="M24" i="40"/>
  <c r="M129" i="40"/>
  <c r="M130" i="40"/>
  <c r="M131" i="40"/>
  <c r="M13" i="40"/>
  <c r="M132" i="40"/>
  <c r="M133" i="40"/>
  <c r="M134" i="40"/>
  <c r="M135" i="40"/>
  <c r="M23" i="40"/>
  <c r="M136" i="40"/>
  <c r="M18" i="40"/>
  <c r="M15" i="40"/>
  <c r="O68" i="40"/>
  <c r="O69" i="40"/>
  <c r="O34" i="40"/>
  <c r="O37" i="40"/>
  <c r="O70" i="40"/>
  <c r="O30" i="40"/>
  <c r="O71" i="40"/>
  <c r="O59" i="40"/>
  <c r="O72" i="40"/>
  <c r="O73" i="40"/>
  <c r="O74" i="40"/>
  <c r="O53" i="40"/>
  <c r="O22" i="40"/>
  <c r="O19" i="40"/>
  <c r="O57" i="40"/>
  <c r="O62" i="40"/>
  <c r="O11" i="40"/>
  <c r="O25" i="40"/>
  <c r="O75" i="40"/>
  <c r="O76" i="40"/>
  <c r="O45" i="40"/>
  <c r="O77" i="40"/>
  <c r="O78" i="40"/>
  <c r="O65" i="40"/>
  <c r="O79" i="40"/>
  <c r="O61" i="40"/>
  <c r="O80" i="40"/>
  <c r="O33" i="40"/>
  <c r="O29" i="40"/>
  <c r="O81" i="40"/>
  <c r="O82" i="40"/>
  <c r="O83" i="40"/>
  <c r="O84" i="40"/>
  <c r="O85" i="40"/>
  <c r="O86" i="40"/>
  <c r="O49" i="40"/>
  <c r="O56" i="40"/>
  <c r="O32" i="40"/>
  <c r="O87" i="40"/>
  <c r="O31" i="40"/>
  <c r="O88" i="40"/>
  <c r="O89" i="40"/>
  <c r="O39" i="40"/>
  <c r="O90" i="40"/>
  <c r="O91" i="40"/>
  <c r="O51" i="40"/>
  <c r="O92" i="40"/>
  <c r="O93" i="40"/>
  <c r="O46" i="40"/>
  <c r="O94" i="40"/>
  <c r="O95" i="40"/>
  <c r="O50" i="40"/>
  <c r="O9" i="40"/>
  <c r="O20" i="40"/>
  <c r="O8" i="40"/>
  <c r="O96" i="40"/>
  <c r="O10" i="40"/>
  <c r="O97" i="40"/>
  <c r="O98" i="40"/>
  <c r="O99" i="40"/>
  <c r="O100" i="40"/>
  <c r="O101" i="40"/>
  <c r="O60" i="40"/>
  <c r="O102" i="40"/>
  <c r="O103" i="40"/>
  <c r="O67" i="40"/>
  <c r="O104" i="40"/>
  <c r="O21" i="40"/>
  <c r="O44" i="40"/>
  <c r="O105" i="40"/>
  <c r="O106" i="40"/>
  <c r="O28" i="40"/>
  <c r="O38" i="40"/>
  <c r="O107" i="40"/>
  <c r="O48" i="40"/>
  <c r="O108" i="40"/>
  <c r="O109" i="40"/>
  <c r="O110" i="40"/>
  <c r="O63" i="40"/>
  <c r="O43" i="40"/>
  <c r="O54" i="40"/>
  <c r="O52" i="40"/>
  <c r="O111" i="40"/>
  <c r="O26" i="40"/>
  <c r="O112" i="40"/>
  <c r="O7" i="40"/>
  <c r="O17" i="40"/>
  <c r="O64" i="40"/>
  <c r="O113" i="40"/>
  <c r="O114" i="40"/>
  <c r="O115" i="40"/>
  <c r="O47" i="40"/>
  <c r="O116" i="40"/>
  <c r="O40" i="40"/>
  <c r="O117" i="40"/>
  <c r="O27" i="40"/>
  <c r="O118" i="40"/>
  <c r="O41" i="40"/>
  <c r="O119" i="40"/>
  <c r="O120" i="40"/>
  <c r="O121" i="40"/>
  <c r="O6" i="40"/>
  <c r="O122" i="40"/>
  <c r="O123" i="40"/>
  <c r="O124" i="40"/>
  <c r="O58" i="40"/>
  <c r="O125" i="40"/>
  <c r="O55" i="40"/>
  <c r="O12" i="40"/>
  <c r="O42" i="40"/>
  <c r="O126" i="40"/>
  <c r="O36" i="40"/>
  <c r="O16" i="40"/>
  <c r="O14" i="40"/>
  <c r="O35" i="40"/>
  <c r="O127" i="40"/>
  <c r="O66" i="40"/>
  <c r="O128" i="40"/>
  <c r="O24" i="40"/>
  <c r="O129" i="40"/>
  <c r="O130" i="40"/>
  <c r="O131" i="40"/>
  <c r="O13" i="40"/>
  <c r="O132" i="40"/>
  <c r="O133" i="40"/>
  <c r="O134" i="40"/>
  <c r="O135" i="40"/>
  <c r="O23" i="40"/>
  <c r="O136" i="40"/>
  <c r="O18" i="40"/>
  <c r="O15" i="40"/>
  <c r="R68" i="40"/>
  <c r="R69" i="40"/>
  <c r="R34" i="40"/>
  <c r="R37" i="40"/>
  <c r="R70" i="40"/>
  <c r="R30" i="40"/>
  <c r="R71" i="40"/>
  <c r="R59" i="40"/>
  <c r="R72" i="40"/>
  <c r="R73" i="40"/>
  <c r="R74" i="40"/>
  <c r="R53" i="40"/>
  <c r="R22" i="40"/>
  <c r="R19" i="40"/>
  <c r="R57" i="40"/>
  <c r="R62" i="40"/>
  <c r="R11" i="40"/>
  <c r="R25" i="40"/>
  <c r="R75" i="40"/>
  <c r="R76" i="40"/>
  <c r="R45" i="40"/>
  <c r="R77" i="40"/>
  <c r="R78" i="40"/>
  <c r="R65" i="40"/>
  <c r="R79" i="40"/>
  <c r="R61" i="40"/>
  <c r="R80" i="40"/>
  <c r="R33" i="40"/>
  <c r="R29" i="40"/>
  <c r="R81" i="40"/>
  <c r="R82" i="40"/>
  <c r="R83" i="40"/>
  <c r="R84" i="40"/>
  <c r="R85" i="40"/>
  <c r="R86" i="40"/>
  <c r="R49" i="40"/>
  <c r="R56" i="40"/>
  <c r="R32" i="40"/>
  <c r="R87" i="40"/>
  <c r="R31" i="40"/>
  <c r="R88" i="40"/>
  <c r="R89" i="40"/>
  <c r="R39" i="40"/>
  <c r="R90" i="40"/>
  <c r="R91" i="40"/>
  <c r="R51" i="40"/>
  <c r="R92" i="40"/>
  <c r="R93" i="40"/>
  <c r="R46" i="40"/>
  <c r="R94" i="40"/>
  <c r="R95" i="40"/>
  <c r="R50" i="40"/>
  <c r="R9" i="40"/>
  <c r="R20" i="40"/>
  <c r="R8" i="40"/>
  <c r="R96" i="40"/>
  <c r="R10" i="40"/>
  <c r="R97" i="40"/>
  <c r="R98" i="40"/>
  <c r="R99" i="40"/>
  <c r="R100" i="40"/>
  <c r="R101" i="40"/>
  <c r="R60" i="40"/>
  <c r="R102" i="40"/>
  <c r="R103" i="40"/>
  <c r="R67" i="40"/>
  <c r="R104" i="40"/>
  <c r="R21" i="40"/>
  <c r="R44" i="40"/>
  <c r="R105" i="40"/>
  <c r="R106" i="40"/>
  <c r="R28" i="40"/>
  <c r="R38" i="40"/>
  <c r="R107" i="40"/>
  <c r="R48" i="40"/>
  <c r="R108" i="40"/>
  <c r="R109" i="40"/>
  <c r="R110" i="40"/>
  <c r="R63" i="40"/>
  <c r="R43" i="40"/>
  <c r="R54" i="40"/>
  <c r="R52" i="40"/>
  <c r="R111" i="40"/>
  <c r="R26" i="40"/>
  <c r="R112" i="40"/>
  <c r="R7" i="40"/>
  <c r="R17" i="40"/>
  <c r="R64" i="40"/>
  <c r="R113" i="40"/>
  <c r="R114" i="40"/>
  <c r="R115" i="40"/>
  <c r="R47" i="40"/>
  <c r="R116" i="40"/>
  <c r="R40" i="40"/>
  <c r="R117" i="40"/>
  <c r="R27" i="40"/>
  <c r="R118" i="40"/>
  <c r="R41" i="40"/>
  <c r="R119" i="40"/>
  <c r="R120" i="40"/>
  <c r="R121" i="40"/>
  <c r="R6" i="40"/>
  <c r="R122" i="40"/>
  <c r="R123" i="40"/>
  <c r="R124" i="40"/>
  <c r="R58" i="40"/>
  <c r="R125" i="40"/>
  <c r="R55" i="40"/>
  <c r="R12" i="40"/>
  <c r="R42" i="40"/>
  <c r="R126" i="40"/>
  <c r="R36" i="40"/>
  <c r="R16" i="40"/>
  <c r="R14" i="40"/>
  <c r="R35" i="40"/>
  <c r="R127" i="40"/>
  <c r="R66" i="40"/>
  <c r="R128" i="40"/>
  <c r="R24" i="40"/>
  <c r="R129" i="40"/>
  <c r="R130" i="40"/>
  <c r="R131" i="40"/>
  <c r="R13" i="40"/>
  <c r="R132" i="40"/>
  <c r="R133" i="40"/>
  <c r="R134" i="40"/>
  <c r="R135" i="40"/>
  <c r="R23" i="40"/>
  <c r="R136" i="40"/>
  <c r="R18" i="40"/>
  <c r="R15" i="40"/>
  <c r="X874" i="37" l="1"/>
  <c r="W244" i="37"/>
  <c r="Y1093" i="37"/>
  <c r="Y1035" i="37"/>
  <c r="Y775" i="37"/>
  <c r="Y751" i="37"/>
  <c r="Y267" i="37"/>
  <c r="Y241" i="37"/>
  <c r="Y233" i="37"/>
  <c r="X938" i="37"/>
  <c r="W164" i="37"/>
  <c r="Y887" i="37"/>
  <c r="Y879" i="37"/>
  <c r="W258" i="37"/>
  <c r="W60" i="37"/>
  <c r="Y911" i="37"/>
  <c r="Y231" i="37"/>
  <c r="X904" i="37"/>
  <c r="X452" i="37"/>
  <c r="W274" i="37"/>
  <c r="Y255" i="37"/>
  <c r="Y157" i="37"/>
  <c r="W58" i="37"/>
  <c r="X1058" i="37"/>
  <c r="W306" i="37"/>
  <c r="X410" i="37"/>
  <c r="X342" i="37"/>
  <c r="X288" i="37"/>
  <c r="X262" i="37"/>
  <c r="X254" i="37"/>
  <c r="X188" i="37"/>
  <c r="X82" i="37"/>
  <c r="X70" i="37"/>
  <c r="W1261" i="37"/>
  <c r="W1213" i="37"/>
  <c r="W999" i="37"/>
  <c r="W997" i="37"/>
  <c r="W989" i="37"/>
  <c r="W979" i="37"/>
  <c r="W963" i="37"/>
  <c r="W875" i="37"/>
  <c r="W865" i="37"/>
  <c r="W847" i="37"/>
  <c r="W841" i="37"/>
  <c r="W799" i="37"/>
  <c r="W609" i="37"/>
  <c r="W575" i="37"/>
  <c r="W569" i="37"/>
  <c r="W565" i="37"/>
  <c r="W479" i="37"/>
  <c r="W473" i="37"/>
  <c r="W459" i="37"/>
  <c r="W411" i="37"/>
  <c r="W369" i="37"/>
  <c r="W335" i="37"/>
  <c r="W209" i="37"/>
  <c r="W199" i="37"/>
  <c r="W191" i="37"/>
  <c r="W111" i="37"/>
  <c r="D50" i="33" a="1"/>
  <c r="D50" i="33" s="1"/>
  <c r="AF46" i="42" l="1"/>
  <c r="AF47" i="42"/>
  <c r="AF48" i="42"/>
  <c r="AF49" i="42"/>
  <c r="AF50" i="42"/>
  <c r="AF51" i="42"/>
  <c r="AF52" i="42"/>
  <c r="AF53" i="42"/>
  <c r="AF45" i="42"/>
  <c r="AF44" i="42"/>
  <c r="AE46" i="42"/>
  <c r="AE47" i="42"/>
  <c r="AE48" i="42"/>
  <c r="AE49" i="42"/>
  <c r="AE50" i="42"/>
  <c r="AE51" i="42"/>
  <c r="AE52" i="42"/>
  <c r="AE53" i="42"/>
  <c r="AE54" i="42"/>
  <c r="AE45" i="42"/>
  <c r="AE44" i="42"/>
  <c r="AC46" i="42"/>
  <c r="AC47" i="42"/>
  <c r="AC48" i="42"/>
  <c r="AC49" i="42"/>
  <c r="AC50" i="42"/>
  <c r="AC51" i="42"/>
  <c r="AC52" i="42"/>
  <c r="AC53" i="42"/>
  <c r="AC54" i="42"/>
  <c r="AC45" i="42"/>
  <c r="AC44" i="42"/>
  <c r="AB47" i="42"/>
  <c r="AB48" i="42"/>
  <c r="AB49" i="42"/>
  <c r="AB50" i="42"/>
  <c r="AB51" i="42"/>
  <c r="AB52" i="42"/>
  <c r="AB53" i="42"/>
  <c r="AB54" i="42"/>
  <c r="AB46" i="42"/>
  <c r="AB45" i="42"/>
  <c r="AB44" i="42"/>
  <c r="AQ46" i="42"/>
  <c r="AQ45" i="42"/>
  <c r="AQ44" i="42"/>
  <c r="AP46" i="42"/>
  <c r="AP45" i="42"/>
  <c r="AP44" i="42"/>
  <c r="AH27" i="42"/>
  <c r="AF28" i="42"/>
  <c r="AF29" i="42"/>
  <c r="AF30" i="42"/>
  <c r="AF31" i="42"/>
  <c r="AF32" i="42"/>
  <c r="AF33" i="42"/>
  <c r="AF34" i="42"/>
  <c r="AF35" i="42"/>
  <c r="AF36" i="42"/>
  <c r="AF37" i="42"/>
  <c r="AF27" i="42"/>
  <c r="AE28" i="42"/>
  <c r="AE29" i="42"/>
  <c r="AE30" i="42"/>
  <c r="AE31" i="42"/>
  <c r="AE32" i="42"/>
  <c r="AE33" i="42"/>
  <c r="AE34" i="42"/>
  <c r="AE35" i="42"/>
  <c r="AE36" i="42"/>
  <c r="AE37" i="42"/>
  <c r="AE27" i="42"/>
  <c r="AC28" i="42"/>
  <c r="AC29" i="42"/>
  <c r="AC30" i="42"/>
  <c r="AC31" i="42"/>
  <c r="AC32" i="42"/>
  <c r="AC33" i="42"/>
  <c r="AC34" i="42"/>
  <c r="AC35" i="42"/>
  <c r="AC36" i="42"/>
  <c r="AC37" i="42"/>
  <c r="AC27" i="42"/>
  <c r="AB28" i="42"/>
  <c r="AB29" i="42"/>
  <c r="AB30" i="42"/>
  <c r="AB31" i="42"/>
  <c r="AB32" i="42"/>
  <c r="AB33" i="42"/>
  <c r="AB34" i="42"/>
  <c r="AB35" i="42"/>
  <c r="AB36" i="42"/>
  <c r="AB37" i="42"/>
  <c r="AB27" i="42"/>
  <c r="D134" i="17" l="1" a="1"/>
  <c r="D134" i="17" s="1"/>
  <c r="D38" i="17" a="1"/>
  <c r="D38" i="17" s="1"/>
  <c r="C87" i="33" l="1" a="1"/>
  <c r="C87" i="33" s="1"/>
  <c r="D63" i="17" l="1" a="1"/>
  <c r="D63" i="17" s="1"/>
  <c r="D188" i="17" a="1"/>
  <c r="D188" i="17" s="1"/>
  <c r="D162" i="17" l="1" a="1"/>
  <c r="D162" i="17" s="1"/>
  <c r="D163" i="17" a="1"/>
  <c r="D163" i="17" s="1"/>
  <c r="D106" i="17" a="1"/>
  <c r="D106" i="17" s="1"/>
  <c r="D79" i="17" a="1"/>
  <c r="D79" i="17" s="1"/>
  <c r="D80" i="17" a="1"/>
  <c r="D80" i="17" s="1"/>
  <c r="C158" i="17" l="1" a="1"/>
  <c r="C158" i="17" s="1"/>
  <c r="C159" i="17" a="1"/>
  <c r="C159" i="17" s="1"/>
  <c r="C160" i="17" a="1"/>
  <c r="C160" i="17" s="1"/>
  <c r="C161" i="17" a="1"/>
  <c r="C161" i="17" s="1"/>
  <c r="C162" i="17" a="1"/>
  <c r="C162" i="17" s="1"/>
  <c r="C163" i="17" a="1"/>
  <c r="C163" i="17" s="1"/>
  <c r="C164" i="17" a="1"/>
  <c r="C164" i="17" s="1"/>
  <c r="C165" i="17" a="1"/>
  <c r="C165" i="17" s="1"/>
  <c r="C166" i="17" a="1"/>
  <c r="C166" i="17" s="1"/>
  <c r="C62" i="17" l="1" a="1"/>
  <c r="C62" i="17" s="1"/>
  <c r="C63" i="17" a="1"/>
  <c r="C63" i="17" s="1"/>
  <c r="C64" i="17" a="1"/>
  <c r="C64" i="17" s="1"/>
  <c r="C65" i="17" a="1"/>
  <c r="C65" i="17" s="1"/>
  <c r="C66" i="17" a="1"/>
  <c r="C66" i="17" s="1"/>
  <c r="C67" i="17" a="1"/>
  <c r="C67" i="17" s="1"/>
  <c r="C68" i="17" a="1"/>
  <c r="C68" i="17" s="1"/>
  <c r="C69" i="17" a="1"/>
  <c r="C69" i="17" s="1"/>
  <c r="C70" i="17" a="1"/>
  <c r="C70" i="17" s="1"/>
  <c r="C71" i="17" a="1"/>
  <c r="C71" i="17" s="1"/>
  <c r="C72" i="17" a="1"/>
  <c r="C72" i="17" s="1"/>
  <c r="C36" i="17" l="1" a="1"/>
  <c r="C36" i="17" s="1"/>
  <c r="F36" i="17" s="1"/>
  <c r="C37" i="17" a="1"/>
  <c r="C37" i="17" s="1"/>
  <c r="C38" i="17" a="1"/>
  <c r="C38" i="17" s="1"/>
  <c r="C39" i="17" a="1"/>
  <c r="C39" i="17" s="1"/>
  <c r="C40" i="17" a="1"/>
  <c r="C40" i="17" s="1"/>
  <c r="C41" i="17" a="1"/>
  <c r="C41" i="17" s="1"/>
  <c r="C42" i="17" a="1"/>
  <c r="C42" i="17" s="1"/>
  <c r="D133" i="17" l="1" a="1"/>
  <c r="D133" i="17" s="1"/>
  <c r="C12" i="17" l="1" a="1"/>
  <c r="C12" i="17" s="1"/>
  <c r="C13" i="17" a="1"/>
  <c r="C13" i="17" s="1"/>
  <c r="C14" i="17" a="1"/>
  <c r="C14" i="17" s="1"/>
  <c r="C15" i="17" a="1"/>
  <c r="C15" i="17" s="1"/>
  <c r="C16" i="17" a="1"/>
  <c r="C16" i="17" s="1"/>
  <c r="C17" i="17" a="1"/>
  <c r="C17" i="17" s="1"/>
  <c r="C18" i="17" a="1"/>
  <c r="C18" i="17" s="1"/>
  <c r="C19" i="17" a="1"/>
  <c r="C19" i="17" s="1"/>
  <c r="C20" i="17" a="1"/>
  <c r="C20" i="17" s="1"/>
  <c r="C21" i="17" a="1"/>
  <c r="C21" i="17" s="1"/>
  <c r="C22" i="17" a="1"/>
  <c r="C22" i="17" s="1"/>
  <c r="C23" i="17" a="1"/>
  <c r="C23" i="17" s="1"/>
  <c r="K183" i="17" l="1"/>
  <c r="L183" i="17"/>
  <c r="C185" i="17" a="1"/>
  <c r="C185" i="17" s="1"/>
  <c r="C186" i="17" a="1"/>
  <c r="C186" i="17" s="1"/>
  <c r="C187" i="17" a="1"/>
  <c r="C187" i="17" s="1"/>
  <c r="C188" i="17" a="1"/>
  <c r="C188" i="17" s="1"/>
  <c r="C189" i="17" a="1"/>
  <c r="C189" i="17" s="1"/>
  <c r="C190" i="17" a="1"/>
  <c r="C190" i="17" s="1"/>
  <c r="C191" i="17" a="1"/>
  <c r="C191" i="17" s="1"/>
  <c r="C192" i="17" a="1"/>
  <c r="C192" i="17" s="1"/>
  <c r="C193" i="17" a="1"/>
  <c r="C193" i="17" s="1"/>
  <c r="C194" i="17" a="1"/>
  <c r="C194" i="17" s="1"/>
  <c r="C195" i="17" a="1"/>
  <c r="C195" i="17" s="1"/>
  <c r="C196" i="17" a="1"/>
  <c r="C196" i="17" s="1"/>
  <c r="C197" i="17" a="1"/>
  <c r="C197" i="17" s="1"/>
  <c r="C198" i="17" a="1"/>
  <c r="C198" i="17" s="1"/>
  <c r="C199" i="17" a="1"/>
  <c r="C199" i="17" s="1"/>
  <c r="C200" i="17" a="1"/>
  <c r="C200" i="17" s="1"/>
  <c r="C201" i="17" a="1"/>
  <c r="C201" i="17" s="1"/>
  <c r="C202" i="17" a="1"/>
  <c r="C202" i="17" s="1"/>
  <c r="C203" i="17" a="1"/>
  <c r="C203" i="17" s="1"/>
  <c r="C204" i="17" a="1"/>
  <c r="C204" i="17" s="1"/>
  <c r="C205" i="17" a="1"/>
  <c r="C205" i="17" s="1"/>
  <c r="C206" i="17" a="1"/>
  <c r="C206" i="17" s="1"/>
  <c r="C207" i="17" a="1"/>
  <c r="C207" i="17" s="1"/>
  <c r="C208" i="17" a="1"/>
  <c r="C208" i="17" s="1"/>
  <c r="C209" i="17" a="1"/>
  <c r="C209" i="17" s="1"/>
  <c r="D52" i="33" l="1" a="1"/>
  <c r="D52" i="33" s="1"/>
  <c r="C52" i="33" l="1" a="1"/>
  <c r="C52" i="33" s="1"/>
  <c r="C53" i="33" a="1"/>
  <c r="C53" i="33" s="1"/>
  <c r="C54" i="33" a="1"/>
  <c r="C54" i="33" s="1"/>
  <c r="C55" i="33" a="1"/>
  <c r="C55" i="33" s="1"/>
  <c r="C56" i="33" a="1"/>
  <c r="C56" i="33" s="1"/>
  <c r="C57" i="33" a="1"/>
  <c r="C57" i="33" s="1"/>
  <c r="C58" i="33" a="1"/>
  <c r="C58" i="33" s="1"/>
  <c r="C59" i="33" a="1"/>
  <c r="C59" i="33" s="1"/>
  <c r="C60" i="33" a="1"/>
  <c r="C60" i="33" s="1"/>
  <c r="C61" i="33" a="1"/>
  <c r="C61" i="33" s="1"/>
  <c r="C62" i="33" a="1"/>
  <c r="C62" i="33" s="1"/>
  <c r="C131" i="17" l="1" a="1"/>
  <c r="C131" i="17" s="1"/>
  <c r="C132" i="17" a="1"/>
  <c r="C132" i="17" s="1"/>
  <c r="C133" i="17" a="1"/>
  <c r="C133" i="17" s="1"/>
  <c r="C134" i="17" a="1"/>
  <c r="C134" i="17" s="1"/>
  <c r="C135" i="17" a="1"/>
  <c r="C135" i="17" s="1"/>
  <c r="C136" i="17" a="1"/>
  <c r="C136" i="17" s="1"/>
  <c r="C137" i="17" a="1"/>
  <c r="C137" i="17" s="1"/>
  <c r="C138" i="17" a="1"/>
  <c r="C138" i="17" s="1"/>
  <c r="C139" i="17" a="1"/>
  <c r="C139" i="17" s="1"/>
  <c r="C140" i="17" a="1"/>
  <c r="C140" i="17" s="1"/>
  <c r="C141" i="17" a="1"/>
  <c r="C141" i="17" s="1"/>
  <c r="C142" i="17" a="1"/>
  <c r="C142" i="17" s="1"/>
  <c r="C143" i="17" a="1"/>
  <c r="C143" i="17" s="1"/>
  <c r="C144" i="17" a="1"/>
  <c r="C144" i="17" s="1"/>
  <c r="C145" i="17" a="1"/>
  <c r="C145" i="17" s="1"/>
  <c r="C146" i="17" a="1"/>
  <c r="C146" i="17" s="1"/>
  <c r="C147" i="17" a="1"/>
  <c r="C147" i="17" s="1"/>
  <c r="C148" i="17" a="1"/>
  <c r="C148" i="17" s="1"/>
  <c r="C149" i="17" a="1"/>
  <c r="C149" i="17" s="1"/>
  <c r="C150" i="17" a="1"/>
  <c r="C150" i="17" s="1"/>
  <c r="C151" i="17" a="1"/>
  <c r="C151" i="17" s="1"/>
  <c r="C152" i="17" a="1"/>
  <c r="C152" i="17" s="1"/>
  <c r="C153" i="17" a="1"/>
  <c r="C153" i="17" s="1"/>
  <c r="C154" i="17" a="1"/>
  <c r="C154" i="17" s="1"/>
  <c r="C155" i="17" a="1"/>
  <c r="C155" i="17" s="1"/>
  <c r="D159" i="17" a="1"/>
  <c r="D159" i="17" s="1"/>
  <c r="D160" i="17" a="1"/>
  <c r="D160" i="17" s="1"/>
  <c r="D161" i="17" a="1"/>
  <c r="D161" i="17" s="1"/>
  <c r="F159" i="17"/>
  <c r="F160" i="17"/>
  <c r="D62" i="17" l="1" a="1"/>
  <c r="D62" i="17" s="1"/>
  <c r="D75" i="17" l="1" a="1"/>
  <c r="D75" i="17" s="1"/>
  <c r="D76" i="17" a="1"/>
  <c r="D76" i="17" s="1"/>
  <c r="D77" i="17" a="1"/>
  <c r="D77" i="17" s="1"/>
  <c r="D78" i="17" a="1"/>
  <c r="D78" i="17" s="1"/>
  <c r="D74" i="17" a="1"/>
  <c r="D74" i="17" s="1"/>
  <c r="D35" i="17" a="1"/>
  <c r="D35" i="17" s="1"/>
  <c r="C58" i="17" l="1" a="1"/>
  <c r="C58" i="17" s="1"/>
  <c r="C59" i="17" a="1"/>
  <c r="C59" i="17" s="1"/>
  <c r="C60" i="17" a="1"/>
  <c r="C60" i="17" s="1"/>
  <c r="C61" i="17" a="1"/>
  <c r="C61" i="17" s="1"/>
  <c r="C57" i="17" a="1"/>
  <c r="C57" i="17" s="1"/>
  <c r="C128" i="33" l="1" a="1"/>
  <c r="C128" i="33" s="1"/>
  <c r="C129" i="33" a="1"/>
  <c r="C129" i="33" s="1"/>
  <c r="C130" i="33" a="1"/>
  <c r="C130" i="33" s="1"/>
  <c r="C131" i="33" a="1"/>
  <c r="C131" i="33" s="1"/>
  <c r="C132" i="33" a="1"/>
  <c r="C132" i="33" s="1"/>
  <c r="C133" i="33" a="1"/>
  <c r="C133" i="33" s="1"/>
  <c r="C134" i="33" a="1"/>
  <c r="C134" i="33" s="1"/>
  <c r="C135" i="33" a="1"/>
  <c r="C135" i="33" s="1"/>
  <c r="C136" i="33" a="1"/>
  <c r="C136" i="33" s="1"/>
  <c r="C137" i="33" a="1"/>
  <c r="C137" i="33" s="1"/>
  <c r="C138" i="33" a="1"/>
  <c r="C138" i="33" s="1"/>
  <c r="C139" i="33" a="1"/>
  <c r="C139" i="33" s="1"/>
  <c r="C140" i="33" a="1"/>
  <c r="C140" i="33" s="1"/>
  <c r="C141" i="33" a="1"/>
  <c r="C141" i="33" s="1"/>
  <c r="C142" i="33" a="1"/>
  <c r="C142" i="33" s="1"/>
  <c r="D168" i="33" l="1" a="1"/>
  <c r="D168" i="33" s="1"/>
  <c r="C168" i="33" a="1"/>
  <c r="C168" i="33" s="1"/>
  <c r="C164" i="33" a="1"/>
  <c r="C164" i="33" s="1"/>
  <c r="K168" i="33" l="1"/>
  <c r="I168" i="33"/>
  <c r="G168" i="33"/>
  <c r="F168" i="33"/>
  <c r="H168" i="33" l="1"/>
  <c r="J168" i="33"/>
  <c r="F157" i="17"/>
  <c r="G157" i="17"/>
  <c r="H157" i="17"/>
  <c r="I157" i="17"/>
  <c r="J157" i="17"/>
  <c r="L157" i="17" l="1"/>
  <c r="K157" i="17"/>
  <c r="D105" i="17" a="1"/>
  <c r="D105" i="17" s="1"/>
  <c r="D12" i="17" a="1"/>
  <c r="D12" i="17" s="1"/>
  <c r="D57" i="17" l="1" a="1"/>
  <c r="D57" i="17" s="1"/>
  <c r="C30" i="33" l="1" a="1"/>
  <c r="C30" i="33" s="1"/>
  <c r="F30" i="33" s="1"/>
  <c r="C31" i="33" a="1"/>
  <c r="C31" i="33" s="1"/>
  <c r="C32" i="33" a="1"/>
  <c r="C32" i="33" s="1"/>
  <c r="C33" i="33" a="1"/>
  <c r="C33" i="33" s="1"/>
  <c r="C34" i="33" a="1"/>
  <c r="C34" i="33" s="1"/>
  <c r="C35" i="33" a="1"/>
  <c r="C35" i="33" s="1"/>
  <c r="C36" i="33" a="1"/>
  <c r="C36" i="33" s="1"/>
  <c r="C37" i="33" a="1"/>
  <c r="C37" i="33" s="1"/>
  <c r="C38" i="33" a="1"/>
  <c r="C38" i="33" s="1"/>
  <c r="C39" i="33" a="1"/>
  <c r="C39" i="33" s="1"/>
  <c r="C40" i="33" a="1"/>
  <c r="C40" i="33" s="1"/>
  <c r="C41" i="33" a="1"/>
  <c r="C41" i="33" s="1"/>
  <c r="C42" i="33" a="1"/>
  <c r="C42" i="33" s="1"/>
  <c r="C43" i="33" a="1"/>
  <c r="C43" i="33" s="1"/>
  <c r="C44" i="33" a="1"/>
  <c r="C44" i="33" s="1"/>
  <c r="C78" i="17" a="1"/>
  <c r="C78" i="17" s="1"/>
  <c r="C79" i="17" a="1"/>
  <c r="C79" i="17" s="1"/>
  <c r="F79" i="17" s="1"/>
  <c r="C80" i="17" a="1"/>
  <c r="C80" i="17" s="1"/>
  <c r="F80" i="17" s="1"/>
  <c r="C81" i="17" a="1"/>
  <c r="C81" i="17" s="1"/>
  <c r="F81" i="17" s="1"/>
  <c r="C103" i="17" a="1"/>
  <c r="C103" i="17" s="1"/>
  <c r="C104" i="17" a="1"/>
  <c r="C104" i="17" s="1"/>
  <c r="C105" i="17" a="1"/>
  <c r="C105" i="17" s="1"/>
  <c r="C106" i="17" a="1"/>
  <c r="C106" i="17" s="1"/>
  <c r="C107" i="17" a="1"/>
  <c r="C107" i="17" s="1"/>
  <c r="C108" i="17" a="1"/>
  <c r="C108" i="17" s="1"/>
  <c r="C109" i="17" a="1"/>
  <c r="C109" i="17" s="1"/>
  <c r="C110" i="17" a="1"/>
  <c r="C110" i="17" s="1"/>
  <c r="C111" i="17" a="1"/>
  <c r="C111" i="17" s="1"/>
  <c r="C112" i="17" a="1"/>
  <c r="C112" i="17" s="1"/>
  <c r="C113" i="17" a="1"/>
  <c r="C113" i="17" s="1"/>
  <c r="C114" i="17" a="1"/>
  <c r="C114" i="17" s="1"/>
  <c r="C115" i="17" a="1"/>
  <c r="C115" i="17" s="1"/>
  <c r="C116" i="17" a="1"/>
  <c r="C116" i="17" s="1"/>
  <c r="C117" i="17" a="1"/>
  <c r="C117" i="17" s="1"/>
  <c r="C118" i="17" a="1"/>
  <c r="C118" i="17" s="1"/>
  <c r="C119" i="17" a="1"/>
  <c r="C119" i="17" s="1"/>
  <c r="C120" i="17" a="1"/>
  <c r="C120" i="17" s="1"/>
  <c r="C121" i="17" a="1"/>
  <c r="C121" i="17" s="1"/>
  <c r="C122" i="17" a="1"/>
  <c r="C122" i="17" s="1"/>
  <c r="C123" i="17" a="1"/>
  <c r="C123" i="17" s="1"/>
  <c r="C124" i="17" a="1"/>
  <c r="C124" i="17" s="1"/>
  <c r="C125" i="17" a="1"/>
  <c r="C125" i="17" s="1"/>
  <c r="C126" i="17" a="1"/>
  <c r="C126" i="17" s="1"/>
  <c r="C127" i="17" a="1"/>
  <c r="C127" i="17" s="1"/>
  <c r="C128" i="17" a="1"/>
  <c r="C128" i="17" s="1"/>
  <c r="C150" i="33" l="1" a="1"/>
  <c r="C150" i="33" s="1"/>
  <c r="C151" i="33" a="1"/>
  <c r="C151" i="33" s="1"/>
  <c r="C152" i="33" a="1"/>
  <c r="C152" i="33" s="1"/>
  <c r="C153" i="33" a="1"/>
  <c r="C153" i="33" s="1"/>
  <c r="C106" i="33" a="1"/>
  <c r="C106" i="33" s="1"/>
  <c r="C107" i="33" a="1"/>
  <c r="C107" i="33" s="1"/>
  <c r="C108" i="33" a="1"/>
  <c r="C108" i="33" s="1"/>
  <c r="C109" i="33" a="1"/>
  <c r="C109" i="33" s="1"/>
  <c r="C110" i="33" a="1"/>
  <c r="C110" i="33" s="1"/>
  <c r="C111" i="33" a="1"/>
  <c r="C111" i="33" s="1"/>
  <c r="C88" i="33" a="1"/>
  <c r="C88" i="33" s="1"/>
  <c r="C89" i="33" a="1"/>
  <c r="C89" i="33" s="1"/>
  <c r="C90" i="33" a="1"/>
  <c r="C90" i="33" s="1"/>
  <c r="C91" i="33" a="1"/>
  <c r="C91" i="33" s="1"/>
  <c r="C92" i="33" a="1"/>
  <c r="C92" i="33" s="1"/>
  <c r="C65" i="33" a="1"/>
  <c r="C65" i="33" s="1"/>
  <c r="C66" i="33" a="1"/>
  <c r="C66" i="33" s="1"/>
  <c r="C67" i="33" a="1"/>
  <c r="C67" i="33" s="1"/>
  <c r="C68" i="33" a="1"/>
  <c r="C68" i="33" s="1"/>
  <c r="C69" i="33" a="1"/>
  <c r="C69" i="33" s="1"/>
  <c r="C70" i="33" a="1"/>
  <c r="C70" i="33" s="1"/>
  <c r="C50" i="33" a="1"/>
  <c r="C50" i="33" s="1"/>
  <c r="C51" i="33" a="1"/>
  <c r="C51" i="33" s="1"/>
  <c r="C12" i="33" a="1"/>
  <c r="C12" i="33" s="1"/>
  <c r="C13" i="33" a="1"/>
  <c r="C13" i="33" s="1"/>
  <c r="C14" i="33" a="1"/>
  <c r="C14" i="33" s="1"/>
  <c r="C15" i="33" a="1"/>
  <c r="C15" i="33" s="1"/>
  <c r="C44" i="42" l="1"/>
  <c r="C75" i="17" l="1" a="1"/>
  <c r="C75" i="17" s="1"/>
  <c r="C76" i="17" a="1"/>
  <c r="C76" i="17" s="1"/>
  <c r="C77" i="17" a="1"/>
  <c r="C77" i="17" s="1"/>
  <c r="C125" i="33" l="1" a="1"/>
  <c r="C125" i="33" s="1"/>
  <c r="C126" i="33" a="1"/>
  <c r="C126" i="33" s="1"/>
  <c r="C127" i="33" a="1"/>
  <c r="C127" i="33" s="1"/>
  <c r="C145" i="33" a="1"/>
  <c r="C145" i="33" s="1"/>
  <c r="C146" i="33" a="1"/>
  <c r="C146" i="33" s="1"/>
  <c r="C147" i="33" a="1"/>
  <c r="C147" i="33" s="1"/>
  <c r="C148" i="33" a="1"/>
  <c r="C148" i="33" s="1"/>
  <c r="C149" i="33" a="1"/>
  <c r="C149" i="33" s="1"/>
  <c r="C154" i="33" a="1"/>
  <c r="C154" i="33" s="1"/>
  <c r="C105" i="33" a="1"/>
  <c r="C105" i="33" s="1"/>
  <c r="C86" i="33" a="1"/>
  <c r="C86" i="33" s="1"/>
  <c r="C47" i="33" a="1"/>
  <c r="C47" i="33" s="1"/>
  <c r="C48" i="33" a="1"/>
  <c r="C48" i="33" s="1"/>
  <c r="C49" i="33" a="1"/>
  <c r="C49" i="33" s="1"/>
  <c r="C28" i="33" a="1"/>
  <c r="C28" i="33" s="1"/>
  <c r="C29" i="33" a="1"/>
  <c r="C29" i="33" s="1"/>
  <c r="AZ46" i="42" l="1"/>
  <c r="AZ45" i="42"/>
  <c r="AZ44" i="42"/>
  <c r="AY46" i="42"/>
  <c r="AY45" i="42"/>
  <c r="AY44" i="42"/>
  <c r="AW46" i="42"/>
  <c r="AW45" i="42"/>
  <c r="AW44" i="42"/>
  <c r="AV46" i="42"/>
  <c r="AV45" i="42"/>
  <c r="AV44" i="42"/>
  <c r="AT46" i="42"/>
  <c r="AT45" i="42"/>
  <c r="AT44" i="42"/>
  <c r="AS46" i="42"/>
  <c r="AS45" i="42"/>
  <c r="AS44" i="42"/>
  <c r="AZ29" i="42" l="1"/>
  <c r="AZ28" i="42"/>
  <c r="AZ27" i="42"/>
  <c r="AY29" i="42"/>
  <c r="AY28" i="42"/>
  <c r="AY27" i="42"/>
  <c r="AW29" i="42"/>
  <c r="AW28" i="42"/>
  <c r="AW27" i="42"/>
  <c r="AV29" i="42"/>
  <c r="AV28" i="42"/>
  <c r="AV27" i="42"/>
  <c r="AT29" i="42"/>
  <c r="AT28" i="42"/>
  <c r="AT27" i="42"/>
  <c r="AS29" i="42"/>
  <c r="AS28" i="42"/>
  <c r="AS27" i="42"/>
  <c r="AQ29" i="42"/>
  <c r="AQ28" i="42"/>
  <c r="AQ27" i="42"/>
  <c r="AP29" i="42"/>
  <c r="AP28" i="42"/>
  <c r="AP27" i="42"/>
  <c r="F13" i="17" l="1"/>
  <c r="C24" i="17" a="1"/>
  <c r="C24" i="17" s="1"/>
  <c r="C25" i="17" a="1"/>
  <c r="C25" i="17" s="1"/>
  <c r="C26" i="17" a="1"/>
  <c r="C26" i="17" s="1"/>
  <c r="C27" i="17" a="1"/>
  <c r="C27" i="17" s="1"/>
  <c r="C28" i="17" a="1"/>
  <c r="C28" i="17" s="1"/>
  <c r="C29" i="17" a="1"/>
  <c r="C29" i="17" s="1"/>
  <c r="C30" i="17" a="1"/>
  <c r="C30" i="17" s="1"/>
  <c r="C31" i="17" a="1"/>
  <c r="C31" i="17" s="1"/>
  <c r="D13" i="17" l="1" a="1"/>
  <c r="D13" i="17" s="1"/>
  <c r="D14" i="17" a="1"/>
  <c r="D14" i="17" s="1"/>
  <c r="D15" i="17" a="1"/>
  <c r="D15" i="17" s="1"/>
  <c r="D58" i="17" l="1" a="1"/>
  <c r="D58" i="17" s="1"/>
  <c r="D59" i="17" a="1"/>
  <c r="D59" i="17" s="1"/>
  <c r="D60" i="17" a="1"/>
  <c r="D60" i="17" s="1"/>
  <c r="D61" i="17" a="1"/>
  <c r="D61" i="17" s="1"/>
  <c r="AL54" i="42" l="1"/>
  <c r="AK54" i="42"/>
  <c r="AI54" i="42"/>
  <c r="AH54" i="42"/>
  <c r="AF54" i="42"/>
  <c r="AL53" i="42"/>
  <c r="AK53" i="42"/>
  <c r="AI53" i="42"/>
  <c r="AH53" i="42"/>
  <c r="AL52" i="42"/>
  <c r="AK52" i="42"/>
  <c r="AI52" i="42"/>
  <c r="AH52" i="42"/>
  <c r="AL51" i="42"/>
  <c r="AK51" i="42"/>
  <c r="AI51" i="42"/>
  <c r="AH51" i="42"/>
  <c r="AL50" i="42"/>
  <c r="AK50" i="42"/>
  <c r="AI50" i="42"/>
  <c r="AH50" i="42"/>
  <c r="AL49" i="42"/>
  <c r="AK49" i="42"/>
  <c r="AI49" i="42"/>
  <c r="AH49" i="42"/>
  <c r="AL48" i="42"/>
  <c r="AK48" i="42"/>
  <c r="AI48" i="42"/>
  <c r="AH48" i="42"/>
  <c r="AL47" i="42"/>
  <c r="AK47" i="42"/>
  <c r="AI47" i="42"/>
  <c r="AH47" i="42"/>
  <c r="AL46" i="42"/>
  <c r="AK46" i="42"/>
  <c r="AI46" i="42"/>
  <c r="AH46" i="42"/>
  <c r="AL45" i="42"/>
  <c r="AK45" i="42"/>
  <c r="AI45" i="42"/>
  <c r="AH45" i="42"/>
  <c r="AL44" i="42"/>
  <c r="AK44" i="42"/>
  <c r="AI44" i="42"/>
  <c r="AH44" i="42"/>
  <c r="AL37" i="42"/>
  <c r="AK37" i="42"/>
  <c r="AI37" i="42"/>
  <c r="AH37" i="42"/>
  <c r="AL36" i="42"/>
  <c r="AK36" i="42"/>
  <c r="AI36" i="42"/>
  <c r="AH36" i="42"/>
  <c r="AL35" i="42"/>
  <c r="AK35" i="42"/>
  <c r="AI35" i="42"/>
  <c r="AH35" i="42"/>
  <c r="AL34" i="42"/>
  <c r="AK34" i="42"/>
  <c r="AI34" i="42"/>
  <c r="AH34" i="42"/>
  <c r="AL33" i="42"/>
  <c r="AK33" i="42"/>
  <c r="AI33" i="42"/>
  <c r="AH33" i="42"/>
  <c r="AL32" i="42"/>
  <c r="AK32" i="42"/>
  <c r="AI32" i="42"/>
  <c r="AH32" i="42"/>
  <c r="AL31" i="42"/>
  <c r="AK31" i="42"/>
  <c r="AI31" i="42"/>
  <c r="AH31" i="42"/>
  <c r="AL30" i="42"/>
  <c r="AK30" i="42"/>
  <c r="AI30" i="42"/>
  <c r="AH30" i="42"/>
  <c r="AL29" i="42"/>
  <c r="AK29" i="42"/>
  <c r="AI29" i="42"/>
  <c r="AH29" i="42"/>
  <c r="AL28" i="42"/>
  <c r="AK28" i="42"/>
  <c r="AI28" i="42"/>
  <c r="AH28" i="42"/>
  <c r="AL27" i="42"/>
  <c r="AK27" i="42"/>
  <c r="AI27" i="42"/>
  <c r="AC38" i="42" l="1"/>
  <c r="AF38" i="42"/>
  <c r="AI38" i="42"/>
  <c r="AE38" i="42"/>
  <c r="AL38" i="42"/>
  <c r="AM28" i="42"/>
  <c r="AD28" i="42"/>
  <c r="AJ28" i="42"/>
  <c r="AD29" i="42"/>
  <c r="AJ29" i="42"/>
  <c r="AD30" i="42"/>
  <c r="AJ30" i="42"/>
  <c r="AJ31" i="42"/>
  <c r="AD32" i="42"/>
  <c r="AJ32" i="42"/>
  <c r="AD33" i="42"/>
  <c r="AJ33" i="42"/>
  <c r="AD34" i="42"/>
  <c r="AJ34" i="42"/>
  <c r="AJ35" i="42"/>
  <c r="AD36" i="42"/>
  <c r="AJ36" i="42"/>
  <c r="AD37" i="42"/>
  <c r="AJ37" i="42"/>
  <c r="AM27" i="42"/>
  <c r="AG28" i="42"/>
  <c r="AG29" i="42"/>
  <c r="AM29" i="42"/>
  <c r="AG30" i="42"/>
  <c r="AM30" i="42"/>
  <c r="AG31" i="42"/>
  <c r="AM31" i="42"/>
  <c r="AG32" i="42"/>
  <c r="AM32" i="42"/>
  <c r="AG33" i="42"/>
  <c r="AM33" i="42"/>
  <c r="AG34" i="42"/>
  <c r="AM34" i="42"/>
  <c r="AG35" i="42"/>
  <c r="AM35" i="42"/>
  <c r="AG36" i="42"/>
  <c r="AM36" i="42"/>
  <c r="AG37" i="42"/>
  <c r="AM37" i="42"/>
  <c r="AD27" i="42"/>
  <c r="AD31" i="42"/>
  <c r="AD35" i="42"/>
  <c r="AG27" i="42"/>
  <c r="AJ27" i="42"/>
  <c r="AH38" i="42"/>
  <c r="AK38" i="42"/>
  <c r="AJ38" i="42" l="1"/>
  <c r="AI39" i="42" s="1"/>
  <c r="AM38" i="42"/>
  <c r="AL39" i="42" s="1"/>
  <c r="AG38" i="42"/>
  <c r="AE39" i="42" s="1"/>
  <c r="AD38" i="42"/>
  <c r="AC39" i="42" s="1"/>
  <c r="AH39" i="42" l="1"/>
  <c r="AJ39" i="42" s="1"/>
  <c r="AK39" i="42"/>
  <c r="AM39" i="42" s="1"/>
  <c r="AF39" i="42"/>
  <c r="AG39" i="42" s="1"/>
  <c r="G63" i="42"/>
  <c r="F63" i="42"/>
  <c r="D63" i="42"/>
  <c r="C63" i="42"/>
  <c r="G62" i="42"/>
  <c r="F62" i="42"/>
  <c r="D62" i="42"/>
  <c r="C62" i="42"/>
  <c r="G61" i="42"/>
  <c r="F61" i="42"/>
  <c r="D61" i="42"/>
  <c r="C61" i="42"/>
  <c r="G54" i="42"/>
  <c r="F54" i="42"/>
  <c r="D54" i="42"/>
  <c r="AC20" i="42" s="1"/>
  <c r="C54" i="42"/>
  <c r="G53" i="42"/>
  <c r="F53" i="42"/>
  <c r="D53" i="42"/>
  <c r="C53" i="42"/>
  <c r="G52" i="42"/>
  <c r="F52" i="42"/>
  <c r="D52" i="42"/>
  <c r="C52" i="42"/>
  <c r="G51" i="42"/>
  <c r="F51" i="42"/>
  <c r="D51" i="42"/>
  <c r="C51" i="42"/>
  <c r="G50" i="42"/>
  <c r="F50" i="42"/>
  <c r="D50" i="42"/>
  <c r="C50" i="42"/>
  <c r="G49" i="42"/>
  <c r="F49" i="42"/>
  <c r="D49" i="42"/>
  <c r="C49" i="42"/>
  <c r="G48" i="42"/>
  <c r="F48" i="42"/>
  <c r="D48" i="42"/>
  <c r="C48" i="42"/>
  <c r="G47" i="42"/>
  <c r="F47" i="42"/>
  <c r="D47" i="42"/>
  <c r="C47" i="42"/>
  <c r="G46" i="42"/>
  <c r="F46" i="42"/>
  <c r="D46" i="42"/>
  <c r="C46" i="42"/>
  <c r="G45" i="42"/>
  <c r="F45" i="42"/>
  <c r="D45" i="42"/>
  <c r="C45" i="42"/>
  <c r="G44" i="42"/>
  <c r="F44" i="42"/>
  <c r="D44" i="42"/>
  <c r="H2" i="42"/>
  <c r="D10" i="42" s="1"/>
  <c r="P10" i="42" s="1"/>
  <c r="AY10" i="42" l="1"/>
  <c r="AV10" i="42"/>
  <c r="AY11" i="42"/>
  <c r="AV11" i="42"/>
  <c r="AY12" i="42"/>
  <c r="AV12" i="42"/>
  <c r="AZ10" i="42"/>
  <c r="AW10" i="42"/>
  <c r="AZ11" i="42"/>
  <c r="AW11" i="42"/>
  <c r="AZ12" i="42"/>
  <c r="AW12" i="42"/>
  <c r="AH10" i="42"/>
  <c r="AK10" i="42"/>
  <c r="AE10" i="42"/>
  <c r="T10" i="42"/>
  <c r="AH11" i="42"/>
  <c r="AE11" i="42"/>
  <c r="AK11" i="42"/>
  <c r="T11" i="42"/>
  <c r="AH12" i="42"/>
  <c r="AK12" i="42"/>
  <c r="AE12" i="42"/>
  <c r="T12" i="42"/>
  <c r="AH13" i="42"/>
  <c r="AE13" i="42"/>
  <c r="AK13" i="42"/>
  <c r="T13" i="42"/>
  <c r="AK14" i="42"/>
  <c r="AH14" i="42"/>
  <c r="AE14" i="42"/>
  <c r="T14" i="42"/>
  <c r="AH15" i="42"/>
  <c r="AE15" i="42"/>
  <c r="AK15" i="42"/>
  <c r="T15" i="42"/>
  <c r="AE16" i="42"/>
  <c r="AH16" i="42"/>
  <c r="AK16" i="42"/>
  <c r="T16" i="42"/>
  <c r="AK17" i="42"/>
  <c r="AH17" i="42"/>
  <c r="AE17" i="42"/>
  <c r="T17" i="42"/>
  <c r="AH18" i="42"/>
  <c r="AK18" i="42"/>
  <c r="AE18" i="42"/>
  <c r="T18" i="42"/>
  <c r="AH19" i="42"/>
  <c r="AK19" i="42"/>
  <c r="AE19" i="42"/>
  <c r="T19" i="42"/>
  <c r="AH20" i="42"/>
  <c r="AK20" i="42"/>
  <c r="AE20" i="42"/>
  <c r="T20" i="42"/>
  <c r="AI10" i="42"/>
  <c r="AF10" i="42"/>
  <c r="AL10" i="42"/>
  <c r="V10" i="42"/>
  <c r="AI11" i="42"/>
  <c r="AF11" i="42"/>
  <c r="AL11" i="42"/>
  <c r="V11" i="42"/>
  <c r="AI12" i="42"/>
  <c r="AF12" i="42"/>
  <c r="AL12" i="42"/>
  <c r="V12" i="42"/>
  <c r="AI13" i="42"/>
  <c r="AF13" i="42"/>
  <c r="AL13" i="42"/>
  <c r="V13" i="42"/>
  <c r="AI14" i="42"/>
  <c r="AF14" i="42"/>
  <c r="AL14" i="42"/>
  <c r="V14" i="42"/>
  <c r="AI15" i="42"/>
  <c r="AF15" i="42"/>
  <c r="AL15" i="42"/>
  <c r="V15" i="42"/>
  <c r="AI16" i="42"/>
  <c r="AF16" i="42"/>
  <c r="AL16" i="42"/>
  <c r="V16" i="42"/>
  <c r="AI17" i="42"/>
  <c r="AF17" i="42"/>
  <c r="AL17" i="42"/>
  <c r="V17" i="42"/>
  <c r="AI18" i="42"/>
  <c r="AF18" i="42"/>
  <c r="AL18" i="42"/>
  <c r="V18" i="42"/>
  <c r="AI19" i="42"/>
  <c r="AF19" i="42"/>
  <c r="AL19" i="42"/>
  <c r="V19" i="42"/>
  <c r="AI20" i="42"/>
  <c r="AF20" i="42"/>
  <c r="AL20" i="42"/>
  <c r="V20" i="42"/>
  <c r="C13" i="42"/>
  <c r="N13" i="42" s="1"/>
  <c r="C16" i="42"/>
  <c r="N16" i="42" s="1"/>
  <c r="C18" i="42"/>
  <c r="N18" i="42" s="1"/>
  <c r="C20" i="42"/>
  <c r="N20" i="42" s="1"/>
  <c r="C28" i="42"/>
  <c r="C10" i="42"/>
  <c r="N10" i="42" s="1"/>
  <c r="F11" i="42"/>
  <c r="F14" i="42"/>
  <c r="F17" i="42"/>
  <c r="F18" i="42"/>
  <c r="F19" i="42"/>
  <c r="F20" i="42"/>
  <c r="F27" i="42"/>
  <c r="F28" i="42"/>
  <c r="F29" i="42"/>
  <c r="C11" i="42"/>
  <c r="N11" i="42" s="1"/>
  <c r="C14" i="42"/>
  <c r="N14" i="42" s="1"/>
  <c r="H3" i="42"/>
  <c r="F10" i="42"/>
  <c r="F12" i="42"/>
  <c r="F13" i="42"/>
  <c r="F15" i="42"/>
  <c r="F16" i="42"/>
  <c r="G10" i="42"/>
  <c r="G11" i="42"/>
  <c r="G12" i="42"/>
  <c r="G13" i="42"/>
  <c r="G14" i="42"/>
  <c r="G15" i="42"/>
  <c r="G16" i="42"/>
  <c r="G17" i="42"/>
  <c r="G18" i="42"/>
  <c r="G19" i="42"/>
  <c r="G20" i="42"/>
  <c r="G27" i="42"/>
  <c r="G28" i="42"/>
  <c r="G29" i="42"/>
  <c r="C12" i="42"/>
  <c r="N12" i="42" s="1"/>
  <c r="C15" i="42"/>
  <c r="N15" i="42" s="1"/>
  <c r="C17" i="42"/>
  <c r="N17" i="42" s="1"/>
  <c r="C19" i="42"/>
  <c r="N19" i="42" s="1"/>
  <c r="C27" i="42"/>
  <c r="C29" i="42"/>
  <c r="D11" i="42"/>
  <c r="P11" i="42" s="1"/>
  <c r="D12" i="42"/>
  <c r="P12" i="42" s="1"/>
  <c r="D13" i="42"/>
  <c r="P13" i="42" s="1"/>
  <c r="D14" i="42"/>
  <c r="P14" i="42" s="1"/>
  <c r="D15" i="42"/>
  <c r="P15" i="42" s="1"/>
  <c r="D16" i="42"/>
  <c r="P16" i="42" s="1"/>
  <c r="D17" i="42"/>
  <c r="P17" i="42" s="1"/>
  <c r="D18" i="42"/>
  <c r="P18" i="42" s="1"/>
  <c r="D19" i="42"/>
  <c r="P19" i="42" s="1"/>
  <c r="D20" i="42"/>
  <c r="P20" i="42" s="1"/>
  <c r="D27" i="42"/>
  <c r="D28" i="42"/>
  <c r="D29" i="42"/>
  <c r="AV58" i="42" l="1"/>
  <c r="AV41" i="42"/>
  <c r="AV24" i="42"/>
  <c r="AU7" i="42"/>
  <c r="AH75" i="42"/>
  <c r="AG7" i="42"/>
  <c r="G24" i="42"/>
  <c r="AH58" i="42"/>
  <c r="R7" i="42"/>
  <c r="G7" i="42"/>
  <c r="AH41" i="42"/>
  <c r="G58" i="42"/>
  <c r="AH24" i="42"/>
  <c r="G41" i="42"/>
  <c r="P3" i="40" l="1"/>
  <c r="O3" i="40"/>
  <c r="L3" i="40"/>
  <c r="I3" i="40"/>
  <c r="F3" i="40"/>
  <c r="Q69" i="40" l="1"/>
  <c r="Q37" i="40"/>
  <c r="Q30" i="40"/>
  <c r="Q59" i="40"/>
  <c r="Q73" i="40"/>
  <c r="Q53" i="40"/>
  <c r="Q19" i="40"/>
  <c r="Q62" i="40"/>
  <c r="Q25" i="40"/>
  <c r="Q76" i="40"/>
  <c r="Q77" i="40"/>
  <c r="Q65" i="40"/>
  <c r="Q61" i="40"/>
  <c r="Q33" i="40"/>
  <c r="Q81" i="40"/>
  <c r="Q83" i="40"/>
  <c r="Q85" i="40"/>
  <c r="Q49" i="40"/>
  <c r="Q32" i="40"/>
  <c r="Q31" i="40"/>
  <c r="Q89" i="40"/>
  <c r="Q90" i="40"/>
  <c r="Q51" i="40"/>
  <c r="Q93" i="40"/>
  <c r="Q94" i="40"/>
  <c r="Q50" i="40"/>
  <c r="Q20" i="40"/>
  <c r="Q96" i="40"/>
  <c r="Q97" i="40"/>
  <c r="Q99" i="40"/>
  <c r="Q101" i="40"/>
  <c r="Q102" i="40"/>
  <c r="Q67" i="40"/>
  <c r="Q21" i="40"/>
  <c r="Q105" i="40"/>
  <c r="Q28" i="40"/>
  <c r="Q107" i="40"/>
  <c r="Q108" i="40"/>
  <c r="Q110" i="40"/>
  <c r="Q43" i="40"/>
  <c r="Q52" i="40"/>
  <c r="Q26" i="40"/>
  <c r="Q7" i="40"/>
  <c r="Q64" i="40"/>
  <c r="Q114" i="40"/>
  <c r="Q47" i="40"/>
  <c r="Q40" i="40"/>
  <c r="Q27" i="40"/>
  <c r="Q41" i="40"/>
  <c r="Q120" i="40"/>
  <c r="Q68" i="40"/>
  <c r="Q70" i="40"/>
  <c r="Q72" i="40"/>
  <c r="Q22" i="40"/>
  <c r="Q11" i="40"/>
  <c r="Q45" i="40"/>
  <c r="Q79" i="40"/>
  <c r="Q29" i="40"/>
  <c r="Q84" i="40"/>
  <c r="Q56" i="40"/>
  <c r="Q88" i="40"/>
  <c r="Q91" i="40"/>
  <c r="Q46" i="40"/>
  <c r="Q9" i="40"/>
  <c r="Q10" i="40"/>
  <c r="Q100" i="40"/>
  <c r="Q103" i="40"/>
  <c r="Q44" i="40"/>
  <c r="Q38" i="40"/>
  <c r="Q109" i="40"/>
  <c r="Q54" i="40"/>
  <c r="Q112" i="40"/>
  <c r="Q113" i="40"/>
  <c r="Q116" i="40"/>
  <c r="Q118" i="40"/>
  <c r="Q121" i="40"/>
  <c r="Q122" i="40"/>
  <c r="Q124" i="40"/>
  <c r="Q125" i="40"/>
  <c r="Q12" i="40"/>
  <c r="Q126" i="40"/>
  <c r="Q16" i="40"/>
  <c r="Q35" i="40"/>
  <c r="Q66" i="40"/>
  <c r="Q24" i="40"/>
  <c r="Q130" i="40"/>
  <c r="Q13" i="40"/>
  <c r="Q133" i="40"/>
  <c r="Q135" i="40"/>
  <c r="Q136" i="40"/>
  <c r="Q15" i="40"/>
  <c r="Q34" i="40"/>
  <c r="Q71" i="40"/>
  <c r="Q74" i="40"/>
  <c r="Q57" i="40"/>
  <c r="Q75" i="40"/>
  <c r="Q78" i="40"/>
  <c r="Q80" i="40"/>
  <c r="Q82" i="40"/>
  <c r="Q86" i="40"/>
  <c r="Q87" i="40"/>
  <c r="Q39" i="40"/>
  <c r="Q92" i="40"/>
  <c r="Q95" i="40"/>
  <c r="Q8" i="40"/>
  <c r="Q98" i="40"/>
  <c r="Q60" i="40"/>
  <c r="Q104" i="40"/>
  <c r="Q106" i="40"/>
  <c r="Q48" i="40"/>
  <c r="Q63" i="40"/>
  <c r="Q111" i="40"/>
  <c r="Q17" i="40"/>
  <c r="Q115" i="40"/>
  <c r="Q117" i="40"/>
  <c r="Q119" i="40"/>
  <c r="Q6" i="40"/>
  <c r="Q123" i="40"/>
  <c r="Q58" i="40"/>
  <c r="Q55" i="40"/>
  <c r="Q42" i="40"/>
  <c r="Q36" i="40"/>
  <c r="Q14" i="40"/>
  <c r="Q127" i="40"/>
  <c r="Q128" i="40"/>
  <c r="Q129" i="40"/>
  <c r="Q131" i="40"/>
  <c r="Q132" i="40"/>
  <c r="Q134" i="40"/>
  <c r="Q23" i="40"/>
  <c r="Q18" i="40"/>
  <c r="M3" i="40"/>
  <c r="G3" i="40"/>
  <c r="J3" i="40"/>
  <c r="D3" i="40"/>
  <c r="K34" i="40" l="1"/>
  <c r="K71" i="40"/>
  <c r="K74" i="40"/>
  <c r="K57" i="40"/>
  <c r="K75" i="40"/>
  <c r="K78" i="40"/>
  <c r="K80" i="40"/>
  <c r="K82" i="40"/>
  <c r="T82" i="40" s="1"/>
  <c r="K86" i="40"/>
  <c r="K87" i="40"/>
  <c r="K39" i="40"/>
  <c r="K91" i="40"/>
  <c r="K92" i="40"/>
  <c r="K46" i="40"/>
  <c r="K95" i="40"/>
  <c r="T95" i="40" s="1"/>
  <c r="K9" i="40"/>
  <c r="K8" i="40"/>
  <c r="K10" i="40"/>
  <c r="K98" i="40"/>
  <c r="K100" i="40"/>
  <c r="K60" i="40"/>
  <c r="K103" i="40"/>
  <c r="K104" i="40"/>
  <c r="T104" i="40" s="1"/>
  <c r="K44" i="40"/>
  <c r="T44" i="40" s="1"/>
  <c r="K106" i="40"/>
  <c r="K38" i="40"/>
  <c r="K48" i="40"/>
  <c r="K109" i="40"/>
  <c r="K63" i="40"/>
  <c r="K54" i="40"/>
  <c r="K111" i="40"/>
  <c r="K112" i="40"/>
  <c r="T112" i="40" s="1"/>
  <c r="K17" i="40"/>
  <c r="K113" i="40"/>
  <c r="K115" i="40"/>
  <c r="K116" i="40"/>
  <c r="K117" i="40"/>
  <c r="K118" i="40"/>
  <c r="K119" i="40"/>
  <c r="T119" i="40" s="1"/>
  <c r="K121" i="40"/>
  <c r="T121" i="40" s="1"/>
  <c r="K122" i="40"/>
  <c r="K124" i="40"/>
  <c r="K125" i="40"/>
  <c r="K12" i="40"/>
  <c r="K126" i="40"/>
  <c r="K16" i="40"/>
  <c r="K35" i="40"/>
  <c r="K66" i="40"/>
  <c r="T66" i="40" s="1"/>
  <c r="K24" i="40"/>
  <c r="K130" i="40"/>
  <c r="K13" i="40"/>
  <c r="K133" i="40"/>
  <c r="K135" i="40"/>
  <c r="K136" i="40"/>
  <c r="K15" i="40"/>
  <c r="K68" i="40"/>
  <c r="T68" i="40" s="1"/>
  <c r="K70" i="40"/>
  <c r="K72" i="40"/>
  <c r="K22" i="40"/>
  <c r="K11" i="40"/>
  <c r="K45" i="40"/>
  <c r="K79" i="40"/>
  <c r="K29" i="40"/>
  <c r="T29" i="40" s="1"/>
  <c r="K84" i="40"/>
  <c r="T84" i="40" s="1"/>
  <c r="K56" i="40"/>
  <c r="K88" i="40"/>
  <c r="K90" i="40"/>
  <c r="K51" i="40"/>
  <c r="K93" i="40"/>
  <c r="K94" i="40"/>
  <c r="K50" i="40"/>
  <c r="T50" i="40" s="1"/>
  <c r="K20" i="40"/>
  <c r="T20" i="40" s="1"/>
  <c r="K96" i="40"/>
  <c r="K97" i="40"/>
  <c r="K99" i="40"/>
  <c r="K101" i="40"/>
  <c r="K102" i="40"/>
  <c r="K67" i="40"/>
  <c r="K21" i="40"/>
  <c r="K105" i="40"/>
  <c r="T105" i="40" s="1"/>
  <c r="K28" i="40"/>
  <c r="K107" i="40"/>
  <c r="K108" i="40"/>
  <c r="K110" i="40"/>
  <c r="K43" i="40"/>
  <c r="K52" i="40"/>
  <c r="K26" i="40"/>
  <c r="T26" i="40" s="1"/>
  <c r="K7" i="40"/>
  <c r="T7" i="40" s="1"/>
  <c r="K64" i="40"/>
  <c r="K114" i="40"/>
  <c r="K47" i="40"/>
  <c r="K40" i="40"/>
  <c r="K27" i="40"/>
  <c r="K41" i="40"/>
  <c r="K120" i="40"/>
  <c r="K6" i="40"/>
  <c r="T6" i="40" s="1"/>
  <c r="K123" i="40"/>
  <c r="K58" i="40"/>
  <c r="K55" i="40"/>
  <c r="K42" i="40"/>
  <c r="K36" i="40"/>
  <c r="K14" i="40"/>
  <c r="K127" i="40"/>
  <c r="T127" i="40" s="1"/>
  <c r="K128" i="40"/>
  <c r="T128" i="40" s="1"/>
  <c r="K129" i="40"/>
  <c r="K131" i="40"/>
  <c r="K132" i="40"/>
  <c r="K134" i="40"/>
  <c r="K23" i="40"/>
  <c r="K18" i="40"/>
  <c r="K31" i="40"/>
  <c r="T31" i="40" s="1"/>
  <c r="K49" i="40"/>
  <c r="T49" i="40" s="1"/>
  <c r="K83" i="40"/>
  <c r="K33" i="40"/>
  <c r="K65" i="40"/>
  <c r="K76" i="40"/>
  <c r="K62" i="40"/>
  <c r="K53" i="40"/>
  <c r="K59" i="40"/>
  <c r="T59" i="40" s="1"/>
  <c r="K37" i="40"/>
  <c r="T37" i="40" s="1"/>
  <c r="K89" i="40"/>
  <c r="K32" i="40"/>
  <c r="K85" i="40"/>
  <c r="K81" i="40"/>
  <c r="K61" i="40"/>
  <c r="K77" i="40"/>
  <c r="K25" i="40"/>
  <c r="K19" i="40"/>
  <c r="T19" i="40" s="1"/>
  <c r="K73" i="40"/>
  <c r="K30" i="40"/>
  <c r="K69" i="40"/>
  <c r="N68" i="40"/>
  <c r="N34" i="40"/>
  <c r="N70" i="40"/>
  <c r="N71" i="40"/>
  <c r="N72" i="40"/>
  <c r="N74" i="40"/>
  <c r="N22" i="40"/>
  <c r="N57" i="40"/>
  <c r="N11" i="40"/>
  <c r="N75" i="40"/>
  <c r="N45" i="40"/>
  <c r="N78" i="40"/>
  <c r="N79" i="40"/>
  <c r="N80" i="40"/>
  <c r="N29" i="40"/>
  <c r="N82" i="40"/>
  <c r="N84" i="40"/>
  <c r="N86" i="40"/>
  <c r="N56" i="40"/>
  <c r="N87" i="40"/>
  <c r="N88" i="40"/>
  <c r="N39" i="40"/>
  <c r="N91" i="40"/>
  <c r="N92" i="40"/>
  <c r="N46" i="40"/>
  <c r="N95" i="40"/>
  <c r="N9" i="40"/>
  <c r="N8" i="40"/>
  <c r="N10" i="40"/>
  <c r="N98" i="40"/>
  <c r="N100" i="40"/>
  <c r="N60" i="40"/>
  <c r="N103" i="40"/>
  <c r="N104" i="40"/>
  <c r="N44" i="40"/>
  <c r="N106" i="40"/>
  <c r="N38" i="40"/>
  <c r="N48" i="40"/>
  <c r="N109" i="40"/>
  <c r="N63" i="40"/>
  <c r="N54" i="40"/>
  <c r="N111" i="40"/>
  <c r="N112" i="40"/>
  <c r="N17" i="40"/>
  <c r="N113" i="40"/>
  <c r="N115" i="40"/>
  <c r="N116" i="40"/>
  <c r="N117" i="40"/>
  <c r="N118" i="40"/>
  <c r="N119" i="40"/>
  <c r="N121" i="40"/>
  <c r="N122" i="40"/>
  <c r="N124" i="40"/>
  <c r="N125" i="40"/>
  <c r="N12" i="40"/>
  <c r="N126" i="40"/>
  <c r="N16" i="40"/>
  <c r="N35" i="40"/>
  <c r="N66" i="40"/>
  <c r="N24" i="40"/>
  <c r="N130" i="40"/>
  <c r="N13" i="40"/>
  <c r="N133" i="40"/>
  <c r="N135" i="40"/>
  <c r="N136" i="40"/>
  <c r="N15" i="40"/>
  <c r="N18" i="40"/>
  <c r="N134" i="40"/>
  <c r="N131" i="40"/>
  <c r="N128" i="40"/>
  <c r="N14" i="40"/>
  <c r="N42" i="40"/>
  <c r="N58" i="40"/>
  <c r="N6" i="40"/>
  <c r="N41" i="40"/>
  <c r="N40" i="40"/>
  <c r="N114" i="40"/>
  <c r="N7" i="40"/>
  <c r="N52" i="40"/>
  <c r="N110" i="40"/>
  <c r="N107" i="40"/>
  <c r="N105" i="40"/>
  <c r="N67" i="40"/>
  <c r="N101" i="40"/>
  <c r="N97" i="40"/>
  <c r="N20" i="40"/>
  <c r="N94" i="40"/>
  <c r="N51" i="40"/>
  <c r="N89" i="40"/>
  <c r="N32" i="40"/>
  <c r="N85" i="40"/>
  <c r="N81" i="40"/>
  <c r="N61" i="40"/>
  <c r="N77" i="40"/>
  <c r="N25" i="40"/>
  <c r="N19" i="40"/>
  <c r="N73" i="40"/>
  <c r="N30" i="40"/>
  <c r="N69" i="40"/>
  <c r="N23" i="40"/>
  <c r="N132" i="40"/>
  <c r="N129" i="40"/>
  <c r="N127" i="40"/>
  <c r="N36" i="40"/>
  <c r="N55" i="40"/>
  <c r="N123" i="40"/>
  <c r="N120" i="40"/>
  <c r="N27" i="40"/>
  <c r="N47" i="40"/>
  <c r="N64" i="40"/>
  <c r="N26" i="40"/>
  <c r="N43" i="40"/>
  <c r="N108" i="40"/>
  <c r="N28" i="40"/>
  <c r="N21" i="40"/>
  <c r="N102" i="40"/>
  <c r="N99" i="40"/>
  <c r="N96" i="40"/>
  <c r="N50" i="40"/>
  <c r="N93" i="40"/>
  <c r="N90" i="40"/>
  <c r="N31" i="40"/>
  <c r="N49" i="40"/>
  <c r="N83" i="40"/>
  <c r="N33" i="40"/>
  <c r="N65" i="40"/>
  <c r="N76" i="40"/>
  <c r="N62" i="40"/>
  <c r="N53" i="40"/>
  <c r="N59" i="40"/>
  <c r="N37" i="40"/>
  <c r="T23" i="40"/>
  <c r="T132" i="40"/>
  <c r="T129" i="40"/>
  <c r="T36" i="40"/>
  <c r="T55" i="40"/>
  <c r="T123" i="40"/>
  <c r="T115" i="40"/>
  <c r="T111" i="40"/>
  <c r="T48" i="40"/>
  <c r="T98" i="40"/>
  <c r="T39" i="40"/>
  <c r="T86" i="40"/>
  <c r="T80" i="40"/>
  <c r="T75" i="40"/>
  <c r="T74" i="40"/>
  <c r="T34" i="40"/>
  <c r="T136" i="40"/>
  <c r="T133" i="40"/>
  <c r="T130" i="40"/>
  <c r="T16" i="40"/>
  <c r="T12" i="40"/>
  <c r="T124" i="40"/>
  <c r="T116" i="40"/>
  <c r="T109" i="40"/>
  <c r="T100" i="40"/>
  <c r="T9" i="40"/>
  <c r="T91" i="40"/>
  <c r="T56" i="40"/>
  <c r="T45" i="40"/>
  <c r="T22" i="40"/>
  <c r="T70" i="40"/>
  <c r="T120" i="40"/>
  <c r="T27" i="40"/>
  <c r="T47" i="40"/>
  <c r="T64" i="40"/>
  <c r="T43" i="40"/>
  <c r="T108" i="40"/>
  <c r="T28" i="40"/>
  <c r="T21" i="40"/>
  <c r="T102" i="40"/>
  <c r="T99" i="40"/>
  <c r="T96" i="40"/>
  <c r="T93" i="40"/>
  <c r="T90" i="40"/>
  <c r="T83" i="40"/>
  <c r="T33" i="40"/>
  <c r="T65" i="40"/>
  <c r="T76" i="40"/>
  <c r="T62" i="40"/>
  <c r="T53" i="40"/>
  <c r="E69" i="40"/>
  <c r="E37" i="40"/>
  <c r="E30" i="40"/>
  <c r="E59" i="40"/>
  <c r="E73" i="40"/>
  <c r="E53" i="40"/>
  <c r="E19" i="40"/>
  <c r="E62" i="40"/>
  <c r="E25" i="40"/>
  <c r="E76" i="40"/>
  <c r="E77" i="40"/>
  <c r="E65" i="40"/>
  <c r="E61" i="40"/>
  <c r="E33" i="40"/>
  <c r="E81" i="40"/>
  <c r="E83" i="40"/>
  <c r="E85" i="40"/>
  <c r="E49" i="40"/>
  <c r="E32" i="40"/>
  <c r="E31" i="40"/>
  <c r="E89" i="40"/>
  <c r="E90" i="40"/>
  <c r="E51" i="40"/>
  <c r="E93" i="40"/>
  <c r="E94" i="40"/>
  <c r="E50" i="40"/>
  <c r="E20" i="40"/>
  <c r="E96" i="40"/>
  <c r="E97" i="40"/>
  <c r="E99" i="40"/>
  <c r="E101" i="40"/>
  <c r="E102" i="40"/>
  <c r="E67" i="40"/>
  <c r="E21" i="40"/>
  <c r="E105" i="40"/>
  <c r="E28" i="40"/>
  <c r="E107" i="40"/>
  <c r="E108" i="40"/>
  <c r="E110" i="40"/>
  <c r="E43" i="40"/>
  <c r="E52" i="40"/>
  <c r="E26" i="40"/>
  <c r="E7" i="40"/>
  <c r="E64" i="40"/>
  <c r="E114" i="40"/>
  <c r="E47" i="40"/>
  <c r="E40" i="40"/>
  <c r="E27" i="40"/>
  <c r="E41" i="40"/>
  <c r="E120" i="40"/>
  <c r="E6" i="40"/>
  <c r="E123" i="40"/>
  <c r="E58" i="40"/>
  <c r="E55" i="40"/>
  <c r="E42" i="40"/>
  <c r="E36" i="40"/>
  <c r="E14" i="40"/>
  <c r="E127" i="40"/>
  <c r="E128" i="40"/>
  <c r="E129" i="40"/>
  <c r="E131" i="40"/>
  <c r="E132" i="40"/>
  <c r="E134" i="40"/>
  <c r="E23" i="40"/>
  <c r="E18" i="40"/>
  <c r="E68" i="40"/>
  <c r="E34" i="40"/>
  <c r="E70" i="40"/>
  <c r="E71" i="40"/>
  <c r="E72" i="40"/>
  <c r="E74" i="40"/>
  <c r="E22" i="40"/>
  <c r="E57" i="40"/>
  <c r="E11" i="40"/>
  <c r="E75" i="40"/>
  <c r="E45" i="40"/>
  <c r="E78" i="40"/>
  <c r="E79" i="40"/>
  <c r="E80" i="40"/>
  <c r="E29" i="40"/>
  <c r="E82" i="40"/>
  <c r="E84" i="40"/>
  <c r="E86" i="40"/>
  <c r="E56" i="40"/>
  <c r="E87" i="40"/>
  <c r="E88" i="40"/>
  <c r="E39" i="40"/>
  <c r="E91" i="40"/>
  <c r="E92" i="40"/>
  <c r="E46" i="40"/>
  <c r="E95" i="40"/>
  <c r="E9" i="40"/>
  <c r="E8" i="40"/>
  <c r="E10" i="40"/>
  <c r="E98" i="40"/>
  <c r="E100" i="40"/>
  <c r="E60" i="40"/>
  <c r="E103" i="40"/>
  <c r="E104" i="40"/>
  <c r="E44" i="40"/>
  <c r="E106" i="40"/>
  <c r="E38" i="40"/>
  <c r="E48" i="40"/>
  <c r="E109" i="40"/>
  <c r="E63" i="40"/>
  <c r="E54" i="40"/>
  <c r="E111" i="40"/>
  <c r="E112" i="40"/>
  <c r="E17" i="40"/>
  <c r="E113" i="40"/>
  <c r="E115" i="40"/>
  <c r="E116" i="40"/>
  <c r="E117" i="40"/>
  <c r="E118" i="40"/>
  <c r="E119" i="40"/>
  <c r="E121" i="40"/>
  <c r="E122" i="40"/>
  <c r="E124" i="40"/>
  <c r="E125" i="40"/>
  <c r="E12" i="40"/>
  <c r="E126" i="40"/>
  <c r="E16" i="40"/>
  <c r="E35" i="40"/>
  <c r="E136" i="40"/>
  <c r="E133" i="40"/>
  <c r="E130" i="40"/>
  <c r="E66" i="40"/>
  <c r="E15" i="40"/>
  <c r="E135" i="40"/>
  <c r="E13" i="40"/>
  <c r="E24" i="40"/>
  <c r="H34" i="40"/>
  <c r="S34" i="40" s="1"/>
  <c r="H71" i="40"/>
  <c r="H74" i="40"/>
  <c r="S74" i="40" s="1"/>
  <c r="H57" i="40"/>
  <c r="H75" i="40"/>
  <c r="S75" i="40" s="1"/>
  <c r="H78" i="40"/>
  <c r="H80" i="40"/>
  <c r="S80" i="40" s="1"/>
  <c r="H82" i="40"/>
  <c r="H86" i="40"/>
  <c r="S86" i="40" s="1"/>
  <c r="H87" i="40"/>
  <c r="H88" i="40"/>
  <c r="H39" i="40"/>
  <c r="S39" i="40" s="1"/>
  <c r="H91" i="40"/>
  <c r="S91" i="40" s="1"/>
  <c r="H92" i="40"/>
  <c r="S92" i="40" s="1"/>
  <c r="H46" i="40"/>
  <c r="H95" i="40"/>
  <c r="S95" i="40" s="1"/>
  <c r="H9" i="40"/>
  <c r="S9" i="40" s="1"/>
  <c r="H8" i="40"/>
  <c r="H10" i="40"/>
  <c r="H98" i="40"/>
  <c r="S98" i="40" s="1"/>
  <c r="H100" i="40"/>
  <c r="S100" i="40" s="1"/>
  <c r="H60" i="40"/>
  <c r="S60" i="40" s="1"/>
  <c r="H103" i="40"/>
  <c r="H104" i="40"/>
  <c r="S104" i="40" s="1"/>
  <c r="H44" i="40"/>
  <c r="S44" i="40" s="1"/>
  <c r="H106" i="40"/>
  <c r="H38" i="40"/>
  <c r="H48" i="40"/>
  <c r="S48" i="40" s="1"/>
  <c r="H109" i="40"/>
  <c r="S109" i="40" s="1"/>
  <c r="H63" i="40"/>
  <c r="S63" i="40" s="1"/>
  <c r="H54" i="40"/>
  <c r="H111" i="40"/>
  <c r="S111" i="40" s="1"/>
  <c r="H112" i="40"/>
  <c r="S112" i="40" s="1"/>
  <c r="H17" i="40"/>
  <c r="H113" i="40"/>
  <c r="H115" i="40"/>
  <c r="S115" i="40" s="1"/>
  <c r="H116" i="40"/>
  <c r="S116" i="40" s="1"/>
  <c r="H117" i="40"/>
  <c r="S117" i="40" s="1"/>
  <c r="H118" i="40"/>
  <c r="H119" i="40"/>
  <c r="S119" i="40" s="1"/>
  <c r="H121" i="40"/>
  <c r="S121" i="40" s="1"/>
  <c r="H122" i="40"/>
  <c r="H124" i="40"/>
  <c r="S124" i="40" s="1"/>
  <c r="H125" i="40"/>
  <c r="H12" i="40"/>
  <c r="S12" i="40" s="1"/>
  <c r="H126" i="40"/>
  <c r="H16" i="40"/>
  <c r="S16" i="40" s="1"/>
  <c r="H35" i="40"/>
  <c r="H66" i="40"/>
  <c r="S66" i="40" s="1"/>
  <c r="H24" i="40"/>
  <c r="H130" i="40"/>
  <c r="S130" i="40" s="1"/>
  <c r="H13" i="40"/>
  <c r="H133" i="40"/>
  <c r="S133" i="40" s="1"/>
  <c r="H135" i="40"/>
  <c r="H136" i="40"/>
  <c r="S136" i="40" s="1"/>
  <c r="H15" i="40"/>
  <c r="H68" i="40"/>
  <c r="H70" i="40"/>
  <c r="S70" i="40" s="1"/>
  <c r="H72" i="40"/>
  <c r="H22" i="40"/>
  <c r="S22" i="40" s="1"/>
  <c r="H11" i="40"/>
  <c r="S11" i="40" s="1"/>
  <c r="H45" i="40"/>
  <c r="S45" i="40" s="1"/>
  <c r="H79" i="40"/>
  <c r="H29" i="40"/>
  <c r="S29" i="40" s="1"/>
  <c r="H84" i="40"/>
  <c r="H56" i="40"/>
  <c r="S56" i="40" s="1"/>
  <c r="H31" i="40"/>
  <c r="S31" i="40" s="1"/>
  <c r="H89" i="40"/>
  <c r="H90" i="40"/>
  <c r="S90" i="40" s="1"/>
  <c r="H51" i="40"/>
  <c r="S51" i="40" s="1"/>
  <c r="H93" i="40"/>
  <c r="S93" i="40" s="1"/>
  <c r="H94" i="40"/>
  <c r="H50" i="40"/>
  <c r="S50" i="40" s="1"/>
  <c r="H20" i="40"/>
  <c r="H96" i="40"/>
  <c r="S96" i="40" s="1"/>
  <c r="H97" i="40"/>
  <c r="H99" i="40"/>
  <c r="S99" i="40" s="1"/>
  <c r="H101" i="40"/>
  <c r="S101" i="40" s="1"/>
  <c r="H102" i="40"/>
  <c r="S102" i="40" s="1"/>
  <c r="H67" i="40"/>
  <c r="H21" i="40"/>
  <c r="S21" i="40" s="1"/>
  <c r="H105" i="40"/>
  <c r="H28" i="40"/>
  <c r="S28" i="40" s="1"/>
  <c r="H107" i="40"/>
  <c r="H108" i="40"/>
  <c r="S108" i="40" s="1"/>
  <c r="H110" i="40"/>
  <c r="S110" i="40" s="1"/>
  <c r="H43" i="40"/>
  <c r="S43" i="40" s="1"/>
  <c r="H52" i="40"/>
  <c r="H26" i="40"/>
  <c r="S26" i="40" s="1"/>
  <c r="H7" i="40"/>
  <c r="H64" i="40"/>
  <c r="S64" i="40" s="1"/>
  <c r="H114" i="40"/>
  <c r="H47" i="40"/>
  <c r="S47" i="40" s="1"/>
  <c r="H40" i="40"/>
  <c r="S40" i="40" s="1"/>
  <c r="H27" i="40"/>
  <c r="S27" i="40" s="1"/>
  <c r="H41" i="40"/>
  <c r="H120" i="40"/>
  <c r="S120" i="40" s="1"/>
  <c r="H6" i="40"/>
  <c r="H123" i="40"/>
  <c r="S123" i="40" s="1"/>
  <c r="H58" i="40"/>
  <c r="H55" i="40"/>
  <c r="S55" i="40" s="1"/>
  <c r="H42" i="40"/>
  <c r="S42" i="40" s="1"/>
  <c r="H36" i="40"/>
  <c r="S36" i="40" s="1"/>
  <c r="H14" i="40"/>
  <c r="H127" i="40"/>
  <c r="S127" i="40" s="1"/>
  <c r="H128" i="40"/>
  <c r="H129" i="40"/>
  <c r="S129" i="40" s="1"/>
  <c r="H131" i="40"/>
  <c r="H132" i="40"/>
  <c r="S132" i="40" s="1"/>
  <c r="H134" i="40"/>
  <c r="S134" i="40" s="1"/>
  <c r="H23" i="40"/>
  <c r="S23" i="40" s="1"/>
  <c r="H18" i="40"/>
  <c r="H32" i="40"/>
  <c r="H85" i="40"/>
  <c r="H81" i="40"/>
  <c r="H61" i="40"/>
  <c r="H77" i="40"/>
  <c r="H25" i="40"/>
  <c r="S25" i="40" s="1"/>
  <c r="H19" i="40"/>
  <c r="H73" i="40"/>
  <c r="H30" i="40"/>
  <c r="H69" i="40"/>
  <c r="H49" i="40"/>
  <c r="S49" i="40" s="1"/>
  <c r="H83" i="40"/>
  <c r="S83" i="40" s="1"/>
  <c r="H33" i="40"/>
  <c r="S33" i="40" s="1"/>
  <c r="H65" i="40"/>
  <c r="S65" i="40" s="1"/>
  <c r="H76" i="40"/>
  <c r="S76" i="40" s="1"/>
  <c r="H62" i="40"/>
  <c r="S62" i="40" s="1"/>
  <c r="H53" i="40"/>
  <c r="S53" i="40" s="1"/>
  <c r="H59" i="40"/>
  <c r="S59" i="40" s="1"/>
  <c r="H37" i="40"/>
  <c r="S37" i="40" s="1"/>
  <c r="T18" i="40"/>
  <c r="S18" i="40"/>
  <c r="T134" i="40"/>
  <c r="T131" i="40"/>
  <c r="S131" i="40"/>
  <c r="S128" i="40"/>
  <c r="T14" i="40"/>
  <c r="S14" i="40"/>
  <c r="T42" i="40"/>
  <c r="T58" i="40"/>
  <c r="S58" i="40"/>
  <c r="S6" i="40"/>
  <c r="T117" i="40"/>
  <c r="S17" i="40"/>
  <c r="T17" i="40"/>
  <c r="T63" i="40"/>
  <c r="S106" i="40"/>
  <c r="T106" i="40"/>
  <c r="T60" i="40"/>
  <c r="S8" i="40"/>
  <c r="T8" i="40"/>
  <c r="T92" i="40"/>
  <c r="S87" i="40"/>
  <c r="T87" i="40"/>
  <c r="S82" i="40"/>
  <c r="S78" i="40"/>
  <c r="T78" i="40"/>
  <c r="S57" i="40"/>
  <c r="T57" i="40"/>
  <c r="S71" i="40"/>
  <c r="T71" i="40"/>
  <c r="S15" i="40"/>
  <c r="T15" i="40"/>
  <c r="S135" i="40"/>
  <c r="T135" i="40"/>
  <c r="S13" i="40"/>
  <c r="T13" i="40"/>
  <c r="S24" i="40"/>
  <c r="T24" i="40"/>
  <c r="S35" i="40"/>
  <c r="T35" i="40"/>
  <c r="S126" i="40"/>
  <c r="T126" i="40"/>
  <c r="S125" i="40"/>
  <c r="T125" i="40"/>
  <c r="S122" i="40"/>
  <c r="T122" i="40"/>
  <c r="S118" i="40"/>
  <c r="T118" i="40"/>
  <c r="S113" i="40"/>
  <c r="T113" i="40"/>
  <c r="S54" i="40"/>
  <c r="T54" i="40"/>
  <c r="S38" i="40"/>
  <c r="T38" i="40"/>
  <c r="S103" i="40"/>
  <c r="T103" i="40"/>
  <c r="S10" i="40"/>
  <c r="T10" i="40"/>
  <c r="S46" i="40"/>
  <c r="T46" i="40"/>
  <c r="S88" i="40"/>
  <c r="T88" i="40"/>
  <c r="S84" i="40"/>
  <c r="S79" i="40"/>
  <c r="T79" i="40"/>
  <c r="T11" i="40"/>
  <c r="S72" i="40"/>
  <c r="T72" i="40"/>
  <c r="S68" i="40"/>
  <c r="T41" i="40"/>
  <c r="S41" i="40"/>
  <c r="T40" i="40"/>
  <c r="T114" i="40"/>
  <c r="S114" i="40"/>
  <c r="S7" i="40"/>
  <c r="T52" i="40"/>
  <c r="S52" i="40"/>
  <c r="T110" i="40"/>
  <c r="T107" i="40"/>
  <c r="S107" i="40"/>
  <c r="S105" i="40"/>
  <c r="T67" i="40"/>
  <c r="S67" i="40"/>
  <c r="T101" i="40"/>
  <c r="T97" i="40"/>
  <c r="S97" i="40"/>
  <c r="S20" i="40"/>
  <c r="T94" i="40"/>
  <c r="S94" i="40"/>
  <c r="T51" i="40"/>
  <c r="T89" i="40"/>
  <c r="S89" i="40"/>
  <c r="T32" i="40"/>
  <c r="S32" i="40"/>
  <c r="T85" i="40"/>
  <c r="S85" i="40"/>
  <c r="T81" i="40"/>
  <c r="S81" i="40"/>
  <c r="T61" i="40"/>
  <c r="S61" i="40"/>
  <c r="T77" i="40"/>
  <c r="S77" i="40"/>
  <c r="T25" i="40"/>
  <c r="S19" i="40"/>
  <c r="T73" i="40"/>
  <c r="S73" i="40"/>
  <c r="T30" i="40"/>
  <c r="S30" i="40"/>
  <c r="T69" i="40"/>
  <c r="S69" i="40"/>
  <c r="E3" i="40"/>
  <c r="K3" i="40"/>
  <c r="N3" i="40"/>
  <c r="H3" i="40"/>
  <c r="R3" i="40"/>
  <c r="D37" i="17" l="1" a="1"/>
  <c r="D37" i="17" s="1"/>
  <c r="F128" i="33" l="1"/>
  <c r="C112" i="33" a="1"/>
  <c r="C112" i="33" s="1"/>
  <c r="C113" i="33" a="1"/>
  <c r="C113" i="33" s="1"/>
  <c r="C114" i="33" a="1"/>
  <c r="C114" i="33" s="1"/>
  <c r="C115" i="33" a="1"/>
  <c r="C115" i="33" s="1"/>
  <c r="C116" i="33" a="1"/>
  <c r="C116" i="33" s="1"/>
  <c r="C117" i="33" a="1"/>
  <c r="C117" i="33" s="1"/>
  <c r="C118" i="33" a="1"/>
  <c r="C118" i="33" s="1"/>
  <c r="C119" i="33" a="1"/>
  <c r="C119" i="33" s="1"/>
  <c r="C120" i="33" a="1"/>
  <c r="C120" i="33" s="1"/>
  <c r="C121" i="33" a="1"/>
  <c r="C121" i="33" s="1"/>
  <c r="C122" i="33" a="1"/>
  <c r="C122" i="33" s="1"/>
  <c r="C93" i="33" a="1"/>
  <c r="C93" i="33" s="1"/>
  <c r="C94" i="33" a="1"/>
  <c r="C94" i="33" s="1"/>
  <c r="C95" i="33" a="1"/>
  <c r="C95" i="33" s="1"/>
  <c r="C96" i="33" a="1"/>
  <c r="C96" i="33" s="1"/>
  <c r="C97" i="33" a="1"/>
  <c r="C97" i="33" s="1"/>
  <c r="C98" i="33" a="1"/>
  <c r="C98" i="33" s="1"/>
  <c r="C99" i="33" a="1"/>
  <c r="C99" i="33" s="1"/>
  <c r="C100" i="33" a="1"/>
  <c r="C100" i="33" s="1"/>
  <c r="C101" i="33" a="1"/>
  <c r="C101" i="33" s="1"/>
  <c r="C102" i="33" a="1"/>
  <c r="C102" i="33" s="1"/>
  <c r="C16" i="33" a="1"/>
  <c r="C16" i="33" s="1"/>
  <c r="C17" i="33" a="1"/>
  <c r="C17" i="33" s="1"/>
  <c r="C18" i="33" a="1"/>
  <c r="C18" i="33" s="1"/>
  <c r="C19" i="33" a="1"/>
  <c r="C19" i="33" s="1"/>
  <c r="C20" i="33" a="1"/>
  <c r="C20" i="33" s="1"/>
  <c r="C21" i="33" a="1"/>
  <c r="C21" i="33" s="1"/>
  <c r="C22" i="33" a="1"/>
  <c r="C22" i="33" s="1"/>
  <c r="C23" i="33" a="1"/>
  <c r="C23" i="33" s="1"/>
  <c r="C24" i="33" a="1"/>
  <c r="C24" i="33" s="1"/>
  <c r="C25" i="33" a="1"/>
  <c r="C25" i="33" s="1"/>
  <c r="D107" i="17" l="1" a="1"/>
  <c r="D107" i="17" s="1"/>
  <c r="C71" i="33" l="1" a="1"/>
  <c r="C71" i="33" s="1"/>
  <c r="C72" i="33" a="1"/>
  <c r="C72" i="33" s="1"/>
  <c r="C73" i="33" a="1"/>
  <c r="C73" i="33" s="1"/>
  <c r="C74" i="33" a="1"/>
  <c r="C74" i="33" s="1"/>
  <c r="C75" i="33" a="1"/>
  <c r="C75" i="33" s="1"/>
  <c r="C76" i="33" a="1"/>
  <c r="C76" i="33" s="1"/>
  <c r="C77" i="33" a="1"/>
  <c r="C77" i="33" s="1"/>
  <c r="C78" i="33" a="1"/>
  <c r="C78" i="33" s="1"/>
  <c r="C79" i="33" a="1"/>
  <c r="C79" i="33" s="1"/>
  <c r="C80" i="33" a="1"/>
  <c r="C80" i="33" s="1"/>
  <c r="C81" i="33" a="1"/>
  <c r="C81" i="33" s="1"/>
  <c r="C82" i="33" a="1"/>
  <c r="C82" i="33" s="1"/>
  <c r="C167" i="17" l="1" a="1"/>
  <c r="C167" i="17" s="1"/>
  <c r="C168" i="17" a="1"/>
  <c r="C168" i="17" s="1"/>
  <c r="C169" i="17" a="1"/>
  <c r="C169" i="17" s="1"/>
  <c r="C170" i="17" a="1"/>
  <c r="C170" i="17" s="1"/>
  <c r="C171" i="17" a="1"/>
  <c r="C171" i="17" s="1"/>
  <c r="C172" i="17" a="1"/>
  <c r="C172" i="17" s="1"/>
  <c r="C173" i="17" a="1"/>
  <c r="C173" i="17" s="1"/>
  <c r="C174" i="17" a="1"/>
  <c r="C174" i="17" s="1"/>
  <c r="C175" i="17" a="1"/>
  <c r="C175" i="17" s="1"/>
  <c r="C176" i="17" a="1"/>
  <c r="C176" i="17" s="1"/>
  <c r="C177" i="17" a="1"/>
  <c r="C177" i="17" s="1"/>
  <c r="C178" i="17" a="1"/>
  <c r="C178" i="17" s="1"/>
  <c r="C179" i="17" a="1"/>
  <c r="C179" i="17" s="1"/>
  <c r="C180" i="17" a="1"/>
  <c r="C180" i="17" s="1"/>
  <c r="C181" i="17" a="1"/>
  <c r="C181" i="17" s="1"/>
  <c r="H104" i="17" l="1"/>
  <c r="C82" i="17" a="1"/>
  <c r="C82" i="17" s="1"/>
  <c r="F82" i="17" s="1"/>
  <c r="C83" i="17" a="1"/>
  <c r="C83" i="17" s="1"/>
  <c r="F83" i="17" s="1"/>
  <c r="C84" i="17" a="1"/>
  <c r="C84" i="17" s="1"/>
  <c r="C85" i="17" a="1"/>
  <c r="C85" i="17" s="1"/>
  <c r="C86" i="17" a="1"/>
  <c r="C86" i="17" s="1"/>
  <c r="C87" i="17" a="1"/>
  <c r="C87" i="17" s="1"/>
  <c r="C88" i="17" a="1"/>
  <c r="C88" i="17" s="1"/>
  <c r="C89" i="17" a="1"/>
  <c r="C89" i="17" s="1"/>
  <c r="C90" i="17" a="1"/>
  <c r="C90" i="17" s="1"/>
  <c r="C91" i="17" a="1"/>
  <c r="C91" i="17" s="1"/>
  <c r="C92" i="17" a="1"/>
  <c r="C92" i="17" s="1"/>
  <c r="C93" i="17" a="1"/>
  <c r="C93" i="17" s="1"/>
  <c r="C94" i="17" a="1"/>
  <c r="C94" i="17" s="1"/>
  <c r="C95" i="17" a="1"/>
  <c r="C95" i="17" s="1"/>
  <c r="C96" i="17" a="1"/>
  <c r="C96" i="17" s="1"/>
  <c r="C97" i="17" a="1"/>
  <c r="C97" i="17" s="1"/>
  <c r="C98" i="17" a="1"/>
  <c r="C98" i="17" s="1"/>
  <c r="C99" i="17" a="1"/>
  <c r="C99" i="17" s="1"/>
  <c r="D36" i="17" l="1" a="1"/>
  <c r="D36" i="17" s="1"/>
  <c r="C34" i="17" a="1"/>
  <c r="C34" i="17" s="1"/>
  <c r="C35" i="17" a="1"/>
  <c r="C35" i="17" s="1"/>
  <c r="Y19" i="41" l="1"/>
  <c r="AX46" i="42" l="1"/>
  <c r="AW47" i="42"/>
  <c r="BA46" i="42"/>
  <c r="AU45" i="42"/>
  <c r="BA45" i="42"/>
  <c r="AU29" i="42"/>
  <c r="BA29" i="42"/>
  <c r="AQ47" i="42"/>
  <c r="AX45" i="42"/>
  <c r="AR45" i="42"/>
  <c r="AR46" i="42"/>
  <c r="AU46" i="42"/>
  <c r="AS47" i="42"/>
  <c r="AU44" i="42"/>
  <c r="AY47" i="42"/>
  <c r="BA44" i="42"/>
  <c r="AP47" i="42"/>
  <c r="AR44" i="42"/>
  <c r="AV47" i="42"/>
  <c r="AX44" i="42"/>
  <c r="AT30" i="42"/>
  <c r="AZ30" i="42"/>
  <c r="AT47" i="42"/>
  <c r="AZ47" i="42"/>
  <c r="AR27" i="42"/>
  <c r="AP30" i="42"/>
  <c r="AX27" i="42"/>
  <c r="AV30" i="42"/>
  <c r="AR28" i="42"/>
  <c r="AX28" i="42"/>
  <c r="AR29" i="42"/>
  <c r="AS30" i="42"/>
  <c r="AU27" i="42"/>
  <c r="AX29" i="42"/>
  <c r="BA27" i="42"/>
  <c r="AY30" i="42"/>
  <c r="AQ30" i="42"/>
  <c r="AU28" i="42"/>
  <c r="AW30" i="42"/>
  <c r="BA28" i="42"/>
  <c r="AX47" i="42" l="1"/>
  <c r="BA47" i="42"/>
  <c r="AR47" i="42"/>
  <c r="AU47" i="42"/>
  <c r="AU30" i="42"/>
  <c r="AR30" i="42"/>
  <c r="AP31" i="42" s="1"/>
  <c r="BA30" i="42"/>
  <c r="AX30" i="42"/>
  <c r="AM54" i="42" l="1"/>
  <c r="AM53" i="42"/>
  <c r="AM52" i="42"/>
  <c r="AM51" i="42"/>
  <c r="AM50" i="42"/>
  <c r="AM49" i="42"/>
  <c r="AM48" i="42"/>
  <c r="AM47" i="42"/>
  <c r="AM46" i="42"/>
  <c r="AM45" i="42"/>
  <c r="AM44" i="42"/>
  <c r="AJ54" i="42"/>
  <c r="AJ53" i="42"/>
  <c r="AJ52" i="42"/>
  <c r="AJ51" i="42"/>
  <c r="AJ50" i="42"/>
  <c r="AJ49" i="42"/>
  <c r="AJ48" i="42"/>
  <c r="AJ47" i="42"/>
  <c r="AJ46" i="42"/>
  <c r="AJ45" i="42"/>
  <c r="AJ44" i="42"/>
  <c r="AG54" i="42"/>
  <c r="AG53" i="42"/>
  <c r="AG52" i="42"/>
  <c r="AG51" i="42"/>
  <c r="AG50" i="42"/>
  <c r="AG49" i="42"/>
  <c r="AG48" i="42"/>
  <c r="AG47" i="42"/>
  <c r="AG46" i="42"/>
  <c r="AG45" i="42"/>
  <c r="AG44" i="42"/>
  <c r="AD45" i="42"/>
  <c r="AD46" i="42"/>
  <c r="AD47" i="42"/>
  <c r="AD48" i="42"/>
  <c r="AD49" i="42"/>
  <c r="AD50" i="42"/>
  <c r="AD51" i="42"/>
  <c r="AD52" i="42"/>
  <c r="AD53" i="42"/>
  <c r="AD54" i="42"/>
  <c r="AL55" i="42"/>
  <c r="AK55" i="42"/>
  <c r="AI55" i="42"/>
  <c r="AH55" i="42"/>
  <c r="AF55" i="42"/>
  <c r="AE55" i="42"/>
  <c r="AC55" i="42"/>
  <c r="F58" i="42"/>
  <c r="I10" i="42"/>
  <c r="F24" i="42"/>
  <c r="H62" i="42" l="1"/>
  <c r="H63" i="42"/>
  <c r="I44" i="42"/>
  <c r="I15" i="42"/>
  <c r="H28" i="42"/>
  <c r="I48" i="42"/>
  <c r="C64" i="42"/>
  <c r="F64" i="42"/>
  <c r="H61" i="42"/>
  <c r="D64" i="42"/>
  <c r="H29" i="42"/>
  <c r="C30" i="42"/>
  <c r="G64" i="42"/>
  <c r="G30" i="42"/>
  <c r="F30" i="42"/>
  <c r="H27" i="42"/>
  <c r="D30" i="42"/>
  <c r="AI78" i="42"/>
  <c r="AI80" i="42"/>
  <c r="AI79" i="42"/>
  <c r="AK78" i="42"/>
  <c r="AK80" i="42"/>
  <c r="AK79" i="42"/>
  <c r="AL81" i="42"/>
  <c r="AI81" i="42"/>
  <c r="AK81" i="42"/>
  <c r="AL78" i="42"/>
  <c r="AL80" i="42"/>
  <c r="AL79" i="42"/>
  <c r="AM55" i="42"/>
  <c r="AL56" i="42" s="1"/>
  <c r="AJ55" i="42"/>
  <c r="AH56" i="42" s="1"/>
  <c r="AG55" i="42"/>
  <c r="AF56" i="42" s="1"/>
  <c r="E62" i="42"/>
  <c r="E61" i="42"/>
  <c r="E63" i="42"/>
  <c r="E29" i="42"/>
  <c r="E27" i="42"/>
  <c r="E28" i="42"/>
  <c r="C21" i="42"/>
  <c r="AY13" i="42" l="1"/>
  <c r="AV13" i="42"/>
  <c r="BA12" i="42"/>
  <c r="AX12" i="42"/>
  <c r="AX10" i="42"/>
  <c r="BA10" i="42"/>
  <c r="AW13" i="42"/>
  <c r="AX11" i="42"/>
  <c r="BA11" i="42"/>
  <c r="AZ13" i="42"/>
  <c r="H30" i="42"/>
  <c r="E64" i="42"/>
  <c r="E30" i="42"/>
  <c r="AK56" i="42"/>
  <c r="AM56" i="42" s="1"/>
  <c r="AE56" i="42"/>
  <c r="AG56" i="42" s="1"/>
  <c r="AI56" i="42"/>
  <c r="AJ56" i="42" s="1"/>
  <c r="J45" i="42"/>
  <c r="J46" i="42"/>
  <c r="J47" i="42"/>
  <c r="J48" i="42"/>
  <c r="J49" i="42"/>
  <c r="J50" i="42"/>
  <c r="J51" i="42"/>
  <c r="J52" i="42"/>
  <c r="J53" i="42"/>
  <c r="J54" i="42"/>
  <c r="J44" i="42"/>
  <c r="I45" i="42"/>
  <c r="I46" i="42"/>
  <c r="I47" i="42"/>
  <c r="I49" i="42"/>
  <c r="I50" i="42"/>
  <c r="I51" i="42"/>
  <c r="I52" i="42"/>
  <c r="I53" i="42"/>
  <c r="I54" i="42"/>
  <c r="AU11" i="42" l="1"/>
  <c r="AT11" i="42"/>
  <c r="AS11" i="42"/>
  <c r="AR10" i="42"/>
  <c r="AQ10" i="42"/>
  <c r="AP10" i="42"/>
  <c r="AF21" i="42"/>
  <c r="AD19" i="42"/>
  <c r="AD15" i="42"/>
  <c r="AD11" i="42"/>
  <c r="AC18" i="42"/>
  <c r="AC14" i="42"/>
  <c r="AC10" i="42"/>
  <c r="AB17" i="42"/>
  <c r="AB13" i="42"/>
  <c r="AC21" i="42"/>
  <c r="AU10" i="42"/>
  <c r="AT10" i="42"/>
  <c r="AS10" i="42"/>
  <c r="AQ13" i="42"/>
  <c r="AP13" i="42"/>
  <c r="AE21" i="42"/>
  <c r="AD18" i="42"/>
  <c r="AD14" i="42"/>
  <c r="AD10" i="42"/>
  <c r="AC17" i="42"/>
  <c r="AC13" i="42"/>
  <c r="AB20" i="42"/>
  <c r="AB16" i="42"/>
  <c r="AB12" i="42"/>
  <c r="AB21" i="42"/>
  <c r="AF80" i="42"/>
  <c r="AE80" i="42"/>
  <c r="AT13" i="42"/>
  <c r="AS13" i="42"/>
  <c r="AR12" i="42"/>
  <c r="AQ12" i="42"/>
  <c r="AP12" i="42"/>
  <c r="AB79" i="42"/>
  <c r="AD21" i="42"/>
  <c r="AD17" i="42"/>
  <c r="AD13" i="42"/>
  <c r="AC16" i="42"/>
  <c r="AC12" i="42"/>
  <c r="AB19" i="42"/>
  <c r="AB15" i="42"/>
  <c r="AB11" i="42"/>
  <c r="AC80" i="42"/>
  <c r="AU12" i="42"/>
  <c r="AT12" i="42"/>
  <c r="AS12" i="42"/>
  <c r="AR11" i="42"/>
  <c r="AQ11" i="42"/>
  <c r="AP11" i="42"/>
  <c r="AH79" i="42"/>
  <c r="AG79" i="42"/>
  <c r="AF79" i="42"/>
  <c r="AE79" i="42"/>
  <c r="AG21" i="42"/>
  <c r="AD20" i="42"/>
  <c r="AD16" i="42"/>
  <c r="AD12" i="42"/>
  <c r="AC19" i="42"/>
  <c r="AC15" i="42"/>
  <c r="AC11" i="42"/>
  <c r="AB18" i="42"/>
  <c r="AB14" i="42"/>
  <c r="AB10" i="42"/>
  <c r="AC79" i="42"/>
  <c r="AE78" i="42"/>
  <c r="AC78" i="42"/>
  <c r="AB80" i="42"/>
  <c r="AF81" i="42"/>
  <c r="AE81" i="42"/>
  <c r="AB78" i="42"/>
  <c r="AF78" i="42"/>
  <c r="AC81" i="42"/>
  <c r="AH78" i="42"/>
  <c r="AH80" i="42"/>
  <c r="AH81" i="42"/>
  <c r="AG81" i="42"/>
  <c r="AD80" i="42"/>
  <c r="AD78" i="42"/>
  <c r="AD79" i="42"/>
  <c r="AG80" i="42"/>
  <c r="AG78" i="42"/>
  <c r="AX13" i="42"/>
  <c r="AU13" i="42"/>
  <c r="AR13" i="42"/>
  <c r="BA13" i="42"/>
  <c r="AB81" i="42"/>
  <c r="AB38" i="42"/>
  <c r="G55" i="42"/>
  <c r="J11" i="42" l="1"/>
  <c r="J12" i="42"/>
  <c r="J13" i="42"/>
  <c r="J14" i="42"/>
  <c r="J15" i="42"/>
  <c r="J16" i="42"/>
  <c r="J17" i="42"/>
  <c r="J18" i="42"/>
  <c r="J19" i="42"/>
  <c r="J20" i="42"/>
  <c r="J10" i="42"/>
  <c r="I11" i="42"/>
  <c r="I12" i="42"/>
  <c r="I13" i="42"/>
  <c r="I14" i="42"/>
  <c r="I16" i="42"/>
  <c r="I17" i="42"/>
  <c r="I18" i="42"/>
  <c r="I19" i="42"/>
  <c r="I20" i="42"/>
  <c r="H11" i="42" l="1"/>
  <c r="E12" i="42"/>
  <c r="R12" i="42" s="1"/>
  <c r="E14" i="42"/>
  <c r="R14" i="42" s="1"/>
  <c r="H14" i="42"/>
  <c r="H15" i="42"/>
  <c r="H16" i="42"/>
  <c r="H17" i="42"/>
  <c r="H19" i="42"/>
  <c r="E20" i="42"/>
  <c r="R20" i="42" s="1"/>
  <c r="H45" i="42"/>
  <c r="H48" i="42"/>
  <c r="H51" i="42"/>
  <c r="K14" i="42" l="1"/>
  <c r="H50" i="42"/>
  <c r="H47" i="42"/>
  <c r="E50" i="42"/>
  <c r="X16" i="42" s="1"/>
  <c r="H49" i="42"/>
  <c r="H54" i="42"/>
  <c r="AB39" i="42"/>
  <c r="AD39" i="42" s="1"/>
  <c r="D55" i="42"/>
  <c r="E54" i="42"/>
  <c r="X20" i="42" s="1"/>
  <c r="O18" i="42"/>
  <c r="E49" i="42"/>
  <c r="X15" i="42" s="1"/>
  <c r="D21" i="42"/>
  <c r="H53" i="42"/>
  <c r="E16" i="42"/>
  <c r="R16" i="42" s="1"/>
  <c r="H46" i="42"/>
  <c r="F55" i="42"/>
  <c r="G21" i="42"/>
  <c r="H10" i="42"/>
  <c r="H52" i="42"/>
  <c r="E48" i="42"/>
  <c r="X14" i="42" s="1"/>
  <c r="E46" i="42"/>
  <c r="X12" i="42" s="1"/>
  <c r="H18" i="42"/>
  <c r="H13" i="42"/>
  <c r="H20" i="42"/>
  <c r="K20" i="42" s="1"/>
  <c r="E19" i="42"/>
  <c r="R19" i="42" s="1"/>
  <c r="E18" i="42"/>
  <c r="R18" i="42" s="1"/>
  <c r="H12" i="42"/>
  <c r="K12" i="42" s="1"/>
  <c r="E11" i="42"/>
  <c r="R11" i="42" s="1"/>
  <c r="E53" i="42"/>
  <c r="X19" i="42" s="1"/>
  <c r="E45" i="42"/>
  <c r="X11" i="42" s="1"/>
  <c r="E15" i="42"/>
  <c r="R15" i="42" s="1"/>
  <c r="C55" i="42"/>
  <c r="E51" i="42"/>
  <c r="X17" i="42" s="1"/>
  <c r="H44" i="42"/>
  <c r="E13" i="42"/>
  <c r="R13" i="42" s="1"/>
  <c r="F21" i="42"/>
  <c r="I21" i="42" s="1"/>
  <c r="E52" i="42"/>
  <c r="X18" i="42" s="1"/>
  <c r="E44" i="42"/>
  <c r="X10" i="42" s="1"/>
  <c r="E10" i="42"/>
  <c r="R10" i="42" s="1"/>
  <c r="E47" i="42"/>
  <c r="X13" i="42" s="1"/>
  <c r="E17" i="42"/>
  <c r="R17" i="42" s="1"/>
  <c r="AH21" i="42" l="1"/>
  <c r="AB82" i="42"/>
  <c r="AK21" i="42"/>
  <c r="AK82" i="42" s="1"/>
  <c r="AE82" i="42"/>
  <c r="AI21" i="42"/>
  <c r="AI82" i="42" s="1"/>
  <c r="AC82" i="42"/>
  <c r="AF82" i="42"/>
  <c r="AL21" i="42"/>
  <c r="AL82" i="42" s="1"/>
  <c r="K52" i="42"/>
  <c r="K48" i="42"/>
  <c r="K51" i="42"/>
  <c r="K45" i="42"/>
  <c r="K54" i="42"/>
  <c r="K50" i="42"/>
  <c r="K47" i="42"/>
  <c r="W13" i="42"/>
  <c r="J55" i="42"/>
  <c r="I55" i="42"/>
  <c r="K53" i="42"/>
  <c r="K49" i="42"/>
  <c r="K44" i="42"/>
  <c r="AM12" i="42"/>
  <c r="K46" i="42"/>
  <c r="K13" i="42"/>
  <c r="K11" i="42"/>
  <c r="K16" i="42"/>
  <c r="K17" i="42"/>
  <c r="K15" i="42"/>
  <c r="K18" i="42"/>
  <c r="Q14" i="42"/>
  <c r="J21" i="42"/>
  <c r="K10" i="42"/>
  <c r="K19" i="42"/>
  <c r="AD81" i="42"/>
  <c r="AM81" i="42"/>
  <c r="AJ81" i="42"/>
  <c r="AM78" i="42"/>
  <c r="AJ78" i="42"/>
  <c r="AM79" i="42"/>
  <c r="AJ79" i="42"/>
  <c r="AM80" i="42"/>
  <c r="AJ80" i="42"/>
  <c r="W12" i="42"/>
  <c r="W20" i="42"/>
  <c r="W16" i="42"/>
  <c r="W19" i="42"/>
  <c r="W14" i="42"/>
  <c r="W18" i="42"/>
  <c r="AJ19" i="42"/>
  <c r="AG19" i="42"/>
  <c r="AM19" i="42"/>
  <c r="AM16" i="42"/>
  <c r="AJ16" i="42"/>
  <c r="AG16" i="42"/>
  <c r="AJ13" i="42"/>
  <c r="AG13" i="42"/>
  <c r="AM13" i="42"/>
  <c r="AJ11" i="42"/>
  <c r="AG11" i="42"/>
  <c r="AM11" i="42"/>
  <c r="AJ10" i="42"/>
  <c r="AG10" i="42"/>
  <c r="AM10" i="42"/>
  <c r="AG18" i="42"/>
  <c r="AM18" i="42"/>
  <c r="AJ18" i="42"/>
  <c r="AM17" i="42"/>
  <c r="AJ17" i="42"/>
  <c r="AG17" i="42"/>
  <c r="W10" i="42"/>
  <c r="AJ15" i="42"/>
  <c r="AG15" i="42"/>
  <c r="AM15" i="42"/>
  <c r="U11" i="42"/>
  <c r="AH82" i="42"/>
  <c r="W17" i="42"/>
  <c r="AJ12" i="42"/>
  <c r="AG12" i="42"/>
  <c r="AG14" i="42"/>
  <c r="AJ14" i="42"/>
  <c r="AM14" i="42"/>
  <c r="AJ20" i="42"/>
  <c r="AG20" i="42"/>
  <c r="AM20" i="42"/>
  <c r="H55" i="42"/>
  <c r="G56" i="42" s="1"/>
  <c r="U20" i="42"/>
  <c r="U13" i="42"/>
  <c r="U14" i="42"/>
  <c r="U12" i="42"/>
  <c r="W11" i="42"/>
  <c r="H21" i="42"/>
  <c r="G22" i="42" s="1"/>
  <c r="O19" i="42"/>
  <c r="O10" i="42"/>
  <c r="Q17" i="42"/>
  <c r="Q10" i="42"/>
  <c r="Q18" i="42"/>
  <c r="Q12" i="42"/>
  <c r="Q11" i="42"/>
  <c r="Q13" i="42"/>
  <c r="O12" i="42"/>
  <c r="O14" i="42"/>
  <c r="O16" i="42"/>
  <c r="O17" i="42"/>
  <c r="O11" i="42"/>
  <c r="O15" i="42"/>
  <c r="O13" i="42"/>
  <c r="O20" i="42"/>
  <c r="Q16" i="42"/>
  <c r="Q15" i="42"/>
  <c r="Q20" i="42"/>
  <c r="W15" i="42"/>
  <c r="Q19" i="42"/>
  <c r="U15" i="42"/>
  <c r="U19" i="42"/>
  <c r="U10" i="42"/>
  <c r="E21" i="42"/>
  <c r="E55" i="42"/>
  <c r="U16" i="42"/>
  <c r="U17" i="42"/>
  <c r="U18" i="42"/>
  <c r="AP62" i="42" l="1"/>
  <c r="AP61" i="42"/>
  <c r="K55" i="42"/>
  <c r="AP63" i="42"/>
  <c r="AR63" i="42"/>
  <c r="AR62" i="42"/>
  <c r="AR61" i="42"/>
  <c r="S17" i="42"/>
  <c r="K21" i="42"/>
  <c r="AX63" i="42"/>
  <c r="AW61" i="42"/>
  <c r="AW62" i="42"/>
  <c r="AV63" i="42"/>
  <c r="AY62" i="42"/>
  <c r="AQ61" i="42"/>
  <c r="AS61" i="42"/>
  <c r="AY63" i="42"/>
  <c r="AW63" i="42"/>
  <c r="AS62" i="42"/>
  <c r="AZ61" i="42"/>
  <c r="AQ62" i="42"/>
  <c r="AY61" i="42"/>
  <c r="AQ63" i="42"/>
  <c r="BA62" i="42"/>
  <c r="AV62" i="42"/>
  <c r="BA63" i="42"/>
  <c r="AT63" i="42"/>
  <c r="AS63" i="42"/>
  <c r="AZ62" i="42"/>
  <c r="AT61" i="42"/>
  <c r="AZ63" i="42"/>
  <c r="AV61" i="42"/>
  <c r="AX62" i="42"/>
  <c r="AT62" i="42"/>
  <c r="AU63" i="42"/>
  <c r="AX61" i="42"/>
  <c r="AU62" i="42"/>
  <c r="BA61" i="42"/>
  <c r="AU61" i="42"/>
  <c r="AX64" i="42"/>
  <c r="AU64" i="42"/>
  <c r="AE69" i="42"/>
  <c r="AF63" i="42"/>
  <c r="AI71" i="42"/>
  <c r="AK68" i="42"/>
  <c r="AL63" i="42"/>
  <c r="AF66" i="42"/>
  <c r="AH63" i="42"/>
  <c r="AK71" i="42"/>
  <c r="AL66" i="42"/>
  <c r="AE63" i="42"/>
  <c r="AG63" i="42" s="1"/>
  <c r="AK70" i="42"/>
  <c r="AL65" i="42"/>
  <c r="AF68" i="42"/>
  <c r="AH65" i="42"/>
  <c r="AK69" i="42"/>
  <c r="AL64" i="42"/>
  <c r="AE65" i="42"/>
  <c r="AH61" i="42"/>
  <c r="AI67" i="42"/>
  <c r="AK64" i="42"/>
  <c r="AE68" i="42"/>
  <c r="AG68" i="42" s="1"/>
  <c r="AF62" i="42"/>
  <c r="AI70" i="42"/>
  <c r="AK67" i="42"/>
  <c r="AL62" i="42"/>
  <c r="AF69" i="42"/>
  <c r="AH70" i="42"/>
  <c r="AH62" i="42"/>
  <c r="AK66" i="42"/>
  <c r="AE70" i="42"/>
  <c r="AF64" i="42"/>
  <c r="AI61" i="42"/>
  <c r="AK65" i="42"/>
  <c r="AF71" i="42"/>
  <c r="AH68" i="42"/>
  <c r="AI63" i="42"/>
  <c r="AL71" i="42"/>
  <c r="AE64" i="42"/>
  <c r="AH71" i="42"/>
  <c r="AJ71" i="42" s="1"/>
  <c r="AI66" i="42"/>
  <c r="AK63" i="42"/>
  <c r="AE61" i="42"/>
  <c r="AF65" i="42"/>
  <c r="AI69" i="42"/>
  <c r="AK62" i="42"/>
  <c r="AE66" i="42"/>
  <c r="AG66" i="42" s="1"/>
  <c r="AF61" i="42"/>
  <c r="AI68" i="42"/>
  <c r="AL61" i="42"/>
  <c r="AF67" i="42"/>
  <c r="AH64" i="42"/>
  <c r="AK61" i="42"/>
  <c r="AL67" i="42"/>
  <c r="AF70" i="42"/>
  <c r="AH67" i="42"/>
  <c r="AI62" i="42"/>
  <c r="AL70" i="42"/>
  <c r="AE67" i="42"/>
  <c r="AG67" i="42" s="1"/>
  <c r="AE71" i="42"/>
  <c r="AH66" i="42"/>
  <c r="AI65" i="42"/>
  <c r="AL69" i="42"/>
  <c r="AE62" i="42"/>
  <c r="AH69" i="42"/>
  <c r="AI64" i="42"/>
  <c r="AL68" i="42"/>
  <c r="AB61" i="42"/>
  <c r="AC67" i="42"/>
  <c r="AB63" i="42"/>
  <c r="AB70" i="42"/>
  <c r="AC65" i="42"/>
  <c r="AC68" i="42"/>
  <c r="AB68" i="42"/>
  <c r="AC63" i="42"/>
  <c r="AC70" i="42"/>
  <c r="AB66" i="42"/>
  <c r="AB69" i="42"/>
  <c r="AC64" i="42"/>
  <c r="AB64" i="42"/>
  <c r="AB71" i="42"/>
  <c r="AC66" i="42"/>
  <c r="AB62" i="42"/>
  <c r="AB65" i="42"/>
  <c r="AC71" i="42"/>
  <c r="AB67" i="42"/>
  <c r="AC62" i="42"/>
  <c r="AC69" i="42"/>
  <c r="AC61" i="42"/>
  <c r="S15" i="42"/>
  <c r="Y16" i="42"/>
  <c r="AG82" i="42"/>
  <c r="AM21" i="42"/>
  <c r="AM82" i="42" s="1"/>
  <c r="AD82" i="42"/>
  <c r="AJ21" i="42"/>
  <c r="AJ82" i="42" s="1"/>
  <c r="F56" i="42"/>
  <c r="H56" i="42" s="1"/>
  <c r="S10" i="42"/>
  <c r="V21" i="42"/>
  <c r="Y14" i="42"/>
  <c r="Y17" i="42"/>
  <c r="C56" i="42"/>
  <c r="Y12" i="42"/>
  <c r="Y19" i="42"/>
  <c r="Y13" i="42"/>
  <c r="Y18" i="42"/>
  <c r="Y10" i="42"/>
  <c r="F22" i="42"/>
  <c r="H22" i="42" s="1"/>
  <c r="N21" i="42"/>
  <c r="P21" i="42"/>
  <c r="S12" i="42"/>
  <c r="S19" i="42"/>
  <c r="C22" i="42"/>
  <c r="S18" i="42"/>
  <c r="S11" i="42"/>
  <c r="D22" i="42"/>
  <c r="S16" i="42"/>
  <c r="S20" i="42"/>
  <c r="S14" i="42"/>
  <c r="Y15" i="42"/>
  <c r="D56" i="42"/>
  <c r="T21" i="42"/>
  <c r="Y20" i="42"/>
  <c r="Y11" i="42"/>
  <c r="S13" i="42"/>
  <c r="AJ69" i="42" l="1"/>
  <c r="AJ67" i="42"/>
  <c r="AM62" i="42"/>
  <c r="AJ66" i="42"/>
  <c r="AJ65" i="42"/>
  <c r="AG71" i="42"/>
  <c r="AD67" i="42"/>
  <c r="AD68" i="42"/>
  <c r="AM67" i="42"/>
  <c r="AM71" i="42"/>
  <c r="AM65" i="42"/>
  <c r="AG64" i="42"/>
  <c r="AM66" i="42"/>
  <c r="AM64" i="42"/>
  <c r="AD65" i="42"/>
  <c r="AJ70" i="42"/>
  <c r="AD64" i="42"/>
  <c r="AG61" i="42"/>
  <c r="AC72" i="42"/>
  <c r="AD71" i="42"/>
  <c r="AD66" i="42"/>
  <c r="AM61" i="42"/>
  <c r="AK72" i="42"/>
  <c r="AJ61" i="42"/>
  <c r="AI72" i="42"/>
  <c r="AJ62" i="42"/>
  <c r="AM68" i="42"/>
  <c r="AD61" i="42"/>
  <c r="AE72" i="42"/>
  <c r="AG62" i="42"/>
  <c r="AJ64" i="42"/>
  <c r="AF72" i="42"/>
  <c r="AJ68" i="42"/>
  <c r="AM69" i="42"/>
  <c r="AM70" i="42"/>
  <c r="AJ63" i="42"/>
  <c r="AB72" i="42"/>
  <c r="AD62" i="42"/>
  <c r="AD70" i="42"/>
  <c r="AG70" i="42"/>
  <c r="AH72" i="42"/>
  <c r="AD69" i="42"/>
  <c r="AD63" i="42"/>
  <c r="AL72" i="42"/>
  <c r="AG65" i="42"/>
  <c r="AM63" i="42"/>
  <c r="AG69" i="42"/>
  <c r="X21" i="42"/>
  <c r="E56" i="42"/>
  <c r="R21" i="42"/>
  <c r="E22" i="42"/>
  <c r="D27" i="33" a="1"/>
  <c r="D27" i="33" s="1"/>
  <c r="X54" i="28"/>
  <c r="BA64" i="42" l="1"/>
  <c r="AG72" i="42"/>
  <c r="AM72" i="42"/>
  <c r="AD72" i="42"/>
  <c r="AJ72" i="42"/>
  <c r="D86" i="17" l="1" a="1"/>
  <c r="D86" i="17" s="1"/>
  <c r="D85" i="17" l="1" a="1"/>
  <c r="D85" i="17" s="1"/>
  <c r="D83" i="17" a="1"/>
  <c r="D83" i="17" s="1"/>
  <c r="C74" i="17" l="1" a="1"/>
  <c r="C74" i="17" s="1"/>
  <c r="C100" i="17" s="1"/>
  <c r="H100" i="17" l="1"/>
  <c r="C155" i="33" a="1"/>
  <c r="C155" i="33" s="1"/>
  <c r="C156" i="33" a="1"/>
  <c r="C156" i="33" s="1"/>
  <c r="C157" i="33" a="1"/>
  <c r="C157" i="33" s="1"/>
  <c r="C158" i="33" a="1"/>
  <c r="C158" i="33" s="1"/>
  <c r="C159" i="33" a="1"/>
  <c r="C159" i="33" s="1"/>
  <c r="C160" i="33" a="1"/>
  <c r="C160" i="33" s="1"/>
  <c r="C161" i="33" a="1"/>
  <c r="C161" i="33" s="1"/>
  <c r="D51" i="33" l="1" a="1"/>
  <c r="D51" i="33" s="1"/>
  <c r="D30" i="33" a="1"/>
  <c r="D30" i="33" s="1"/>
  <c r="D31" i="33" a="1"/>
  <c r="D31" i="33" s="1"/>
  <c r="D132" i="17" l="1" a="1"/>
  <c r="D132" i="17" s="1"/>
  <c r="D102" i="17" l="1" a="1"/>
  <c r="D102" i="17" s="1"/>
  <c r="C102" i="17" a="1"/>
  <c r="C102" i="17" s="1"/>
  <c r="C129" i="17" l="1"/>
  <c r="D85" i="33" a="1"/>
  <c r="D85" i="33" s="1"/>
  <c r="C85" i="33" a="1"/>
  <c r="C85" i="33" s="1"/>
  <c r="D81" i="17" l="1" a="1"/>
  <c r="D81" i="17" s="1"/>
  <c r="D72" i="33" a="1"/>
  <c r="D72" i="33" s="1"/>
  <c r="D73" i="33" a="1"/>
  <c r="D73" i="33" s="1"/>
  <c r="D74" i="33" a="1"/>
  <c r="D74" i="33" s="1"/>
  <c r="D75" i="33" a="1"/>
  <c r="D75" i="33" s="1"/>
  <c r="D76" i="33" a="1"/>
  <c r="D76" i="33" s="1"/>
  <c r="D77" i="33" a="1"/>
  <c r="D77" i="33" s="1"/>
  <c r="D78" i="33" a="1"/>
  <c r="D78" i="33" s="1"/>
  <c r="D79" i="33" a="1"/>
  <c r="D79" i="33" s="1"/>
  <c r="D80" i="33" a="1"/>
  <c r="D80" i="33" s="1"/>
  <c r="D82" i="17" a="1"/>
  <c r="D82" i="17" s="1"/>
  <c r="D84" i="17" a="1"/>
  <c r="D84" i="17" s="1"/>
  <c r="D87" i="17" a="1"/>
  <c r="D87" i="17" s="1"/>
  <c r="D88" i="17" a="1"/>
  <c r="D88" i="17" s="1"/>
  <c r="D89" i="17" a="1"/>
  <c r="D89" i="17" s="1"/>
  <c r="D90" i="17" a="1"/>
  <c r="D90" i="17" s="1"/>
  <c r="D91" i="17" a="1"/>
  <c r="D91" i="17" s="1"/>
  <c r="D92" i="17" a="1"/>
  <c r="D92" i="17" s="1"/>
  <c r="D93" i="17" a="1"/>
  <c r="D93" i="17" s="1"/>
  <c r="D94" i="17" a="1"/>
  <c r="D94" i="17" s="1"/>
  <c r="D95" i="17" a="1"/>
  <c r="D95" i="17" s="1"/>
  <c r="D96" i="17" a="1"/>
  <c r="D96" i="17" s="1"/>
  <c r="D97" i="17" a="1"/>
  <c r="D97" i="17" s="1"/>
  <c r="D98" i="17" a="1"/>
  <c r="D98" i="17" s="1"/>
  <c r="D99" i="17" a="1"/>
  <c r="D99" i="17" s="1"/>
  <c r="C33" i="17" l="1" a="1"/>
  <c r="C33" i="17" s="1"/>
  <c r="D65" i="33" a="1"/>
  <c r="D65" i="33" s="1"/>
  <c r="D66" i="33" a="1"/>
  <c r="D66" i="33" s="1"/>
  <c r="D67" i="33" a="1"/>
  <c r="D67" i="33" s="1"/>
  <c r="D68" i="33" a="1"/>
  <c r="D68" i="33" s="1"/>
  <c r="D69" i="33" a="1"/>
  <c r="D69" i="33" s="1"/>
  <c r="D70" i="33" a="1"/>
  <c r="D70" i="33" s="1"/>
  <c r="D71" i="33" a="1"/>
  <c r="D71" i="33" s="1"/>
  <c r="D64" i="33" a="1"/>
  <c r="D64" i="33" s="1"/>
  <c r="C64" i="33" a="1"/>
  <c r="C64" i="33" s="1"/>
  <c r="C27" i="33" a="1"/>
  <c r="C27" i="33" s="1"/>
  <c r="C213" i="17" l="1" a="1"/>
  <c r="C213" i="17" s="1"/>
  <c r="C214" i="17" a="1"/>
  <c r="C214" i="17" s="1"/>
  <c r="C215" i="17" a="1"/>
  <c r="C215" i="17" s="1"/>
  <c r="C212" i="17" a="1"/>
  <c r="C212" i="17" s="1"/>
  <c r="H212" i="17" l="1"/>
  <c r="C216" i="17"/>
  <c r="H216" i="17"/>
  <c r="H217" i="17"/>
  <c r="H219" i="17" l="1"/>
  <c r="H33" i="17"/>
  <c r="H35" i="17"/>
  <c r="H132" i="17"/>
  <c r="H102" i="17"/>
  <c r="H74" i="17"/>
  <c r="I85" i="33" l="1"/>
  <c r="F85" i="33"/>
  <c r="G85" i="33"/>
  <c r="K85" i="33"/>
  <c r="J85" i="33" l="1"/>
  <c r="L85" i="33"/>
  <c r="H85" i="33"/>
  <c r="D189" i="17" a="1"/>
  <c r="D189" i="17" s="1"/>
  <c r="D190" i="17" a="1"/>
  <c r="D190" i="17" s="1"/>
  <c r="D191" i="17" a="1"/>
  <c r="D191" i="17" s="1"/>
  <c r="D192" i="17" a="1"/>
  <c r="D192" i="17" s="1"/>
  <c r="D185" i="17" a="1"/>
  <c r="D185" i="17" s="1"/>
  <c r="D186" i="17" a="1"/>
  <c r="D186" i="17" s="1"/>
  <c r="D187" i="17" a="1"/>
  <c r="D187" i="17" s="1"/>
  <c r="D193" i="17" a="1"/>
  <c r="D193" i="17" s="1"/>
  <c r="D194" i="17" a="1"/>
  <c r="D194" i="17" s="1"/>
  <c r="H191" i="17" l="1"/>
  <c r="H193" i="17"/>
  <c r="H194" i="17"/>
  <c r="H195" i="17"/>
  <c r="H196" i="17"/>
  <c r="H197" i="17"/>
  <c r="H198" i="17"/>
  <c r="H199" i="17"/>
  <c r="H200" i="17"/>
  <c r="H201" i="17"/>
  <c r="H202" i="17"/>
  <c r="H203" i="17"/>
  <c r="H204" i="17"/>
  <c r="H205" i="17"/>
  <c r="H206" i="17"/>
  <c r="H207" i="17"/>
  <c r="H208" i="17"/>
  <c r="H209" i="17"/>
  <c r="H192" i="17" l="1"/>
  <c r="J212" i="17" l="1"/>
  <c r="L212" i="17" s="1"/>
  <c r="I215" i="17"/>
  <c r="H215" i="17"/>
  <c r="I214" i="17"/>
  <c r="H214" i="17"/>
  <c r="I213" i="17"/>
  <c r="H213" i="17"/>
  <c r="G215" i="17"/>
  <c r="J215" i="17"/>
  <c r="G214" i="17"/>
  <c r="J214" i="17"/>
  <c r="G213" i="17"/>
  <c r="J213" i="17"/>
  <c r="F212" i="17"/>
  <c r="I212" i="17"/>
  <c r="K212" i="17" s="1"/>
  <c r="F215" i="17"/>
  <c r="F214" i="17"/>
  <c r="F213" i="17"/>
  <c r="G212" i="17"/>
  <c r="H185" i="17"/>
  <c r="H186" i="17"/>
  <c r="H188" i="17"/>
  <c r="H189" i="17"/>
  <c r="H190" i="17"/>
  <c r="H158" i="17"/>
  <c r="H159" i="17"/>
  <c r="H160" i="17"/>
  <c r="H161" i="17"/>
  <c r="H162" i="17"/>
  <c r="H163" i="17"/>
  <c r="H164" i="17"/>
  <c r="H165" i="17"/>
  <c r="H167" i="17"/>
  <c r="H168" i="17"/>
  <c r="H169" i="17"/>
  <c r="H170" i="17"/>
  <c r="H171" i="17"/>
  <c r="H172" i="17"/>
  <c r="H173" i="17"/>
  <c r="H174" i="17"/>
  <c r="H175" i="17"/>
  <c r="H176" i="17"/>
  <c r="H177" i="17"/>
  <c r="H178" i="17"/>
  <c r="H179" i="17"/>
  <c r="H180" i="17"/>
  <c r="H181" i="17"/>
  <c r="H58" i="17"/>
  <c r="H59" i="17"/>
  <c r="H60" i="17"/>
  <c r="H61" i="17"/>
  <c r="H62" i="17"/>
  <c r="H64" i="17"/>
  <c r="H65" i="17"/>
  <c r="H66" i="17"/>
  <c r="H67" i="17"/>
  <c r="H68" i="17"/>
  <c r="H69" i="17"/>
  <c r="H70" i="17"/>
  <c r="H71" i="17"/>
  <c r="H72" i="17"/>
  <c r="H12" i="17"/>
  <c r="H13" i="17"/>
  <c r="K215" i="17" l="1"/>
  <c r="L215" i="17"/>
  <c r="K214" i="17"/>
  <c r="L214" i="17"/>
  <c r="K213" i="17"/>
  <c r="L213" i="17"/>
  <c r="H187" i="17"/>
  <c r="H63" i="17"/>
  <c r="H166" i="17"/>
  <c r="G216" i="17"/>
  <c r="G217" i="17" s="1"/>
  <c r="I216" i="17"/>
  <c r="I217" i="17" s="1"/>
  <c r="J216" i="17"/>
  <c r="J217" i="17" s="1"/>
  <c r="F216" i="17"/>
  <c r="F217" i="17" s="1"/>
  <c r="J190" i="17"/>
  <c r="L190" i="17" s="1"/>
  <c r="I190" i="17"/>
  <c r="K190" i="17" s="1"/>
  <c r="G190" i="17"/>
  <c r="F190" i="17"/>
  <c r="F191" i="17"/>
  <c r="J191" i="17"/>
  <c r="L191" i="17" s="1"/>
  <c r="I191" i="17"/>
  <c r="K191" i="17" s="1"/>
  <c r="G191" i="17"/>
  <c r="F205" i="17"/>
  <c r="I205" i="17"/>
  <c r="K205" i="17" s="1"/>
  <c r="G205" i="17"/>
  <c r="J205" i="17"/>
  <c r="L205" i="17" s="1"/>
  <c r="F197" i="17"/>
  <c r="G197" i="17"/>
  <c r="J197" i="17"/>
  <c r="L197" i="17" s="1"/>
  <c r="I197" i="17"/>
  <c r="K197" i="17" s="1"/>
  <c r="F204" i="17"/>
  <c r="I204" i="17"/>
  <c r="K204" i="17" s="1"/>
  <c r="J204" i="17"/>
  <c r="L204" i="17" s="1"/>
  <c r="G204" i="17"/>
  <c r="F196" i="17"/>
  <c r="I196" i="17"/>
  <c r="K196" i="17" s="1"/>
  <c r="J196" i="17"/>
  <c r="L196" i="17" s="1"/>
  <c r="G196" i="17"/>
  <c r="F195" i="17"/>
  <c r="G195" i="17"/>
  <c r="J195" i="17"/>
  <c r="L195" i="17" s="1"/>
  <c r="I195" i="17"/>
  <c r="K195" i="17" s="1"/>
  <c r="F202" i="17"/>
  <c r="G202" i="17"/>
  <c r="I202" i="17"/>
  <c r="K202" i="17" s="1"/>
  <c r="J202" i="17"/>
  <c r="L202" i="17" s="1"/>
  <c r="F194" i="17"/>
  <c r="G194" i="17"/>
  <c r="I194" i="17"/>
  <c r="K194" i="17" s="1"/>
  <c r="J194" i="17"/>
  <c r="L194" i="17" s="1"/>
  <c r="F203" i="17"/>
  <c r="J203" i="17"/>
  <c r="L203" i="17" s="1"/>
  <c r="G203" i="17"/>
  <c r="I203" i="17"/>
  <c r="K203" i="17" s="1"/>
  <c r="F209" i="17"/>
  <c r="G209" i="17"/>
  <c r="I209" i="17"/>
  <c r="K209" i="17" s="1"/>
  <c r="J209" i="17"/>
  <c r="L209" i="17" s="1"/>
  <c r="F201" i="17"/>
  <c r="G201" i="17"/>
  <c r="I201" i="17"/>
  <c r="K201" i="17" s="1"/>
  <c r="J201" i="17"/>
  <c r="L201" i="17" s="1"/>
  <c r="F193" i="17"/>
  <c r="G193" i="17"/>
  <c r="I193" i="17"/>
  <c r="K193" i="17" s="1"/>
  <c r="J193" i="17"/>
  <c r="L193" i="17" s="1"/>
  <c r="F207" i="17"/>
  <c r="J207" i="17"/>
  <c r="L207" i="17" s="1"/>
  <c r="I207" i="17"/>
  <c r="K207" i="17" s="1"/>
  <c r="G207" i="17"/>
  <c r="F199" i="17"/>
  <c r="J199" i="17"/>
  <c r="L199" i="17" s="1"/>
  <c r="I199" i="17"/>
  <c r="K199" i="17" s="1"/>
  <c r="G199" i="17"/>
  <c r="F208" i="17"/>
  <c r="I208" i="17"/>
  <c r="K208" i="17" s="1"/>
  <c r="G208" i="17"/>
  <c r="J208" i="17"/>
  <c r="L208" i="17" s="1"/>
  <c r="F200" i="17"/>
  <c r="I200" i="17"/>
  <c r="K200" i="17" s="1"/>
  <c r="J200" i="17"/>
  <c r="L200" i="17" s="1"/>
  <c r="G200" i="17"/>
  <c r="F192" i="17"/>
  <c r="I192" i="17"/>
  <c r="K192" i="17" s="1"/>
  <c r="G192" i="17"/>
  <c r="J192" i="17"/>
  <c r="L192" i="17" s="1"/>
  <c r="F206" i="17"/>
  <c r="J206" i="17"/>
  <c r="L206" i="17" s="1"/>
  <c r="G206" i="17"/>
  <c r="I206" i="17"/>
  <c r="K206" i="17" s="1"/>
  <c r="F198" i="17"/>
  <c r="J198" i="17"/>
  <c r="L198" i="17" s="1"/>
  <c r="G198" i="17"/>
  <c r="I198" i="17"/>
  <c r="K198" i="17" s="1"/>
  <c r="C166" i="33" l="1" a="1"/>
  <c r="C166" i="33" s="1"/>
  <c r="I166" i="33" s="1"/>
  <c r="C167" i="33" a="1"/>
  <c r="C167" i="33" s="1"/>
  <c r="I167" i="33" s="1"/>
  <c r="C165" i="33" a="1"/>
  <c r="C165" i="33" s="1"/>
  <c r="F164" i="33"/>
  <c r="I165" i="33" l="1"/>
  <c r="C169" i="33"/>
  <c r="C170" i="33" s="1"/>
  <c r="D64" i="17" l="1" a="1"/>
  <c r="D64" i="17" s="1"/>
  <c r="D65" i="17" a="1"/>
  <c r="D65" i="17" s="1"/>
  <c r="D66" i="17" a="1"/>
  <c r="D66" i="17" s="1"/>
  <c r="D67" i="17" a="1"/>
  <c r="D67" i="17" s="1"/>
  <c r="D68" i="17" a="1"/>
  <c r="D68" i="17" s="1"/>
  <c r="D69" i="17" a="1"/>
  <c r="D69" i="17" s="1"/>
  <c r="D70" i="17" a="1"/>
  <c r="D70" i="17" s="1"/>
  <c r="D71" i="17" a="1"/>
  <c r="D71" i="17" s="1"/>
  <c r="D72" i="17" a="1"/>
  <c r="D72" i="17" s="1"/>
  <c r="H36" i="17"/>
  <c r="H37" i="17"/>
  <c r="H38" i="17"/>
  <c r="H39" i="17"/>
  <c r="H40" i="17"/>
  <c r="H41" i="17"/>
  <c r="C43" i="17" a="1"/>
  <c r="C43" i="17" s="1"/>
  <c r="H43" i="17" s="1"/>
  <c r="C44" i="17" a="1"/>
  <c r="C44" i="17" s="1"/>
  <c r="H44" i="17" s="1"/>
  <c r="C45" i="17" a="1"/>
  <c r="C45" i="17" s="1"/>
  <c r="H45" i="17" s="1"/>
  <c r="C46" i="17" a="1"/>
  <c r="C46" i="17" s="1"/>
  <c r="H46" i="17" s="1"/>
  <c r="C47" i="17" a="1"/>
  <c r="C47" i="17" s="1"/>
  <c r="H47" i="17" s="1"/>
  <c r="C48" i="17" a="1"/>
  <c r="C48" i="17" s="1"/>
  <c r="H48" i="17" s="1"/>
  <c r="C49" i="17" a="1"/>
  <c r="C49" i="17" s="1"/>
  <c r="H49" i="17" s="1"/>
  <c r="C50" i="17" a="1"/>
  <c r="C50" i="17" s="1"/>
  <c r="H50" i="17" s="1"/>
  <c r="C51" i="17" a="1"/>
  <c r="C51" i="17" s="1"/>
  <c r="H51" i="17" s="1"/>
  <c r="C52" i="17" a="1"/>
  <c r="C52" i="17" s="1"/>
  <c r="H52" i="17" s="1"/>
  <c r="C53" i="17" a="1"/>
  <c r="C53" i="17" s="1"/>
  <c r="H53" i="17" s="1"/>
  <c r="C54" i="17" a="1"/>
  <c r="C54" i="17" s="1"/>
  <c r="H54" i="17" s="1"/>
  <c r="C55" i="17" a="1"/>
  <c r="C55" i="17" s="1"/>
  <c r="H55" i="17" s="1"/>
  <c r="C56" i="17" l="1"/>
  <c r="H56" i="17"/>
  <c r="H42" i="17"/>
  <c r="F102" i="17"/>
  <c r="G102" i="17"/>
  <c r="I102" i="17"/>
  <c r="J102" i="17"/>
  <c r="L102" i="17" l="1"/>
  <c r="K102" i="17"/>
  <c r="F3" i="17"/>
  <c r="F4" i="17"/>
  <c r="C11" i="17" a="1"/>
  <c r="C11" i="17" s="1"/>
  <c r="H11" i="17" s="1"/>
  <c r="D11" i="17" a="1"/>
  <c r="D11" i="17" s="1"/>
  <c r="I12" i="17"/>
  <c r="H16" i="17"/>
  <c r="H17" i="17"/>
  <c r="D17" i="17" a="1"/>
  <c r="D17" i="17" s="1"/>
  <c r="D18" i="17" a="1"/>
  <c r="D18" i="17" s="1"/>
  <c r="H19" i="17"/>
  <c r="D19" i="17" a="1"/>
  <c r="D19" i="17" s="1"/>
  <c r="D20" i="17" a="1"/>
  <c r="D20" i="17" s="1"/>
  <c r="H21" i="17"/>
  <c r="D21" i="17" a="1"/>
  <c r="D21" i="17" s="1"/>
  <c r="H22" i="17"/>
  <c r="D22" i="17" a="1"/>
  <c r="D22" i="17" s="1"/>
  <c r="D23" i="17" a="1"/>
  <c r="D23" i="17" s="1"/>
  <c r="H24" i="17"/>
  <c r="D24" i="17" a="1"/>
  <c r="D24" i="17" s="1"/>
  <c r="H25" i="17"/>
  <c r="D25" i="17" a="1"/>
  <c r="D25" i="17" s="1"/>
  <c r="H26" i="17"/>
  <c r="D26" i="17" a="1"/>
  <c r="D26" i="17" s="1"/>
  <c r="H27" i="17"/>
  <c r="D27" i="17" a="1"/>
  <c r="D27" i="17" s="1"/>
  <c r="H28" i="17"/>
  <c r="D28" i="17" a="1"/>
  <c r="D28" i="17" s="1"/>
  <c r="H29" i="17"/>
  <c r="D29" i="17" a="1"/>
  <c r="D29" i="17" s="1"/>
  <c r="H30" i="17"/>
  <c r="D30" i="17" a="1"/>
  <c r="D30" i="17" s="1"/>
  <c r="H31" i="17"/>
  <c r="D31" i="17" a="1"/>
  <c r="D31" i="17" s="1"/>
  <c r="F33" i="17"/>
  <c r="D33" i="17" a="1"/>
  <c r="D33" i="17" s="1"/>
  <c r="D34" i="17" a="1"/>
  <c r="D34" i="17" s="1"/>
  <c r="I38" i="17"/>
  <c r="J39" i="17"/>
  <c r="D39" i="17" a="1"/>
  <c r="D39" i="17" s="1"/>
  <c r="D40" i="17" a="1"/>
  <c r="D40" i="17" s="1"/>
  <c r="D41" i="17" a="1"/>
  <c r="D41" i="17" s="1"/>
  <c r="I42" i="17"/>
  <c r="K42" i="17" s="1"/>
  <c r="D42" i="17" a="1"/>
  <c r="D42" i="17" s="1"/>
  <c r="D43" i="17" a="1"/>
  <c r="D43" i="17" s="1"/>
  <c r="D44" i="17" a="1"/>
  <c r="D44" i="17" s="1"/>
  <c r="F45" i="17"/>
  <c r="D45" i="17" a="1"/>
  <c r="D45" i="17" s="1"/>
  <c r="I46" i="17"/>
  <c r="K46" i="17" s="1"/>
  <c r="D46" i="17" a="1"/>
  <c r="D46" i="17" s="1"/>
  <c r="D47" i="17" a="1"/>
  <c r="D47" i="17" s="1"/>
  <c r="D48" i="17" a="1"/>
  <c r="D48" i="17" s="1"/>
  <c r="I49" i="17"/>
  <c r="K49" i="17" s="1"/>
  <c r="D49" i="17" a="1"/>
  <c r="D49" i="17" s="1"/>
  <c r="J50" i="17"/>
  <c r="L50" i="17" s="1"/>
  <c r="D50" i="17" a="1"/>
  <c r="D50" i="17" s="1"/>
  <c r="F51" i="17"/>
  <c r="D51" i="17" a="1"/>
  <c r="D51" i="17" s="1"/>
  <c r="F52" i="17"/>
  <c r="D52" i="17" a="1"/>
  <c r="D52" i="17" s="1"/>
  <c r="G53" i="17"/>
  <c r="D53" i="17" a="1"/>
  <c r="D53" i="17" s="1"/>
  <c r="I54" i="17"/>
  <c r="K54" i="17" s="1"/>
  <c r="D54" i="17" a="1"/>
  <c r="D54" i="17" s="1"/>
  <c r="F55" i="17"/>
  <c r="D55" i="17" a="1"/>
  <c r="D55" i="17" s="1"/>
  <c r="I58" i="17"/>
  <c r="I59" i="17"/>
  <c r="I63" i="17"/>
  <c r="J64" i="17"/>
  <c r="L64" i="17" s="1"/>
  <c r="F65" i="17"/>
  <c r="G66" i="17"/>
  <c r="J67" i="17"/>
  <c r="L67" i="17" s="1"/>
  <c r="F68" i="17"/>
  <c r="F71" i="17"/>
  <c r="I72" i="17"/>
  <c r="K72" i="17" s="1"/>
  <c r="F74" i="17"/>
  <c r="H76" i="17"/>
  <c r="H77" i="17"/>
  <c r="H80" i="17"/>
  <c r="H83" i="17"/>
  <c r="H84" i="17"/>
  <c r="H87" i="17"/>
  <c r="H92" i="17"/>
  <c r="H93" i="17"/>
  <c r="H94" i="17"/>
  <c r="H95" i="17"/>
  <c r="H96" i="17"/>
  <c r="H98" i="17"/>
  <c r="D103" i="17" a="1"/>
  <c r="D103" i="17" s="1"/>
  <c r="D104" i="17" a="1"/>
  <c r="D104" i="17" s="1"/>
  <c r="D108" i="17" a="1"/>
  <c r="D108" i="17" s="1"/>
  <c r="H109" i="17"/>
  <c r="D109" i="17" a="1"/>
  <c r="D109" i="17" s="1"/>
  <c r="H110" i="17"/>
  <c r="D110" i="17" a="1"/>
  <c r="D110" i="17" s="1"/>
  <c r="D111" i="17" a="1"/>
  <c r="D111" i="17" s="1"/>
  <c r="D112" i="17" a="1"/>
  <c r="D112" i="17" s="1"/>
  <c r="H113" i="17"/>
  <c r="D113" i="17" a="1"/>
  <c r="D113" i="17" s="1"/>
  <c r="H114" i="17"/>
  <c r="D114" i="17" a="1"/>
  <c r="D114" i="17" s="1"/>
  <c r="D115" i="17" a="1"/>
  <c r="D115" i="17" s="1"/>
  <c r="D116" i="17" a="1"/>
  <c r="D116" i="17" s="1"/>
  <c r="D117" i="17" a="1"/>
  <c r="D117" i="17" s="1"/>
  <c r="H118" i="17"/>
  <c r="D118" i="17" a="1"/>
  <c r="D118" i="17" s="1"/>
  <c r="D119" i="17" a="1"/>
  <c r="D119" i="17" s="1"/>
  <c r="H120" i="17"/>
  <c r="D120" i="17" a="1"/>
  <c r="D120" i="17" s="1"/>
  <c r="H121" i="17"/>
  <c r="D121" i="17" a="1"/>
  <c r="D121" i="17" s="1"/>
  <c r="H122" i="17"/>
  <c r="D122" i="17" a="1"/>
  <c r="D122" i="17" s="1"/>
  <c r="H123" i="17"/>
  <c r="D123" i="17" a="1"/>
  <c r="D123" i="17" s="1"/>
  <c r="D124" i="17" a="1"/>
  <c r="D124" i="17" s="1"/>
  <c r="D125" i="17" a="1"/>
  <c r="D125" i="17" s="1"/>
  <c r="H126" i="17"/>
  <c r="D126" i="17" a="1"/>
  <c r="D126" i="17" s="1"/>
  <c r="D127" i="17" a="1"/>
  <c r="D127" i="17" s="1"/>
  <c r="H128" i="17"/>
  <c r="D128" i="17" a="1"/>
  <c r="D128" i="17" s="1"/>
  <c r="C130" i="17" a="1"/>
  <c r="C130" i="17" s="1"/>
  <c r="D130" i="17" a="1"/>
  <c r="D130" i="17" s="1"/>
  <c r="D131" i="17" a="1"/>
  <c r="D131" i="17" s="1"/>
  <c r="G132" i="17"/>
  <c r="D135" i="17" a="1"/>
  <c r="D135" i="17" s="1"/>
  <c r="H136" i="17"/>
  <c r="D136" i="17" a="1"/>
  <c r="D136" i="17" s="1"/>
  <c r="D137" i="17" a="1"/>
  <c r="D137" i="17" s="1"/>
  <c r="D138" i="17" a="1"/>
  <c r="D138" i="17" s="1"/>
  <c r="D139" i="17" a="1"/>
  <c r="D139" i="17" s="1"/>
  <c r="H140" i="17"/>
  <c r="D140" i="17" a="1"/>
  <c r="D140" i="17" s="1"/>
  <c r="D141" i="17" a="1"/>
  <c r="D141" i="17" s="1"/>
  <c r="D142" i="17" a="1"/>
  <c r="D142" i="17" s="1"/>
  <c r="D143" i="17" a="1"/>
  <c r="D143" i="17" s="1"/>
  <c r="H144" i="17"/>
  <c r="D144" i="17" a="1"/>
  <c r="D144" i="17" s="1"/>
  <c r="D145" i="17" a="1"/>
  <c r="D145" i="17" s="1"/>
  <c r="D146" i="17" a="1"/>
  <c r="D146" i="17" s="1"/>
  <c r="D147" i="17" a="1"/>
  <c r="D147" i="17" s="1"/>
  <c r="D148" i="17" a="1"/>
  <c r="D148" i="17" s="1"/>
  <c r="H149" i="17"/>
  <c r="D149" i="17" a="1"/>
  <c r="D149" i="17" s="1"/>
  <c r="D150" i="17" a="1"/>
  <c r="D150" i="17" s="1"/>
  <c r="D151" i="17" a="1"/>
  <c r="D151" i="17" s="1"/>
  <c r="D152" i="17" a="1"/>
  <c r="D152" i="17" s="1"/>
  <c r="D153" i="17" a="1"/>
  <c r="D153" i="17" s="1"/>
  <c r="H154" i="17"/>
  <c r="D154" i="17" a="1"/>
  <c r="D154" i="17" s="1"/>
  <c r="H155" i="17"/>
  <c r="D155" i="17" a="1"/>
  <c r="D155" i="17" s="1"/>
  <c r="F158" i="17"/>
  <c r="D158" i="17" a="1"/>
  <c r="D158" i="17" s="1"/>
  <c r="G159" i="17"/>
  <c r="G160" i="17"/>
  <c r="F164" i="17"/>
  <c r="D164" i="17" a="1"/>
  <c r="D164" i="17" s="1"/>
  <c r="I165" i="17"/>
  <c r="K165" i="17" s="1"/>
  <c r="D165" i="17" a="1"/>
  <c r="D165" i="17" s="1"/>
  <c r="F166" i="17"/>
  <c r="D166" i="17" a="1"/>
  <c r="D166" i="17" s="1"/>
  <c r="D167" i="17" a="1"/>
  <c r="D167" i="17" s="1"/>
  <c r="J168" i="17"/>
  <c r="L168" i="17" s="1"/>
  <c r="D168" i="17" a="1"/>
  <c r="D168" i="17" s="1"/>
  <c r="F169" i="17"/>
  <c r="D169" i="17" a="1"/>
  <c r="D169" i="17" s="1"/>
  <c r="D170" i="17" a="1"/>
  <c r="D170" i="17" s="1"/>
  <c r="D171" i="17" a="1"/>
  <c r="D171" i="17" s="1"/>
  <c r="D172" i="17" a="1"/>
  <c r="D172" i="17" s="1"/>
  <c r="I173" i="17"/>
  <c r="K173" i="17" s="1"/>
  <c r="D173" i="17" a="1"/>
  <c r="D173" i="17" s="1"/>
  <c r="J174" i="17"/>
  <c r="L174" i="17" s="1"/>
  <c r="D174" i="17" a="1"/>
  <c r="D174" i="17" s="1"/>
  <c r="J175" i="17"/>
  <c r="L175" i="17" s="1"/>
  <c r="D175" i="17" a="1"/>
  <c r="D175" i="17" s="1"/>
  <c r="D176" i="17" a="1"/>
  <c r="D176" i="17" s="1"/>
  <c r="D177" i="17" a="1"/>
  <c r="D177" i="17" s="1"/>
  <c r="D178" i="17" a="1"/>
  <c r="D178" i="17" s="1"/>
  <c r="D179" i="17" a="1"/>
  <c r="D179" i="17" s="1"/>
  <c r="J180" i="17"/>
  <c r="L180" i="17" s="1"/>
  <c r="D180" i="17" a="1"/>
  <c r="D180" i="17" s="1"/>
  <c r="I181" i="17"/>
  <c r="K181" i="17" s="1"/>
  <c r="D181" i="17" a="1"/>
  <c r="D181" i="17" s="1"/>
  <c r="C184" i="17" a="1"/>
  <c r="C184" i="17" s="1"/>
  <c r="D184" i="17" a="1"/>
  <c r="D184" i="17" s="1"/>
  <c r="J185" i="17"/>
  <c r="G186" i="17"/>
  <c r="G188" i="17"/>
  <c r="J189" i="17"/>
  <c r="D195" i="17" a="1"/>
  <c r="D195" i="17" s="1"/>
  <c r="D196" i="17" a="1"/>
  <c r="D196" i="17" s="1"/>
  <c r="D197" i="17" a="1"/>
  <c r="D197" i="17" s="1"/>
  <c r="D198" i="17" a="1"/>
  <c r="D198" i="17" s="1"/>
  <c r="D199" i="17" a="1"/>
  <c r="D199" i="17" s="1"/>
  <c r="D200" i="17" a="1"/>
  <c r="D200" i="17" s="1"/>
  <c r="D201" i="17" a="1"/>
  <c r="D201" i="17" s="1"/>
  <c r="D202" i="17" a="1"/>
  <c r="D202" i="17" s="1"/>
  <c r="D203" i="17" a="1"/>
  <c r="D203" i="17" s="1"/>
  <c r="D204" i="17" a="1"/>
  <c r="D204" i="17" s="1"/>
  <c r="D205" i="17" a="1"/>
  <c r="D205" i="17" s="1"/>
  <c r="D206" i="17" a="1"/>
  <c r="D206" i="17" s="1"/>
  <c r="D207" i="17" a="1"/>
  <c r="D207" i="17" s="1"/>
  <c r="D208" i="17" a="1"/>
  <c r="D208" i="17" s="1"/>
  <c r="D209" i="17" a="1"/>
  <c r="D209" i="17" s="1"/>
  <c r="D215" i="17" a="1"/>
  <c r="D215" i="17" s="1"/>
  <c r="J172" i="33"/>
  <c r="H172" i="33"/>
  <c r="C210" i="17" l="1"/>
  <c r="H210" i="17"/>
  <c r="D211" i="17"/>
  <c r="C156" i="17"/>
  <c r="H182" i="17"/>
  <c r="C182" i="17"/>
  <c r="C32" i="17"/>
  <c r="H156" i="17"/>
  <c r="H129" i="17"/>
  <c r="H23" i="17"/>
  <c r="H32" i="17"/>
  <c r="H34" i="17"/>
  <c r="H184" i="17"/>
  <c r="I130" i="17"/>
  <c r="H130" i="17"/>
  <c r="F135" i="17"/>
  <c r="H135" i="17"/>
  <c r="J131" i="17"/>
  <c r="H131" i="17"/>
  <c r="J138" i="17"/>
  <c r="L138" i="17" s="1"/>
  <c r="H138" i="17"/>
  <c r="J134" i="17"/>
  <c r="H134" i="17"/>
  <c r="I137" i="17"/>
  <c r="K137" i="17" s="1"/>
  <c r="H137" i="17"/>
  <c r="I133" i="17"/>
  <c r="H133" i="17"/>
  <c r="G107" i="17"/>
  <c r="H107" i="17"/>
  <c r="G104" i="17"/>
  <c r="J106" i="17"/>
  <c r="H106" i="17"/>
  <c r="G103" i="17"/>
  <c r="H103" i="17"/>
  <c r="J105" i="17"/>
  <c r="H105" i="17"/>
  <c r="G108" i="17"/>
  <c r="H108" i="17"/>
  <c r="J78" i="17"/>
  <c r="H78" i="17"/>
  <c r="I75" i="17"/>
  <c r="H75" i="17"/>
  <c r="J79" i="17"/>
  <c r="H79" i="17"/>
  <c r="F57" i="17"/>
  <c r="H57" i="17"/>
  <c r="I15" i="17"/>
  <c r="H15" i="17"/>
  <c r="I18" i="17"/>
  <c r="K18" i="17" s="1"/>
  <c r="H18" i="17"/>
  <c r="G14" i="17"/>
  <c r="H14" i="17"/>
  <c r="J148" i="17"/>
  <c r="L148" i="17" s="1"/>
  <c r="H148" i="17"/>
  <c r="F119" i="17"/>
  <c r="H119" i="17"/>
  <c r="J115" i="17"/>
  <c r="L115" i="17" s="1"/>
  <c r="H115" i="17"/>
  <c r="I111" i="17"/>
  <c r="K111" i="17" s="1"/>
  <c r="H111" i="17"/>
  <c r="F97" i="17"/>
  <c r="H97" i="17"/>
  <c r="J89" i="17"/>
  <c r="L89" i="17" s="1"/>
  <c r="H89" i="17"/>
  <c r="G85" i="17"/>
  <c r="H85" i="17"/>
  <c r="H82" i="17"/>
  <c r="H20" i="17"/>
  <c r="F151" i="17"/>
  <c r="H151" i="17"/>
  <c r="F147" i="17"/>
  <c r="H147" i="17"/>
  <c r="I143" i="17"/>
  <c r="K143" i="17" s="1"/>
  <c r="H143" i="17"/>
  <c r="I139" i="17"/>
  <c r="K139" i="17" s="1"/>
  <c r="H139" i="17"/>
  <c r="J152" i="17"/>
  <c r="L152" i="17" s="1"/>
  <c r="H152" i="17"/>
  <c r="I81" i="17"/>
  <c r="H81" i="17"/>
  <c r="J146" i="17"/>
  <c r="L146" i="17" s="1"/>
  <c r="H146" i="17"/>
  <c r="I125" i="17"/>
  <c r="K125" i="17" s="1"/>
  <c r="H125" i="17"/>
  <c r="I117" i="17"/>
  <c r="K117" i="17" s="1"/>
  <c r="H117" i="17"/>
  <c r="F99" i="17"/>
  <c r="H99" i="17"/>
  <c r="G91" i="17"/>
  <c r="H91" i="17"/>
  <c r="G127" i="17"/>
  <c r="H127" i="17"/>
  <c r="G88" i="17"/>
  <c r="H88" i="17"/>
  <c r="J142" i="17"/>
  <c r="L142" i="17" s="1"/>
  <c r="H142" i="17"/>
  <c r="I153" i="17"/>
  <c r="K153" i="17" s="1"/>
  <c r="H153" i="17"/>
  <c r="I145" i="17"/>
  <c r="K145" i="17" s="1"/>
  <c r="H145" i="17"/>
  <c r="I141" i="17"/>
  <c r="K141" i="17" s="1"/>
  <c r="H141" i="17"/>
  <c r="J150" i="17"/>
  <c r="L150" i="17" s="1"/>
  <c r="H150" i="17"/>
  <c r="J124" i="17"/>
  <c r="L124" i="17" s="1"/>
  <c r="H124" i="17"/>
  <c r="F116" i="17"/>
  <c r="H116" i="17"/>
  <c r="F112" i="17"/>
  <c r="H112" i="17"/>
  <c r="G90" i="17"/>
  <c r="H90" i="17"/>
  <c r="F86" i="17"/>
  <c r="H86" i="17"/>
  <c r="J28" i="17"/>
  <c r="L28" i="17" s="1"/>
  <c r="J27" i="17"/>
  <c r="L27" i="17" s="1"/>
  <c r="I23" i="17"/>
  <c r="K23" i="17" s="1"/>
  <c r="G184" i="17"/>
  <c r="I34" i="17"/>
  <c r="J34" i="17"/>
  <c r="I11" i="17"/>
  <c r="J59" i="17"/>
  <c r="G65" i="17"/>
  <c r="I184" i="17"/>
  <c r="F39" i="17"/>
  <c r="L39" i="17" s="1"/>
  <c r="I67" i="17"/>
  <c r="K67" i="17" s="1"/>
  <c r="J71" i="17"/>
  <c r="L71" i="17" s="1"/>
  <c r="G33" i="17"/>
  <c r="I163" i="17"/>
  <c r="G163" i="17"/>
  <c r="G61" i="17"/>
  <c r="F61" i="17"/>
  <c r="J158" i="17"/>
  <c r="L158" i="17" s="1"/>
  <c r="I158" i="17"/>
  <c r="J159" i="17"/>
  <c r="G158" i="17"/>
  <c r="G152" i="17"/>
  <c r="I135" i="17"/>
  <c r="K135" i="17" s="1"/>
  <c r="J132" i="17"/>
  <c r="G148" i="17"/>
  <c r="I189" i="17"/>
  <c r="I110" i="17"/>
  <c r="K110" i="17" s="1"/>
  <c r="G110" i="17"/>
  <c r="J104" i="17"/>
  <c r="F104" i="17"/>
  <c r="I104" i="17"/>
  <c r="J98" i="17"/>
  <c r="L98" i="17" s="1"/>
  <c r="G98" i="17"/>
  <c r="G189" i="17"/>
  <c r="I185" i="17"/>
  <c r="G185" i="17"/>
  <c r="J164" i="17"/>
  <c r="L164" i="17" s="1"/>
  <c r="I164" i="17"/>
  <c r="K164" i="17" s="1"/>
  <c r="F184" i="17"/>
  <c r="J184" i="17"/>
  <c r="I179" i="17"/>
  <c r="K179" i="17" s="1"/>
  <c r="G179" i="17"/>
  <c r="G164" i="17"/>
  <c r="J136" i="17"/>
  <c r="L136" i="17" s="1"/>
  <c r="G136" i="17"/>
  <c r="G105" i="17"/>
  <c r="F105" i="17"/>
  <c r="J62" i="17"/>
  <c r="I62" i="17"/>
  <c r="F62" i="17"/>
  <c r="G62" i="17"/>
  <c r="F25" i="17"/>
  <c r="G25" i="17"/>
  <c r="I188" i="17"/>
  <c r="K188" i="17" s="1"/>
  <c r="J188" i="17"/>
  <c r="F165" i="17"/>
  <c r="G165" i="17"/>
  <c r="G80" i="17"/>
  <c r="I80" i="17"/>
  <c r="J58" i="17"/>
  <c r="G58" i="17"/>
  <c r="K58" i="17" s="1"/>
  <c r="F58" i="17"/>
  <c r="G57" i="17"/>
  <c r="I57" i="17"/>
  <c r="J57" i="17"/>
  <c r="I30" i="17"/>
  <c r="K30" i="17" s="1"/>
  <c r="F30" i="17"/>
  <c r="G81" i="17"/>
  <c r="G71" i="17"/>
  <c r="I66" i="17"/>
  <c r="K66" i="17" s="1"/>
  <c r="J46" i="17"/>
  <c r="L46" i="17" s="1"/>
  <c r="J12" i="17"/>
  <c r="J172" i="17"/>
  <c r="L172" i="17" s="1"/>
  <c r="F172" i="17"/>
  <c r="I172" i="17"/>
  <c r="K172" i="17" s="1"/>
  <c r="J120" i="17"/>
  <c r="L120" i="17" s="1"/>
  <c r="F120" i="17"/>
  <c r="I120" i="17"/>
  <c r="K120" i="17" s="1"/>
  <c r="F41" i="17"/>
  <c r="I41" i="17"/>
  <c r="K41" i="17" s="1"/>
  <c r="F155" i="17"/>
  <c r="I155" i="17"/>
  <c r="K155" i="17" s="1"/>
  <c r="F26" i="17"/>
  <c r="I26" i="17"/>
  <c r="K26" i="17" s="1"/>
  <c r="F16" i="17"/>
  <c r="J16" i="17"/>
  <c r="L16" i="17" s="1"/>
  <c r="J116" i="17"/>
  <c r="L116" i="17" s="1"/>
  <c r="I180" i="17"/>
  <c r="K180" i="17" s="1"/>
  <c r="J169" i="17"/>
  <c r="L169" i="17" s="1"/>
  <c r="F124" i="17"/>
  <c r="G112" i="17"/>
  <c r="F111" i="17"/>
  <c r="G99" i="17"/>
  <c r="F180" i="17"/>
  <c r="I147" i="17"/>
  <c r="K147" i="17" s="1"/>
  <c r="I124" i="17"/>
  <c r="K124" i="17" s="1"/>
  <c r="G116" i="17"/>
  <c r="G115" i="17"/>
  <c r="J112" i="17"/>
  <c r="L112" i="17" s="1"/>
  <c r="J99" i="17"/>
  <c r="L99" i="17" s="1"/>
  <c r="J51" i="17"/>
  <c r="L51" i="17" s="1"/>
  <c r="G123" i="17"/>
  <c r="J123" i="17"/>
  <c r="L123" i="17" s="1"/>
  <c r="F123" i="17"/>
  <c r="F95" i="17"/>
  <c r="G95" i="17"/>
  <c r="I95" i="17"/>
  <c r="K95" i="17" s="1"/>
  <c r="F173" i="17"/>
  <c r="G173" i="17"/>
  <c r="G144" i="17"/>
  <c r="J144" i="17"/>
  <c r="L144" i="17" s="1"/>
  <c r="F125" i="17"/>
  <c r="G125" i="17"/>
  <c r="J173" i="17"/>
  <c r="L173" i="17" s="1"/>
  <c r="I151" i="17"/>
  <c r="K151" i="17" s="1"/>
  <c r="F143" i="17"/>
  <c r="J125" i="17"/>
  <c r="L125" i="17" s="1"/>
  <c r="I93" i="17"/>
  <c r="K93" i="17" s="1"/>
  <c r="G93" i="17"/>
  <c r="J70" i="17"/>
  <c r="L70" i="17" s="1"/>
  <c r="G70" i="17"/>
  <c r="I70" i="17"/>
  <c r="K70" i="17" s="1"/>
  <c r="F70" i="17"/>
  <c r="I48" i="17"/>
  <c r="K48" i="17" s="1"/>
  <c r="G48" i="17"/>
  <c r="J48" i="17"/>
  <c r="L48" i="17" s="1"/>
  <c r="F48" i="17"/>
  <c r="J37" i="17"/>
  <c r="G37" i="17"/>
  <c r="F37" i="17"/>
  <c r="G140" i="17"/>
  <c r="J140" i="17"/>
  <c r="L140" i="17" s="1"/>
  <c r="J122" i="17"/>
  <c r="L122" i="17" s="1"/>
  <c r="G122" i="17"/>
  <c r="J95" i="17"/>
  <c r="L95" i="17" s="1"/>
  <c r="J86" i="17"/>
  <c r="L86" i="17" s="1"/>
  <c r="G86" i="17"/>
  <c r="I86" i="17"/>
  <c r="K86" i="17" s="1"/>
  <c r="G29" i="17"/>
  <c r="F29" i="17"/>
  <c r="F181" i="17"/>
  <c r="G181" i="17"/>
  <c r="G174" i="17"/>
  <c r="F174" i="17"/>
  <c r="F139" i="17"/>
  <c r="J94" i="17"/>
  <c r="L94" i="17" s="1"/>
  <c r="I94" i="17"/>
  <c r="K94" i="17" s="1"/>
  <c r="F94" i="17"/>
  <c r="G94" i="17"/>
  <c r="F50" i="17"/>
  <c r="I50" i="17"/>
  <c r="K50" i="17" s="1"/>
  <c r="G50" i="17"/>
  <c r="J45" i="17"/>
  <c r="L45" i="17" s="1"/>
  <c r="G45" i="17"/>
  <c r="I45" i="17"/>
  <c r="K45" i="17" s="1"/>
  <c r="I37" i="17"/>
  <c r="G36" i="17"/>
  <c r="J30" i="17"/>
  <c r="L30" i="17" s="1"/>
  <c r="G30" i="17"/>
  <c r="J22" i="17"/>
  <c r="L22" i="17" s="1"/>
  <c r="F22" i="17"/>
  <c r="I22" i="17"/>
  <c r="K22" i="17" s="1"/>
  <c r="J11" i="17"/>
  <c r="G11" i="17"/>
  <c r="F87" i="17"/>
  <c r="I87" i="17"/>
  <c r="K87" i="17" s="1"/>
  <c r="F84" i="17"/>
  <c r="G84" i="17"/>
  <c r="J53" i="17"/>
  <c r="L53" i="17" s="1"/>
  <c r="I53" i="17"/>
  <c r="K53" i="17" s="1"/>
  <c r="J42" i="17"/>
  <c r="L42" i="17" s="1"/>
  <c r="J88" i="17"/>
  <c r="L88" i="17" s="1"/>
  <c r="J84" i="17"/>
  <c r="L84" i="17" s="1"/>
  <c r="J66" i="17"/>
  <c r="L66" i="17" s="1"/>
  <c r="F66" i="17"/>
  <c r="F53" i="17"/>
  <c r="J41" i="17"/>
  <c r="L41" i="17" s="1"/>
  <c r="G41" i="17"/>
  <c r="J33" i="17"/>
  <c r="L33" i="17" s="1"/>
  <c r="I33" i="17"/>
  <c r="J23" i="17"/>
  <c r="L23" i="17" s="1"/>
  <c r="G22" i="17"/>
  <c r="F11" i="17"/>
  <c r="J49" i="17"/>
  <c r="L49" i="17" s="1"/>
  <c r="G49" i="17"/>
  <c r="J19" i="17"/>
  <c r="L19" i="17" s="1"/>
  <c r="I19" i="17"/>
  <c r="K19" i="17" s="1"/>
  <c r="J18" i="17"/>
  <c r="L18" i="17" s="1"/>
  <c r="G18" i="17"/>
  <c r="J14" i="17"/>
  <c r="I14" i="17"/>
  <c r="F14" i="17"/>
  <c r="G180" i="17"/>
  <c r="G172" i="17"/>
  <c r="G169" i="17"/>
  <c r="G168" i="17"/>
  <c r="G124" i="17"/>
  <c r="G120" i="17"/>
  <c r="I112" i="17"/>
  <c r="K112" i="17" s="1"/>
  <c r="J111" i="17"/>
  <c r="L111" i="17" s="1"/>
  <c r="G111" i="17"/>
  <c r="F88" i="17"/>
  <c r="G87" i="17"/>
  <c r="I84" i="17"/>
  <c r="K84" i="17" s="1"/>
  <c r="J26" i="17"/>
  <c r="L26" i="17" s="1"/>
  <c r="G26" i="17"/>
  <c r="F18" i="17"/>
  <c r="G13" i="17"/>
  <c r="G149" i="17"/>
  <c r="J149" i="17"/>
  <c r="L149" i="17" s="1"/>
  <c r="F149" i="17"/>
  <c r="G162" i="17"/>
  <c r="J162" i="17"/>
  <c r="F162" i="17"/>
  <c r="I162" i="17"/>
  <c r="F161" i="17"/>
  <c r="I161" i="17"/>
  <c r="J161" i="17"/>
  <c r="J160" i="17"/>
  <c r="I160" i="17"/>
  <c r="K160" i="17" s="1"/>
  <c r="G133" i="17"/>
  <c r="J133" i="17"/>
  <c r="F133" i="17"/>
  <c r="F177" i="17"/>
  <c r="I177" i="17"/>
  <c r="K177" i="17" s="1"/>
  <c r="J177" i="17"/>
  <c r="L177" i="17" s="1"/>
  <c r="J176" i="17"/>
  <c r="L176" i="17" s="1"/>
  <c r="F176" i="17"/>
  <c r="I176" i="17"/>
  <c r="K176" i="17" s="1"/>
  <c r="I175" i="17"/>
  <c r="K175" i="17" s="1"/>
  <c r="G175" i="17"/>
  <c r="F175" i="17"/>
  <c r="G170" i="17"/>
  <c r="F170" i="17"/>
  <c r="J170" i="17"/>
  <c r="L170" i="17" s="1"/>
  <c r="I146" i="17"/>
  <c r="K146" i="17" s="1"/>
  <c r="F146" i="17"/>
  <c r="G146" i="17"/>
  <c r="I114" i="17"/>
  <c r="K114" i="17" s="1"/>
  <c r="G114" i="17"/>
  <c r="J114" i="17"/>
  <c r="L114" i="17" s="1"/>
  <c r="F114" i="17"/>
  <c r="G187" i="17"/>
  <c r="J187" i="17"/>
  <c r="F187" i="17"/>
  <c r="I187" i="17"/>
  <c r="I171" i="17"/>
  <c r="K171" i="17" s="1"/>
  <c r="F171" i="17"/>
  <c r="J171" i="17"/>
  <c r="L171" i="17" s="1"/>
  <c r="I167" i="17"/>
  <c r="K167" i="17" s="1"/>
  <c r="G167" i="17"/>
  <c r="J167" i="17"/>
  <c r="L167" i="17" s="1"/>
  <c r="G166" i="17"/>
  <c r="I166" i="17"/>
  <c r="K166" i="17" s="1"/>
  <c r="J166" i="17"/>
  <c r="L166" i="17" s="1"/>
  <c r="G161" i="17"/>
  <c r="I154" i="17"/>
  <c r="K154" i="17" s="1"/>
  <c r="F154" i="17"/>
  <c r="G154" i="17"/>
  <c r="I126" i="17"/>
  <c r="K126" i="17" s="1"/>
  <c r="F126" i="17"/>
  <c r="G126" i="17"/>
  <c r="J126" i="17"/>
  <c r="L126" i="17" s="1"/>
  <c r="J118" i="17"/>
  <c r="L118" i="17" s="1"/>
  <c r="I118" i="17"/>
  <c r="K118" i="17" s="1"/>
  <c r="F118" i="17"/>
  <c r="G118" i="17"/>
  <c r="G113" i="17"/>
  <c r="I113" i="17"/>
  <c r="K113" i="17" s="1"/>
  <c r="J113" i="17"/>
  <c r="L113" i="17" s="1"/>
  <c r="F113" i="17"/>
  <c r="G178" i="17"/>
  <c r="J178" i="17"/>
  <c r="L178" i="17" s="1"/>
  <c r="F178" i="17"/>
  <c r="I178" i="17"/>
  <c r="K178" i="17" s="1"/>
  <c r="I76" i="17"/>
  <c r="F76" i="17"/>
  <c r="G76" i="17"/>
  <c r="J76" i="17"/>
  <c r="F186" i="17"/>
  <c r="I186" i="17"/>
  <c r="K186" i="17" s="1"/>
  <c r="J186" i="17"/>
  <c r="G177" i="17"/>
  <c r="G176" i="17"/>
  <c r="G171" i="17"/>
  <c r="I170" i="17"/>
  <c r="K170" i="17" s="1"/>
  <c r="F167" i="17"/>
  <c r="J154" i="17"/>
  <c r="L154" i="17" s="1"/>
  <c r="I149" i="17"/>
  <c r="K149" i="17" s="1"/>
  <c r="G141" i="17"/>
  <c r="J141" i="17"/>
  <c r="L141" i="17" s="1"/>
  <c r="F141" i="17"/>
  <c r="I138" i="17"/>
  <c r="K138" i="17" s="1"/>
  <c r="F138" i="17"/>
  <c r="G138" i="17"/>
  <c r="I131" i="17"/>
  <c r="F131" i="17"/>
  <c r="G131" i="17"/>
  <c r="F185" i="17"/>
  <c r="L185" i="17" s="1"/>
  <c r="G153" i="17"/>
  <c r="J153" i="17"/>
  <c r="L153" i="17" s="1"/>
  <c r="I150" i="17"/>
  <c r="K150" i="17" s="1"/>
  <c r="F150" i="17"/>
  <c r="G145" i="17"/>
  <c r="J145" i="17"/>
  <c r="L145" i="17" s="1"/>
  <c r="I142" i="17"/>
  <c r="K142" i="17" s="1"/>
  <c r="F142" i="17"/>
  <c r="G137" i="17"/>
  <c r="J137" i="17"/>
  <c r="L137" i="17" s="1"/>
  <c r="I134" i="17"/>
  <c r="F134" i="17"/>
  <c r="G130" i="17"/>
  <c r="J130" i="17"/>
  <c r="F128" i="17"/>
  <c r="G128" i="17"/>
  <c r="I128" i="17"/>
  <c r="K128" i="17" s="1"/>
  <c r="I97" i="17"/>
  <c r="K97" i="17" s="1"/>
  <c r="G97" i="17"/>
  <c r="J97" i="17"/>
  <c r="L97" i="17" s="1"/>
  <c r="G96" i="17"/>
  <c r="I96" i="17"/>
  <c r="K96" i="17" s="1"/>
  <c r="J96" i="17"/>
  <c r="L96" i="17" s="1"/>
  <c r="F189" i="17"/>
  <c r="L189" i="17" s="1"/>
  <c r="F188" i="17"/>
  <c r="J181" i="17"/>
  <c r="L181" i="17" s="1"/>
  <c r="F179" i="17"/>
  <c r="F168" i="17"/>
  <c r="J165" i="17"/>
  <c r="L165" i="17" s="1"/>
  <c r="F163" i="17"/>
  <c r="F153" i="17"/>
  <c r="J151" i="17"/>
  <c r="L151" i="17" s="1"/>
  <c r="G151" i="17"/>
  <c r="G150" i="17"/>
  <c r="F148" i="17"/>
  <c r="I148" i="17"/>
  <c r="K148" i="17" s="1"/>
  <c r="F145" i="17"/>
  <c r="J143" i="17"/>
  <c r="L143" i="17" s="1"/>
  <c r="G143" i="17"/>
  <c r="G142" i="17"/>
  <c r="F140" i="17"/>
  <c r="I140" i="17"/>
  <c r="K140" i="17" s="1"/>
  <c r="F137" i="17"/>
  <c r="J135" i="17"/>
  <c r="L135" i="17" s="1"/>
  <c r="G135" i="17"/>
  <c r="G134" i="17"/>
  <c r="F132" i="17"/>
  <c r="I132" i="17"/>
  <c r="K132" i="17" s="1"/>
  <c r="F130" i="17"/>
  <c r="J128" i="17"/>
  <c r="L128" i="17" s="1"/>
  <c r="G119" i="17"/>
  <c r="I119" i="17"/>
  <c r="K119" i="17" s="1"/>
  <c r="J119" i="17"/>
  <c r="L119" i="17" s="1"/>
  <c r="I103" i="17"/>
  <c r="J103" i="17"/>
  <c r="F103" i="17"/>
  <c r="F96" i="17"/>
  <c r="G92" i="17"/>
  <c r="F92" i="17"/>
  <c r="I92" i="17"/>
  <c r="K92" i="17" s="1"/>
  <c r="J92" i="17"/>
  <c r="L92" i="17" s="1"/>
  <c r="F91" i="17"/>
  <c r="I91" i="17"/>
  <c r="K91" i="17" s="1"/>
  <c r="J91" i="17"/>
  <c r="L91" i="17" s="1"/>
  <c r="J90" i="17"/>
  <c r="L90" i="17" s="1"/>
  <c r="I90" i="17"/>
  <c r="K90" i="17" s="1"/>
  <c r="F90" i="17"/>
  <c r="I89" i="17"/>
  <c r="K89" i="17" s="1"/>
  <c r="F89" i="17"/>
  <c r="G89" i="17"/>
  <c r="J179" i="17"/>
  <c r="L179" i="17" s="1"/>
  <c r="I174" i="17"/>
  <c r="K174" i="17" s="1"/>
  <c r="I169" i="17"/>
  <c r="K169" i="17" s="1"/>
  <c r="I168" i="17"/>
  <c r="K168" i="17" s="1"/>
  <c r="J163" i="17"/>
  <c r="I159" i="17"/>
  <c r="K159" i="17" s="1"/>
  <c r="J155" i="17"/>
  <c r="L155" i="17" s="1"/>
  <c r="G155" i="17"/>
  <c r="F152" i="17"/>
  <c r="I152" i="17"/>
  <c r="K152" i="17" s="1"/>
  <c r="J147" i="17"/>
  <c r="L147" i="17" s="1"/>
  <c r="G147" i="17"/>
  <c r="F144" i="17"/>
  <c r="I144" i="17"/>
  <c r="K144" i="17" s="1"/>
  <c r="J139" i="17"/>
  <c r="L139" i="17" s="1"/>
  <c r="G139" i="17"/>
  <c r="F136" i="17"/>
  <c r="I136" i="17"/>
  <c r="K136" i="17" s="1"/>
  <c r="I127" i="17"/>
  <c r="K127" i="17" s="1"/>
  <c r="J127" i="17"/>
  <c r="L127" i="17" s="1"/>
  <c r="F127" i="17"/>
  <c r="G121" i="17"/>
  <c r="F121" i="17"/>
  <c r="I121" i="17"/>
  <c r="K121" i="17" s="1"/>
  <c r="J121" i="17"/>
  <c r="L121" i="17" s="1"/>
  <c r="G117" i="17"/>
  <c r="J117" i="17"/>
  <c r="L117" i="17" s="1"/>
  <c r="F117" i="17"/>
  <c r="G109" i="17"/>
  <c r="F109" i="17"/>
  <c r="I109" i="17"/>
  <c r="K109" i="17" s="1"/>
  <c r="J109" i="17"/>
  <c r="L109" i="17" s="1"/>
  <c r="F108" i="17"/>
  <c r="I108" i="17"/>
  <c r="K108" i="17" s="1"/>
  <c r="J108" i="17"/>
  <c r="L108" i="17" s="1"/>
  <c r="J107" i="17"/>
  <c r="L107" i="17" s="1"/>
  <c r="I107" i="17"/>
  <c r="K107" i="17" s="1"/>
  <c r="F107" i="17"/>
  <c r="I106" i="17"/>
  <c r="F106" i="17"/>
  <c r="G106" i="17"/>
  <c r="I85" i="17"/>
  <c r="K85" i="17" s="1"/>
  <c r="J85" i="17"/>
  <c r="L85" i="17" s="1"/>
  <c r="F85" i="17"/>
  <c r="G82" i="17"/>
  <c r="I82" i="17"/>
  <c r="K82" i="17" s="1"/>
  <c r="J82" i="17"/>
  <c r="L82" i="17" s="1"/>
  <c r="I123" i="17"/>
  <c r="K123" i="17" s="1"/>
  <c r="I122" i="17"/>
  <c r="K122" i="17" s="1"/>
  <c r="I116" i="17"/>
  <c r="K116" i="17" s="1"/>
  <c r="I115" i="17"/>
  <c r="K115" i="17" s="1"/>
  <c r="J110" i="17"/>
  <c r="L110" i="17" s="1"/>
  <c r="I105" i="17"/>
  <c r="I99" i="17"/>
  <c r="K99" i="17" s="1"/>
  <c r="I98" i="17"/>
  <c r="K98" i="17" s="1"/>
  <c r="J93" i="17"/>
  <c r="L93" i="17" s="1"/>
  <c r="I88" i="17"/>
  <c r="K88" i="17" s="1"/>
  <c r="J87" i="17"/>
  <c r="L87" i="17" s="1"/>
  <c r="J81" i="17"/>
  <c r="J80" i="17"/>
  <c r="G78" i="17"/>
  <c r="F78" i="17"/>
  <c r="I78" i="17"/>
  <c r="G75" i="17"/>
  <c r="J75" i="17"/>
  <c r="F75" i="17"/>
  <c r="I69" i="17"/>
  <c r="K69" i="17" s="1"/>
  <c r="J69" i="17"/>
  <c r="L69" i="17" s="1"/>
  <c r="F69" i="17"/>
  <c r="G69" i="17"/>
  <c r="G60" i="17"/>
  <c r="I60" i="17"/>
  <c r="F60" i="17"/>
  <c r="J60" i="17"/>
  <c r="I83" i="17"/>
  <c r="K83" i="17" s="1"/>
  <c r="G83" i="17"/>
  <c r="J83" i="17"/>
  <c r="L83" i="17" s="1"/>
  <c r="F77" i="17"/>
  <c r="I77" i="17"/>
  <c r="J77" i="17"/>
  <c r="I74" i="17"/>
  <c r="G74" i="17"/>
  <c r="J74" i="17"/>
  <c r="L74" i="17" s="1"/>
  <c r="G72" i="17"/>
  <c r="J72" i="17"/>
  <c r="L72" i="17" s="1"/>
  <c r="F72" i="17"/>
  <c r="G68" i="17"/>
  <c r="I68" i="17"/>
  <c r="K68" i="17" s="1"/>
  <c r="J68" i="17"/>
  <c r="L68" i="17" s="1"/>
  <c r="G64" i="17"/>
  <c r="I64" i="17"/>
  <c r="K64" i="17" s="1"/>
  <c r="F64" i="17"/>
  <c r="F63" i="17"/>
  <c r="G63" i="17"/>
  <c r="K63" i="17" s="1"/>
  <c r="J63" i="17"/>
  <c r="F122" i="17"/>
  <c r="F115" i="17"/>
  <c r="F110" i="17"/>
  <c r="F98" i="17"/>
  <c r="F93" i="17"/>
  <c r="I79" i="17"/>
  <c r="G79" i="17"/>
  <c r="G77" i="17"/>
  <c r="I71" i="17"/>
  <c r="K71" i="17" s="1"/>
  <c r="I65" i="17"/>
  <c r="K65" i="17" s="1"/>
  <c r="J65" i="17"/>
  <c r="L65" i="17" s="1"/>
  <c r="F59" i="17"/>
  <c r="G59" i="17"/>
  <c r="K59" i="17" s="1"/>
  <c r="G35" i="17"/>
  <c r="I35" i="17"/>
  <c r="F35" i="17"/>
  <c r="J35" i="17"/>
  <c r="I61" i="17"/>
  <c r="J61" i="17"/>
  <c r="G55" i="17"/>
  <c r="I55" i="17"/>
  <c r="K55" i="17" s="1"/>
  <c r="J55" i="17"/>
  <c r="L55" i="17" s="1"/>
  <c r="F31" i="17"/>
  <c r="G31" i="17"/>
  <c r="J31" i="17"/>
  <c r="L31" i="17" s="1"/>
  <c r="I31" i="17"/>
  <c r="K31" i="17" s="1"/>
  <c r="F67" i="17"/>
  <c r="G67" i="17"/>
  <c r="I44" i="17"/>
  <c r="K44" i="17" s="1"/>
  <c r="J44" i="17"/>
  <c r="L44" i="17" s="1"/>
  <c r="F44" i="17"/>
  <c r="G44" i="17"/>
  <c r="G43" i="17"/>
  <c r="I43" i="17"/>
  <c r="K43" i="17" s="1"/>
  <c r="J43" i="17"/>
  <c r="L43" i="17" s="1"/>
  <c r="F43" i="17"/>
  <c r="F54" i="17"/>
  <c r="G54" i="17"/>
  <c r="G39" i="17"/>
  <c r="I39" i="17"/>
  <c r="I21" i="17"/>
  <c r="K21" i="17" s="1"/>
  <c r="J21" i="17"/>
  <c r="L21" i="17" s="1"/>
  <c r="F21" i="17"/>
  <c r="G21" i="17"/>
  <c r="G20" i="17"/>
  <c r="I20" i="17"/>
  <c r="K20" i="17" s="1"/>
  <c r="J20" i="17"/>
  <c r="L20" i="17" s="1"/>
  <c r="F20" i="17"/>
  <c r="I17" i="17"/>
  <c r="K17" i="17" s="1"/>
  <c r="J17" i="17"/>
  <c r="L17" i="17" s="1"/>
  <c r="F17" i="17"/>
  <c r="G17" i="17"/>
  <c r="F15" i="17"/>
  <c r="G15" i="17"/>
  <c r="J15" i="17"/>
  <c r="I52" i="17"/>
  <c r="K52" i="17" s="1"/>
  <c r="J52" i="17"/>
  <c r="L52" i="17" s="1"/>
  <c r="G51" i="17"/>
  <c r="I51" i="17"/>
  <c r="K51" i="17" s="1"/>
  <c r="G47" i="17"/>
  <c r="I47" i="17"/>
  <c r="K47" i="17" s="1"/>
  <c r="F47" i="17"/>
  <c r="J47" i="17"/>
  <c r="L47" i="17" s="1"/>
  <c r="I40" i="17"/>
  <c r="K40" i="17" s="1"/>
  <c r="J40" i="17"/>
  <c r="L40" i="17" s="1"/>
  <c r="F40" i="17"/>
  <c r="G40" i="17"/>
  <c r="F38" i="17"/>
  <c r="G38" i="17"/>
  <c r="K38" i="17" s="1"/>
  <c r="J38" i="17"/>
  <c r="G24" i="17"/>
  <c r="I24" i="17"/>
  <c r="K24" i="17" s="1"/>
  <c r="F24" i="17"/>
  <c r="J24" i="17"/>
  <c r="L24" i="17" s="1"/>
  <c r="J54" i="17"/>
  <c r="L54" i="17" s="1"/>
  <c r="G52" i="17"/>
  <c r="G28" i="17"/>
  <c r="I28" i="17"/>
  <c r="K28" i="17" s="1"/>
  <c r="F28" i="17"/>
  <c r="F27" i="17"/>
  <c r="G27" i="17"/>
  <c r="I27" i="17"/>
  <c r="K27" i="17" s="1"/>
  <c r="F12" i="17"/>
  <c r="G12" i="17"/>
  <c r="K12" i="17" s="1"/>
  <c r="F46" i="17"/>
  <c r="G46" i="17"/>
  <c r="I36" i="17"/>
  <c r="J36" i="17"/>
  <c r="L36" i="17" s="1"/>
  <c r="G16" i="17"/>
  <c r="I16" i="17"/>
  <c r="K16" i="17" s="1"/>
  <c r="F49" i="17"/>
  <c r="F42" i="17"/>
  <c r="G42" i="17"/>
  <c r="F34" i="17"/>
  <c r="G34" i="17"/>
  <c r="I29" i="17"/>
  <c r="K29" i="17" s="1"/>
  <c r="J29" i="17"/>
  <c r="L29" i="17" s="1"/>
  <c r="F23" i="17"/>
  <c r="G23" i="17"/>
  <c r="I13" i="17"/>
  <c r="J13" i="17"/>
  <c r="L13" i="17" s="1"/>
  <c r="I25" i="17"/>
  <c r="K25" i="17" s="1"/>
  <c r="J25" i="17"/>
  <c r="L25" i="17" s="1"/>
  <c r="F19" i="17"/>
  <c r="G19" i="17"/>
  <c r="K39" i="17" l="1"/>
  <c r="L38" i="17"/>
  <c r="K189" i="17"/>
  <c r="L81" i="17"/>
  <c r="K81" i="17"/>
  <c r="L80" i="17"/>
  <c r="K80" i="17"/>
  <c r="K163" i="17"/>
  <c r="L163" i="17"/>
  <c r="L162" i="17"/>
  <c r="K106" i="17"/>
  <c r="K79" i="17"/>
  <c r="L106" i="17"/>
  <c r="K162" i="17"/>
  <c r="L79" i="17"/>
  <c r="K134" i="17"/>
  <c r="L134" i="17"/>
  <c r="K37" i="17"/>
  <c r="L37" i="17"/>
  <c r="L188" i="17"/>
  <c r="L161" i="17"/>
  <c r="K161" i="17"/>
  <c r="K187" i="17"/>
  <c r="L187" i="17"/>
  <c r="K36" i="17"/>
  <c r="H183" i="17"/>
  <c r="L63" i="17"/>
  <c r="K75" i="17"/>
  <c r="K61" i="17"/>
  <c r="L62" i="17"/>
  <c r="L61" i="17"/>
  <c r="K62" i="17"/>
  <c r="L186" i="17"/>
  <c r="L131" i="17"/>
  <c r="K76" i="17"/>
  <c r="K185" i="17"/>
  <c r="K184" i="17"/>
  <c r="L159" i="17"/>
  <c r="L76" i="17"/>
  <c r="L34" i="17"/>
  <c r="H211" i="17"/>
  <c r="C211" i="17"/>
  <c r="K77" i="17"/>
  <c r="L58" i="17"/>
  <c r="K104" i="17"/>
  <c r="L78" i="17"/>
  <c r="K78" i="17"/>
  <c r="L77" i="17"/>
  <c r="L11" i="17"/>
  <c r="K74" i="17"/>
  <c r="L75" i="17"/>
  <c r="K35" i="17"/>
  <c r="K60" i="17"/>
  <c r="L132" i="17"/>
  <c r="K130" i="17"/>
  <c r="K133" i="17"/>
  <c r="L15" i="17"/>
  <c r="L184" i="17"/>
  <c r="L160" i="17"/>
  <c r="K158" i="17"/>
  <c r="L130" i="17"/>
  <c r="K131" i="17"/>
  <c r="L133" i="17"/>
  <c r="L103" i="17"/>
  <c r="L105" i="17"/>
  <c r="K105" i="17"/>
  <c r="L104" i="17"/>
  <c r="K103" i="17"/>
  <c r="L57" i="17"/>
  <c r="K57" i="17"/>
  <c r="L60" i="17"/>
  <c r="L59" i="17"/>
  <c r="K34" i="17"/>
  <c r="L35" i="17"/>
  <c r="K33" i="17"/>
  <c r="K11" i="17"/>
  <c r="K15" i="17"/>
  <c r="K14" i="17"/>
  <c r="L12" i="17"/>
  <c r="K13" i="17"/>
  <c r="L14" i="17"/>
  <c r="H73" i="17"/>
  <c r="H101" i="17" s="1"/>
  <c r="F73" i="17"/>
  <c r="C73" i="17"/>
  <c r="C101" i="17" s="1"/>
  <c r="F210" i="17"/>
  <c r="J210" i="17"/>
  <c r="I210" i="17"/>
  <c r="G210" i="17"/>
  <c r="F56" i="17"/>
  <c r="G32" i="17"/>
  <c r="J56" i="17"/>
  <c r="I73" i="17"/>
  <c r="I100" i="17"/>
  <c r="F156" i="17"/>
  <c r="I129" i="17"/>
  <c r="J129" i="17"/>
  <c r="F100" i="17"/>
  <c r="J156" i="17"/>
  <c r="J182" i="17"/>
  <c r="G156" i="17"/>
  <c r="F182" i="17"/>
  <c r="F32" i="17"/>
  <c r="I32" i="17"/>
  <c r="G129" i="17"/>
  <c r="J100" i="17"/>
  <c r="G56" i="17"/>
  <c r="J32" i="17"/>
  <c r="J73" i="17"/>
  <c r="I56" i="17"/>
  <c r="G100" i="17"/>
  <c r="I156" i="17"/>
  <c r="I182" i="17"/>
  <c r="F129" i="17"/>
  <c r="G182" i="17"/>
  <c r="C219" i="17" l="1"/>
  <c r="G211" i="17"/>
  <c r="I211" i="17"/>
  <c r="J211" i="17"/>
  <c r="G73" i="17"/>
  <c r="G101" i="17" s="1"/>
  <c r="K210" i="17"/>
  <c r="F101" i="17"/>
  <c r="L210" i="17"/>
  <c r="J101" i="17"/>
  <c r="I101" i="17"/>
  <c r="L156" i="17"/>
  <c r="F211" i="17"/>
  <c r="K156" i="17"/>
  <c r="K32" i="17"/>
  <c r="K182" i="17"/>
  <c r="K129" i="17"/>
  <c r="K56" i="17"/>
  <c r="L73" i="17"/>
  <c r="L32" i="17"/>
  <c r="L129" i="17"/>
  <c r="K100" i="17"/>
  <c r="L56" i="17"/>
  <c r="L100" i="17"/>
  <c r="L182" i="17"/>
  <c r="D81" i="33" a="1"/>
  <c r="D81" i="33" s="1"/>
  <c r="D82" i="33" a="1"/>
  <c r="D82" i="33" s="1"/>
  <c r="K65" i="33"/>
  <c r="F67" i="33"/>
  <c r="I68" i="33"/>
  <c r="K72" i="33"/>
  <c r="F76" i="33"/>
  <c r="F77" i="33"/>
  <c r="F78" i="33"/>
  <c r="F79" i="33"/>
  <c r="F80" i="33"/>
  <c r="F82" i="33"/>
  <c r="K211" i="17" l="1"/>
  <c r="L211" i="17"/>
  <c r="I219" i="17"/>
  <c r="G219" i="17"/>
  <c r="J219" i="17"/>
  <c r="F219" i="17"/>
  <c r="K73" i="17"/>
  <c r="F74" i="33"/>
  <c r="J74" i="33" s="1"/>
  <c r="K64" i="33"/>
  <c r="C83" i="33"/>
  <c r="K101" i="17"/>
  <c r="L101" i="17"/>
  <c r="F70" i="33"/>
  <c r="H70" i="33" s="1"/>
  <c r="I70" i="33"/>
  <c r="K70" i="33"/>
  <c r="G70" i="33"/>
  <c r="I69" i="33"/>
  <c r="K69" i="33"/>
  <c r="G69" i="33"/>
  <c r="F69" i="33"/>
  <c r="H69" i="33" s="1"/>
  <c r="K67" i="33"/>
  <c r="G67" i="33"/>
  <c r="H67" i="33"/>
  <c r="I67" i="33"/>
  <c r="K66" i="33"/>
  <c r="G66" i="33"/>
  <c r="F66" i="33"/>
  <c r="H66" i="33" s="1"/>
  <c r="I66" i="33"/>
  <c r="G71" i="33"/>
  <c r="K71" i="33"/>
  <c r="F68" i="33"/>
  <c r="J68" i="33" s="1"/>
  <c r="I64" i="33"/>
  <c r="G68" i="33"/>
  <c r="L68" i="33" s="1"/>
  <c r="I72" i="33"/>
  <c r="I65" i="33"/>
  <c r="K68" i="33"/>
  <c r="F64" i="33"/>
  <c r="J64" i="33" s="1"/>
  <c r="I71" i="33"/>
  <c r="F72" i="33"/>
  <c r="H72" i="33" s="1"/>
  <c r="F65" i="33"/>
  <c r="J65" i="33" s="1"/>
  <c r="F71" i="33"/>
  <c r="J71" i="33" s="1"/>
  <c r="G64" i="33"/>
  <c r="G72" i="33"/>
  <c r="G65" i="33"/>
  <c r="J78" i="33"/>
  <c r="I80" i="33"/>
  <c r="I79" i="33"/>
  <c r="F73" i="33"/>
  <c r="H73" i="33" s="1"/>
  <c r="K73" i="33"/>
  <c r="I73" i="33"/>
  <c r="G73" i="33"/>
  <c r="K76" i="33"/>
  <c r="J79" i="33"/>
  <c r="H79" i="33"/>
  <c r="G76" i="33"/>
  <c r="I75" i="33"/>
  <c r="F75" i="33"/>
  <c r="H75" i="33" s="1"/>
  <c r="K75" i="33"/>
  <c r="G75" i="33"/>
  <c r="F81" i="33"/>
  <c r="J81" i="33"/>
  <c r="K81" i="33"/>
  <c r="G81" i="33"/>
  <c r="H81" i="33"/>
  <c r="I81" i="33"/>
  <c r="J77" i="33"/>
  <c r="G82" i="33"/>
  <c r="G74" i="33"/>
  <c r="H80" i="33"/>
  <c r="I78" i="33"/>
  <c r="J76" i="33"/>
  <c r="K82" i="33"/>
  <c r="K74" i="33"/>
  <c r="G77" i="33"/>
  <c r="K77" i="33"/>
  <c r="H82" i="33"/>
  <c r="I77" i="33"/>
  <c r="G80" i="33"/>
  <c r="H78" i="33"/>
  <c r="I76" i="33"/>
  <c r="J82" i="33"/>
  <c r="K80" i="33"/>
  <c r="G79" i="33"/>
  <c r="H77" i="33"/>
  <c r="K79" i="33"/>
  <c r="G78" i="33"/>
  <c r="H76" i="33"/>
  <c r="I82" i="33"/>
  <c r="I74" i="33"/>
  <c r="J80" i="33"/>
  <c r="K78" i="33"/>
  <c r="D224" i="17" l="1"/>
  <c r="D223" i="17"/>
  <c r="C223" i="17"/>
  <c r="C224" i="17"/>
  <c r="E157" i="17"/>
  <c r="E160" i="17"/>
  <c r="E159" i="17"/>
  <c r="F221" i="17"/>
  <c r="L70" i="33"/>
  <c r="L65" i="33"/>
  <c r="L66" i="33"/>
  <c r="L73" i="33"/>
  <c r="L72" i="33"/>
  <c r="L71" i="33"/>
  <c r="L69" i="33"/>
  <c r="L64" i="33"/>
  <c r="L67" i="33"/>
  <c r="L82" i="33"/>
  <c r="L75" i="33"/>
  <c r="L74" i="33"/>
  <c r="L77" i="33"/>
  <c r="L81" i="33"/>
  <c r="L79" i="33"/>
  <c r="L76" i="33"/>
  <c r="L78" i="33"/>
  <c r="L80" i="33"/>
  <c r="J75" i="33"/>
  <c r="J73" i="33"/>
  <c r="H74" i="33"/>
  <c r="H71" i="33"/>
  <c r="J69" i="33"/>
  <c r="H68" i="33"/>
  <c r="J70" i="33"/>
  <c r="J72" i="33"/>
  <c r="J67" i="33"/>
  <c r="H65" i="33"/>
  <c r="H64" i="33"/>
  <c r="J66" i="33"/>
  <c r="I83" i="33"/>
  <c r="K83" i="33"/>
  <c r="G83" i="33"/>
  <c r="F83" i="33"/>
  <c r="F3" i="33"/>
  <c r="J83" i="33" l="1"/>
  <c r="H83" i="33"/>
  <c r="I5" i="28"/>
  <c r="B8" i="7" l="1"/>
  <c r="B7" i="7"/>
  <c r="D146" i="33" l="1" a="1"/>
  <c r="D146" i="33" s="1"/>
  <c r="D147" i="33" a="1"/>
  <c r="D147" i="33" s="1"/>
  <c r="D148" i="33" a="1"/>
  <c r="D148" i="33" s="1"/>
  <c r="D149" i="33" a="1"/>
  <c r="D149" i="33" s="1"/>
  <c r="D150" i="33" a="1"/>
  <c r="D150" i="33" s="1"/>
  <c r="D151" i="33" a="1"/>
  <c r="D151" i="33" s="1"/>
  <c r="D152" i="33" a="1"/>
  <c r="D152" i="33" s="1"/>
  <c r="D153" i="33" a="1"/>
  <c r="D153" i="33" s="1"/>
  <c r="D154" i="33" a="1"/>
  <c r="D154" i="33" s="1"/>
  <c r="D155" i="33" a="1"/>
  <c r="D155" i="33" s="1"/>
  <c r="D156" i="33" a="1"/>
  <c r="D156" i="33" s="1"/>
  <c r="D157" i="33" a="1"/>
  <c r="D157" i="33" s="1"/>
  <c r="D158" i="33" a="1"/>
  <c r="D158" i="33" s="1"/>
  <c r="D159" i="33" a="1"/>
  <c r="D159" i="33" s="1"/>
  <c r="D160" i="33" a="1"/>
  <c r="D160" i="33" s="1"/>
  <c r="D161" i="33" a="1"/>
  <c r="D161" i="33" s="1"/>
  <c r="D164" i="33" a="1"/>
  <c r="D164" i="33" s="1"/>
  <c r="D165" i="33" a="1"/>
  <c r="D165" i="33" s="1"/>
  <c r="D166" i="33" a="1"/>
  <c r="D166" i="33" s="1"/>
  <c r="D167" i="33" a="1"/>
  <c r="D167" i="33" s="1"/>
  <c r="D145" i="33" a="1"/>
  <c r="D145" i="33" s="1"/>
  <c r="D144" i="33" a="1"/>
  <c r="D144" i="33" s="1"/>
  <c r="D110" i="33" a="1"/>
  <c r="D110" i="33" s="1"/>
  <c r="D133" i="33" a="1"/>
  <c r="D133" i="33" s="1"/>
  <c r="D126" i="33" a="1"/>
  <c r="D126" i="33" s="1"/>
  <c r="D127" i="33" a="1"/>
  <c r="D127" i="33" s="1"/>
  <c r="D128" i="33" a="1"/>
  <c r="D128" i="33" s="1"/>
  <c r="D129" i="33" a="1"/>
  <c r="D129" i="33" s="1"/>
  <c r="D130" i="33" a="1"/>
  <c r="D130" i="33" s="1"/>
  <c r="D131" i="33" a="1"/>
  <c r="D131" i="33" s="1"/>
  <c r="D132" i="33" a="1"/>
  <c r="D132" i="33" s="1"/>
  <c r="D134" i="33" a="1"/>
  <c r="D134" i="33" s="1"/>
  <c r="D135" i="33" a="1"/>
  <c r="D135" i="33" s="1"/>
  <c r="D136" i="33" a="1"/>
  <c r="D136" i="33" s="1"/>
  <c r="D137" i="33" a="1"/>
  <c r="D137" i="33" s="1"/>
  <c r="D138" i="33" a="1"/>
  <c r="D138" i="33" s="1"/>
  <c r="D139" i="33" a="1"/>
  <c r="D139" i="33" s="1"/>
  <c r="D140" i="33" a="1"/>
  <c r="D140" i="33" s="1"/>
  <c r="D141" i="33" a="1"/>
  <c r="D141" i="33" s="1"/>
  <c r="D142" i="33" a="1"/>
  <c r="D142" i="33" s="1"/>
  <c r="D125" i="33" a="1"/>
  <c r="D125" i="33" s="1"/>
  <c r="D124" i="33" a="1"/>
  <c r="D124" i="33" s="1"/>
  <c r="D104" i="33" a="1"/>
  <c r="D104" i="33" s="1"/>
  <c r="D105" i="33" a="1"/>
  <c r="D105" i="33" s="1"/>
  <c r="D106" i="33" a="1"/>
  <c r="D106" i="33" s="1"/>
  <c r="D107" i="33" a="1"/>
  <c r="D107" i="33" s="1"/>
  <c r="D108" i="33" a="1"/>
  <c r="D108" i="33" s="1"/>
  <c r="D109" i="33" a="1"/>
  <c r="D109" i="33" s="1"/>
  <c r="D111" i="33" a="1"/>
  <c r="D111" i="33" s="1"/>
  <c r="D112" i="33" a="1"/>
  <c r="D112" i="33" s="1"/>
  <c r="D113" i="33" a="1"/>
  <c r="D113" i="33" s="1"/>
  <c r="D114" i="33" a="1"/>
  <c r="D114" i="33" s="1"/>
  <c r="D115" i="33" a="1"/>
  <c r="D115" i="33" s="1"/>
  <c r="D116" i="33" a="1"/>
  <c r="D116" i="33" s="1"/>
  <c r="D117" i="33" a="1"/>
  <c r="D117" i="33" s="1"/>
  <c r="D118" i="33" a="1"/>
  <c r="D118" i="33" s="1"/>
  <c r="D119" i="33" a="1"/>
  <c r="D119" i="33" s="1"/>
  <c r="D120" i="33" a="1"/>
  <c r="D120" i="33" s="1"/>
  <c r="D121" i="33" a="1"/>
  <c r="D121" i="33" s="1"/>
  <c r="D122" i="33" a="1"/>
  <c r="D122" i="33" s="1"/>
  <c r="D86" i="33" a="1"/>
  <c r="D86" i="33" s="1"/>
  <c r="D87" i="33" a="1"/>
  <c r="D87" i="33" s="1"/>
  <c r="D88" i="33" a="1"/>
  <c r="D88" i="33" s="1"/>
  <c r="D89" i="33" a="1"/>
  <c r="D89" i="33" s="1"/>
  <c r="D90" i="33" a="1"/>
  <c r="D90" i="33" s="1"/>
  <c r="D91" i="33" a="1"/>
  <c r="D91" i="33" s="1"/>
  <c r="D92" i="33" a="1"/>
  <c r="D92" i="33" s="1"/>
  <c r="D93" i="33" a="1"/>
  <c r="D93" i="33" s="1"/>
  <c r="D94" i="33" a="1"/>
  <c r="D94" i="33" s="1"/>
  <c r="D95" i="33" a="1"/>
  <c r="D95" i="33" s="1"/>
  <c r="D96" i="33" a="1"/>
  <c r="D96" i="33" s="1"/>
  <c r="D97" i="33" a="1"/>
  <c r="D97" i="33" s="1"/>
  <c r="D98" i="33" a="1"/>
  <c r="D98" i="33" s="1"/>
  <c r="D99" i="33" a="1"/>
  <c r="D99" i="33" s="1"/>
  <c r="D100" i="33" a="1"/>
  <c r="D100" i="33" s="1"/>
  <c r="D101" i="33" a="1"/>
  <c r="D101" i="33" s="1"/>
  <c r="D102" i="33" a="1"/>
  <c r="D102" i="33" s="1"/>
  <c r="D47" i="33" a="1"/>
  <c r="D47" i="33" s="1"/>
  <c r="D48" i="33" a="1"/>
  <c r="D48" i="33" s="1"/>
  <c r="D49" i="33" a="1"/>
  <c r="D49" i="33" s="1"/>
  <c r="D53" i="33" a="1"/>
  <c r="D53" i="33" s="1"/>
  <c r="D54" i="33" a="1"/>
  <c r="D54" i="33" s="1"/>
  <c r="D55" i="33" a="1"/>
  <c r="D55" i="33" s="1"/>
  <c r="D56" i="33" a="1"/>
  <c r="D56" i="33" s="1"/>
  <c r="D57" i="33" a="1"/>
  <c r="D57" i="33" s="1"/>
  <c r="D58" i="33" a="1"/>
  <c r="D58" i="33" s="1"/>
  <c r="D59" i="33" a="1"/>
  <c r="D59" i="33" s="1"/>
  <c r="D60" i="33" a="1"/>
  <c r="D60" i="33" s="1"/>
  <c r="D61" i="33" a="1"/>
  <c r="D61" i="33" s="1"/>
  <c r="D62" i="33" a="1"/>
  <c r="D62" i="33" s="1"/>
  <c r="D46" i="33" a="1"/>
  <c r="D46" i="33" s="1"/>
  <c r="D28" i="33" a="1"/>
  <c r="D28" i="33" s="1"/>
  <c r="D29" i="33" a="1"/>
  <c r="D29" i="33" s="1"/>
  <c r="D32" i="33" a="1"/>
  <c r="D32" i="33" s="1"/>
  <c r="D33" i="33" a="1"/>
  <c r="D33" i="33" s="1"/>
  <c r="D34" i="33" a="1"/>
  <c r="D34" i="33" s="1"/>
  <c r="D35" i="33" a="1"/>
  <c r="D35" i="33" s="1"/>
  <c r="D36" i="33" a="1"/>
  <c r="D36" i="33" s="1"/>
  <c r="D37" i="33" a="1"/>
  <c r="D37" i="33" s="1"/>
  <c r="D38" i="33" a="1"/>
  <c r="D38" i="33" s="1"/>
  <c r="D39" i="33" a="1"/>
  <c r="D39" i="33" s="1"/>
  <c r="D40" i="33" a="1"/>
  <c r="D40" i="33" s="1"/>
  <c r="D41" i="33" a="1"/>
  <c r="D41" i="33" s="1"/>
  <c r="D42" i="33" a="1"/>
  <c r="D42" i="33" s="1"/>
  <c r="D43" i="33" a="1"/>
  <c r="D43" i="33" s="1"/>
  <c r="D44" i="33" a="1"/>
  <c r="D44" i="33" s="1"/>
  <c r="D12" i="33" a="1"/>
  <c r="D12" i="33" s="1"/>
  <c r="D13" i="33" a="1"/>
  <c r="D13" i="33" s="1"/>
  <c r="D14" i="33" a="1"/>
  <c r="D14" i="33" s="1"/>
  <c r="D15" i="33" a="1"/>
  <c r="D15" i="33" s="1"/>
  <c r="D16" i="33" a="1"/>
  <c r="D16" i="33" s="1"/>
  <c r="D17" i="33" a="1"/>
  <c r="D17" i="33" s="1"/>
  <c r="D18" i="33" a="1"/>
  <c r="D18" i="33" s="1"/>
  <c r="D19" i="33" a="1"/>
  <c r="D19" i="33" s="1"/>
  <c r="D20" i="33" a="1"/>
  <c r="D20" i="33" s="1"/>
  <c r="D21" i="33" a="1"/>
  <c r="D21" i="33" s="1"/>
  <c r="D22" i="33" a="1"/>
  <c r="D22" i="33" s="1"/>
  <c r="D23" i="33" a="1"/>
  <c r="D23" i="33" s="1"/>
  <c r="D24" i="33" a="1"/>
  <c r="D24" i="33" s="1"/>
  <c r="D25" i="33" a="1"/>
  <c r="D25" i="33" s="1"/>
  <c r="D11" i="33" a="1"/>
  <c r="D11" i="33" s="1"/>
  <c r="G148" i="33"/>
  <c r="G150" i="33"/>
  <c r="F152" i="33"/>
  <c r="F153" i="33"/>
  <c r="G145" i="33"/>
  <c r="C144" i="33" a="1"/>
  <c r="C144" i="33" s="1"/>
  <c r="G144" i="33" s="1"/>
  <c r="F126" i="33"/>
  <c r="G132" i="33"/>
  <c r="C124" i="33" a="1"/>
  <c r="C124" i="33" s="1"/>
  <c r="C104" i="33" a="1"/>
  <c r="C104" i="33" s="1"/>
  <c r="C46" i="33" a="1"/>
  <c r="C46" i="33" s="1"/>
  <c r="I15" i="33"/>
  <c r="G18" i="33"/>
  <c r="G19" i="33"/>
  <c r="H20" i="33"/>
  <c r="F22" i="33"/>
  <c r="F23" i="33"/>
  <c r="F24" i="33"/>
  <c r="F25" i="33"/>
  <c r="C11" i="33" a="1"/>
  <c r="C11" i="33" s="1"/>
  <c r="I11" i="33" l="1"/>
  <c r="C26" i="33"/>
  <c r="G11" i="33"/>
  <c r="C162" i="33"/>
  <c r="C45" i="33"/>
  <c r="C63" i="33"/>
  <c r="F11" i="33"/>
  <c r="K17" i="33"/>
  <c r="I151" i="33"/>
  <c r="K151" i="33"/>
  <c r="F151" i="33"/>
  <c r="J151" i="33" s="1"/>
  <c r="G151" i="33"/>
  <c r="I149" i="33"/>
  <c r="K149" i="33"/>
  <c r="F149" i="33"/>
  <c r="J149" i="33" s="1"/>
  <c r="G149" i="33"/>
  <c r="K147" i="33"/>
  <c r="I147" i="33"/>
  <c r="G147" i="33"/>
  <c r="F147" i="33"/>
  <c r="H147" i="33" s="1"/>
  <c r="K146" i="33"/>
  <c r="I146" i="33"/>
  <c r="F144" i="33"/>
  <c r="J144" i="33" s="1"/>
  <c r="F145" i="33"/>
  <c r="J145" i="33" s="1"/>
  <c r="F146" i="33"/>
  <c r="H146" i="33" s="1"/>
  <c r="I150" i="33"/>
  <c r="L150" i="33" s="1"/>
  <c r="K150" i="33"/>
  <c r="K153" i="33"/>
  <c r="I153" i="33"/>
  <c r="J153" i="33"/>
  <c r="H153" i="33"/>
  <c r="K148" i="33"/>
  <c r="I148" i="33"/>
  <c r="L148" i="33" s="1"/>
  <c r="F150" i="33"/>
  <c r="J150" i="33" s="1"/>
  <c r="G146" i="33"/>
  <c r="K144" i="33"/>
  <c r="I144" i="33"/>
  <c r="L144" i="33" s="1"/>
  <c r="G153" i="33"/>
  <c r="K145" i="33"/>
  <c r="I145" i="33"/>
  <c r="L145" i="33" s="1"/>
  <c r="H152" i="33"/>
  <c r="J152" i="33"/>
  <c r="K152" i="33"/>
  <c r="I152" i="33"/>
  <c r="F148" i="33"/>
  <c r="H148" i="33" s="1"/>
  <c r="G152" i="33"/>
  <c r="I131" i="33"/>
  <c r="K131" i="33"/>
  <c r="G131" i="33"/>
  <c r="F131" i="33"/>
  <c r="J131" i="33" s="1"/>
  <c r="I129" i="33"/>
  <c r="K129" i="33"/>
  <c r="G129" i="33"/>
  <c r="F129" i="33"/>
  <c r="J129" i="33" s="1"/>
  <c r="K127" i="33"/>
  <c r="I127" i="33"/>
  <c r="G127" i="33"/>
  <c r="F127" i="33"/>
  <c r="H127" i="33" s="1"/>
  <c r="K133" i="33"/>
  <c r="I133" i="33"/>
  <c r="G133" i="33"/>
  <c r="F133" i="33"/>
  <c r="H133" i="33" s="1"/>
  <c r="I130" i="33"/>
  <c r="K130" i="33"/>
  <c r="F132" i="33"/>
  <c r="J132" i="33" s="1"/>
  <c r="K124" i="33"/>
  <c r="I124" i="33"/>
  <c r="I128" i="33"/>
  <c r="K128" i="33"/>
  <c r="F130" i="33"/>
  <c r="J130" i="33" s="1"/>
  <c r="G130" i="33"/>
  <c r="K125" i="33"/>
  <c r="I125" i="33"/>
  <c r="I132" i="33"/>
  <c r="L132" i="33" s="1"/>
  <c r="K132" i="33"/>
  <c r="H128" i="33"/>
  <c r="G128" i="33"/>
  <c r="K126" i="33"/>
  <c r="I126" i="33"/>
  <c r="F124" i="33"/>
  <c r="G124" i="33"/>
  <c r="F125" i="33"/>
  <c r="J125" i="33" s="1"/>
  <c r="J126" i="33"/>
  <c r="G125" i="33"/>
  <c r="G126" i="33"/>
  <c r="G113" i="33"/>
  <c r="K113" i="33"/>
  <c r="H113" i="33"/>
  <c r="J113" i="33"/>
  <c r="I113" i="33"/>
  <c r="G106" i="33"/>
  <c r="K106" i="33"/>
  <c r="I106" i="33"/>
  <c r="G112" i="33"/>
  <c r="H112" i="33"/>
  <c r="J112" i="33"/>
  <c r="I112" i="33"/>
  <c r="K112" i="33"/>
  <c r="G105" i="33"/>
  <c r="K105" i="33"/>
  <c r="I105" i="33"/>
  <c r="F111" i="33"/>
  <c r="J111" i="33" s="1"/>
  <c r="I111" i="33"/>
  <c r="K111" i="33"/>
  <c r="G104" i="33"/>
  <c r="K104" i="33"/>
  <c r="I104" i="33"/>
  <c r="F110" i="33"/>
  <c r="H110" i="33" s="1"/>
  <c r="I110" i="33"/>
  <c r="K110" i="33"/>
  <c r="G109" i="33"/>
  <c r="I109" i="33"/>
  <c r="K109" i="33"/>
  <c r="G108" i="33"/>
  <c r="K108" i="33"/>
  <c r="I108" i="33"/>
  <c r="G107" i="33"/>
  <c r="K107" i="33"/>
  <c r="I107" i="33"/>
  <c r="F87" i="33"/>
  <c r="J87" i="33" s="1"/>
  <c r="K87" i="33"/>
  <c r="I87" i="33"/>
  <c r="G94" i="33"/>
  <c r="K94" i="33"/>
  <c r="J94" i="33"/>
  <c r="H94" i="33"/>
  <c r="I94" i="33"/>
  <c r="G86" i="33"/>
  <c r="K86" i="33"/>
  <c r="I86" i="33"/>
  <c r="G93" i="33"/>
  <c r="H93" i="33"/>
  <c r="J93" i="33"/>
  <c r="I93" i="33"/>
  <c r="K93" i="33"/>
  <c r="G92" i="33"/>
  <c r="J92" i="33"/>
  <c r="K92" i="33"/>
  <c r="I92" i="33"/>
  <c r="H92" i="33"/>
  <c r="F91" i="33"/>
  <c r="I91" i="33"/>
  <c r="J91" i="33"/>
  <c r="H91" i="33"/>
  <c r="K91" i="33"/>
  <c r="F90" i="33"/>
  <c r="H90" i="33" s="1"/>
  <c r="I90" i="33"/>
  <c r="K90" i="33"/>
  <c r="F89" i="33"/>
  <c r="H89" i="33" s="1"/>
  <c r="I89" i="33"/>
  <c r="K89" i="33"/>
  <c r="F88" i="33"/>
  <c r="H88" i="33" s="1"/>
  <c r="K88" i="33"/>
  <c r="I88" i="33"/>
  <c r="I52" i="33"/>
  <c r="K52" i="33"/>
  <c r="G52" i="33"/>
  <c r="F52" i="33"/>
  <c r="J52" i="33" s="1"/>
  <c r="I50" i="33"/>
  <c r="F50" i="33"/>
  <c r="J50" i="33" s="1"/>
  <c r="K50" i="33"/>
  <c r="G50" i="33"/>
  <c r="K49" i="33"/>
  <c r="G49" i="33"/>
  <c r="I49" i="33"/>
  <c r="F49" i="33"/>
  <c r="H49" i="33" s="1"/>
  <c r="G51" i="33"/>
  <c r="I51" i="33"/>
  <c r="K51" i="33"/>
  <c r="F51" i="33"/>
  <c r="J51" i="33" s="1"/>
  <c r="F48" i="33"/>
  <c r="H48" i="33" s="1"/>
  <c r="K48" i="33"/>
  <c r="G48" i="33"/>
  <c r="I48" i="33"/>
  <c r="F53" i="33"/>
  <c r="J53" i="33"/>
  <c r="K53" i="33"/>
  <c r="G53" i="33"/>
  <c r="I53" i="33"/>
  <c r="H53" i="33"/>
  <c r="I47" i="33"/>
  <c r="K47" i="33"/>
  <c r="G47" i="33"/>
  <c r="F47" i="33"/>
  <c r="J47" i="33" s="1"/>
  <c r="G46" i="33"/>
  <c r="K46" i="33"/>
  <c r="I46" i="33"/>
  <c r="K54" i="33"/>
  <c r="G54" i="33"/>
  <c r="F54" i="33"/>
  <c r="H54" i="33"/>
  <c r="J54" i="33"/>
  <c r="I54" i="33"/>
  <c r="F27" i="33"/>
  <c r="H27" i="33" s="1"/>
  <c r="I27" i="33"/>
  <c r="K27" i="33"/>
  <c r="G34" i="33"/>
  <c r="K34" i="33"/>
  <c r="I34" i="33"/>
  <c r="J34" i="33"/>
  <c r="H34" i="33"/>
  <c r="G33" i="33"/>
  <c r="I33" i="33"/>
  <c r="K33" i="33"/>
  <c r="F32" i="33"/>
  <c r="J32" i="33" s="1"/>
  <c r="K32" i="33"/>
  <c r="I32" i="33"/>
  <c r="F31" i="33"/>
  <c r="J31" i="33" s="1"/>
  <c r="I31" i="33"/>
  <c r="K31" i="33"/>
  <c r="H30" i="33"/>
  <c r="I30" i="33"/>
  <c r="K30" i="33"/>
  <c r="F29" i="33"/>
  <c r="J29" i="33" s="1"/>
  <c r="K29" i="33"/>
  <c r="I29" i="33"/>
  <c r="G36" i="33"/>
  <c r="H36" i="33"/>
  <c r="I36" i="33"/>
  <c r="K36" i="33"/>
  <c r="J36" i="33"/>
  <c r="G28" i="33"/>
  <c r="K28" i="33"/>
  <c r="I28" i="33"/>
  <c r="G35" i="33"/>
  <c r="K35" i="33"/>
  <c r="I35" i="33"/>
  <c r="J35" i="33"/>
  <c r="H35" i="33"/>
  <c r="F18" i="33"/>
  <c r="J19" i="33"/>
  <c r="H18" i="33"/>
  <c r="I14" i="33"/>
  <c r="K16" i="33"/>
  <c r="J18" i="33"/>
  <c r="I13" i="33"/>
  <c r="K15" i="33"/>
  <c r="I20" i="33"/>
  <c r="I12" i="33"/>
  <c r="K14" i="33"/>
  <c r="I19" i="33"/>
  <c r="L19" i="33" s="1"/>
  <c r="K11" i="33"/>
  <c r="K13" i="33"/>
  <c r="I18" i="33"/>
  <c r="L18" i="33" s="1"/>
  <c r="K20" i="33"/>
  <c r="K12" i="33"/>
  <c r="I17" i="33"/>
  <c r="K19" i="33"/>
  <c r="I16" i="33"/>
  <c r="K18" i="33"/>
  <c r="J20" i="33"/>
  <c r="K134" i="33"/>
  <c r="I134" i="33"/>
  <c r="F167" i="33"/>
  <c r="H167" i="33" s="1"/>
  <c r="K167" i="33"/>
  <c r="F100" i="33"/>
  <c r="J100" i="33"/>
  <c r="H100" i="33"/>
  <c r="I100" i="33"/>
  <c r="K100" i="33"/>
  <c r="F141" i="33"/>
  <c r="J141" i="33" s="1"/>
  <c r="K141" i="33"/>
  <c r="I141" i="33"/>
  <c r="F99" i="33"/>
  <c r="J99" i="33"/>
  <c r="H99" i="33"/>
  <c r="I99" i="33"/>
  <c r="K99" i="33"/>
  <c r="J164" i="33"/>
  <c r="H164" i="33"/>
  <c r="I164" i="33"/>
  <c r="K164" i="33"/>
  <c r="J55" i="33"/>
  <c r="H55" i="33"/>
  <c r="G55" i="33"/>
  <c r="K55" i="33"/>
  <c r="I55" i="33"/>
  <c r="F96" i="33"/>
  <c r="K96" i="33"/>
  <c r="I96" i="33"/>
  <c r="H96" i="33"/>
  <c r="J96" i="33"/>
  <c r="F122" i="33"/>
  <c r="H122" i="33"/>
  <c r="J122" i="33"/>
  <c r="K122" i="33"/>
  <c r="I122" i="33"/>
  <c r="F161" i="33"/>
  <c r="H161" i="33"/>
  <c r="I161" i="33"/>
  <c r="J161" i="33"/>
  <c r="K161" i="33"/>
  <c r="F58" i="33"/>
  <c r="G58" i="33"/>
  <c r="K58" i="33"/>
  <c r="J58" i="33"/>
  <c r="I58" i="33"/>
  <c r="H58" i="33"/>
  <c r="H114" i="33"/>
  <c r="K114" i="33"/>
  <c r="J114" i="33"/>
  <c r="I114" i="33"/>
  <c r="F62" i="33"/>
  <c r="I62" i="33"/>
  <c r="K62" i="33"/>
  <c r="J62" i="33"/>
  <c r="G62" i="33"/>
  <c r="H62" i="33"/>
  <c r="K95" i="33"/>
  <c r="J95" i="33"/>
  <c r="I95" i="33"/>
  <c r="H95" i="33"/>
  <c r="F121" i="33"/>
  <c r="J121" i="33"/>
  <c r="I121" i="33"/>
  <c r="H121" i="33"/>
  <c r="K121" i="33"/>
  <c r="F136" i="33"/>
  <c r="J136" i="33" s="1"/>
  <c r="I136" i="33"/>
  <c r="K136" i="33"/>
  <c r="F160" i="33"/>
  <c r="I160" i="33"/>
  <c r="J160" i="33"/>
  <c r="K160" i="33"/>
  <c r="H160" i="33"/>
  <c r="F60" i="33"/>
  <c r="H60" i="33"/>
  <c r="I60" i="33"/>
  <c r="G60" i="33"/>
  <c r="K60" i="33"/>
  <c r="J60" i="33"/>
  <c r="F101" i="33"/>
  <c r="K101" i="33"/>
  <c r="J101" i="33"/>
  <c r="H101" i="33"/>
  <c r="I101" i="33"/>
  <c r="F158" i="33"/>
  <c r="K158" i="33"/>
  <c r="I158" i="33"/>
  <c r="J158" i="33"/>
  <c r="H158" i="33"/>
  <c r="F157" i="33"/>
  <c r="H157" i="33"/>
  <c r="K157" i="33"/>
  <c r="I157" i="33"/>
  <c r="J157" i="33"/>
  <c r="F117" i="33"/>
  <c r="J117" i="33"/>
  <c r="K117" i="33"/>
  <c r="I117" i="33"/>
  <c r="H117" i="33"/>
  <c r="F57" i="33"/>
  <c r="J57" i="33"/>
  <c r="I57" i="33"/>
  <c r="H57" i="33"/>
  <c r="G57" i="33"/>
  <c r="K57" i="33"/>
  <c r="F98" i="33"/>
  <c r="J98" i="33"/>
  <c r="H98" i="33"/>
  <c r="I98" i="33"/>
  <c r="K98" i="33"/>
  <c r="F137" i="33"/>
  <c r="J137" i="33" s="1"/>
  <c r="K137" i="33"/>
  <c r="I137" i="33"/>
  <c r="F61" i="33"/>
  <c r="J61" i="33"/>
  <c r="I61" i="33"/>
  <c r="G61" i="33"/>
  <c r="K61" i="33"/>
  <c r="H61" i="33"/>
  <c r="F102" i="33"/>
  <c r="K102" i="33"/>
  <c r="I102" i="33"/>
  <c r="H102" i="33"/>
  <c r="J102" i="33"/>
  <c r="F120" i="33"/>
  <c r="I120" i="33"/>
  <c r="K120" i="33"/>
  <c r="H120" i="33"/>
  <c r="J120" i="33"/>
  <c r="F135" i="33"/>
  <c r="H135" i="33" s="1"/>
  <c r="K135" i="33"/>
  <c r="I135" i="33"/>
  <c r="F159" i="33"/>
  <c r="J159" i="33"/>
  <c r="K159" i="33"/>
  <c r="H159" i="33"/>
  <c r="I159" i="33"/>
  <c r="F142" i="33"/>
  <c r="J142" i="33" s="1"/>
  <c r="I142" i="33"/>
  <c r="K142" i="33"/>
  <c r="F118" i="33"/>
  <c r="K118" i="33"/>
  <c r="I118" i="33"/>
  <c r="J118" i="33"/>
  <c r="H118" i="33"/>
  <c r="F165" i="33"/>
  <c r="K165" i="33"/>
  <c r="F156" i="33"/>
  <c r="I156" i="33"/>
  <c r="H156" i="33"/>
  <c r="K156" i="33"/>
  <c r="J156" i="33"/>
  <c r="F119" i="33"/>
  <c r="K119" i="33"/>
  <c r="I119" i="33"/>
  <c r="J119" i="33"/>
  <c r="H119" i="33"/>
  <c r="F59" i="33"/>
  <c r="H59" i="33"/>
  <c r="K59" i="33"/>
  <c r="J59" i="33"/>
  <c r="I59" i="33"/>
  <c r="G59" i="33"/>
  <c r="F166" i="33"/>
  <c r="H166" i="33" s="1"/>
  <c r="K166" i="33"/>
  <c r="F140" i="33"/>
  <c r="H140" i="33" s="1"/>
  <c r="I140" i="33"/>
  <c r="K140" i="33"/>
  <c r="F116" i="33"/>
  <c r="J116" i="33"/>
  <c r="K116" i="33"/>
  <c r="I116" i="33"/>
  <c r="H116" i="33"/>
  <c r="F139" i="33"/>
  <c r="H139" i="33" s="1"/>
  <c r="K139" i="33"/>
  <c r="I139" i="33"/>
  <c r="F155" i="33"/>
  <c r="J155" i="33"/>
  <c r="H155" i="33"/>
  <c r="I155" i="33"/>
  <c r="K155" i="33"/>
  <c r="F56" i="33"/>
  <c r="K56" i="33"/>
  <c r="J56" i="33"/>
  <c r="I56" i="33"/>
  <c r="H56" i="33"/>
  <c r="G56" i="33"/>
  <c r="F97" i="33"/>
  <c r="K97" i="33"/>
  <c r="H97" i="33"/>
  <c r="J97" i="33"/>
  <c r="I97" i="33"/>
  <c r="F115" i="33"/>
  <c r="H115" i="33"/>
  <c r="J115" i="33"/>
  <c r="I115" i="33"/>
  <c r="K115" i="33"/>
  <c r="F138" i="33"/>
  <c r="H138" i="33" s="1"/>
  <c r="K138" i="33"/>
  <c r="I138" i="33"/>
  <c r="K154" i="33"/>
  <c r="I154" i="33"/>
  <c r="F40" i="33"/>
  <c r="H40" i="33"/>
  <c r="K40" i="33"/>
  <c r="J40" i="33"/>
  <c r="I40" i="33"/>
  <c r="F39" i="33"/>
  <c r="K39" i="33"/>
  <c r="J39" i="33"/>
  <c r="H39" i="33"/>
  <c r="I39" i="33"/>
  <c r="F21" i="33"/>
  <c r="F38" i="33"/>
  <c r="K38" i="33"/>
  <c r="J38" i="33"/>
  <c r="I38" i="33"/>
  <c r="H38" i="33"/>
  <c r="F42" i="33"/>
  <c r="J42" i="33"/>
  <c r="I42" i="33"/>
  <c r="H42" i="33"/>
  <c r="K42" i="33"/>
  <c r="F37" i="33"/>
  <c r="J37" i="33"/>
  <c r="K37" i="33"/>
  <c r="I37" i="33"/>
  <c r="H37" i="33"/>
  <c r="F154" i="33"/>
  <c r="F44" i="33"/>
  <c r="K44" i="33"/>
  <c r="I44" i="33"/>
  <c r="J44" i="33"/>
  <c r="H44" i="33"/>
  <c r="F55" i="33"/>
  <c r="F114" i="33"/>
  <c r="C123" i="33"/>
  <c r="F43" i="33"/>
  <c r="K43" i="33"/>
  <c r="J43" i="33"/>
  <c r="H43" i="33"/>
  <c r="I43" i="33"/>
  <c r="F95" i="33"/>
  <c r="C103" i="33"/>
  <c r="F41" i="33"/>
  <c r="I41" i="33"/>
  <c r="H41" i="33"/>
  <c r="K41" i="33"/>
  <c r="J41" i="33"/>
  <c r="F134" i="33"/>
  <c r="C143" i="33"/>
  <c r="J25" i="33"/>
  <c r="J23" i="33"/>
  <c r="J24" i="33"/>
  <c r="J22" i="33"/>
  <c r="J21" i="33"/>
  <c r="K24" i="33"/>
  <c r="K25" i="33"/>
  <c r="K22" i="33"/>
  <c r="K23" i="33"/>
  <c r="K21" i="33"/>
  <c r="I25" i="33"/>
  <c r="I24" i="33"/>
  <c r="I23" i="33"/>
  <c r="I22" i="33"/>
  <c r="I21" i="33"/>
  <c r="F109" i="33"/>
  <c r="H109" i="33" s="1"/>
  <c r="G111" i="33"/>
  <c r="F108" i="33"/>
  <c r="H108" i="33" s="1"/>
  <c r="G110" i="33"/>
  <c r="F107" i="33"/>
  <c r="J107" i="33" s="1"/>
  <c r="F104" i="33"/>
  <c r="F106" i="33"/>
  <c r="H106" i="33" s="1"/>
  <c r="F113" i="33"/>
  <c r="F105" i="33"/>
  <c r="J105" i="33" s="1"/>
  <c r="F112" i="33"/>
  <c r="F94" i="33"/>
  <c r="F86" i="33"/>
  <c r="G91" i="33"/>
  <c r="F93" i="33"/>
  <c r="G90" i="33"/>
  <c r="F92" i="33"/>
  <c r="G89" i="33"/>
  <c r="G88" i="33"/>
  <c r="G87" i="33"/>
  <c r="F46" i="33"/>
  <c r="J46" i="33" s="1"/>
  <c r="F36" i="33"/>
  <c r="F28" i="33"/>
  <c r="H28" i="33" s="1"/>
  <c r="G32" i="33"/>
  <c r="F35" i="33"/>
  <c r="G31" i="33"/>
  <c r="F34" i="33"/>
  <c r="G30" i="33"/>
  <c r="F33" i="33"/>
  <c r="J33" i="33" s="1"/>
  <c r="G27" i="33"/>
  <c r="G29" i="33"/>
  <c r="F19" i="33"/>
  <c r="G17" i="33"/>
  <c r="H19" i="33"/>
  <c r="G16" i="33"/>
  <c r="F17" i="33"/>
  <c r="H17" i="33" s="1"/>
  <c r="G15" i="33"/>
  <c r="L15" i="33" s="1"/>
  <c r="F16" i="33"/>
  <c r="H16" i="33" s="1"/>
  <c r="G14" i="33"/>
  <c r="F15" i="33"/>
  <c r="H15" i="33" s="1"/>
  <c r="G13" i="33"/>
  <c r="F14" i="33"/>
  <c r="H14" i="33" s="1"/>
  <c r="G20" i="33"/>
  <c r="G12" i="33"/>
  <c r="F13" i="33"/>
  <c r="H13" i="33" s="1"/>
  <c r="H24" i="33"/>
  <c r="F20" i="33"/>
  <c r="F12" i="33"/>
  <c r="H12" i="33" s="1"/>
  <c r="H25" i="33"/>
  <c r="H23" i="33"/>
  <c r="H22" i="33"/>
  <c r="G154" i="33"/>
  <c r="H21" i="33"/>
  <c r="G96" i="33"/>
  <c r="G161" i="33"/>
  <c r="G42" i="33"/>
  <c r="G95" i="33"/>
  <c r="G120" i="33"/>
  <c r="G142" i="33"/>
  <c r="G134" i="33"/>
  <c r="G41" i="33"/>
  <c r="G102" i="33"/>
  <c r="G119" i="33"/>
  <c r="G141" i="33"/>
  <c r="G160" i="33"/>
  <c r="G40" i="33"/>
  <c r="G101" i="33"/>
  <c r="G118" i="33"/>
  <c r="G140" i="33"/>
  <c r="G159" i="33"/>
  <c r="G39" i="33"/>
  <c r="G100" i="33"/>
  <c r="G117" i="33"/>
  <c r="G139" i="33"/>
  <c r="G167" i="33"/>
  <c r="G158" i="33"/>
  <c r="G38" i="33"/>
  <c r="G99" i="33"/>
  <c r="G116" i="33"/>
  <c r="G138" i="33"/>
  <c r="G166" i="33"/>
  <c r="G157" i="33"/>
  <c r="G37" i="33"/>
  <c r="G98" i="33"/>
  <c r="G115" i="33"/>
  <c r="G137" i="33"/>
  <c r="G165" i="33"/>
  <c r="G156" i="33"/>
  <c r="G44" i="33"/>
  <c r="G97" i="33"/>
  <c r="G122" i="33"/>
  <c r="G114" i="33"/>
  <c r="G136" i="33"/>
  <c r="G164" i="33"/>
  <c r="G155" i="33"/>
  <c r="G43" i="33"/>
  <c r="G121" i="33"/>
  <c r="G135" i="33"/>
  <c r="G25" i="33"/>
  <c r="G23" i="33"/>
  <c r="G22" i="33"/>
  <c r="G24" i="33"/>
  <c r="G21" i="33"/>
  <c r="J124" i="33" l="1"/>
  <c r="F143" i="33"/>
  <c r="F123" i="33"/>
  <c r="F170" i="33"/>
  <c r="K170" i="33"/>
  <c r="I169" i="33"/>
  <c r="I170" i="33"/>
  <c r="G170" i="33"/>
  <c r="H86" i="33"/>
  <c r="C163" i="33"/>
  <c r="K169" i="33"/>
  <c r="J165" i="33"/>
  <c r="F169" i="33"/>
  <c r="J169" i="33" s="1"/>
  <c r="G169" i="33"/>
  <c r="H52" i="33"/>
  <c r="H154" i="33"/>
  <c r="F162" i="33"/>
  <c r="L105" i="33"/>
  <c r="L113" i="33"/>
  <c r="L48" i="33"/>
  <c r="L152" i="33"/>
  <c r="L35" i="33"/>
  <c r="L34" i="33"/>
  <c r="L46" i="33"/>
  <c r="L33" i="33"/>
  <c r="L53" i="33"/>
  <c r="L50" i="33"/>
  <c r="L112" i="33"/>
  <c r="L125" i="33"/>
  <c r="L153" i="33"/>
  <c r="L151" i="33"/>
  <c r="L108" i="33"/>
  <c r="L49" i="33"/>
  <c r="L107" i="33"/>
  <c r="L111" i="33"/>
  <c r="L126" i="33"/>
  <c r="L146" i="33"/>
  <c r="L149" i="33"/>
  <c r="L147" i="33"/>
  <c r="L131" i="33"/>
  <c r="L127" i="33"/>
  <c r="L130" i="33"/>
  <c r="L128" i="33"/>
  <c r="L133" i="33"/>
  <c r="L124" i="33"/>
  <c r="L129" i="33"/>
  <c r="L109" i="33"/>
  <c r="L110" i="33"/>
  <c r="L106" i="33"/>
  <c r="L104" i="33"/>
  <c r="L89" i="33"/>
  <c r="L91" i="33"/>
  <c r="L93" i="33"/>
  <c r="L90" i="33"/>
  <c r="L92" i="33"/>
  <c r="L88" i="33"/>
  <c r="L86" i="33"/>
  <c r="L87" i="33"/>
  <c r="L47" i="33"/>
  <c r="L52" i="33"/>
  <c r="L54" i="33"/>
  <c r="L51" i="33"/>
  <c r="L32" i="33"/>
  <c r="L30" i="33"/>
  <c r="L27" i="33"/>
  <c r="L31" i="33"/>
  <c r="L28" i="33"/>
  <c r="L29" i="33"/>
  <c r="L62" i="33"/>
  <c r="L61" i="33"/>
  <c r="L60" i="33"/>
  <c r="L97" i="33"/>
  <c r="L139" i="33"/>
  <c r="L13" i="33"/>
  <c r="L22" i="33"/>
  <c r="L38" i="33"/>
  <c r="L154" i="33"/>
  <c r="L119" i="33"/>
  <c r="L135" i="33"/>
  <c r="L101" i="33"/>
  <c r="L96" i="33"/>
  <c r="L16" i="33"/>
  <c r="L14" i="33"/>
  <c r="L11" i="33"/>
  <c r="L23" i="33"/>
  <c r="L44" i="33"/>
  <c r="L56" i="33"/>
  <c r="L142" i="33"/>
  <c r="L136" i="33"/>
  <c r="L95" i="33"/>
  <c r="L122" i="33"/>
  <c r="L17" i="33"/>
  <c r="L12" i="33"/>
  <c r="L138" i="33"/>
  <c r="L117" i="33"/>
  <c r="L114" i="33"/>
  <c r="L25" i="33"/>
  <c r="L41" i="33"/>
  <c r="L40" i="33"/>
  <c r="L140" i="33"/>
  <c r="L159" i="33"/>
  <c r="L137" i="33"/>
  <c r="L55" i="33"/>
  <c r="L20" i="33"/>
  <c r="L141" i="33"/>
  <c r="L42" i="33"/>
  <c r="L94" i="33"/>
  <c r="L118" i="33"/>
  <c r="L158" i="33"/>
  <c r="L121" i="33"/>
  <c r="L99" i="33"/>
  <c r="L100" i="33"/>
  <c r="L102" i="33"/>
  <c r="L134" i="33"/>
  <c r="L37" i="33"/>
  <c r="L39" i="33"/>
  <c r="L115" i="33"/>
  <c r="L155" i="33"/>
  <c r="L116" i="33"/>
  <c r="L156" i="33"/>
  <c r="L120" i="33"/>
  <c r="L57" i="33"/>
  <c r="L160" i="33"/>
  <c r="L161" i="33"/>
  <c r="L36" i="33"/>
  <c r="L59" i="33"/>
  <c r="L43" i="33"/>
  <c r="L98" i="33"/>
  <c r="L157" i="33"/>
  <c r="L58" i="33"/>
  <c r="L24" i="33"/>
  <c r="L21" i="33"/>
  <c r="H104" i="33"/>
  <c r="J104" i="33"/>
  <c r="J166" i="33"/>
  <c r="J167" i="33"/>
  <c r="J154" i="33"/>
  <c r="I162" i="33"/>
  <c r="K162" i="33"/>
  <c r="G162" i="33"/>
  <c r="H165" i="33"/>
  <c r="J134" i="33"/>
  <c r="F26" i="33"/>
  <c r="F45" i="33"/>
  <c r="G26" i="33"/>
  <c r="C84" i="33"/>
  <c r="H124" i="33"/>
  <c r="H132" i="33"/>
  <c r="I63" i="33"/>
  <c r="J90" i="33"/>
  <c r="J17" i="33"/>
  <c r="J110" i="33"/>
  <c r="H131" i="33"/>
  <c r="H33" i="33"/>
  <c r="H51" i="33"/>
  <c r="H50" i="33"/>
  <c r="J139" i="33"/>
  <c r="J16" i="33"/>
  <c r="H151" i="33"/>
  <c r="J140" i="33"/>
  <c r="H105" i="33"/>
  <c r="J106" i="33"/>
  <c r="J86" i="33"/>
  <c r="H137" i="33"/>
  <c r="H141" i="33"/>
  <c r="H142" i="33"/>
  <c r="H134" i="33"/>
  <c r="H11" i="33"/>
  <c r="J11" i="33"/>
  <c r="H130" i="33"/>
  <c r="H32" i="33"/>
  <c r="J135" i="33"/>
  <c r="H144" i="33"/>
  <c r="H145" i="33"/>
  <c r="H149" i="33"/>
  <c r="J147" i="33"/>
  <c r="J146" i="33"/>
  <c r="J148" i="33"/>
  <c r="H150" i="33"/>
  <c r="J133" i="33"/>
  <c r="H129" i="33"/>
  <c r="J127" i="33"/>
  <c r="H126" i="33"/>
  <c r="J128" i="33"/>
  <c r="H125" i="33"/>
  <c r="H111" i="33"/>
  <c r="H107" i="33"/>
  <c r="J109" i="33"/>
  <c r="J108" i="33"/>
  <c r="J88" i="33"/>
  <c r="J89" i="33"/>
  <c r="H87" i="33"/>
  <c r="J49" i="33"/>
  <c r="H47" i="33"/>
  <c r="H46" i="33"/>
  <c r="J48" i="33"/>
  <c r="H31" i="33"/>
  <c r="H29" i="33"/>
  <c r="J30" i="33"/>
  <c r="J27" i="33"/>
  <c r="J28" i="33"/>
  <c r="J13" i="33"/>
  <c r="J138" i="33"/>
  <c r="J14" i="33"/>
  <c r="J15" i="33"/>
  <c r="J12" i="33"/>
  <c r="I143" i="33"/>
  <c r="K143" i="33"/>
  <c r="H136" i="33"/>
  <c r="G143" i="33"/>
  <c r="I26" i="33"/>
  <c r="H45" i="33" l="1"/>
  <c r="J45" i="33"/>
  <c r="H26" i="33"/>
  <c r="J26" i="33"/>
  <c r="H143" i="33"/>
  <c r="J143" i="33"/>
  <c r="C172" i="33"/>
  <c r="H169" i="33"/>
  <c r="H170" i="33" s="1"/>
  <c r="J170" i="33"/>
  <c r="K63" i="33" l="1"/>
  <c r="K103" i="33"/>
  <c r="I103" i="33"/>
  <c r="I45" i="33"/>
  <c r="I84" i="33" s="1"/>
  <c r="K45" i="33"/>
  <c r="K123" i="33"/>
  <c r="K26" i="33"/>
  <c r="I123" i="33"/>
  <c r="K163" i="33" l="1"/>
  <c r="I163" i="33"/>
  <c r="K84" i="33"/>
  <c r="K172" i="33" l="1"/>
  <c r="I172" i="33"/>
  <c r="G103" i="33"/>
  <c r="G123" i="33" l="1"/>
  <c r="G163" i="33" s="1"/>
  <c r="F63" i="33" l="1"/>
  <c r="F103" i="33"/>
  <c r="G63" i="33"/>
  <c r="G45" i="33"/>
  <c r="F163" i="33" l="1"/>
  <c r="H103" i="33"/>
  <c r="J103" i="33"/>
  <c r="J63" i="33"/>
  <c r="H63" i="33"/>
  <c r="J123" i="33"/>
  <c r="H123" i="33"/>
  <c r="G84" i="33"/>
  <c r="G172" i="33" s="1"/>
  <c r="F84" i="33"/>
  <c r="J84" i="33" l="1"/>
  <c r="H84" i="33"/>
  <c r="I6" i="28"/>
  <c r="B14" i="28" s="1"/>
  <c r="B16" i="28" l="1"/>
  <c r="B17" i="28" s="1"/>
  <c r="B18" i="28" s="1"/>
  <c r="B19" i="28" s="1"/>
  <c r="B20" i="28" s="1"/>
  <c r="B21" i="28" s="1"/>
  <c r="B22" i="28" s="1"/>
  <c r="B23" i="28" s="1"/>
  <c r="B24" i="28" s="1"/>
  <c r="J162" i="33"/>
  <c r="J163" i="33" s="1"/>
  <c r="H162" i="33"/>
  <c r="H163" i="33" s="1"/>
  <c r="F172" i="33"/>
  <c r="A23" i="7" a="1"/>
  <c r="A23" i="7" s="1"/>
  <c r="E163" i="33" l="1"/>
  <c r="E168" i="33"/>
  <c r="B25" i="28"/>
  <c r="B26" i="28" s="1"/>
  <c r="B27" i="28" s="1"/>
  <c r="B28" i="28" s="1"/>
  <c r="A24" i="7" a="1"/>
  <c r="A24" i="7" s="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2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3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4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6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7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808" i="21"/>
  <c r="E809" i="21"/>
  <c r="E810" i="21"/>
  <c r="E811" i="21"/>
  <c r="E812" i="21"/>
  <c r="E813" i="21"/>
  <c r="E814" i="21"/>
  <c r="E815" i="21"/>
  <c r="E816" i="21"/>
  <c r="E817" i="21"/>
  <c r="E818" i="21"/>
  <c r="E819" i="21"/>
  <c r="E820" i="21"/>
  <c r="E821" i="21"/>
  <c r="E822" i="21"/>
  <c r="E823" i="21"/>
  <c r="E824" i="21"/>
  <c r="E825" i="21"/>
  <c r="E826" i="21"/>
  <c r="E827" i="21"/>
  <c r="E828" i="21"/>
  <c r="E829" i="21"/>
  <c r="E830" i="21"/>
  <c r="E831" i="21"/>
  <c r="E832" i="21"/>
  <c r="E833" i="21"/>
  <c r="E834" i="21"/>
  <c r="E835" i="21"/>
  <c r="E836" i="21"/>
  <c r="E837" i="21"/>
  <c r="E838" i="21"/>
  <c r="E839" i="21"/>
  <c r="E840" i="21"/>
  <c r="E841" i="21"/>
  <c r="E842" i="21"/>
  <c r="E843" i="21"/>
  <c r="E844" i="21"/>
  <c r="E845" i="21"/>
  <c r="E846" i="21"/>
  <c r="E847" i="21"/>
  <c r="E848" i="21"/>
  <c r="E849" i="21"/>
  <c r="E850" i="21"/>
  <c r="E851" i="21"/>
  <c r="E852" i="21"/>
  <c r="E853" i="21"/>
  <c r="E854" i="21"/>
  <c r="E855" i="21"/>
  <c r="E856" i="21"/>
  <c r="E857" i="21"/>
  <c r="E858" i="21"/>
  <c r="E859" i="21"/>
  <c r="E860" i="21"/>
  <c r="E861" i="21"/>
  <c r="E862" i="21"/>
  <c r="E863" i="21"/>
  <c r="E864" i="21"/>
  <c r="E865" i="21"/>
  <c r="E866" i="21"/>
  <c r="E867" i="21"/>
  <c r="E868" i="21"/>
  <c r="E869" i="21"/>
  <c r="E870" i="21"/>
  <c r="E871" i="21"/>
  <c r="E872" i="21"/>
  <c r="E873" i="21"/>
  <c r="E874" i="21"/>
  <c r="E875" i="21"/>
  <c r="E876" i="21"/>
  <c r="E877" i="21"/>
  <c r="E878" i="21"/>
  <c r="E879" i="21"/>
  <c r="E880" i="21"/>
  <c r="E881" i="21"/>
  <c r="E882" i="21"/>
  <c r="E883" i="21"/>
  <c r="E884" i="21"/>
  <c r="E885" i="21"/>
  <c r="E886" i="21"/>
  <c r="E887" i="21"/>
  <c r="E888" i="21"/>
  <c r="E889" i="21"/>
  <c r="E890" i="21"/>
  <c r="E891" i="21"/>
  <c r="E892" i="21"/>
  <c r="E893" i="21"/>
  <c r="E894" i="21"/>
  <c r="E895" i="21"/>
  <c r="E896" i="21"/>
  <c r="E897" i="21"/>
  <c r="E898" i="21"/>
  <c r="E899" i="21"/>
  <c r="E900" i="21"/>
  <c r="E901" i="21"/>
  <c r="E902" i="21"/>
  <c r="E903" i="21"/>
  <c r="E904" i="21"/>
  <c r="E905" i="21"/>
  <c r="E906" i="21"/>
  <c r="E907" i="21"/>
  <c r="E908" i="21"/>
  <c r="E909" i="21"/>
  <c r="E910" i="21"/>
  <c r="E911" i="21"/>
  <c r="E912" i="21"/>
  <c r="E913" i="21"/>
  <c r="E914" i="21"/>
  <c r="E915" i="21"/>
  <c r="E916" i="21"/>
  <c r="E917" i="21"/>
  <c r="E918" i="21"/>
  <c r="E919" i="21"/>
  <c r="E920" i="21"/>
  <c r="E921" i="21"/>
  <c r="E922" i="21"/>
  <c r="E923" i="21"/>
  <c r="E924" i="21"/>
  <c r="E925" i="21"/>
  <c r="E926" i="21"/>
  <c r="E927" i="21"/>
  <c r="E928" i="21"/>
  <c r="E929" i="21"/>
  <c r="E930" i="21"/>
  <c r="E931" i="21"/>
  <c r="E932" i="21"/>
  <c r="E933" i="21"/>
  <c r="E934" i="21"/>
  <c r="E935" i="21"/>
  <c r="E936" i="21"/>
  <c r="E937" i="21"/>
  <c r="E938" i="21"/>
  <c r="E939" i="21"/>
  <c r="E940" i="21"/>
  <c r="E941" i="21"/>
  <c r="E942" i="21"/>
  <c r="E943" i="21"/>
  <c r="E944" i="21"/>
  <c r="E945" i="21"/>
  <c r="E946" i="21"/>
  <c r="E947" i="21"/>
  <c r="E948" i="21"/>
  <c r="E949" i="21"/>
  <c r="E950" i="21"/>
  <c r="E951" i="21"/>
  <c r="E952" i="21"/>
  <c r="E953" i="21"/>
  <c r="E954" i="21"/>
  <c r="E955" i="21"/>
  <c r="E956" i="21"/>
  <c r="E957" i="21"/>
  <c r="E958" i="21"/>
  <c r="E959" i="21"/>
  <c r="E960" i="21"/>
  <c r="E961" i="21"/>
  <c r="E962" i="21"/>
  <c r="E963" i="21"/>
  <c r="E964" i="21"/>
  <c r="E965" i="21"/>
  <c r="E966" i="21"/>
  <c r="E967" i="21"/>
  <c r="E968" i="21"/>
  <c r="E969" i="21"/>
  <c r="E970" i="21"/>
  <c r="E971" i="21"/>
  <c r="E972" i="21"/>
  <c r="E973" i="21"/>
  <c r="E974" i="21"/>
  <c r="E975" i="21"/>
  <c r="E976" i="21"/>
  <c r="E977" i="21"/>
  <c r="E978" i="21"/>
  <c r="E979" i="21"/>
  <c r="E980" i="21"/>
  <c r="E981" i="21"/>
  <c r="E982" i="21"/>
  <c r="E983" i="21"/>
  <c r="E984" i="21"/>
  <c r="E985" i="21"/>
  <c r="E986" i="21"/>
  <c r="E987" i="21"/>
  <c r="E988" i="21"/>
  <c r="E989" i="21"/>
  <c r="E990" i="21"/>
  <c r="E991" i="21"/>
  <c r="E992" i="21"/>
  <c r="E993" i="21"/>
  <c r="E994" i="21"/>
  <c r="E995" i="21"/>
  <c r="E996" i="21"/>
  <c r="E997" i="21"/>
  <c r="E998" i="21"/>
  <c r="E999" i="21"/>
  <c r="E1000" i="21"/>
  <c r="E3" i="21"/>
  <c r="E4" i="21"/>
  <c r="E5" i="21"/>
  <c r="E6" i="21"/>
  <c r="E7" i="21"/>
  <c r="E8" i="21"/>
  <c r="E9" i="21"/>
  <c r="E10" i="21"/>
  <c r="E11" i="21"/>
  <c r="E12" i="21"/>
  <c r="E13" i="21"/>
  <c r="E14" i="21"/>
  <c r="E15" i="21"/>
  <c r="E2" i="21"/>
  <c r="C14" i="28" l="1"/>
  <c r="B30" i="28"/>
  <c r="B31" i="28" s="1"/>
  <c r="F175" i="33"/>
  <c r="F174" i="33"/>
  <c r="E85" i="33"/>
  <c r="E141" i="33"/>
  <c r="E159" i="33"/>
  <c r="E57" i="33"/>
  <c r="E167" i="33"/>
  <c r="E165" i="33"/>
  <c r="E137" i="33"/>
  <c r="E114" i="33"/>
  <c r="E127" i="33"/>
  <c r="E124" i="33"/>
  <c r="E18" i="33"/>
  <c r="E126" i="33"/>
  <c r="E135" i="33"/>
  <c r="E101" i="33"/>
  <c r="E53" i="33"/>
  <c r="E30" i="33"/>
  <c r="E70" i="33"/>
  <c r="E157" i="33"/>
  <c r="E17" i="33"/>
  <c r="E94" i="33"/>
  <c r="E91" i="33"/>
  <c r="E66" i="33"/>
  <c r="E90" i="33"/>
  <c r="E65" i="33"/>
  <c r="E52" i="33"/>
  <c r="E105" i="33"/>
  <c r="E161" i="33"/>
  <c r="E96" i="33"/>
  <c r="E50" i="33"/>
  <c r="E136" i="33"/>
  <c r="E80" i="33"/>
  <c r="E34" i="33"/>
  <c r="E16" i="33"/>
  <c r="E76" i="33"/>
  <c r="E77" i="33"/>
  <c r="E58" i="33"/>
  <c r="E89" i="33"/>
  <c r="E115" i="33"/>
  <c r="E149" i="33"/>
  <c r="E139" i="33"/>
  <c r="E166" i="33"/>
  <c r="E27" i="33"/>
  <c r="E22" i="33"/>
  <c r="E145" i="33"/>
  <c r="E113" i="33"/>
  <c r="E47" i="33"/>
  <c r="E111" i="33"/>
  <c r="E112" i="33"/>
  <c r="E37" i="33"/>
  <c r="E67" i="33"/>
  <c r="E132" i="33"/>
  <c r="E46" i="33"/>
  <c r="E140" i="33"/>
  <c r="E153" i="33"/>
  <c r="E40" i="33"/>
  <c r="E133" i="33"/>
  <c r="E160" i="33"/>
  <c r="E119" i="33"/>
  <c r="E38" i="33"/>
  <c r="E28" i="33"/>
  <c r="E78" i="33"/>
  <c r="E164" i="33"/>
  <c r="E14" i="33"/>
  <c r="E56" i="33"/>
  <c r="E79" i="33"/>
  <c r="E48" i="33"/>
  <c r="E147" i="33"/>
  <c r="E116" i="33"/>
  <c r="E71" i="33"/>
  <c r="E98" i="33"/>
  <c r="E122" i="33"/>
  <c r="E100" i="33"/>
  <c r="E59" i="33"/>
  <c r="E121" i="33"/>
  <c r="E97" i="33"/>
  <c r="E144" i="33"/>
  <c r="E152" i="33"/>
  <c r="E60" i="33"/>
  <c r="E120" i="33"/>
  <c r="E102" i="33"/>
  <c r="E15" i="33"/>
  <c r="E73" i="33"/>
  <c r="E131" i="33"/>
  <c r="E86" i="33"/>
  <c r="E87" i="33"/>
  <c r="E13" i="33"/>
  <c r="E104" i="33"/>
  <c r="E31" i="33"/>
  <c r="E118" i="33"/>
  <c r="E25" i="33"/>
  <c r="E138" i="33"/>
  <c r="E21" i="33"/>
  <c r="E44" i="33"/>
  <c r="E32" i="33"/>
  <c r="E29" i="33"/>
  <c r="E148" i="33"/>
  <c r="E55" i="33"/>
  <c r="E93" i="33"/>
  <c r="E82" i="33"/>
  <c r="E81" i="33"/>
  <c r="E107" i="33"/>
  <c r="E156" i="33"/>
  <c r="E75" i="33"/>
  <c r="E129" i="33"/>
  <c r="E24" i="33"/>
  <c r="E155" i="33"/>
  <c r="E61" i="33"/>
  <c r="E125" i="33"/>
  <c r="E19" i="33"/>
  <c r="E43" i="33"/>
  <c r="E150" i="33"/>
  <c r="E99" i="33"/>
  <c r="E68" i="33"/>
  <c r="E158" i="33"/>
  <c r="E92" i="33"/>
  <c r="E151" i="33"/>
  <c r="E106" i="33"/>
  <c r="E74" i="33"/>
  <c r="E88" i="33"/>
  <c r="E39" i="33"/>
  <c r="E109" i="33"/>
  <c r="E11" i="33"/>
  <c r="E12" i="33"/>
  <c r="E154" i="33"/>
  <c r="E130" i="33"/>
  <c r="E110" i="33"/>
  <c r="E33" i="33"/>
  <c r="E128" i="33"/>
  <c r="E36" i="33"/>
  <c r="E146" i="33"/>
  <c r="E95" i="33"/>
  <c r="E62" i="33"/>
  <c r="E134" i="33"/>
  <c r="E142" i="33"/>
  <c r="E51" i="33"/>
  <c r="E117" i="33"/>
  <c r="E41" i="33"/>
  <c r="E42" i="33"/>
  <c r="E64" i="33"/>
  <c r="E20" i="33"/>
  <c r="E35" i="33"/>
  <c r="E54" i="33"/>
  <c r="E23" i="33"/>
  <c r="E108" i="33"/>
  <c r="E69" i="33"/>
  <c r="E49" i="33"/>
  <c r="E72" i="33"/>
  <c r="E170" i="33"/>
  <c r="E84" i="33"/>
  <c r="A25" i="7" a="1"/>
  <c r="A25" i="7" s="1"/>
  <c r="B19" i="21"/>
  <c r="B18" i="21"/>
  <c r="B17" i="21"/>
  <c r="B16" i="21"/>
  <c r="B15" i="21"/>
  <c r="B14" i="21"/>
  <c r="B13" i="21"/>
  <c r="B12" i="21"/>
  <c r="B11" i="21"/>
  <c r="B10" i="21"/>
  <c r="B9" i="21"/>
  <c r="B8" i="21"/>
  <c r="B7" i="21"/>
  <c r="B6" i="21"/>
  <c r="B5" i="21"/>
  <c r="C16" i="28" l="1"/>
  <c r="B32" i="28"/>
  <c r="B33" i="28" s="1"/>
  <c r="B34" i="28" s="1"/>
  <c r="B35" i="28" s="1"/>
  <c r="B37" i="28" s="1"/>
  <c r="B38" i="28" s="1"/>
  <c r="B39" i="28" s="1"/>
  <c r="B40" i="28" s="1"/>
  <c r="B41" i="28" s="1"/>
  <c r="E169" i="33"/>
  <c r="E63" i="33"/>
  <c r="E45" i="33"/>
  <c r="E83" i="33"/>
  <c r="E143" i="33"/>
  <c r="E103" i="33"/>
  <c r="E123" i="33"/>
  <c r="E26" i="33"/>
  <c r="E162" i="33"/>
  <c r="A26" i="7" a="1"/>
  <c r="A26" i="7" s="1"/>
  <c r="B20" i="21"/>
  <c r="C13" i="21" s="1"/>
  <c r="C17" i="28" l="1"/>
  <c r="A27" i="7" a="1"/>
  <c r="A27" i="7" s="1"/>
  <c r="C6" i="21"/>
  <c r="C12" i="21"/>
  <c r="C16" i="21"/>
  <c r="C17" i="21"/>
  <c r="C9" i="21"/>
  <c r="C8" i="21"/>
  <c r="C5" i="21"/>
  <c r="C18" i="21"/>
  <c r="C15" i="21"/>
  <c r="C14" i="21"/>
  <c r="C11" i="21"/>
  <c r="C10" i="21"/>
  <c r="C7" i="21"/>
  <c r="C18" i="28" l="1"/>
  <c r="A28" i="7" a="1"/>
  <c r="A28" i="7" s="1"/>
  <c r="C19" i="28" l="1"/>
  <c r="A29" i="7" a="1"/>
  <c r="A29" i="7" s="1"/>
  <c r="C20" i="28" l="1"/>
  <c r="A30" i="7" a="1"/>
  <c r="A30" i="7" s="1"/>
  <c r="C21" i="28" l="1"/>
  <c r="A31" i="7" a="1"/>
  <c r="A31" i="7" s="1"/>
  <c r="C22" i="28" l="1"/>
  <c r="A32" i="7" a="1"/>
  <c r="A32" i="7" s="1"/>
  <c r="C23" i="28" l="1"/>
  <c r="A33" i="7" a="1"/>
  <c r="A33" i="7" s="1"/>
  <c r="C24" i="28" l="1"/>
  <c r="A34" i="7" a="1"/>
  <c r="A34" i="7" s="1"/>
  <c r="C25" i="28" l="1"/>
  <c r="A35" i="7" a="1"/>
  <c r="A35" i="7" s="1"/>
  <c r="A36" i="7" s="1" a="1"/>
  <c r="A36" i="7" s="1"/>
  <c r="C26" i="28" l="1"/>
  <c r="A37" i="7" a="1"/>
  <c r="A37" i="7" s="1"/>
  <c r="C27" i="28" l="1"/>
  <c r="C28" i="28" s="1"/>
  <c r="C29" i="28" s="1"/>
  <c r="C30" i="28" s="1"/>
  <c r="C31" i="28" s="1"/>
  <c r="C32" i="28" s="1"/>
  <c r="C33" i="28" s="1"/>
  <c r="C34" i="28" s="1"/>
  <c r="C35" i="28" s="1"/>
  <c r="C36" i="28" s="1"/>
  <c r="C37" i="28" s="1"/>
  <c r="C38" i="28" s="1"/>
  <c r="C39" i="28" s="1"/>
  <c r="C40" i="28" s="1"/>
  <c r="C41" i="28" s="1"/>
  <c r="A38" i="7" a="1"/>
  <c r="A38" i="7" s="1"/>
  <c r="A39" i="7" l="1" a="1"/>
  <c r="A39" i="7" s="1"/>
  <c r="A40" i="7" l="1" a="1"/>
  <c r="A40" i="7" s="1"/>
  <c r="A41" i="7" l="1" a="1"/>
  <c r="A41" i="7" s="1"/>
  <c r="A42" i="7" l="1" a="1"/>
  <c r="A42" i="7" s="1"/>
  <c r="A43" i="7" l="1" a="1"/>
  <c r="A43" i="7" s="1"/>
  <c r="A44" i="7" l="1" a="1"/>
  <c r="A44" i="7" s="1"/>
  <c r="A45" i="7" l="1" a="1"/>
  <c r="A45" i="7" s="1"/>
  <c r="A46" i="7" l="1" a="1"/>
  <c r="A46" i="7" s="1"/>
  <c r="A47" i="7" l="1" a="1"/>
  <c r="A47" i="7" s="1"/>
  <c r="A48" i="7" l="1" a="1"/>
  <c r="A48" i="7" s="1"/>
  <c r="A49" i="7" l="1" a="1"/>
  <c r="A49" i="7" s="1"/>
  <c r="A50" i="7" l="1" a="1"/>
  <c r="A50" i="7" s="1"/>
  <c r="A51" i="7" l="1" a="1"/>
  <c r="A51" i="7" s="1"/>
  <c r="A52" i="7" l="1" a="1"/>
  <c r="A52" i="7" s="1"/>
  <c r="A53" i="7" s="1" a="1"/>
  <c r="A53" i="7" s="1"/>
  <c r="A54" i="7" s="1" a="1"/>
  <c r="A54" i="7" s="1"/>
  <c r="A55" i="7" l="1" a="1"/>
  <c r="A55" i="7" s="1"/>
  <c r="A56" i="7" l="1" a="1"/>
  <c r="A56" i="7" s="1"/>
  <c r="A57" i="7" l="1" a="1"/>
  <c r="A57" i="7" s="1"/>
  <c r="A58" i="7" l="1" a="1"/>
  <c r="A58" i="7" s="1"/>
  <c r="A59" i="7" l="1" a="1"/>
  <c r="A59" i="7" s="1"/>
  <c r="A60" i="7" l="1" a="1"/>
  <c r="A60" i="7" s="1"/>
  <c r="A61" i="7" l="1" a="1"/>
  <c r="A61" i="7" s="1"/>
  <c r="A62" i="7" l="1" a="1"/>
  <c r="A62" i="7" s="1"/>
  <c r="A63" i="7" l="1" a="1"/>
  <c r="A63" i="7" s="1"/>
  <c r="A64" i="7" l="1" a="1"/>
  <c r="A64" i="7" s="1"/>
  <c r="A65" i="7" l="1" a="1"/>
  <c r="A65" i="7" s="1"/>
  <c r="A66" i="7" l="1" a="1"/>
  <c r="A66" i="7" s="1"/>
  <c r="A67" i="7" l="1" a="1"/>
  <c r="A67" i="7" s="1"/>
  <c r="A68" i="7" l="1" a="1"/>
  <c r="A68" i="7" s="1"/>
  <c r="A69" i="7" l="1" a="1"/>
  <c r="A69" i="7" s="1"/>
  <c r="A70" i="7" s="1" a="1"/>
  <c r="A70" i="7" s="1"/>
  <c r="A71" i="7" l="1" a="1"/>
  <c r="A71" i="7" s="1"/>
  <c r="A72" i="7" l="1" a="1"/>
  <c r="A72" i="7" s="1"/>
  <c r="A73" i="7" l="1" a="1"/>
  <c r="A73" i="7" s="1"/>
  <c r="A74" i="7" l="1" a="1"/>
  <c r="A74" i="7" s="1"/>
  <c r="A75" i="7" l="1" a="1"/>
  <c r="A75" i="7" s="1"/>
  <c r="A76" i="7" l="1" a="1"/>
  <c r="A76" i="7" s="1"/>
  <c r="A77" i="7" l="1" a="1"/>
  <c r="A77" i="7" s="1"/>
  <c r="A78" i="7" l="1" a="1"/>
  <c r="A78" i="7" s="1"/>
  <c r="A79" i="7" l="1" a="1"/>
  <c r="A79" i="7" s="1"/>
  <c r="A80" i="7" l="1" a="1"/>
  <c r="A80" i="7" s="1"/>
  <c r="A81" i="7" l="1" a="1"/>
  <c r="A81" i="7" s="1"/>
  <c r="A82" i="7" l="1" a="1"/>
  <c r="A82" i="7" s="1"/>
  <c r="A83" i="7" l="1" a="1"/>
  <c r="A83" i="7" s="1"/>
  <c r="A84" i="7" l="1" a="1"/>
  <c r="A84" i="7" s="1"/>
  <c r="A85" i="7" l="1" a="1"/>
  <c r="A85" i="7" s="1"/>
  <c r="A86" i="7" l="1" a="1"/>
  <c r="A86" i="7" s="1"/>
  <c r="A87" i="7" l="1" a="1"/>
  <c r="A87" i="7" s="1"/>
  <c r="A88" i="7" l="1" a="1"/>
  <c r="A88" i="7" s="1"/>
  <c r="A89" i="7" l="1" a="1"/>
  <c r="A89" i="7" s="1"/>
  <c r="A90" i="7" l="1" a="1"/>
  <c r="A90" i="7" s="1"/>
  <c r="A91" i="7" l="1" a="1"/>
  <c r="A91" i="7" s="1"/>
  <c r="A92" i="7" l="1" a="1"/>
  <c r="A92" i="7" s="1"/>
  <c r="A93" i="7" l="1" a="1"/>
  <c r="A93" i="7" s="1"/>
  <c r="A94" i="7" l="1" a="1"/>
  <c r="A94" i="7" s="1"/>
  <c r="A95" i="7" l="1" a="1"/>
  <c r="A95" i="7" s="1"/>
  <c r="A96" i="7" l="1" a="1"/>
  <c r="A96" i="7" s="1"/>
  <c r="A97" i="7" l="1" a="1"/>
  <c r="A97" i="7" s="1"/>
  <c r="A98" i="7" l="1" a="1"/>
  <c r="A98" i="7" s="1"/>
  <c r="A99" i="7" l="1" a="1"/>
  <c r="A99" i="7" s="1"/>
  <c r="A100" i="7" l="1" a="1"/>
  <c r="A100" i="7" s="1"/>
  <c r="A101" i="7" l="1" a="1"/>
  <c r="A101" i="7" s="1"/>
  <c r="A102" i="7" l="1" a="1"/>
  <c r="A102" i="7" s="1"/>
  <c r="A103" i="7" l="1" a="1"/>
  <c r="A103" i="7" s="1"/>
  <c r="E212" i="17" l="1"/>
  <c r="E213" i="17"/>
  <c r="E215" i="17"/>
  <c r="E214" i="17"/>
  <c r="E191" i="17"/>
  <c r="E190" i="17"/>
  <c r="E197" i="17"/>
  <c r="E199" i="17"/>
  <c r="E192" i="17"/>
  <c r="E194" i="17"/>
  <c r="E209" i="17"/>
  <c r="E205" i="17"/>
  <c r="E201" i="17"/>
  <c r="E202" i="17"/>
  <c r="E206" i="17"/>
  <c r="E198" i="17"/>
  <c r="E204" i="17"/>
  <c r="E208" i="17"/>
  <c r="E193" i="17"/>
  <c r="E207" i="17"/>
  <c r="E203" i="17"/>
  <c r="E195" i="17"/>
  <c r="E196" i="17"/>
  <c r="E200" i="17"/>
  <c r="E144" i="17"/>
  <c r="E26" i="17"/>
  <c r="E69" i="17"/>
  <c r="E130" i="17"/>
  <c r="E50" i="17"/>
  <c r="E96" i="17"/>
  <c r="E74" i="17"/>
  <c r="E33" i="17"/>
  <c r="E132" i="17"/>
  <c r="E31" i="17"/>
  <c r="E124" i="17"/>
  <c r="E178" i="17"/>
  <c r="E68" i="17"/>
  <c r="E83" i="17"/>
  <c r="E150" i="17"/>
  <c r="E139" i="17"/>
  <c r="E80" i="17"/>
  <c r="E78" i="17"/>
  <c r="E170" i="17"/>
  <c r="E114" i="17"/>
  <c r="E30" i="17"/>
  <c r="E140" i="17"/>
  <c r="E36" i="17"/>
  <c r="E87" i="17"/>
  <c r="E125" i="17"/>
  <c r="E109" i="17"/>
  <c r="E128" i="17"/>
  <c r="E176" i="17"/>
  <c r="E76" i="17"/>
  <c r="E95" i="17"/>
  <c r="E81" i="17"/>
  <c r="E28" i="17"/>
  <c r="E21" i="17"/>
  <c r="E65" i="17"/>
  <c r="E155" i="17"/>
  <c r="E46" i="17"/>
  <c r="E57" i="17"/>
  <c r="E141" i="17"/>
  <c r="E39" i="17"/>
  <c r="E120" i="17"/>
  <c r="E47" i="17"/>
  <c r="E48" i="17"/>
  <c r="E34" i="17"/>
  <c r="E112" i="17"/>
  <c r="E52" i="17"/>
  <c r="E149" i="17"/>
  <c r="E121" i="17"/>
  <c r="E126" i="17"/>
  <c r="E91" i="17"/>
  <c r="E187" i="17"/>
  <c r="E89" i="17"/>
  <c r="E27" i="17"/>
  <c r="E77" i="17"/>
  <c r="E18" i="17"/>
  <c r="E175" i="17"/>
  <c r="E163" i="17"/>
  <c r="E166" i="17"/>
  <c r="E180" i="17"/>
  <c r="E172" i="17"/>
  <c r="E135" i="17"/>
  <c r="E71" i="17"/>
  <c r="E111" i="17"/>
  <c r="E115" i="17"/>
  <c r="E119" i="17"/>
  <c r="E35" i="17"/>
  <c r="E22" i="17"/>
  <c r="E41" i="17"/>
  <c r="E117" i="17"/>
  <c r="E177" i="17"/>
  <c r="E62" i="17"/>
  <c r="E66" i="17"/>
  <c r="E138" i="17"/>
  <c r="E54" i="17"/>
  <c r="E88" i="17"/>
  <c r="E51" i="17"/>
  <c r="E102" i="17"/>
  <c r="E37" i="17"/>
  <c r="E108" i="17"/>
  <c r="E110" i="17"/>
  <c r="E137" i="17"/>
  <c r="E122" i="17"/>
  <c r="E93" i="17"/>
  <c r="E86" i="17"/>
  <c r="E38" i="17"/>
  <c r="E17" i="17"/>
  <c r="E143" i="17"/>
  <c r="E20" i="17"/>
  <c r="E104" i="17"/>
  <c r="E103" i="17"/>
  <c r="E123" i="17"/>
  <c r="E145" i="17"/>
  <c r="E118" i="17"/>
  <c r="E85" i="17"/>
  <c r="E169" i="17"/>
  <c r="E19" i="17"/>
  <c r="E64" i="17"/>
  <c r="E131" i="17"/>
  <c r="E42" i="17"/>
  <c r="E188" i="17"/>
  <c r="E184" i="17"/>
  <c r="E49" i="17"/>
  <c r="E25" i="17"/>
  <c r="E12" i="17"/>
  <c r="E61" i="17"/>
  <c r="E84" i="17"/>
  <c r="E148" i="17"/>
  <c r="E98" i="17"/>
  <c r="E16" i="17"/>
  <c r="E90" i="17"/>
  <c r="E147" i="17"/>
  <c r="E15" i="17"/>
  <c r="E189" i="17"/>
  <c r="E185" i="17"/>
  <c r="E186" i="17"/>
  <c r="E13" i="17"/>
  <c r="E60" i="17"/>
  <c r="E72" i="17"/>
  <c r="E70" i="17"/>
  <c r="E113" i="17"/>
  <c r="E63" i="17"/>
  <c r="E45" i="17"/>
  <c r="E82" i="17"/>
  <c r="E133" i="17"/>
  <c r="E55" i="17"/>
  <c r="E167" i="17"/>
  <c r="E158" i="17"/>
  <c r="E43" i="17"/>
  <c r="E23" i="17"/>
  <c r="E67" i="17"/>
  <c r="E151" i="17"/>
  <c r="E116" i="17"/>
  <c r="E153" i="17"/>
  <c r="E164" i="17"/>
  <c r="E75" i="17"/>
  <c r="E142" i="17"/>
  <c r="E154" i="17"/>
  <c r="E92" i="17"/>
  <c r="E134" i="17"/>
  <c r="E94" i="17"/>
  <c r="E162" i="17"/>
  <c r="E165" i="17"/>
  <c r="E181" i="17"/>
  <c r="E161" i="17"/>
  <c r="E105" i="17"/>
  <c r="E29" i="17"/>
  <c r="E14" i="17"/>
  <c r="E58" i="17"/>
  <c r="E97" i="17"/>
  <c r="E174" i="17"/>
  <c r="E136" i="17"/>
  <c r="E146" i="17"/>
  <c r="E40" i="17"/>
  <c r="E24" i="17"/>
  <c r="E106" i="17"/>
  <c r="E59" i="17"/>
  <c r="E171" i="17"/>
  <c r="E53" i="17"/>
  <c r="E44" i="17"/>
  <c r="E179" i="17"/>
  <c r="E173" i="17"/>
  <c r="E11" i="17"/>
  <c r="F220" i="17"/>
  <c r="E152" i="17"/>
  <c r="E107" i="17"/>
  <c r="E127" i="17"/>
  <c r="E79" i="17"/>
  <c r="E168" i="17"/>
  <c r="E99" i="17"/>
  <c r="E210" i="17" l="1"/>
  <c r="E216" i="17"/>
  <c r="E217" i="17" s="1"/>
  <c r="K216" i="17"/>
  <c r="L216" i="17"/>
  <c r="E156" i="17"/>
  <c r="E182" i="17"/>
  <c r="E129" i="17"/>
  <c r="E56" i="17"/>
  <c r="E32" i="17"/>
  <c r="L219" i="17"/>
  <c r="E73" i="17"/>
  <c r="E100" i="17"/>
  <c r="E211" i="17" l="1"/>
  <c r="E101" i="17"/>
  <c r="K219" i="17"/>
  <c r="K217" i="17"/>
  <c r="L217" i="17"/>
  <c r="C217" i="17" l="1"/>
  <c r="AD44" i="42" l="1"/>
  <c r="AD55" i="42" s="1"/>
  <c r="AC56" i="42" s="1"/>
  <c r="AB55" i="42"/>
  <c r="AB56" i="42" l="1"/>
  <c r="AD56" i="42" s="1"/>
  <c r="AR64" i="42" l="1"/>
  <c r="AP64" i="42"/>
  <c r="AW31" i="42"/>
  <c r="AW64" i="42"/>
  <c r="AT64" i="42"/>
  <c r="AT31" i="42"/>
  <c r="AZ64" i="42"/>
  <c r="AZ31" i="42"/>
  <c r="AV64" i="42"/>
  <c r="AY64" i="42"/>
  <c r="AQ64" i="42"/>
  <c r="AQ31" i="42"/>
  <c r="AR31" i="42" s="1"/>
  <c r="AS64" i="42"/>
  <c r="AS31" i="42"/>
  <c r="AV31" i="42"/>
  <c r="AY31" i="42"/>
  <c r="AP48" i="42"/>
  <c r="AQ48" i="42"/>
  <c r="AT48" i="42"/>
  <c r="AW48" i="42"/>
  <c r="AV48" i="42"/>
  <c r="AS48" i="42"/>
  <c r="AZ48" i="42"/>
  <c r="AY48" i="42"/>
  <c r="AX31" i="42" l="1"/>
  <c r="AU31" i="42"/>
  <c r="BA31" i="42"/>
  <c r="BA48" i="42"/>
  <c r="AR48" i="42"/>
  <c r="AU48" i="42"/>
  <c r="AX48" i="42"/>
  <c r="J30" i="42" l="1"/>
  <c r="I30" i="42"/>
  <c r="J27" i="42"/>
  <c r="I29" i="42"/>
  <c r="D31" i="42"/>
  <c r="I28" i="42"/>
  <c r="J29" i="42"/>
  <c r="K29" i="42"/>
  <c r="I27" i="42"/>
  <c r="J28" i="42"/>
  <c r="K28" i="42"/>
  <c r="C31" i="42"/>
  <c r="K27" i="42"/>
  <c r="F31" i="42"/>
  <c r="G31" i="42"/>
  <c r="J64" i="42"/>
  <c r="K62" i="42"/>
  <c r="I63" i="42"/>
  <c r="J61" i="42"/>
  <c r="D65" i="42"/>
  <c r="I64" i="42"/>
  <c r="I62" i="42"/>
  <c r="K63" i="42"/>
  <c r="J62" i="42"/>
  <c r="J63" i="42"/>
  <c r="I61" i="42"/>
  <c r="K61" i="42"/>
  <c r="C65" i="42"/>
  <c r="H64" i="42"/>
  <c r="F65" i="42" s="1"/>
  <c r="H31" i="42" l="1"/>
  <c r="E31" i="42"/>
  <c r="K64" i="42"/>
  <c r="K30" i="42"/>
  <c r="E65" i="42"/>
  <c r="G65" i="42"/>
  <c r="H65" i="42" s="1"/>
  <c r="C15"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Larochelle, Jean-philippe</author>
  </authors>
  <commentList>
    <comment ref="D108" authorId="0" shapeId="0" xr:uid="{00000000-0006-0000-0000-000001000000}">
      <text>
        <r>
          <rPr>
            <sz val="9"/>
            <color indexed="81"/>
            <rFont val="Tahoma"/>
            <family val="2"/>
          </rPr>
          <t>Version 1.0:
- Création du fichier JPL 1.0
-Format des no de comptes MCD 1.1
Version 1.1
- Ajout des moyenne
Version 1.2
-Adjustement on Disbursment tab to reflect the amount disbursed not the outstanding balance
Version 1.3
-Changement des formats des devises
Version 1.6
-Adjusted date for working days
Version 1.7
-Connected to live Branch Server 10.10.1.150 and Database EFC_UG_001 
Version 1.8
-Adjustment on Disbursement and General Porfolio to reflect the BLCs in each Branch.
-Adjustment on Disbursement and General Porfolio to reflect New KOLOLO Branch.
Versoin 1.9
-Modified the connections on Parameters to pick information from any database at any EFC (UG) administrative business location.
Version 2.0
-Add levels to the Disbursment &amp; General Portfolio and the DelinquencyPerSector_Dashboard sheet
-SAF and DCollector has been grouped under a new segment "Admin", this is done on Disbursement Sheet, SAF is only under Admin segment, SAF and DCOLLECTOR on General Porfolio Sheet
-Added column on Disbursement Sheet to reflect the status of file, whether New or Repeat.
Version 2.1 (28-09-2016)
-Modified General porfolio to include lending status COLUMN of each credit officer with values NORMAL,WATCH,STOP.
-Added Analysis EOM break down of PAR, portfolio and disbursements based on products and loan size - Gouin, Samuel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FINANCEINTERNDID</author>
  </authors>
  <commentList>
    <comment ref="X21" authorId="0" shapeId="0" xr:uid="{00000000-0006-0000-1500-000001000000}">
      <text>
        <r>
          <rPr>
            <b/>
            <sz val="9"/>
            <color indexed="81"/>
            <rFont val="Tahoma"/>
            <family val="2"/>
          </rPr>
          <t>FINANCEINTERNDID:</t>
        </r>
        <r>
          <rPr>
            <sz val="9"/>
            <color indexed="81"/>
            <rFont val="Tahoma"/>
            <family val="2"/>
          </rPr>
          <t xml:space="preserve">
Should correspond to the sum of column G (Outstanding * Interets) divided by total outstanding portfolio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192.168.1.150 Daily_Delinquency_With_Sectors" description="DelinquencyWithSectors" type="5" refreshedVersion="5" savePassword="1" background="1" saveData="1">
    <dbPr connection="Provider=SQLOLEDB.1;Password=did2400;Persist Security Info=True;User ID=sa;Initial Catalog=Daily_CONSOLIDATED;Data Source=SVR-SQL1;Use Procedure for Prepare=1;Auto Translate=True;Packet Size=4096;Workstation ID=PROGRAMMER;Use Encryption for Data=False;Tag with column collation when possible=False" command="SELECT credit.NUM_CREDITO as 'Credit number',credit.COD_CLIENTE as 'Client number',del.[Client Name],del.[Credit Type],del.[Late Amount],del.[Days in Arrears],del.[Outstanding Balance],del.[Loan Officer],del.Interest,del.[Disbursment date],del.[Expiration date],del.[Phone No-1],del.[Phone No-2],del.[Phone No-3],activity.DES_ACTIVIDAD as 'Activity',subActivity.DES_SUBACTIV as 'Sub activity',subsubActivity.DES_SUBSUBACTIV as 'Sub-sub activity' FROM Delinquency_Compulsory_Daily  as del INNER JOIN PR.PR_CREDITOS AS credit ON del.[Credit No] = credit.NUM_CREDITO left join CL.CL_ACTIVIDAD_ECONOMICA as activity on credit.COD_ACTIVIDAD = activity.COD_ACTIVIDAD left join CL.CL_SUBACT_ECONOMICA as subActivity on credit.COD_SUBACTIV = subActivity.COD_SUBACTIV and credit.COD_ACTIVIDAD = subActivity.COD_ACTIVIDAD left join CL.CL_SUBSUBACT_ECONOMICA  as subSubActivity on credit.COD_SUBSUBACTIVIDAD = subsubActivity.COD_SUBSUBACTIV and credit.COD_ACTIVIDAD = subSubActivity.COD_ACTIVIDAD and credit.COD_SUBACTIV  = subSubActivity.COD_SUBACTIV WHERE (IND_ESTADO = 'D')"/>
  </connection>
  <connection id="2" xr16:uid="{00000000-0015-0000-FFFF-FFFF01000000}" keepAlive="1" name="192.168.1.150 M_CONSOLIDATED Delinquency_Compulsory_EOM" description="EOM Delinquency" type="5" refreshedVersion="5" savePassword="1" background="1" saveData="1">
    <dbPr connection="Provider=SQLOLEDB.1;Password=did2400;Persist Security Info=True;User ID=sa;Initial Catalog=M_CONSOLIDATED;Data Source=SVR-SQL1;Use Procedure for Prepare=1;Auto Translate=True;Packet Size=4096;Workstation ID=PROGRAMMER;Use Encryption for Data=False;Tag with column collation when possible=False" command="M_CONSOLIDATED.&quot;dbo&quot;.&quot;Delinquency_Compulsory_EOM&quot;" commandType="3"/>
  </connection>
  <connection id="3" xr16:uid="{00000000-0015-0000-FFFF-FFFF02000000}" keepAlive="1" name="Delinquency_Compulsory_Daily" type="5" refreshedVersion="5" savePassword="1" background="1" saveData="1">
    <dbPr connection="Provider=SQLOLEDB.1;Password=did2400;Persist Security Info=True;User ID=sa;Initial Catalog=M_CONSOLIDATED;Data Source=svr-sql1;Use Procedure for Prepare=1;Auto Translate=True;Packet Size=4096;Workstation ID=PROGRAMMER;Use Encryption for Data=False;Tag with column collation when possible=False" command="SELECT credit.NUM_CREDITO as 'Credit number', _x000d__x000a_credit.COD_CLIENTE as 'Client number', _x000d__x000a_del.[Client Name],_x000d__x000a_del.[Credit Type], _x000d__x000a_del.[Late Amount], _x000d__x000a_del.[Days in Arrears], _x000d__x000a_del.[Outstanding Balance],_x000d__x000a_credit.MON_DESEMBOLSADO as 'Disbursement Amount', _x000d__x000a_del.[Loan Officer],_x000d__x000a_del.Interest, _x000d__x000a_del.[Disbursment date], _x000d__x000a_del.[Expiration date], _x000d__x000a_del.[Phone No-1], _x000d__x000a_del.[Phone No-2],_x000d__x000a_del.[Phone No-3], _x000d__x000a_activity.DES_ACTIVIDAD as 'Activity', _x000d__x000a_subActivity.DES_SUBACTIV as 'Sub activity',_x000d__x000a_subsubActivity.DES_SUBSUBACTIV as 'Sub-sub activity',_x000d__x000a_CASE when credit.COD_EJECUTIVO &lt;&gt; 'SAF2000' then _x000d__x000a_case when (select count(cod_cliente) From PR.pr_creditos where cod_cliente = credit.COD_CLIENTE) &gt; 1 then 'Repeat File' _x000d__x000a_else 'New File' end else 'New File' END as [Loan Status],_x000d__x000a_credit.MON_DESEMBOLSADO*  credit.TASA_INTERES as [Amount disbursed * Interest],del.[Outstanding Balance] * credit.TASA_INTERES as [Outstanding Balance * Interest]_x000d__x000a_FROM Delinquency_Compulsory_Daily as del _x000d__x000a_INNER JOIN PR.PR_CREDITOS AS credit ON del.[Credit No] = credit.NUM_CREDITO _x000d__x000a_left join CL.CL_ACTIVIDAD_ECONOMICA as activity on credit.COD_ACTIVIDAD = activity.COD_ACTIVIDAD _x000d__x000a_left join CL.CL_SUBACT_ECONOMICA as subActivity on credit.COD_SUBACTIV = subActivity.COD_SUBACTIV _x000d__x000a_and credit.COD_ACTIVIDAD = subActivity.COD_ACTIVIDAD _x000d__x000a_left join CL.CL_SUBSUBACT_ECONOMICA  as subSubActivity on credit.COD_SUBSUBACTIVIDAD = subsubActivity.COD_SUBSUBACTIV _x000d__x000a_and credit.COD_ACTIVIDAD = subSubActivity.COD_ACTIVIDAD _x000d__x000a_and credit.COD_SUBACTIV  = subSubActivity.COD_SUBACTIV WHERE (IND_ESTADO = 'D')"/>
  </connection>
  <connection id="4" xr16:uid="{00000000-0015-0000-FFFF-FFFF03000000}" keepAlive="1" name="SVR-SQL1 Daily_CONSOLIDATED CRB_Delinquency1" description="Holidays" type="5" refreshedVersion="5" savePassword="1" background="1" saveData="1">
    <dbPr connection="Provider=SQLOLEDB.1;Password=did2400;Persist Security Info=True;User ID=sa;Initial Catalog=Daily_CONSOLIDATED;Data Source=SVR-SQL1;Use Procedure for Prepare=1;Auto Translate=True;Packet Size=4096;Workstation ID=PROGRAMMER;Use Encryption for Data=False;Tag with column collation when possible=False" command="SELECT [DES_FERIADO] as 'Holiday',[FEC_FERIADO] as 'Date' FROM PA.PA_FERIADOS_X_AGENCIA"/>
  </connection>
  <connection id="5" xr16:uid="{00000000-0015-0000-FFFF-FFFF04000000}" keepAlive="1" name="SVR-SQL1 Daily_CONSOLIDATED1" type="5" refreshedVersion="5" savePassword="1" background="1" saveData="1">
    <dbPr connection="Provider=SQLOLEDB.1;Password=did2400;Persist Security Info=True;User ID=sa;Initial Catalog=Daily_CONSOLIDATED;Data Source=SVR-SQL1;Use Procedure for Prepare=1;Auto Translate=True;Packet Size=4096;Workstation ID=INTERN1-PC;Use Encryption for Data=False;Tag with column collation when possible=False" command="SELECT _x000d__x000a_activity.DES_ACTIVIDAD as 'Activity',_x000d__x000a_subActivity.DES_SUBACTIV as 'Sub-Activity',_x000d__x000a_subsubActivity.DES_SUBSUBACTIV as 'Subsubactivity',_x000d__x000a_sum(del.[Outstanding Balance]) as 'Amount total Portfolio'_x000d__x000a_FROM Delinquency_Compulsory_Daily  as del _x000d__x000a_INNER JOIN PR.PR_CREDITOS AS credit ON del.[Credit No] = credit.NUM_CREDITO _x000d__x000a_left join CL.CL_ACTIVIDAD_ECONOMICA as activity on credit.COD_ACTIVIDAD = activity.COD_ACTIVIDAD _x000d__x000a_left join CL.CL_SUBACT_ECONOMICA as subActivity on credit.COD_SUBACTIV = subActivity.COD_SUBACTIV _x000d__x000a_and credit.COD_ACTIVIDAD = subActivity.COD_ACTIVIDAD _x000d__x000a_left join CL.CL_SUBSUBACT_ECONOMICA  as subSubActivity on _x000d__x000a_credit.COD_SUBSUBACTIVIDAD = subsubActivity.COD_SUBSUBACTIV _x000d__x000a_and credit.COD_ACTIVIDAD = subSubActivity.COD_ACTIVIDAD _x000d__x000a_and credit.COD_SUBACTIV  = subSubActivity.COD_SUBACTIV_x000d__x000a_group by activity.DES_ACTIVIDAD, subActivity.DES_SUBACTIV,_x000d__x000a_subsubActivity.DES_SUBSUBACTIV_x000d__x000a_order by DES_ACTIVIDAD ASC"/>
  </connection>
</connections>
</file>

<file path=xl/sharedStrings.xml><?xml version="1.0" encoding="utf-8"?>
<sst xmlns="http://schemas.openxmlformats.org/spreadsheetml/2006/main" count="71409" uniqueCount="6035">
  <si>
    <t>Parameters</t>
  </si>
  <si>
    <t>From</t>
  </si>
  <si>
    <t>DB Server</t>
  </si>
  <si>
    <t>DB Name</t>
  </si>
  <si>
    <t>ex: srv-saf1</t>
  </si>
  <si>
    <t>Managing Version</t>
  </si>
  <si>
    <t>Effective Date</t>
  </si>
  <si>
    <t>Document Name</t>
  </si>
  <si>
    <t>Date</t>
  </si>
  <si>
    <t xml:space="preserve">  (dd-mm-yyyy)</t>
  </si>
  <si>
    <t>To</t>
  </si>
  <si>
    <t>Credit number</t>
  </si>
  <si>
    <t>Client number</t>
  </si>
  <si>
    <t>Disbursed by</t>
  </si>
  <si>
    <t>Disbursement amount</t>
  </si>
  <si>
    <t>Outstanding balance</t>
  </si>
  <si>
    <t>Interest rate</t>
  </si>
  <si>
    <t>Penality rate</t>
  </si>
  <si>
    <t>Grace period</t>
  </si>
  <si>
    <t>Opening date</t>
  </si>
  <si>
    <t>Maturity date</t>
  </si>
  <si>
    <t>Activity</t>
  </si>
  <si>
    <t>Sub activity</t>
  </si>
  <si>
    <t>Sub-sub activity</t>
  </si>
  <si>
    <t>Loan officer</t>
  </si>
  <si>
    <t>Retail</t>
  </si>
  <si>
    <t>Others</t>
  </si>
  <si>
    <t>Wholesale Trade</t>
  </si>
  <si>
    <t>Other Services</t>
  </si>
  <si>
    <t>Restaurants and Hotels</t>
  </si>
  <si>
    <t>Restaurant</t>
  </si>
  <si>
    <t>Manufacturing</t>
  </si>
  <si>
    <t>Electronics Stores</t>
  </si>
  <si>
    <t>Credit Officer</t>
  </si>
  <si>
    <t>Total</t>
  </si>
  <si>
    <t>Construction</t>
  </si>
  <si>
    <t>Agriculture, Forestry, Fishing and Hunting</t>
  </si>
  <si>
    <t>Transportation and Warehousing</t>
  </si>
  <si>
    <t xml:space="preserve"> Passenger Transportation</t>
  </si>
  <si>
    <t>Taxi service</t>
  </si>
  <si>
    <t>Credit Activity</t>
  </si>
  <si>
    <t>Mining</t>
  </si>
  <si>
    <t>Information</t>
  </si>
  <si>
    <t>Finance and Insurance</t>
  </si>
  <si>
    <t>Real Estate and Rental</t>
  </si>
  <si>
    <t>Educational Services</t>
  </si>
  <si>
    <t>Health Care</t>
  </si>
  <si>
    <t>Outstanding 
Balance</t>
  </si>
  <si>
    <t>Outstanding 
Balance (%)</t>
  </si>
  <si>
    <t>Credit No</t>
  </si>
  <si>
    <t>Client No</t>
  </si>
  <si>
    <t>Client Name</t>
  </si>
  <si>
    <t>Credit Type</t>
  </si>
  <si>
    <t>Late Amount</t>
  </si>
  <si>
    <t>Days in Arrears</t>
  </si>
  <si>
    <t>Outstanding Balance</t>
  </si>
  <si>
    <t>Loan Officer</t>
  </si>
  <si>
    <t>Interest</t>
  </si>
  <si>
    <t>Disbursment date</t>
  </si>
  <si>
    <t>Expiration date</t>
  </si>
  <si>
    <t>Phone No-1</t>
  </si>
  <si>
    <t>Phone No-2</t>
  </si>
  <si>
    <t>Phone No-3</t>
  </si>
  <si>
    <t>Nb of 
Loan Disbursed</t>
  </si>
  <si>
    <t>Loan Disbursed (%)</t>
  </si>
  <si>
    <t>Month:</t>
  </si>
  <si>
    <t>Prevision</t>
  </si>
  <si>
    <t>Realized</t>
  </si>
  <si>
    <t>Loan 
Disbursed</t>
  </si>
  <si>
    <t>Monthly Objective</t>
  </si>
  <si>
    <t>Day of 
Disbursement</t>
  </si>
  <si>
    <t>Monthly Loan Disbursed</t>
  </si>
  <si>
    <t>Loans Portfolio Progression</t>
  </si>
  <si>
    <t>Monthly Objectives:</t>
  </si>
  <si>
    <t>00100000012</t>
  </si>
  <si>
    <t>Rental</t>
  </si>
  <si>
    <t>JANE SEMUGOMA</t>
  </si>
  <si>
    <t>0772403243</t>
  </si>
  <si>
    <t>0414272754</t>
  </si>
  <si>
    <t>00100000624</t>
  </si>
  <si>
    <t>SLAKER</t>
  </si>
  <si>
    <t>Durable Goods</t>
  </si>
  <si>
    <t>CMBALEKEDD</t>
  </si>
  <si>
    <t>00100000662</t>
  </si>
  <si>
    <t>00100000613</t>
  </si>
  <si>
    <t>00100000659</t>
  </si>
  <si>
    <t>EKOBUSINGE</t>
  </si>
  <si>
    <t>00100000649</t>
  </si>
  <si>
    <t>General Merchandise Stores</t>
  </si>
  <si>
    <t>Schools</t>
  </si>
  <si>
    <t>FDAGIRU</t>
  </si>
  <si>
    <t>00100000640</t>
  </si>
  <si>
    <t>Real Estate</t>
  </si>
  <si>
    <t>00100000716</t>
  </si>
  <si>
    <t>Second Hand -Clothing and  Accessories</t>
  </si>
  <si>
    <t>Clothing Stores</t>
  </si>
  <si>
    <t>Hotel</t>
  </si>
  <si>
    <t>Animal Production</t>
  </si>
  <si>
    <t>Poultry &amp; Egg Production</t>
  </si>
  <si>
    <t>00100000289</t>
  </si>
  <si>
    <t>00100000111</t>
  </si>
  <si>
    <t>New-Clothing and  Accessories</t>
  </si>
  <si>
    <t>00100000564</t>
  </si>
  <si>
    <t>Building Material and Garden Equipment</t>
  </si>
  <si>
    <t>Hardware Stores</t>
  </si>
  <si>
    <t>00100000739</t>
  </si>
  <si>
    <t>Motor Vehicle and Parts Dealers</t>
  </si>
  <si>
    <t>Automotive Parts, Accessories, &amp; Tire Stores</t>
  </si>
  <si>
    <t>Personal Services</t>
  </si>
  <si>
    <t>00100000760</t>
  </si>
  <si>
    <t>00100000741</t>
  </si>
  <si>
    <t>00100000112</t>
  </si>
  <si>
    <t xml:space="preserve"> Medical &amp; Diagnostic Laboratories</t>
  </si>
  <si>
    <t>00100000703</t>
  </si>
  <si>
    <t>00100000776</t>
  </si>
  <si>
    <t>FKATONGOLE</t>
  </si>
  <si>
    <t>Nondurable Goods</t>
  </si>
  <si>
    <t>JLUMUNYE</t>
  </si>
  <si>
    <t>Forestry</t>
  </si>
  <si>
    <t>Timber Tract Operations</t>
  </si>
  <si>
    <t>00100000710</t>
  </si>
  <si>
    <t>Construction of Buildings</t>
  </si>
  <si>
    <t>Residential Construction</t>
  </si>
  <si>
    <t>CAYESIGA</t>
  </si>
  <si>
    <t>00100000132</t>
  </si>
  <si>
    <t>00100000063</t>
  </si>
  <si>
    <t>VINCENT KAWUNDE</t>
  </si>
  <si>
    <t>0312106562</t>
  </si>
  <si>
    <t>0772403981</t>
  </si>
  <si>
    <t>0752403981</t>
  </si>
  <si>
    <t>00100000139</t>
  </si>
  <si>
    <t>MUHMOOD KIGOZI SETYABULE</t>
  </si>
  <si>
    <t>0782985874</t>
  </si>
  <si>
    <t>0701086272</t>
  </si>
  <si>
    <t>00100000120</t>
  </si>
  <si>
    <t>DARLINGTON MUGABE</t>
  </si>
  <si>
    <t>0776814170</t>
  </si>
  <si>
    <t>0701814170</t>
  </si>
  <si>
    <t>0712814170</t>
  </si>
  <si>
    <t>00100000096</t>
  </si>
  <si>
    <t>EMMANUEL S HAKIZA</t>
  </si>
  <si>
    <t>0772418267</t>
  </si>
  <si>
    <t>0703418267</t>
  </si>
  <si>
    <t>0772939307</t>
  </si>
  <si>
    <t>00100000064</t>
  </si>
  <si>
    <t>RUKOOGE ENTERPRISES (U) LTD</t>
  </si>
  <si>
    <t>0772996845</t>
  </si>
  <si>
    <t>00100000200</t>
  </si>
  <si>
    <t>GRACE KOMUGISHA</t>
  </si>
  <si>
    <t>0772448395</t>
  </si>
  <si>
    <t>0701448395</t>
  </si>
  <si>
    <t>00100000137</t>
  </si>
  <si>
    <t>RASHID NAKIDA</t>
  </si>
  <si>
    <t>0772418770</t>
  </si>
  <si>
    <t>00100000178</t>
  </si>
  <si>
    <t>EDWARD KIGONGO</t>
  </si>
  <si>
    <t>0752643433</t>
  </si>
  <si>
    <t>0713019138</t>
  </si>
  <si>
    <t>0701661066</t>
  </si>
  <si>
    <t>00100000050</t>
  </si>
  <si>
    <t>EDWARD KASULE</t>
  </si>
  <si>
    <t>0782672657</t>
  </si>
  <si>
    <t>0705739352</t>
  </si>
  <si>
    <t>00100000268</t>
  </si>
  <si>
    <t>ALEX ALBINUS OCHAN</t>
  </si>
  <si>
    <t>0776760935</t>
  </si>
  <si>
    <t>0752760935</t>
  </si>
  <si>
    <t>0701337118</t>
  </si>
  <si>
    <t>00100000299</t>
  </si>
  <si>
    <t>AMIN JJEERO</t>
  </si>
  <si>
    <t>0772510212</t>
  </si>
  <si>
    <t>0752510212</t>
  </si>
  <si>
    <t>0704510212</t>
  </si>
  <si>
    <t>00100000316</t>
  </si>
  <si>
    <t>00100000365</t>
  </si>
  <si>
    <t>VENANTIE KAMUGISHA</t>
  </si>
  <si>
    <t>0788575948</t>
  </si>
  <si>
    <t>00100000414</t>
  </si>
  <si>
    <t>LUKIA YIGA</t>
  </si>
  <si>
    <t>0752647266</t>
  </si>
  <si>
    <t>0775491269</t>
  </si>
  <si>
    <t>00100000109</t>
  </si>
  <si>
    <t>DAVID KIWANUKA MAYITO</t>
  </si>
  <si>
    <t>0772523976</t>
  </si>
  <si>
    <t>0704141837</t>
  </si>
  <si>
    <t>00100000071</t>
  </si>
  <si>
    <t>BONIFACE ZZIWA</t>
  </si>
  <si>
    <t>0782668329</t>
  </si>
  <si>
    <t>0772464651</t>
  </si>
  <si>
    <t>00100000294</t>
  </si>
  <si>
    <t>ROBERT KASULE</t>
  </si>
  <si>
    <t>0782531350</t>
  </si>
  <si>
    <t>00100000377</t>
  </si>
  <si>
    <t>BLASIUS MUTANDA KAWULE</t>
  </si>
  <si>
    <t>0772686141</t>
  </si>
  <si>
    <t>00100000463</t>
  </si>
  <si>
    <t>JOHN HENRY SSERWANIKO</t>
  </si>
  <si>
    <t>0703681501</t>
  </si>
  <si>
    <t>0752425394</t>
  </si>
  <si>
    <t>00100000371</t>
  </si>
  <si>
    <t>00100000118</t>
  </si>
  <si>
    <t>REBECCA MUSOKE NAGAWA</t>
  </si>
  <si>
    <t>0772691939</t>
  </si>
  <si>
    <t>00100000104</t>
  </si>
  <si>
    <t>EMANUEL GUYIDDE</t>
  </si>
  <si>
    <t>0772660086</t>
  </si>
  <si>
    <t>0701660086</t>
  </si>
  <si>
    <t>00100000460</t>
  </si>
  <si>
    <t>GEORGE WILLIAM SSERUNJOGI</t>
  </si>
  <si>
    <t>0782602500</t>
  </si>
  <si>
    <t>0702602501</t>
  </si>
  <si>
    <t>00100000454</t>
  </si>
  <si>
    <t>MARGRET NALWANGA</t>
  </si>
  <si>
    <t>0782261611</t>
  </si>
  <si>
    <t>0753407388</t>
  </si>
  <si>
    <t>00100000420</t>
  </si>
  <si>
    <t>CHARLES KAZIRO KATO</t>
  </si>
  <si>
    <t>0773143694</t>
  </si>
  <si>
    <t>0700197169</t>
  </si>
  <si>
    <t>00100000566</t>
  </si>
  <si>
    <t>MICHEAL MUKHOLI</t>
  </si>
  <si>
    <t>0782652178</t>
  </si>
  <si>
    <t>0701652178</t>
  </si>
  <si>
    <t>00100000277</t>
  </si>
  <si>
    <t>EDSON MUSINGUZI</t>
  </si>
  <si>
    <t>0701748730</t>
  </si>
  <si>
    <t>0783864686</t>
  </si>
  <si>
    <t>00100000505</t>
  </si>
  <si>
    <t>MUHAMAD MUGERWA MUSISI</t>
  </si>
  <si>
    <t>0772459107</t>
  </si>
  <si>
    <t>00100000523</t>
  </si>
  <si>
    <t>PATRICK KALULE</t>
  </si>
  <si>
    <t>0772502236</t>
  </si>
  <si>
    <t>00100000405</t>
  </si>
  <si>
    <t>ERASMUS OPIO</t>
  </si>
  <si>
    <t>0782845604</t>
  </si>
  <si>
    <t>00100000309</t>
  </si>
  <si>
    <t>TIMOTHY LUBANGA</t>
  </si>
  <si>
    <t>0772451852</t>
  </si>
  <si>
    <t>0701451851</t>
  </si>
  <si>
    <t>0752457710</t>
  </si>
  <si>
    <t>FRED LUBEGA</t>
  </si>
  <si>
    <t>0792122813</t>
  </si>
  <si>
    <t>FAITH BUSINGE</t>
  </si>
  <si>
    <t>772558299</t>
  </si>
  <si>
    <t>704473078</t>
  </si>
  <si>
    <t>HENRY KYALEMA LUTAAKOME</t>
  </si>
  <si>
    <t>0772411470</t>
  </si>
  <si>
    <t>0704119110</t>
  </si>
  <si>
    <t>MICHEAL GITA</t>
  </si>
  <si>
    <t>0701634045</t>
  </si>
  <si>
    <t>0782757207</t>
  </si>
  <si>
    <t>CAROLINE CHEROTICH</t>
  </si>
  <si>
    <t>0772339534</t>
  </si>
  <si>
    <t>0702334154</t>
  </si>
  <si>
    <t>SARAH NAKANJAKO</t>
  </si>
  <si>
    <t>0788301248</t>
  </si>
  <si>
    <t>0705998561</t>
  </si>
  <si>
    <t>ANDREW KALANZI</t>
  </si>
  <si>
    <t>0782135267</t>
  </si>
  <si>
    <t>0752135267</t>
  </si>
  <si>
    <t>HADIJAH NANYANZI</t>
  </si>
  <si>
    <t>0772474138</t>
  </si>
  <si>
    <t>0701562551</t>
  </si>
  <si>
    <t>ROBERT KABUGO</t>
  </si>
  <si>
    <t>0776843904</t>
  </si>
  <si>
    <t>0702843904</t>
  </si>
  <si>
    <t>ROSET KANYUNYUNZI ABOOKI</t>
  </si>
  <si>
    <t>0776311783</t>
  </si>
  <si>
    <t>0702111842</t>
  </si>
  <si>
    <t>KYOMUHANGI DEBORAH</t>
  </si>
  <si>
    <t>0775225450</t>
  </si>
  <si>
    <t>0705555689</t>
  </si>
  <si>
    <t>ISMAIL JJUMBA ALIGAWEESA</t>
  </si>
  <si>
    <t>0772602384</t>
  </si>
  <si>
    <t>0757602384</t>
  </si>
  <si>
    <t>MALON SEGAWA</t>
  </si>
  <si>
    <t>0712247048</t>
  </si>
  <si>
    <t>0783881181</t>
  </si>
  <si>
    <t>SAM DAVID KISITU</t>
  </si>
  <si>
    <t>0772384766</t>
  </si>
  <si>
    <t>0703623892</t>
  </si>
  <si>
    <t>YUSUFU ALI MUBIRU</t>
  </si>
  <si>
    <t>0772569463</t>
  </si>
  <si>
    <t>SAF2000</t>
  </si>
  <si>
    <t>General Stores</t>
  </si>
  <si>
    <t>Health and Personal Care Stores</t>
  </si>
  <si>
    <t>Cosmetics, Beauty Supplies, &amp; Perfume Stores</t>
  </si>
  <si>
    <t>Truck Transportation</t>
  </si>
  <si>
    <t>Miscellaneous Store Retailers</t>
  </si>
  <si>
    <t>Food and Beverage Stores</t>
  </si>
  <si>
    <t>Furniture and Related Product Manufacturing</t>
  </si>
  <si>
    <t>Furniture</t>
  </si>
  <si>
    <t>Food Manufacturing</t>
  </si>
  <si>
    <t>Grain &amp; Oilseed Milling</t>
  </si>
  <si>
    <t>Furniture and Home Furnishings Stores</t>
  </si>
  <si>
    <t>Furniture Stores</t>
  </si>
  <si>
    <t>Beverage Stores</t>
  </si>
  <si>
    <t>Apparel Manufacturing</t>
  </si>
  <si>
    <t>Nonresidential Construction</t>
  </si>
  <si>
    <t>EMUGALA</t>
  </si>
  <si>
    <t>00100000775</t>
  </si>
  <si>
    <t>FLAVIA SSUUNA</t>
  </si>
  <si>
    <t>0772429500</t>
  </si>
  <si>
    <t>0702429500</t>
  </si>
  <si>
    <t>00100000880</t>
  </si>
  <si>
    <t>KALISA SULAIMAN</t>
  </si>
  <si>
    <t>0782565172</t>
  </si>
  <si>
    <t>00100000641</t>
  </si>
  <si>
    <t>JUBIRI FRANK AGABA</t>
  </si>
  <si>
    <t>0772405248</t>
  </si>
  <si>
    <t>0705377616</t>
  </si>
  <si>
    <t>0 day</t>
  </si>
  <si>
    <t>1 to 30 days</t>
  </si>
  <si>
    <t>31 to 90 days</t>
  </si>
  <si>
    <t>%</t>
  </si>
  <si>
    <t>balance</t>
  </si>
  <si>
    <t>Nb</t>
  </si>
  <si>
    <t>Delinquency</t>
  </si>
  <si>
    <t>Sub-Activity</t>
  </si>
  <si>
    <t>Row Labels</t>
  </si>
  <si>
    <t>Grand Total</t>
  </si>
  <si>
    <t>Sum of Nb</t>
  </si>
  <si>
    <t>Sum of balance</t>
  </si>
  <si>
    <t>Sum of %</t>
  </si>
  <si>
    <t>00100000921</t>
  </si>
  <si>
    <t>00100000879</t>
  </si>
  <si>
    <t>00100000930</t>
  </si>
  <si>
    <t>ROSE NAKAFEERO JJUMBA</t>
  </si>
  <si>
    <t>0772405591</t>
  </si>
  <si>
    <t>TIMOTHY ALIDEKI KASULE KIBIRIGE</t>
  </si>
  <si>
    <t>0772395684</t>
  </si>
  <si>
    <t>0702395684</t>
  </si>
  <si>
    <t>ABDALLAH KASOZI</t>
  </si>
  <si>
    <t>0702408303</t>
  </si>
  <si>
    <t>00100000568</t>
  </si>
  <si>
    <t>ANNET AGUTI</t>
  </si>
  <si>
    <t>0715781494</t>
  </si>
  <si>
    <t>Finance</t>
  </si>
  <si>
    <t>Microfinance Institutions</t>
  </si>
  <si>
    <t>ISAAC JULIUS HABYARIMANA</t>
  </si>
  <si>
    <t>0772514709</t>
  </si>
  <si>
    <t>FRED LUKYAMUZI</t>
  </si>
  <si>
    <t>91 to 180 days</t>
  </si>
  <si>
    <t>00100000836</t>
  </si>
  <si>
    <t>GEORGE WILSON MUTEEKANGA</t>
  </si>
  <si>
    <t>0775701747</t>
  </si>
  <si>
    <t>00100001034</t>
  </si>
  <si>
    <t>GODFREY SSENKUMBA</t>
  </si>
  <si>
    <t>0701436666</t>
  </si>
  <si>
    <t>0772504438</t>
  </si>
  <si>
    <t>00100001090</t>
  </si>
  <si>
    <t>00100001103</t>
  </si>
  <si>
    <t>SAUDA NAMUTEBI</t>
  </si>
  <si>
    <t>0774732018</t>
  </si>
  <si>
    <t>00100001093</t>
  </si>
  <si>
    <t>ISMA KAKAIRE KIRUNDA</t>
  </si>
  <si>
    <t>0752830438</t>
  </si>
  <si>
    <t>0702830438</t>
  </si>
  <si>
    <t>00100001064</t>
  </si>
  <si>
    <t>JOSEPH MUGENI</t>
  </si>
  <si>
    <t>0704021763</t>
  </si>
  <si>
    <t>0779854660</t>
  </si>
  <si>
    <t>00100001212</t>
  </si>
  <si>
    <t>00100001225</t>
  </si>
  <si>
    <t>00100001088</t>
  </si>
  <si>
    <t>00100001171</t>
  </si>
  <si>
    <t>00100001148</t>
  </si>
  <si>
    <t>00100001072</t>
  </si>
  <si>
    <t>00100001208</t>
  </si>
  <si>
    <t>FRANCIS NYENDE</t>
  </si>
  <si>
    <t>0772405186</t>
  </si>
  <si>
    <t>0751405186</t>
  </si>
  <si>
    <t>PROSSY NAMUGA NANSUMBU</t>
  </si>
  <si>
    <t>0712678062</t>
  </si>
  <si>
    <t>POLITO WALUGEMBE</t>
  </si>
  <si>
    <t>0772893776</t>
  </si>
  <si>
    <t>0754893776</t>
  </si>
  <si>
    <t>REBECCA NABIRYO</t>
  </si>
  <si>
    <t>0772496212</t>
  </si>
  <si>
    <t>0754496212</t>
  </si>
  <si>
    <t>CHARLES LWANGA</t>
  </si>
  <si>
    <t>0772425948</t>
  </si>
  <si>
    <t>0702425948</t>
  </si>
  <si>
    <t>GERTRUDE NAKAKANDE</t>
  </si>
  <si>
    <t>0785294414</t>
  </si>
  <si>
    <t>0705555329</t>
  </si>
  <si>
    <t>FESTO SSEBADDUKA</t>
  </si>
  <si>
    <t>0752565565</t>
  </si>
  <si>
    <t>0776565565</t>
  </si>
  <si>
    <t>00100001250</t>
  </si>
  <si>
    <t>FMATOVU</t>
  </si>
  <si>
    <t>00100001095</t>
  </si>
  <si>
    <t>RASHID KIRUNDA</t>
  </si>
  <si>
    <t>0772507505</t>
  </si>
  <si>
    <t>CAROLYN HOPE NABAASA</t>
  </si>
  <si>
    <t>0776171814</t>
  </si>
  <si>
    <t>0704936360</t>
  </si>
  <si>
    <t>Beverage and Tobacco Product Manufacturing</t>
  </si>
  <si>
    <t>00100001337</t>
  </si>
  <si>
    <t>DAVID KIMBOWA MUVUUMA</t>
  </si>
  <si>
    <t>0772582365</t>
  </si>
  <si>
    <t>0700151318</t>
  </si>
  <si>
    <t>HENRY WAMUWAYA</t>
  </si>
  <si>
    <t>0704306494</t>
  </si>
  <si>
    <t>00100001329</t>
  </si>
  <si>
    <t>ANNET NANVULE</t>
  </si>
  <si>
    <t>0772662946</t>
  </si>
  <si>
    <t>00100001388</t>
  </si>
  <si>
    <t>LKABABIITO</t>
  </si>
  <si>
    <t>00100001314</t>
  </si>
  <si>
    <t>0772913122</t>
  </si>
  <si>
    <t>CLETUS SERWANGA</t>
  </si>
  <si>
    <t>0772566487</t>
  </si>
  <si>
    <t>0414599794</t>
  </si>
  <si>
    <t>00100000458</t>
  </si>
  <si>
    <t>Machinery Manufacturing</t>
  </si>
  <si>
    <t>BRIDGETTE KIZITO</t>
  </si>
  <si>
    <t>0752494098</t>
  </si>
  <si>
    <t>0701494098</t>
  </si>
  <si>
    <t>00100001256</t>
  </si>
  <si>
    <t>ASHIM TWONGYEIRWE</t>
  </si>
  <si>
    <t>0772459208</t>
  </si>
  <si>
    <t>00100001357</t>
  </si>
  <si>
    <t>CHARLES NAKIBINGE</t>
  </si>
  <si>
    <t>0772494785</t>
  </si>
  <si>
    <t>0753494785</t>
  </si>
  <si>
    <t>PAR1</t>
  </si>
  <si>
    <t>PAR30</t>
  </si>
  <si>
    <t>00100001450</t>
  </si>
  <si>
    <t>AISHA NAMUYOMBA</t>
  </si>
  <si>
    <t>0712811541</t>
  </si>
  <si>
    <t>00100001445</t>
  </si>
  <si>
    <t>JUDAS AZABO</t>
  </si>
  <si>
    <t>0701451829</t>
  </si>
  <si>
    <t>0755409795</t>
  </si>
  <si>
    <t>00100001466</t>
  </si>
  <si>
    <t>Food  service contractors &amp; caterers</t>
  </si>
  <si>
    <t>00100001526</t>
  </si>
  <si>
    <t>00100001563</t>
  </si>
  <si>
    <t>00100001574</t>
  </si>
  <si>
    <t>00100001537</t>
  </si>
  <si>
    <t>KALIFANI KYASANKU</t>
  </si>
  <si>
    <t>0752690612</t>
  </si>
  <si>
    <t>0705446677</t>
  </si>
  <si>
    <t>BETTY NALUBEEGA MUGERWA</t>
  </si>
  <si>
    <t>0772370383</t>
  </si>
  <si>
    <t>0755370383</t>
  </si>
  <si>
    <t>STEPHEN KIMBOWA</t>
  </si>
  <si>
    <t>0772476413</t>
  </si>
  <si>
    <t>0759476413</t>
  </si>
  <si>
    <t>00100001497</t>
  </si>
  <si>
    <t>00100000824</t>
  </si>
  <si>
    <t>00100001536</t>
  </si>
  <si>
    <t>GODFREY KWIKIRIZA</t>
  </si>
  <si>
    <t>0774804763</t>
  </si>
  <si>
    <t>0703817066</t>
  </si>
  <si>
    <t>00100001594</t>
  </si>
  <si>
    <t>ESAU ABAINOMUGISHA</t>
  </si>
  <si>
    <t>0772578121</t>
  </si>
  <si>
    <t>0703067728</t>
  </si>
  <si>
    <t>00100001580</t>
  </si>
  <si>
    <t>00100001592</t>
  </si>
  <si>
    <t>DAN KALULE</t>
  </si>
  <si>
    <t>0772684940</t>
  </si>
  <si>
    <t>GODFREY JAKIRA KATONGOLE</t>
  </si>
  <si>
    <t>0392966625</t>
  </si>
  <si>
    <t>0704353752</t>
  </si>
  <si>
    <t>IMUGARUKIR</t>
  </si>
  <si>
    <t>LMUBIRU</t>
  </si>
  <si>
    <t>00100001096</t>
  </si>
  <si>
    <t>SINGA AMPURIIRE</t>
  </si>
  <si>
    <t>0704649850</t>
  </si>
  <si>
    <t>0702186545</t>
  </si>
  <si>
    <t>00100001693</t>
  </si>
  <si>
    <t>JOSHUA KUTEESA</t>
  </si>
  <si>
    <t>0705055553</t>
  </si>
  <si>
    <t>0792482027</t>
  </si>
  <si>
    <t>00100001555</t>
  </si>
  <si>
    <t>EDGAR MAGEZI</t>
  </si>
  <si>
    <t>0712131324</t>
  </si>
  <si>
    <t>00100001679</t>
  </si>
  <si>
    <t>00100001694</t>
  </si>
  <si>
    <t>FLORENCE NABULYA</t>
  </si>
  <si>
    <t>0754038313</t>
  </si>
  <si>
    <t>ALICE KYOMUGISHA</t>
  </si>
  <si>
    <t>0782749324</t>
  </si>
  <si>
    <t>00100000165</t>
  </si>
  <si>
    <t>OSCAR NICHOLAS KIMBUGWE</t>
  </si>
  <si>
    <t>0782165701</t>
  </si>
  <si>
    <t>07522165701</t>
  </si>
  <si>
    <t>GNALUBWAMA</t>
  </si>
  <si>
    <t>00100001763</t>
  </si>
  <si>
    <t>00100001752</t>
  </si>
  <si>
    <t>PAUL NSUBUGA</t>
  </si>
  <si>
    <t>0772623844</t>
  </si>
  <si>
    <t>0705900658</t>
  </si>
  <si>
    <t>WILLIAM MASABA</t>
  </si>
  <si>
    <t>0703949946</t>
  </si>
  <si>
    <t>0788568179</t>
  </si>
  <si>
    <t>00100000862</t>
  </si>
  <si>
    <t>GODFREY BUULE</t>
  </si>
  <si>
    <t>0772581171</t>
  </si>
  <si>
    <t>0704581171</t>
  </si>
  <si>
    <t>00100001791</t>
  </si>
  <si>
    <t>CHRIS KWIZERA</t>
  </si>
  <si>
    <t>0772497073</t>
  </si>
  <si>
    <t>0701497073</t>
  </si>
  <si>
    <t>00100001802</t>
  </si>
  <si>
    <t>Fabricated Metal Product Manufacturing</t>
  </si>
  <si>
    <t>00100001782</t>
  </si>
  <si>
    <t>STEVEN KISEKKA</t>
  </si>
  <si>
    <t>0704121199</t>
  </si>
  <si>
    <t>0783201791</t>
  </si>
  <si>
    <t>BRUHANE KASEKENDE</t>
  </si>
  <si>
    <t>0772424814</t>
  </si>
  <si>
    <t>0701424814</t>
  </si>
  <si>
    <t>Radio, Television, &amp; Other Electronics Stores</t>
  </si>
  <si>
    <t>Other General Purpose Machinery</t>
  </si>
  <si>
    <t>00100001821</t>
  </si>
  <si>
    <t>FREDRICK KIWANUKA</t>
  </si>
  <si>
    <t>0772507389</t>
  </si>
  <si>
    <t>0772539519</t>
  </si>
  <si>
    <t>00100001810</t>
  </si>
  <si>
    <t>00100001813</t>
  </si>
  <si>
    <t>MONICAH KATUSHABE</t>
  </si>
  <si>
    <t>0772572469</t>
  </si>
  <si>
    <t>DAVID MPAGI</t>
  </si>
  <si>
    <t>0775180372</t>
  </si>
  <si>
    <t>00100001751</t>
  </si>
  <si>
    <t>00100001861</t>
  </si>
  <si>
    <t>LINDA NAKANDI</t>
  </si>
  <si>
    <t>0700236077</t>
  </si>
  <si>
    <t>0775924213</t>
  </si>
  <si>
    <t>00100001864</t>
  </si>
  <si>
    <t>00100001876</t>
  </si>
  <si>
    <t>AIDAH NALULE</t>
  </si>
  <si>
    <t>0702301547</t>
  </si>
  <si>
    <t>JAMES KABATEREINE</t>
  </si>
  <si>
    <t>0774434913</t>
  </si>
  <si>
    <t>0757445030</t>
  </si>
  <si>
    <t>DCOLLECTOR</t>
  </si>
  <si>
    <t>00100001806</t>
  </si>
  <si>
    <t>MANSOOR KABIITO</t>
  </si>
  <si>
    <t>0772552366</t>
  </si>
  <si>
    <t>0701300559</t>
  </si>
  <si>
    <t>EMATEGA</t>
  </si>
  <si>
    <t>00100001904</t>
  </si>
  <si>
    <t>ANDREW MUGERWA</t>
  </si>
  <si>
    <t>0750746598</t>
  </si>
  <si>
    <t>0782023875</t>
  </si>
  <si>
    <t>00100001940</t>
  </si>
  <si>
    <t>YOSIA SEKITOLEKO SERWANGA</t>
  </si>
  <si>
    <t>0772517720</t>
  </si>
  <si>
    <t>0702517720</t>
  </si>
  <si>
    <t>00100001955</t>
  </si>
  <si>
    <t>00100001878</t>
  </si>
  <si>
    <t>ALICE NALWOGA</t>
  </si>
  <si>
    <t>0752811909</t>
  </si>
  <si>
    <t>STEPHEN MATOVU</t>
  </si>
  <si>
    <t>0701032030</t>
  </si>
  <si>
    <t>0772464654</t>
  </si>
  <si>
    <t>00100001916</t>
  </si>
  <si>
    <t>FRANCIS EKADU</t>
  </si>
  <si>
    <t>0772610308</t>
  </si>
  <si>
    <t>0702610308</t>
  </si>
  <si>
    <t>00100001848</t>
  </si>
  <si>
    <t>FRED SSERUGA</t>
  </si>
  <si>
    <t>0772517739</t>
  </si>
  <si>
    <t>0705720801</t>
  </si>
  <si>
    <t>00100001973</t>
  </si>
  <si>
    <t>JKYAKUWA</t>
  </si>
  <si>
    <t>00100000144</t>
  </si>
  <si>
    <t>JOHNSON BOSCO GUMISIRIZA</t>
  </si>
  <si>
    <t>0772505415</t>
  </si>
  <si>
    <t>0712505415</t>
  </si>
  <si>
    <t>GODFREY MAYANJA</t>
  </si>
  <si>
    <t>0772602999</t>
  </si>
  <si>
    <t>0730185852</t>
  </si>
  <si>
    <t>00100001857</t>
  </si>
  <si>
    <t>CKIWUMULO</t>
  </si>
  <si>
    <t>00100001942</t>
  </si>
  <si>
    <t>SARAH MUSISI</t>
  </si>
  <si>
    <t>0772501923</t>
  </si>
  <si>
    <t>DANIEL STEPHEN MASINDE</t>
  </si>
  <si>
    <t>0784887061</t>
  </si>
  <si>
    <t>0702990005</t>
  </si>
  <si>
    <t>00100001862</t>
  </si>
  <si>
    <t>SAMUEL KIWANUKA</t>
  </si>
  <si>
    <t>0782662540</t>
  </si>
  <si>
    <t>00100001999</t>
  </si>
  <si>
    <t>00100001929</t>
  </si>
  <si>
    <t>JOHNSON BYAMUKAMA BIRYAHWAHO</t>
  </si>
  <si>
    <t>0772480075</t>
  </si>
  <si>
    <t>0701480075</t>
  </si>
  <si>
    <t>00100002011</t>
  </si>
  <si>
    <t>MILDRED KUWONYA</t>
  </si>
  <si>
    <t>0772671057</t>
  </si>
  <si>
    <t>00100002004</t>
  </si>
  <si>
    <t>SULAIMAN SSEKANNYO</t>
  </si>
  <si>
    <t>0772306012</t>
  </si>
  <si>
    <t>00100000520</t>
  </si>
  <si>
    <t>00100001755</t>
  </si>
  <si>
    <t>SINGH TAJINDER GARCHA</t>
  </si>
  <si>
    <t>0772401010</t>
  </si>
  <si>
    <t>0772544000</t>
  </si>
  <si>
    <t>00100002012</t>
  </si>
  <si>
    <t>Insurance</t>
  </si>
  <si>
    <t>MARGRETE NDUGWA NAKIBUULE</t>
  </si>
  <si>
    <t>0701807402</t>
  </si>
  <si>
    <t>0752807401</t>
  </si>
  <si>
    <t>00100002087</t>
  </si>
  <si>
    <t>BAZANYE YUSUFU</t>
  </si>
  <si>
    <t>0772435937</t>
  </si>
  <si>
    <t>00100000310</t>
  </si>
  <si>
    <t>00100002063</t>
  </si>
  <si>
    <t>HAMIDU KAWUKI</t>
  </si>
  <si>
    <t>0701808413</t>
  </si>
  <si>
    <t>0392961462</t>
  </si>
  <si>
    <t>AIDAH KAYONGO</t>
  </si>
  <si>
    <t>0752291122</t>
  </si>
  <si>
    <t>00100002056</t>
  </si>
  <si>
    <t>00100002093</t>
  </si>
  <si>
    <t>RICHARD SSESANGA</t>
  </si>
  <si>
    <t>0772433704</t>
  </si>
  <si>
    <t>0702433704</t>
  </si>
  <si>
    <t>00100002069</t>
  </si>
  <si>
    <t>SALONGO SSEBALAMU</t>
  </si>
  <si>
    <t>0772439096</t>
  </si>
  <si>
    <t>0704878656</t>
  </si>
  <si>
    <t>00100002027</t>
  </si>
  <si>
    <t>FRED MUGERWA</t>
  </si>
  <si>
    <t>0701643090</t>
  </si>
  <si>
    <t>0774643090</t>
  </si>
  <si>
    <t>00100001278</t>
  </si>
  <si>
    <t>EDITH BAGAMUHUNDA LUWAGA</t>
  </si>
  <si>
    <t>0772499971</t>
  </si>
  <si>
    <t>0701492971</t>
  </si>
  <si>
    <t>00100002097</t>
  </si>
  <si>
    <t>00100002127</t>
  </si>
  <si>
    <t>JOSEPH WILLIAM SSENKUMBA</t>
  </si>
  <si>
    <t>0701116763</t>
  </si>
  <si>
    <t>PHOEBE KATENDE</t>
  </si>
  <si>
    <t>0772423248</t>
  </si>
  <si>
    <t>070136545</t>
  </si>
  <si>
    <t>00100002109</t>
  </si>
  <si>
    <t>FRED KATUNGYI</t>
  </si>
  <si>
    <t>0782102309</t>
  </si>
  <si>
    <t>0701700431</t>
  </si>
  <si>
    <t>00100002167</t>
  </si>
  <si>
    <t>00100002050</t>
  </si>
  <si>
    <t>00100002151</t>
  </si>
  <si>
    <t>GYAVIIRA KASUMBA</t>
  </si>
  <si>
    <t>0772585628</t>
  </si>
  <si>
    <t>WILFRED KITAKA</t>
  </si>
  <si>
    <t>0752597007</t>
  </si>
  <si>
    <t>ALAISAH NAMISANGO</t>
  </si>
  <si>
    <t>0702042756</t>
  </si>
  <si>
    <t>0756220896</t>
  </si>
  <si>
    <t>00100001611</t>
  </si>
  <si>
    <t>JOSEPH LWASA</t>
  </si>
  <si>
    <t>0772410647</t>
  </si>
  <si>
    <t>0704410647</t>
  </si>
  <si>
    <t>00100002200</t>
  </si>
  <si>
    <t>00100002128</t>
  </si>
  <si>
    <t>00100002229</t>
  </si>
  <si>
    <t>NULUH NALUBEGA</t>
  </si>
  <si>
    <t>0701005530</t>
  </si>
  <si>
    <t>0772005530</t>
  </si>
  <si>
    <t>STELLA OKONYE ARIONGET</t>
  </si>
  <si>
    <t>0772513828</t>
  </si>
  <si>
    <t>0701513828</t>
  </si>
  <si>
    <t>00100002170</t>
  </si>
  <si>
    <t>AGNES NANKABIRWA</t>
  </si>
  <si>
    <t>0775820098</t>
  </si>
  <si>
    <t>0701941807</t>
  </si>
  <si>
    <t>00100001554</t>
  </si>
  <si>
    <t>00100002199</t>
  </si>
  <si>
    <t>ROBERT BAGONZA</t>
  </si>
  <si>
    <t>0772594921</t>
  </si>
  <si>
    <t>0751594921</t>
  </si>
  <si>
    <t>00100002205</t>
  </si>
  <si>
    <t>CHARLES NSINDA</t>
  </si>
  <si>
    <t>0782232133</t>
  </si>
  <si>
    <t>0751232133</t>
  </si>
  <si>
    <t>00100002164</t>
  </si>
  <si>
    <t>Warehousing and Storage</t>
  </si>
  <si>
    <t>00100002249</t>
  </si>
  <si>
    <t>HARRIET NSOBYA</t>
  </si>
  <si>
    <t>0701804258</t>
  </si>
  <si>
    <t>00100002342</t>
  </si>
  <si>
    <t>DAISY SANDRA MUTAGUBYA</t>
  </si>
  <si>
    <t>0752644332</t>
  </si>
  <si>
    <t>0701644332</t>
  </si>
  <si>
    <t>00100002336</t>
  </si>
  <si>
    <t>MANN MUYINZA KITUNZI</t>
  </si>
  <si>
    <t>0772477089</t>
  </si>
  <si>
    <t>00100002366</t>
  </si>
  <si>
    <t>00100002242</t>
  </si>
  <si>
    <t>GEORGE KABAGAMBE</t>
  </si>
  <si>
    <t>0772525362</t>
  </si>
  <si>
    <t>0772740727</t>
  </si>
  <si>
    <t>MOSES WILLIAMS ATAMBA</t>
  </si>
  <si>
    <t>0773082497</t>
  </si>
  <si>
    <t>Used Car Dealers</t>
  </si>
  <si>
    <t>00100002394</t>
  </si>
  <si>
    <t>JAMES SETTUBA</t>
  </si>
  <si>
    <t>0772998782</t>
  </si>
  <si>
    <t>0704486960</t>
  </si>
  <si>
    <t>00100002335</t>
  </si>
  <si>
    <t>00100002266</t>
  </si>
  <si>
    <t>JOSHUA NTAMUKUNZI</t>
  </si>
  <si>
    <t>0772431951</t>
  </si>
  <si>
    <t>0758431951</t>
  </si>
  <si>
    <t>ABDUL MUYINGO</t>
  </si>
  <si>
    <t>0772642910</t>
  </si>
  <si>
    <t>ARUKUNDO</t>
  </si>
  <si>
    <t>00100002331</t>
  </si>
  <si>
    <t>JOSEPHAT BISANGWA KASIMBA</t>
  </si>
  <si>
    <t>0752203320</t>
  </si>
  <si>
    <t>0414341990</t>
  </si>
  <si>
    <t>00100002304</t>
  </si>
  <si>
    <t>00100002395</t>
  </si>
  <si>
    <t>GRACE SIMWOGERERE</t>
  </si>
  <si>
    <t>0781413333</t>
  </si>
  <si>
    <t>0702290755</t>
  </si>
  <si>
    <t>MILLY NABALAMBA</t>
  </si>
  <si>
    <t>0752560954</t>
  </si>
  <si>
    <t>0778560954</t>
  </si>
  <si>
    <t>JOHN MATOVU</t>
  </si>
  <si>
    <t>00100002379</t>
  </si>
  <si>
    <t>00100002347</t>
  </si>
  <si>
    <t>00100002396</t>
  </si>
  <si>
    <t>AFRICANO KANGIRE</t>
  </si>
  <si>
    <t>0772467631</t>
  </si>
  <si>
    <t>RONALD KAMYA KAKOOZA</t>
  </si>
  <si>
    <t>0392961705</t>
  </si>
  <si>
    <t>0759961705</t>
  </si>
  <si>
    <t>JYEHUNDE</t>
  </si>
  <si>
    <t>00100002433</t>
  </si>
  <si>
    <t>ENAMUGANGA</t>
  </si>
  <si>
    <t>GEORGE WILLIAM KIWANUKA</t>
  </si>
  <si>
    <t>0772411545</t>
  </si>
  <si>
    <t>0706811545</t>
  </si>
  <si>
    <t>00100002346</t>
  </si>
  <si>
    <t>VICTOR KIYINGI</t>
  </si>
  <si>
    <t>0752566463</t>
  </si>
  <si>
    <t>00100002442</t>
  </si>
  <si>
    <t>00100002397</t>
  </si>
  <si>
    <t>0772433530</t>
  </si>
  <si>
    <t>0701433530</t>
  </si>
  <si>
    <t>JACKSON OGOBA</t>
  </si>
  <si>
    <t>0755545520</t>
  </si>
  <si>
    <t>00100002261</t>
  </si>
  <si>
    <t>EKABAHENDA</t>
  </si>
  <si>
    <t>Religious</t>
  </si>
  <si>
    <t>DAVID MULEDHU</t>
  </si>
  <si>
    <t>0772663542</t>
  </si>
  <si>
    <t>0754663542</t>
  </si>
  <si>
    <t>00100002323</t>
  </si>
  <si>
    <t>00100002414</t>
  </si>
  <si>
    <t>RONALD KARANGIZI</t>
  </si>
  <si>
    <t>0772954430</t>
  </si>
  <si>
    <t>0701954430</t>
  </si>
  <si>
    <t>00100002330</t>
  </si>
  <si>
    <t>00100002476</t>
  </si>
  <si>
    <t>IBOGERE</t>
  </si>
  <si>
    <t>00100002384</t>
  </si>
  <si>
    <t>BENARD SSEKYANZI</t>
  </si>
  <si>
    <t>0783129200</t>
  </si>
  <si>
    <t>0703480328</t>
  </si>
  <si>
    <t>JAMES GRACE MASEMBE</t>
  </si>
  <si>
    <t>0774444140</t>
  </si>
  <si>
    <t>RASHID MUKWAYA</t>
  </si>
  <si>
    <t>077262296</t>
  </si>
  <si>
    <t>0772485108</t>
  </si>
  <si>
    <t>00100002455</t>
  </si>
  <si>
    <t>00100002371</t>
  </si>
  <si>
    <t>00100002501</t>
  </si>
  <si>
    <t>JBOGERE</t>
  </si>
  <si>
    <t>GORRETTI BATAMURIZA NYIRANDATIWA</t>
  </si>
  <si>
    <t>0754059239</t>
  </si>
  <si>
    <t>0774771620</t>
  </si>
  <si>
    <t>DAVID KIGGUNDU TAMALE</t>
  </si>
  <si>
    <t>0702200351</t>
  </si>
  <si>
    <t>0782200351</t>
  </si>
  <si>
    <t>00100000262</t>
  </si>
  <si>
    <t>00100002512</t>
  </si>
  <si>
    <t>LAWRENCE BARYAGASHA</t>
  </si>
  <si>
    <t>0775976071</t>
  </si>
  <si>
    <t>CHRISTOPHER KABANDA</t>
  </si>
  <si>
    <t>0703059658</t>
  </si>
  <si>
    <t>00100002517</t>
  </si>
  <si>
    <t>GRACE AGABA</t>
  </si>
  <si>
    <t>0772515736</t>
  </si>
  <si>
    <t>00100002419</t>
  </si>
  <si>
    <t>00100002494</t>
  </si>
  <si>
    <t>HASSAN SELULE</t>
  </si>
  <si>
    <t>0773452554</t>
  </si>
  <si>
    <t>NALUGWA BABIRYE</t>
  </si>
  <si>
    <t>0772467177</t>
  </si>
  <si>
    <t>0752567177</t>
  </si>
  <si>
    <t>00100002506</t>
  </si>
  <si>
    <t>SALIM KIZITO</t>
  </si>
  <si>
    <t>0776493353</t>
  </si>
  <si>
    <t>0754493353</t>
  </si>
  <si>
    <t>00100002471</t>
  </si>
  <si>
    <t>ERNEST GGAYI</t>
  </si>
  <si>
    <t>0772516609</t>
  </si>
  <si>
    <t>00100002595</t>
  </si>
  <si>
    <t>00100002586</t>
  </si>
  <si>
    <t>00100002496</t>
  </si>
  <si>
    <t>ABDUL RAHMAN MIVULE</t>
  </si>
  <si>
    <t>0779828372</t>
  </si>
  <si>
    <t>SUSAN MUGIMU</t>
  </si>
  <si>
    <t>0782695235</t>
  </si>
  <si>
    <t>00100002585</t>
  </si>
  <si>
    <t>00100002206</t>
  </si>
  <si>
    <t>MUZAMIRU NYANZI</t>
  </si>
  <si>
    <t>0702102814</t>
  </si>
  <si>
    <t>JOSEPH MUKWAYA</t>
  </si>
  <si>
    <t>0752527275</t>
  </si>
  <si>
    <t>0712527275</t>
  </si>
  <si>
    <t>00100002406</t>
  </si>
  <si>
    <t>00100000267</t>
  </si>
  <si>
    <t>MAURICE BEHAKANIRA ARINAITWE</t>
  </si>
  <si>
    <t>0702945092</t>
  </si>
  <si>
    <t>0782945092</t>
  </si>
  <si>
    <t>0782869453</t>
  </si>
  <si>
    <t>0705575243</t>
  </si>
  <si>
    <t>00100002643</t>
  </si>
  <si>
    <t>FLORENCE AYO ODONG</t>
  </si>
  <si>
    <t>0776872348</t>
  </si>
  <si>
    <t>0701872348</t>
  </si>
  <si>
    <t>00100002619</t>
  </si>
  <si>
    <t>00100002671</t>
  </si>
  <si>
    <t>SULAIMAN WASSWA</t>
  </si>
  <si>
    <t>0772403704</t>
  </si>
  <si>
    <t>GODFREY KAYITIRO BINAISA</t>
  </si>
  <si>
    <t>0752800810</t>
  </si>
  <si>
    <t>0704601022</t>
  </si>
  <si>
    <t>00100002558</t>
  </si>
  <si>
    <t>FRED SSEBBUNZA</t>
  </si>
  <si>
    <t>0772441851</t>
  </si>
  <si>
    <t>Hospital</t>
  </si>
  <si>
    <t>00100002575</t>
  </si>
  <si>
    <t>00100002624</t>
  </si>
  <si>
    <t>RONALD LEONARD EGESA</t>
  </si>
  <si>
    <t>0782442375</t>
  </si>
  <si>
    <t>0752442375</t>
  </si>
  <si>
    <t>ROSEMARY NAMAKULA</t>
  </si>
  <si>
    <t>0772457069</t>
  </si>
  <si>
    <t>0752683568</t>
  </si>
  <si>
    <t>00100002628</t>
  </si>
  <si>
    <t>00100002696</t>
  </si>
  <si>
    <t>INNOCENT LUBEGA</t>
  </si>
  <si>
    <t>0701966272</t>
  </si>
  <si>
    <t>0772966262</t>
  </si>
  <si>
    <t>FULUGENSIO MATOVU</t>
  </si>
  <si>
    <t>0772604220</t>
  </si>
  <si>
    <t>00100002651</t>
  </si>
  <si>
    <t>00100002570</t>
  </si>
  <si>
    <t>ROGERS GOLOOBA</t>
  </si>
  <si>
    <t>0772540367</t>
  </si>
  <si>
    <t>0750686063</t>
  </si>
  <si>
    <t>RUTH KIGOZI</t>
  </si>
  <si>
    <t>0772434450</t>
  </si>
  <si>
    <t>0702006579</t>
  </si>
  <si>
    <t>00100002635</t>
  </si>
  <si>
    <t>FLORENCE NABAKIIBI</t>
  </si>
  <si>
    <t>0772414054</t>
  </si>
  <si>
    <t>0752414054</t>
  </si>
  <si>
    <t>00100002583</t>
  </si>
  <si>
    <t>00100002598</t>
  </si>
  <si>
    <t>GELLADINE BEGUMISA</t>
  </si>
  <si>
    <t>0702689130</t>
  </si>
  <si>
    <t>0785179502</t>
  </si>
  <si>
    <t>MICHEAL MULIIKA</t>
  </si>
  <si>
    <t>0702755916</t>
  </si>
  <si>
    <t>0712816256</t>
  </si>
  <si>
    <t>00100002686</t>
  </si>
  <si>
    <t>PAUL MUGENYI</t>
  </si>
  <si>
    <t>0701820082</t>
  </si>
  <si>
    <t>00100001325</t>
  </si>
  <si>
    <t>MATHIAS SENYONDO</t>
  </si>
  <si>
    <t>0782379518</t>
  </si>
  <si>
    <t>00100002751</t>
  </si>
  <si>
    <t>MUSA KAVUMA</t>
  </si>
  <si>
    <t>0772505445</t>
  </si>
  <si>
    <t>0704505333</t>
  </si>
  <si>
    <t>00100002514</t>
  </si>
  <si>
    <t>DICK KASUJJA</t>
  </si>
  <si>
    <t>0782643995</t>
  </si>
  <si>
    <t>0706580670</t>
  </si>
  <si>
    <t>00100002778</t>
  </si>
  <si>
    <t>00100002749</t>
  </si>
  <si>
    <t>SALIM KIZZA SSEREMBA</t>
  </si>
  <si>
    <t>0772463963</t>
  </si>
  <si>
    <t>0701463963</t>
  </si>
  <si>
    <t>SILVER BYARUHANGA</t>
  </si>
  <si>
    <t>0772362760</t>
  </si>
  <si>
    <t>00100002799</t>
  </si>
  <si>
    <t>00100002754</t>
  </si>
  <si>
    <t>VMUSOKE</t>
  </si>
  <si>
    <t>00100002657</t>
  </si>
  <si>
    <t>JOSEPH ROGERS KAWESA</t>
  </si>
  <si>
    <t>0751613431</t>
  </si>
  <si>
    <t>0704624700</t>
  </si>
  <si>
    <t>JUMA MBOWA</t>
  </si>
  <si>
    <t>0781775444</t>
  </si>
  <si>
    <t>0700370677</t>
  </si>
  <si>
    <t>00100002803</t>
  </si>
  <si>
    <t>00100002838</t>
  </si>
  <si>
    <t>00100002299</t>
  </si>
  <si>
    <t>00100002300</t>
  </si>
  <si>
    <t>KENETH OFWONO</t>
  </si>
  <si>
    <t>0772434118</t>
  </si>
  <si>
    <t>JOHN VIANNEY NSUBUGA</t>
  </si>
  <si>
    <t>CMUTABAZI</t>
  </si>
  <si>
    <t>00100002550</t>
  </si>
  <si>
    <t>DEUS MONDAY</t>
  </si>
  <si>
    <t>0782916594</t>
  </si>
  <si>
    <t>0757400857</t>
  </si>
  <si>
    <t>00100002844</t>
  </si>
  <si>
    <t>SYLVIA NAMUDDU</t>
  </si>
  <si>
    <t>0700526544</t>
  </si>
  <si>
    <t>00100002845</t>
  </si>
  <si>
    <t>00100002907</t>
  </si>
  <si>
    <t>00100002887</t>
  </si>
  <si>
    <t>00100002072</t>
  </si>
  <si>
    <t>00100002826</t>
  </si>
  <si>
    <t>00100000802</t>
  </si>
  <si>
    <t>00100002868</t>
  </si>
  <si>
    <t>00100002857</t>
  </si>
  <si>
    <t>00100002873</t>
  </si>
  <si>
    <t>00100001983</t>
  </si>
  <si>
    <t>JAFARI SSEMPIJJA</t>
  </si>
  <si>
    <t>0772114482</t>
  </si>
  <si>
    <t>0753792259</t>
  </si>
  <si>
    <t>WINNIE KABAHIRIRE</t>
  </si>
  <si>
    <t>0782378534</t>
  </si>
  <si>
    <t>0702416319</t>
  </si>
  <si>
    <t>MARTIN KIBIRIGE</t>
  </si>
  <si>
    <t>0781731200</t>
  </si>
  <si>
    <t>YEKO SSEMBAJJWE</t>
  </si>
  <si>
    <t>0782435092</t>
  </si>
  <si>
    <t>FLORENCE NAMUKASA</t>
  </si>
  <si>
    <t>0752110388</t>
  </si>
  <si>
    <t>0782753432</t>
  </si>
  <si>
    <t>PAUL KIRABIRA</t>
  </si>
  <si>
    <t>0772406324</t>
  </si>
  <si>
    <t>ALEX TOZI</t>
  </si>
  <si>
    <t>0772778999</t>
  </si>
  <si>
    <t>0702778999</t>
  </si>
  <si>
    <t>MOSES BBAALE MUYINZA</t>
  </si>
  <si>
    <t>0776140181</t>
  </si>
  <si>
    <t>ALICE JANET NJUKI</t>
  </si>
  <si>
    <t>0775947784</t>
  </si>
  <si>
    <t>SME</t>
  </si>
  <si>
    <t>HOUSING</t>
  </si>
  <si>
    <t>STUSUBIRA</t>
  </si>
  <si>
    <t>WMT</t>
  </si>
  <si>
    <t>MNAKAYIZA</t>
  </si>
  <si>
    <t>FOWEMBABAB</t>
  </si>
  <si>
    <t>SYMUTEBI</t>
  </si>
  <si>
    <t>Product Type</t>
  </si>
  <si>
    <t>CITY CENTER</t>
  </si>
  <si>
    <t>NDEEBA</t>
  </si>
  <si>
    <t xml:space="preserve">KALERWE </t>
  </si>
  <si>
    <t>KIREKA</t>
  </si>
  <si>
    <t xml:space="preserve">NANSANA </t>
  </si>
  <si>
    <t xml:space="preserve">NATEETE </t>
  </si>
  <si>
    <t>00100002823</t>
  </si>
  <si>
    <t>00100002930</t>
  </si>
  <si>
    <t>00100002853</t>
  </si>
  <si>
    <t>00100000654</t>
  </si>
  <si>
    <t>DAVID WASIYE</t>
  </si>
  <si>
    <t>0772913354</t>
  </si>
  <si>
    <t>0757140223</t>
  </si>
  <si>
    <t>MASITULA  K KINTU</t>
  </si>
  <si>
    <t>0782878844</t>
  </si>
  <si>
    <t>0701878844</t>
  </si>
  <si>
    <t>CITY CENTER Total</t>
  </si>
  <si>
    <t>KIREKA Total</t>
  </si>
  <si>
    <t>NDEEBA Total</t>
  </si>
  <si>
    <t>00100002922</t>
  </si>
  <si>
    <t>FRED NSUBUGA</t>
  </si>
  <si>
    <t>0752483446</t>
  </si>
  <si>
    <t>Number of 
Loans</t>
  </si>
  <si>
    <t>Outstanding
Balance</t>
  </si>
  <si>
    <t>Oustanding 
Balance (%)</t>
  </si>
  <si>
    <t>Oustanding Loans Portfolio</t>
  </si>
  <si>
    <t>AVG</t>
  </si>
  <si>
    <t>00100002800</t>
  </si>
  <si>
    <t>00100002926</t>
  </si>
  <si>
    <t>SIMEON KYOMUHENDO</t>
  </si>
  <si>
    <t>0702440372</t>
  </si>
  <si>
    <t>07724440372</t>
  </si>
  <si>
    <t>FRANCIS XIAVIER KYASA</t>
  </si>
  <si>
    <t>0702299797</t>
  </si>
  <si>
    <t>0712833433</t>
  </si>
  <si>
    <t>OUTSTANDING</t>
  </si>
  <si>
    <t>DISBURSEMENT</t>
  </si>
  <si>
    <t>% REALIZATION</t>
  </si>
  <si>
    <t>%REALIZATION</t>
  </si>
  <si>
    <t>00100002902</t>
  </si>
  <si>
    <t>00100002893</t>
  </si>
  <si>
    <t>STEVEN SERUBIDDE</t>
  </si>
  <si>
    <t>0753124606</t>
  </si>
  <si>
    <t>SAM KIRUNDA MUSOKE</t>
  </si>
  <si>
    <t>0772568163</t>
  </si>
  <si>
    <t>00100002943</t>
  </si>
  <si>
    <t>JOSEPH KATENDE</t>
  </si>
  <si>
    <t>0772856116</t>
  </si>
  <si>
    <t>0752856116</t>
  </si>
  <si>
    <t>00100002990</t>
  </si>
  <si>
    <t>00100002771</t>
  </si>
  <si>
    <t>JAFFER KIWANUKA LUTALO</t>
  </si>
  <si>
    <t>0753333447</t>
  </si>
  <si>
    <t>SILIAN MUHOOZI</t>
  </si>
  <si>
    <t>0703528409</t>
  </si>
  <si>
    <t>0774218660</t>
  </si>
  <si>
    <t>00100002900</t>
  </si>
  <si>
    <t>Crop Production</t>
  </si>
  <si>
    <t>00100000343</t>
  </si>
  <si>
    <t>MIPH MUGABI</t>
  </si>
  <si>
    <t>07510332227</t>
  </si>
  <si>
    <t>0782804857</t>
  </si>
  <si>
    <t>00100002937</t>
  </si>
  <si>
    <t>GRACE KICONCO MAGUMBA</t>
  </si>
  <si>
    <t>0772468576</t>
  </si>
  <si>
    <t>0702739591</t>
  </si>
  <si>
    <t>00100002981</t>
  </si>
  <si>
    <t>JOSEPH EPODOI</t>
  </si>
  <si>
    <t>0776300222</t>
  </si>
  <si>
    <t>0755888777</t>
  </si>
  <si>
    <t>00100002987</t>
  </si>
  <si>
    <t>HELLEN NABWAMI</t>
  </si>
  <si>
    <t>0758883853</t>
  </si>
  <si>
    <t>CNAKAYIKI</t>
  </si>
  <si>
    <t>00100000436</t>
  </si>
  <si>
    <t>DENNIS MUSIITWA MUGWANYA</t>
  </si>
  <si>
    <t>0778256741</t>
  </si>
  <si>
    <t>0705686621</t>
  </si>
  <si>
    <t>00100002929</t>
  </si>
  <si>
    <t>IVAN LUGOLOBI WASSWA</t>
  </si>
  <si>
    <t>0772486492</t>
  </si>
  <si>
    <t>00100003026</t>
  </si>
  <si>
    <t>GEORGE KAYANJA</t>
  </si>
  <si>
    <t>0772303102</t>
  </si>
  <si>
    <t>0702303102</t>
  </si>
  <si>
    <t>00100002702</t>
  </si>
  <si>
    <t>GRACE KIZITO</t>
  </si>
  <si>
    <t>0712834223</t>
  </si>
  <si>
    <t>ATUGUME</t>
  </si>
  <si>
    <t>00100000150</t>
  </si>
  <si>
    <t>00100003041</t>
  </si>
  <si>
    <t>GIDEON KIGONYA</t>
  </si>
  <si>
    <t>0782681117</t>
  </si>
  <si>
    <t>0704265522</t>
  </si>
  <si>
    <t>LAMECK KUMBYA</t>
  </si>
  <si>
    <t>0772393712</t>
  </si>
  <si>
    <t>0704393712</t>
  </si>
  <si>
    <t>00100003047</t>
  </si>
  <si>
    <t>00100003032</t>
  </si>
  <si>
    <t>GEOFREY BAGONZA</t>
  </si>
  <si>
    <t>0702944537</t>
  </si>
  <si>
    <t>HARUNAH KAZIBWE</t>
  </si>
  <si>
    <t>0752502164</t>
  </si>
  <si>
    <t>CAROL NAMUBIRU</t>
  </si>
  <si>
    <t>0784109757</t>
  </si>
  <si>
    <t>00100001926</t>
  </si>
  <si>
    <t>00100003069</t>
  </si>
  <si>
    <t>JOSEPH BYAMUGISHA</t>
  </si>
  <si>
    <t>0772499771</t>
  </si>
  <si>
    <t>0702499771</t>
  </si>
  <si>
    <t>EMMANUEL TUMUHAIRWE</t>
  </si>
  <si>
    <t>0782591491</t>
  </si>
  <si>
    <t>0753696632</t>
  </si>
  <si>
    <t>00100003065</t>
  </si>
  <si>
    <t>EVERLINE ABANJI</t>
  </si>
  <si>
    <t>0781699069</t>
  </si>
  <si>
    <t>00100001047</t>
  </si>
  <si>
    <t>SHEILAH DRAVILE</t>
  </si>
  <si>
    <t>0785916867</t>
  </si>
  <si>
    <t>0702916867</t>
  </si>
  <si>
    <t>AKYOMUHEND</t>
  </si>
  <si>
    <t>00100003060</t>
  </si>
  <si>
    <t>HENRY NSUBUGA</t>
  </si>
  <si>
    <t>0772495570</t>
  </si>
  <si>
    <t>00100002923</t>
  </si>
  <si>
    <t>00100003086</t>
  </si>
  <si>
    <t>DOROTHY MARGARET NAKIBUUKA</t>
  </si>
  <si>
    <t>0772414826</t>
  </si>
  <si>
    <t>0702414826</t>
  </si>
  <si>
    <t>EDWARD KALULE</t>
  </si>
  <si>
    <t>0772609953</t>
  </si>
  <si>
    <t>00100003024</t>
  </si>
  <si>
    <t>RICHARD MAYENGO</t>
  </si>
  <si>
    <t>0752612826</t>
  </si>
  <si>
    <t>00100003081</t>
  </si>
  <si>
    <t>00100003053</t>
  </si>
  <si>
    <t>NNAKIBUUKA</t>
  </si>
  <si>
    <t>PAUL SSENABULYA</t>
  </si>
  <si>
    <t>0752442658</t>
  </si>
  <si>
    <t>JOANITA NDAGIRE</t>
  </si>
  <si>
    <t>0772605855</t>
  </si>
  <si>
    <t>00100003110</t>
  </si>
  <si>
    <t>00100003113</t>
  </si>
  <si>
    <t>00100003090</t>
  </si>
  <si>
    <t>PETER BYAKATONDA</t>
  </si>
  <si>
    <t>0772458646</t>
  </si>
  <si>
    <t>RONALD KIMERA</t>
  </si>
  <si>
    <t>0772894025</t>
  </si>
  <si>
    <t>VINCENT LUKWAGO</t>
  </si>
  <si>
    <t>0701531577</t>
  </si>
  <si>
    <t>00100003067</t>
  </si>
  <si>
    <t>DANNY INNOCENT BAGHEN</t>
  </si>
  <si>
    <t>0784842907</t>
  </si>
  <si>
    <t>00100002150</t>
  </si>
  <si>
    <t>SIMPSON BRIAN AINAMANI</t>
  </si>
  <si>
    <t>0772465913</t>
  </si>
  <si>
    <t>0702944257</t>
  </si>
  <si>
    <t>00100003119</t>
  </si>
  <si>
    <t>00100002048</t>
  </si>
  <si>
    <t>ROBERT KAKEMBO KIKOMEKO</t>
  </si>
  <si>
    <t>0752648824</t>
  </si>
  <si>
    <t>BRIAN SIMON KATONGOLE</t>
  </si>
  <si>
    <t>0782090352</t>
  </si>
  <si>
    <t>00100003166</t>
  </si>
  <si>
    <t>00100003156</t>
  </si>
  <si>
    <t>JAMES SEKAGYA</t>
  </si>
  <si>
    <t>0772418357</t>
  </si>
  <si>
    <t>RONNIE SSEKABUGO</t>
  </si>
  <si>
    <t>0751184701</t>
  </si>
  <si>
    <t>00100003146</t>
  </si>
  <si>
    <t>SHEM LUTWAMA KALUGYE BAFIRAWALA</t>
  </si>
  <si>
    <t>0752436364</t>
  </si>
  <si>
    <t>0772436364</t>
  </si>
  <si>
    <t>00100003177</t>
  </si>
  <si>
    <t>HARRIET ATUKUNDA</t>
  </si>
  <si>
    <t>0782783318</t>
  </si>
  <si>
    <t>00100000350</t>
  </si>
  <si>
    <t>00100000890</t>
  </si>
  <si>
    <t>00100001687</t>
  </si>
  <si>
    <t>00100002193</t>
  </si>
  <si>
    <t>00100003190</t>
  </si>
  <si>
    <t>PROSSY NABUKALU</t>
  </si>
  <si>
    <t>RICHARD SALONGO GINGO</t>
  </si>
  <si>
    <t>0772460729</t>
  </si>
  <si>
    <t>0701460729</t>
  </si>
  <si>
    <t>00100003191</t>
  </si>
  <si>
    <t>PAUL KABBERA</t>
  </si>
  <si>
    <t>039961982</t>
  </si>
  <si>
    <t>00100003063</t>
  </si>
  <si>
    <t>RONALD MATOVU</t>
  </si>
  <si>
    <t>0772403326</t>
  </si>
  <si>
    <t>00100003149</t>
  </si>
  <si>
    <t>00100003192</t>
  </si>
  <si>
    <t>DEO MASAJJAGE</t>
  </si>
  <si>
    <t>0772405804</t>
  </si>
  <si>
    <t>RONNIE ROCK MUSONI</t>
  </si>
  <si>
    <t>0776514799</t>
  </si>
  <si>
    <t>00100003197</t>
  </si>
  <si>
    <t>LAWRENCE SALONGO KYATEREKERA</t>
  </si>
  <si>
    <t>0703882919</t>
  </si>
  <si>
    <t>0754848586</t>
  </si>
  <si>
    <t>00100003171</t>
  </si>
  <si>
    <t>GODFREY MPAULO</t>
  </si>
  <si>
    <t>0772414311</t>
  </si>
  <si>
    <t>00100000671</t>
  </si>
  <si>
    <t>00100003202</t>
  </si>
  <si>
    <t>00100003208</t>
  </si>
  <si>
    <t>00100003211</t>
  </si>
  <si>
    <t>ENID KANYONYI</t>
  </si>
  <si>
    <t>0702844606</t>
  </si>
  <si>
    <t>0772616583</t>
  </si>
  <si>
    <t>ROBERT TUBASE</t>
  </si>
  <si>
    <t>0772471704</t>
  </si>
  <si>
    <t>EDITH SSEMPEBWA</t>
  </si>
  <si>
    <t>0781584888</t>
  </si>
  <si>
    <t>WINNIE SCABOVIOUS WEDNESDAY</t>
  </si>
  <si>
    <t>0779531553</t>
  </si>
  <si>
    <t>0750916163</t>
  </si>
  <si>
    <t>00100003033</t>
  </si>
  <si>
    <t>JOSHUA SENKUMBA</t>
  </si>
  <si>
    <t>0772429298</t>
  </si>
  <si>
    <t>0701429299</t>
  </si>
  <si>
    <t>00100003218</t>
  </si>
  <si>
    <t>Mining and Extraction</t>
  </si>
  <si>
    <t>Sand, Gravel, Clay, &amp; Ceramic</t>
  </si>
  <si>
    <t>ANABISERE</t>
  </si>
  <si>
    <t>ADOLF BOGERE</t>
  </si>
  <si>
    <t>SARAH NAMALE</t>
  </si>
  <si>
    <t>0776624267</t>
  </si>
  <si>
    <t>00100002940</t>
  </si>
  <si>
    <t>00100003139</t>
  </si>
  <si>
    <t>VINCENT MAYAMBALA</t>
  </si>
  <si>
    <t>0772445359</t>
  </si>
  <si>
    <t>0701445359</t>
  </si>
  <si>
    <t>MOSES MATTE</t>
  </si>
  <si>
    <t>0782329839</t>
  </si>
  <si>
    <t>PAR 1</t>
  </si>
  <si>
    <t>PAR 30</t>
  </si>
  <si>
    <t>PAR 90</t>
  </si>
  <si>
    <t>(All)</t>
  </si>
  <si>
    <t>Sum of PAR 1</t>
  </si>
  <si>
    <t>Sum of PAR 30</t>
  </si>
  <si>
    <t>Sum of PAR 90</t>
  </si>
  <si>
    <t>Sum of Outstanding Balance</t>
  </si>
  <si>
    <t>Count of Loan Officer</t>
  </si>
  <si>
    <t>00100003206</t>
  </si>
  <si>
    <t>00100003253</t>
  </si>
  <si>
    <t>MOSES KACUCU</t>
  </si>
  <si>
    <t>0777071054</t>
  </si>
  <si>
    <t>SAMUEL KIGAYAZA</t>
  </si>
  <si>
    <t>0772436998</t>
  </si>
  <si>
    <t>0704495152</t>
  </si>
  <si>
    <t>00100003234</t>
  </si>
  <si>
    <t>ABDALA NTWANTWA</t>
  </si>
  <si>
    <t>0772407836</t>
  </si>
  <si>
    <t>PAR 1 MARKED</t>
  </si>
  <si>
    <t>PAR 30 MARKED</t>
  </si>
  <si>
    <t>PAR 90 MARKED</t>
  </si>
  <si>
    <t>Sum of PAR 1 MARKED</t>
  </si>
  <si>
    <t>Sum of PAR 30 MARKED</t>
  </si>
  <si>
    <t>Sum of PAR 90 MARKED</t>
  </si>
  <si>
    <t>00100003213</t>
  </si>
  <si>
    <t>EMMANUEL MUHIRE</t>
  </si>
  <si>
    <t>0772331589</t>
  </si>
  <si>
    <t>0704293545</t>
  </si>
  <si>
    <t>MARIA GORETTI MUSEDE</t>
  </si>
  <si>
    <t>0774424210</t>
  </si>
  <si>
    <t>Number of Loans in PAR 1</t>
  </si>
  <si>
    <t>Target Amount</t>
  </si>
  <si>
    <t>Nb of Loans Targeted</t>
  </si>
  <si>
    <t>Amount Realized (%)</t>
  </si>
  <si>
    <t>00100001746</t>
  </si>
  <si>
    <t>00100002156</t>
  </si>
  <si>
    <t>00100003078</t>
  </si>
  <si>
    <t>00100003247</t>
  </si>
  <si>
    <t>Nb of Loans Realized (%)</t>
  </si>
  <si>
    <t>Number of Loans in Par 30</t>
  </si>
  <si>
    <t>DMUGOYA</t>
  </si>
  <si>
    <t>Publishing Industries</t>
  </si>
  <si>
    <t>SOWED KAZIBWE</t>
  </si>
  <si>
    <t>0782647536</t>
  </si>
  <si>
    <t>RICHARD SSIMBWA</t>
  </si>
  <si>
    <t>0757604422</t>
  </si>
  <si>
    <t>0786196944</t>
  </si>
  <si>
    <t>SILVER MUGISHA</t>
  </si>
  <si>
    <t>0772418655</t>
  </si>
  <si>
    <t>JOHN WANZALA BIKALA</t>
  </si>
  <si>
    <t>0752661104</t>
  </si>
  <si>
    <t>0782650398</t>
  </si>
  <si>
    <t>00100002314</t>
  </si>
  <si>
    <t>00100003116</t>
  </si>
  <si>
    <t>CYPRIAN SEBUNJO MBOOGE</t>
  </si>
  <si>
    <t>0772449207</t>
  </si>
  <si>
    <t>00100003222</t>
  </si>
  <si>
    <t>ABRAHAM KISEMBO</t>
  </si>
  <si>
    <t>0774169220</t>
  </si>
  <si>
    <t>00100003249</t>
  </si>
  <si>
    <t>PAUL KISUULE KAWEMBA</t>
  </si>
  <si>
    <t>0752637555</t>
  </si>
  <si>
    <t>0730537555</t>
  </si>
  <si>
    <t>00100003261</t>
  </si>
  <si>
    <t>MOSES SEMANDA MULUYA</t>
  </si>
  <si>
    <t>0782947520</t>
  </si>
  <si>
    <t>0776250801</t>
  </si>
  <si>
    <t>MAGDALENE NALUMANSI</t>
  </si>
  <si>
    <t>0700493055</t>
  </si>
  <si>
    <t>0772987502</t>
  </si>
  <si>
    <t>CKAGGWA</t>
  </si>
  <si>
    <t>00100003186</t>
  </si>
  <si>
    <t>TOM EDDIE MUGOYA ISABIRYE</t>
  </si>
  <si>
    <t>07823192011</t>
  </si>
  <si>
    <t>SIMON SERUKWAYA</t>
  </si>
  <si>
    <t>0700670943</t>
  </si>
  <si>
    <t>WOMEN MARKET TRADER LOAN</t>
  </si>
  <si>
    <t/>
  </si>
  <si>
    <t>BUSINESS LOAN 2</t>
  </si>
  <si>
    <t>BUSINESS LOAN 1</t>
  </si>
  <si>
    <t>BUSINESS LOAN 3</t>
  </si>
  <si>
    <t>HOME IMPROVEMENT LOAN</t>
  </si>
  <si>
    <t>ACQUISITION LOAN FOR EMPLOYEES</t>
  </si>
  <si>
    <t>LIQUIDITY LOAN FOR EMPLOYEES</t>
  </si>
  <si>
    <t>00100003301</t>
  </si>
  <si>
    <t>THOMAS SSEKIZIYIVU</t>
  </si>
  <si>
    <t>0773722372</t>
  </si>
  <si>
    <t>0752539459</t>
  </si>
  <si>
    <t>00100003278</t>
  </si>
  <si>
    <t>MOLLY MAJORIE NKAMUHABWA</t>
  </si>
  <si>
    <t>0775542132</t>
  </si>
  <si>
    <t>00100003302</t>
  </si>
  <si>
    <t>INNOCENT ANDREW JJUUKO</t>
  </si>
  <si>
    <t>0776431575</t>
  </si>
  <si>
    <t>0751431575</t>
  </si>
  <si>
    <t>00100003318</t>
  </si>
  <si>
    <t>VICENT KAMUGISHA</t>
  </si>
  <si>
    <t>0771438191</t>
  </si>
  <si>
    <t>00100003293</t>
  </si>
  <si>
    <t>BEN RUYONGA MANYINDO</t>
  </si>
  <si>
    <t>0782806074</t>
  </si>
  <si>
    <t>00100003322</t>
  </si>
  <si>
    <t>RICHARD SSERWADDA</t>
  </si>
  <si>
    <t>0772847418</t>
  </si>
  <si>
    <t>FRED MATOVU</t>
  </si>
  <si>
    <t>0703240857</t>
  </si>
  <si>
    <t>00100003148</t>
  </si>
  <si>
    <t>MUSA ABU MUWANGA</t>
  </si>
  <si>
    <t>0772415514</t>
  </si>
  <si>
    <t>0700150086</t>
  </si>
  <si>
    <t>General Freight Trucking, Long-distance</t>
  </si>
  <si>
    <t>00100003335</t>
  </si>
  <si>
    <t>ROBERT MUGOLO</t>
  </si>
  <si>
    <t>0701760634</t>
  </si>
  <si>
    <t>MWATASA</t>
  </si>
  <si>
    <t>STELLAH NAMUNAPA</t>
  </si>
  <si>
    <t>0782061214</t>
  </si>
  <si>
    <t>ZNANDOBYO</t>
  </si>
  <si>
    <t>CMATAMA</t>
  </si>
  <si>
    <t>EKYOZIRA</t>
  </si>
  <si>
    <t>PARAPA</t>
  </si>
  <si>
    <t>JDUSHIME</t>
  </si>
  <si>
    <t>HTUMUSIIME</t>
  </si>
  <si>
    <t>00100003350</t>
  </si>
  <si>
    <t>DEO GATAMA</t>
  </si>
  <si>
    <t>0772923568</t>
  </si>
  <si>
    <t>00100003252</t>
  </si>
  <si>
    <t>RESTY NASSALI</t>
  </si>
  <si>
    <t>0782118567</t>
  </si>
  <si>
    <t>00100003351</t>
  </si>
  <si>
    <t>ABDALLA KYEZIRA</t>
  </si>
  <si>
    <t>0772967711</t>
  </si>
  <si>
    <t>WNAMPEEWO</t>
  </si>
  <si>
    <t>JOSEPH LUMUNYE</t>
  </si>
  <si>
    <t>0756885066</t>
  </si>
  <si>
    <t>00100003364</t>
  </si>
  <si>
    <t>JOHN KIWANUKA</t>
  </si>
  <si>
    <t>0772496338</t>
  </si>
  <si>
    <t>0700897937</t>
  </si>
  <si>
    <t>Initial amount</t>
  </si>
  <si>
    <t>Monthly Instalment</t>
  </si>
  <si>
    <t>Regular Savings Balance</t>
  </si>
  <si>
    <t>Term Deposits</t>
  </si>
  <si>
    <t>TIP_CUOTA</t>
  </si>
  <si>
    <t>TASA_INTERES</t>
  </si>
  <si>
    <t>Per Day 0 - 7</t>
  </si>
  <si>
    <t>8 to 29</t>
  </si>
  <si>
    <t>30 to 59</t>
  </si>
  <si>
    <t>Over 90</t>
  </si>
  <si>
    <t>60 to 89</t>
  </si>
  <si>
    <t>Sub Activity</t>
  </si>
  <si>
    <t>Sub - sub activity</t>
  </si>
  <si>
    <t>YUNUSU KAGOLOLA</t>
  </si>
  <si>
    <t>00100003391</t>
  </si>
  <si>
    <t>GERALD MUKASA</t>
  </si>
  <si>
    <t>0751482750</t>
  </si>
  <si>
    <t>00100003303</t>
  </si>
  <si>
    <t>CONSTANCE NAKIYEMBA MUKASA</t>
  </si>
  <si>
    <t>0782077293</t>
  </si>
  <si>
    <t>00100003371</t>
  </si>
  <si>
    <t>ISAAC KABUUSU</t>
  </si>
  <si>
    <t>0772480156</t>
  </si>
  <si>
    <t>0701480156</t>
  </si>
  <si>
    <t>00100003397</t>
  </si>
  <si>
    <t>JULIET NABANJA</t>
  </si>
  <si>
    <t>0772537150</t>
  </si>
  <si>
    <t>0700537150</t>
  </si>
  <si>
    <t>00100003240</t>
  </si>
  <si>
    <t>AMON REEVES MUZOORA KABAREEBE</t>
  </si>
  <si>
    <t>0752691025</t>
  </si>
  <si>
    <t>00100003431</t>
  </si>
  <si>
    <t>ROGERS ARUHO</t>
  </si>
  <si>
    <t>0702771891</t>
  </si>
  <si>
    <t>00100003393</t>
  </si>
  <si>
    <t>VINCENT MUSOKE</t>
  </si>
  <si>
    <t>0782032770</t>
  </si>
  <si>
    <t>0702280646</t>
  </si>
  <si>
    <t>00100003373</t>
  </si>
  <si>
    <t>OMOLO JOHN</t>
  </si>
  <si>
    <t>0756088542</t>
  </si>
  <si>
    <t>0782088542</t>
  </si>
  <si>
    <t>00100003428</t>
  </si>
  <si>
    <t>RUTH BUKENYA</t>
  </si>
  <si>
    <t>0772441571</t>
  </si>
  <si>
    <t>0701491640</t>
  </si>
  <si>
    <t>HOLIDAYS</t>
  </si>
  <si>
    <t>New Year Day</t>
  </si>
  <si>
    <t>Liberation Day</t>
  </si>
  <si>
    <t>International Women's Day</t>
  </si>
  <si>
    <t>Good Friday</t>
  </si>
  <si>
    <t>Easter Monday</t>
  </si>
  <si>
    <t>Labour Day</t>
  </si>
  <si>
    <t>Martyrs' Day</t>
  </si>
  <si>
    <t>National Heroes' Day</t>
  </si>
  <si>
    <t>Eid al-Fitr (End of Ramadan)</t>
  </si>
  <si>
    <t>Eid al-Adha (Feast of the Sacrifice)</t>
  </si>
  <si>
    <t>Independence Day</t>
  </si>
  <si>
    <t>Christmas Day</t>
  </si>
  <si>
    <t>Boxing Day</t>
  </si>
  <si>
    <t>EFC Health Day</t>
  </si>
  <si>
    <t>Holiday</t>
  </si>
  <si>
    <t xml:space="preserve">TOTAL MONTH DAYS            = </t>
  </si>
  <si>
    <t>00100003440</t>
  </si>
  <si>
    <t>JOHN LEONARD RUCOGOZA</t>
  </si>
  <si>
    <t>0772458784</t>
  </si>
  <si>
    <t>0717100001</t>
  </si>
  <si>
    <t>GETEMU</t>
  </si>
  <si>
    <t>00100002283</t>
  </si>
  <si>
    <t>00100003461</t>
  </si>
  <si>
    <t>PROSCOVIA RACHAEL NNAKKAZI KIZITO</t>
  </si>
  <si>
    <t>0752627217</t>
  </si>
  <si>
    <t>0772627217</t>
  </si>
  <si>
    <t>00100003339</t>
  </si>
  <si>
    <t>ALEX LAWRENCE LUBULWA</t>
  </si>
  <si>
    <t>0772411145</t>
  </si>
  <si>
    <t>0702764028</t>
  </si>
  <si>
    <t>00100003446</t>
  </si>
  <si>
    <t>STEWART TEGULE GAWAYA</t>
  </si>
  <si>
    <t>0706160664</t>
  </si>
  <si>
    <t>0750398555</t>
  </si>
  <si>
    <t>00100003429</t>
  </si>
  <si>
    <t>TONNY BAYIMUSE</t>
  </si>
  <si>
    <t>0772558778</t>
  </si>
  <si>
    <t>0700516588</t>
  </si>
  <si>
    <t>00100003459</t>
  </si>
  <si>
    <t>GEOFREY MWESIGWA</t>
  </si>
  <si>
    <t>0752567171</t>
  </si>
  <si>
    <t>00100003458</t>
  </si>
  <si>
    <t>MOSES MUKASA LULIIBE</t>
  </si>
  <si>
    <t>0772467357</t>
  </si>
  <si>
    <t>0702467357</t>
  </si>
  <si>
    <t>00100002995</t>
  </si>
  <si>
    <t>FLORENCE KABATABAZI</t>
  </si>
  <si>
    <t>0752655814</t>
  </si>
  <si>
    <t>00100003442</t>
  </si>
  <si>
    <t>THOMAS GENZA</t>
  </si>
  <si>
    <t>0772675106</t>
  </si>
  <si>
    <t>075675106</t>
  </si>
  <si>
    <t>MNALUMANSI</t>
  </si>
  <si>
    <t>General Rental Centers</t>
  </si>
  <si>
    <t>00100003377</t>
  </si>
  <si>
    <t>00100003384</t>
  </si>
  <si>
    <t>00100003471</t>
  </si>
  <si>
    <t>00100003498</t>
  </si>
  <si>
    <t>ENABBOSA</t>
  </si>
  <si>
    <t>BBIRUNGI</t>
  </si>
  <si>
    <t>ASEBULIBA</t>
  </si>
  <si>
    <t>32362_Credit Daily Dashboard_T1.7</t>
  </si>
  <si>
    <t>VALENTINO DDUMBA</t>
  </si>
  <si>
    <t>0702197604</t>
  </si>
  <si>
    <t>0775635412</t>
  </si>
  <si>
    <t>00100003500</t>
  </si>
  <si>
    <t>00100003502</t>
  </si>
  <si>
    <t>BLC</t>
  </si>
  <si>
    <t>BRANCH</t>
  </si>
  <si>
    <t>KALERWE Total</t>
  </si>
  <si>
    <t>KIREKA  Total</t>
  </si>
  <si>
    <t>KOLOLO Total</t>
  </si>
  <si>
    <t>KOLOLO</t>
  </si>
  <si>
    <t>NATEETE Total</t>
  </si>
  <si>
    <t>Branch</t>
  </si>
  <si>
    <t xml:space="preserve">KOLOLO </t>
  </si>
  <si>
    <t>CITY CENTER  Total</t>
  </si>
  <si>
    <t>MARGARET APIO</t>
  </si>
  <si>
    <t>MMBABAZI</t>
  </si>
  <si>
    <t>0752755195</t>
  </si>
  <si>
    <t>0312274236</t>
  </si>
  <si>
    <t>DAVID KASULE</t>
  </si>
  <si>
    <t>0772481347</t>
  </si>
  <si>
    <t>0700510646</t>
  </si>
  <si>
    <t>CISSY KWATULIRA</t>
  </si>
  <si>
    <t>0704564479</t>
  </si>
  <si>
    <t>0772564479</t>
  </si>
  <si>
    <t>HANNINGTON KAWAGGA</t>
  </si>
  <si>
    <t>0772432743</t>
  </si>
  <si>
    <t>0751600220</t>
  </si>
  <si>
    <t>BOSCO JINGO</t>
  </si>
  <si>
    <t>JKIGGUNDU</t>
  </si>
  <si>
    <t>0775336237</t>
  </si>
  <si>
    <t>ARERABETH HAKIZA</t>
  </si>
  <si>
    <t>0774163817</t>
  </si>
  <si>
    <t>ENAMARA</t>
  </si>
  <si>
    <t>00100003378</t>
  </si>
  <si>
    <t>BONITA BUZABO RUKUNDO</t>
  </si>
  <si>
    <t>0773462282</t>
  </si>
  <si>
    <t>00100003511</t>
  </si>
  <si>
    <t>IRENE BARASA BUSINGE</t>
  </si>
  <si>
    <t>0772633981</t>
  </si>
  <si>
    <t>00100001956</t>
  </si>
  <si>
    <t>DAVID MWASA</t>
  </si>
  <si>
    <t>0702811200</t>
  </si>
  <si>
    <t>0782811200</t>
  </si>
  <si>
    <t>00100001283</t>
  </si>
  <si>
    <t>WILBERFORCE WAFULA</t>
  </si>
  <si>
    <t>0772578868</t>
  </si>
  <si>
    <t>070131455</t>
  </si>
  <si>
    <t>00100003548</t>
  </si>
  <si>
    <t>ESPILIDON TUMUKURATE</t>
  </si>
  <si>
    <t>070666661</t>
  </si>
  <si>
    <t>0772986550</t>
  </si>
  <si>
    <t>00100003492</t>
  </si>
  <si>
    <t>00100002437</t>
  </si>
  <si>
    <t>YAHAYA MUSENZE</t>
  </si>
  <si>
    <t>0772979854</t>
  </si>
  <si>
    <t>00100003564</t>
  </si>
  <si>
    <t>JUDITH NABUKALU</t>
  </si>
  <si>
    <t>0716727574</t>
  </si>
  <si>
    <t>2</t>
  </si>
  <si>
    <t>00100003553</t>
  </si>
  <si>
    <t>00100003569</t>
  </si>
  <si>
    <t>CNABAJJA</t>
  </si>
  <si>
    <t>PETER KYAKULAGA</t>
  </si>
  <si>
    <t>0772420314</t>
  </si>
  <si>
    <t>SOLOMON KIBUDDE</t>
  </si>
  <si>
    <t>0774959080</t>
  </si>
  <si>
    <t>0703750955</t>
  </si>
  <si>
    <t>Location:</t>
  </si>
  <si>
    <t>00100003405</t>
  </si>
  <si>
    <t>ZAM NALWOGA</t>
  </si>
  <si>
    <t>0715136775</t>
  </si>
  <si>
    <t>0702826059</t>
  </si>
  <si>
    <t>DAVID KIYINGI</t>
  </si>
  <si>
    <t>0776840527</t>
  </si>
  <si>
    <t>0702773362</t>
  </si>
  <si>
    <t>00100003600</t>
  </si>
  <si>
    <t>00100003521</t>
  </si>
  <si>
    <t>00100003595</t>
  </si>
  <si>
    <t>00100003572</t>
  </si>
  <si>
    <t>STELLA ASIIMWE KAJOINA</t>
  </si>
  <si>
    <t>0772605521</t>
  </si>
  <si>
    <t>SAMSON WILBERFORCE KIYINGI</t>
  </si>
  <si>
    <t>0772368976</t>
  </si>
  <si>
    <t>0704985953</t>
  </si>
  <si>
    <t>VINCENT NICHOLAS KIBERU</t>
  </si>
  <si>
    <t>0702079394</t>
  </si>
  <si>
    <t>HERBERT SSEKEBA</t>
  </si>
  <si>
    <t>0782855200</t>
  </si>
  <si>
    <t>CNAKIRIJJA</t>
  </si>
  <si>
    <t>00100003612</t>
  </si>
  <si>
    <t>00100003598</t>
  </si>
  <si>
    <t>00100003599</t>
  </si>
  <si>
    <t>DAVID ZZIWA</t>
  </si>
  <si>
    <t>0712413349</t>
  </si>
  <si>
    <t>0701088403</t>
  </si>
  <si>
    <t>JOSEPH NKUGWA</t>
  </si>
  <si>
    <t>0773739955</t>
  </si>
  <si>
    <t>GEOFREY KYEIROMBA</t>
  </si>
  <si>
    <t>0702920779</t>
  </si>
  <si>
    <t>GEORGE MAGOOLA</t>
  </si>
  <si>
    <t>078201444</t>
  </si>
  <si>
    <t>00100003607</t>
  </si>
  <si>
    <t>00100003618</t>
  </si>
  <si>
    <t>00100003629</t>
  </si>
  <si>
    <t>00100003628</t>
  </si>
  <si>
    <t>00100003648</t>
  </si>
  <si>
    <t>00100003659</t>
  </si>
  <si>
    <t>00100003642</t>
  </si>
  <si>
    <t>COKELLO</t>
  </si>
  <si>
    <t>00100003670</t>
  </si>
  <si>
    <t>00100003605</t>
  </si>
  <si>
    <t>00100003673</t>
  </si>
  <si>
    <t>HNAJJEMBA</t>
  </si>
  <si>
    <t>00100003700</t>
  </si>
  <si>
    <t>00100003679</t>
  </si>
  <si>
    <t>CHRISTINE BABWEINEKI</t>
  </si>
  <si>
    <t>07038334520</t>
  </si>
  <si>
    <t>JOHN BOSCO MULENZI</t>
  </si>
  <si>
    <t>0777140674</t>
  </si>
  <si>
    <t>FLORENCE NAKUBULWA</t>
  </si>
  <si>
    <t>0714475121</t>
  </si>
  <si>
    <t>0772475121</t>
  </si>
  <si>
    <t>FREDRICK EDWARD JAGWE</t>
  </si>
  <si>
    <t>0776111128</t>
  </si>
  <si>
    <t>ALISON ATWINE</t>
  </si>
  <si>
    <t>0772720200</t>
  </si>
  <si>
    <t>0755389387</t>
  </si>
  <si>
    <t>GERALD MUGERWA MAJJERA</t>
  </si>
  <si>
    <t>0772494273</t>
  </si>
  <si>
    <t>0700621165</t>
  </si>
  <si>
    <t>FRED SSENABULYA</t>
  </si>
  <si>
    <t>0756361689</t>
  </si>
  <si>
    <t>FLORENCE BITAMAZIRE</t>
  </si>
  <si>
    <t>0774197418</t>
  </si>
  <si>
    <t>0706308644</t>
  </si>
  <si>
    <t>ROBERT TWESIGYE</t>
  </si>
  <si>
    <t>0704624208</t>
  </si>
  <si>
    <t>WILLIAM JOSEPH SSENOGA</t>
  </si>
  <si>
    <t>0758973098</t>
  </si>
  <si>
    <t>0782973098</t>
  </si>
  <si>
    <t>GEOFFREY MUKIIBI</t>
  </si>
  <si>
    <t>0772851813</t>
  </si>
  <si>
    <t>DOROTHY BENGO NAKALYOWA</t>
  </si>
  <si>
    <t>0776681368</t>
  </si>
  <si>
    <t>0702681368</t>
  </si>
  <si>
    <t>FARIDAH NAMAKULA</t>
  </si>
  <si>
    <t>0752371967</t>
  </si>
  <si>
    <t>0787995706</t>
  </si>
  <si>
    <t>00100002294</t>
  </si>
  <si>
    <t>00100002511</t>
  </si>
  <si>
    <t>00100003613</t>
  </si>
  <si>
    <t>00100003614</t>
  </si>
  <si>
    <t>00100003620</t>
  </si>
  <si>
    <t>00100003636</t>
  </si>
  <si>
    <t>00100003657</t>
  </si>
  <si>
    <t>00100003658</t>
  </si>
  <si>
    <t>00100003669</t>
  </si>
  <si>
    <t>DAVID SSALI</t>
  </si>
  <si>
    <t>0776666601</t>
  </si>
  <si>
    <t>0752425892</t>
  </si>
  <si>
    <t>EVA NAMPIIMA NABWOMU</t>
  </si>
  <si>
    <t>0784209845</t>
  </si>
  <si>
    <t>EDWARD SENDAGALA</t>
  </si>
  <si>
    <t>0775615716</t>
  </si>
  <si>
    <t>0701408596</t>
  </si>
  <si>
    <t>JAMES KASENDWA</t>
  </si>
  <si>
    <t>0753326838</t>
  </si>
  <si>
    <t>0782326838</t>
  </si>
  <si>
    <t>SARAH NAMUDDU</t>
  </si>
  <si>
    <t>0772826305</t>
  </si>
  <si>
    <t>MOSES NTABAAZI</t>
  </si>
  <si>
    <t>0772474880</t>
  </si>
  <si>
    <t>00100003725</t>
  </si>
  <si>
    <t>HARRIET TUSIIME</t>
  </si>
  <si>
    <t>0772472500</t>
  </si>
  <si>
    <t>0702952710</t>
  </si>
  <si>
    <t>MOSES SSERUWAGI</t>
  </si>
  <si>
    <t>0772550868</t>
  </si>
  <si>
    <t>0753550868</t>
  </si>
  <si>
    <t>00100003735</t>
  </si>
  <si>
    <t>ACHILLES LUBEGA</t>
  </si>
  <si>
    <t>0701973731</t>
  </si>
  <si>
    <t>0392967860</t>
  </si>
  <si>
    <t>ACACIA</t>
  </si>
  <si>
    <t>ACACIA Total</t>
  </si>
  <si>
    <t>KOLOLO - CONSOLIDATED</t>
  </si>
  <si>
    <t>SARAH NANDAWULA</t>
  </si>
  <si>
    <t>0772461159</t>
  </si>
  <si>
    <t>0701461156</t>
  </si>
  <si>
    <t>00100002422</t>
  </si>
  <si>
    <t>00100001631</t>
  </si>
  <si>
    <t>IRENE BOGERE</t>
  </si>
  <si>
    <t>0772028096</t>
  </si>
  <si>
    <t>PROSSY KIIZA</t>
  </si>
  <si>
    <t>0772961002</t>
  </si>
  <si>
    <t>00100003744</t>
  </si>
  <si>
    <t>Bakeries</t>
  </si>
  <si>
    <t>00200000039</t>
  </si>
  <si>
    <t>ELIJAH GASANA</t>
  </si>
  <si>
    <t>0772395403</t>
  </si>
  <si>
    <t>0700175966</t>
  </si>
  <si>
    <t>EMMANUEL SSEKITOLEKO</t>
  </si>
  <si>
    <t>0772524454</t>
  </si>
  <si>
    <t>00200000105</t>
  </si>
  <si>
    <t>00100001505</t>
  </si>
  <si>
    <t>00100003601</t>
  </si>
  <si>
    <t>Colleges</t>
  </si>
  <si>
    <t>ERIC KIMBOWA</t>
  </si>
  <si>
    <t>0414581065</t>
  </si>
  <si>
    <t>0776485200</t>
  </si>
  <si>
    <t>BETTY NAKAZIBWE</t>
  </si>
  <si>
    <t>0784618449</t>
  </si>
  <si>
    <t>0702551585</t>
  </si>
  <si>
    <t xml:space="preserve">New Year Day_x000D_
</t>
  </si>
  <si>
    <t>00100003741</t>
  </si>
  <si>
    <t>SAKASEGERE</t>
  </si>
  <si>
    <t>00100003762</t>
  </si>
  <si>
    <t>00200000083</t>
  </si>
  <si>
    <t>00100003694</t>
  </si>
  <si>
    <t>PAUL LUYINDA KIMULI</t>
  </si>
  <si>
    <t>0776810597</t>
  </si>
  <si>
    <t>HUSSEIN BBOSA</t>
  </si>
  <si>
    <t>0703222663</t>
  </si>
  <si>
    <t>RASHID KIZITO</t>
  </si>
  <si>
    <t>0772559744</t>
  </si>
  <si>
    <t>ERIC KAMANZI</t>
  </si>
  <si>
    <t>0772867692</t>
  </si>
  <si>
    <t>0703570000</t>
  </si>
  <si>
    <t>00200000085</t>
  </si>
  <si>
    <t>Bus transportation</t>
  </si>
  <si>
    <t>HERBERT TUMUHAIRWE</t>
  </si>
  <si>
    <t>0703544400</t>
  </si>
  <si>
    <t>0712385136</t>
  </si>
  <si>
    <t>Hardware, &amp; Plumbing &amp; Heating Equipment</t>
  </si>
  <si>
    <t>GAMANYIRE</t>
  </si>
  <si>
    <t>00200000100</t>
  </si>
  <si>
    <t>00100002723</t>
  </si>
  <si>
    <t>00100003766</t>
  </si>
  <si>
    <t>GEORGE WILLYS MAWEJJE</t>
  </si>
  <si>
    <t>0752696949</t>
  </si>
  <si>
    <t>ASUMANI ` LUZZE</t>
  </si>
  <si>
    <t>0750818923</t>
  </si>
  <si>
    <t>ABDUL SABATA KADDU</t>
  </si>
  <si>
    <t>0772320297</t>
  </si>
  <si>
    <t>0754209804</t>
  </si>
  <si>
    <t>XXXX</t>
  </si>
  <si>
    <t>00200000115</t>
  </si>
  <si>
    <t>MABLE KOBUYONJO KAMANYI</t>
  </si>
  <si>
    <t>0782341332</t>
  </si>
  <si>
    <t>0704936287</t>
  </si>
  <si>
    <t>00200000086</t>
  </si>
  <si>
    <t>PETER SSEBBIRI</t>
  </si>
  <si>
    <t>0772659786</t>
  </si>
  <si>
    <t>00200000148</t>
  </si>
  <si>
    <t>Furniture &amp; Home Furnishings</t>
  </si>
  <si>
    <t>BNABBAALE</t>
  </si>
  <si>
    <t>00100003746</t>
  </si>
  <si>
    <t>JAMES KAMUNYE</t>
  </si>
  <si>
    <t>0752204507</t>
  </si>
  <si>
    <t>JOSHUA MATOVU</t>
  </si>
  <si>
    <t>JOHN BOSCO MUGISHA</t>
  </si>
  <si>
    <t>0773170202</t>
  </si>
  <si>
    <t>0702399681</t>
  </si>
  <si>
    <t>0771878743</t>
  </si>
  <si>
    <t>0772927388</t>
  </si>
  <si>
    <t>00100003786</t>
  </si>
  <si>
    <t>MICHEAL LUBWAMA</t>
  </si>
  <si>
    <t>0758932161</t>
  </si>
  <si>
    <t>0775910344</t>
  </si>
  <si>
    <t>00100003503</t>
  </si>
  <si>
    <t>SIMON NSUBUGA PETER</t>
  </si>
  <si>
    <t>0756218409</t>
  </si>
  <si>
    <t>0785623866</t>
  </si>
  <si>
    <t>00100003809</t>
  </si>
  <si>
    <t>AISHA NAMPONYE</t>
  </si>
  <si>
    <t>0782603346</t>
  </si>
  <si>
    <t>00200000159</t>
  </si>
  <si>
    <t>RICHARD TUMUTEGYEREIZE</t>
  </si>
  <si>
    <t>0772301976</t>
  </si>
  <si>
    <t>00200000149</t>
  </si>
  <si>
    <t>JULIUS BAGUMA</t>
  </si>
  <si>
    <t>SKAYONGO</t>
  </si>
  <si>
    <t>0782845860</t>
  </si>
  <si>
    <t>00200000192</t>
  </si>
  <si>
    <t>AISHA NALWEYISO</t>
  </si>
  <si>
    <t>0782438149</t>
  </si>
  <si>
    <t>00200000082</t>
  </si>
  <si>
    <t>Apparel, Piece Goods, &amp; Notions</t>
  </si>
  <si>
    <t>00200000136</t>
  </si>
  <si>
    <t>PETER LUYIMBAZI BWOGI</t>
  </si>
  <si>
    <t>0782161830</t>
  </si>
  <si>
    <t>00100003835</t>
  </si>
  <si>
    <t>UPLANDS HIGH SCHOOL, MUTUNDWE</t>
  </si>
  <si>
    <t>0772417671</t>
  </si>
  <si>
    <t>00200000239</t>
  </si>
  <si>
    <t>00100003068</t>
  </si>
  <si>
    <t>00100003795</t>
  </si>
  <si>
    <t>MARTIN MUYINGO</t>
  </si>
  <si>
    <t>0700670544</t>
  </si>
  <si>
    <t>00200000264</t>
  </si>
  <si>
    <t>SILAJE DAMULIRA</t>
  </si>
  <si>
    <t>0774576277</t>
  </si>
  <si>
    <t>00200000222</t>
  </si>
  <si>
    <t>CMT REALTORS LIMITED</t>
  </si>
  <si>
    <t>0776737908</t>
  </si>
  <si>
    <t>00100003807</t>
  </si>
  <si>
    <t>PAUL KIBERU</t>
  </si>
  <si>
    <t>0772466552</t>
  </si>
  <si>
    <t>EDWARD DUSENGE</t>
  </si>
  <si>
    <t>0772310086</t>
  </si>
  <si>
    <t>00200000216</t>
  </si>
  <si>
    <t>MUHAMAD NSUBUGA</t>
  </si>
  <si>
    <t>0772987001</t>
  </si>
  <si>
    <t>00200000263</t>
  </si>
  <si>
    <t>GERALD MUKASA BUTAYI</t>
  </si>
  <si>
    <t>0772503190</t>
  </si>
  <si>
    <t>Baked Goods Stores</t>
  </si>
  <si>
    <t>NAMANYA A SSENDAULA</t>
  </si>
  <si>
    <t>0702427200</t>
  </si>
  <si>
    <t>Printing Stores</t>
  </si>
  <si>
    <t>00100003582</t>
  </si>
  <si>
    <t>TONNY KASOZI MUWONGE</t>
  </si>
  <si>
    <t>0772622285</t>
  </si>
  <si>
    <t>00200000103</t>
  </si>
  <si>
    <t>ROBERT MIKE MUKEDE</t>
  </si>
  <si>
    <t>0772463698</t>
  </si>
  <si>
    <t>00100003788</t>
  </si>
  <si>
    <t>JAMES SENJALA</t>
  </si>
  <si>
    <t>0753566180</t>
  </si>
  <si>
    <t>00200000176</t>
  </si>
  <si>
    <t>FRANK SSEMPIJJA</t>
  </si>
  <si>
    <t>0772967109</t>
  </si>
  <si>
    <t>00200000225</t>
  </si>
  <si>
    <t>BOSCO MWEBESA</t>
  </si>
  <si>
    <t>0703876288</t>
  </si>
  <si>
    <t>PAR 30 +</t>
  </si>
  <si>
    <t>PAR 90 +</t>
  </si>
  <si>
    <t>PAR 180 +</t>
  </si>
  <si>
    <t>TOTAL of  outstanding porfolio</t>
  </si>
  <si>
    <t>Comparaison Oustanding &amp; PAR</t>
  </si>
  <si>
    <t>TOTAL LOAN PORTFOLIO</t>
  </si>
  <si>
    <t>Subsubactivity</t>
  </si>
  <si>
    <t>Amount PAR1</t>
  </si>
  <si>
    <t>PAR 1 %</t>
  </si>
  <si>
    <t>Amount PAR 30+</t>
  </si>
  <si>
    <t>PAR 30+%</t>
  </si>
  <si>
    <t>Number of Loans2</t>
  </si>
  <si>
    <t>Amount PAR 90+</t>
  </si>
  <si>
    <t>PAR 90+%</t>
  </si>
  <si>
    <t>Number of Loans3</t>
  </si>
  <si>
    <t>Amount PAR 180+</t>
  </si>
  <si>
    <t>PAR 180+%</t>
  </si>
  <si>
    <t>Amount total Portfolio</t>
  </si>
  <si>
    <t>Total Port%</t>
  </si>
  <si>
    <t>Number of Loans4</t>
  </si>
  <si>
    <r>
      <rPr>
        <sz val="18"/>
        <rFont val="Calibri"/>
        <family val="2"/>
      </rPr>
      <t>∆</t>
    </r>
    <r>
      <rPr>
        <sz val="18"/>
        <rFont val="Arial"/>
        <family val="2"/>
      </rPr>
      <t xml:space="preserve"> PAR 30 / Portfolio</t>
    </r>
  </si>
  <si>
    <t>∆ PAR 90 / Portfolio</t>
  </si>
  <si>
    <t>Cattle Feedlots</t>
  </si>
  <si>
    <t>Market Gardening</t>
  </si>
  <si>
    <t>Other Animal Production</t>
  </si>
  <si>
    <t>Offices of Dentists</t>
  </si>
  <si>
    <t>Book Publishers</t>
  </si>
  <si>
    <t>Architectural &amp; Structural Metals</t>
  </si>
  <si>
    <t>Chemical Manufacturing</t>
  </si>
  <si>
    <t>Plastics Product</t>
  </si>
  <si>
    <t>Oil &amp; Gas Extraction</t>
  </si>
  <si>
    <t>Consumer Electronics</t>
  </si>
  <si>
    <t>Bar</t>
  </si>
  <si>
    <t>Take away restaurant</t>
  </si>
  <si>
    <t>Cement Store</t>
  </si>
  <si>
    <t>Confectionery &amp; Nut Stores</t>
  </si>
  <si>
    <t>Convenience Stores (minimart)</t>
  </si>
  <si>
    <t>Fruit &amp; Vegetable Markets</t>
  </si>
  <si>
    <t>Grocery</t>
  </si>
  <si>
    <t>Jewelry Stores</t>
  </si>
  <si>
    <t>Mobile</t>
  </si>
  <si>
    <t>Shoes Stores</t>
  </si>
  <si>
    <t>General Freight Trucking, Local</t>
  </si>
  <si>
    <t>Drugs &amp; Druggists' Sundries</t>
  </si>
  <si>
    <t>Motor Vehicle &amp; Parts</t>
  </si>
  <si>
    <t>0758512497</t>
  </si>
  <si>
    <t>0772575423</t>
  </si>
  <si>
    <t>0702417671</t>
  </si>
  <si>
    <t>0702023202</t>
  </si>
  <si>
    <t>0701917001</t>
  </si>
  <si>
    <t>0793993394</t>
  </si>
  <si>
    <t>0414346344</t>
  </si>
  <si>
    <t>0701503190</t>
  </si>
  <si>
    <t>0736161830</t>
  </si>
  <si>
    <t>RESCHEDULE LOAN - BUSINESS</t>
  </si>
  <si>
    <t>NATEETE  Total</t>
  </si>
  <si>
    <t>00200000290</t>
  </si>
  <si>
    <t>THERESE TINKASIIMIRE</t>
  </si>
  <si>
    <t>0772459455</t>
  </si>
  <si>
    <t>00200000289</t>
  </si>
  <si>
    <t>ROGERS KIBERU KALYAMAGWA</t>
  </si>
  <si>
    <t>0701700606</t>
  </si>
  <si>
    <t>0772455582</t>
  </si>
  <si>
    <t>RESCHEDULE LOAN - HOUSING</t>
  </si>
  <si>
    <t>00200000325</t>
  </si>
  <si>
    <t>MARY FRANCES MUSOKE</t>
  </si>
  <si>
    <t>0701424337</t>
  </si>
  <si>
    <t>00200000012</t>
  </si>
  <si>
    <t>JULIANA KAYAGA</t>
  </si>
  <si>
    <t>0794850808</t>
  </si>
  <si>
    <t>00200000347</t>
  </si>
  <si>
    <t>00100000145</t>
  </si>
  <si>
    <t>0772425306</t>
  </si>
  <si>
    <t>ROBERT SSERUNJOGI</t>
  </si>
  <si>
    <t>077258804</t>
  </si>
  <si>
    <t>0752588804</t>
  </si>
  <si>
    <t>00200000345</t>
  </si>
  <si>
    <t>APOLLO KIRUNDA</t>
  </si>
  <si>
    <t>0772405261</t>
  </si>
  <si>
    <t>WOMEN MARKET TRADER LOAN 2</t>
  </si>
  <si>
    <t>WOMEN MARKET TRADER LOAN 3</t>
  </si>
  <si>
    <t>DBWIRE</t>
  </si>
  <si>
    <t>00100003845</t>
  </si>
  <si>
    <t>STEPHEN KAMULEGEYA</t>
  </si>
  <si>
    <t>0772507123</t>
  </si>
  <si>
    <t>0702507123</t>
  </si>
  <si>
    <t>EDWARD WALUGEMBE</t>
  </si>
  <si>
    <t>0772673323</t>
  </si>
  <si>
    <t>0703636391</t>
  </si>
  <si>
    <t>RICHARD KYAMBADDE</t>
  </si>
  <si>
    <t>0772477612</t>
  </si>
  <si>
    <t>00100003850</t>
  </si>
  <si>
    <t>JAMIL SSEKYANZI</t>
  </si>
  <si>
    <t>0753777333</t>
  </si>
  <si>
    <t>072513895</t>
  </si>
  <si>
    <t>00200000378</t>
  </si>
  <si>
    <t>RICHARD KAGORO MBABAZI</t>
  </si>
  <si>
    <t>0776815303</t>
  </si>
  <si>
    <t>00200000387</t>
  </si>
  <si>
    <t>00200000002</t>
  </si>
  <si>
    <t>NUHU KASUMBA</t>
  </si>
  <si>
    <t>0772304067</t>
  </si>
  <si>
    <t>ANTHONY ACUDA</t>
  </si>
  <si>
    <t>0782168102</t>
  </si>
  <si>
    <t>00100003855</t>
  </si>
  <si>
    <t>FIRIDAH KYOMUSHASHA KYOMUKAMA</t>
  </si>
  <si>
    <t>0705747106</t>
  </si>
  <si>
    <t>HALIMA NAMUKWAYA</t>
  </si>
  <si>
    <t>0751753418</t>
  </si>
  <si>
    <t>00200000315</t>
  </si>
  <si>
    <t>TONNY KALEJA</t>
  </si>
  <si>
    <t>0701717171</t>
  </si>
  <si>
    <t>00100003842</t>
  </si>
  <si>
    <t>00200000433</t>
  </si>
  <si>
    <t>ROBERT BASUDDE</t>
  </si>
  <si>
    <t>0779650271</t>
  </si>
  <si>
    <t>0700650271</t>
  </si>
  <si>
    <t>CAROLINE NANTONGO</t>
  </si>
  <si>
    <t>0772497311</t>
  </si>
  <si>
    <t>ERON MATEGA</t>
  </si>
  <si>
    <t>07722549932</t>
  </si>
  <si>
    <t>0757737534</t>
  </si>
  <si>
    <t>PNAMPIJJA</t>
  </si>
  <si>
    <t>00200000451</t>
  </si>
  <si>
    <t>CHRISTINE BIRABWA KAATE</t>
  </si>
  <si>
    <t>0774717148</t>
  </si>
  <si>
    <t>SKWATA</t>
  </si>
  <si>
    <t>GONZAGA KIBUYE</t>
  </si>
  <si>
    <t>0772855954</t>
  </si>
  <si>
    <t>0757855954</t>
  </si>
  <si>
    <t>00200000368</t>
  </si>
  <si>
    <t>SULAIMAN BUKENYA</t>
  </si>
  <si>
    <t>0772412904</t>
  </si>
  <si>
    <t>0702412904</t>
  </si>
  <si>
    <t>SWALLAH BATAMBUZE</t>
  </si>
  <si>
    <t>0703132597</t>
  </si>
  <si>
    <t>ANNETTE KYOMUHENDO</t>
  </si>
  <si>
    <t>0701112255</t>
  </si>
  <si>
    <t>JNALUKENGE</t>
  </si>
  <si>
    <t>00100003878</t>
  </si>
  <si>
    <t>HARRIET NANSUBUGA</t>
  </si>
  <si>
    <t>0772919745</t>
  </si>
  <si>
    <t>DGAYI</t>
  </si>
  <si>
    <t>IAIMO</t>
  </si>
  <si>
    <t>00200000482</t>
  </si>
  <si>
    <t>PAUL BALIRAINE MUKISA</t>
  </si>
  <si>
    <t>0772507686</t>
  </si>
  <si>
    <t>00200000509</t>
  </si>
  <si>
    <t>AGNES NAMUSOKE</t>
  </si>
  <si>
    <t>0703796475</t>
  </si>
  <si>
    <t>00200000511</t>
  </si>
  <si>
    <t>00200000493</t>
  </si>
  <si>
    <t>00100003888</t>
  </si>
  <si>
    <t>AFANI KALUMBA</t>
  </si>
  <si>
    <t>0772544643</t>
  </si>
  <si>
    <t>HENRY BYARUHANGA</t>
  </si>
  <si>
    <t>0772675513</t>
  </si>
  <si>
    <t>MORGAN BUGEMBE</t>
  </si>
  <si>
    <t>0753570911</t>
  </si>
  <si>
    <t>0775053434</t>
  </si>
  <si>
    <t>00100001930</t>
  </si>
  <si>
    <t>00200000125</t>
  </si>
  <si>
    <t>JAMES MUSISI LUGWANA</t>
  </si>
  <si>
    <t>0776628200</t>
  </si>
  <si>
    <t>0752628200</t>
  </si>
  <si>
    <t>0794852814</t>
  </si>
  <si>
    <t>00200000499</t>
  </si>
  <si>
    <t>00200000537</t>
  </si>
  <si>
    <t>00100003904</t>
  </si>
  <si>
    <t>00200000169</t>
  </si>
  <si>
    <t>00200000605</t>
  </si>
  <si>
    <t>ANDREW SEBULIBA</t>
  </si>
  <si>
    <t>0773559221</t>
  </si>
  <si>
    <t>00100000807</t>
  </si>
  <si>
    <t>JANE BUJJUZA</t>
  </si>
  <si>
    <t>0776765459</t>
  </si>
  <si>
    <t>00100003883</t>
  </si>
  <si>
    <t>VERERIYAN BYARUGABA</t>
  </si>
  <si>
    <t>0702459333</t>
  </si>
  <si>
    <t>00100003266</t>
  </si>
  <si>
    <t>ANDREW KITYO MUGABI KATONGOLE</t>
  </si>
  <si>
    <t>0702507933</t>
  </si>
  <si>
    <t>0772507933</t>
  </si>
  <si>
    <t>00100003881</t>
  </si>
  <si>
    <t>AHMED MUKASA KALULE</t>
  </si>
  <si>
    <t>0782335166</t>
  </si>
  <si>
    <t>ENID MELISA KABAHENDA</t>
  </si>
  <si>
    <t>00100003897</t>
  </si>
  <si>
    <t>GRACE NGABO NABUKENYA</t>
  </si>
  <si>
    <t>0782707474</t>
  </si>
  <si>
    <t>0750308492</t>
  </si>
  <si>
    <t>00100002549</t>
  </si>
  <si>
    <t>JOHN SSALI KAFEERO</t>
  </si>
  <si>
    <t>0774776734</t>
  </si>
  <si>
    <t>ESTHER MULABIZA</t>
  </si>
  <si>
    <t>0781537938</t>
  </si>
  <si>
    <t>SARAH BUSINGE</t>
  </si>
  <si>
    <t>0772460515</t>
  </si>
  <si>
    <t>0702460515</t>
  </si>
  <si>
    <t>ROBERT KALYANGO</t>
  </si>
  <si>
    <t>0701854378</t>
  </si>
  <si>
    <t>0788668676</t>
  </si>
  <si>
    <t>CHARLES LUKANGA</t>
  </si>
  <si>
    <t>0772425111</t>
  </si>
  <si>
    <t>0701425111</t>
  </si>
  <si>
    <t>00200000023</t>
  </si>
  <si>
    <t>UNICE ARINAITWE</t>
  </si>
  <si>
    <t>0774906709</t>
  </si>
  <si>
    <t>00200000510</t>
  </si>
  <si>
    <t>JOHN MUSISI</t>
  </si>
  <si>
    <t>0701479721</t>
  </si>
  <si>
    <t>0782479721</t>
  </si>
  <si>
    <t>00200000515</t>
  </si>
  <si>
    <t>ESTHER SUUBI</t>
  </si>
  <si>
    <t>0789556338</t>
  </si>
  <si>
    <t>0772891673</t>
  </si>
  <si>
    <t>00200000548</t>
  </si>
  <si>
    <t>ELBER UGANDA LIMITED</t>
  </si>
  <si>
    <t>00200000566</t>
  </si>
  <si>
    <t>CONVENANT HARDWARE  LIMITED</t>
  </si>
  <si>
    <t>00200000523</t>
  </si>
  <si>
    <t>JUSTINE MUTALYA</t>
  </si>
  <si>
    <t>0772851616</t>
  </si>
  <si>
    <t>00200000519</t>
  </si>
  <si>
    <t>KATHERINE NAKITENDE NABAKIBI</t>
  </si>
  <si>
    <t>0782952419</t>
  </si>
  <si>
    <t>0701952419</t>
  </si>
  <si>
    <t>00200000531</t>
  </si>
  <si>
    <t>DIANA NAMARA</t>
  </si>
  <si>
    <t>0772019615</t>
  </si>
  <si>
    <t>00200000529</t>
  </si>
  <si>
    <t>DAVID MUSISI</t>
  </si>
  <si>
    <t>0772474723</t>
  </si>
  <si>
    <t>00200000567</t>
  </si>
  <si>
    <t>ALLEN SSEKINDI</t>
  </si>
  <si>
    <t>0772468937</t>
  </si>
  <si>
    <t>00200000560</t>
  </si>
  <si>
    <t>GRACIOUS MAYAMBALA</t>
  </si>
  <si>
    <t>0772562128</t>
  </si>
  <si>
    <t>JONATHAN ABAINE BUREGYEYA</t>
  </si>
  <si>
    <t>0772427912</t>
  </si>
  <si>
    <t>SIMON KIIRYA WAISWA</t>
  </si>
  <si>
    <t>0753635303</t>
  </si>
  <si>
    <t>PETER SOZI</t>
  </si>
  <si>
    <t>0772417637</t>
  </si>
  <si>
    <t>JOYCE SIFUNA</t>
  </si>
  <si>
    <t>0701096147</t>
  </si>
  <si>
    <t>FKATUA</t>
  </si>
  <si>
    <t>00100003907</t>
  </si>
  <si>
    <t>00200000635</t>
  </si>
  <si>
    <t>00200000609</t>
  </si>
  <si>
    <t>00200000613</t>
  </si>
  <si>
    <t>SSAKA SSAMBWA</t>
  </si>
  <si>
    <t>0772977254</t>
  </si>
  <si>
    <t>0753977254</t>
  </si>
  <si>
    <t>JAGGWE RONALD MUYINGO</t>
  </si>
  <si>
    <t>0772328759</t>
  </si>
  <si>
    <t>AKLEUS MUHANGI</t>
  </si>
  <si>
    <t>0392903881</t>
  </si>
  <si>
    <t>0782895544</t>
  </si>
  <si>
    <t>SERUKWAYA CONSTRUCTION AND PROPERTY DEVELOPERS LTD</t>
  </si>
  <si>
    <t>00200000582</t>
  </si>
  <si>
    <t>00200000579</t>
  </si>
  <si>
    <t>00100003895</t>
  </si>
  <si>
    <t>MOHAMMED NJAGALA</t>
  </si>
  <si>
    <t>0772520781</t>
  </si>
  <si>
    <t>0701520781</t>
  </si>
  <si>
    <t>TOM NDAWULA</t>
  </si>
  <si>
    <t>0772574628</t>
  </si>
  <si>
    <t>NOAH NKATA BWOGI</t>
  </si>
  <si>
    <t>0772587942</t>
  </si>
  <si>
    <t>0758018445</t>
  </si>
  <si>
    <t>00200000594</t>
  </si>
  <si>
    <t>00100000009</t>
  </si>
  <si>
    <t>00200000599</t>
  </si>
  <si>
    <t>JOSEPH BALIDAWA KASANGO</t>
  </si>
  <si>
    <t>0774787320</t>
  </si>
  <si>
    <t>DOVIC MUTESAIRA</t>
  </si>
  <si>
    <t>0752635216</t>
  </si>
  <si>
    <t>MARGARET NAGGINGO</t>
  </si>
  <si>
    <t>0774094183</t>
  </si>
  <si>
    <t>00200000621</t>
  </si>
  <si>
    <t>JOHN BOSCO KATO</t>
  </si>
  <si>
    <t>0782835080</t>
  </si>
  <si>
    <t>MUSTAPHA LWANGA</t>
  </si>
  <si>
    <t>0782009877</t>
  </si>
  <si>
    <t>00100003799</t>
  </si>
  <si>
    <t>00200000574</t>
  </si>
  <si>
    <t>ANGELLA NAKIGONYA</t>
  </si>
  <si>
    <t>0752322721</t>
  </si>
  <si>
    <t>GEOFREY MUSIITWA</t>
  </si>
  <si>
    <t>0781968926</t>
  </si>
  <si>
    <t>ADMIN</t>
  </si>
  <si>
    <t>ADMIN Total</t>
  </si>
  <si>
    <t>00200000417</t>
  </si>
  <si>
    <t>00200000647</t>
  </si>
  <si>
    <t>00100002747</t>
  </si>
  <si>
    <t>00200000620</t>
  </si>
  <si>
    <t>00200000527</t>
  </si>
  <si>
    <t>IBRA HOODS TEBUSWEKE</t>
  </si>
  <si>
    <t>0703350251</t>
  </si>
  <si>
    <t>0786482991</t>
  </si>
  <si>
    <t>ROGERS MUGISHA BUHIIRE</t>
  </si>
  <si>
    <t>0706119592</t>
  </si>
  <si>
    <t>BEATRICE NAMBUYA</t>
  </si>
  <si>
    <t>0704847922</t>
  </si>
  <si>
    <t>JOSEPH WALAKIRA</t>
  </si>
  <si>
    <t>0772121834</t>
  </si>
  <si>
    <t>PETER ORANGI</t>
  </si>
  <si>
    <t>0772412225</t>
  </si>
  <si>
    <t>ANNET CELINE MUKALAZI</t>
  </si>
  <si>
    <t>0772410950</t>
  </si>
  <si>
    <t>00200000505</t>
  </si>
  <si>
    <t>00100003001</t>
  </si>
  <si>
    <t>00200000640</t>
  </si>
  <si>
    <t>00100003879</t>
  </si>
  <si>
    <t>00200000665</t>
  </si>
  <si>
    <t>00100003706</t>
  </si>
  <si>
    <t>00200000536</t>
  </si>
  <si>
    <t>BRIAN TUMWIJUKYE</t>
  </si>
  <si>
    <t>0774953989</t>
  </si>
  <si>
    <t>0791555777</t>
  </si>
  <si>
    <t>WILLIAM KAVUMA KAGGWA</t>
  </si>
  <si>
    <t>0702885644</t>
  </si>
  <si>
    <t>GODFREY LUBEGA</t>
  </si>
  <si>
    <t>0752638464</t>
  </si>
  <si>
    <t>BANABUS KATIMBO</t>
  </si>
  <si>
    <t>0753513592</t>
  </si>
  <si>
    <t>FRANK KATOOLA KAZENGURE</t>
  </si>
  <si>
    <t>0772420453</t>
  </si>
  <si>
    <t>MICHEAL ISABIRYE</t>
  </si>
  <si>
    <t>0752116677</t>
  </si>
  <si>
    <t>0777116677</t>
  </si>
  <si>
    <t>MOSES KAGIMU GAVA</t>
  </si>
  <si>
    <t>0772720374</t>
  </si>
  <si>
    <t>WILSON MUBIRU NDIWALANA</t>
  </si>
  <si>
    <t>0772422322</t>
  </si>
  <si>
    <t>00100003906</t>
  </si>
  <si>
    <t>CERUUT</t>
  </si>
  <si>
    <t>HENRY WALUSIMBI DEGEDEGE</t>
  </si>
  <si>
    <t>0756350814</t>
  </si>
  <si>
    <t>00100003917</t>
  </si>
  <si>
    <t>00200000498</t>
  </si>
  <si>
    <t>00100003912</t>
  </si>
  <si>
    <t>JODONGO</t>
  </si>
  <si>
    <t>00100003008</t>
  </si>
  <si>
    <t>00200000581</t>
  </si>
  <si>
    <t>00200000556</t>
  </si>
  <si>
    <t>00100003813</t>
  </si>
  <si>
    <t>00200000655</t>
  </si>
  <si>
    <t>00100003787</t>
  </si>
  <si>
    <t>00200000633</t>
  </si>
  <si>
    <t>CHRISTOPHER YIGA</t>
  </si>
  <si>
    <t>0772484524</t>
  </si>
  <si>
    <t>0701484524</t>
  </si>
  <si>
    <t>DAVID M KIKULWE</t>
  </si>
  <si>
    <t>0772511951</t>
  </si>
  <si>
    <t>NTEGE LUBWAMA</t>
  </si>
  <si>
    <t>0772688494</t>
  </si>
  <si>
    <t>0752688494</t>
  </si>
  <si>
    <t>PROMISE AGABA</t>
  </si>
  <si>
    <t>0782640417</t>
  </si>
  <si>
    <t>ROSE WATSEMBWA</t>
  </si>
  <si>
    <t>0701447893</t>
  </si>
  <si>
    <t>0772407890</t>
  </si>
  <si>
    <t>STEPHEN AMOOTI SABIITI</t>
  </si>
  <si>
    <t>0782211376</t>
  </si>
  <si>
    <t>JAMES MITI</t>
  </si>
  <si>
    <t>0772903368</t>
  </si>
  <si>
    <t>EMMANUEL KISOLO</t>
  </si>
  <si>
    <t>0775812637</t>
  </si>
  <si>
    <t>JOHN PAUL MUSONGE</t>
  </si>
  <si>
    <t>0703157746</t>
  </si>
  <si>
    <t>MOSES MATOVU</t>
  </si>
  <si>
    <t>0754401496</t>
  </si>
  <si>
    <t>JAMADA KAYIMA</t>
  </si>
  <si>
    <t>0752054068</t>
  </si>
  <si>
    <t>00100003928</t>
  </si>
  <si>
    <t>JAKAMPA</t>
  </si>
  <si>
    <t>00200000704</t>
  </si>
  <si>
    <t>JOSEPH KATABIRA</t>
  </si>
  <si>
    <t>0772314307</t>
  </si>
  <si>
    <t>WILLIAM KIMBUGWE</t>
  </si>
  <si>
    <t>0772573016</t>
  </si>
  <si>
    <t>0705420897</t>
  </si>
  <si>
    <t>NGAMBWA SABASTIAN RUTA</t>
  </si>
  <si>
    <t>0701945174</t>
  </si>
  <si>
    <t>00200000710</t>
  </si>
  <si>
    <t>MBIRABWA</t>
  </si>
  <si>
    <t>00100003931</t>
  </si>
  <si>
    <t>DOROTHY O KHADUYU</t>
  </si>
  <si>
    <t>0778525203</t>
  </si>
  <si>
    <t>0771908707</t>
  </si>
  <si>
    <t>ROBERT SSENTAMU</t>
  </si>
  <si>
    <t>0782806207</t>
  </si>
  <si>
    <t>ADMINTotal</t>
  </si>
  <si>
    <t>JNANYONJO</t>
  </si>
  <si>
    <t>NKIBUUKA</t>
  </si>
  <si>
    <t>ENANFUKA</t>
  </si>
  <si>
    <t>MAMULEN</t>
  </si>
  <si>
    <t>00200000724</t>
  </si>
  <si>
    <t>00200000720</t>
  </si>
  <si>
    <t>00100003591</t>
  </si>
  <si>
    <t>00200000636</t>
  </si>
  <si>
    <t>00200000699</t>
  </si>
  <si>
    <t>Air, Rail, and Water Transportation</t>
  </si>
  <si>
    <t>00200000712</t>
  </si>
  <si>
    <t>00200000065</t>
  </si>
  <si>
    <t>00200000723</t>
  </si>
  <si>
    <t>JOHN MARY RUMBASI</t>
  </si>
  <si>
    <t>0753577592</t>
  </si>
  <si>
    <t>SULAIMAN KIBERU</t>
  </si>
  <si>
    <t>0772476180</t>
  </si>
  <si>
    <t>0702476180</t>
  </si>
  <si>
    <t>MAAI ISAAC OLINYA</t>
  </si>
  <si>
    <t>0753860192</t>
  </si>
  <si>
    <t>IKIRIZA ASSUMPTA TIBAMWENDA</t>
  </si>
  <si>
    <t>0772412139</t>
  </si>
  <si>
    <t>PROSSY NAMALA</t>
  </si>
  <si>
    <t>0772362957</t>
  </si>
  <si>
    <t>JACQUELYNN DIPIO MAMAWI</t>
  </si>
  <si>
    <t>0772366755</t>
  </si>
  <si>
    <t>0791828764</t>
  </si>
  <si>
    <t>CHARLES EDWARD SEMAKULA</t>
  </si>
  <si>
    <t>0772372787</t>
  </si>
  <si>
    <t>JOSEPH ROBERTS SSERWADDA</t>
  </si>
  <si>
    <t>0772864477</t>
  </si>
  <si>
    <t>Targeted files= 180</t>
  </si>
  <si>
    <t>for 3,200,000,000</t>
  </si>
  <si>
    <t>00200000727</t>
  </si>
  <si>
    <t>MIRIYAT KIGGUNDU</t>
  </si>
  <si>
    <t>0772415290</t>
  </si>
  <si>
    <t>0700368831</t>
  </si>
  <si>
    <t>RUTH MATOVU</t>
  </si>
  <si>
    <t>0772364030</t>
  </si>
  <si>
    <t>00200000685</t>
  </si>
  <si>
    <t>VINCENT NORBERT OKUMU</t>
  </si>
  <si>
    <t>0785305380</t>
  </si>
  <si>
    <t>0704974362</t>
  </si>
  <si>
    <t>00200000740</t>
  </si>
  <si>
    <t>00200000678</t>
  </si>
  <si>
    <t>PRONNER NAKIRIJJA</t>
  </si>
  <si>
    <t>0750587018</t>
  </si>
  <si>
    <t>IBRAHIM MUKASA</t>
  </si>
  <si>
    <t>0772459893</t>
  </si>
  <si>
    <t>WTM</t>
  </si>
  <si>
    <t>00100003954</t>
  </si>
  <si>
    <t>00100003934</t>
  </si>
  <si>
    <t>00200000742</t>
  </si>
  <si>
    <t>00200000739</t>
  </si>
  <si>
    <t>DCRISPUS</t>
  </si>
  <si>
    <t>ARCHIE LUYIMBAZI</t>
  </si>
  <si>
    <t>0701123334</t>
  </si>
  <si>
    <t>SAMUEL NANDHUBU</t>
  </si>
  <si>
    <t>0772497711</t>
  </si>
  <si>
    <t>0703458269</t>
  </si>
  <si>
    <t>LAWRENCE NSAMBA</t>
  </si>
  <si>
    <t>0782144436</t>
  </si>
  <si>
    <t>GRACE NAMULI</t>
  </si>
  <si>
    <t>0775250416</t>
  </si>
  <si>
    <t>00200000755</t>
  </si>
  <si>
    <t>00200000684</t>
  </si>
  <si>
    <t>BARBRA NANTUME</t>
  </si>
  <si>
    <t>0701511896</t>
  </si>
  <si>
    <t>0782151896</t>
  </si>
  <si>
    <t>KABIITO BAKER MUSOKE KIWANUKA</t>
  </si>
  <si>
    <t>0701225224</t>
  </si>
  <si>
    <t>Loan Status</t>
  </si>
  <si>
    <t>Status of Loans Disbursed</t>
  </si>
  <si>
    <t>00200000769</t>
  </si>
  <si>
    <t>00200000752</t>
  </si>
  <si>
    <t>00100003957</t>
  </si>
  <si>
    <t>00200000758</t>
  </si>
  <si>
    <t>ROSE NSUBUGA MUTAKA</t>
  </si>
  <si>
    <t>0772415727</t>
  </si>
  <si>
    <t>EDRINE MAYANJA</t>
  </si>
  <si>
    <t>0757748304</t>
  </si>
  <si>
    <t>UGANDA OIL SEEDS PRODUCERS AND PROCESSORS ASSOCIATION LTD</t>
  </si>
  <si>
    <t>0312264126</t>
  </si>
  <si>
    <t>DAVID ARINAITWE</t>
  </si>
  <si>
    <t>0772953870</t>
  </si>
  <si>
    <t>00100003950</t>
  </si>
  <si>
    <t>00100003967</t>
  </si>
  <si>
    <t>00200000786</t>
  </si>
  <si>
    <t>AFISHA NAMUTEBI</t>
  </si>
  <si>
    <t>0751107041</t>
  </si>
  <si>
    <t>JANE MUSOKE</t>
  </si>
  <si>
    <t>0759068007</t>
  </si>
  <si>
    <t>MADRINE NAMUDDU</t>
  </si>
  <si>
    <t>0772875238</t>
  </si>
  <si>
    <t>0701875238</t>
  </si>
  <si>
    <t>00200000792</t>
  </si>
  <si>
    <t>00200000805</t>
  </si>
  <si>
    <t>00100003804</t>
  </si>
  <si>
    <t>00200000745</t>
  </si>
  <si>
    <t>HERBERT LINTON WALUSIMBI</t>
  </si>
  <si>
    <t>0752934590</t>
  </si>
  <si>
    <t>SAMUEL NTAMBI</t>
  </si>
  <si>
    <t>0792430741</t>
  </si>
  <si>
    <t>0782796769</t>
  </si>
  <si>
    <t>DANIEL SSEMBATYA</t>
  </si>
  <si>
    <t>0704738038</t>
  </si>
  <si>
    <t>CHRISTOPHER MAKAYAGA</t>
  </si>
  <si>
    <t>0756570818</t>
  </si>
  <si>
    <t>00200000749</t>
  </si>
  <si>
    <t>00200000722</t>
  </si>
  <si>
    <t>00200000632</t>
  </si>
  <si>
    <t>00100003463</t>
  </si>
  <si>
    <t>Repair and Maintenance</t>
  </si>
  <si>
    <t>ZIAD MUKASA KIBERU</t>
  </si>
  <si>
    <t>0782199011</t>
  </si>
  <si>
    <t>JOHN KASIBANTE</t>
  </si>
  <si>
    <t>0772537791</t>
  </si>
  <si>
    <t>JAMES KASOZI SSENYAMA</t>
  </si>
  <si>
    <t>0772422097</t>
  </si>
  <si>
    <t>MILLY OBBO NABITEEKO</t>
  </si>
  <si>
    <t>0772434755</t>
  </si>
  <si>
    <t>MEDI KAYONDO</t>
  </si>
  <si>
    <t>0782471240</t>
  </si>
  <si>
    <t>0702471240</t>
  </si>
  <si>
    <t>00100003964</t>
  </si>
  <si>
    <t>00100003979</t>
  </si>
  <si>
    <t>Wood Product Manufacturing</t>
  </si>
  <si>
    <t>00200000796</t>
  </si>
  <si>
    <t>00200000808</t>
  </si>
  <si>
    <t>00200000810</t>
  </si>
  <si>
    <t>JACOB WATUUTUBIRA</t>
  </si>
  <si>
    <t>0772470373</t>
  </si>
  <si>
    <t>IBRAHIM KATUMBA</t>
  </si>
  <si>
    <t>0704805205</t>
  </si>
  <si>
    <t>0784517617</t>
  </si>
  <si>
    <t>LAWRENCE SSABUULA</t>
  </si>
  <si>
    <t>0772545719</t>
  </si>
  <si>
    <t>0704545719</t>
  </si>
  <si>
    <t>ELIZABETH MUGIMBA</t>
  </si>
  <si>
    <t>0772898992</t>
  </si>
  <si>
    <t>MARGRET NANZIRI</t>
  </si>
  <si>
    <t>0772372005</t>
  </si>
  <si>
    <t>00100003974</t>
  </si>
  <si>
    <t>00100003981</t>
  </si>
  <si>
    <t>00200000814</t>
  </si>
  <si>
    <t>OSCAR ASSOCIATES</t>
  </si>
  <si>
    <t>SULAIMAN KANGAVE WALUSIMBI</t>
  </si>
  <si>
    <t>0702311613</t>
  </si>
  <si>
    <t>0772303187</t>
  </si>
  <si>
    <t>SIMON SSEREMBA</t>
  </si>
  <si>
    <t>0772657232</t>
  </si>
  <si>
    <t>0752657232</t>
  </si>
  <si>
    <t>SIMON LUGOLOBI</t>
  </si>
  <si>
    <t>0772436643</t>
  </si>
  <si>
    <t>00100003983</t>
  </si>
  <si>
    <t>00200000781</t>
  </si>
  <si>
    <t>ISMA LUBOWA</t>
  </si>
  <si>
    <t>0705203477</t>
  </si>
  <si>
    <t>ALICE AYIKORU</t>
  </si>
  <si>
    <t>0782636866</t>
  </si>
  <si>
    <t>00200000734</t>
  </si>
  <si>
    <t>PATRICK JOLLY BAGUMA KANDOLE</t>
  </si>
  <si>
    <t>0703963213</t>
  </si>
  <si>
    <t>0772509685</t>
  </si>
  <si>
    <t>00200000794</t>
  </si>
  <si>
    <t>00200000795</t>
  </si>
  <si>
    <t>BEN MAWANDA</t>
  </si>
  <si>
    <t>0772329150</t>
  </si>
  <si>
    <t>BEN SERUYANGE KABAKA</t>
  </si>
  <si>
    <t>0752616099</t>
  </si>
  <si>
    <t>0700135335</t>
  </si>
  <si>
    <t>SAMUEL MUGABI</t>
  </si>
  <si>
    <t>0700829242</t>
  </si>
  <si>
    <t>0751192421</t>
  </si>
  <si>
    <t>PETER SSEKAJJA</t>
  </si>
  <si>
    <t>0782093140</t>
  </si>
  <si>
    <t>00100003751</t>
  </si>
  <si>
    <t>00200000839</t>
  </si>
  <si>
    <t>00200000842</t>
  </si>
  <si>
    <t>CHARLES SSEMAKALU</t>
  </si>
  <si>
    <t>0772403208</t>
  </si>
  <si>
    <t>07012403208</t>
  </si>
  <si>
    <t>FREDRICK MITALA</t>
  </si>
  <si>
    <t>0702443734</t>
  </si>
  <si>
    <t>0772443734</t>
  </si>
  <si>
    <t>JULIUS SSENSAMBA</t>
  </si>
  <si>
    <t>0774460361</t>
  </si>
  <si>
    <t>00100003970</t>
  </si>
  <si>
    <t>00200000825</t>
  </si>
  <si>
    <t>00200000845</t>
  </si>
  <si>
    <t>JOVIA KEMBABAZI</t>
  </si>
  <si>
    <t>0772408286</t>
  </si>
  <si>
    <t>JUSTINE SSEMAKULA</t>
  </si>
  <si>
    <t>0782520462</t>
  </si>
  <si>
    <t>DAN KAYE KIWANUKA KIZITO</t>
  </si>
  <si>
    <t>0772971749</t>
  </si>
  <si>
    <t>00100003969</t>
  </si>
  <si>
    <t>00100003988</t>
  </si>
  <si>
    <t>00100003996</t>
  </si>
  <si>
    <t>00200000089</t>
  </si>
  <si>
    <t>00200000532</t>
  </si>
  <si>
    <t>00200000775</t>
  </si>
  <si>
    <t>00200000791</t>
  </si>
  <si>
    <t>00200000821</t>
  </si>
  <si>
    <t>00200000824</t>
  </si>
  <si>
    <t>00200000836</t>
  </si>
  <si>
    <t>SHAURI ABRAHAM</t>
  </si>
  <si>
    <t>0702038357</t>
  </si>
  <si>
    <t>0774254199</t>
  </si>
  <si>
    <t>ROGERS KATUMBA</t>
  </si>
  <si>
    <t>0774680078</t>
  </si>
  <si>
    <t>SAM LUKYAMUZI</t>
  </si>
  <si>
    <t>0783406877</t>
  </si>
  <si>
    <t>0703153121</t>
  </si>
  <si>
    <t>CHARLES OMAALI</t>
  </si>
  <si>
    <t>0758860490</t>
  </si>
  <si>
    <t>NULU NAMIRIMU BUSUULWA</t>
  </si>
  <si>
    <t>0705106727</t>
  </si>
  <si>
    <t>ALLEN TUSHABE</t>
  </si>
  <si>
    <t>0701694605</t>
  </si>
  <si>
    <t>LAURIEN NAKIGULI</t>
  </si>
  <si>
    <t>0701634009</t>
  </si>
  <si>
    <t>ANNE LUTARA</t>
  </si>
  <si>
    <t>0772628000</t>
  </si>
  <si>
    <t>STEVEN SSEBAGGALA</t>
  </si>
  <si>
    <t>0755958040</t>
  </si>
  <si>
    <t>0773453254</t>
  </si>
  <si>
    <t>SULAIMAN NTALE</t>
  </si>
  <si>
    <t>0782246233</t>
  </si>
  <si>
    <t>0700246233</t>
  </si>
  <si>
    <t>00200000813</t>
  </si>
  <si>
    <t>DUNCAN MALUME</t>
  </si>
  <si>
    <t>0776852206</t>
  </si>
  <si>
    <t>00200000887</t>
  </si>
  <si>
    <t>LAMVIC PROPERTY CONSULTANTS (U) LIMITED</t>
  </si>
  <si>
    <t>0759414141</t>
  </si>
  <si>
    <t>DCOLLECTO2</t>
  </si>
  <si>
    <t>00100002354</t>
  </si>
  <si>
    <t>BRIAN ANKWASA</t>
  </si>
  <si>
    <t>0700721054</t>
  </si>
  <si>
    <t>0772461992</t>
  </si>
  <si>
    <t>GLORIA NALUBWAMA</t>
  </si>
  <si>
    <t>0706955152</t>
  </si>
  <si>
    <t>LUKE SAJABI</t>
  </si>
  <si>
    <t>0772434199</t>
  </si>
  <si>
    <t>0702434199</t>
  </si>
  <si>
    <t>00100004005</t>
  </si>
  <si>
    <t>JAMES BUNYA</t>
  </si>
  <si>
    <t>0703345346</t>
  </si>
  <si>
    <t>0774345346</t>
  </si>
  <si>
    <t>00100004004</t>
  </si>
  <si>
    <t>CATHERINE KUSASIRA</t>
  </si>
  <si>
    <t>0782438696</t>
  </si>
  <si>
    <t>MARIAM NALWADDA WARAKIRA</t>
  </si>
  <si>
    <t>0772319926</t>
  </si>
  <si>
    <t>0704891927</t>
  </si>
  <si>
    <t>00100004018</t>
  </si>
  <si>
    <t>ZAINABU NABUUSO</t>
  </si>
  <si>
    <t>0756914031</t>
  </si>
  <si>
    <t>00100004020</t>
  </si>
  <si>
    <t>AIDAH TWINOMUHANGI</t>
  </si>
  <si>
    <t>0702925090</t>
  </si>
  <si>
    <t>0776925090</t>
  </si>
  <si>
    <t>00200000302</t>
  </si>
  <si>
    <t>ZAMULAH NAKUYA</t>
  </si>
  <si>
    <t>0701450050</t>
  </si>
  <si>
    <t>00200000903</t>
  </si>
  <si>
    <t>PATIENCE KAYAGA</t>
  </si>
  <si>
    <t>0783731037</t>
  </si>
  <si>
    <t>00200000835</t>
  </si>
  <si>
    <t>HENRY WANDAMA</t>
  </si>
  <si>
    <t>0774582276</t>
  </si>
  <si>
    <t>0757867957</t>
  </si>
  <si>
    <t>00200000893</t>
  </si>
  <si>
    <t>MAIMUNAH NAKABUYE</t>
  </si>
  <si>
    <t>0752660299</t>
  </si>
  <si>
    <t>00200000905</t>
  </si>
  <si>
    <t>WILLIAM MUTUMBA</t>
  </si>
  <si>
    <t>0775164368</t>
  </si>
  <si>
    <t>00200000865</t>
  </si>
  <si>
    <t>JROBTA ENTERPRISES LIMITED</t>
  </si>
  <si>
    <t>0782849651</t>
  </si>
  <si>
    <t>00200000924</t>
  </si>
  <si>
    <t>WILBERFORCE TWINOMUJUNI</t>
  </si>
  <si>
    <t>0777154162</t>
  </si>
  <si>
    <t>0756154162</t>
  </si>
  <si>
    <t>00200000880</t>
  </si>
  <si>
    <t>BOSCO SSENDIJJA</t>
  </si>
  <si>
    <t>0774125873</t>
  </si>
  <si>
    <t>0754125873</t>
  </si>
  <si>
    <t>00200000891</t>
  </si>
  <si>
    <t>ERIYOS BULYABA</t>
  </si>
  <si>
    <t>0775089677</t>
  </si>
  <si>
    <t>0704284059</t>
  </si>
  <si>
    <t>00200000702</t>
  </si>
  <si>
    <t>PAUL SSEBUKULU</t>
  </si>
  <si>
    <t>0754822414</t>
  </si>
  <si>
    <t>00200000942</t>
  </si>
  <si>
    <t>ANDREW LWERE</t>
  </si>
  <si>
    <t>0755601134</t>
  </si>
  <si>
    <t>00200000009</t>
  </si>
  <si>
    <t>ISSA KASADAKAAWO</t>
  </si>
  <si>
    <t>0755166785</t>
  </si>
  <si>
    <t>00200000950</t>
  </si>
  <si>
    <t>JUSTINE NABATANZI MUKIBI</t>
  </si>
  <si>
    <t>0782676908</t>
  </si>
  <si>
    <t>00200000952</t>
  </si>
  <si>
    <t>RESTY KOMWAKA</t>
  </si>
  <si>
    <t>0700967387</t>
  </si>
  <si>
    <t>00200000947</t>
  </si>
  <si>
    <t>00200000930</t>
  </si>
  <si>
    <t>JNYAKATE</t>
  </si>
  <si>
    <t>00200000933</t>
  </si>
  <si>
    <t>FRANCIS SSENTAMBULE</t>
  </si>
  <si>
    <t>0772656427</t>
  </si>
  <si>
    <t>0702258749</t>
  </si>
  <si>
    <t>ZEED KAYONDO</t>
  </si>
  <si>
    <t>0774591990</t>
  </si>
  <si>
    <t>KASIMU KUUNYA</t>
  </si>
  <si>
    <t>0752484566</t>
  </si>
  <si>
    <t>0782890608</t>
  </si>
  <si>
    <t>00100004013</t>
  </si>
  <si>
    <t>00200000938</t>
  </si>
  <si>
    <t>00100003975</t>
  </si>
  <si>
    <t>EDITH NAKATO NALUYIMA</t>
  </si>
  <si>
    <t>07029553093</t>
  </si>
  <si>
    <t>JULIUS JACKSON SSONKO</t>
  </si>
  <si>
    <t>0774240104</t>
  </si>
  <si>
    <t>ABDU NAFI MUSIITWA</t>
  </si>
  <si>
    <t>0781241334</t>
  </si>
  <si>
    <t>00100003516</t>
  </si>
  <si>
    <t>JOHN CHRYSOSTOM ASIIMWE</t>
  </si>
  <si>
    <t>0751849999</t>
  </si>
  <si>
    <t>00200000990</t>
  </si>
  <si>
    <t>00200000962</t>
  </si>
  <si>
    <t>00200000363</t>
  </si>
  <si>
    <t>LUTAAYA ALI KABOGOZA</t>
  </si>
  <si>
    <t>0783676535</t>
  </si>
  <si>
    <t>0703974628</t>
  </si>
  <si>
    <t>MATHIUS NKUUWE KAWONAWO</t>
  </si>
  <si>
    <t>0772876526</t>
  </si>
  <si>
    <t>0701826225</t>
  </si>
  <si>
    <t>HAJARA NAMPEWO NANKYA</t>
  </si>
  <si>
    <t>0701458418</t>
  </si>
  <si>
    <t>00200000982</t>
  </si>
  <si>
    <t>ALOZIUS TENYWA</t>
  </si>
  <si>
    <t>0782675290</t>
  </si>
  <si>
    <t>00100003951</t>
  </si>
  <si>
    <t>00100004011</t>
  </si>
  <si>
    <t>JOSEPH KYEYUNE</t>
  </si>
  <si>
    <t>0782387969</t>
  </si>
  <si>
    <t>FRED LUGANDA</t>
  </si>
  <si>
    <t>0701629546</t>
  </si>
  <si>
    <t>0772629546</t>
  </si>
  <si>
    <t>00200000963</t>
  </si>
  <si>
    <t>AKAZOBA</t>
  </si>
  <si>
    <t>00100004029</t>
  </si>
  <si>
    <t>00100004024</t>
  </si>
  <si>
    <t>00200000964</t>
  </si>
  <si>
    <t>HALUNA KASANGO</t>
  </si>
  <si>
    <t>0772909103</t>
  </si>
  <si>
    <t>0752909103</t>
  </si>
  <si>
    <t>ROBERT SEBULIBA</t>
  </si>
  <si>
    <t>0706068831</t>
  </si>
  <si>
    <t>0784269952</t>
  </si>
  <si>
    <t>JAMES WANIALA</t>
  </si>
  <si>
    <t>0782081703</t>
  </si>
  <si>
    <t>GEORGE WILLIAM KALYESUBULA</t>
  </si>
  <si>
    <t>0774060980</t>
  </si>
  <si>
    <t>0754060980</t>
  </si>
  <si>
    <t>00200000109</t>
  </si>
  <si>
    <t>00200000961</t>
  </si>
  <si>
    <t>00200001019</t>
  </si>
  <si>
    <t>00200000979</t>
  </si>
  <si>
    <t>JNATUHWEZA</t>
  </si>
  <si>
    <t>00100004030</t>
  </si>
  <si>
    <t>DAVID NSUBUGA</t>
  </si>
  <si>
    <t>0783035960</t>
  </si>
  <si>
    <t>0704611112</t>
  </si>
  <si>
    <t>MAWAZI MUGOYA</t>
  </si>
  <si>
    <t>0701508295</t>
  </si>
  <si>
    <t>0772508295</t>
  </si>
  <si>
    <t>GEOFREY MUYANJA</t>
  </si>
  <si>
    <t>0752542146</t>
  </si>
  <si>
    <t>0782542146</t>
  </si>
  <si>
    <t>RICAHRD SSIMBWA KATEREGA</t>
  </si>
  <si>
    <t>0703001529</t>
  </si>
  <si>
    <t>ESTHER MBABAZI</t>
  </si>
  <si>
    <t>0787535370</t>
  </si>
  <si>
    <t>00200001010</t>
  </si>
  <si>
    <t>JMUGULUSI</t>
  </si>
  <si>
    <t>00200000088</t>
  </si>
  <si>
    <t>00200001023</t>
  </si>
  <si>
    <t>00100004027</t>
  </si>
  <si>
    <t>MADINA NAKIYEMBA</t>
  </si>
  <si>
    <t>0759764101</t>
  </si>
  <si>
    <t>CATHY NABIKANDE</t>
  </si>
  <si>
    <t>0705463696</t>
  </si>
  <si>
    <t>BENEZEL BASAIJA</t>
  </si>
  <si>
    <t>0773179701</t>
  </si>
  <si>
    <t>ASUMAN DDAMBA</t>
  </si>
  <si>
    <t>0776502681</t>
  </si>
  <si>
    <t>00200000908</t>
  </si>
  <si>
    <t>Plastics and Rubber</t>
  </si>
  <si>
    <t>00200000860</t>
  </si>
  <si>
    <t>00100004017</t>
  </si>
  <si>
    <t>00200000776</t>
  </si>
  <si>
    <t>00200001022</t>
  </si>
  <si>
    <t>00200000935</t>
  </si>
  <si>
    <t>00200001016</t>
  </si>
  <si>
    <t>00200000047</t>
  </si>
  <si>
    <t>WINNIE NAMIREMBE LUTAYA</t>
  </si>
  <si>
    <t>0772303943</t>
  </si>
  <si>
    <t>0702000978</t>
  </si>
  <si>
    <t>MAX ASABA</t>
  </si>
  <si>
    <t>0752633940</t>
  </si>
  <si>
    <t>ADAM KAYEMBA BBALE</t>
  </si>
  <si>
    <t>0701778777</t>
  </si>
  <si>
    <t>FRANCIS MAZINGA</t>
  </si>
  <si>
    <t>0752568131</t>
  </si>
  <si>
    <t>ISAIH KIBUDDE</t>
  </si>
  <si>
    <t>0752469361</t>
  </si>
  <si>
    <t>ZIPOLA ABBO</t>
  </si>
  <si>
    <t>0784462034</t>
  </si>
  <si>
    <t>JOSEPH TUMWESIGYE</t>
  </si>
  <si>
    <t>0702960376</t>
  </si>
  <si>
    <t>HARRIET WAMALA NANSEERA</t>
  </si>
  <si>
    <t>0754977077</t>
  </si>
  <si>
    <t>00200000993</t>
  </si>
  <si>
    <t>00200001040</t>
  </si>
  <si>
    <t>CTUMWESIGE</t>
  </si>
  <si>
    <t>00200001027</t>
  </si>
  <si>
    <t>00100004022</t>
  </si>
  <si>
    <t>00200000939</t>
  </si>
  <si>
    <t>00200001034</t>
  </si>
  <si>
    <t>HERBERT NSABA</t>
  </si>
  <si>
    <t>0706334578</t>
  </si>
  <si>
    <t>0772434578</t>
  </si>
  <si>
    <t>SYLIVIA NAKABUBI</t>
  </si>
  <si>
    <t>0782396351</t>
  </si>
  <si>
    <t>EVA MURIISA</t>
  </si>
  <si>
    <t>077772874</t>
  </si>
  <si>
    <t>BONIFACE OKANGA</t>
  </si>
  <si>
    <t>0789572744</t>
  </si>
  <si>
    <t>0789570744</t>
  </si>
  <si>
    <t>ASUMAN MUGEGERE MAYIRO</t>
  </si>
  <si>
    <t>0774771983</t>
  </si>
  <si>
    <t>0701771983</t>
  </si>
  <si>
    <t>ISMA NYENJE</t>
  </si>
  <si>
    <t>0755992087</t>
  </si>
  <si>
    <t>00200001039</t>
  </si>
  <si>
    <t>MNAMUDALA</t>
  </si>
  <si>
    <t>00200001050</t>
  </si>
  <si>
    <t>New File</t>
  </si>
  <si>
    <t>00100003748</t>
  </si>
  <si>
    <t>MERCY NABAKKA</t>
  </si>
  <si>
    <t>0758445933</t>
  </si>
  <si>
    <t>0774077813</t>
  </si>
  <si>
    <t>DOUGLAS KIKOOLE</t>
  </si>
  <si>
    <t>0774414273</t>
  </si>
  <si>
    <t>GEOFREY BATURAINE</t>
  </si>
  <si>
    <t>0755382670</t>
  </si>
  <si>
    <t>00200001035</t>
  </si>
  <si>
    <t>JACINTA DUSABE</t>
  </si>
  <si>
    <t>0787297242</t>
  </si>
  <si>
    <t>00100004040</t>
  </si>
  <si>
    <t>KENNETH ERIA KAWEESI</t>
  </si>
  <si>
    <t>0775824371</t>
  </si>
  <si>
    <t>0750824371</t>
  </si>
  <si>
    <t>00200001037</t>
  </si>
  <si>
    <t>0702094087</t>
  </si>
  <si>
    <t>078200963</t>
  </si>
  <si>
    <t>00200000967</t>
  </si>
  <si>
    <t>ANDREW MUGARURA KAYEENDA</t>
  </si>
  <si>
    <t>0775264993</t>
  </si>
  <si>
    <t>0702264993</t>
  </si>
  <si>
    <t>00100004049</t>
  </si>
  <si>
    <t>IRENE NAMIRO</t>
  </si>
  <si>
    <t>0705969055</t>
  </si>
  <si>
    <t>00200000867</t>
  </si>
  <si>
    <t>WILSON MUHIMBURA</t>
  </si>
  <si>
    <t>0772503793</t>
  </si>
  <si>
    <t>00200001145</t>
  </si>
  <si>
    <t>00100004036</t>
  </si>
  <si>
    <t>JOWERIA NANTUMBWE MUWUMUZA</t>
  </si>
  <si>
    <t>0702596149</t>
  </si>
  <si>
    <t>0787809772</t>
  </si>
  <si>
    <t>MUSA KAWALYA</t>
  </si>
  <si>
    <t>0772026616</t>
  </si>
  <si>
    <t>0703632539</t>
  </si>
  <si>
    <t>00200001120</t>
  </si>
  <si>
    <t>00200000995</t>
  </si>
  <si>
    <t>00200001092</t>
  </si>
  <si>
    <t>00200001127</t>
  </si>
  <si>
    <t>00200001111</t>
  </si>
  <si>
    <t>00200001121</t>
  </si>
  <si>
    <t>00200000899</t>
  </si>
  <si>
    <t>RICHARD LUYIIMA</t>
  </si>
  <si>
    <t>0703152970</t>
  </si>
  <si>
    <t>HENRY KADDU</t>
  </si>
  <si>
    <t>0782937629</t>
  </si>
  <si>
    <t>0752937629</t>
  </si>
  <si>
    <t>DAVID MPUNGU</t>
  </si>
  <si>
    <t>0784475548</t>
  </si>
  <si>
    <t>0702506653</t>
  </si>
  <si>
    <t>EDWARD NSUBUGA MUSISI</t>
  </si>
  <si>
    <t>0705919022</t>
  </si>
  <si>
    <t>0785296529</t>
  </si>
  <si>
    <t>ROBERT KIBERU</t>
  </si>
  <si>
    <t>077294539</t>
  </si>
  <si>
    <t>GEOFFREY KIRONDE</t>
  </si>
  <si>
    <t>0703805015</t>
  </si>
  <si>
    <t>DENNIS DDAMULIRA</t>
  </si>
  <si>
    <t>0700114282</t>
  </si>
  <si>
    <t>0786064666</t>
  </si>
  <si>
    <t>00200001115</t>
  </si>
  <si>
    <t>00200001072</t>
  </si>
  <si>
    <t>DKULUSE</t>
  </si>
  <si>
    <t>00100004054</t>
  </si>
  <si>
    <t>FRIDA NAMULEMA</t>
  </si>
  <si>
    <t>0750182795</t>
  </si>
  <si>
    <t>JOSEPH NAHABWE RWAKINWA</t>
  </si>
  <si>
    <t>0772431811</t>
  </si>
  <si>
    <t>0704431811</t>
  </si>
  <si>
    <t>RICHARD JINGO</t>
  </si>
  <si>
    <t>0704314746</t>
  </si>
  <si>
    <t>00200001139</t>
  </si>
  <si>
    <t>MAGRETE NANNYONJA</t>
  </si>
  <si>
    <t>0706518002</t>
  </si>
  <si>
    <t>0703597822</t>
  </si>
  <si>
    <t>00200001135</t>
  </si>
  <si>
    <t>00200001042</t>
  </si>
  <si>
    <t>00200001107</t>
  </si>
  <si>
    <t>00100004066</t>
  </si>
  <si>
    <t>STANLEY BITORWA</t>
  </si>
  <si>
    <t>0775274012</t>
  </si>
  <si>
    <t>0703842507</t>
  </si>
  <si>
    <t>ANNET NAKIBONEKA</t>
  </si>
  <si>
    <t>0782401157</t>
  </si>
  <si>
    <t>0702401157</t>
  </si>
  <si>
    <t>RUTH KYOMUGISHA</t>
  </si>
  <si>
    <t>0782161660</t>
  </si>
  <si>
    <t>0703161660</t>
  </si>
  <si>
    <t>STELLA NAMUTEBI</t>
  </si>
  <si>
    <t>0752943408</t>
  </si>
  <si>
    <t>0783060308</t>
  </si>
  <si>
    <t>00200001167</t>
  </si>
  <si>
    <t>HARUNA KIGONGO</t>
  </si>
  <si>
    <t>0772588025</t>
  </si>
  <si>
    <t>00200001112</t>
  </si>
  <si>
    <t>00200001180</t>
  </si>
  <si>
    <t>ISMAIL GALABUZI KIGAMBO</t>
  </si>
  <si>
    <t>0701657928</t>
  </si>
  <si>
    <t>GERTRUDE NABATANZI</t>
  </si>
  <si>
    <t>0782466593</t>
  </si>
  <si>
    <t>0701915309</t>
  </si>
  <si>
    <t>00200001179</t>
  </si>
  <si>
    <t>00200000275</t>
  </si>
  <si>
    <t>TIMOTHY SENVEWO KIZITO</t>
  </si>
  <si>
    <t>0772639131</t>
  </si>
  <si>
    <t>JOSEPH SSENTONGO</t>
  </si>
  <si>
    <t>077279443</t>
  </si>
  <si>
    <t>0752694243</t>
  </si>
  <si>
    <t>00100004071</t>
  </si>
  <si>
    <t>00200001134</t>
  </si>
  <si>
    <t>00200000297</t>
  </si>
  <si>
    <t>MATILDA NAGADYA</t>
  </si>
  <si>
    <t>0773695170</t>
  </si>
  <si>
    <t>0759071027</t>
  </si>
  <si>
    <t>JAFAL MUGISHA AJENA</t>
  </si>
  <si>
    <t>0788340727</t>
  </si>
  <si>
    <t>LILLIAN LISSA</t>
  </si>
  <si>
    <t>0786951322</t>
  </si>
  <si>
    <t>ROBINAH NALUMAGA</t>
  </si>
  <si>
    <t>0772365306</t>
  </si>
  <si>
    <t>00100004039</t>
  </si>
  <si>
    <t>00200001113</t>
  </si>
  <si>
    <t>00200001204</t>
  </si>
  <si>
    <t>TONNY SSEGUYA</t>
  </si>
  <si>
    <t>07834438902</t>
  </si>
  <si>
    <t>0758894938</t>
  </si>
  <si>
    <t>HOPE SAUDA</t>
  </si>
  <si>
    <t>0779311702</t>
  </si>
  <si>
    <t>EVE SSALI</t>
  </si>
  <si>
    <t>0701669785</t>
  </si>
  <si>
    <t>0772669785</t>
  </si>
  <si>
    <t>00200001201</t>
  </si>
  <si>
    <t>00100004064</t>
  </si>
  <si>
    <t>00200001181</t>
  </si>
  <si>
    <t>LABAN KIIZA</t>
  </si>
  <si>
    <t>0772335922</t>
  </si>
  <si>
    <t>DAISY LUNKUSE</t>
  </si>
  <si>
    <t>0772631516</t>
  </si>
  <si>
    <t>0705491214</t>
  </si>
  <si>
    <t>HERBERT NDAGGA</t>
  </si>
  <si>
    <t>0703559271</t>
  </si>
  <si>
    <t>00200001174</t>
  </si>
  <si>
    <t>GEORGE KAMUGISHA</t>
  </si>
  <si>
    <t>0751084912</t>
  </si>
  <si>
    <t>0774084912</t>
  </si>
  <si>
    <t>SWAIBU MUBIRU</t>
  </si>
  <si>
    <t>0702668378</t>
  </si>
  <si>
    <t>00100004072</t>
  </si>
  <si>
    <t>00200000998</t>
  </si>
  <si>
    <t>00200001215</t>
  </si>
  <si>
    <t>Motion Picture and Sound Recording Industries</t>
  </si>
  <si>
    <t>00100004083</t>
  </si>
  <si>
    <t>00200001202</t>
  </si>
  <si>
    <t>DEBORAH NAMULI</t>
  </si>
  <si>
    <t>078855594</t>
  </si>
  <si>
    <t>TEDDY NAKAWOOYA</t>
  </si>
  <si>
    <t>0701342228</t>
  </si>
  <si>
    <t>JOEL MUGISA MWESIGE</t>
  </si>
  <si>
    <t>0782364793</t>
  </si>
  <si>
    <t>EVERLYN NILLY KENYANGI</t>
  </si>
  <si>
    <t>0772687936</t>
  </si>
  <si>
    <t>PATRICK MULWANA</t>
  </si>
  <si>
    <t>0753669250</t>
  </si>
  <si>
    <t>0772669250</t>
  </si>
  <si>
    <t>00200000847</t>
  </si>
  <si>
    <t>SARAH KASOZI NAMATOVU</t>
  </si>
  <si>
    <t>0774856464</t>
  </si>
  <si>
    <t>0704398932</t>
  </si>
  <si>
    <t>00100004099</t>
  </si>
  <si>
    <t>CNAKITENDE</t>
  </si>
  <si>
    <t>00100004091</t>
  </si>
  <si>
    <t>DTUMUHAIRWE</t>
  </si>
  <si>
    <t>00200001184</t>
  </si>
  <si>
    <t>00200001200</t>
  </si>
  <si>
    <t>00200001225</t>
  </si>
  <si>
    <t>MAUREEN NANTUME</t>
  </si>
  <si>
    <t>0783354995</t>
  </si>
  <si>
    <t>CLAIRE AGABA</t>
  </si>
  <si>
    <t>0704164531</t>
  </si>
  <si>
    <t>0712124541</t>
  </si>
  <si>
    <t>MUHAMED MATOVU</t>
  </si>
  <si>
    <t>0772523376</t>
  </si>
  <si>
    <t>NIGHT ROSE NAKAFERO</t>
  </si>
  <si>
    <t>0787014181</t>
  </si>
  <si>
    <t>0754293552</t>
  </si>
  <si>
    <t>JOAB NUWASASIRA</t>
  </si>
  <si>
    <t>0701829877</t>
  </si>
  <si>
    <t>00100003043</t>
  </si>
  <si>
    <t>00200001232</t>
  </si>
  <si>
    <t>00200001235</t>
  </si>
  <si>
    <t>00200001026</t>
  </si>
  <si>
    <t>00100004089</t>
  </si>
  <si>
    <t>00100004086</t>
  </si>
  <si>
    <t>00100004080</t>
  </si>
  <si>
    <t>JBAGANDA</t>
  </si>
  <si>
    <t>FORTUNATE NANYONDO</t>
  </si>
  <si>
    <t>0782842905</t>
  </si>
  <si>
    <t>BENA BABI NAKYANZI</t>
  </si>
  <si>
    <t>0702222263</t>
  </si>
  <si>
    <t>0776927006</t>
  </si>
  <si>
    <t>SUSAN NABBOSA RUKOGWA</t>
  </si>
  <si>
    <t>0774155575</t>
  </si>
  <si>
    <t>0705901719</t>
  </si>
  <si>
    <t>MICROS KIRYA</t>
  </si>
  <si>
    <t>0782741090</t>
  </si>
  <si>
    <t>DOROTHY KANYUNYUZI</t>
  </si>
  <si>
    <t>0758582894</t>
  </si>
  <si>
    <t>SSAKA KADDU</t>
  </si>
  <si>
    <t>0754530280</t>
  </si>
  <si>
    <t>DAVID BALIDAWA</t>
  </si>
  <si>
    <t>0752803661</t>
  </si>
  <si>
    <t>0785280307</t>
  </si>
  <si>
    <t>GEOFREY BAGANZI</t>
  </si>
  <si>
    <t>0706339800</t>
  </si>
  <si>
    <t>00100002456</t>
  </si>
  <si>
    <t>RICHARD BUTAYI</t>
  </si>
  <si>
    <t>0772424192</t>
  </si>
  <si>
    <t>CNANYONGA</t>
  </si>
  <si>
    <t>Repeat File</t>
  </si>
  <si>
    <t>00200001237</t>
  </si>
  <si>
    <t>FRANCIS WASWA</t>
  </si>
  <si>
    <t>0772425713</t>
  </si>
  <si>
    <t>0754425713</t>
  </si>
  <si>
    <t>SNYUNGWE</t>
  </si>
  <si>
    <t>00200001259</t>
  </si>
  <si>
    <t>IVAN SSEMWOGERERE</t>
  </si>
  <si>
    <t>078048196</t>
  </si>
  <si>
    <t>0701228373</t>
  </si>
  <si>
    <t>00200001244</t>
  </si>
  <si>
    <t>00200001183</t>
  </si>
  <si>
    <t>MARTIN EBAU</t>
  </si>
  <si>
    <t>0756427632</t>
  </si>
  <si>
    <t>EMMANUEL LUTAAYA</t>
  </si>
  <si>
    <t>0776341342</t>
  </si>
  <si>
    <t>00200001218</t>
  </si>
  <si>
    <t>DOROTHY KIMBUGWE</t>
  </si>
  <si>
    <t>0776306038</t>
  </si>
  <si>
    <t>00200001220</t>
  </si>
  <si>
    <t>MBARISIGARA</t>
  </si>
  <si>
    <t>00200001274</t>
  </si>
  <si>
    <t>GODFREY SENDI</t>
  </si>
  <si>
    <t>0772538205</t>
  </si>
  <si>
    <t>0704556713</t>
  </si>
  <si>
    <t>MARY VERONICA LUSWATA</t>
  </si>
  <si>
    <t>0751415796</t>
  </si>
  <si>
    <t>0702415796</t>
  </si>
  <si>
    <t>00200001268</t>
  </si>
  <si>
    <t>00200001226</t>
  </si>
  <si>
    <t>PAUL NYANGABYAKI</t>
  </si>
  <si>
    <t>0752585000</t>
  </si>
  <si>
    <t>JULIANA CONCEPTA TASULE</t>
  </si>
  <si>
    <t>0772444307</t>
  </si>
  <si>
    <t>00200001236</t>
  </si>
  <si>
    <t>GLADYS UNIYA NAJJUKA JOAN</t>
  </si>
  <si>
    <t>0772862314</t>
  </si>
  <si>
    <t>0701133500</t>
  </si>
  <si>
    <t>00200001088</t>
  </si>
  <si>
    <t>00200001290</t>
  </si>
  <si>
    <t>SUSAN MWOGEZA</t>
  </si>
  <si>
    <t>0772505588</t>
  </si>
  <si>
    <t>SIMON PETER WAKOOLI</t>
  </si>
  <si>
    <t>0772384611</t>
  </si>
  <si>
    <t>TOTAL</t>
  </si>
  <si>
    <t>PAR  60</t>
  </si>
  <si>
    <t>Credit type</t>
  </si>
  <si>
    <t>-</t>
  </si>
  <si>
    <t>Average outstanding loan</t>
  </si>
  <si>
    <t>Outstanding loans (Nbr)</t>
  </si>
  <si>
    <t>All loans</t>
  </si>
  <si>
    <t>Outstanding loans</t>
  </si>
  <si>
    <t>Average loan disbursed</t>
  </si>
  <si>
    <t>Lending Status</t>
  </si>
  <si>
    <t>00100003061</t>
  </si>
  <si>
    <t>SIMON TWAMBALE</t>
  </si>
  <si>
    <t>0772233334</t>
  </si>
  <si>
    <t>00100002722</t>
  </si>
  <si>
    <t>PASCAL WALUKU</t>
  </si>
  <si>
    <t>0752956199</t>
  </si>
  <si>
    <t>0784220376</t>
  </si>
  <si>
    <t>00100004093</t>
  </si>
  <si>
    <t>WINNIE NABANKEMA</t>
  </si>
  <si>
    <t>0753623418</t>
  </si>
  <si>
    <t>0778759587</t>
  </si>
  <si>
    <t>00100001833</t>
  </si>
  <si>
    <t>GODFREY GALIWANGO</t>
  </si>
  <si>
    <t>0772636297</t>
  </si>
  <si>
    <t>0704636297</t>
  </si>
  <si>
    <t>00100003526</t>
  </si>
  <si>
    <t>ROBERT SSEMUYABA</t>
  </si>
  <si>
    <t>0757736185</t>
  </si>
  <si>
    <t>00100004129</t>
  </si>
  <si>
    <t>JAMES IGA MUKASA</t>
  </si>
  <si>
    <t>0772604667</t>
  </si>
  <si>
    <t>00100004123</t>
  </si>
  <si>
    <t>SUZAN NDAGIRE</t>
  </si>
  <si>
    <t>0774475270</t>
  </si>
  <si>
    <t>0754844853</t>
  </si>
  <si>
    <t>00100004146</t>
  </si>
  <si>
    <t>WILLIAM BOSA MUTUNZI</t>
  </si>
  <si>
    <t>0753856759</t>
  </si>
  <si>
    <t>00100004138</t>
  </si>
  <si>
    <t>PENINA NAMATOVU</t>
  </si>
  <si>
    <t>0782539029</t>
  </si>
  <si>
    <t>0704508322</t>
  </si>
  <si>
    <t>00100003960</t>
  </si>
  <si>
    <t>JAMES BWOYE</t>
  </si>
  <si>
    <t>0752470092</t>
  </si>
  <si>
    <t>0772470092</t>
  </si>
  <si>
    <t>00100004150</t>
  </si>
  <si>
    <t>RAPHAEL IZUDI</t>
  </si>
  <si>
    <t>0787140050</t>
  </si>
  <si>
    <t>0704517674</t>
  </si>
  <si>
    <t>00200000703</t>
  </si>
  <si>
    <t>WILSON KAYIMA</t>
  </si>
  <si>
    <t>0882659248</t>
  </si>
  <si>
    <t>00200001319</t>
  </si>
  <si>
    <t>HUSSEIN KYAMBADDE</t>
  </si>
  <si>
    <t>0701467086</t>
  </si>
  <si>
    <t>0772467086</t>
  </si>
  <si>
    <t>00200001313</t>
  </si>
  <si>
    <t>NASSER MUTEBI LUKYAMUZI</t>
  </si>
  <si>
    <t>00702108395</t>
  </si>
  <si>
    <t>00200001168</t>
  </si>
  <si>
    <t>GEOFREY BIRYOMUMISHO</t>
  </si>
  <si>
    <t>0753713492</t>
  </si>
  <si>
    <t>0782713492</t>
  </si>
  <si>
    <t>00200001275</t>
  </si>
  <si>
    <t>JULIET ASIIMWE</t>
  </si>
  <si>
    <t>0702682906</t>
  </si>
  <si>
    <t>0782798875</t>
  </si>
  <si>
    <t>00200001282</t>
  </si>
  <si>
    <t>SAM KUTEESA</t>
  </si>
  <si>
    <t>0754624944</t>
  </si>
  <si>
    <t>00200000520</t>
  </si>
  <si>
    <t>JULIUS TWINOMUJUNI</t>
  </si>
  <si>
    <t>0774316650</t>
  </si>
  <si>
    <t>00200000153</t>
  </si>
  <si>
    <t>BADIRU KIBERU KATO</t>
  </si>
  <si>
    <t>0772907011</t>
  </si>
  <si>
    <t>00200001373</t>
  </si>
  <si>
    <t>DOROTHY SENTAMU</t>
  </si>
  <si>
    <t>0751228266</t>
  </si>
  <si>
    <t>00200001317</t>
  </si>
  <si>
    <t>GODFREY MUKASA</t>
  </si>
  <si>
    <t>0782330009</t>
  </si>
  <si>
    <t>00200001312</t>
  </si>
  <si>
    <t>JAMADA MUTIN WALIGO</t>
  </si>
  <si>
    <t>0702060143</t>
  </si>
  <si>
    <t>00200001364</t>
  </si>
  <si>
    <t>TUUFA GALABUZI</t>
  </si>
  <si>
    <t>0701521382</t>
  </si>
  <si>
    <t>00200001345</t>
  </si>
  <si>
    <t>PAUL LULE</t>
  </si>
  <si>
    <t>0706450366</t>
  </si>
  <si>
    <t>00200000992</t>
  </si>
  <si>
    <t>JESSY KIDDE</t>
  </si>
  <si>
    <t>0775579049</t>
  </si>
  <si>
    <t>0752636369</t>
  </si>
  <si>
    <t>Disbursement Amount</t>
  </si>
  <si>
    <t>Disbursements by credit types -</t>
  </si>
  <si>
    <t>Loans disbursed (amounts)</t>
  </si>
  <si>
    <t>Loans disbursed (Nbr)</t>
  </si>
  <si>
    <t>Outstanding loans (amounts)</t>
  </si>
  <si>
    <t>1 TO 15 MILLIONS</t>
  </si>
  <si>
    <t>15 TO 30 MILLION</t>
  </si>
  <si>
    <t>&gt; 30 MILLION</t>
  </si>
  <si>
    <t xml:space="preserve">LOAN SIZE </t>
  </si>
  <si>
    <t>(Amount disbursed)</t>
  </si>
  <si>
    <t>Disbursements</t>
  </si>
  <si>
    <t>Weighted average interest rates</t>
  </si>
  <si>
    <t>% of total disburs. (based on the amount)</t>
  </si>
  <si>
    <t>Disbursements by loan size -</t>
  </si>
  <si>
    <t>% of total loans (based on the amount)</t>
  </si>
  <si>
    <t>Outstanding portfolio by loan size -</t>
  </si>
  <si>
    <t>Weighted average interest rates -</t>
  </si>
  <si>
    <t>* This table is showing the PAR of each category by dividing the amount in PAR by the total outstanding amount of this category. However, the impact on the global PAR depends on the weight of a category in the global portfolio. The last table (Portfolio at risk distribution) is showing the real contribution of each category on the global PAR.</t>
  </si>
  <si>
    <t>* This table is showing the breakdown of the global PAR by dividing the amount in PAR of a specific category by the total outstanding portfolio.  We can then see the contribution of each credit type to the global PAR.</t>
  </si>
  <si>
    <t>Outstanding loan portfolio by credit types -</t>
  </si>
  <si>
    <t>Portfolio at Risk by loan size* -</t>
  </si>
  <si>
    <t>Portfolio at Risk by loan size (Amounts) -</t>
  </si>
  <si>
    <t>Portfolio at Risk by loan size (Number of loans) -</t>
  </si>
  <si>
    <t>Portfolio at Risk disbribution by loan size* -</t>
  </si>
  <si>
    <t>00200001299</t>
  </si>
  <si>
    <t>00200001407</t>
  </si>
  <si>
    <t>00200000787</t>
  </si>
  <si>
    <t>00200001359</t>
  </si>
  <si>
    <t>00100004139</t>
  </si>
  <si>
    <t>CAXTON ETII</t>
  </si>
  <si>
    <t>0772667995</t>
  </si>
  <si>
    <t>WILLIAM KKONDE</t>
  </si>
  <si>
    <t>0772408535</t>
  </si>
  <si>
    <t>ELIJAH SEBALAMU</t>
  </si>
  <si>
    <t>0782803815</t>
  </si>
  <si>
    <t>BENARD ISIIKO</t>
  </si>
  <si>
    <t>0782049968</t>
  </si>
  <si>
    <t>CHRISTINE NAJJUMA</t>
  </si>
  <si>
    <t>0789027142</t>
  </si>
  <si>
    <t>Total weighted average interest rate</t>
  </si>
  <si>
    <t>00200001383</t>
  </si>
  <si>
    <t>00200001390</t>
  </si>
  <si>
    <t>00200001361</t>
  </si>
  <si>
    <t>ROBERT BARIHO</t>
  </si>
  <si>
    <t>0752700744</t>
  </si>
  <si>
    <t>GODFREY SSEKYERU</t>
  </si>
  <si>
    <t>0782741067</t>
  </si>
  <si>
    <t>ROSE NANSUBUGA</t>
  </si>
  <si>
    <t>0772407831</t>
  </si>
  <si>
    <t>00200001368</t>
  </si>
  <si>
    <t>00200001374</t>
  </si>
  <si>
    <t>00200001377</t>
  </si>
  <si>
    <t>00200001347</t>
  </si>
  <si>
    <t>00100004164</t>
  </si>
  <si>
    <t>00100004152</t>
  </si>
  <si>
    <t>00200001430</t>
  </si>
  <si>
    <t>00100002001</t>
  </si>
  <si>
    <t>00100000950</t>
  </si>
  <si>
    <t>PAUL SSETTIMBA</t>
  </si>
  <si>
    <t>0772481321</t>
  </si>
  <si>
    <t>0704481321</t>
  </si>
  <si>
    <t>MARIAM NASSEJJE</t>
  </si>
  <si>
    <t>0701306015</t>
  </si>
  <si>
    <t>AIDA NAKALEMBE</t>
  </si>
  <si>
    <t>0772455242</t>
  </si>
  <si>
    <t>0701455242</t>
  </si>
  <si>
    <t>JOSEPHINE KAYONDO</t>
  </si>
  <si>
    <t>0772405734</t>
  </si>
  <si>
    <t>BADRU KAZIBWE</t>
  </si>
  <si>
    <t>0752323974</t>
  </si>
  <si>
    <t>JAMES MUHUMUZA</t>
  </si>
  <si>
    <t>0785693383</t>
  </si>
  <si>
    <t>GEOFERY SSENFUMA</t>
  </si>
  <si>
    <t>0752645466</t>
  </si>
  <si>
    <t>ROBERT NJAKAASI</t>
  </si>
  <si>
    <t>0776181629</t>
  </si>
  <si>
    <t>CATHERINE MUGERWA</t>
  </si>
  <si>
    <t>0773318312</t>
  </si>
  <si>
    <t>PNAMWASE</t>
  </si>
  <si>
    <t>00200001410</t>
  </si>
  <si>
    <t>SHABAN LUYOMBYA MASEMBE</t>
  </si>
  <si>
    <t>0700208070</t>
  </si>
  <si>
    <t>0786663350</t>
  </si>
  <si>
    <t>MSE</t>
  </si>
  <si>
    <t>HIL</t>
  </si>
  <si>
    <t>Employee loans</t>
  </si>
  <si>
    <t>Portfolio at Risk  by credit type -</t>
  </si>
  <si>
    <t>Portfolio at Risk distribution by product * -</t>
  </si>
  <si>
    <t>Portfolio at Risk by product (Number of loans) -</t>
  </si>
  <si>
    <t>Portfolio at Risk by product * -</t>
  </si>
  <si>
    <t>Portfolio at Risk by product (Amounts) -</t>
  </si>
  <si>
    <r>
      <t xml:space="preserve">* This table is showing the breakdown of the global PAR by dividing the amount in PAR of a specific category by the </t>
    </r>
    <r>
      <rPr>
        <u/>
        <sz val="9"/>
        <rFont val="Arial"/>
        <family val="2"/>
      </rPr>
      <t>total</t>
    </r>
    <r>
      <rPr>
        <sz val="9"/>
        <rFont val="Arial"/>
        <family val="2"/>
      </rPr>
      <t xml:space="preserve"> outstanding portfolio. We can then see the contribution of each category to the global PAR.</t>
    </r>
  </si>
  <si>
    <r>
      <t xml:space="preserve">* This table is showing the PAR of each category by dividing the amount in PAR by the total outstanding amount </t>
    </r>
    <r>
      <rPr>
        <u/>
        <sz val="9"/>
        <rFont val="Arial"/>
        <family val="2"/>
      </rPr>
      <t>of this category</t>
    </r>
    <r>
      <rPr>
        <sz val="9"/>
        <rFont val="Arial"/>
        <family val="2"/>
      </rPr>
      <t>. However, the impact on the global PAR depends on the weight of a category in the global portfolio. The last table (Portfolio at risk distribution) is showing the real contribution of each category on the global PAR.</t>
    </r>
  </si>
  <si>
    <t>00200001417</t>
  </si>
  <si>
    <t>NAOMI KANKUNDA</t>
  </si>
  <si>
    <t>0782712019</t>
  </si>
  <si>
    <t>0703712019</t>
  </si>
  <si>
    <t>00200001371</t>
  </si>
  <si>
    <t>FREDRICK MUKASA</t>
  </si>
  <si>
    <t>0772888782</t>
  </si>
  <si>
    <t>00200001332</t>
  </si>
  <si>
    <t>00200001367</t>
  </si>
  <si>
    <t>JESSICA NALWANGA</t>
  </si>
  <si>
    <t>07824490788</t>
  </si>
  <si>
    <t>BEN KAVUMA MWANJE</t>
  </si>
  <si>
    <t>774534164</t>
  </si>
  <si>
    <t>00100004168</t>
  </si>
  <si>
    <t>00100004141</t>
  </si>
  <si>
    <t>ZZIMULA KASIRYE</t>
  </si>
  <si>
    <t>0772593219</t>
  </si>
  <si>
    <t>0701593219</t>
  </si>
  <si>
    <t>JUDE KALANZI</t>
  </si>
  <si>
    <t>0782416127</t>
  </si>
  <si>
    <t>070016703</t>
  </si>
  <si>
    <t>00200001454</t>
  </si>
  <si>
    <t>REGINA NABAWANUKA</t>
  </si>
  <si>
    <t>0774398708</t>
  </si>
  <si>
    <t>00200001398</t>
  </si>
  <si>
    <t>00200001451</t>
  </si>
  <si>
    <t>JOHN SSENKUNGU</t>
  </si>
  <si>
    <t>0752814999</t>
  </si>
  <si>
    <t>RAJAB MUSISI</t>
  </si>
  <si>
    <t>0772593881</t>
  </si>
  <si>
    <t>00100000792</t>
  </si>
  <si>
    <t>JALIYA NAYIGA</t>
  </si>
  <si>
    <t>0782311883</t>
  </si>
  <si>
    <t>0701121464</t>
  </si>
  <si>
    <t>00200001408</t>
  </si>
  <si>
    <t>ERIC ERIMA DRANIMVA HILLARY</t>
  </si>
  <si>
    <t>0773132205</t>
  </si>
  <si>
    <t>00200001425</t>
  </si>
  <si>
    <t>ISMAH SSERUUNKUMA</t>
  </si>
  <si>
    <t>0702256039</t>
  </si>
  <si>
    <t>00200001414</t>
  </si>
  <si>
    <t>00200001025</t>
  </si>
  <si>
    <t>NICHOLAS ALFRED KEBBA</t>
  </si>
  <si>
    <t>0774518029</t>
  </si>
  <si>
    <t>0712557044</t>
  </si>
  <si>
    <t>SOPHIA KHAINZA</t>
  </si>
  <si>
    <t>0704288857</t>
  </si>
  <si>
    <t>00200001450</t>
  </si>
  <si>
    <t>00200001257</t>
  </si>
  <si>
    <t>00200001437</t>
  </si>
  <si>
    <t>CISSY NAMBATYA KIVUMBI</t>
  </si>
  <si>
    <t>070077107</t>
  </si>
  <si>
    <t>RAPHEAL LUFUNYA</t>
  </si>
  <si>
    <t>0703604020</t>
  </si>
  <si>
    <t>0781776048</t>
  </si>
  <si>
    <t>JOHN BOSCO MAGARA</t>
  </si>
  <si>
    <t>0782676898</t>
  </si>
  <si>
    <t>00200001382</t>
  </si>
  <si>
    <t>00200001428</t>
  </si>
  <si>
    <t>BENON KAYEMBA</t>
  </si>
  <si>
    <t>0751022144</t>
  </si>
  <si>
    <t>0782884933</t>
  </si>
  <si>
    <t>ANGELIC PATRICK KAREKYEZI</t>
  </si>
  <si>
    <t>0751967414</t>
  </si>
  <si>
    <t>00200001375</t>
  </si>
  <si>
    <t>FRANCIS KIWANUKA</t>
  </si>
  <si>
    <t>0752888272</t>
  </si>
  <si>
    <t>0752985565</t>
  </si>
  <si>
    <t>00100004171</t>
  </si>
  <si>
    <t>BENSON NDYAABA</t>
  </si>
  <si>
    <t>0788660286</t>
  </si>
  <si>
    <t>00100004181</t>
  </si>
  <si>
    <t>00200001497</t>
  </si>
  <si>
    <t>HILLARY INNOCENT KIYAGA</t>
  </si>
  <si>
    <t>0752977115</t>
  </si>
  <si>
    <t>0776090900</t>
  </si>
  <si>
    <t>WILSON KAIMUTSYA</t>
  </si>
  <si>
    <t>0782451065</t>
  </si>
  <si>
    <t>0701451065</t>
  </si>
  <si>
    <t>00200001516</t>
  </si>
  <si>
    <t>00200000175</t>
  </si>
  <si>
    <t>FLORENCE NALUKUSA</t>
  </si>
  <si>
    <t>0782388078</t>
  </si>
  <si>
    <t>0701239748</t>
  </si>
  <si>
    <t>AUGUSTINE KYOOBE</t>
  </si>
  <si>
    <t>0701936301</t>
  </si>
  <si>
    <t>00200001526</t>
  </si>
  <si>
    <t>SYLVIA NABAGEREKA</t>
  </si>
  <si>
    <t>0782743888</t>
  </si>
  <si>
    <t>0751348903</t>
  </si>
  <si>
    <t>00200000984</t>
  </si>
  <si>
    <t>00100004189</t>
  </si>
  <si>
    <t>GRACE KYARISIIMA</t>
  </si>
  <si>
    <t>0772422405</t>
  </si>
  <si>
    <t>SIMON KABUYE</t>
  </si>
  <si>
    <t>0753528509</t>
  </si>
  <si>
    <t>00100004187</t>
  </si>
  <si>
    <t>00200001255</t>
  </si>
  <si>
    <t>00200001494</t>
  </si>
  <si>
    <t>TEOPISTA NAMAGEMBE</t>
  </si>
  <si>
    <t>0702118549</t>
  </si>
  <si>
    <t>JOHN KIYEGGA</t>
  </si>
  <si>
    <t>0782754854</t>
  </si>
  <si>
    <t>0752754854</t>
  </si>
  <si>
    <t>ROBERT BYAKUTAGA</t>
  </si>
  <si>
    <t>0772873106</t>
  </si>
  <si>
    <t>00200001547</t>
  </si>
  <si>
    <t>00100004177</t>
  </si>
  <si>
    <t>ENOCK KAPERE</t>
  </si>
  <si>
    <t>0772339982</t>
  </si>
  <si>
    <t>JULIET NAKIYAGA</t>
  </si>
  <si>
    <t>0701502540</t>
  </si>
  <si>
    <t>0787844127</t>
  </si>
  <si>
    <t>00100000308</t>
  </si>
  <si>
    <t>00200001469</t>
  </si>
  <si>
    <t>00200001496</t>
  </si>
  <si>
    <t>00200001544</t>
  </si>
  <si>
    <t>SENGENDO SEMPALA</t>
  </si>
  <si>
    <t>0758112858</t>
  </si>
  <si>
    <t>0776060500</t>
  </si>
  <si>
    <t>0779112858</t>
  </si>
  <si>
    <t>RICHARD KAZIBWE SEMAKULA</t>
  </si>
  <si>
    <t>0702506447</t>
  </si>
  <si>
    <t>0772506447</t>
  </si>
  <si>
    <t>BIRABWA REGINA NANSUBUGA</t>
  </si>
  <si>
    <t>0783100389</t>
  </si>
  <si>
    <t>JANE NANSOVE</t>
  </si>
  <si>
    <t>0703617156</t>
  </si>
  <si>
    <t>00200001534</t>
  </si>
  <si>
    <t>00200001549</t>
  </si>
  <si>
    <t>ROMAN MANDE</t>
  </si>
  <si>
    <t>0783052741</t>
  </si>
  <si>
    <t>JUDE NDAADA MUYEGO</t>
  </si>
  <si>
    <t>0750686044</t>
  </si>
  <si>
    <t>00200001524</t>
  </si>
  <si>
    <t>00200001562</t>
  </si>
  <si>
    <t>00200001478</t>
  </si>
  <si>
    <t>00100004184</t>
  </si>
  <si>
    <t>TJNYAKATE</t>
  </si>
  <si>
    <t>00200001553</t>
  </si>
  <si>
    <t>00200001536</t>
  </si>
  <si>
    <t>00200001528</t>
  </si>
  <si>
    <t>00100004192</t>
  </si>
  <si>
    <t>00200000558</t>
  </si>
  <si>
    <t>EMMANUEL MBUGANO KITYO</t>
  </si>
  <si>
    <t>0774047161</t>
  </si>
  <si>
    <t>MUHAMMAD SENABULYA</t>
  </si>
  <si>
    <t>0712810006</t>
  </si>
  <si>
    <t>SILASI KAZUNGU</t>
  </si>
  <si>
    <t>0752107106</t>
  </si>
  <si>
    <t>0772107106</t>
  </si>
  <si>
    <t>ROSE NAKIYINGI</t>
  </si>
  <si>
    <t>0752590160</t>
  </si>
  <si>
    <t>AMOS RUHONGORE BAHIRWA</t>
  </si>
  <si>
    <t>0772402877</t>
  </si>
  <si>
    <t>0702402877</t>
  </si>
  <si>
    <t>ALEX MPALANYI GWAVU</t>
  </si>
  <si>
    <t>0753507608</t>
  </si>
  <si>
    <t>SAMUEL WAMALA</t>
  </si>
  <si>
    <t>AHUMADAH GANANTAWA</t>
  </si>
  <si>
    <t>0753184972</t>
  </si>
  <si>
    <t>0782460696</t>
  </si>
  <si>
    <t>HASSAN NSAMBA</t>
  </si>
  <si>
    <t>0755819021</t>
  </si>
  <si>
    <t>0701819021</t>
  </si>
  <si>
    <t>Loans disbursed in the month</t>
  </si>
  <si>
    <t>00200001567</t>
  </si>
  <si>
    <t>00200001543</t>
  </si>
  <si>
    <t>DEBORAH GRACE BAKIIKA KAGGWA</t>
  </si>
  <si>
    <t>0773212725</t>
  </si>
  <si>
    <t>ABUBAKAR KASOZI</t>
  </si>
  <si>
    <t>0752611200</t>
  </si>
  <si>
    <t>00200001569</t>
  </si>
  <si>
    <t>00100004176</t>
  </si>
  <si>
    <t>0772507210</t>
  </si>
  <si>
    <t>0702507210</t>
  </si>
  <si>
    <t>ANDREW MPANGA</t>
  </si>
  <si>
    <t>0781455712</t>
  </si>
  <si>
    <t>0700345631</t>
  </si>
  <si>
    <t>00100004154</t>
  </si>
  <si>
    <t>00200001514</t>
  </si>
  <si>
    <t>00200001465</t>
  </si>
  <si>
    <t>00200001510</t>
  </si>
  <si>
    <t>00100004203</t>
  </si>
  <si>
    <t>JULIET NAMUZZA</t>
  </si>
  <si>
    <t>0774042300</t>
  </si>
  <si>
    <t>JOHN LWANGA</t>
  </si>
  <si>
    <t>0772893143</t>
  </si>
  <si>
    <t>0705080344</t>
  </si>
  <si>
    <t>MARTIN LUBOWA MWANJE</t>
  </si>
  <si>
    <t>0752618945</t>
  </si>
  <si>
    <t>AUGUSTINE MUYOMBA</t>
  </si>
  <si>
    <t>0772605104</t>
  </si>
  <si>
    <t>0700140141</t>
  </si>
  <si>
    <t>SALUWA LUNKUSE</t>
  </si>
  <si>
    <t>0702011310</t>
  </si>
  <si>
    <t>0702891749</t>
  </si>
  <si>
    <t>00100004170</t>
  </si>
  <si>
    <t>IRENE MUYIMBWA</t>
  </si>
  <si>
    <t>0702190258</t>
  </si>
  <si>
    <t>00200001512</t>
  </si>
  <si>
    <t>00200001583</t>
  </si>
  <si>
    <t>GODWIN KABENGWA</t>
  </si>
  <si>
    <t>0776973018</t>
  </si>
  <si>
    <t>AIDAH NAMUTEBI</t>
  </si>
  <si>
    <t>0773120588</t>
  </si>
  <si>
    <t>0701306615</t>
  </si>
  <si>
    <t>00100004195</t>
  </si>
  <si>
    <t>WINYI EUNICE KAMAKUNE</t>
  </si>
  <si>
    <t>0785245536</t>
  </si>
  <si>
    <t>0702586985</t>
  </si>
  <si>
    <t>Number of loans</t>
  </si>
  <si>
    <t>Nbr of loans</t>
  </si>
  <si>
    <t>Nbr of Loans5</t>
  </si>
  <si>
    <t>Nbr of Loans</t>
  </si>
  <si>
    <t>Amount disbursed * Interest</t>
  </si>
  <si>
    <t>Select the date here:</t>
  </si>
  <si>
    <t>Year:</t>
  </si>
  <si>
    <t>From:</t>
  </si>
  <si>
    <t>To:</t>
  </si>
  <si>
    <t>Outstanding Balance * Interest</t>
  </si>
  <si>
    <t>(This tool is refering to the EOM database. Enter the last closed month)</t>
  </si>
  <si>
    <t>00200001485</t>
  </si>
  <si>
    <t>00200001620</t>
  </si>
  <si>
    <t>00200001545</t>
  </si>
  <si>
    <t>00200001498</t>
  </si>
  <si>
    <t>BRENDA NAKIMBUGWE</t>
  </si>
  <si>
    <t>0772322624</t>
  </si>
  <si>
    <t>0706416771</t>
  </si>
  <si>
    <t>ALEX NIONZIMA KWIZERA</t>
  </si>
  <si>
    <t>0774347008</t>
  </si>
  <si>
    <t>0701074465</t>
  </si>
  <si>
    <t>RONALD KAYIWA</t>
  </si>
  <si>
    <t>0782575891</t>
  </si>
  <si>
    <t>0704903182</t>
  </si>
  <si>
    <t>AISHA NANSAMBA</t>
  </si>
  <si>
    <t>0772900941</t>
  </si>
  <si>
    <t>0702058273</t>
  </si>
  <si>
    <t>00200001601</t>
  </si>
  <si>
    <t>00100004216</t>
  </si>
  <si>
    <t>00200001577</t>
  </si>
  <si>
    <t>00200001619</t>
  </si>
  <si>
    <t>00100001479</t>
  </si>
  <si>
    <t>COSSY NANKYA LWANGA</t>
  </si>
  <si>
    <t>0772526883</t>
  </si>
  <si>
    <t>0756700257</t>
  </si>
  <si>
    <t>RUTH MIVULE</t>
  </si>
  <si>
    <t>0772930739</t>
  </si>
  <si>
    <t>0705867842</t>
  </si>
  <si>
    <t>SPECIOZA NANTUMBWE</t>
  </si>
  <si>
    <t>0774207102</t>
  </si>
  <si>
    <t>MONICA NABAKOOZA</t>
  </si>
  <si>
    <t>0779501212</t>
  </si>
  <si>
    <t>0701912067</t>
  </si>
  <si>
    <t>MOSES ARINAITWE</t>
  </si>
  <si>
    <t>0772416647</t>
  </si>
  <si>
    <t>0701414448</t>
  </si>
  <si>
    <t>00200001521</t>
  </si>
  <si>
    <t>00200001561</t>
  </si>
  <si>
    <t>00200001513</t>
  </si>
  <si>
    <t>00200001582</t>
  </si>
  <si>
    <t>00200001627</t>
  </si>
  <si>
    <t>00100004182</t>
  </si>
  <si>
    <t>AIDAH NAKAZIBWE</t>
  </si>
  <si>
    <t>0785654559</t>
  </si>
  <si>
    <t>0752366431</t>
  </si>
  <si>
    <t>ROBERT MARONKO</t>
  </si>
  <si>
    <t>0784570461</t>
  </si>
  <si>
    <t>0751570461</t>
  </si>
  <si>
    <t>GEORGE WILLIAM MUTEMA</t>
  </si>
  <si>
    <t>0774996883</t>
  </si>
  <si>
    <t>0702807493</t>
  </si>
  <si>
    <t>RASHIDA NASSUNA</t>
  </si>
  <si>
    <t>0772207607</t>
  </si>
  <si>
    <t>0705203987</t>
  </si>
  <si>
    <t>MUKISA ESTHER NAMUTEBI LISCHA</t>
  </si>
  <si>
    <t>0772484968</t>
  </si>
  <si>
    <t>JULIET NAKIBUUKA</t>
  </si>
  <si>
    <t>0759913717</t>
  </si>
  <si>
    <t>0788045052</t>
  </si>
  <si>
    <t>Computer &amp; Software</t>
  </si>
  <si>
    <t>00200001628</t>
  </si>
  <si>
    <t>00200001626</t>
  </si>
  <si>
    <t>00200001114</t>
  </si>
  <si>
    <t>00100003337</t>
  </si>
  <si>
    <t>00200001630</t>
  </si>
  <si>
    <t>MEDI SSALI</t>
  </si>
  <si>
    <t>0756500666</t>
  </si>
  <si>
    <t>SARAH NABULYA</t>
  </si>
  <si>
    <t>0775111235</t>
  </si>
  <si>
    <t>KENNETH KATONGOLE</t>
  </si>
  <si>
    <t>0772438550</t>
  </si>
  <si>
    <t>PATIENCE KATUSHABE</t>
  </si>
  <si>
    <t>0776255335</t>
  </si>
  <si>
    <t>BEATRICE KICONCO</t>
  </si>
  <si>
    <t>0772892934</t>
  </si>
  <si>
    <t>00100003944</t>
  </si>
  <si>
    <t>00100004215</t>
  </si>
  <si>
    <t>VANETA KISUULE</t>
  </si>
  <si>
    <t>0775368699</t>
  </si>
  <si>
    <t>0756368699</t>
  </si>
  <si>
    <t>DESIRE SSESSANGA</t>
  </si>
  <si>
    <t>0782094719</t>
  </si>
  <si>
    <t>0704601166</t>
  </si>
  <si>
    <t>00100000531</t>
  </si>
  <si>
    <t>00200001599</t>
  </si>
  <si>
    <t>00200001607</t>
  </si>
  <si>
    <t>00200001629</t>
  </si>
  <si>
    <t>00100004220</t>
  </si>
  <si>
    <t>00200001633</t>
  </si>
  <si>
    <t>FBISANGA</t>
  </si>
  <si>
    <t>00200001535</t>
  </si>
  <si>
    <t>00200001637</t>
  </si>
  <si>
    <t>00200001650</t>
  </si>
  <si>
    <t>GRACE KIMERA</t>
  </si>
  <si>
    <t>0758669671</t>
  </si>
  <si>
    <t>0772669671</t>
  </si>
  <si>
    <t>RAMADHAN MUREKYERE</t>
  </si>
  <si>
    <t>0773370932</t>
  </si>
  <si>
    <t>0754716585</t>
  </si>
  <si>
    <t>EDWARD ISANGA MUGULUSI</t>
  </si>
  <si>
    <t>0776220243</t>
  </si>
  <si>
    <t>0701655555</t>
  </si>
  <si>
    <t>MAJORINE NABUKALU</t>
  </si>
  <si>
    <t>0754713135</t>
  </si>
  <si>
    <t>ABUDALLAZIZ SSEMPIGA KIBERU</t>
  </si>
  <si>
    <t>0702682222</t>
  </si>
  <si>
    <t>0772427658</t>
  </si>
  <si>
    <t>BARNABAS SSEMPA</t>
  </si>
  <si>
    <t>0704790731</t>
  </si>
  <si>
    <t>LEONARD NYUNGANKIRE</t>
  </si>
  <si>
    <t>0785943456</t>
  </si>
  <si>
    <t>KIDAADA ZEBLON MULERO</t>
  </si>
  <si>
    <t>0702148868</t>
  </si>
  <si>
    <t>SPECIOZA NAKYOMU</t>
  </si>
  <si>
    <t>0782551854</t>
  </si>
  <si>
    <t>00200001277</t>
  </si>
  <si>
    <t>Farm Product Raw Materials</t>
  </si>
  <si>
    <t>00200001632</t>
  </si>
  <si>
    <t>00200001663</t>
  </si>
  <si>
    <t>00200001591</t>
  </si>
  <si>
    <t>FRED KIZITO MUBIRU</t>
  </si>
  <si>
    <t>0772421020</t>
  </si>
  <si>
    <t>FAIZAL GGAYI</t>
  </si>
  <si>
    <t>0782073551</t>
  </si>
  <si>
    <t>0758300236</t>
  </si>
  <si>
    <t>NUUHU SSENYONGA</t>
  </si>
  <si>
    <t>0772418736</t>
  </si>
  <si>
    <t>0702418736</t>
  </si>
  <si>
    <t>CHRIS NGABIRANO</t>
  </si>
  <si>
    <t>0752220198</t>
  </si>
  <si>
    <t>0772431991</t>
  </si>
  <si>
    <t>00200001442</t>
  </si>
  <si>
    <t>00200001661</t>
  </si>
  <si>
    <t>0752956066</t>
  </si>
  <si>
    <t>AGNES NABAKOOZA</t>
  </si>
  <si>
    <t>0706836929</t>
  </si>
  <si>
    <t>00100000843</t>
  </si>
  <si>
    <t>JOSEPH KAYANJA</t>
  </si>
  <si>
    <t>0712800654</t>
  </si>
  <si>
    <t>0702800654</t>
  </si>
  <si>
    <t>00200000500</t>
  </si>
  <si>
    <t>00200001647</t>
  </si>
  <si>
    <t>00200001668</t>
  </si>
  <si>
    <t>FRED NTEGE</t>
  </si>
  <si>
    <t>0755919945</t>
  </si>
  <si>
    <t>MARTIN DHIKUSOKA</t>
  </si>
  <si>
    <t>0772409603</t>
  </si>
  <si>
    <t>0757409603</t>
  </si>
  <si>
    <t>AGNES NDYAJUNWA KIIZA</t>
  </si>
  <si>
    <t>0775541009</t>
  </si>
  <si>
    <t>00200001704</t>
  </si>
  <si>
    <t>Fishing and Hunting</t>
  </si>
  <si>
    <t>Fishing</t>
  </si>
  <si>
    <t>00200001673</t>
  </si>
  <si>
    <t>00200001667</t>
  </si>
  <si>
    <t>00200001643</t>
  </si>
  <si>
    <t>00200001684</t>
  </si>
  <si>
    <t>00200001710</t>
  </si>
  <si>
    <t>00200000771</t>
  </si>
  <si>
    <t>MAIMUNAH MARIAM NASSANGA</t>
  </si>
  <si>
    <t>0776385810</t>
  </si>
  <si>
    <t>0701385801</t>
  </si>
  <si>
    <t>KENNETH SSEKITTO</t>
  </si>
  <si>
    <t>0703495582</t>
  </si>
  <si>
    <t>FATUMAH NAKAWOOYA</t>
  </si>
  <si>
    <t>0782157709</t>
  </si>
  <si>
    <t>0755472709</t>
  </si>
  <si>
    <t>ALLAN EUTYCHUS MAHOLO</t>
  </si>
  <si>
    <t>0703818293</t>
  </si>
  <si>
    <t>0784280015</t>
  </si>
  <si>
    <t>HAMIDA NAMAGEMBE</t>
  </si>
  <si>
    <t>0772318842</t>
  </si>
  <si>
    <t>PAMELA KANZIRA</t>
  </si>
  <si>
    <t>0704475073</t>
  </si>
  <si>
    <t>0772630323</t>
  </si>
  <si>
    <t>SUZAN GONZA</t>
  </si>
  <si>
    <t>0750459253</t>
  </si>
  <si>
    <t>00100002078</t>
  </si>
  <si>
    <t>00200001649</t>
  </si>
  <si>
    <t>00200001693</t>
  </si>
  <si>
    <t>00200001595</t>
  </si>
  <si>
    <t>CLIFFORD GEOFFREY SENYONJO</t>
  </si>
  <si>
    <t>0772409012</t>
  </si>
  <si>
    <t>HASIFA NAMUBIRU</t>
  </si>
  <si>
    <t>0704526920</t>
  </si>
  <si>
    <t>0776526920</t>
  </si>
  <si>
    <t>VINCENT TURYARUGAYO</t>
  </si>
  <si>
    <t>0751002564</t>
  </si>
  <si>
    <t>0773580064</t>
  </si>
  <si>
    <t>PETER BIIZA MULOGO</t>
  </si>
  <si>
    <t>0772483666</t>
  </si>
  <si>
    <t>0704881542</t>
  </si>
  <si>
    <t>00200001690</t>
  </si>
  <si>
    <t>00200001679</t>
  </si>
  <si>
    <t>ATANAZIUS TUKAHEBWA</t>
  </si>
  <si>
    <t>0772586253</t>
  </si>
  <si>
    <t>0753586253</t>
  </si>
  <si>
    <t>SAMUEL KIRWANA KAMYA</t>
  </si>
  <si>
    <t>0772412654</t>
  </si>
  <si>
    <t>0701999592</t>
  </si>
  <si>
    <t>00200001678</t>
  </si>
  <si>
    <t>00200000892</t>
  </si>
  <si>
    <t>00200001697</t>
  </si>
  <si>
    <t>00200001625</t>
  </si>
  <si>
    <t>FRANCIS JJUMBA</t>
  </si>
  <si>
    <t>0774389330</t>
  </si>
  <si>
    <t>MOSES WEFAFA</t>
  </si>
  <si>
    <t>0755132237</t>
  </si>
  <si>
    <t>0783970105</t>
  </si>
  <si>
    <t>SAUDA NANTALE</t>
  </si>
  <si>
    <t>0782190572</t>
  </si>
  <si>
    <t>HAMIDA NASANGA</t>
  </si>
  <si>
    <t>0774981435</t>
  </si>
  <si>
    <t>0704793050</t>
  </si>
  <si>
    <t>00200001671</t>
  </si>
  <si>
    <t>00200001725</t>
  </si>
  <si>
    <t>00200001529</t>
  </si>
  <si>
    <t>00200001703</t>
  </si>
  <si>
    <t>00200001699</t>
  </si>
  <si>
    <t>00100004226</t>
  </si>
  <si>
    <t>APOLLO NTEGE</t>
  </si>
  <si>
    <t>0704058293</t>
  </si>
  <si>
    <t>0774058293</t>
  </si>
  <si>
    <t>FARIDAH BABIRYE</t>
  </si>
  <si>
    <t>0774317650</t>
  </si>
  <si>
    <t>STELLA NABAWANDA</t>
  </si>
  <si>
    <t>0701758138</t>
  </si>
  <si>
    <t>ANTHONY SSETTUMBA</t>
  </si>
  <si>
    <t>0782965967</t>
  </si>
  <si>
    <t>0753804753</t>
  </si>
  <si>
    <t>JULIUS TAMALE</t>
  </si>
  <si>
    <t>0774178916</t>
  </si>
  <si>
    <t>0704178916</t>
  </si>
  <si>
    <t>DEO MBOGGA</t>
  </si>
  <si>
    <t>0772887993</t>
  </si>
  <si>
    <t>0758457259</t>
  </si>
  <si>
    <t>00200001670</t>
  </si>
  <si>
    <t>00200001692</t>
  </si>
  <si>
    <t>00100004007</t>
  </si>
  <si>
    <t>00100003687</t>
  </si>
  <si>
    <t>00100001383</t>
  </si>
  <si>
    <t>00200001751</t>
  </si>
  <si>
    <t>00200001517</t>
  </si>
  <si>
    <t>00100003650</t>
  </si>
  <si>
    <t>00100003370</t>
  </si>
  <si>
    <t>00200001722</t>
  </si>
  <si>
    <t>00200001698</t>
  </si>
  <si>
    <t>00100004240</t>
  </si>
  <si>
    <t>00100002648</t>
  </si>
  <si>
    <t>00100002563</t>
  </si>
  <si>
    <t>00200001723</t>
  </si>
  <si>
    <t>00200001682</t>
  </si>
  <si>
    <t>00100004218</t>
  </si>
  <si>
    <t>FRANCIS MUYINGO</t>
  </si>
  <si>
    <t>0776830137</t>
  </si>
  <si>
    <t>0753347113</t>
  </si>
  <si>
    <t>TOM KABEGA</t>
  </si>
  <si>
    <t>0772332419</t>
  </si>
  <si>
    <t>RITAH KALUNGI NAKAMYA</t>
  </si>
  <si>
    <t>0703864249</t>
  </si>
  <si>
    <t>0883669563</t>
  </si>
  <si>
    <t>AGNES NASSIWA</t>
  </si>
  <si>
    <t>0772387888</t>
  </si>
  <si>
    <t>0701886981</t>
  </si>
  <si>
    <t>ALIZIC NALUBEGA</t>
  </si>
  <si>
    <t>0777419159</t>
  </si>
  <si>
    <t>0752419159</t>
  </si>
  <si>
    <t>JOHN BOSCO KASULE</t>
  </si>
  <si>
    <t>0772560892</t>
  </si>
  <si>
    <t>0704881903</t>
  </si>
  <si>
    <t>FLAVIA KARUNDANE AGIRA</t>
  </si>
  <si>
    <t>0772453708</t>
  </si>
  <si>
    <t>0702453708</t>
  </si>
  <si>
    <t>PATRICK SSEBYALA</t>
  </si>
  <si>
    <t>0772456819</t>
  </si>
  <si>
    <t>0703614282</t>
  </si>
  <si>
    <t>GEORGE WILLIAM KIBUUKA SSEBAGGALA</t>
  </si>
  <si>
    <t>0782037756</t>
  </si>
  <si>
    <t>0702640422</t>
  </si>
  <si>
    <t>VICENT KAKOOZA</t>
  </si>
  <si>
    <t>0782670818</t>
  </si>
  <si>
    <t>0755023708</t>
  </si>
  <si>
    <t>KARAVERI NVUYEKURE</t>
  </si>
  <si>
    <t>0773836234</t>
  </si>
  <si>
    <t>0701128193</t>
  </si>
  <si>
    <t>KENNETH KIBERU</t>
  </si>
  <si>
    <t>0703773699</t>
  </si>
  <si>
    <t>BARBRA TIBASAGA</t>
  </si>
  <si>
    <t>0782921165</t>
  </si>
  <si>
    <t>ARTHUR KWARIZHA</t>
  </si>
  <si>
    <t>0783440994</t>
  </si>
  <si>
    <t>0704597252</t>
  </si>
  <si>
    <t>KAIRU IBANDA</t>
  </si>
  <si>
    <t>0757893253</t>
  </si>
  <si>
    <t>STEPHEN MUSINGUZI</t>
  </si>
  <si>
    <t>0772694359</t>
  </si>
  <si>
    <t>JOHN MARY AGABA</t>
  </si>
  <si>
    <t>0772869780</t>
  </si>
  <si>
    <t>00100004246</t>
  </si>
  <si>
    <t>DAVID KIRABIRA</t>
  </si>
  <si>
    <t>0751898126</t>
  </si>
  <si>
    <t>00100004223</t>
  </si>
  <si>
    <t>00100004057</t>
  </si>
  <si>
    <t>Kitchen Ware</t>
  </si>
  <si>
    <t>ALEX ENOCK MWANDHUZI</t>
  </si>
  <si>
    <t>0752104966</t>
  </si>
  <si>
    <t>0774104966</t>
  </si>
  <si>
    <t>FLORENCE NAKATE</t>
  </si>
  <si>
    <t>0755501594</t>
  </si>
  <si>
    <t>0774639458</t>
  </si>
  <si>
    <t>00200001728</t>
  </si>
  <si>
    <t>00100003763</t>
  </si>
  <si>
    <t>00100003258</t>
  </si>
  <si>
    <t>OSCAR ALEX KIRABO</t>
  </si>
  <si>
    <t>0752367018</t>
  </si>
  <si>
    <t>GEOFFREY SSEBINA</t>
  </si>
  <si>
    <t>0772835511</t>
  </si>
  <si>
    <t>0759143100</t>
  </si>
  <si>
    <t>0773179708</t>
  </si>
  <si>
    <t>ANDREW LUTIMBA</t>
  </si>
  <si>
    <t>0752070304</t>
  </si>
  <si>
    <t>0774070304</t>
  </si>
  <si>
    <t>00200001706</t>
  </si>
  <si>
    <t>00200001752</t>
  </si>
  <si>
    <t>MOSES KAWENJA SENSONGA</t>
  </si>
  <si>
    <t>0702571046</t>
  </si>
  <si>
    <t>0774747693</t>
  </si>
  <si>
    <t>ALEX MUKISA</t>
  </si>
  <si>
    <t>0784482457</t>
  </si>
  <si>
    <t>00200001755</t>
  </si>
  <si>
    <t>0772447102</t>
  </si>
  <si>
    <t>00100004255</t>
  </si>
  <si>
    <t>PAINENTO NGOBI BONYOKO</t>
  </si>
  <si>
    <t>0783593916</t>
  </si>
  <si>
    <t>0785975519</t>
  </si>
  <si>
    <t>00200001711</t>
  </si>
  <si>
    <t>00100004259</t>
  </si>
  <si>
    <t>00100002198</t>
  </si>
  <si>
    <t>00200001758</t>
  </si>
  <si>
    <t>00200001781</t>
  </si>
  <si>
    <t>00200001773</t>
  </si>
  <si>
    <t>JOHN SHIKHONGOLA MAYATSA</t>
  </si>
  <si>
    <t>0704535595</t>
  </si>
  <si>
    <t>ANDREW TUSIIME</t>
  </si>
  <si>
    <t>0700410603</t>
  </si>
  <si>
    <t>AHIMBISIBWE JOHN BOSCO TAMWESIGIRE</t>
  </si>
  <si>
    <t>0772507959</t>
  </si>
  <si>
    <t>0701507959</t>
  </si>
  <si>
    <t>WILLIAMS GUMISIRIZA</t>
  </si>
  <si>
    <t>0782392758</t>
  </si>
  <si>
    <t>0704426983</t>
  </si>
  <si>
    <t>HARRIET NAKIBUUKA</t>
  </si>
  <si>
    <t>0782236081</t>
  </si>
  <si>
    <t>0705796461</t>
  </si>
  <si>
    <t>MUSA MUGERWA</t>
  </si>
  <si>
    <t>0774440968</t>
  </si>
  <si>
    <t>0754440968</t>
  </si>
  <si>
    <t>00100004249</t>
  </si>
  <si>
    <t>00200001795</t>
  </si>
  <si>
    <t>00200001778</t>
  </si>
  <si>
    <t>00200001786</t>
  </si>
  <si>
    <t>HALIMA NAMUGENYI</t>
  </si>
  <si>
    <t>0782590609</t>
  </si>
  <si>
    <t>0753130058</t>
  </si>
  <si>
    <t>PROSSY SSENTAMU</t>
  </si>
  <si>
    <t>0701881674</t>
  </si>
  <si>
    <t>BEATRICE KISITU KOMUGISHA</t>
  </si>
  <si>
    <t>0754289724</t>
  </si>
  <si>
    <t>JANE NAMUJJU</t>
  </si>
  <si>
    <t>0774494691</t>
  </si>
  <si>
    <t>0752360721</t>
  </si>
  <si>
    <t>00100004239</t>
  </si>
  <si>
    <t>00100004275</t>
  </si>
  <si>
    <t>00200000715</t>
  </si>
  <si>
    <t>DANIEL BUSULWA SEBULIBA</t>
  </si>
  <si>
    <t>0782856298</t>
  </si>
  <si>
    <t>ABDALATIF HAJJI BANYIKIDDE</t>
  </si>
  <si>
    <t>0755809167</t>
  </si>
  <si>
    <t>ALICE LILIAN KATENGEKE</t>
  </si>
  <si>
    <t>0782615599</t>
  </si>
  <si>
    <t>Martrys Day</t>
  </si>
  <si>
    <t>Heros Day</t>
  </si>
  <si>
    <t>Eidd ll Fitir</t>
  </si>
  <si>
    <t>Eidd Al Adha</t>
  </si>
  <si>
    <t>EFC Health DAY</t>
  </si>
  <si>
    <t>00100004256</t>
  </si>
  <si>
    <t>00200001766</t>
  </si>
  <si>
    <t>PATRICK MIVULE</t>
  </si>
  <si>
    <t>0752654890</t>
  </si>
  <si>
    <t>GEORGE WILLIAM KIMBUGWE KIZZA</t>
  </si>
  <si>
    <t>0752411894</t>
  </si>
  <si>
    <t>0772411894</t>
  </si>
  <si>
    <t>00200001474</t>
  </si>
  <si>
    <t>00100004263</t>
  </si>
  <si>
    <t>Gift, Novelty, &amp; Souvenir Stores</t>
  </si>
  <si>
    <t>00100003445</t>
  </si>
  <si>
    <t>00100004286</t>
  </si>
  <si>
    <t>00200001768</t>
  </si>
  <si>
    <t>00200001776</t>
  </si>
  <si>
    <t>HOOD LUYIMA</t>
  </si>
  <si>
    <t>0776912528</t>
  </si>
  <si>
    <t>0703497933</t>
  </si>
  <si>
    <t>EDWARD LUGGYA</t>
  </si>
  <si>
    <t>0772691700</t>
  </si>
  <si>
    <t>GEOFREY MUWONGE</t>
  </si>
  <si>
    <t>0782192934</t>
  </si>
  <si>
    <t>0701002585</t>
  </si>
  <si>
    <t>SALAAMA NABISOOLI</t>
  </si>
  <si>
    <t>0753042914</t>
  </si>
  <si>
    <t>REBECCA BABIRYE KIZITO</t>
  </si>
  <si>
    <t>0781459149</t>
  </si>
  <si>
    <t>0700665298</t>
  </si>
  <si>
    <t>SYDAT NDIRANGWA NAKITTO</t>
  </si>
  <si>
    <t>0752986990</t>
  </si>
  <si>
    <t>0772033983</t>
  </si>
  <si>
    <t>00200001717</t>
  </si>
  <si>
    <t>00200001807</t>
  </si>
  <si>
    <t>00200001791</t>
  </si>
  <si>
    <t>00200001552</t>
  </si>
  <si>
    <t>00200001792</t>
  </si>
  <si>
    <t>PAULO WAMALA</t>
  </si>
  <si>
    <t>0756517615</t>
  </si>
  <si>
    <t>FRED KYABALEMA</t>
  </si>
  <si>
    <t>0759007329</t>
  </si>
  <si>
    <t>0782007329</t>
  </si>
  <si>
    <t>GITTA DDEMBE</t>
  </si>
  <si>
    <t>0712181554</t>
  </si>
  <si>
    <t>ISAAC MALIAMUNGU</t>
  </si>
  <si>
    <t>0758844424</t>
  </si>
  <si>
    <t>0785653324</t>
  </si>
  <si>
    <t>JOHN SSEWANYANA</t>
  </si>
  <si>
    <t>0772371821</t>
  </si>
  <si>
    <t>0704371821</t>
  </si>
  <si>
    <t>00200001829</t>
  </si>
  <si>
    <t>MOSES TWIMUKYE</t>
  </si>
  <si>
    <t>0704819710</t>
  </si>
  <si>
    <t>0774381951</t>
  </si>
  <si>
    <t>00200001817</t>
  </si>
  <si>
    <t>ANNET NABUUFU</t>
  </si>
  <si>
    <t>0701445774</t>
  </si>
  <si>
    <t>0782190607</t>
  </si>
  <si>
    <t>00200001828</t>
  </si>
  <si>
    <t>00200001857</t>
  </si>
  <si>
    <t>00200001852</t>
  </si>
  <si>
    <t>00200000994</t>
  </si>
  <si>
    <t>00200001847</t>
  </si>
  <si>
    <t>00200001833</t>
  </si>
  <si>
    <t>00200001837</t>
  </si>
  <si>
    <t>ISAAC KIYEMBA</t>
  </si>
  <si>
    <t>0702959691</t>
  </si>
  <si>
    <t>0772959691</t>
  </si>
  <si>
    <t>DAMALIE ZAWEDDE</t>
  </si>
  <si>
    <t>0782673155</t>
  </si>
  <si>
    <t>0702673155</t>
  </si>
  <si>
    <t>ABASI MATOVU</t>
  </si>
  <si>
    <t>0772336523</t>
  </si>
  <si>
    <t>0759646354</t>
  </si>
  <si>
    <t>SARAH KASUJJA NABUNYA</t>
  </si>
  <si>
    <t>0774402810</t>
  </si>
  <si>
    <t>PETER WARUGARU BYAMUGISHA</t>
  </si>
  <si>
    <t>0774470489</t>
  </si>
  <si>
    <t>0754470489</t>
  </si>
  <si>
    <t>STEVEN MWENDA</t>
  </si>
  <si>
    <t>0772454305</t>
  </si>
  <si>
    <t>HENRY FRANCIS TUGUME</t>
  </si>
  <si>
    <t>0772443132</t>
  </si>
  <si>
    <t>0703882477</t>
  </si>
  <si>
    <t>00200001788</t>
  </si>
  <si>
    <t>Butchery</t>
  </si>
  <si>
    <t>00200001840</t>
  </si>
  <si>
    <t>00200001742</t>
  </si>
  <si>
    <t>00100004295</t>
  </si>
  <si>
    <t>00100004274</t>
  </si>
  <si>
    <t>00200001825</t>
  </si>
  <si>
    <t>YUNUSU KAWUKA</t>
  </si>
  <si>
    <t>0752931757</t>
  </si>
  <si>
    <t>FRANCIS DDUMBA</t>
  </si>
  <si>
    <t>0702845477</t>
  </si>
  <si>
    <t>077284447</t>
  </si>
  <si>
    <t>ROBINAH BISIRIKIRWA</t>
  </si>
  <si>
    <t>0772323326</t>
  </si>
  <si>
    <t>0754602807</t>
  </si>
  <si>
    <t>JOHN TEZANO LUBEGA</t>
  </si>
  <si>
    <t>0772455644</t>
  </si>
  <si>
    <t>0702435343</t>
  </si>
  <si>
    <t>DEOGRATIUS SSEBUWUFU</t>
  </si>
  <si>
    <t>0701162927</t>
  </si>
  <si>
    <t>NYIKA JAMIL SEKAJUGO</t>
  </si>
  <si>
    <t>0777000888</t>
  </si>
  <si>
    <t>0758880888</t>
  </si>
  <si>
    <t>00200001855</t>
  </si>
  <si>
    <t>00200001520</t>
  </si>
  <si>
    <t>NATHAN BUSUULWA</t>
  </si>
  <si>
    <t>0702111250</t>
  </si>
  <si>
    <t>0776111250</t>
  </si>
  <si>
    <t>JAMES SSEWAGUDE</t>
  </si>
  <si>
    <t>0772919379</t>
  </si>
  <si>
    <t>00100004270</t>
  </si>
  <si>
    <t>00100003875</t>
  </si>
  <si>
    <t>00200001843</t>
  </si>
  <si>
    <t>00200001864</t>
  </si>
  <si>
    <t>HARRIET NALWOGA</t>
  </si>
  <si>
    <t>0787727166</t>
  </si>
  <si>
    <t>JOSEPH KIGGUNDU WASSWA</t>
  </si>
  <si>
    <t>0704921608</t>
  </si>
  <si>
    <t>0782000136</t>
  </si>
  <si>
    <t>JUSTINE MUTESI</t>
  </si>
  <si>
    <t>0772656824</t>
  </si>
  <si>
    <t>0701081464</t>
  </si>
  <si>
    <t>MARY KYENDIBAZA</t>
  </si>
  <si>
    <t>0700322991</t>
  </si>
  <si>
    <t>0782074268</t>
  </si>
  <si>
    <t>00100004309</t>
  </si>
  <si>
    <t>JOSEPH KINTU</t>
  </si>
  <si>
    <t>0772412554</t>
  </si>
  <si>
    <t>0758412554</t>
  </si>
  <si>
    <t>00200001880</t>
  </si>
  <si>
    <t>MICHAEL LUGONVU</t>
  </si>
  <si>
    <t>0774829576</t>
  </si>
  <si>
    <t>00200001812</t>
  </si>
  <si>
    <t>BILL TIBINGANA</t>
  </si>
  <si>
    <t>0757836088</t>
  </si>
  <si>
    <t>00200001797</t>
  </si>
  <si>
    <t>PATIENCE KARABARIZE</t>
  </si>
  <si>
    <t>0704262763</t>
  </si>
  <si>
    <t>0774262763</t>
  </si>
  <si>
    <t>00200001859</t>
  </si>
  <si>
    <t>OJOK CHRISTOPHER</t>
  </si>
  <si>
    <t>0785605397</t>
  </si>
  <si>
    <t>0705229434</t>
  </si>
  <si>
    <t>Offices of Doctor</t>
  </si>
  <si>
    <t>00200001882</t>
  </si>
  <si>
    <t>00200001746</t>
  </si>
  <si>
    <t>BIN SEIFFU AHMED</t>
  </si>
  <si>
    <t>0702898080</t>
  </si>
  <si>
    <t>NASSER NASIB KIKOMEKO</t>
  </si>
  <si>
    <t>0752638165</t>
  </si>
  <si>
    <t>0702638165</t>
  </si>
  <si>
    <t>00200001902</t>
  </si>
  <si>
    <t>00100000060</t>
  </si>
  <si>
    <t>00200001897</t>
  </si>
  <si>
    <t>00200001901</t>
  </si>
  <si>
    <t>EDWARD BUKENYA</t>
  </si>
  <si>
    <t>0772419043</t>
  </si>
  <si>
    <t>070241043</t>
  </si>
  <si>
    <t>RICHARD MUGISHA</t>
  </si>
  <si>
    <t>0772503518</t>
  </si>
  <si>
    <t>DEBORAH NAYEBARE</t>
  </si>
  <si>
    <t>0782229696</t>
  </si>
  <si>
    <t>SALIM SSEKITOOLEKO</t>
  </si>
  <si>
    <t>0755258489</t>
  </si>
  <si>
    <t>00100000919</t>
  </si>
  <si>
    <t>WILSON BYEKWASO</t>
  </si>
  <si>
    <t>0772334748</t>
  </si>
  <si>
    <t>0759334748</t>
  </si>
  <si>
    <t>00200001898</t>
  </si>
  <si>
    <t>00100000031</t>
  </si>
  <si>
    <t>00100004313</t>
  </si>
  <si>
    <t>KHALID SENTONGO</t>
  </si>
  <si>
    <t>0772651468</t>
  </si>
  <si>
    <t>0702651468</t>
  </si>
  <si>
    <t>CLEO BOGERE</t>
  </si>
  <si>
    <t>0772634508</t>
  </si>
  <si>
    <t>0752888441</t>
  </si>
  <si>
    <t>PATRICIA MANDY MUGERWA</t>
  </si>
  <si>
    <t>0704183183</t>
  </si>
  <si>
    <t>0712653430</t>
  </si>
  <si>
    <t>00100000473</t>
  </si>
  <si>
    <t>00200001646</t>
  </si>
  <si>
    <t>SALIMAH NGAMBE</t>
  </si>
  <si>
    <t>0752894455</t>
  </si>
  <si>
    <t>0716894455</t>
  </si>
  <si>
    <t>0785845583</t>
  </si>
  <si>
    <t>GERALD KYOBE</t>
  </si>
  <si>
    <t>0773136418</t>
  </si>
  <si>
    <t>0752136418</t>
  </si>
  <si>
    <t>00200001903</t>
  </si>
  <si>
    <t>00100003692</t>
  </si>
  <si>
    <t>00100004250</t>
  </si>
  <si>
    <t>JULIUS KAYIIRA LUTAAKOME</t>
  </si>
  <si>
    <t>0772462373</t>
  </si>
  <si>
    <t>0702462373</t>
  </si>
  <si>
    <t>ANGELLA NASSOLO</t>
  </si>
  <si>
    <t>0752932112</t>
  </si>
  <si>
    <t>FELIX NGABIRANO</t>
  </si>
  <si>
    <t>0772419311</t>
  </si>
  <si>
    <t>0755700350</t>
  </si>
  <si>
    <t>00100004315</t>
  </si>
  <si>
    <t>00200001912</t>
  </si>
  <si>
    <t>00200001914</t>
  </si>
  <si>
    <t>00200001888</t>
  </si>
  <si>
    <t>00200001861</t>
  </si>
  <si>
    <t>00200001891</t>
  </si>
  <si>
    <t>OLIVIA NAMBASA</t>
  </si>
  <si>
    <t>0701249426</t>
  </si>
  <si>
    <t>0776249426</t>
  </si>
  <si>
    <t>JIMMY SSEMPESWA</t>
  </si>
  <si>
    <t>0779533141</t>
  </si>
  <si>
    <t>075748158</t>
  </si>
  <si>
    <t>JOYCE NK GALIWANGO</t>
  </si>
  <si>
    <t>0772443483</t>
  </si>
  <si>
    <t>PENNINA MUHWEZI</t>
  </si>
  <si>
    <t>0772566130</t>
  </si>
  <si>
    <t>0702795488</t>
  </si>
  <si>
    <t>MAJID CHANDIGA</t>
  </si>
  <si>
    <t>0772312696</t>
  </si>
  <si>
    <t>0776312696</t>
  </si>
  <si>
    <t>JOHN BIZIMANA</t>
  </si>
  <si>
    <t>0784226481</t>
  </si>
  <si>
    <t>0789888265</t>
  </si>
  <si>
    <t>Metalworking Machinery</t>
  </si>
  <si>
    <t>00100004302</t>
  </si>
  <si>
    <t>00200000637</t>
  </si>
  <si>
    <t>Gasoline Stations</t>
  </si>
  <si>
    <t>Gas station</t>
  </si>
  <si>
    <t>00100003609</t>
  </si>
  <si>
    <t>FRANK SSERWADDA</t>
  </si>
  <si>
    <t>0756899928</t>
  </si>
  <si>
    <t>0782309438</t>
  </si>
  <si>
    <t>PEAK PARTNERS LIMITED</t>
  </si>
  <si>
    <t>0701315111</t>
  </si>
  <si>
    <t>0773155117</t>
  </si>
  <si>
    <t>0782315111</t>
  </si>
  <si>
    <t>LAMECH NSUBUGA</t>
  </si>
  <si>
    <t>0755754074</t>
  </si>
  <si>
    <t>00200001893</t>
  </si>
  <si>
    <t>ANDREW LEOPOLD MUGAMBE</t>
  </si>
  <si>
    <t>0700352627</t>
  </si>
  <si>
    <t>0392902105</t>
  </si>
  <si>
    <t>00100004319</t>
  </si>
  <si>
    <t>00200001486</t>
  </si>
  <si>
    <t>00100004314</t>
  </si>
  <si>
    <t>00200001884</t>
  </si>
  <si>
    <t>00200001910</t>
  </si>
  <si>
    <t>00200001128</t>
  </si>
  <si>
    <t>PHARIDAH MATOVU</t>
  </si>
  <si>
    <t>0753538292</t>
  </si>
  <si>
    <t>RICHARD KALIBBALA</t>
  </si>
  <si>
    <t>0701815833</t>
  </si>
  <si>
    <t>0712815833</t>
  </si>
  <si>
    <t>EDIRISA KASUJJA</t>
  </si>
  <si>
    <t>0753948471</t>
  </si>
  <si>
    <t>0700948471</t>
  </si>
  <si>
    <t>DAUDA BYAKULEKA</t>
  </si>
  <si>
    <t>0782300418</t>
  </si>
  <si>
    <t>MARIAM NAKANJAKO</t>
  </si>
  <si>
    <t>0705311351</t>
  </si>
  <si>
    <t>0776299897</t>
  </si>
  <si>
    <t>JOSEPH SSENTUME</t>
  </si>
  <si>
    <t>0703664032</t>
  </si>
  <si>
    <t>00200001938</t>
  </si>
  <si>
    <t>Sheep &amp; Goat Farming</t>
  </si>
  <si>
    <t>ALICE STELLA NAMAZZI</t>
  </si>
  <si>
    <t>0782938897</t>
  </si>
  <si>
    <t>00100004272</t>
  </si>
  <si>
    <t>00200001896</t>
  </si>
  <si>
    <t>00200001925</t>
  </si>
  <si>
    <t>00200001930</t>
  </si>
  <si>
    <t>ROBERT LULE</t>
  </si>
  <si>
    <t>07547654765</t>
  </si>
  <si>
    <t>JAMES EMMANUEL KIZITO</t>
  </si>
  <si>
    <t>0772620572</t>
  </si>
  <si>
    <t>0756620572</t>
  </si>
  <si>
    <t>ANDREW KAYONDO KIYIMBA</t>
  </si>
  <si>
    <t>0752414105</t>
  </si>
  <si>
    <t>0782414105</t>
  </si>
  <si>
    <t>SARAH MUYAKA</t>
  </si>
  <si>
    <t>0752866691</t>
  </si>
  <si>
    <t>00200001939</t>
  </si>
  <si>
    <t>SAMSON MUKIIBI</t>
  </si>
  <si>
    <t>0751823986</t>
  </si>
  <si>
    <t>0789860726</t>
  </si>
  <si>
    <t>00200001957</t>
  </si>
  <si>
    <t>MARY AKETCH</t>
  </si>
  <si>
    <t>0776939927</t>
  </si>
  <si>
    <t>0752939927</t>
  </si>
  <si>
    <t>00100002716</t>
  </si>
  <si>
    <t>JOSEPH NSEREKO BUSULWA</t>
  </si>
  <si>
    <t>0772990343</t>
  </si>
  <si>
    <t>00100003707</t>
  </si>
  <si>
    <t>00200001967</t>
  </si>
  <si>
    <t>00200001858</t>
  </si>
  <si>
    <t>RONALD MUGANGA</t>
  </si>
  <si>
    <t>0703502692</t>
  </si>
  <si>
    <t>LORENCE NABAMBA</t>
  </si>
  <si>
    <t>0772063019</t>
  </si>
  <si>
    <t>0706881690</t>
  </si>
  <si>
    <t>RICHARD BALIRUNO</t>
  </si>
  <si>
    <t>0704144344</t>
  </si>
  <si>
    <t>00200001941</t>
  </si>
  <si>
    <t>Machinery &amp; Equipment</t>
  </si>
  <si>
    <t>00100001504</t>
  </si>
  <si>
    <t>HENRY SSENTAMU</t>
  </si>
  <si>
    <t>0704791117</t>
  </si>
  <si>
    <t>0752848125</t>
  </si>
  <si>
    <t>073008783</t>
  </si>
  <si>
    <t>ROBERT MUGISHA</t>
  </si>
  <si>
    <t>0782740208</t>
  </si>
  <si>
    <t>0752740208</t>
  </si>
  <si>
    <t>00200001929</t>
  </si>
  <si>
    <t>00100004343</t>
  </si>
  <si>
    <t>00200001992</t>
  </si>
  <si>
    <t>00100002264</t>
  </si>
  <si>
    <t>00200001978</t>
  </si>
  <si>
    <t>00200001946</t>
  </si>
  <si>
    <t>00100002495</t>
  </si>
  <si>
    <t>00200001924</t>
  </si>
  <si>
    <t>MICHEAL KIRIGGWAJJO</t>
  </si>
  <si>
    <t>0772851559</t>
  </si>
  <si>
    <t>AMINAH KAZIBWE</t>
  </si>
  <si>
    <t>0782160310</t>
  </si>
  <si>
    <t>0702091447</t>
  </si>
  <si>
    <t>NATHAN MUGAMBAZZI KATAMBA</t>
  </si>
  <si>
    <t>0772839674</t>
  </si>
  <si>
    <t>0705060566</t>
  </si>
  <si>
    <t>JOSEPH KABANDA</t>
  </si>
  <si>
    <t>0756839859</t>
  </si>
  <si>
    <t>AISHA NAMULINDWA</t>
  </si>
  <si>
    <t>0782231053</t>
  </si>
  <si>
    <t>0752231053</t>
  </si>
  <si>
    <t>MATHIAS KALEMBA</t>
  </si>
  <si>
    <t>0772590747</t>
  </si>
  <si>
    <t>HENRY MUBIRU</t>
  </si>
  <si>
    <t>0702349934</t>
  </si>
  <si>
    <t>MONICA KATAMBA SSERUBIRI</t>
  </si>
  <si>
    <t>0704888939</t>
  </si>
  <si>
    <t>00200001961</t>
  </si>
  <si>
    <t>DAVID BUSULWA</t>
  </si>
  <si>
    <t>0772603466</t>
  </si>
  <si>
    <t>0702603466</t>
  </si>
  <si>
    <t>More than 180 days</t>
  </si>
  <si>
    <t>00100001150</t>
  </si>
  <si>
    <t>Maize</t>
  </si>
  <si>
    <t>KENETH BALIKURUNGI</t>
  </si>
  <si>
    <t>0785153889</t>
  </si>
  <si>
    <t>New Year's Day</t>
  </si>
  <si>
    <t>00100002191</t>
  </si>
  <si>
    <t>EDWARD KIBALAMA</t>
  </si>
  <si>
    <t>0772404421</t>
  </si>
  <si>
    <t>00100004351</t>
  </si>
  <si>
    <t>MARY NAKANWAGI</t>
  </si>
  <si>
    <t>0777800362</t>
  </si>
  <si>
    <t>00200001952</t>
  </si>
  <si>
    <t>FLORENCE JOY LUBWAMA</t>
  </si>
  <si>
    <t>0773410814</t>
  </si>
  <si>
    <t>0414531814</t>
  </si>
  <si>
    <t>00100001005</t>
  </si>
  <si>
    <t>ALEX OKELLO</t>
  </si>
  <si>
    <t>0712555113</t>
  </si>
  <si>
    <t>0755002397</t>
  </si>
  <si>
    <t>00100004338</t>
  </si>
  <si>
    <t>00200000010</t>
  </si>
  <si>
    <t>FRED BULEGA</t>
  </si>
  <si>
    <t>0782534792</t>
  </si>
  <si>
    <t>0703684201</t>
  </si>
  <si>
    <t>JAVIOUS KITAYIMBWA</t>
  </si>
  <si>
    <t>0777006841</t>
  </si>
  <si>
    <t>00200001969</t>
  </si>
  <si>
    <t>FREDDIE FERDNAND MUSOKE</t>
  </si>
  <si>
    <t>0772418159</t>
  </si>
  <si>
    <t>00200001958</t>
  </si>
  <si>
    <t>00200002019</t>
  </si>
  <si>
    <t>00200001993</t>
  </si>
  <si>
    <t>ALEX SSEBUUMA</t>
  </si>
  <si>
    <t>0774474912</t>
  </si>
  <si>
    <t>0701474912</t>
  </si>
  <si>
    <t>ESTER NAGAWA</t>
  </si>
  <si>
    <t>0756696701</t>
  </si>
  <si>
    <t>0786330846</t>
  </si>
  <si>
    <t>AGNES NAKATE SSERWADDA</t>
  </si>
  <si>
    <t>0772892971</t>
  </si>
  <si>
    <t>0704139752</t>
  </si>
  <si>
    <t>00200002025</t>
  </si>
  <si>
    <t>00100003306</t>
  </si>
  <si>
    <t>00200001987</t>
  </si>
  <si>
    <t>SAMUEL SSEBUGGWAWO</t>
  </si>
  <si>
    <t>0782410306</t>
  </si>
  <si>
    <t>0704275435</t>
  </si>
  <si>
    <t>MARTIN WABWOBA</t>
  </si>
  <si>
    <t>0789880206</t>
  </si>
  <si>
    <t>0712808597</t>
  </si>
  <si>
    <t>RICHARD KATABAZI</t>
  </si>
  <si>
    <t>0701779114</t>
  </si>
  <si>
    <t>00200002006</t>
  </si>
  <si>
    <t>00200001095</t>
  </si>
  <si>
    <t>00200001835</t>
  </si>
  <si>
    <t>GODFREY KABUYE SENFUKA</t>
  </si>
  <si>
    <t>0772634457</t>
  </si>
  <si>
    <t>0700109857</t>
  </si>
  <si>
    <t>SIMON PETER KIYAGA</t>
  </si>
  <si>
    <t>0702208945</t>
  </si>
  <si>
    <t>0779183551</t>
  </si>
  <si>
    <t>ALLEN NAKYANZI KALONGO</t>
  </si>
  <si>
    <t>0772687618</t>
  </si>
  <si>
    <t>00100004346</t>
  </si>
  <si>
    <t>SULA JJEMBA MUSOKE</t>
  </si>
  <si>
    <t>0703800883</t>
  </si>
  <si>
    <t>0778644446</t>
  </si>
  <si>
    <t>0772371996</t>
  </si>
  <si>
    <t>00200002029</t>
  </si>
  <si>
    <t>00100002933</t>
  </si>
  <si>
    <t>00200001949</t>
  </si>
  <si>
    <t>STEPHEN BERNARD NALUSWA</t>
  </si>
  <si>
    <t>0772444300</t>
  </si>
  <si>
    <t>0712745023</t>
  </si>
  <si>
    <t>MARGRET NANSAMBA</t>
  </si>
  <si>
    <t>0782535577</t>
  </si>
  <si>
    <t>0704888859</t>
  </si>
  <si>
    <t>WYCLIFFE AHABWE</t>
  </si>
  <si>
    <t>0704770536</t>
  </si>
  <si>
    <t>0788074514</t>
  </si>
  <si>
    <t>PAR90</t>
  </si>
  <si>
    <t>00100004361</t>
  </si>
  <si>
    <t>00100004368</t>
  </si>
  <si>
    <t>00200002038</t>
  </si>
  <si>
    <t>00200002000</t>
  </si>
  <si>
    <t>00100004367</t>
  </si>
  <si>
    <t>00200002016</t>
  </si>
  <si>
    <t>00100004363</t>
  </si>
  <si>
    <t>00200002013</t>
  </si>
  <si>
    <t>00200002011</t>
  </si>
  <si>
    <t>HUDSON PAUL KATUMBA</t>
  </si>
  <si>
    <t>0772508225</t>
  </si>
  <si>
    <t>0703810131</t>
  </si>
  <si>
    <t>MARTIN LUTAAYA</t>
  </si>
  <si>
    <t>0782400677</t>
  </si>
  <si>
    <t>0703852626</t>
  </si>
  <si>
    <t>MICHEAL KIBIRIGE</t>
  </si>
  <si>
    <t>0751007133</t>
  </si>
  <si>
    <t>0782007135</t>
  </si>
  <si>
    <t>JOSEPHINE MIREMBE</t>
  </si>
  <si>
    <t>0782513799</t>
  </si>
  <si>
    <t>0703376728</t>
  </si>
  <si>
    <t>0774401496</t>
  </si>
  <si>
    <t>HAMUZA KITANDA</t>
  </si>
  <si>
    <t>0753647851</t>
  </si>
  <si>
    <t>0772647751</t>
  </si>
  <si>
    <t>PAULINE NAMAKULA NAMUKASA</t>
  </si>
  <si>
    <t>0755605040</t>
  </si>
  <si>
    <t>BETTY AMPURIRE</t>
  </si>
  <si>
    <t>0776492048</t>
  </si>
  <si>
    <t>0703979705</t>
  </si>
  <si>
    <t>HADAD MAZZI LWAMBA</t>
  </si>
  <si>
    <t>0752570848</t>
  </si>
  <si>
    <t>0773432496</t>
  </si>
  <si>
    <t>HENRY EMMANUEL LWETABE NDIFUNA</t>
  </si>
  <si>
    <t>0772504991</t>
  </si>
  <si>
    <t>0700504991</t>
  </si>
  <si>
    <t>00200002027</t>
  </si>
  <si>
    <t>00200001975</t>
  </si>
  <si>
    <t>00200002008</t>
  </si>
  <si>
    <t>00100004349</t>
  </si>
  <si>
    <t>GRACE MAGOBA</t>
  </si>
  <si>
    <t>0704793810</t>
  </si>
  <si>
    <t>RONALD MAGEZI</t>
  </si>
  <si>
    <t>0701877147</t>
  </si>
  <si>
    <t>0792877417</t>
  </si>
  <si>
    <t>GERTRUDE KATUNDU</t>
  </si>
  <si>
    <t>0703570177</t>
  </si>
  <si>
    <t>JOHN WABYETA</t>
  </si>
  <si>
    <t>0753284563</t>
  </si>
  <si>
    <t>00200002028</t>
  </si>
  <si>
    <t>FRED KATONGOLE</t>
  </si>
  <si>
    <t>0705360329</t>
  </si>
  <si>
    <t>00200002012</t>
  </si>
  <si>
    <t>00200001904</t>
  </si>
  <si>
    <t>JANET NABALIIKA KASULE</t>
  </si>
  <si>
    <t>0772354360</t>
  </si>
  <si>
    <t>0704354360</t>
  </si>
  <si>
    <t>KENNETH KABANDA</t>
  </si>
  <si>
    <t>0706877955</t>
  </si>
  <si>
    <t>0732877955</t>
  </si>
  <si>
    <t>00200002075</t>
  </si>
  <si>
    <t>00100003214</t>
  </si>
  <si>
    <t>00200001683</t>
  </si>
  <si>
    <t>CHARLES OMONGOT</t>
  </si>
  <si>
    <t>0782015555</t>
  </si>
  <si>
    <t>STEPHEN BYAKATONDA</t>
  </si>
  <si>
    <t>0752449392</t>
  </si>
  <si>
    <t>TOM LULE</t>
  </si>
  <si>
    <t>0754858669</t>
  </si>
  <si>
    <t>00200002070</t>
  </si>
  <si>
    <t>00200002067</t>
  </si>
  <si>
    <t>MOSES KIBEDI</t>
  </si>
  <si>
    <t>0702165769</t>
  </si>
  <si>
    <t>ROBERT GALIWANGO SSEMPILI</t>
  </si>
  <si>
    <t>0774770519</t>
  </si>
  <si>
    <t>0756236974</t>
  </si>
  <si>
    <t>00200002071</t>
  </si>
  <si>
    <t>00200002045</t>
  </si>
  <si>
    <t>HERBERT SSEMPAKA</t>
  </si>
  <si>
    <t>0752401260</t>
  </si>
  <si>
    <t>0772401260</t>
  </si>
  <si>
    <t>JOHN WASSWA</t>
  </si>
  <si>
    <t>0752585272</t>
  </si>
  <si>
    <t>0777095415</t>
  </si>
  <si>
    <t>00100004370</t>
  </si>
  <si>
    <t>00200002061</t>
  </si>
  <si>
    <t>00200001608</t>
  </si>
  <si>
    <t>00100002241</t>
  </si>
  <si>
    <t>MUSITAFA KIMERA</t>
  </si>
  <si>
    <t>0772662881</t>
  </si>
  <si>
    <t>0702662881</t>
  </si>
  <si>
    <t>GIBON DANGA OYUGA</t>
  </si>
  <si>
    <t>00200002091</t>
  </si>
  <si>
    <t>JOSEPH KAMBUGU</t>
  </si>
  <si>
    <t>0752180240</t>
  </si>
  <si>
    <t>0773180240</t>
  </si>
  <si>
    <t>00200002057</t>
  </si>
  <si>
    <t>VINCENT KIBUUDE</t>
  </si>
  <si>
    <t>0782359584</t>
  </si>
  <si>
    <t>0706955438</t>
  </si>
  <si>
    <t>00200002023</t>
  </si>
  <si>
    <t>HENRY MUGARURA</t>
  </si>
  <si>
    <t>0772451357</t>
  </si>
  <si>
    <t>0702451357</t>
  </si>
  <si>
    <t>RICHARD SSALONGO MAYENGO</t>
  </si>
  <si>
    <t>0772980556</t>
  </si>
  <si>
    <t>0702980556</t>
  </si>
  <si>
    <t>ANNET SSEMBATYA NANTEZA</t>
  </si>
  <si>
    <t>0772503142</t>
  </si>
  <si>
    <t>0705503123</t>
  </si>
  <si>
    <t>00200001985</t>
  </si>
  <si>
    <t>RUTH LUBEGA</t>
  </si>
  <si>
    <t>0704805980</t>
  </si>
  <si>
    <t>0782328423</t>
  </si>
  <si>
    <t>00200002084</t>
  </si>
  <si>
    <t>BONNIE KAMUKAMA</t>
  </si>
  <si>
    <t>0772651018</t>
  </si>
  <si>
    <t>0704292195</t>
  </si>
  <si>
    <t>00100004382</t>
  </si>
  <si>
    <t>ANDREW ABITEKANIZA</t>
  </si>
  <si>
    <t>0704904952</t>
  </si>
  <si>
    <t>00200002143</t>
  </si>
  <si>
    <t>ROBERT PAUL SEBUGWAWO</t>
  </si>
  <si>
    <t>0776417525</t>
  </si>
  <si>
    <t>0701417525</t>
  </si>
  <si>
    <t>00200001550</t>
  </si>
  <si>
    <t>00200002095</t>
  </si>
  <si>
    <t>MUZAMIRU KISUYI</t>
  </si>
  <si>
    <t>0701381122</t>
  </si>
  <si>
    <t>0775619225</t>
  </si>
  <si>
    <t>BADRU MUBIRU</t>
  </si>
  <si>
    <t>0772615441</t>
  </si>
  <si>
    <t>0700137922</t>
  </si>
  <si>
    <t>00200000504</t>
  </si>
  <si>
    <t>00200001994</t>
  </si>
  <si>
    <t>JOHN SSIIMWE</t>
  </si>
  <si>
    <t>0772667634</t>
  </si>
  <si>
    <t>0752667634</t>
  </si>
  <si>
    <t>JOHN NYAMOKA OCHIENG</t>
  </si>
  <si>
    <t>0772436471</t>
  </si>
  <si>
    <t>0758436471</t>
  </si>
  <si>
    <t>00100004387</t>
  </si>
  <si>
    <t>00200002139</t>
  </si>
  <si>
    <t>FRED SSENTONGO MUGERWA</t>
  </si>
  <si>
    <t>0702079335</t>
  </si>
  <si>
    <t>0775233495</t>
  </si>
  <si>
    <t>AMINA NAKISINDE</t>
  </si>
  <si>
    <t>0785676072</t>
  </si>
  <si>
    <t>00100004386</t>
  </si>
  <si>
    <t>00100004400</t>
  </si>
  <si>
    <t>HENRY NDEGE</t>
  </si>
  <si>
    <t>0772424350</t>
  </si>
  <si>
    <t>0751136097</t>
  </si>
  <si>
    <t>BETTY KASULE</t>
  </si>
  <si>
    <t>0772383967</t>
  </si>
  <si>
    <t>00200002156</t>
  </si>
  <si>
    <t>00100002998</t>
  </si>
  <si>
    <t>00200002130</t>
  </si>
  <si>
    <t>00200002157</t>
  </si>
  <si>
    <t>00200002158</t>
  </si>
  <si>
    <t>00100004401</t>
  </si>
  <si>
    <t>00200002173</t>
  </si>
  <si>
    <t>00200000017</t>
  </si>
  <si>
    <t>GEORGE MAYANJA</t>
  </si>
  <si>
    <t>0772479210</t>
  </si>
  <si>
    <t>0758402250</t>
  </si>
  <si>
    <t>SHAKIRA NABIRYE</t>
  </si>
  <si>
    <t>0774114721</t>
  </si>
  <si>
    <t>MOSES KASUJJA</t>
  </si>
  <si>
    <t>0782196431</t>
  </si>
  <si>
    <t>MUZAMIRU KIRUNDA BWIRE</t>
  </si>
  <si>
    <t>0774058570</t>
  </si>
  <si>
    <t>0750609468</t>
  </si>
  <si>
    <t>JOSEPH WAMUKANGU MUTSONGO</t>
  </si>
  <si>
    <t>0752487173</t>
  </si>
  <si>
    <t>078502311</t>
  </si>
  <si>
    <t>FRED KATENDE</t>
  </si>
  <si>
    <t>0782914782</t>
  </si>
  <si>
    <t>0758696171</t>
  </si>
  <si>
    <t>RITAH AMOIT</t>
  </si>
  <si>
    <t>0706595418</t>
  </si>
  <si>
    <t>NANGOBI JESCA WABITEREZA</t>
  </si>
  <si>
    <t>0755634213</t>
  </si>
  <si>
    <t>00100004393</t>
  </si>
  <si>
    <t>00200002153</t>
  </si>
  <si>
    <t>00100004377</t>
  </si>
  <si>
    <t>00200002160</t>
  </si>
  <si>
    <t>00200002161</t>
  </si>
  <si>
    <t>EDITH KAYAGA MUYONJO</t>
  </si>
  <si>
    <t>0775216609</t>
  </si>
  <si>
    <t>LYDIA NAMUJJU</t>
  </si>
  <si>
    <t>0781692121</t>
  </si>
  <si>
    <t>KABONGE SAMUEL MUKASA</t>
  </si>
  <si>
    <t>0782489074</t>
  </si>
  <si>
    <t>0751489971</t>
  </si>
  <si>
    <t>WILLY KATAMA</t>
  </si>
  <si>
    <t>0702850668</t>
  </si>
  <si>
    <t>0775610492</t>
  </si>
  <si>
    <t>PAUL NYONYINTONO</t>
  </si>
  <si>
    <t>0785360577</t>
  </si>
  <si>
    <t>0757934987</t>
  </si>
  <si>
    <t>00200002088</t>
  </si>
  <si>
    <t>CHARLES NKOOTO</t>
  </si>
  <si>
    <t>0759485183</t>
  </si>
  <si>
    <t>00100004404</t>
  </si>
  <si>
    <t>00100003006</t>
  </si>
  <si>
    <t>00200002163</t>
  </si>
  <si>
    <t>00200002186</t>
  </si>
  <si>
    <t>00100004408</t>
  </si>
  <si>
    <t>00100004392</t>
  </si>
  <si>
    <t>00200002189</t>
  </si>
  <si>
    <t>FLORENCE KUGONZA KYOLABA</t>
  </si>
  <si>
    <t>077260552</t>
  </si>
  <si>
    <t>0775605512</t>
  </si>
  <si>
    <t>FRED KITIMBO</t>
  </si>
  <si>
    <t>0757997424</t>
  </si>
  <si>
    <t>0772868528</t>
  </si>
  <si>
    <t>FLORENCE NAKATO</t>
  </si>
  <si>
    <t>07829399890</t>
  </si>
  <si>
    <t>0705861101</t>
  </si>
  <si>
    <t>0700854300</t>
  </si>
  <si>
    <t>BRENDA NANYONJO</t>
  </si>
  <si>
    <t>0702667510</t>
  </si>
  <si>
    <t>0712667510</t>
  </si>
  <si>
    <t>REGINA MIREMBE NAMBI</t>
  </si>
  <si>
    <t>0752656275</t>
  </si>
  <si>
    <t>0704604289</t>
  </si>
  <si>
    <t>GLADES NUWAHEREZA</t>
  </si>
  <si>
    <t>0778386033</t>
  </si>
  <si>
    <t>0701908222</t>
  </si>
  <si>
    <t>00100004357</t>
  </si>
  <si>
    <t>GODFREY NSUBUGA</t>
  </si>
  <si>
    <t>0772445147</t>
  </si>
  <si>
    <t>0752445147</t>
  </si>
  <si>
    <t>00100003182</t>
  </si>
  <si>
    <t>Motorcycle Dealers</t>
  </si>
  <si>
    <t>00100004406</t>
  </si>
  <si>
    <t>00200002132</t>
  </si>
  <si>
    <t>00100004395</t>
  </si>
  <si>
    <t>BOB JOHN KASULE</t>
  </si>
  <si>
    <t>0703353340</t>
  </si>
  <si>
    <t>SAFINAH BABIRYE</t>
  </si>
  <si>
    <t>0706642117</t>
  </si>
  <si>
    <t>FRANCIS MUWANGA KIWANUKA</t>
  </si>
  <si>
    <t>0752669128</t>
  </si>
  <si>
    <t>0786058186</t>
  </si>
  <si>
    <t>RONALD KAKANDE</t>
  </si>
  <si>
    <t>0704320284</t>
  </si>
  <si>
    <t>0782009594</t>
  </si>
  <si>
    <t>00200002165</t>
  </si>
  <si>
    <t>00200001596</t>
  </si>
  <si>
    <t>00200002194</t>
  </si>
  <si>
    <t>00100004415</t>
  </si>
  <si>
    <t>00100003199</t>
  </si>
  <si>
    <t>GERTRUDE NAAZI</t>
  </si>
  <si>
    <t>0772411363</t>
  </si>
  <si>
    <t>PAULINE MUMBEJJA NANDAULA</t>
  </si>
  <si>
    <t>0755443735</t>
  </si>
  <si>
    <t>EDWARD LWANGA</t>
  </si>
  <si>
    <t>0759255542</t>
  </si>
  <si>
    <t>0772333370</t>
  </si>
  <si>
    <t>EDITH KUNIHIRA</t>
  </si>
  <si>
    <t>0772653093</t>
  </si>
  <si>
    <t>0704999726</t>
  </si>
  <si>
    <t>SARAH KAKOOZA</t>
  </si>
  <si>
    <t>0777396282</t>
  </si>
  <si>
    <t>0702046006</t>
  </si>
  <si>
    <t>00200002196</t>
  </si>
  <si>
    <t>00200002201</t>
  </si>
  <si>
    <t>ARTHUR MUYINZA</t>
  </si>
  <si>
    <t>0756104800</t>
  </si>
  <si>
    <t>0771066992</t>
  </si>
  <si>
    <t>ANGELLA BIYINZIKA</t>
  </si>
  <si>
    <t>0753811130</t>
  </si>
  <si>
    <t>0782811130</t>
  </si>
  <si>
    <t>00200002176</t>
  </si>
  <si>
    <t>00200002137</t>
  </si>
  <si>
    <t>00200002007</t>
  </si>
  <si>
    <t>00100004424</t>
  </si>
  <si>
    <t>00200001611</t>
  </si>
  <si>
    <t>UMAR TAMALE</t>
  </si>
  <si>
    <t>0784165221</t>
  </si>
  <si>
    <t>CHARLES NSUBUGA</t>
  </si>
  <si>
    <t>0782906651</t>
  </si>
  <si>
    <t>0756714239</t>
  </si>
  <si>
    <t>JAMILAH NAMATOVU</t>
  </si>
  <si>
    <t>0774659965</t>
  </si>
  <si>
    <t>0705350168</t>
  </si>
  <si>
    <t>SYLIVIA NABAWESI</t>
  </si>
  <si>
    <t>0779909371</t>
  </si>
  <si>
    <t>PAUL JOASH KAGAWA</t>
  </si>
  <si>
    <t>0782496909</t>
  </si>
  <si>
    <t>0759345548</t>
  </si>
  <si>
    <t>00200002193</t>
  </si>
  <si>
    <t>Textiles</t>
  </si>
  <si>
    <t>00100004419</t>
  </si>
  <si>
    <t>00200002198</t>
  </si>
  <si>
    <t>00200002068</t>
  </si>
  <si>
    <t>00100003137</t>
  </si>
  <si>
    <t>00200002230</t>
  </si>
  <si>
    <t>00200002168</t>
  </si>
  <si>
    <t>00200002234</t>
  </si>
  <si>
    <t>ROGERS KIGOZI</t>
  </si>
  <si>
    <t>0781500018</t>
  </si>
  <si>
    <t>ALEX TOPACHO ORYEMA</t>
  </si>
  <si>
    <t>0772871866</t>
  </si>
  <si>
    <t>PATRICK KIWANUKA</t>
  </si>
  <si>
    <t>0757616453</t>
  </si>
  <si>
    <t>0783970639</t>
  </si>
  <si>
    <t>JOAN BWIRE NANTONGO</t>
  </si>
  <si>
    <t>0703558100</t>
  </si>
  <si>
    <t>0775974524</t>
  </si>
  <si>
    <t>FLORENCE WANIRWOTH</t>
  </si>
  <si>
    <t>0704586472</t>
  </si>
  <si>
    <t>GLORIA ATUHAIRE</t>
  </si>
  <si>
    <t>0775287704</t>
  </si>
  <si>
    <t>0751202425</t>
  </si>
  <si>
    <t>FELIX MUTEBI KIYEGGA</t>
  </si>
  <si>
    <t>0784637766</t>
  </si>
  <si>
    <t>0759328701</t>
  </si>
  <si>
    <t>GERALD MUBIRU</t>
  </si>
  <si>
    <t>0772483998</t>
  </si>
  <si>
    <t>00200002078</t>
  </si>
  <si>
    <t>00200002124</t>
  </si>
  <si>
    <t>00200002188</t>
  </si>
  <si>
    <t>ANNETTE KAZIBWE</t>
  </si>
  <si>
    <t>0772607426</t>
  </si>
  <si>
    <t>ALEX NABAASA</t>
  </si>
  <si>
    <t>0782940200</t>
  </si>
  <si>
    <t>0702960703</t>
  </si>
  <si>
    <t>RONALD KAZIBWE</t>
  </si>
  <si>
    <t>0701620862</t>
  </si>
  <si>
    <t>0776620862</t>
  </si>
  <si>
    <t>00200002221</t>
  </si>
  <si>
    <t>00200002183</t>
  </si>
  <si>
    <t>NORAH SEMUTOOKE KAWALYA</t>
  </si>
  <si>
    <t>0772309500</t>
  </si>
  <si>
    <t>0702005944</t>
  </si>
  <si>
    <t>HUSSEIN KALIIKA</t>
  </si>
  <si>
    <t>0776992234</t>
  </si>
  <si>
    <t>0702821021</t>
  </si>
  <si>
    <t>Pharmacies &amp; Drug Stores</t>
  </si>
  <si>
    <t>00200002245</t>
  </si>
  <si>
    <t>00100004447</t>
  </si>
  <si>
    <t>ERON BUKIRWA KIGOZI</t>
  </si>
  <si>
    <t>0706090518</t>
  </si>
  <si>
    <t>RONALD SSEMBUUSI</t>
  </si>
  <si>
    <t>0701843601</t>
  </si>
  <si>
    <t>07792877013</t>
  </si>
  <si>
    <t>00100004443</t>
  </si>
  <si>
    <t>EDRIS MICHAEL KIRUNDA</t>
  </si>
  <si>
    <t>0776497329</t>
  </si>
  <si>
    <t>00200002246</t>
  </si>
  <si>
    <t>00200002185</t>
  </si>
  <si>
    <t>00200002243</t>
  </si>
  <si>
    <t>MOSES SSENKAYA</t>
  </si>
  <si>
    <t>0705374962</t>
  </si>
  <si>
    <t>ABUDUR MUGISHA MUYANJA</t>
  </si>
  <si>
    <t>0759982286</t>
  </si>
  <si>
    <t>0775339356</t>
  </si>
  <si>
    <t>JOHN MWESIGYE</t>
  </si>
  <si>
    <t>0754237826</t>
  </si>
  <si>
    <t>0781623030</t>
  </si>
  <si>
    <t>Best Month May 2016</t>
  </si>
  <si>
    <t>00100004448</t>
  </si>
  <si>
    <t>AISHA NAKIBUUKA</t>
  </si>
  <si>
    <t>0782061629</t>
  </si>
  <si>
    <t>0700339239</t>
  </si>
  <si>
    <t>00200002247</t>
  </si>
  <si>
    <t>00200002253</t>
  </si>
  <si>
    <t>SIMON PETER MAGALA</t>
  </si>
  <si>
    <t>0772338564</t>
  </si>
  <si>
    <t>0700488655</t>
  </si>
  <si>
    <t>EUNICE ACHIEN</t>
  </si>
  <si>
    <t>0702129994</t>
  </si>
  <si>
    <t>0785668657</t>
  </si>
  <si>
    <t>00200002181</t>
  </si>
  <si>
    <t>00200000907</t>
  </si>
  <si>
    <t>00200002252</t>
  </si>
  <si>
    <t>00100004457</t>
  </si>
  <si>
    <t>00100004336</t>
  </si>
  <si>
    <t>00100001814</t>
  </si>
  <si>
    <t>00200002254</t>
  </si>
  <si>
    <t>LAWRENCE BUKENYA</t>
  </si>
  <si>
    <t>0772464054</t>
  </si>
  <si>
    <t>JACK KATUMWA BUNYA</t>
  </si>
  <si>
    <t>0772407478</t>
  </si>
  <si>
    <t>0702407478</t>
  </si>
  <si>
    <t>BALIKUDDEMBE SSEBANDEKE</t>
  </si>
  <si>
    <t>0774516706</t>
  </si>
  <si>
    <t>0751516706</t>
  </si>
  <si>
    <t>CHARLES KAIZIRE</t>
  </si>
  <si>
    <t>0772488338</t>
  </si>
  <si>
    <t>0705288338</t>
  </si>
  <si>
    <t>LAWRENCE OPIO</t>
  </si>
  <si>
    <t>0775323450</t>
  </si>
  <si>
    <t>KEZIAH NAMBAZIIRA ZZIWA</t>
  </si>
  <si>
    <t>0776292201</t>
  </si>
  <si>
    <t>0701292201</t>
  </si>
  <si>
    <t>REGINA NAKATO</t>
  </si>
  <si>
    <t>0779903569</t>
  </si>
  <si>
    <t>00100004456</t>
  </si>
  <si>
    <t>00100004467</t>
  </si>
  <si>
    <t>TONNY SSEBUNYA</t>
  </si>
  <si>
    <t>0772653998</t>
  </si>
  <si>
    <t>07016539981</t>
  </si>
  <si>
    <t>RONALD MUBIRU</t>
  </si>
  <si>
    <t>0774301706</t>
  </si>
  <si>
    <t>0704923093</t>
  </si>
  <si>
    <t>00100003566</t>
  </si>
  <si>
    <t>STEPHEN KUTEESA</t>
  </si>
  <si>
    <t>0702363708</t>
  </si>
  <si>
    <t>0782638190</t>
  </si>
  <si>
    <t>00100004458</t>
  </si>
  <si>
    <t>00100004460</t>
  </si>
  <si>
    <t>00200002280</t>
  </si>
  <si>
    <t>PROSCOVIA NABAKOOZA</t>
  </si>
  <si>
    <t>0758999964</t>
  </si>
  <si>
    <t>0772864730</t>
  </si>
  <si>
    <t>MOSES BITAGASE</t>
  </si>
  <si>
    <t>075286047</t>
  </si>
  <si>
    <t>0775525549</t>
  </si>
  <si>
    <t>KAISHO IDA KWESIGA MAY</t>
  </si>
  <si>
    <t>0772673244</t>
  </si>
  <si>
    <t>00200002107</t>
  </si>
  <si>
    <t>00200002272</t>
  </si>
  <si>
    <t>00200000081</t>
  </si>
  <si>
    <t>00200000037</t>
  </si>
  <si>
    <t>SULAIMAN SEMBATYA</t>
  </si>
  <si>
    <t>0753061582</t>
  </si>
  <si>
    <t>DENNIS MWAMBALA</t>
  </si>
  <si>
    <t>0785938169</t>
  </si>
  <si>
    <t>0791333112</t>
  </si>
  <si>
    <t>EMMANUEL SSENYONDO</t>
  </si>
  <si>
    <t>0773956782</t>
  </si>
  <si>
    <t>0703944793</t>
  </si>
  <si>
    <t>FREEMAN CRISPUS</t>
  </si>
  <si>
    <t>0788072315</t>
  </si>
  <si>
    <t>0702789702</t>
  </si>
  <si>
    <t>00200002274</t>
  </si>
  <si>
    <t>HARRIET KIBIRIGE</t>
  </si>
  <si>
    <t>0753474307</t>
  </si>
  <si>
    <t>0772474507</t>
  </si>
  <si>
    <t>00100004432</t>
  </si>
  <si>
    <t>00200002279</t>
  </si>
  <si>
    <t>00200000073</t>
  </si>
  <si>
    <t>MEBLE PAMBA</t>
  </si>
  <si>
    <t>0777729919</t>
  </si>
  <si>
    <t>ISSA YUSUF MUGERWA</t>
  </si>
  <si>
    <t>0752984533</t>
  </si>
  <si>
    <t>0776984533</t>
  </si>
  <si>
    <t>0751297101</t>
  </si>
  <si>
    <t>00200002282</t>
  </si>
  <si>
    <t>00200002275</t>
  </si>
  <si>
    <t>00100004446</t>
  </si>
  <si>
    <t>00100001375</t>
  </si>
  <si>
    <t>MICHEAL SEBUWUFU</t>
  </si>
  <si>
    <t>0774508847</t>
  </si>
  <si>
    <t>0752508847</t>
  </si>
  <si>
    <t>GODFREY MUTEBI</t>
  </si>
  <si>
    <t>0783636074</t>
  </si>
  <si>
    <t>RICHARD SERUNYIGO MUTEBI</t>
  </si>
  <si>
    <t>0752845076</t>
  </si>
  <si>
    <t>0712845076</t>
  </si>
  <si>
    <t>HENRY JOE KIBUUKA</t>
  </si>
  <si>
    <t>0701773270</t>
  </si>
  <si>
    <t>0772932243</t>
  </si>
  <si>
    <t>00200002281</t>
  </si>
  <si>
    <t>00200002089</t>
  </si>
  <si>
    <t>00200002273</t>
  </si>
  <si>
    <t>00200002286</t>
  </si>
  <si>
    <t>00200002258</t>
  </si>
  <si>
    <t>00200002288</t>
  </si>
  <si>
    <t>00200002303</t>
  </si>
  <si>
    <t>00100004463</t>
  </si>
  <si>
    <t>ADRIAN SSEKYANZI</t>
  </si>
  <si>
    <t>0772945178</t>
  </si>
  <si>
    <t>0751945178</t>
  </si>
  <si>
    <t>MOSES EDIOMU</t>
  </si>
  <si>
    <t>0775357251</t>
  </si>
  <si>
    <t>SLVIA NALUKYAMUZI</t>
  </si>
  <si>
    <t>0703607171</t>
  </si>
  <si>
    <t>0775307366</t>
  </si>
  <si>
    <t>HANAH KATUNGULU</t>
  </si>
  <si>
    <t>0774195026</t>
  </si>
  <si>
    <t>0700956447</t>
  </si>
  <si>
    <t>RAMADHAN BYARUBASIKA</t>
  </si>
  <si>
    <t>0758000010</t>
  </si>
  <si>
    <t>0785037355</t>
  </si>
  <si>
    <t>BADIRU KIMBUGWE</t>
  </si>
  <si>
    <t>0752646643</t>
  </si>
  <si>
    <t>0783251566</t>
  </si>
  <si>
    <t>ANNET NALWANGA</t>
  </si>
  <si>
    <t>0774254208</t>
  </si>
  <si>
    <t>SARAH NABUKENYA</t>
  </si>
  <si>
    <t>0703476859</t>
  </si>
  <si>
    <t>00100000872</t>
  </si>
  <si>
    <t>00200002268</t>
  </si>
  <si>
    <t>00100000873</t>
  </si>
  <si>
    <t>HAMISI MUWANGA</t>
  </si>
  <si>
    <t>0774316467</t>
  </si>
  <si>
    <t>0705316467</t>
  </si>
  <si>
    <t>MOSES SEMWOGERERE</t>
  </si>
  <si>
    <t>0392944595</t>
  </si>
  <si>
    <t>0782434660</t>
  </si>
  <si>
    <t>0702333006</t>
  </si>
  <si>
    <t>PROSSY MUKASA</t>
  </si>
  <si>
    <t>0782079082</t>
  </si>
  <si>
    <t>00200002220</t>
  </si>
  <si>
    <t>00100004483</t>
  </si>
  <si>
    <t>00100004495</t>
  </si>
  <si>
    <t>00200002295</t>
  </si>
  <si>
    <t>00200002174</t>
  </si>
  <si>
    <t>LUCY FRIDAY MBABAZI</t>
  </si>
  <si>
    <t>0701213700</t>
  </si>
  <si>
    <t>IRENE LUWEDDE</t>
  </si>
  <si>
    <t>0756317269</t>
  </si>
  <si>
    <t>GRACE NABAKABYA</t>
  </si>
  <si>
    <t>0777190566</t>
  </si>
  <si>
    <t>ESEREDA NYAMUKAMA</t>
  </si>
  <si>
    <t>0702900240</t>
  </si>
  <si>
    <t>0782238854</t>
  </si>
  <si>
    <t>GRACE KAHUNDE KALIISA</t>
  </si>
  <si>
    <t>0772620681</t>
  </si>
  <si>
    <t>0757875709</t>
  </si>
  <si>
    <t>00100004475</t>
  </si>
  <si>
    <t>00100002915</t>
  </si>
  <si>
    <t>00200002228</t>
  </si>
  <si>
    <t>00100003901</t>
  </si>
  <si>
    <t>00200002304</t>
  </si>
  <si>
    <t>00200002292</t>
  </si>
  <si>
    <t>ISAAC KIWANDA</t>
  </si>
  <si>
    <t>0702252383</t>
  </si>
  <si>
    <t>JACKSON KITAKULE</t>
  </si>
  <si>
    <t>0772432033</t>
  </si>
  <si>
    <t>FRANK KAGGA</t>
  </si>
  <si>
    <t>0788526609</t>
  </si>
  <si>
    <t>DAVID LUBWAMA</t>
  </si>
  <si>
    <t>0756619362</t>
  </si>
  <si>
    <t>0774619362</t>
  </si>
  <si>
    <t>ALOZIO KASOZI</t>
  </si>
  <si>
    <t>0772574219</t>
  </si>
  <si>
    <t>SIRAJE KAKANDE</t>
  </si>
  <si>
    <t>0772302826</t>
  </si>
  <si>
    <t>0702302826</t>
  </si>
  <si>
    <t>00200001265</t>
  </si>
  <si>
    <t>00200002310</t>
  </si>
  <si>
    <t>OLIVER SSENDEGE NAMAYANJA</t>
  </si>
  <si>
    <t>0774700246</t>
  </si>
  <si>
    <t>SARAH WABLEMBO MUKISA</t>
  </si>
  <si>
    <t>0776383630</t>
  </si>
  <si>
    <t>00200002285</t>
  </si>
  <si>
    <t>SWAIB KYANDA WALUGEMBE</t>
  </si>
  <si>
    <t>0772564979</t>
  </si>
  <si>
    <t>0704564979</t>
  </si>
  <si>
    <t>00100004390</t>
  </si>
  <si>
    <t>BRUCE MUSOBYA</t>
  </si>
  <si>
    <t>0752333758</t>
  </si>
  <si>
    <t>0706333758</t>
  </si>
  <si>
    <t>0772607456</t>
  </si>
  <si>
    <t>MUKONO</t>
  </si>
  <si>
    <t>ATURYAMUBUGANA</t>
  </si>
  <si>
    <t>SKATENDE</t>
  </si>
  <si>
    <t>DONGODIA</t>
  </si>
  <si>
    <t>EMUBAJE</t>
  </si>
  <si>
    <t>00100004490</t>
  </si>
  <si>
    <t>MOHAMMED KAWEESA WALUSIMBI</t>
  </si>
  <si>
    <t>0701310179</t>
  </si>
  <si>
    <t>0772310179</t>
  </si>
  <si>
    <t>00100004489</t>
  </si>
  <si>
    <t>00200002328</t>
  </si>
  <si>
    <t>00200002322</t>
  </si>
  <si>
    <t>00100004480</t>
  </si>
  <si>
    <t>00200002287</t>
  </si>
  <si>
    <t>00200002321</t>
  </si>
  <si>
    <t>LIVINGSTONE BAKOJJA</t>
  </si>
  <si>
    <t>0773294641</t>
  </si>
  <si>
    <t>PHIONA KABIIKIRA</t>
  </si>
  <si>
    <t>0754253249</t>
  </si>
  <si>
    <t>JOSEPH KIVUMBI</t>
  </si>
  <si>
    <t>0701586462</t>
  </si>
  <si>
    <t>0772586462</t>
  </si>
  <si>
    <t>JOSEPH BUKENYA</t>
  </si>
  <si>
    <t>0754633549</t>
  </si>
  <si>
    <t>BABRA NAMALE MERCY</t>
  </si>
  <si>
    <t>0704090011</t>
  </si>
  <si>
    <t>MARGARET NABUKALU</t>
  </si>
  <si>
    <t>0776406521</t>
  </si>
  <si>
    <t>0756406521</t>
  </si>
  <si>
    <t>Par 1</t>
  </si>
  <si>
    <t>Par 1 %</t>
  </si>
  <si>
    <t>Par 30</t>
  </si>
  <si>
    <t xml:space="preserve">Par 30 % </t>
  </si>
  <si>
    <t>Par 90</t>
  </si>
  <si>
    <t xml:space="preserve">Par 90 % </t>
  </si>
  <si>
    <t>Par 180</t>
  </si>
  <si>
    <t xml:space="preserve">Par 180 % </t>
  </si>
  <si>
    <t>Code CLient</t>
  </si>
  <si>
    <t>NOM_CLIENTE</t>
  </si>
  <si>
    <t>TEL_PRINCIPAL</t>
  </si>
  <si>
    <t>00200002332</t>
  </si>
  <si>
    <t>00100002287</t>
  </si>
  <si>
    <t>Commercial Banks</t>
  </si>
  <si>
    <t>CATHERINE KIWUMULO</t>
  </si>
  <si>
    <t>0701646470</t>
  </si>
  <si>
    <t>JULIUS KIIZA</t>
  </si>
  <si>
    <t>0772458656</t>
  </si>
  <si>
    <t>0701243863</t>
  </si>
  <si>
    <t>00100004498</t>
  </si>
  <si>
    <t>00200002109</t>
  </si>
  <si>
    <t>SAKKA MIRUNDI</t>
  </si>
  <si>
    <t>0779768512</t>
  </si>
  <si>
    <t>SOLOMON KASIBANTE</t>
  </si>
  <si>
    <t>0752186821</t>
  </si>
  <si>
    <t>0782186821</t>
  </si>
  <si>
    <t>00100004511</t>
  </si>
  <si>
    <t>00100004399</t>
  </si>
  <si>
    <t>00200002333</t>
  </si>
  <si>
    <t>00200002319</t>
  </si>
  <si>
    <t>CHRISTINE KATWE NALUBEGA</t>
  </si>
  <si>
    <t>077268197</t>
  </si>
  <si>
    <t>GODFREY MUYOMBA</t>
  </si>
  <si>
    <t>0772668201</t>
  </si>
  <si>
    <t>VIOLA RWIGAMBA</t>
  </si>
  <si>
    <t>0793925633</t>
  </si>
  <si>
    <t>0752004207</t>
  </si>
  <si>
    <t>NOBERT KOYESIGA</t>
  </si>
  <si>
    <t>0702614209</t>
  </si>
  <si>
    <t>0717812388</t>
  </si>
  <si>
    <t>00100000337</t>
  </si>
  <si>
    <t>ELIZABETH NAMARAH</t>
  </si>
  <si>
    <t>0782744724</t>
  </si>
  <si>
    <t>00100004497</t>
  </si>
  <si>
    <t>00200002334</t>
  </si>
  <si>
    <t>GODFREY TIBESIGWA</t>
  </si>
  <si>
    <t>0772618311</t>
  </si>
  <si>
    <t>070286471</t>
  </si>
  <si>
    <t>BETTY NAKYAGABA</t>
  </si>
  <si>
    <t>0751175603</t>
  </si>
  <si>
    <t>00100004491</t>
  </si>
  <si>
    <t>00200002339</t>
  </si>
  <si>
    <t>MADINA NAKIYIMBA</t>
  </si>
  <si>
    <t>0703201685</t>
  </si>
  <si>
    <t>PEACE BUHAMIZO KAMUGISHA</t>
  </si>
  <si>
    <t>0704543803</t>
  </si>
  <si>
    <t>0779557798</t>
  </si>
  <si>
    <t>00200002343</t>
  </si>
  <si>
    <t>00200000360</t>
  </si>
  <si>
    <t>JEAN KASOZI</t>
  </si>
  <si>
    <t>0752961670</t>
  </si>
  <si>
    <t>0751990631</t>
  </si>
  <si>
    <t>HALUNAH KITENDA</t>
  </si>
  <si>
    <t>0772518352</t>
  </si>
  <si>
    <t>00200002347</t>
  </si>
  <si>
    <t>00200002369</t>
  </si>
  <si>
    <t>00200002363</t>
  </si>
  <si>
    <t>00100004513</t>
  </si>
  <si>
    <t>00200002357</t>
  </si>
  <si>
    <t>00200002325</t>
  </si>
  <si>
    <t>GERVASE BIRUNGI</t>
  </si>
  <si>
    <t>077244538</t>
  </si>
  <si>
    <t>0703515333</t>
  </si>
  <si>
    <t>RONALD KALYAMAGWA JJUUKO</t>
  </si>
  <si>
    <t>0782336317</t>
  </si>
  <si>
    <t>0704907090</t>
  </si>
  <si>
    <t>HARRIET NAMATTA</t>
  </si>
  <si>
    <t>0772378465</t>
  </si>
  <si>
    <t>BBALE UMARU SSEREMBA</t>
  </si>
  <si>
    <t>0772422417</t>
  </si>
  <si>
    <t>0752077400</t>
  </si>
  <si>
    <t>MALUSI KOBUSINGYE</t>
  </si>
  <si>
    <t>0703463338</t>
  </si>
  <si>
    <t>0782463338</t>
  </si>
  <si>
    <t>PHINE NKULIYE</t>
  </si>
  <si>
    <t>0772565899</t>
  </si>
  <si>
    <t>00200002361</t>
  </si>
  <si>
    <t>00100004519</t>
  </si>
  <si>
    <t>00200000137</t>
  </si>
  <si>
    <t>00200002354</t>
  </si>
  <si>
    <t>0772330568</t>
  </si>
  <si>
    <t>ENOCK NYENDE</t>
  </si>
  <si>
    <t>0704927947</t>
  </si>
  <si>
    <t>0779211404</t>
  </si>
  <si>
    <t>SILVESTER SSERUNJOGI</t>
  </si>
  <si>
    <t>0782392202</t>
  </si>
  <si>
    <t>0700308490</t>
  </si>
  <si>
    <t>HADIJAH NASSANGA</t>
  </si>
  <si>
    <t>0772648784</t>
  </si>
  <si>
    <t>ROBERT MPONYE</t>
  </si>
  <si>
    <t>0754031629</t>
  </si>
  <si>
    <t>00200002353</t>
  </si>
  <si>
    <t>00200002047</t>
  </si>
  <si>
    <t>00100004517</t>
  </si>
  <si>
    <t>RUTH NALUBEGA</t>
  </si>
  <si>
    <t>0772430892</t>
  </si>
  <si>
    <t>0702430892</t>
  </si>
  <si>
    <t>BARBRA NALWADDA</t>
  </si>
  <si>
    <t>0772866403</t>
  </si>
  <si>
    <t>0701254844</t>
  </si>
  <si>
    <t>DENIS SSEBUNYA</t>
  </si>
  <si>
    <t>0774721637</t>
  </si>
  <si>
    <t>0753021789</t>
  </si>
  <si>
    <t>MUKONO  Total</t>
  </si>
  <si>
    <t>NANSANA Total</t>
  </si>
  <si>
    <t>00200002352</t>
  </si>
  <si>
    <t>DAVIS MUTENGA</t>
  </si>
  <si>
    <t>0772407090</t>
  </si>
  <si>
    <t>0752383744</t>
  </si>
  <si>
    <t>00200000848</t>
  </si>
  <si>
    <t>00100004478</t>
  </si>
  <si>
    <t>00100002730</t>
  </si>
  <si>
    <t>00200000919</t>
  </si>
  <si>
    <t>Video Tape &amp; Disc Rental</t>
  </si>
  <si>
    <t>GERALD JEMBA</t>
  </si>
  <si>
    <t>0776850064</t>
  </si>
  <si>
    <t>LIVNGSTONE LWANGA</t>
  </si>
  <si>
    <t>07529773870</t>
  </si>
  <si>
    <t>EDWARD MBAZIIRA</t>
  </si>
  <si>
    <t>0702401445</t>
  </si>
  <si>
    <t>ASAPH OLWENY</t>
  </si>
  <si>
    <t>0752628685</t>
  </si>
  <si>
    <t>0783437278</t>
  </si>
  <si>
    <t>LNAMUYOMBA</t>
  </si>
  <si>
    <t>JEDOPU</t>
  </si>
  <si>
    <t>00200002051</t>
  </si>
  <si>
    <t>EVELYN HARRIET NASSUNA</t>
  </si>
  <si>
    <t>0772622671</t>
  </si>
  <si>
    <t>00200002370</t>
  </si>
  <si>
    <t>00200000008</t>
  </si>
  <si>
    <t>DENIS AMPEIRE</t>
  </si>
  <si>
    <t>0752229612</t>
  </si>
  <si>
    <t>0773229612</t>
  </si>
  <si>
    <t>00200002301</t>
  </si>
  <si>
    <t>SOLANTIS SOLAR LIMITED</t>
  </si>
  <si>
    <t>0782409152</t>
  </si>
  <si>
    <t>00200002300</t>
  </si>
  <si>
    <t>GEOFREY LWANGA</t>
  </si>
  <si>
    <t>0772545033</t>
  </si>
  <si>
    <t>0706145033</t>
  </si>
  <si>
    <t>00200002387</t>
  </si>
  <si>
    <t>00100002214</t>
  </si>
  <si>
    <t>ENOCH KIGOZI</t>
  </si>
  <si>
    <t>0773733617</t>
  </si>
  <si>
    <t>ROBERT SONKO</t>
  </si>
  <si>
    <t>0751018285</t>
  </si>
  <si>
    <t>0784947091</t>
  </si>
  <si>
    <t>00200000826</t>
  </si>
  <si>
    <t>00200002398</t>
  </si>
  <si>
    <t>JESCA CAROLINE LUBULWA</t>
  </si>
  <si>
    <t>0773112680</t>
  </si>
  <si>
    <t>0701290810</t>
  </si>
  <si>
    <t>KENNETH TURYOMURUWE</t>
  </si>
  <si>
    <t>0774704333</t>
  </si>
  <si>
    <t>0752532728</t>
  </si>
  <si>
    <t>BSCs</t>
  </si>
  <si>
    <t>00100004503</t>
  </si>
  <si>
    <t>YUSUF MULONDO</t>
  </si>
  <si>
    <t>0701590672</t>
  </si>
  <si>
    <t>0772590672</t>
  </si>
  <si>
    <t>ArchBishop Janan Luwum Day</t>
  </si>
  <si>
    <t>00200000021</t>
  </si>
  <si>
    <t>STELLA NAKAWEESA</t>
  </si>
  <si>
    <t>0774024946</t>
  </si>
  <si>
    <t>00200002385</t>
  </si>
  <si>
    <t>00200002314</t>
  </si>
  <si>
    <t>00100001435</t>
  </si>
  <si>
    <t>DEBORAH NAMUDDU</t>
  </si>
  <si>
    <t>0774747133</t>
  </si>
  <si>
    <t>0703759457</t>
  </si>
  <si>
    <t>BAKER KAVUMA</t>
  </si>
  <si>
    <t>0785731479</t>
  </si>
  <si>
    <t>0755708633</t>
  </si>
  <si>
    <t>MUSA MUTABAALI MUKOSE</t>
  </si>
  <si>
    <t>0772664997</t>
  </si>
  <si>
    <t>0701664997</t>
  </si>
  <si>
    <t>00200000911</t>
  </si>
  <si>
    <t>00200000534</t>
  </si>
  <si>
    <t>DOROTHY HASHAKA</t>
  </si>
  <si>
    <t>0781567699</t>
  </si>
  <si>
    <t>ABUD KAZIBWE</t>
  </si>
  <si>
    <t>0785024939</t>
  </si>
  <si>
    <t>00100002368</t>
  </si>
  <si>
    <t>00200002413</t>
  </si>
  <si>
    <t>WILFRED BLAIR RUGUMBA</t>
  </si>
  <si>
    <t>0772985959</t>
  </si>
  <si>
    <t>CHRISTOPHER MUGULA KIGONYA</t>
  </si>
  <si>
    <t>0772414275</t>
  </si>
  <si>
    <t>0702414275</t>
  </si>
  <si>
    <t>00200002446</t>
  </si>
  <si>
    <t>00200002435</t>
  </si>
  <si>
    <t>DAMALI NALWANGA</t>
  </si>
  <si>
    <t>0779352099</t>
  </si>
  <si>
    <t>MATEEGA MILLY NAKIBERU</t>
  </si>
  <si>
    <t>0704238852</t>
  </si>
  <si>
    <t>00200002423</t>
  </si>
  <si>
    <t>00200002403</t>
  </si>
  <si>
    <t>00200002412</t>
  </si>
  <si>
    <t>CKAWEESA</t>
  </si>
  <si>
    <t>JOSEPH MUTEBI</t>
  </si>
  <si>
    <t>0753954112</t>
  </si>
  <si>
    <t>0782090712</t>
  </si>
  <si>
    <t>DANIEL KAYANJA</t>
  </si>
  <si>
    <t>0706825559</t>
  </si>
  <si>
    <t>HABERT BAKENGA</t>
  </si>
  <si>
    <t>0782776543</t>
  </si>
  <si>
    <t>00100004417</t>
  </si>
  <si>
    <t>00100004534</t>
  </si>
  <si>
    <t>00200002368</t>
  </si>
  <si>
    <t>RICHARD SSEMUGOOMA KIWANUKA</t>
  </si>
  <si>
    <t>0785047278</t>
  </si>
  <si>
    <t>ASSUMPTA MARY NAKATAWA</t>
  </si>
  <si>
    <t>0772657311</t>
  </si>
  <si>
    <t>0752657311</t>
  </si>
  <si>
    <t>SPIRE KALIBBALA</t>
  </si>
  <si>
    <t>0785899545</t>
  </si>
  <si>
    <t>0704181207</t>
  </si>
  <si>
    <t>00200000578</t>
  </si>
  <si>
    <t>SUBADMINAGENT</t>
  </si>
  <si>
    <t>FELIX ISABIRYE MUBAGA</t>
  </si>
  <si>
    <t>0702834095</t>
  </si>
  <si>
    <t>0773259276</t>
  </si>
  <si>
    <t>00200002439</t>
  </si>
  <si>
    <t>00200000780</t>
  </si>
  <si>
    <t>RUTH NYETURIZE</t>
  </si>
  <si>
    <t>0775115950</t>
  </si>
  <si>
    <t>VINCENT YIGA LUBEGA</t>
  </si>
  <si>
    <t>0772441689</t>
  </si>
  <si>
    <t>00200002425</t>
  </si>
  <si>
    <t>ROBERT JACKSON NKUKE</t>
  </si>
  <si>
    <t>0712220390</t>
  </si>
  <si>
    <t>00200002360</t>
  </si>
  <si>
    <t>00200002453</t>
  </si>
  <si>
    <t>00100001682</t>
  </si>
  <si>
    <t>00200002455</t>
  </si>
  <si>
    <t>GRACE NAKIBIRIGE</t>
  </si>
  <si>
    <t>0701819985</t>
  </si>
  <si>
    <t>0783819985</t>
  </si>
  <si>
    <t>YOWERI BYABASHAIJA</t>
  </si>
  <si>
    <t>0783178668</t>
  </si>
  <si>
    <t>0702215175</t>
  </si>
  <si>
    <t>GLADYS NATUKUNDA</t>
  </si>
  <si>
    <t>0757216773</t>
  </si>
  <si>
    <t>0788852807</t>
  </si>
  <si>
    <t>MARGARET NANONO</t>
  </si>
  <si>
    <t>0772070491</t>
  </si>
  <si>
    <t>0774582466</t>
  </si>
  <si>
    <t>00200002432</t>
  </si>
  <si>
    <t>00200000033</t>
  </si>
  <si>
    <t>MARGRET KISEMBO</t>
  </si>
  <si>
    <t>0757705844</t>
  </si>
  <si>
    <t>JOANNE NAKABUNGO BAGANDA</t>
  </si>
  <si>
    <t>0782772717</t>
  </si>
  <si>
    <t>00200002390</t>
  </si>
  <si>
    <t>SOWEDI KATAMBA</t>
  </si>
  <si>
    <t>0701480919</t>
  </si>
  <si>
    <t>00200002456</t>
  </si>
  <si>
    <t>SAMUEL SSALONGO SSEMANDA</t>
  </si>
  <si>
    <t>0772829301</t>
  </si>
  <si>
    <t>00200001983</t>
  </si>
  <si>
    <t>00200002479</t>
  </si>
  <si>
    <t>00100004509</t>
  </si>
  <si>
    <t>JOHN ROBERT SENTEZA</t>
  </si>
  <si>
    <t>0774513496</t>
  </si>
  <si>
    <t>GHADAFI LUBOWA</t>
  </si>
  <si>
    <t>0755233356</t>
  </si>
  <si>
    <t>0705345571</t>
  </si>
  <si>
    <t>CHARLES MAGALA</t>
  </si>
  <si>
    <t>0772616036</t>
  </si>
  <si>
    <t>00200002471</t>
  </si>
  <si>
    <t>STEVEN LUKODA KIWANUKA</t>
  </si>
  <si>
    <t>0772497663</t>
  </si>
  <si>
    <t>0756176904</t>
  </si>
  <si>
    <t>00100002281</t>
  </si>
  <si>
    <t>DENNIS DAVIS BAMWESIGYE</t>
  </si>
  <si>
    <t>0757118138</t>
  </si>
  <si>
    <t>00200002494</t>
  </si>
  <si>
    <t>00200002458</t>
  </si>
  <si>
    <t>00200002468</t>
  </si>
  <si>
    <t>00200002421</t>
  </si>
  <si>
    <t>MAXENSIA KIZZA NAGAWA</t>
  </si>
  <si>
    <t>0752639088</t>
  </si>
  <si>
    <t>0776639088</t>
  </si>
  <si>
    <t>DENIS MUGISA</t>
  </si>
  <si>
    <t>0782517097</t>
  </si>
  <si>
    <t>0704517097</t>
  </si>
  <si>
    <t>ENOTH MUGWERI</t>
  </si>
  <si>
    <t>0755242267</t>
  </si>
  <si>
    <t>JULIET SSEBALAMU NAMUBIRU</t>
  </si>
  <si>
    <t>0782004982</t>
  </si>
  <si>
    <t>00200002501</t>
  </si>
  <si>
    <t>00200002443</t>
  </si>
  <si>
    <t>EDWARD SSEMPALA</t>
  </si>
  <si>
    <t>0754773122</t>
  </si>
  <si>
    <t>JULIUS KATAMBA</t>
  </si>
  <si>
    <t>0704773081</t>
  </si>
  <si>
    <t>00200002426</t>
  </si>
  <si>
    <t>00200001349</t>
  </si>
  <si>
    <t>LAWRENCE KAWUMA</t>
  </si>
  <si>
    <t>0705587780</t>
  </si>
  <si>
    <t>0773120561</t>
  </si>
  <si>
    <t>RONAH AMARA NABWIRE</t>
  </si>
  <si>
    <t>077446901</t>
  </si>
  <si>
    <t>00100004570</t>
  </si>
  <si>
    <t>00200002517</t>
  </si>
  <si>
    <t>00100004543</t>
  </si>
  <si>
    <t>HERBERT MARK MUGAMBWA</t>
  </si>
  <si>
    <t>0773131770</t>
  </si>
  <si>
    <t>SULAIMAN SSEMAKULA</t>
  </si>
  <si>
    <t>0701583513</t>
  </si>
  <si>
    <t>0776553735</t>
  </si>
  <si>
    <t>DOMINIC OPI</t>
  </si>
  <si>
    <t>0700999494</t>
  </si>
  <si>
    <t>0782494999</t>
  </si>
  <si>
    <t>00200002487</t>
  </si>
  <si>
    <t>DAVID SSERUGUMBA</t>
  </si>
  <si>
    <t>0772457838</t>
  </si>
  <si>
    <t>00200002504</t>
  </si>
  <si>
    <t>OLIVER KIZZA</t>
  </si>
  <si>
    <t>0773079646</t>
  </si>
  <si>
    <t>0703348659</t>
  </si>
  <si>
    <t>00100004556</t>
  </si>
  <si>
    <t>AKALIIKA</t>
  </si>
  <si>
    <t>ROBERT MUKASA</t>
  </si>
  <si>
    <t>0752990179</t>
  </si>
  <si>
    <t>00200002484</t>
  </si>
  <si>
    <t>ESEMAKULA</t>
  </si>
  <si>
    <t>TEDDY NAMUBIRU</t>
  </si>
  <si>
    <t>0777094106</t>
  </si>
  <si>
    <t>0752772703</t>
  </si>
  <si>
    <t>00100001422</t>
  </si>
  <si>
    <t>00100004593</t>
  </si>
  <si>
    <t>00200002499</t>
  </si>
  <si>
    <t>EDWARD KIWANUKA KIKOSO</t>
  </si>
  <si>
    <t>0776880562</t>
  </si>
  <si>
    <t>0701880562</t>
  </si>
  <si>
    <t>JOAN NANSUBUGA</t>
  </si>
  <si>
    <t>0782130321</t>
  </si>
  <si>
    <t>0706577179</t>
  </si>
  <si>
    <t>ALLICE MUKAYIRANGA</t>
  </si>
  <si>
    <t>0700486648</t>
  </si>
  <si>
    <t>0780501863</t>
  </si>
  <si>
    <t>00100004604</t>
  </si>
  <si>
    <t>00100004598</t>
  </si>
  <si>
    <t>00200002444</t>
  </si>
  <si>
    <t>00200002418</t>
  </si>
  <si>
    <t>EDRINE KIZITO</t>
  </si>
  <si>
    <t>0704349733</t>
  </si>
  <si>
    <t>JOSEPH SSENYAMA</t>
  </si>
  <si>
    <t>0752400344</t>
  </si>
  <si>
    <t>0772506442</t>
  </si>
  <si>
    <t>PROSSY NANYANZI KAKEETO</t>
  </si>
  <si>
    <t>0782808597</t>
  </si>
  <si>
    <t>0755786858</t>
  </si>
  <si>
    <t>KALIRO JOSHUA</t>
  </si>
  <si>
    <t>0772668387</t>
  </si>
  <si>
    <t>00200002543</t>
  </si>
  <si>
    <t>0774097744</t>
  </si>
  <si>
    <t>LWANYAGA SIMON MAKUMBI</t>
  </si>
  <si>
    <t>0772371894</t>
  </si>
  <si>
    <t>0752371894</t>
  </si>
  <si>
    <t>00200002569</t>
  </si>
  <si>
    <t>00200002511</t>
  </si>
  <si>
    <t>00200002562</t>
  </si>
  <si>
    <t>00200002563</t>
  </si>
  <si>
    <t>00200002454</t>
  </si>
  <si>
    <t>NAKATE SUSAN HELLEN</t>
  </si>
  <si>
    <t>0774236672</t>
  </si>
  <si>
    <t>REVIN KIWANUKA</t>
  </si>
  <si>
    <t>0752634762</t>
  </si>
  <si>
    <t>0773391090</t>
  </si>
  <si>
    <t>JAMES KIGGUNDU</t>
  </si>
  <si>
    <t>0702618312</t>
  </si>
  <si>
    <t>0772618312</t>
  </si>
  <si>
    <t>TWAGIRAYESU ISRAEL</t>
  </si>
  <si>
    <t>0772666526</t>
  </si>
  <si>
    <t>0703833030</t>
  </si>
  <si>
    <t>MAGRET NAMUSISI TURYAZAYO</t>
  </si>
  <si>
    <t>0772357603</t>
  </si>
  <si>
    <t>0704667263</t>
  </si>
  <si>
    <t>00200002548</t>
  </si>
  <si>
    <t>00100002951</t>
  </si>
  <si>
    <t>HENRY KYEYUNE</t>
  </si>
  <si>
    <t>0782475601</t>
  </si>
  <si>
    <t>0704475601</t>
  </si>
  <si>
    <t>AMOSI JORAM MUBAZI</t>
  </si>
  <si>
    <t>0756376860</t>
  </si>
  <si>
    <t>0776376860</t>
  </si>
  <si>
    <t>00200002586</t>
  </si>
  <si>
    <t>00100004578</t>
  </si>
  <si>
    <t>HADIJAH NAMATOVU</t>
  </si>
  <si>
    <t>0392963881</t>
  </si>
  <si>
    <t>JIMMY RICHARD MWEBE</t>
  </si>
  <si>
    <t>0705773611</t>
  </si>
  <si>
    <t>00200000793</t>
  </si>
  <si>
    <t>Sawmills &amp; Wood Preservation</t>
  </si>
  <si>
    <t>00100004558</t>
  </si>
  <si>
    <t>ROSE NAKAFEERO</t>
  </si>
  <si>
    <t>0756549494</t>
  </si>
  <si>
    <t>LAWRENCE MUGISHA</t>
  </si>
  <si>
    <t>0772424651</t>
  </si>
  <si>
    <t>00100004577</t>
  </si>
  <si>
    <t>00100004579</t>
  </si>
  <si>
    <t>SOJAMBO</t>
  </si>
  <si>
    <t>00100004549</t>
  </si>
  <si>
    <t>00200002559</t>
  </si>
  <si>
    <t>00200002551</t>
  </si>
  <si>
    <t>TOPHACE KYABAISHIKI</t>
  </si>
  <si>
    <t>0701431929</t>
  </si>
  <si>
    <t>OBED TWINOMUGISHA</t>
  </si>
  <si>
    <t>0752526030</t>
  </si>
  <si>
    <t>PATRICK SSEMAKULA</t>
  </si>
  <si>
    <t>0772497267</t>
  </si>
  <si>
    <t>0774666170</t>
  </si>
  <si>
    <t>MOSES SEKIMWANYI MUGERWA</t>
  </si>
  <si>
    <t>0752699676</t>
  </si>
  <si>
    <t>0776699676</t>
  </si>
  <si>
    <t>RACHEL LUKWAGO AMWATOK</t>
  </si>
  <si>
    <t>0772879109</t>
  </si>
  <si>
    <t>0701879109</t>
  </si>
  <si>
    <t>00100004554</t>
  </si>
  <si>
    <t>00100004603</t>
  </si>
  <si>
    <t>00200000914</t>
  </si>
  <si>
    <t>GODFREY NKALUBO</t>
  </si>
  <si>
    <t>0754211976</t>
  </si>
  <si>
    <t>BASHIR KIZITO</t>
  </si>
  <si>
    <t>0704230831</t>
  </si>
  <si>
    <t>JENINAH NATUHWERA</t>
  </si>
  <si>
    <t>0784349860</t>
  </si>
  <si>
    <t>00200002560</t>
  </si>
  <si>
    <t>00100002240</t>
  </si>
  <si>
    <t>00200000134</t>
  </si>
  <si>
    <t>FAIMA DAGIRU</t>
  </si>
  <si>
    <t>0702179568</t>
  </si>
  <si>
    <t>CAROLINE NAKITENDE</t>
  </si>
  <si>
    <t>0772049914</t>
  </si>
  <si>
    <t>0701988739</t>
  </si>
  <si>
    <t>JAMES SSEKUBWA</t>
  </si>
  <si>
    <t>0782119766</t>
  </si>
  <si>
    <t>0704119766</t>
  </si>
  <si>
    <t>00100004627</t>
  </si>
  <si>
    <t>ANNET NAZZIWA</t>
  </si>
  <si>
    <t>0701940980</t>
  </si>
  <si>
    <t>00100004640</t>
  </si>
  <si>
    <t>Jewelry, Watch, Precious Stone, &amp; Precious Metals</t>
  </si>
  <si>
    <t>00200002603</t>
  </si>
  <si>
    <t>AMWEBE</t>
  </si>
  <si>
    <t>CHRISTOPHER MUKAAYA</t>
  </si>
  <si>
    <t>0772512725</t>
  </si>
  <si>
    <t>0704648228</t>
  </si>
  <si>
    <t>GRACE NANGOBI</t>
  </si>
  <si>
    <t>0754480344</t>
  </si>
  <si>
    <t>00200002571</t>
  </si>
  <si>
    <t>00200002592</t>
  </si>
  <si>
    <t>CHRISTINE NAKIMERA SSENDAWULA</t>
  </si>
  <si>
    <t>0775192005</t>
  </si>
  <si>
    <t>0759882302</t>
  </si>
  <si>
    <t>PROSSY NAMUWAYA</t>
  </si>
  <si>
    <t>0759195126</t>
  </si>
  <si>
    <t>00200000223</t>
  </si>
  <si>
    <t>VIVIAN BALYAMA</t>
  </si>
  <si>
    <t>07017040081</t>
  </si>
  <si>
    <t>00100000113</t>
  </si>
  <si>
    <t>PAUL KYOBE LUKOMU</t>
  </si>
  <si>
    <t>0772628722</t>
  </si>
  <si>
    <t>0757757488</t>
  </si>
  <si>
    <t>Primary Metal Manufacturing</t>
  </si>
  <si>
    <t>Alumina &amp; Aluminum</t>
  </si>
  <si>
    <t>00100004641</t>
  </si>
  <si>
    <t>00100004590</t>
  </si>
  <si>
    <t>00100004632</t>
  </si>
  <si>
    <t>00200002579</t>
  </si>
  <si>
    <t>00100000560</t>
  </si>
  <si>
    <t>HUSSEIN BABU LUBOWA</t>
  </si>
  <si>
    <t>0752463322</t>
  </si>
  <si>
    <t>0785988997</t>
  </si>
  <si>
    <t>REHEMAH LWANGA NANYUNJA</t>
  </si>
  <si>
    <t>0701983111</t>
  </si>
  <si>
    <t>077598311</t>
  </si>
  <si>
    <t>MUHAMMED WALONZE</t>
  </si>
  <si>
    <t>0774626310</t>
  </si>
  <si>
    <t>0776892518</t>
  </si>
  <si>
    <t>0772654165</t>
  </si>
  <si>
    <t>PAUL KATENDE</t>
  </si>
  <si>
    <t>0757484413</t>
  </si>
  <si>
    <t>0703093841</t>
  </si>
  <si>
    <t>SYLVESTER KATAVA NTABAAZI</t>
  </si>
  <si>
    <t>0782321704</t>
  </si>
  <si>
    <t>00100004625</t>
  </si>
  <si>
    <t>00200002600</t>
  </si>
  <si>
    <t>00100004650</t>
  </si>
  <si>
    <t>NYANSIO KAGGWA</t>
  </si>
  <si>
    <t>0752498823</t>
  </si>
  <si>
    <t>0773746985</t>
  </si>
  <si>
    <t>FARIDAH KALANZI</t>
  </si>
  <si>
    <t>0782005750</t>
  </si>
  <si>
    <t>0701986074</t>
  </si>
  <si>
    <t>SANDE FRANCIS TWAGIRAMUNGU</t>
  </si>
  <si>
    <t>0783079531</t>
  </si>
  <si>
    <t>0758281369</t>
  </si>
  <si>
    <t>00200002598</t>
  </si>
  <si>
    <t>00200002621</t>
  </si>
  <si>
    <t>00200000799</t>
  </si>
  <si>
    <t>SALIFU TABINGWA KAKUSU</t>
  </si>
  <si>
    <t>0758874403</t>
  </si>
  <si>
    <t>0788727533</t>
  </si>
  <si>
    <t>IBRAHIM KISUMBI KITENDA</t>
  </si>
  <si>
    <t>0757526520</t>
  </si>
  <si>
    <t>0775201505</t>
  </si>
  <si>
    <t>CHRISTINE KABAJAASI</t>
  </si>
  <si>
    <t>0782406596</t>
  </si>
  <si>
    <t>0701406596</t>
  </si>
  <si>
    <t>00200002609</t>
  </si>
  <si>
    <t>Dairy Cattle &amp; Milk Production</t>
  </si>
  <si>
    <t>00200002564</t>
  </si>
  <si>
    <t>IGA TOMUSANGE</t>
  </si>
  <si>
    <t>0782683511</t>
  </si>
  <si>
    <t>0703326436</t>
  </si>
  <si>
    <t>JOHN SELUYINZA KAYOMBYA</t>
  </si>
  <si>
    <t>0785783612</t>
  </si>
  <si>
    <t>00200002623</t>
  </si>
  <si>
    <t>HNABAASA</t>
  </si>
  <si>
    <t>00100004658</t>
  </si>
  <si>
    <t>00200000550</t>
  </si>
  <si>
    <t>EDWARD GYAGENDA</t>
  </si>
  <si>
    <t>0779682840</t>
  </si>
  <si>
    <t>ROBERT KAWEESA</t>
  </si>
  <si>
    <t>0776455362</t>
  </si>
  <si>
    <t>0752455362</t>
  </si>
  <si>
    <t>ALICE KIKU</t>
  </si>
  <si>
    <t>0772995337</t>
  </si>
  <si>
    <t>00100004653</t>
  </si>
  <si>
    <t>00200002612</t>
  </si>
  <si>
    <t>00100004645</t>
  </si>
  <si>
    <t>00200002619</t>
  </si>
  <si>
    <t>00100004657</t>
  </si>
  <si>
    <t>00200000040</t>
  </si>
  <si>
    <t>HOSEA SSEWANYANA</t>
  </si>
  <si>
    <t>0704636301</t>
  </si>
  <si>
    <t>0774636301</t>
  </si>
  <si>
    <t>MOSES SSEWANYANA</t>
  </si>
  <si>
    <t>0706476418</t>
  </si>
  <si>
    <t>PATRICK LUYOMBO</t>
  </si>
  <si>
    <t>0774494757</t>
  </si>
  <si>
    <t>RACHEAL TEFFE TUSUBIRA</t>
  </si>
  <si>
    <t>0703719484</t>
  </si>
  <si>
    <t>AFUWA SALLY SSENDAGALA</t>
  </si>
  <si>
    <t>0757839006</t>
  </si>
  <si>
    <t>0781711086</t>
  </si>
  <si>
    <t>SYLVIA STELLAH TAMALE</t>
  </si>
  <si>
    <t>0782379219</t>
  </si>
  <si>
    <t>00200002634</t>
  </si>
  <si>
    <t>00200002647</t>
  </si>
  <si>
    <t>00200002620</t>
  </si>
  <si>
    <t>FRIDA MUKWABA</t>
  </si>
  <si>
    <t>0782742807</t>
  </si>
  <si>
    <t>0755918868</t>
  </si>
  <si>
    <t>ADI MADADA</t>
  </si>
  <si>
    <t>0782200175</t>
  </si>
  <si>
    <t>TEDDY NAKISEKKA</t>
  </si>
  <si>
    <t>0772439183</t>
  </si>
  <si>
    <t>0704533632</t>
  </si>
  <si>
    <t>00100004651</t>
  </si>
  <si>
    <t>00200002631</t>
  </si>
  <si>
    <t>00200002518</t>
  </si>
  <si>
    <t>JOSEPH MUWANGUZI</t>
  </si>
  <si>
    <t>0706631368</t>
  </si>
  <si>
    <t>MWANJE MARK MICHEAL</t>
  </si>
  <si>
    <t>0758378103</t>
  </si>
  <si>
    <t>RASHIDAH KAKANDE KAJUMBA</t>
  </si>
  <si>
    <t>0758946436</t>
  </si>
  <si>
    <t>0772599946</t>
  </si>
  <si>
    <t>00100004668</t>
  </si>
  <si>
    <t>00200002625</t>
  </si>
  <si>
    <t>00200002599</t>
  </si>
  <si>
    <t>DOROTHY NAKIMERA KIZIRI</t>
  </si>
  <si>
    <t>0752400045</t>
  </si>
  <si>
    <t>07764000045</t>
  </si>
  <si>
    <t>EDWARD KIYINGI KIPUYA</t>
  </si>
  <si>
    <t>0752055801</t>
  </si>
  <si>
    <t>KISINGIRI EDDIE KANOONYA</t>
  </si>
  <si>
    <t>0700721051</t>
  </si>
  <si>
    <t>0772426295</t>
  </si>
  <si>
    <t>00100001551</t>
  </si>
  <si>
    <t>00200002646</t>
  </si>
  <si>
    <t>00100004639</t>
  </si>
  <si>
    <t>00100000912</t>
  </si>
  <si>
    <t>JANET NAKINTU</t>
  </si>
  <si>
    <t>0772393018</t>
  </si>
  <si>
    <t>0759393018</t>
  </si>
  <si>
    <t>SAMUEL WALUSIMBI</t>
  </si>
  <si>
    <t>0772982624</t>
  </si>
  <si>
    <t>0756134248</t>
  </si>
  <si>
    <t>DAVID MAGUMBA</t>
  </si>
  <si>
    <t>0752145146</t>
  </si>
  <si>
    <t>0783774472</t>
  </si>
  <si>
    <t>MWESIGWA MATHIAS</t>
  </si>
  <si>
    <t>0775154857</t>
  </si>
  <si>
    <t>00200002540</t>
  </si>
  <si>
    <t>00200002577</t>
  </si>
  <si>
    <t>00200002632</t>
  </si>
  <si>
    <t>MARIAM NASSUNA</t>
  </si>
  <si>
    <t>0702116757</t>
  </si>
  <si>
    <t>MOHAMED SSEBULIME</t>
  </si>
  <si>
    <t>0702210122</t>
  </si>
  <si>
    <t>0701901333</t>
  </si>
  <si>
    <t>SSENFUMA ISMA</t>
  </si>
  <si>
    <t>0752955627</t>
  </si>
  <si>
    <t>00200002628</t>
  </si>
  <si>
    <t>00100004631</t>
  </si>
  <si>
    <t>00100004671</t>
  </si>
  <si>
    <t>00100004655</t>
  </si>
  <si>
    <t>00100004681</t>
  </si>
  <si>
    <t>00200002611</t>
  </si>
  <si>
    <t>IKIRAGGA</t>
  </si>
  <si>
    <t>VIOLAR NAMATA</t>
  </si>
  <si>
    <t>0772568605</t>
  </si>
  <si>
    <t>0704608540</t>
  </si>
  <si>
    <t>ELIAS NAKANA</t>
  </si>
  <si>
    <t>0788595824</t>
  </si>
  <si>
    <t>0703364355</t>
  </si>
  <si>
    <t>CAROLYN NAKISANZE KIWANUKA</t>
  </si>
  <si>
    <t>0753178509</t>
  </si>
  <si>
    <t>CHARLES HABALUREMA</t>
  </si>
  <si>
    <t>0772408575</t>
  </si>
  <si>
    <t>0702408575</t>
  </si>
  <si>
    <t>PATRICK NAHABWE MUGAMBAGYE</t>
  </si>
  <si>
    <t>0772591776</t>
  </si>
  <si>
    <t>JOSEPHINE KIMBOWA NNANSUMBA</t>
  </si>
  <si>
    <t>0772403776</t>
  </si>
  <si>
    <t>00100004676</t>
  </si>
  <si>
    <t>JTUSIIME</t>
  </si>
  <si>
    <t>00100004663</t>
  </si>
  <si>
    <t>00200002615</t>
  </si>
  <si>
    <t>00200002649</t>
  </si>
  <si>
    <t>DALAUSI ALI BUKENYA</t>
  </si>
  <si>
    <t>0702280217</t>
  </si>
  <si>
    <t>GEOFREY SSEBAGERE</t>
  </si>
  <si>
    <t>0706222239</t>
  </si>
  <si>
    <t>0758565105</t>
  </si>
  <si>
    <t>ESEZA NAKAYENZE</t>
  </si>
  <si>
    <t>0776318409</t>
  </si>
  <si>
    <t>0755318409</t>
  </si>
  <si>
    <t>ROBERT LUGOLOBI GGITA</t>
  </si>
  <si>
    <t>0785312994</t>
  </si>
  <si>
    <t>0712358643</t>
  </si>
  <si>
    <t>00100004673</t>
  </si>
  <si>
    <t>MARIAM SSERWANGA</t>
  </si>
  <si>
    <t>0755866711</t>
  </si>
  <si>
    <t>00100004662</t>
  </si>
  <si>
    <t>Recyclable Materials</t>
  </si>
  <si>
    <t>00100004637</t>
  </si>
  <si>
    <t>00100004683</t>
  </si>
  <si>
    <t>AMBROSE KATAMBA</t>
  </si>
  <si>
    <t>0702351081</t>
  </si>
  <si>
    <t>ANDREW KASOLE</t>
  </si>
  <si>
    <t>0752202526</t>
  </si>
  <si>
    <t>0776202526</t>
  </si>
  <si>
    <t>UMAR BUKENYA</t>
  </si>
  <si>
    <t>0773047899</t>
  </si>
  <si>
    <t>0703804224</t>
  </si>
  <si>
    <t>FMUZANIRABANDI</t>
  </si>
  <si>
    <t>VAOME</t>
  </si>
  <si>
    <t>TKUSHEMERERWA</t>
  </si>
  <si>
    <t>SMIREMBE</t>
  </si>
  <si>
    <t>RMALE</t>
  </si>
  <si>
    <t>IKAJABAGO</t>
  </si>
  <si>
    <t>00100004679</t>
  </si>
  <si>
    <t>00200002648</t>
  </si>
  <si>
    <t>Leather and Allied Product Manufacturing</t>
  </si>
  <si>
    <t>Footwear</t>
  </si>
  <si>
    <t>SEASONZ HARVEST LIMITED</t>
  </si>
  <si>
    <t>0782034035</t>
  </si>
  <si>
    <t>0751112113</t>
  </si>
  <si>
    <t>PURITY ACOLA</t>
  </si>
  <si>
    <t>0759956701</t>
  </si>
  <si>
    <t>Women's Day</t>
  </si>
  <si>
    <t>Amount</t>
  </si>
  <si>
    <t>Number of files</t>
  </si>
  <si>
    <t>00100000258</t>
  </si>
  <si>
    <t>00200002093</t>
  </si>
  <si>
    <t>ZAAKE SSEBANDEKE</t>
  </si>
  <si>
    <t>0772431161</t>
  </si>
  <si>
    <t>0703431161</t>
  </si>
  <si>
    <t>PERUSI KISUULE MUGWANGA</t>
  </si>
  <si>
    <t>0781465482</t>
  </si>
  <si>
    <t>0702976861</t>
  </si>
  <si>
    <t>00200002506</t>
  </si>
  <si>
    <t>00200002627</t>
  </si>
  <si>
    <t>FASABA</t>
  </si>
  <si>
    <t>ISMAHIRA KABANDA</t>
  </si>
  <si>
    <t>0752026731</t>
  </si>
  <si>
    <t>0782026731</t>
  </si>
  <si>
    <t>NAJJUMA JOSEPHINE</t>
  </si>
  <si>
    <t>0774976235</t>
  </si>
  <si>
    <t>0701728964</t>
  </si>
  <si>
    <t>AKITENDA</t>
  </si>
  <si>
    <t>00200002654</t>
  </si>
  <si>
    <t>NATURINDA CATHERINE</t>
  </si>
  <si>
    <t>0702230690</t>
  </si>
  <si>
    <t>00200002393</t>
  </si>
  <si>
    <t>00200000912</t>
  </si>
  <si>
    <t>00200002610</t>
  </si>
  <si>
    <t>LILLIAN NANTEZA</t>
  </si>
  <si>
    <t>0756711396</t>
  </si>
  <si>
    <t>ANITA KAZOBA</t>
  </si>
  <si>
    <t>0775334380</t>
  </si>
  <si>
    <t>0703660631</t>
  </si>
  <si>
    <t>GERALD KABUYE</t>
  </si>
  <si>
    <t>0772830828</t>
  </si>
  <si>
    <t>00100004690</t>
  </si>
  <si>
    <t>00100004689</t>
  </si>
  <si>
    <t>00200002659</t>
  </si>
  <si>
    <t>CELESTINE WAKABU</t>
  </si>
  <si>
    <t>0772366055</t>
  </si>
  <si>
    <t>0752366055</t>
  </si>
  <si>
    <t>ALOYSIUS KITYAMUWEESI</t>
  </si>
  <si>
    <t>0701804111</t>
  </si>
  <si>
    <t>0704804111</t>
  </si>
  <si>
    <t>AISHA NANTUME</t>
  </si>
  <si>
    <t>0706445849</t>
  </si>
  <si>
    <t>0705104505</t>
  </si>
  <si>
    <t>00100001705</t>
  </si>
  <si>
    <t>00200002666</t>
  </si>
  <si>
    <t>00100004686</t>
  </si>
  <si>
    <t>FRANCIS KAJUMBA</t>
  </si>
  <si>
    <t>0701155056</t>
  </si>
  <si>
    <t>HARRIET NALWADDA</t>
  </si>
  <si>
    <t>0700870379</t>
  </si>
  <si>
    <t>0783721138</t>
  </si>
  <si>
    <t>MOSES KYAMBADDE</t>
  </si>
  <si>
    <t>0786395615</t>
  </si>
  <si>
    <t>00100003499</t>
  </si>
  <si>
    <t>00200002520</t>
  </si>
  <si>
    <t>00200001103</t>
  </si>
  <si>
    <t>00200002671</t>
  </si>
  <si>
    <t>00200002672</t>
  </si>
  <si>
    <t>00100004665</t>
  </si>
  <si>
    <t>MANDE CONSTANT</t>
  </si>
  <si>
    <t>0753915556</t>
  </si>
  <si>
    <t>0775372087</t>
  </si>
  <si>
    <t>0772405637</t>
  </si>
  <si>
    <t>0754405637</t>
  </si>
  <si>
    <t>VICTOR KABANZA</t>
  </si>
  <si>
    <t>0752321211</t>
  </si>
  <si>
    <t>0773186357</t>
  </si>
  <si>
    <t>INNOCENT MAYANJA</t>
  </si>
  <si>
    <t>0772429878</t>
  </si>
  <si>
    <t>KAYE SAMUEL</t>
  </si>
  <si>
    <t>0704114760</t>
  </si>
  <si>
    <t>MICHEAL MASWERE WATAKA</t>
  </si>
  <si>
    <t>0782563527</t>
  </si>
  <si>
    <t>00100002326</t>
  </si>
  <si>
    <t>00100004704</t>
  </si>
  <si>
    <t>00200002113</t>
  </si>
  <si>
    <t>HASIFA NAMBI</t>
  </si>
  <si>
    <t>0772421046</t>
  </si>
  <si>
    <t>0756421046</t>
  </si>
  <si>
    <t>BOB BIREESE BOGEERE</t>
  </si>
  <si>
    <t>0782611697</t>
  </si>
  <si>
    <t>GEORGE LUGANDA MATOVU</t>
  </si>
  <si>
    <t>0776192012</t>
  </si>
  <si>
    <t>0704192012</t>
  </si>
  <si>
    <t>00100004486</t>
  </si>
  <si>
    <t>JOSEPH SSEMPIJJA</t>
  </si>
  <si>
    <t>0704574185</t>
  </si>
  <si>
    <t>00200002200</t>
  </si>
  <si>
    <t>0704307975</t>
  </si>
  <si>
    <t>0782503932</t>
  </si>
  <si>
    <t>00100004700</t>
  </si>
  <si>
    <t>DNSUBUGA1</t>
  </si>
  <si>
    <t>GERALD MUTESASIRA</t>
  </si>
  <si>
    <t>0757116003</t>
  </si>
  <si>
    <t>0712739485</t>
  </si>
  <si>
    <t>00100004694</t>
  </si>
  <si>
    <t>00200002689</t>
  </si>
  <si>
    <t>00100001822</t>
  </si>
  <si>
    <t>SARAH KIRIGWAJO</t>
  </si>
  <si>
    <t>0772676468</t>
  </si>
  <si>
    <t>0751676468</t>
  </si>
  <si>
    <t>ROBERT MALE</t>
  </si>
  <si>
    <t>0774001852</t>
  </si>
  <si>
    <t>0704219103</t>
  </si>
  <si>
    <t>AHIMBISIBWE BENJAMIN</t>
  </si>
  <si>
    <t>0788709403</t>
  </si>
  <si>
    <t>00100004687</t>
  </si>
  <si>
    <t>Luggage &amp; Leather Goods Stores</t>
  </si>
  <si>
    <t>00100004638</t>
  </si>
  <si>
    <t>00200002661</t>
  </si>
  <si>
    <t>DOREEN NAKIWU SSENYONJO</t>
  </si>
  <si>
    <t>0703597866</t>
  </si>
  <si>
    <t>EXPEDITO KAMULI</t>
  </si>
  <si>
    <t>0752958785</t>
  </si>
  <si>
    <t>LEONIDAS MUKAMA</t>
  </si>
  <si>
    <t>0754900921</t>
  </si>
  <si>
    <t>00200002665</t>
  </si>
  <si>
    <t>00200002680</t>
  </si>
  <si>
    <t>00200002653</t>
  </si>
  <si>
    <t>00100004708</t>
  </si>
  <si>
    <t>MARGARET BIRABWA</t>
  </si>
  <si>
    <t>0752191256</t>
  </si>
  <si>
    <t>JULIUS KIZITO</t>
  </si>
  <si>
    <t>0755868328</t>
  </si>
  <si>
    <t>0776868328</t>
  </si>
  <si>
    <t>NAMAYANJA VICTORIA</t>
  </si>
  <si>
    <t>0788933673</t>
  </si>
  <si>
    <t>IRENE NAGUJJA</t>
  </si>
  <si>
    <t>0781005746</t>
  </si>
  <si>
    <t>0754465543</t>
  </si>
  <si>
    <t>00100004709</t>
  </si>
  <si>
    <t>00200001099</t>
  </si>
  <si>
    <t>00200001222</t>
  </si>
  <si>
    <t>GRACE MUKASA</t>
  </si>
  <si>
    <t>0772859254</t>
  </si>
  <si>
    <t>BETTY NANYONJO</t>
  </si>
  <si>
    <t>0788710401</t>
  </si>
  <si>
    <t>TOM SHIREBE</t>
  </si>
  <si>
    <t>0705016035</t>
  </si>
  <si>
    <t>00100004706</t>
  </si>
  <si>
    <t>00100004605</t>
  </si>
  <si>
    <t>00200002697</t>
  </si>
  <si>
    <t>00100004465</t>
  </si>
  <si>
    <t>00200000090</t>
  </si>
  <si>
    <t>VEVICAH NAKATO</t>
  </si>
  <si>
    <t>0772424483</t>
  </si>
  <si>
    <t>BRUCE RUTARO</t>
  </si>
  <si>
    <t>0773008072</t>
  </si>
  <si>
    <t>0759130101</t>
  </si>
  <si>
    <t>MARGRET NAMAZZI</t>
  </si>
  <si>
    <t>0752534266</t>
  </si>
  <si>
    <t>NKONGE KARIM</t>
  </si>
  <si>
    <t>0772355703</t>
  </si>
  <si>
    <t>0752355703</t>
  </si>
  <si>
    <t>00200002699</t>
  </si>
  <si>
    <t>00200002674</t>
  </si>
  <si>
    <t>00100004430</t>
  </si>
  <si>
    <t>HARUNA LUYOMBYA</t>
  </si>
  <si>
    <t>0702853726</t>
  </si>
  <si>
    <t>0772853726</t>
  </si>
  <si>
    <t>GABRIEL LUTAGANIRA</t>
  </si>
  <si>
    <t>0706424222</t>
  </si>
  <si>
    <t>JULIUS MUKASA</t>
  </si>
  <si>
    <t>0758318300</t>
  </si>
  <si>
    <t>00100003734</t>
  </si>
  <si>
    <t>00100004675</t>
  </si>
  <si>
    <t>00200002685</t>
  </si>
  <si>
    <t>00200000095</t>
  </si>
  <si>
    <t>FRANCIS KYEYUNE</t>
  </si>
  <si>
    <t>0772933140</t>
  </si>
  <si>
    <t>0701933140</t>
  </si>
  <si>
    <t>MICHEAL BALWANA KISAKYE</t>
  </si>
  <si>
    <t>0772688500</t>
  </si>
  <si>
    <t>0754688500</t>
  </si>
  <si>
    <t>ANNET NAMIRIMU</t>
  </si>
  <si>
    <t>0772408810</t>
  </si>
  <si>
    <t>0753408810</t>
  </si>
  <si>
    <t>SHEILA LAKER</t>
  </si>
  <si>
    <t>0773460348</t>
  </si>
  <si>
    <t>00100004685</t>
  </si>
  <si>
    <t>00200002688</t>
  </si>
  <si>
    <t>00200002673</t>
  </si>
  <si>
    <t>00200001055</t>
  </si>
  <si>
    <t>PENINAH NDAGIRE</t>
  </si>
  <si>
    <t>0752900281</t>
  </si>
  <si>
    <t>0728900281</t>
  </si>
  <si>
    <t>SSENOGA MARTIN</t>
  </si>
  <si>
    <t>0753595662</t>
  </si>
  <si>
    <t>GASPAL MUSA MUSISI</t>
  </si>
  <si>
    <t>0702519002</t>
  </si>
  <si>
    <t>ROBERT JUUKO</t>
  </si>
  <si>
    <t>0751980857</t>
  </si>
  <si>
    <t>00100004721</t>
  </si>
  <si>
    <t>00200002702</t>
  </si>
  <si>
    <t>00200002703</t>
  </si>
  <si>
    <t>00100004701</t>
  </si>
  <si>
    <t>00200002676</t>
  </si>
  <si>
    <t>HINDU NANGONZI KAZIBWE</t>
  </si>
  <si>
    <t>0753792636</t>
  </si>
  <si>
    <t>MILLY NAKAWOOYA NKALUBO</t>
  </si>
  <si>
    <t>0778336002</t>
  </si>
  <si>
    <t>0701433753</t>
  </si>
  <si>
    <t>REBECCA NANSEKO</t>
  </si>
  <si>
    <t>0775189168</t>
  </si>
  <si>
    <t>MARIAM ABDU</t>
  </si>
  <si>
    <t>0702339112</t>
  </si>
  <si>
    <t>JOHN MARK ASIIMWE</t>
  </si>
  <si>
    <t>0752421572</t>
  </si>
  <si>
    <t>00100004623</t>
  </si>
  <si>
    <t>00200002711</t>
  </si>
  <si>
    <t>00100004726</t>
  </si>
  <si>
    <t>00200002712</t>
  </si>
  <si>
    <t>00200002708</t>
  </si>
  <si>
    <t>00100001452</t>
  </si>
  <si>
    <t>00200002705</t>
  </si>
  <si>
    <t>BADRU LUBEGA</t>
  </si>
  <si>
    <t>0782007426</t>
  </si>
  <si>
    <t>0704613062</t>
  </si>
  <si>
    <t>JALIA MEEME</t>
  </si>
  <si>
    <t>0700194885</t>
  </si>
  <si>
    <t>0772482822</t>
  </si>
  <si>
    <t>JOHN SENGABI</t>
  </si>
  <si>
    <t>0753848619</t>
  </si>
  <si>
    <t>NSUBUGA LIVINGSTONE</t>
  </si>
  <si>
    <t>0782821278</t>
  </si>
  <si>
    <t>IBRAHIM MWEBE SENTEZA</t>
  </si>
  <si>
    <t>0702672178</t>
  </si>
  <si>
    <t>0786389917</t>
  </si>
  <si>
    <t>SYLVIA NAKIGUDDE</t>
  </si>
  <si>
    <t>0755975499</t>
  </si>
  <si>
    <t>BARBRA NABUWEMBO</t>
  </si>
  <si>
    <t>0759717516</t>
  </si>
  <si>
    <t>0778829288</t>
  </si>
  <si>
    <t>00100004734</t>
  </si>
  <si>
    <t>Professional &amp; Commercial Equipment</t>
  </si>
  <si>
    <t>00100001506</t>
  </si>
  <si>
    <t>00100004646</t>
  </si>
  <si>
    <t>00100004718</t>
  </si>
  <si>
    <t>00200002618</t>
  </si>
  <si>
    <t>00100004705</t>
  </si>
  <si>
    <t>00200002724</t>
  </si>
  <si>
    <t>00100004711</t>
  </si>
  <si>
    <t>00200002658</t>
  </si>
  <si>
    <t>ASHRAF SSEMANDA</t>
  </si>
  <si>
    <t>0701673720</t>
  </si>
  <si>
    <t>PROSSY KIGUNDU</t>
  </si>
  <si>
    <t>0752653960</t>
  </si>
  <si>
    <t>0702653960</t>
  </si>
  <si>
    <t>STELLA ALICE KIRUNGI</t>
  </si>
  <si>
    <t>0775692424</t>
  </si>
  <si>
    <t>0701283212</t>
  </si>
  <si>
    <t>ANDREW WASSWA NSUBUGA</t>
  </si>
  <si>
    <t>0703931089</t>
  </si>
  <si>
    <t>0779906022</t>
  </si>
  <si>
    <t>HASSAN SSEKABIRA</t>
  </si>
  <si>
    <t>0754955754</t>
  </si>
  <si>
    <t>KASIM MUTEBI KULABAKO</t>
  </si>
  <si>
    <t>0782915304</t>
  </si>
  <si>
    <t>0757416998</t>
  </si>
  <si>
    <t>FRED KATAMBA</t>
  </si>
  <si>
    <t>0706482101</t>
  </si>
  <si>
    <t>NAKABUGO NOELINE</t>
  </si>
  <si>
    <t>0700360712</t>
  </si>
  <si>
    <t>GEOFREY BUKENYA MWESIGE</t>
  </si>
  <si>
    <t>0704397090</t>
  </si>
  <si>
    <t>00100004745</t>
  </si>
  <si>
    <t>00100003546</t>
  </si>
  <si>
    <t>00200000981</t>
  </si>
  <si>
    <t>00200002394</t>
  </si>
  <si>
    <t>00100004732</t>
  </si>
  <si>
    <t>00100004715</t>
  </si>
  <si>
    <t>00100004730</t>
  </si>
  <si>
    <t>00200002737</t>
  </si>
  <si>
    <t>00100004648</t>
  </si>
  <si>
    <t>00200002739</t>
  </si>
  <si>
    <t>00100004736</t>
  </si>
  <si>
    <t>PAUL WAMALA</t>
  </si>
  <si>
    <t>0752690278</t>
  </si>
  <si>
    <t>0776690278</t>
  </si>
  <si>
    <t>EDWARD MULIIKA</t>
  </si>
  <si>
    <t>0772440427</t>
  </si>
  <si>
    <t>0754743105</t>
  </si>
  <si>
    <t>BEN KIWANUKA MATOVU</t>
  </si>
  <si>
    <t>0700831537</t>
  </si>
  <si>
    <t>0783183518</t>
  </si>
  <si>
    <t>REGINA NAKIBAKKE</t>
  </si>
  <si>
    <t>0782817783</t>
  </si>
  <si>
    <t>0702190479</t>
  </si>
  <si>
    <t>GORRETH MILLY NAMIREMBE</t>
  </si>
  <si>
    <t>0786202510</t>
  </si>
  <si>
    <t>MEGA KYOMUHANGI</t>
  </si>
  <si>
    <t>0755029302</t>
  </si>
  <si>
    <t>JOYCE NAMUKASA</t>
  </si>
  <si>
    <t>0772413726</t>
  </si>
  <si>
    <t>NSAMBA HASSAN</t>
  </si>
  <si>
    <t>ESTHER NAMAGEMBE</t>
  </si>
  <si>
    <t>0774465034</t>
  </si>
  <si>
    <t>0754465034</t>
  </si>
  <si>
    <t>RICHARD AKORA</t>
  </si>
  <si>
    <t>0702546125</t>
  </si>
  <si>
    <t>MUSA KASIRYE</t>
  </si>
  <si>
    <t>0774996763</t>
  </si>
  <si>
    <t>0701996763</t>
  </si>
  <si>
    <t>ISMAIL ASNAT</t>
  </si>
  <si>
    <t>0772924601</t>
  </si>
  <si>
    <t>0701438276</t>
  </si>
  <si>
    <t>00100004722</t>
  </si>
  <si>
    <t>HASIFA ZZIWA NAMATOVU</t>
  </si>
  <si>
    <t>0752954897</t>
  </si>
  <si>
    <t>Disb Target 15th /10/17</t>
  </si>
  <si>
    <t>Disb Target 30th /10/17</t>
  </si>
  <si>
    <t>0782731563</t>
  </si>
  <si>
    <t>00200002748</t>
  </si>
  <si>
    <t>00200000602</t>
  </si>
  <si>
    <t>00100004714</t>
  </si>
  <si>
    <t>SUSAN TENDO NASSOLO &amp;SAMUEL WASSWA MUTESASIRA</t>
  </si>
  <si>
    <t>0712643314</t>
  </si>
  <si>
    <t>0702643314</t>
  </si>
  <si>
    <t>MAGGIE BIRABWA</t>
  </si>
  <si>
    <t>0774125722</t>
  </si>
  <si>
    <t>0701125722</t>
  </si>
  <si>
    <t>KAWOMBE AGNES NAMUTAMBA</t>
  </si>
  <si>
    <t>0772920589</t>
  </si>
  <si>
    <t>00200002105</t>
  </si>
  <si>
    <t>KOLOLO ADMIN</t>
  </si>
  <si>
    <t>NDEEBA ADMIN</t>
  </si>
  <si>
    <t>HEAD OFFICE</t>
  </si>
  <si>
    <t>THOMAS EPIOT OPIO</t>
  </si>
  <si>
    <t>0700843621</t>
  </si>
  <si>
    <t>00100000388</t>
  </si>
  <si>
    <t>00100004654</t>
  </si>
  <si>
    <t>00200002738</t>
  </si>
  <si>
    <t>00200000333</t>
  </si>
  <si>
    <t>00100004729</t>
  </si>
  <si>
    <t>IBRAHIM SSEBUTINDE</t>
  </si>
  <si>
    <t>0758363024</t>
  </si>
  <si>
    <t>LYDIA NAMAWEJJE</t>
  </si>
  <si>
    <t>0776737934</t>
  </si>
  <si>
    <t>FRANK SSEGABWE</t>
  </si>
  <si>
    <t>0772411601</t>
  </si>
  <si>
    <t>0755338970</t>
  </si>
  <si>
    <t>FLAVIA MUNAABA NABUGERE</t>
  </si>
  <si>
    <t>0772933354</t>
  </si>
  <si>
    <t>0759665964</t>
  </si>
  <si>
    <t>EDWIG NASAKA</t>
  </si>
  <si>
    <t>0788660011</t>
  </si>
  <si>
    <t>0703411443</t>
  </si>
  <si>
    <t>00100004742</t>
  </si>
  <si>
    <t>00200002744</t>
  </si>
  <si>
    <t>00200002733</t>
  </si>
  <si>
    <t>00200002742</t>
  </si>
  <si>
    <t>00100001175</t>
  </si>
  <si>
    <t>TOM KAVUMA</t>
  </si>
  <si>
    <t>0701433573</t>
  </si>
  <si>
    <t>CATHERINE NABAYIWA</t>
  </si>
  <si>
    <t>0773121308</t>
  </si>
  <si>
    <t>JEAN IRENE NAKIBERU</t>
  </si>
  <si>
    <t>0779120463</t>
  </si>
  <si>
    <t>0705108017</t>
  </si>
  <si>
    <t>JOEL KASIRYE</t>
  </si>
  <si>
    <t>0702368819</t>
  </si>
  <si>
    <t>0783399918</t>
  </si>
  <si>
    <t>TEOPISTA NAKASI</t>
  </si>
  <si>
    <t>0781866896</t>
  </si>
  <si>
    <t>00100004743</t>
  </si>
  <si>
    <t>00100004727</t>
  </si>
  <si>
    <t>00100004358</t>
  </si>
  <si>
    <t>MARGRET BUKIRWA</t>
  </si>
  <si>
    <t>0775312703</t>
  </si>
  <si>
    <t>HADAADI SSEBUUMA</t>
  </si>
  <si>
    <t>0777872987</t>
  </si>
  <si>
    <t>0701954358</t>
  </si>
  <si>
    <t>NOAH MUSISI</t>
  </si>
  <si>
    <t>0782222908</t>
  </si>
  <si>
    <t>00100004760</t>
  </si>
  <si>
    <t>00200002743</t>
  </si>
  <si>
    <t>00100004751</t>
  </si>
  <si>
    <t>00200002762</t>
  </si>
  <si>
    <t>00200000980</t>
  </si>
  <si>
    <t>00200002759</t>
  </si>
  <si>
    <t>00200002734</t>
  </si>
  <si>
    <t>00200001083</t>
  </si>
  <si>
    <t>CISSY MUTEBI NALUMANSI</t>
  </si>
  <si>
    <t>0772253863</t>
  </si>
  <si>
    <t>ESAU MUSOGA</t>
  </si>
  <si>
    <t>0772682233</t>
  </si>
  <si>
    <t>0758682233</t>
  </si>
  <si>
    <t>HANIFA KIKOMEKO NAKYEYUNE</t>
  </si>
  <si>
    <t>0759139699</t>
  </si>
  <si>
    <t>SHAMINA NAMUKOSE</t>
  </si>
  <si>
    <t>0706307996</t>
  </si>
  <si>
    <t>KAMADI SSEBADUKA WAMALA</t>
  </si>
  <si>
    <t>0772685062</t>
  </si>
  <si>
    <t>0704143971</t>
  </si>
  <si>
    <t>HAPPY BENJAMIN TURYAGYENDA</t>
  </si>
  <si>
    <t>0770880182</t>
  </si>
  <si>
    <t>JULIET NAKAYIBA</t>
  </si>
  <si>
    <t>0705224235</t>
  </si>
  <si>
    <t>0788304031</t>
  </si>
  <si>
    <t>SIMON NYUNGWE</t>
  </si>
  <si>
    <t>0704789245</t>
  </si>
  <si>
    <t>0777253505</t>
  </si>
  <si>
    <t>00200002752</t>
  </si>
  <si>
    <t>00100004744</t>
  </si>
  <si>
    <t>00100004757</t>
  </si>
  <si>
    <t>00100004733</t>
  </si>
  <si>
    <t>00200002728</t>
  </si>
  <si>
    <t>ISMAIL MIIRO</t>
  </si>
  <si>
    <t>0705467611</t>
  </si>
  <si>
    <t>MARGRET TUGUME</t>
  </si>
  <si>
    <t>0772031021</t>
  </si>
  <si>
    <t>0704192138</t>
  </si>
  <si>
    <t>EDRISA SSEMATIMBA</t>
  </si>
  <si>
    <t>077944715</t>
  </si>
  <si>
    <t>0756442885</t>
  </si>
  <si>
    <t>ROSEMARY NALUYIMA</t>
  </si>
  <si>
    <t>0755600971</t>
  </si>
  <si>
    <t>EDWARD BALAMAZE</t>
  </si>
  <si>
    <t>0755296596</t>
  </si>
  <si>
    <t>0787766626</t>
  </si>
  <si>
    <t>00100004763</t>
  </si>
  <si>
    <t>00200002677</t>
  </si>
  <si>
    <t>00200000269</t>
  </si>
  <si>
    <t>HADIJJAH NALWEYISO</t>
  </si>
  <si>
    <t>0752171365</t>
  </si>
  <si>
    <t>FRED TEBUSEEKE</t>
  </si>
  <si>
    <t>0772511288</t>
  </si>
  <si>
    <t>0702511288</t>
  </si>
  <si>
    <t>SHEILA FAITH NAKIMBUGWE</t>
  </si>
  <si>
    <t>0783300737</t>
  </si>
  <si>
    <t>00100004677</t>
  </si>
  <si>
    <t>00200002727</t>
  </si>
  <si>
    <t>00100004748</t>
  </si>
  <si>
    <t>0775898980</t>
  </si>
  <si>
    <t>NORAH NSUBUGA</t>
  </si>
  <si>
    <t>0776744562</t>
  </si>
  <si>
    <t>0751906491</t>
  </si>
  <si>
    <t>GERTRUDE NAGADYA</t>
  </si>
  <si>
    <t>0702080436</t>
  </si>
  <si>
    <t>LWANGA CHARLES</t>
  </si>
  <si>
    <t>0774423734</t>
  </si>
  <si>
    <t>0759359136</t>
  </si>
  <si>
    <t>00100004756</t>
  </si>
  <si>
    <t>SAIDI KAYONDO</t>
  </si>
  <si>
    <t>0756640294</t>
  </si>
  <si>
    <t>0777514145</t>
  </si>
  <si>
    <t>00200002765</t>
  </si>
  <si>
    <t>00100004762</t>
  </si>
  <si>
    <t>00200002695</t>
  </si>
  <si>
    <t>00200002718</t>
  </si>
  <si>
    <t>00200002749</t>
  </si>
  <si>
    <t>00200001392</t>
  </si>
  <si>
    <t>SALAMAH NANKYA</t>
  </si>
  <si>
    <t>0701121149</t>
  </si>
  <si>
    <t>0783121349</t>
  </si>
  <si>
    <t>KAVUMA EID</t>
  </si>
  <si>
    <t>0752423206</t>
  </si>
  <si>
    <t>VANESSA NAMUBIRU</t>
  </si>
  <si>
    <t>0787336276</t>
  </si>
  <si>
    <t>RICHARD KIWALABYE</t>
  </si>
  <si>
    <t>0702730077</t>
  </si>
  <si>
    <t>0772950005</t>
  </si>
  <si>
    <t>KATABILWA MIIRO</t>
  </si>
  <si>
    <t>0777105784</t>
  </si>
  <si>
    <t>UMAR ZIRABAMUZALE BUKENYA</t>
  </si>
  <si>
    <t>0775412602</t>
  </si>
  <si>
    <t>0755412602</t>
  </si>
  <si>
    <t>00200002760</t>
  </si>
  <si>
    <t>00200002770</t>
  </si>
  <si>
    <t>00100004769</t>
  </si>
  <si>
    <t>00200002769</t>
  </si>
  <si>
    <t>00200002786</t>
  </si>
  <si>
    <t>00200002775</t>
  </si>
  <si>
    <t>YUSITINA NYIRARUKUNDO</t>
  </si>
  <si>
    <t>0783165990</t>
  </si>
  <si>
    <t>GODFREY MUGUMYA</t>
  </si>
  <si>
    <t>0782554333</t>
  </si>
  <si>
    <t>WASIKE AGNES &amp; GIDUDU BRIAN</t>
  </si>
  <si>
    <t>0704614256</t>
  </si>
  <si>
    <t>0704194987</t>
  </si>
  <si>
    <t>TWESIGYE RICHARD</t>
  </si>
  <si>
    <t>0759419610</t>
  </si>
  <si>
    <t>MARGRET KUGONZA</t>
  </si>
  <si>
    <t>0702301400</t>
  </si>
  <si>
    <t>ISSA KIRABIRA</t>
  </si>
  <si>
    <t>0758596900</t>
  </si>
  <si>
    <t>00200002788</t>
  </si>
  <si>
    <t>JUSTINE ASIIMWE</t>
  </si>
  <si>
    <t>0755353513</t>
  </si>
  <si>
    <t>00100002035</t>
  </si>
  <si>
    <t>00100004746</t>
  </si>
  <si>
    <t>00100004771</t>
  </si>
  <si>
    <t>00100004776</t>
  </si>
  <si>
    <t>00200002753</t>
  </si>
  <si>
    <t>00200002777</t>
  </si>
  <si>
    <t>00200002750</t>
  </si>
  <si>
    <t>00100004770</t>
  </si>
  <si>
    <t>ALEX SALAINE</t>
  </si>
  <si>
    <t>075075859</t>
  </si>
  <si>
    <t>0772151603</t>
  </si>
  <si>
    <t>JOSEPH KIWENDO LUBWAMA</t>
  </si>
  <si>
    <t>0701419632</t>
  </si>
  <si>
    <t>RUKIA NAKANWAGI</t>
  </si>
  <si>
    <t>075801852</t>
  </si>
  <si>
    <t>ALICE NYIRAMAHORO</t>
  </si>
  <si>
    <t>0704960502</t>
  </si>
  <si>
    <t>MICHAEL KAKANDE</t>
  </si>
  <si>
    <t>0772539291</t>
  </si>
  <si>
    <t>0704568413</t>
  </si>
  <si>
    <t>MOSES SSEGIRINYA</t>
  </si>
  <si>
    <t>0755606487</t>
  </si>
  <si>
    <t>BYARUHANGA VEN NGOMAYONDI</t>
  </si>
  <si>
    <t>0779146632</t>
  </si>
  <si>
    <t>0701927162</t>
  </si>
  <si>
    <t>MUGALU FRANK</t>
  </si>
  <si>
    <t>0772988541</t>
  </si>
  <si>
    <t>00200002781</t>
  </si>
  <si>
    <t>00100004753</t>
  </si>
  <si>
    <t>00100004055</t>
  </si>
  <si>
    <t>00200002782</t>
  </si>
  <si>
    <t>00200002776</t>
  </si>
  <si>
    <t>00100000982</t>
  </si>
  <si>
    <t>00200002784</t>
  </si>
  <si>
    <t>JULIET NABIRYO</t>
  </si>
  <si>
    <t>0779868668</t>
  </si>
  <si>
    <t>0752615208</t>
  </si>
  <si>
    <t>GEORGE WILLIAM MUKASA</t>
  </si>
  <si>
    <t>0772502712</t>
  </si>
  <si>
    <t>0701502712</t>
  </si>
  <si>
    <t>WINFRED NAKIJOBA</t>
  </si>
  <si>
    <t>0753181801</t>
  </si>
  <si>
    <t>RACHEL NABUKALU NABITALO</t>
  </si>
  <si>
    <t>0774216040</t>
  </si>
  <si>
    <t>SARAH NASSUUNA</t>
  </si>
  <si>
    <t>0700167454</t>
  </si>
  <si>
    <t>0777738656</t>
  </si>
  <si>
    <t>CHARLES SSEMBATYA</t>
  </si>
  <si>
    <t>0782605644</t>
  </si>
  <si>
    <t>0702614599</t>
  </si>
  <si>
    <t>DAVID MUGOYA</t>
  </si>
  <si>
    <t>077775209</t>
  </si>
  <si>
    <t>00200002780</t>
  </si>
  <si>
    <t>00200002746</t>
  </si>
  <si>
    <t>00100003684</t>
  </si>
  <si>
    <t>00200002790</t>
  </si>
  <si>
    <t>ISAAC MUWANGUZI</t>
  </si>
  <si>
    <t>0753888187</t>
  </si>
  <si>
    <t>0794277330</t>
  </si>
  <si>
    <t>BETTY BUKILWA</t>
  </si>
  <si>
    <t>0703462793</t>
  </si>
  <si>
    <t>0772550874</t>
  </si>
  <si>
    <t>OBWANGAMOI DAVID OPIO</t>
  </si>
  <si>
    <t>0783689831</t>
  </si>
  <si>
    <t>NAKIWERE CISSY</t>
  </si>
  <si>
    <t>0789743757</t>
  </si>
  <si>
    <t>00100003718</t>
  </si>
  <si>
    <t>00100004775</t>
  </si>
  <si>
    <t>00100004784</t>
  </si>
  <si>
    <t>JULIET MUGISHA</t>
  </si>
  <si>
    <t>0702223471</t>
  </si>
  <si>
    <t>GEORGE WILLIAM ANGEE</t>
  </si>
  <si>
    <t>0758001678</t>
  </si>
  <si>
    <t>0392887052</t>
  </si>
  <si>
    <t>HENRY LUTAAYA KALEGGA</t>
  </si>
  <si>
    <t>0779917143</t>
  </si>
  <si>
    <t>00200002774</t>
  </si>
  <si>
    <t>EDWARD MATOVU</t>
  </si>
  <si>
    <t>0772311605</t>
  </si>
  <si>
    <t>00100004758</t>
  </si>
  <si>
    <t>00200002779</t>
  </si>
  <si>
    <t>00200002825</t>
  </si>
  <si>
    <t>00200002785</t>
  </si>
  <si>
    <t>00100004773</t>
  </si>
  <si>
    <t>00200002814</t>
  </si>
  <si>
    <t>00100002194</t>
  </si>
  <si>
    <t>ABDALAH SALONGO SENYONDO</t>
  </si>
  <si>
    <t>0784010053</t>
  </si>
  <si>
    <t>BENSON KAJJIMU</t>
  </si>
  <si>
    <t>0782777631</t>
  </si>
  <si>
    <t>075777631</t>
  </si>
  <si>
    <t>DERRICK KINTU</t>
  </si>
  <si>
    <t>0777697310</t>
  </si>
  <si>
    <t>0701866568</t>
  </si>
  <si>
    <t>FRANCIS KALIBBALA</t>
  </si>
  <si>
    <t>0772367669</t>
  </si>
  <si>
    <t>0704024449</t>
  </si>
  <si>
    <t>DAVID BOGERE SSEBADDUKA</t>
  </si>
  <si>
    <t>0704221801</t>
  </si>
  <si>
    <t>0776221801</t>
  </si>
  <si>
    <t>FRANCIS NOLAN SEMATA</t>
  </si>
  <si>
    <t>0706761327</t>
  </si>
  <si>
    <t>HAPPY TRAILS COACHES LTD</t>
  </si>
  <si>
    <t>0788725880</t>
  </si>
  <si>
    <t>01-11-2017</t>
  </si>
  <si>
    <t>30-11-2017</t>
  </si>
  <si>
    <t>00100000955</t>
  </si>
  <si>
    <t>RONALD KAYIMA</t>
  </si>
  <si>
    <t>0701990478</t>
  </si>
  <si>
    <t>0774990478</t>
  </si>
  <si>
    <t>Previous month Oct 2017</t>
  </si>
  <si>
    <t>00200000006</t>
  </si>
  <si>
    <t>00200002772</t>
  </si>
  <si>
    <t>HANNAH KAHUMUZA</t>
  </si>
  <si>
    <t>0783199394</t>
  </si>
  <si>
    <t>DAVID KASADHA</t>
  </si>
  <si>
    <t>0772497783</t>
  </si>
  <si>
    <t>00200002803</t>
  </si>
  <si>
    <t>00200002756</t>
  </si>
  <si>
    <t>00200002810</t>
  </si>
  <si>
    <t>SARAH KAYAGA</t>
  </si>
  <si>
    <t>0756648345</t>
  </si>
  <si>
    <t>JOANITA NABUKEERA MUNINA</t>
  </si>
  <si>
    <t>0782559553</t>
  </si>
  <si>
    <t>0706447145</t>
  </si>
  <si>
    <t>JANE OPONDO NALUKWAGO</t>
  </si>
  <si>
    <t>0774892615</t>
  </si>
  <si>
    <t>00100004052</t>
  </si>
  <si>
    <t>00200002338</t>
  </si>
  <si>
    <t>00200002811</t>
  </si>
  <si>
    <t>00200002767</t>
  </si>
  <si>
    <t>ABDULLAH SSEMBATYA</t>
  </si>
  <si>
    <t>0702664119</t>
  </si>
  <si>
    <t>0782664116</t>
  </si>
  <si>
    <t>JORDAN AZEDH DHIKUSOKA</t>
  </si>
  <si>
    <t>0705600664</t>
  </si>
  <si>
    <t>0703995444</t>
  </si>
  <si>
    <t>MARY KAYE NAKAWUKA</t>
  </si>
  <si>
    <t>0705650188</t>
  </si>
  <si>
    <t>ANNETTE NZOKI</t>
  </si>
  <si>
    <t>0757205190</t>
  </si>
  <si>
    <t>00200002808</t>
  </si>
  <si>
    <t>RUTH NABILONGO</t>
  </si>
  <si>
    <t>0782348730</t>
  </si>
  <si>
    <t>0752348730</t>
  </si>
  <si>
    <t>0783597442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</si>
</sst>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 #,##0_)\ _$_ ;_ * \(#,##0\)\ _$_ ;_ * &quot;-&quot;_)\ _$_ ;_ @_ "/>
    <numFmt numFmtId="166" formatCode="_ * #,##0.00_)\ _$_ ;_ * \(#,##0.00\)\ _$_ ;_ * &quot;-&quot;??_)\ _$_ ;_ @_ "/>
    <numFmt numFmtId="167" formatCode="_-* #,##0.0_-;\-* #,##0.0_-;_-* &quot;-&quot;??_-;_-@_-"/>
    <numFmt numFmtId="168" formatCode="#,##0_ ;\-#,##0\ "/>
    <numFmt numFmtId="169" formatCode="_-* #,##0_-;\-* #,##0_-;_-* &quot;-&quot;??_-;_-@_-"/>
    <numFmt numFmtId="170" formatCode="[$-F800]dddd\,\ mmmm\ dd\,\ yyyy"/>
    <numFmt numFmtId="171" formatCode="#,##0.00\ [$UGX]"/>
    <numFmt numFmtId="172" formatCode="d"/>
    <numFmt numFmtId="173" formatCode="yyyy/mm/dd;@"/>
    <numFmt numFmtId="174" formatCode="0.0%"/>
    <numFmt numFmtId="175" formatCode="[$-409]mmm\-yy;@"/>
    <numFmt numFmtId="176" formatCode="[$-409]mmmm\ d\,\ yyyy;@"/>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0"/>
      <color rgb="FF000000"/>
      <name val="Arial"/>
      <family val="2"/>
    </font>
    <font>
      <sz val="9"/>
      <color indexed="81"/>
      <name val="Tahoma"/>
      <family val="2"/>
    </font>
    <font>
      <sz val="10"/>
      <name val="Arial"/>
      <family val="2"/>
    </font>
    <font>
      <sz val="10"/>
      <name val="Arial"/>
      <family val="2"/>
    </font>
    <font>
      <b/>
      <sz val="11"/>
      <color theme="1"/>
      <name val="Calibri"/>
      <family val="2"/>
      <scheme val="minor"/>
    </font>
    <font>
      <sz val="10"/>
      <color theme="1"/>
      <name val="Arial"/>
      <family val="2"/>
    </font>
    <font>
      <sz val="12"/>
      <name val="Arial"/>
      <family val="2"/>
    </font>
    <font>
      <b/>
      <sz val="13"/>
      <name val="Arial"/>
      <family val="2"/>
    </font>
    <font>
      <sz val="8"/>
      <name val="Arial"/>
      <family val="2"/>
    </font>
    <font>
      <sz val="10"/>
      <color rgb="FFFF0000"/>
      <name val="Arial"/>
      <family val="2"/>
    </font>
    <font>
      <sz val="10"/>
      <name val="Arial"/>
      <family val="2"/>
    </font>
    <font>
      <sz val="12"/>
      <color theme="1"/>
      <name val="Arial"/>
      <family val="2"/>
    </font>
    <font>
      <b/>
      <sz val="16"/>
      <color theme="1"/>
      <name val="Arial"/>
      <family val="2"/>
    </font>
    <font>
      <b/>
      <sz val="22"/>
      <color theme="1"/>
      <name val="Arial"/>
      <family val="2"/>
    </font>
    <font>
      <b/>
      <sz val="18"/>
      <color theme="1"/>
      <name val="Arial"/>
      <family val="2"/>
    </font>
    <font>
      <b/>
      <sz val="12"/>
      <color theme="1"/>
      <name val="Arial"/>
      <family val="2"/>
    </font>
    <font>
      <sz val="16"/>
      <color theme="1"/>
      <name val="Arial"/>
      <family val="2"/>
    </font>
    <font>
      <sz val="18"/>
      <name val="Arial"/>
      <family val="2"/>
    </font>
    <font>
      <sz val="18"/>
      <color theme="1"/>
      <name val="Arial"/>
      <family val="2"/>
    </font>
    <font>
      <sz val="18"/>
      <name val="Calibri"/>
      <family val="2"/>
    </font>
    <font>
      <sz val="16"/>
      <name val="Arial"/>
      <family val="2"/>
    </font>
    <font>
      <sz val="10"/>
      <color rgb="FF7030A0"/>
      <name val="Arial"/>
      <family val="2"/>
    </font>
    <font>
      <sz val="11"/>
      <color indexed="9"/>
      <name val="Calibri"/>
      <family val="2"/>
    </font>
    <font>
      <b/>
      <sz val="9"/>
      <name val="Arial"/>
      <family val="2"/>
    </font>
    <font>
      <sz val="9"/>
      <name val="Arial"/>
      <family val="2"/>
    </font>
    <font>
      <b/>
      <sz val="12"/>
      <color indexed="9"/>
      <name val="Arial"/>
      <family val="2"/>
    </font>
    <font>
      <b/>
      <sz val="11"/>
      <name val="Arial"/>
      <family val="2"/>
    </font>
    <font>
      <sz val="11"/>
      <name val="Arial"/>
      <family val="2"/>
    </font>
    <font>
      <b/>
      <sz val="16"/>
      <name val="Arial"/>
      <family val="2"/>
    </font>
    <font>
      <b/>
      <sz val="22"/>
      <name val="Arial"/>
      <family val="2"/>
    </font>
    <font>
      <b/>
      <sz val="9"/>
      <color indexed="81"/>
      <name val="Tahoma"/>
      <family val="2"/>
    </font>
    <font>
      <b/>
      <sz val="8"/>
      <name val="Arial"/>
      <family val="2"/>
    </font>
    <font>
      <sz val="8.5"/>
      <name val="Arial"/>
      <family val="2"/>
    </font>
    <font>
      <b/>
      <sz val="8.5"/>
      <name val="Arial"/>
      <family val="2"/>
    </font>
    <font>
      <u/>
      <sz val="9"/>
      <name val="Arial"/>
      <family val="2"/>
    </font>
    <font>
      <sz val="16"/>
      <name val="Arial"/>
      <family val="2"/>
    </font>
    <font>
      <sz val="18"/>
      <color theme="1"/>
      <name val="Arial"/>
      <family val="2"/>
    </font>
    <font>
      <sz val="10"/>
      <color rgb="FF00B050"/>
      <name val="Arial"/>
      <family val="2"/>
    </font>
    <font>
      <sz val="10"/>
      <color rgb="FFC00000"/>
      <name val="Arial"/>
      <family val="2"/>
    </font>
    <font>
      <sz val="10"/>
      <color theme="2" tint="-0.499984740745262"/>
      <name val="Arial"/>
      <family val="2"/>
    </font>
    <font>
      <sz val="16"/>
      <name val="Arial"/>
      <family val="2"/>
    </font>
    <font>
      <sz val="18"/>
      <color theme="1"/>
      <name val="Arial"/>
      <family val="2"/>
    </font>
    <font>
      <sz val="16"/>
      <name val="Arial"/>
      <family val="2"/>
    </font>
    <font>
      <sz val="18"/>
      <color theme="1"/>
      <name val="Arial"/>
      <family val="2"/>
    </font>
    <font>
      <sz val="16"/>
      <name val="Arial"/>
      <family val="2"/>
    </font>
    <font>
      <sz val="18"/>
      <color theme="1"/>
      <name val="Arial"/>
      <family val="2"/>
    </font>
    <font>
      <sz val="8"/>
      <name val="Arial"/>
      <family val="2"/>
    </font>
  </fonts>
  <fills count="26">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22"/>
        <bgColor indexed="64"/>
      </patternFill>
    </fill>
    <fill>
      <patternFill patternType="solid">
        <fgColor theme="0"/>
        <bgColor indexed="64"/>
      </patternFill>
    </fill>
    <fill>
      <patternFill patternType="solid">
        <fgColor theme="0" tint="-0.14996795556505021"/>
        <bgColor indexed="64"/>
      </patternFill>
    </fill>
    <fill>
      <patternFill patternType="solid">
        <fgColor rgb="FFFFFF00"/>
        <bgColor indexed="64"/>
      </patternFill>
    </fill>
    <fill>
      <patternFill patternType="solid">
        <fgColor rgb="FFDDDDDD"/>
        <bgColor indexed="64"/>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6" tint="0.39994506668294322"/>
        <bgColor indexed="64"/>
      </patternFill>
    </fill>
    <fill>
      <patternFill patternType="solid">
        <fgColor theme="9" tint="0.79998168889431442"/>
        <bgColor indexed="64"/>
      </patternFill>
    </fill>
    <fill>
      <patternFill patternType="solid">
        <fgColor indexed="6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indexed="57"/>
      </patternFill>
    </fill>
    <fill>
      <patternFill patternType="solid">
        <fgColor theme="9" tint="0.59999389629810485"/>
        <bgColor indexed="64"/>
      </patternFill>
    </fill>
    <fill>
      <patternFill patternType="solid">
        <fgColor rgb="FFF6882E"/>
        <bgColor indexed="64"/>
      </patternFill>
    </fill>
    <fill>
      <patternFill patternType="solid">
        <fgColor rgb="FFCCE9AD"/>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92D050"/>
        <bgColor indexed="64"/>
      </patternFill>
    </fill>
  </fills>
  <borders count="10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ck">
        <color indexed="64"/>
      </top>
      <bottom style="thick">
        <color indexed="64"/>
      </bottom>
      <diagonal/>
    </border>
    <border>
      <left/>
      <right/>
      <top style="thick">
        <color indexed="64"/>
      </top>
      <bottom/>
      <diagonal/>
    </border>
    <border>
      <left style="thin">
        <color theme="2"/>
      </left>
      <right style="thin">
        <color theme="2"/>
      </right>
      <top style="thin">
        <color theme="2"/>
      </top>
      <bottom style="thin">
        <color theme="2"/>
      </bottom>
      <diagonal/>
    </border>
    <border>
      <left style="thin">
        <color theme="2"/>
      </left>
      <right style="thin">
        <color theme="2"/>
      </right>
      <top/>
      <bottom/>
      <diagonal/>
    </border>
    <border>
      <left style="thin">
        <color theme="0" tint="-4.9989318521683403E-2"/>
      </left>
      <right style="thin">
        <color theme="0" tint="-4.9989318521683403E-2"/>
      </right>
      <top style="thin">
        <color theme="0" tint="-4.9989318521683403E-2"/>
      </top>
      <bottom/>
      <diagonal/>
    </border>
    <border>
      <left style="thin">
        <color indexed="64"/>
      </left>
      <right/>
      <top style="thick">
        <color indexed="64"/>
      </top>
      <bottom style="thick">
        <color indexed="64"/>
      </bottom>
      <diagonal/>
    </border>
    <border>
      <left style="thin">
        <color theme="2"/>
      </left>
      <right style="thin">
        <color theme="2"/>
      </right>
      <top style="thin">
        <color theme="2"/>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diagonal/>
    </border>
    <border>
      <left/>
      <right style="thin">
        <color auto="1"/>
      </right>
      <top style="thick">
        <color auto="1"/>
      </top>
      <bottom/>
      <diagonal/>
    </border>
    <border>
      <left style="thin">
        <color theme="0"/>
      </left>
      <right style="thin">
        <color theme="0"/>
      </right>
      <top style="thin">
        <color theme="0"/>
      </top>
      <bottom/>
      <diagonal/>
    </border>
    <border>
      <left style="thin">
        <color theme="0"/>
      </left>
      <right style="thin">
        <color theme="0"/>
      </right>
      <top/>
      <bottom/>
      <diagonal/>
    </border>
    <border>
      <left style="medium">
        <color indexed="64"/>
      </left>
      <right/>
      <top/>
      <bottom style="medium">
        <color indexed="64"/>
      </bottom>
      <diagonal/>
    </border>
    <border>
      <left style="thin">
        <color indexed="64"/>
      </left>
      <right style="thin">
        <color indexed="64"/>
      </right>
      <top style="thick">
        <color indexed="64"/>
      </top>
      <bottom/>
      <diagonal/>
    </border>
    <border>
      <left style="thin">
        <color indexed="64"/>
      </left>
      <right style="thin">
        <color indexed="64"/>
      </right>
      <top/>
      <bottom style="thick">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ck">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ck">
        <color indexed="64"/>
      </right>
      <top style="medium">
        <color indexed="64"/>
      </top>
      <bottom/>
      <diagonal/>
    </border>
    <border>
      <left style="thin">
        <color indexed="64"/>
      </left>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ck">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right style="thick">
        <color indexed="64"/>
      </right>
      <top/>
      <bottom style="thin">
        <color indexed="64"/>
      </bottom>
      <diagonal/>
    </border>
    <border>
      <left style="medium">
        <color indexed="64"/>
      </left>
      <right style="medium">
        <color indexed="64"/>
      </right>
      <top/>
      <bottom style="thin">
        <color indexed="64"/>
      </bottom>
      <diagonal/>
    </border>
    <border>
      <left style="thick">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ck">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ck">
        <color indexed="64"/>
      </right>
      <top style="thin">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ck">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style="thin">
        <color indexed="64"/>
      </top>
      <bottom/>
      <diagonal/>
    </border>
    <border>
      <left style="medium">
        <color indexed="64"/>
      </left>
      <right/>
      <top style="thin">
        <color indexed="64"/>
      </top>
      <bottom/>
      <diagonal/>
    </border>
    <border>
      <left style="medium">
        <color indexed="64"/>
      </left>
      <right style="thick">
        <color indexed="64"/>
      </right>
      <top style="medium">
        <color indexed="64"/>
      </top>
      <bottom style="medium">
        <color indexed="64"/>
      </bottom>
      <diagonal/>
    </border>
    <border>
      <left style="medium">
        <color indexed="64"/>
      </left>
      <right style="medium">
        <color indexed="64"/>
      </right>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s>
  <cellStyleXfs count="16">
    <xf numFmtId="0" fontId="0" fillId="0" borderId="0"/>
    <xf numFmtId="0" fontId="8" fillId="0" borderId="0" applyNumberFormat="0" applyFill="0" applyBorder="0" applyAlignment="0" applyProtection="0"/>
    <xf numFmtId="0" fontId="8"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7" fillId="0" borderId="0"/>
    <xf numFmtId="164" fontId="12" fillId="0" borderId="0" applyFont="0" applyFill="0" applyBorder="0" applyAlignment="0" applyProtection="0"/>
    <xf numFmtId="9" fontId="13" fillId="0" borderId="0" applyFont="0" applyFill="0" applyBorder="0" applyAlignment="0" applyProtection="0"/>
    <xf numFmtId="0" fontId="5" fillId="0" borderId="0"/>
    <xf numFmtId="9" fontId="7" fillId="0" borderId="0" applyFont="0" applyFill="0" applyBorder="0" applyAlignment="0" applyProtection="0"/>
    <xf numFmtId="0" fontId="4"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4" fillId="0" borderId="0"/>
    <xf numFmtId="0" fontId="32" fillId="19" borderId="0" applyNumberFormat="0" applyBorder="0" applyAlignment="0" applyProtection="0"/>
  </cellStyleXfs>
  <cellXfs count="923">
    <xf numFmtId="0" fontId="0" fillId="0" borderId="0" xfId="0"/>
    <xf numFmtId="0" fontId="9" fillId="2" borderId="10" xfId="0" applyFont="1" applyFill="1" applyBorder="1" applyAlignment="1" applyProtection="1">
      <alignment horizontal="center"/>
    </xf>
    <xf numFmtId="0" fontId="8" fillId="4" borderId="11" xfId="0" applyFont="1" applyFill="1" applyBorder="1" applyAlignment="1" applyProtection="1">
      <alignment horizontal="center"/>
    </xf>
    <xf numFmtId="0" fontId="9" fillId="2" borderId="9" xfId="0" applyFont="1" applyFill="1" applyBorder="1" applyAlignment="1" applyProtection="1">
      <alignment horizontal="center"/>
    </xf>
    <xf numFmtId="0" fontId="9" fillId="2" borderId="2" xfId="0" applyFont="1" applyFill="1" applyBorder="1" applyAlignment="1" applyProtection="1">
      <alignment horizontal="center"/>
    </xf>
    <xf numFmtId="0" fontId="0" fillId="5" borderId="5" xfId="0" applyFill="1" applyBorder="1" applyProtection="1"/>
    <xf numFmtId="0" fontId="0" fillId="5" borderId="0" xfId="0" applyFill="1" applyBorder="1" applyProtection="1"/>
    <xf numFmtId="0" fontId="0" fillId="5" borderId="6" xfId="0" applyFill="1" applyBorder="1" applyProtection="1"/>
    <xf numFmtId="0" fontId="0" fillId="5" borderId="7" xfId="0" applyFill="1" applyBorder="1" applyProtection="1"/>
    <xf numFmtId="0" fontId="0" fillId="5" borderId="8" xfId="0" applyFill="1" applyBorder="1" applyProtection="1"/>
    <xf numFmtId="0" fontId="7" fillId="5" borderId="7" xfId="0" applyFont="1" applyFill="1" applyBorder="1" applyProtection="1"/>
    <xf numFmtId="0" fontId="0" fillId="0" borderId="1" xfId="0" applyBorder="1"/>
    <xf numFmtId="0" fontId="0" fillId="0" borderId="1" xfId="0" applyBorder="1" applyAlignment="1">
      <alignment horizontal="center"/>
    </xf>
    <xf numFmtId="14" fontId="0" fillId="0" borderId="1" xfId="0" applyNumberFormat="1" applyBorder="1" applyAlignment="1">
      <alignment horizontal="center"/>
    </xf>
    <xf numFmtId="0" fontId="0" fillId="0" borderId="0" xfId="0" applyAlignment="1">
      <alignment horizontal="center"/>
    </xf>
    <xf numFmtId="0" fontId="0" fillId="6" borderId="1" xfId="0" applyFill="1" applyBorder="1" applyAlignment="1">
      <alignment horizontal="center" vertical="center" wrapText="1"/>
    </xf>
    <xf numFmtId="0" fontId="0" fillId="2" borderId="0" xfId="0" applyFill="1" applyProtection="1"/>
    <xf numFmtId="0" fontId="0" fillId="0" borderId="0" xfId="0" applyProtection="1"/>
    <xf numFmtId="0" fontId="0" fillId="0" borderId="5" xfId="0" applyBorder="1" applyProtection="1"/>
    <xf numFmtId="0" fontId="7" fillId="2" borderId="0" xfId="0" applyFont="1" applyFill="1" applyBorder="1" applyProtection="1"/>
    <xf numFmtId="0" fontId="0" fillId="2" borderId="0" xfId="0" applyFill="1" applyBorder="1" applyProtection="1"/>
    <xf numFmtId="0" fontId="0" fillId="2" borderId="6" xfId="0" applyFill="1" applyBorder="1" applyProtection="1"/>
    <xf numFmtId="0" fontId="7" fillId="2" borderId="5" xfId="0" applyFont="1" applyFill="1" applyBorder="1" applyProtection="1"/>
    <xf numFmtId="0" fontId="0" fillId="2" borderId="5" xfId="0" applyFill="1" applyBorder="1" applyProtection="1"/>
    <xf numFmtId="0" fontId="7" fillId="2" borderId="1" xfId="0" applyFont="1" applyFill="1" applyBorder="1" applyAlignment="1" applyProtection="1">
      <alignment horizontal="center" vertical="center"/>
    </xf>
    <xf numFmtId="0" fontId="7" fillId="2" borderId="0" xfId="0" applyFont="1" applyFill="1" applyBorder="1" applyAlignment="1" applyProtection="1">
      <alignment horizontal="center" vertical="center"/>
    </xf>
    <xf numFmtId="0" fontId="8" fillId="2" borderId="5" xfId="0" applyFont="1" applyFill="1" applyBorder="1" applyAlignment="1" applyProtection="1">
      <alignment horizontal="center"/>
    </xf>
    <xf numFmtId="49" fontId="8" fillId="2" borderId="0" xfId="0" quotePrefix="1" applyNumberFormat="1" applyFont="1" applyFill="1" applyBorder="1" applyAlignment="1" applyProtection="1">
      <alignment horizontal="left" vertical="center"/>
    </xf>
    <xf numFmtId="49" fontId="7" fillId="2" borderId="0" xfId="0" applyNumberFormat="1" applyFont="1" applyFill="1" applyBorder="1" applyAlignment="1" applyProtection="1">
      <alignment horizontal="center" vertical="center"/>
    </xf>
    <xf numFmtId="0" fontId="8" fillId="2" borderId="0" xfId="0" applyFont="1" applyFill="1" applyBorder="1" applyAlignment="1" applyProtection="1">
      <alignment horizontal="center"/>
    </xf>
    <xf numFmtId="49" fontId="7" fillId="5" borderId="0" xfId="0" applyNumberFormat="1" applyFont="1" applyFill="1" applyBorder="1" applyAlignment="1" applyProtection="1">
      <alignment horizontal="center" vertical="center"/>
    </xf>
    <xf numFmtId="0" fontId="0" fillId="5" borderId="0" xfId="0" applyFill="1" applyProtection="1"/>
    <xf numFmtId="0" fontId="8" fillId="5" borderId="0" xfId="0" applyFont="1" applyFill="1" applyBorder="1" applyProtection="1"/>
    <xf numFmtId="0" fontId="8" fillId="2" borderId="0" xfId="0" applyFont="1" applyFill="1" applyBorder="1" applyProtection="1"/>
    <xf numFmtId="0" fontId="0" fillId="2" borderId="3" xfId="0" applyFill="1" applyBorder="1" applyProtection="1"/>
    <xf numFmtId="0" fontId="0" fillId="2" borderId="7" xfId="0" applyFill="1" applyBorder="1" applyProtection="1"/>
    <xf numFmtId="0" fontId="0" fillId="2" borderId="8" xfId="0" applyFill="1" applyBorder="1" applyProtection="1"/>
    <xf numFmtId="0" fontId="7" fillId="2" borderId="0" xfId="0" applyFont="1" applyFill="1" applyProtection="1"/>
    <xf numFmtId="0" fontId="7" fillId="8" borderId="1" xfId="0" applyFont="1" applyFill="1" applyBorder="1" applyProtection="1"/>
    <xf numFmtId="0" fontId="8" fillId="0" borderId="1" xfId="0" applyFont="1" applyBorder="1" applyAlignment="1">
      <alignment horizontal="center" wrapText="1"/>
    </xf>
    <xf numFmtId="0" fontId="8" fillId="0" borderId="0" xfId="0" applyFont="1" applyFill="1" applyBorder="1" applyAlignment="1">
      <alignment horizontal="center" wrapText="1"/>
    </xf>
    <xf numFmtId="0" fontId="7" fillId="0" borderId="0" xfId="0" applyFont="1" applyAlignment="1">
      <alignment vertical="center" wrapText="1"/>
    </xf>
    <xf numFmtId="167" fontId="0" fillId="0" borderId="0" xfId="6" applyNumberFormat="1" applyFont="1"/>
    <xf numFmtId="0" fontId="8" fillId="0" borderId="1" xfId="0" applyFont="1" applyFill="1" applyBorder="1" applyAlignment="1">
      <alignment horizontal="left" wrapText="1"/>
    </xf>
    <xf numFmtId="0" fontId="7" fillId="0" borderId="1" xfId="0" applyFont="1" applyBorder="1" applyAlignment="1">
      <alignment vertical="center" wrapText="1"/>
    </xf>
    <xf numFmtId="167" fontId="0" fillId="0" borderId="1" xfId="6" applyNumberFormat="1" applyFont="1" applyBorder="1"/>
    <xf numFmtId="9" fontId="0" fillId="0" borderId="1" xfId="7" applyNumberFormat="1" applyFont="1" applyBorder="1" applyAlignment="1">
      <alignment horizontal="center"/>
    </xf>
    <xf numFmtId="0" fontId="7" fillId="0" borderId="0" xfId="0" applyFont="1"/>
    <xf numFmtId="0" fontId="16" fillId="0" borderId="0" xfId="0" applyFont="1"/>
    <xf numFmtId="0" fontId="16" fillId="0" borderId="1" xfId="0" applyFont="1" applyBorder="1" applyAlignment="1">
      <alignment horizontal="center"/>
    </xf>
    <xf numFmtId="0" fontId="8" fillId="2" borderId="1" xfId="0" applyFont="1" applyFill="1" applyBorder="1" applyAlignment="1" applyProtection="1">
      <alignment horizontal="center"/>
    </xf>
    <xf numFmtId="0" fontId="8" fillId="0" borderId="0" xfId="0" applyFont="1" applyAlignment="1">
      <alignment horizontal="center" wrapText="1"/>
    </xf>
    <xf numFmtId="0" fontId="17" fillId="0" borderId="0" xfId="0" applyFont="1"/>
    <xf numFmtId="0" fontId="0" fillId="10" borderId="1" xfId="0" applyFill="1" applyBorder="1" applyAlignment="1" applyProtection="1">
      <alignment horizontal="center"/>
    </xf>
    <xf numFmtId="165" fontId="14" fillId="0" borderId="17" xfId="0" applyNumberFormat="1" applyFont="1" applyBorder="1" applyAlignment="1" applyProtection="1">
      <alignment horizontal="center"/>
    </xf>
    <xf numFmtId="3" fontId="6" fillId="7" borderId="1" xfId="0" applyNumberFormat="1" applyFont="1" applyFill="1" applyBorder="1" applyAlignment="1" applyProtection="1">
      <alignment horizontal="center"/>
      <protection locked="0"/>
    </xf>
    <xf numFmtId="0" fontId="5" fillId="0" borderId="0" xfId="8"/>
    <xf numFmtId="2" fontId="5" fillId="0" borderId="0" xfId="8" applyNumberFormat="1"/>
    <xf numFmtId="0" fontId="18" fillId="0" borderId="0" xfId="0" applyFont="1"/>
    <xf numFmtId="164" fontId="18" fillId="0" borderId="0" xfId="6" applyFont="1"/>
    <xf numFmtId="10" fontId="18" fillId="0" borderId="0" xfId="7" applyNumberFormat="1" applyFont="1"/>
    <xf numFmtId="10" fontId="0" fillId="0" borderId="0" xfId="7" applyNumberFormat="1" applyFont="1"/>
    <xf numFmtId="0" fontId="16" fillId="0" borderId="4" xfId="0" applyFont="1" applyBorder="1" applyAlignment="1">
      <alignment horizontal="left"/>
    </xf>
    <xf numFmtId="0" fontId="16" fillId="0" borderId="4" xfId="0" applyFont="1" applyBorder="1" applyAlignment="1">
      <alignment horizontal="center"/>
    </xf>
    <xf numFmtId="0" fontId="9" fillId="11" borderId="1" xfId="0" applyFont="1" applyFill="1" applyBorder="1" applyAlignment="1">
      <alignment horizontal="center"/>
    </xf>
    <xf numFmtId="0" fontId="9" fillId="11" borderId="1" xfId="0" applyFont="1" applyFill="1" applyBorder="1" applyAlignment="1">
      <alignment horizontal="center" wrapText="1"/>
    </xf>
    <xf numFmtId="0" fontId="16" fillId="5" borderId="9" xfId="0" applyFont="1" applyFill="1" applyBorder="1"/>
    <xf numFmtId="9" fontId="9" fillId="12" borderId="23" xfId="7" applyFont="1" applyFill="1" applyBorder="1" applyAlignment="1">
      <alignment horizontal="center"/>
    </xf>
    <xf numFmtId="0" fontId="7" fillId="0" borderId="0" xfId="5"/>
    <xf numFmtId="0" fontId="7" fillId="0" borderId="0" xfId="5" applyFont="1" applyAlignment="1">
      <alignment vertical="center" wrapText="1"/>
    </xf>
    <xf numFmtId="0" fontId="8" fillId="0" borderId="0" xfId="5" applyFont="1" applyFill="1" applyBorder="1" applyAlignment="1">
      <alignment horizontal="center" wrapText="1"/>
    </xf>
    <xf numFmtId="0" fontId="16" fillId="0" borderId="0" xfId="5" applyFont="1"/>
    <xf numFmtId="0" fontId="7" fillId="0" borderId="0" xfId="5" applyFont="1"/>
    <xf numFmtId="0" fontId="17" fillId="0" borderId="0" xfId="5" applyFont="1"/>
    <xf numFmtId="3" fontId="9" fillId="12" borderId="23" xfId="5" applyNumberFormat="1" applyFont="1" applyFill="1" applyBorder="1" applyAlignment="1">
      <alignment horizontal="center"/>
    </xf>
    <xf numFmtId="0" fontId="9" fillId="12" borderId="23" xfId="5" applyFont="1" applyFill="1" applyBorder="1" applyAlignment="1">
      <alignment horizontal="center"/>
    </xf>
    <xf numFmtId="0" fontId="16" fillId="6" borderId="0" xfId="5" applyFont="1" applyFill="1" applyBorder="1" applyAlignment="1">
      <alignment horizontal="left"/>
    </xf>
    <xf numFmtId="9" fontId="16" fillId="6" borderId="0" xfId="9" applyFont="1" applyFill="1" applyBorder="1" applyAlignment="1">
      <alignment horizontal="center"/>
    </xf>
    <xf numFmtId="0" fontId="9" fillId="6" borderId="0" xfId="5" applyFont="1" applyFill="1" applyBorder="1" applyAlignment="1">
      <alignment horizontal="left"/>
    </xf>
    <xf numFmtId="0" fontId="7" fillId="6" borderId="0" xfId="5" applyFill="1" applyBorder="1"/>
    <xf numFmtId="0" fontId="8" fillId="6" borderId="0" xfId="5" applyFont="1" applyFill="1" applyBorder="1" applyAlignment="1">
      <alignment horizontal="left"/>
    </xf>
    <xf numFmtId="0" fontId="7" fillId="0" borderId="1" xfId="5" applyFont="1" applyBorder="1" applyAlignment="1">
      <alignment horizontal="left"/>
    </xf>
    <xf numFmtId="0" fontId="7" fillId="0" borderId="4" xfId="5" applyFont="1" applyBorder="1" applyAlignment="1">
      <alignment horizontal="left"/>
    </xf>
    <xf numFmtId="0" fontId="7" fillId="6" borderId="0" xfId="5" applyFont="1" applyFill="1" applyBorder="1"/>
    <xf numFmtId="0" fontId="15" fillId="0" borderId="0" xfId="0" applyFont="1"/>
    <xf numFmtId="9" fontId="9" fillId="12" borderId="23" xfId="9" applyFont="1" applyFill="1" applyBorder="1" applyAlignment="1">
      <alignment horizontal="center"/>
    </xf>
    <xf numFmtId="0" fontId="16" fillId="5" borderId="0" xfId="0" applyFont="1" applyFill="1" applyBorder="1"/>
    <xf numFmtId="0" fontId="16" fillId="5" borderId="7" xfId="0" applyFont="1" applyFill="1" applyBorder="1"/>
    <xf numFmtId="0" fontId="16" fillId="0" borderId="0" xfId="0" applyFont="1" applyBorder="1"/>
    <xf numFmtId="0" fontId="8" fillId="0" borderId="0" xfId="0" applyFont="1" applyProtection="1"/>
    <xf numFmtId="3" fontId="9" fillId="6" borderId="0" xfId="5" applyNumberFormat="1" applyFont="1" applyFill="1" applyBorder="1" applyAlignment="1">
      <alignment horizontal="center"/>
    </xf>
    <xf numFmtId="3" fontId="0" fillId="7" borderId="1" xfId="0" applyNumberFormat="1" applyFill="1" applyBorder="1" applyAlignment="1" applyProtection="1">
      <alignment horizontal="center"/>
    </xf>
    <xf numFmtId="3" fontId="16" fillId="0" borderId="1" xfId="0" applyNumberFormat="1" applyFont="1" applyFill="1" applyBorder="1" applyAlignment="1">
      <alignment horizontal="center"/>
    </xf>
    <xf numFmtId="3" fontId="16" fillId="0" borderId="4" xfId="0" applyNumberFormat="1" applyFont="1" applyFill="1" applyBorder="1" applyAlignment="1">
      <alignment horizontal="center"/>
    </xf>
    <xf numFmtId="0" fontId="7" fillId="3" borderId="0" xfId="5" applyFill="1"/>
    <xf numFmtId="9" fontId="16" fillId="13" borderId="1" xfId="7" applyFont="1" applyFill="1" applyBorder="1" applyAlignment="1">
      <alignment horizontal="center"/>
    </xf>
    <xf numFmtId="9" fontId="16" fillId="13" borderId="4" xfId="7" applyFont="1" applyFill="1" applyBorder="1" applyAlignment="1">
      <alignment horizontal="center"/>
    </xf>
    <xf numFmtId="0" fontId="0" fillId="5" borderId="26" xfId="0" applyFill="1" applyBorder="1"/>
    <xf numFmtId="0" fontId="0" fillId="0" borderId="27" xfId="0" applyBorder="1"/>
    <xf numFmtId="0" fontId="0" fillId="5" borderId="25" xfId="0" applyFill="1" applyBorder="1"/>
    <xf numFmtId="0" fontId="9" fillId="12" borderId="28" xfId="0" applyFont="1" applyFill="1" applyBorder="1" applyAlignment="1">
      <alignment horizontal="center"/>
    </xf>
    <xf numFmtId="0" fontId="0" fillId="5" borderId="29" xfId="0" applyFill="1" applyBorder="1"/>
    <xf numFmtId="0" fontId="7" fillId="6" borderId="1" xfId="0" applyFont="1" applyFill="1" applyBorder="1" applyAlignment="1">
      <alignment horizontal="center" vertical="center" wrapText="1"/>
    </xf>
    <xf numFmtId="0" fontId="0" fillId="0" borderId="0" xfId="0" pivotButton="1"/>
    <xf numFmtId="0" fontId="0" fillId="0" borderId="0" xfId="0" applyNumberFormat="1"/>
    <xf numFmtId="164" fontId="0" fillId="0" borderId="0" xfId="6" applyFont="1"/>
    <xf numFmtId="164" fontId="7" fillId="0" borderId="0" xfId="6" applyFont="1"/>
    <xf numFmtId="164" fontId="0" fillId="0" borderId="0" xfId="0" applyNumberFormat="1"/>
    <xf numFmtId="169" fontId="0" fillId="0" borderId="0" xfId="0" applyNumberFormat="1"/>
    <xf numFmtId="169" fontId="0" fillId="0" borderId="0" xfId="6" applyNumberFormat="1" applyFont="1"/>
    <xf numFmtId="0" fontId="9" fillId="12" borderId="23" xfId="6" applyNumberFormat="1" applyFont="1" applyFill="1" applyBorder="1" applyAlignment="1">
      <alignment horizontal="center"/>
    </xf>
    <xf numFmtId="170" fontId="0" fillId="2" borderId="0" xfId="0" applyNumberFormat="1" applyFill="1" applyProtection="1"/>
    <xf numFmtId="49" fontId="8" fillId="5" borderId="1" xfId="0" quotePrefix="1" applyNumberFormat="1" applyFont="1" applyFill="1" applyBorder="1" applyAlignment="1" applyProtection="1">
      <alignment horizontal="left" vertical="center"/>
    </xf>
    <xf numFmtId="1" fontId="8" fillId="6" borderId="1" xfId="0" quotePrefix="1" applyNumberFormat="1" applyFont="1" applyFill="1" applyBorder="1" applyAlignment="1" applyProtection="1">
      <alignment horizontal="left" vertical="center"/>
    </xf>
    <xf numFmtId="0" fontId="16" fillId="12" borderId="23" xfId="5" applyFont="1" applyFill="1" applyBorder="1" applyAlignment="1">
      <alignment horizontal="center"/>
    </xf>
    <xf numFmtId="10" fontId="9" fillId="12" borderId="23" xfId="6" applyNumberFormat="1" applyFont="1" applyFill="1" applyBorder="1" applyAlignment="1">
      <alignment horizontal="center"/>
    </xf>
    <xf numFmtId="10" fontId="9" fillId="12" borderId="23" xfId="5" applyNumberFormat="1" applyFont="1" applyFill="1" applyBorder="1" applyAlignment="1">
      <alignment horizontal="center"/>
    </xf>
    <xf numFmtId="0" fontId="16" fillId="12" borderId="23" xfId="0" applyFont="1" applyFill="1" applyBorder="1" applyAlignment="1">
      <alignment horizontal="center"/>
    </xf>
    <xf numFmtId="49" fontId="8" fillId="2" borderId="1" xfId="0" quotePrefix="1" applyNumberFormat="1" applyFont="1" applyFill="1" applyBorder="1" applyAlignment="1" applyProtection="1">
      <alignment horizontal="left" vertical="center"/>
    </xf>
    <xf numFmtId="169" fontId="8" fillId="6" borderId="1" xfId="6" quotePrefix="1" applyNumberFormat="1" applyFont="1" applyFill="1" applyBorder="1" applyAlignment="1" applyProtection="1">
      <alignment horizontal="center" vertical="center"/>
    </xf>
    <xf numFmtId="0" fontId="0" fillId="7" borderId="0" xfId="0" applyFill="1"/>
    <xf numFmtId="0" fontId="0" fillId="0" borderId="0" xfId="0" applyFill="1"/>
    <xf numFmtId="0" fontId="17" fillId="0" borderId="0" xfId="0" applyFont="1" applyFill="1"/>
    <xf numFmtId="0" fontId="16" fillId="0" borderId="0" xfId="0" applyFont="1" applyFill="1"/>
    <xf numFmtId="171" fontId="0" fillId="6" borderId="1" xfId="0" applyNumberFormat="1" applyFill="1" applyBorder="1" applyAlignment="1">
      <alignment horizontal="center" vertical="center" wrapText="1"/>
    </xf>
    <xf numFmtId="171" fontId="0" fillId="0" borderId="1" xfId="0" applyNumberFormat="1" applyBorder="1" applyAlignment="1">
      <alignment horizontal="center"/>
    </xf>
    <xf numFmtId="171" fontId="0" fillId="0" borderId="0" xfId="0" applyNumberFormat="1" applyAlignment="1">
      <alignment horizontal="center"/>
    </xf>
    <xf numFmtId="170" fontId="7" fillId="0" borderId="0" xfId="0" applyNumberFormat="1" applyFont="1" applyFill="1"/>
    <xf numFmtId="0" fontId="16" fillId="5" borderId="1" xfId="0" applyFont="1" applyFill="1" applyBorder="1" applyAlignment="1">
      <alignment horizontal="center"/>
    </xf>
    <xf numFmtId="169" fontId="16" fillId="5" borderId="1" xfId="6" applyNumberFormat="1" applyFont="1" applyFill="1" applyBorder="1" applyAlignment="1">
      <alignment horizontal="center"/>
    </xf>
    <xf numFmtId="10" fontId="16" fillId="5" borderId="1" xfId="0" applyNumberFormat="1" applyFont="1" applyFill="1" applyBorder="1" applyAlignment="1">
      <alignment horizontal="center"/>
    </xf>
    <xf numFmtId="10" fontId="16" fillId="5" borderId="1" xfId="0" applyNumberFormat="1" applyFont="1" applyFill="1" applyBorder="1" applyAlignment="1">
      <alignment horizontal="center" vertical="center" wrapText="1"/>
    </xf>
    <xf numFmtId="0" fontId="16" fillId="5" borderId="4" xfId="0" applyFont="1" applyFill="1" applyBorder="1" applyAlignment="1">
      <alignment horizontal="center"/>
    </xf>
    <xf numFmtId="169" fontId="16" fillId="5" borderId="4" xfId="6" applyNumberFormat="1" applyFont="1" applyFill="1" applyBorder="1" applyAlignment="1">
      <alignment horizontal="center"/>
    </xf>
    <xf numFmtId="10" fontId="16" fillId="5" borderId="4" xfId="0" applyNumberFormat="1" applyFont="1" applyFill="1" applyBorder="1" applyAlignment="1">
      <alignment horizontal="center"/>
    </xf>
    <xf numFmtId="0" fontId="8" fillId="0" borderId="0" xfId="0" applyFont="1"/>
    <xf numFmtId="0" fontId="8" fillId="0" borderId="0" xfId="0" applyFont="1" applyAlignment="1">
      <alignment wrapText="1"/>
    </xf>
    <xf numFmtId="0" fontId="0" fillId="0" borderId="34" xfId="0" applyBorder="1"/>
    <xf numFmtId="0" fontId="8" fillId="0" borderId="0" xfId="0" applyFont="1" applyAlignment="1">
      <alignment horizontal="left"/>
    </xf>
    <xf numFmtId="3" fontId="9" fillId="12" borderId="23" xfId="0" applyNumberFormat="1" applyFont="1" applyFill="1" applyBorder="1" applyAlignment="1">
      <alignment horizontal="center"/>
    </xf>
    <xf numFmtId="0" fontId="9" fillId="12" borderId="23" xfId="0" applyFont="1" applyFill="1" applyBorder="1" applyAlignment="1">
      <alignment horizontal="center"/>
    </xf>
    <xf numFmtId="169" fontId="9" fillId="12" borderId="23" xfId="6" applyNumberFormat="1" applyFont="1" applyFill="1" applyBorder="1" applyAlignment="1">
      <alignment horizontal="center"/>
    </xf>
    <xf numFmtId="10" fontId="9" fillId="12" borderId="23" xfId="0" applyNumberFormat="1" applyFont="1" applyFill="1" applyBorder="1" applyAlignment="1">
      <alignment horizontal="center"/>
    </xf>
    <xf numFmtId="22" fontId="0" fillId="0" borderId="0" xfId="0" applyNumberFormat="1"/>
    <xf numFmtId="0" fontId="9" fillId="14" borderId="37" xfId="0" applyFont="1" applyFill="1" applyBorder="1" applyAlignment="1">
      <alignment horizontal="center" vertical="center"/>
    </xf>
    <xf numFmtId="0" fontId="16" fillId="12" borderId="38" xfId="0" applyFont="1" applyFill="1" applyBorder="1" applyAlignment="1">
      <alignment horizontal="center"/>
    </xf>
    <xf numFmtId="9" fontId="9" fillId="12" borderId="38" xfId="7" applyFont="1" applyFill="1" applyBorder="1" applyAlignment="1">
      <alignment horizontal="center"/>
    </xf>
    <xf numFmtId="3" fontId="9" fillId="12" borderId="38" xfId="0" applyNumberFormat="1" applyFont="1" applyFill="1" applyBorder="1" applyAlignment="1">
      <alignment horizontal="center"/>
    </xf>
    <xf numFmtId="0" fontId="9" fillId="12" borderId="39" xfId="0" applyFont="1" applyFill="1" applyBorder="1" applyAlignment="1">
      <alignment horizontal="center"/>
    </xf>
    <xf numFmtId="0" fontId="9" fillId="12" borderId="38" xfId="0" applyFont="1" applyFill="1" applyBorder="1" applyAlignment="1">
      <alignment horizontal="center"/>
    </xf>
    <xf numFmtId="169" fontId="9" fillId="12" borderId="38" xfId="6" applyNumberFormat="1" applyFont="1" applyFill="1" applyBorder="1" applyAlignment="1">
      <alignment horizontal="center"/>
    </xf>
    <xf numFmtId="10" fontId="9" fillId="12" borderId="38" xfId="0" applyNumberFormat="1" applyFont="1" applyFill="1" applyBorder="1" applyAlignment="1">
      <alignment horizontal="center"/>
    </xf>
    <xf numFmtId="0" fontId="9" fillId="12" borderId="38" xfId="0" applyFont="1" applyFill="1" applyBorder="1" applyAlignment="1">
      <alignment horizontal="left"/>
    </xf>
    <xf numFmtId="3" fontId="16" fillId="5" borderId="30" xfId="0" applyNumberFormat="1" applyFont="1" applyFill="1" applyBorder="1" applyAlignment="1">
      <alignment horizontal="center"/>
    </xf>
    <xf numFmtId="0" fontId="16" fillId="5" borderId="30" xfId="0" applyFont="1" applyFill="1" applyBorder="1" applyAlignment="1">
      <alignment horizontal="center"/>
    </xf>
    <xf numFmtId="10" fontId="16" fillId="5" borderId="30" xfId="0" applyNumberFormat="1" applyFont="1" applyFill="1" applyBorder="1" applyAlignment="1">
      <alignment horizontal="center"/>
    </xf>
    <xf numFmtId="0" fontId="16" fillId="5" borderId="1" xfId="0" applyFont="1" applyFill="1" applyBorder="1" applyAlignment="1">
      <alignment horizontal="left"/>
    </xf>
    <xf numFmtId="0" fontId="16" fillId="5" borderId="4" xfId="0" applyFont="1" applyFill="1" applyBorder="1" applyAlignment="1">
      <alignment horizontal="left"/>
    </xf>
    <xf numFmtId="3" fontId="16" fillId="5" borderId="4" xfId="0" applyNumberFormat="1" applyFont="1" applyFill="1" applyBorder="1" applyAlignment="1">
      <alignment horizontal="center"/>
    </xf>
    <xf numFmtId="0" fontId="9" fillId="10" borderId="5" xfId="0" applyFont="1" applyFill="1" applyBorder="1"/>
    <xf numFmtId="0" fontId="9" fillId="10" borderId="0" xfId="0" applyFont="1" applyFill="1" applyBorder="1" applyAlignment="1">
      <alignment horizontal="center"/>
    </xf>
    <xf numFmtId="169" fontId="9" fillId="10" borderId="0" xfId="6" applyNumberFormat="1" applyFont="1" applyFill="1" applyBorder="1" applyAlignment="1">
      <alignment horizontal="center"/>
    </xf>
    <xf numFmtId="10" fontId="9" fillId="10" borderId="6" xfId="0" applyNumberFormat="1" applyFont="1" applyFill="1" applyBorder="1" applyAlignment="1">
      <alignment horizontal="center"/>
    </xf>
    <xf numFmtId="0" fontId="0" fillId="10" borderId="0" xfId="0" applyFill="1" applyBorder="1"/>
    <xf numFmtId="0" fontId="0" fillId="10" borderId="7" xfId="0" applyFill="1" applyBorder="1"/>
    <xf numFmtId="10" fontId="9" fillId="10" borderId="7" xfId="0" applyNumberFormat="1" applyFont="1" applyFill="1" applyBorder="1" applyAlignment="1">
      <alignment horizontal="center"/>
    </xf>
    <xf numFmtId="3" fontId="9" fillId="10" borderId="0" xfId="0" applyNumberFormat="1" applyFont="1" applyFill="1" applyBorder="1" applyAlignment="1">
      <alignment horizontal="center"/>
    </xf>
    <xf numFmtId="0" fontId="9" fillId="10" borderId="3" xfId="0" applyFont="1" applyFill="1" applyBorder="1"/>
    <xf numFmtId="169" fontId="9" fillId="12" borderId="44" xfId="6" applyNumberFormat="1" applyFont="1" applyFill="1" applyBorder="1" applyAlignment="1">
      <alignment horizontal="center"/>
    </xf>
    <xf numFmtId="169" fontId="16" fillId="5" borderId="30" xfId="6" applyNumberFormat="1" applyFont="1" applyFill="1" applyBorder="1" applyAlignment="1">
      <alignment horizontal="center"/>
    </xf>
    <xf numFmtId="0" fontId="9" fillId="10" borderId="0" xfId="0" applyFont="1" applyFill="1" applyBorder="1"/>
    <xf numFmtId="10" fontId="9" fillId="12" borderId="36" xfId="6" applyNumberFormat="1" applyFont="1" applyFill="1" applyBorder="1" applyAlignment="1">
      <alignment horizontal="center"/>
    </xf>
    <xf numFmtId="0" fontId="9" fillId="12" borderId="36" xfId="6" applyNumberFormat="1" applyFont="1" applyFill="1" applyBorder="1" applyAlignment="1">
      <alignment horizontal="center"/>
    </xf>
    <xf numFmtId="0" fontId="16" fillId="12" borderId="36" xfId="5" applyFont="1" applyFill="1" applyBorder="1" applyAlignment="1">
      <alignment horizontal="center"/>
    </xf>
    <xf numFmtId="9" fontId="9" fillId="12" borderId="36" xfId="9" applyFont="1" applyFill="1" applyBorder="1" applyAlignment="1">
      <alignment horizontal="center"/>
    </xf>
    <xf numFmtId="3" fontId="9" fillId="12" borderId="36" xfId="5" applyNumberFormat="1" applyFont="1" applyFill="1" applyBorder="1" applyAlignment="1">
      <alignment horizontal="center"/>
    </xf>
    <xf numFmtId="0" fontId="9" fillId="12" borderId="36" xfId="5" applyFont="1" applyFill="1" applyBorder="1" applyAlignment="1">
      <alignment horizontal="center"/>
    </xf>
    <xf numFmtId="10" fontId="9" fillId="12" borderId="36" xfId="5" applyNumberFormat="1" applyFont="1" applyFill="1" applyBorder="1" applyAlignment="1">
      <alignment horizontal="center"/>
    </xf>
    <xf numFmtId="0" fontId="16" fillId="14" borderId="40" xfId="5" applyFont="1" applyFill="1" applyBorder="1" applyAlignment="1">
      <alignment horizontal="center"/>
    </xf>
    <xf numFmtId="9" fontId="9" fillId="14" borderId="40" xfId="9" applyFont="1" applyFill="1" applyBorder="1" applyAlignment="1">
      <alignment horizontal="center"/>
    </xf>
    <xf numFmtId="3" fontId="9" fillId="14" borderId="40" xfId="5" applyNumberFormat="1" applyFont="1" applyFill="1" applyBorder="1" applyAlignment="1">
      <alignment horizontal="center"/>
    </xf>
    <xf numFmtId="0" fontId="9" fillId="14" borderId="40" xfId="5" applyFont="1" applyFill="1" applyBorder="1" applyAlignment="1">
      <alignment horizontal="center"/>
    </xf>
    <xf numFmtId="10" fontId="9" fillId="14" borderId="40" xfId="6" applyNumberFormat="1" applyFont="1" applyFill="1" applyBorder="1" applyAlignment="1">
      <alignment horizontal="center"/>
    </xf>
    <xf numFmtId="0" fontId="9" fillId="14" borderId="40" xfId="6" applyNumberFormat="1" applyFont="1" applyFill="1" applyBorder="1" applyAlignment="1">
      <alignment horizontal="center"/>
    </xf>
    <xf numFmtId="10" fontId="9" fillId="14" borderId="40" xfId="5" applyNumberFormat="1" applyFont="1" applyFill="1" applyBorder="1" applyAlignment="1">
      <alignment horizontal="center"/>
    </xf>
    <xf numFmtId="0" fontId="9" fillId="14" borderId="40" xfId="5" applyFont="1" applyFill="1" applyBorder="1"/>
    <xf numFmtId="0" fontId="9" fillId="6" borderId="0" xfId="5" applyFont="1" applyFill="1" applyBorder="1" applyAlignment="1">
      <alignment horizontal="center"/>
    </xf>
    <xf numFmtId="0" fontId="16" fillId="12" borderId="38" xfId="5" applyFont="1" applyFill="1" applyBorder="1" applyAlignment="1">
      <alignment horizontal="center"/>
    </xf>
    <xf numFmtId="3" fontId="9" fillId="12" borderId="38" xfId="5" applyNumberFormat="1" applyFont="1" applyFill="1" applyBorder="1" applyAlignment="1">
      <alignment horizontal="center"/>
    </xf>
    <xf numFmtId="0" fontId="9" fillId="12" borderId="38" xfId="5" applyFont="1" applyFill="1" applyBorder="1" applyAlignment="1">
      <alignment horizontal="center"/>
    </xf>
    <xf numFmtId="10" fontId="9" fillId="12" borderId="38" xfId="6" applyNumberFormat="1" applyFont="1" applyFill="1" applyBorder="1" applyAlignment="1">
      <alignment horizontal="center"/>
    </xf>
    <xf numFmtId="0" fontId="9" fillId="12" borderId="38" xfId="6" applyNumberFormat="1" applyFont="1" applyFill="1" applyBorder="1" applyAlignment="1">
      <alignment horizontal="center"/>
    </xf>
    <xf numFmtId="10" fontId="9" fillId="12" borderId="38" xfId="5" applyNumberFormat="1" applyFont="1" applyFill="1" applyBorder="1" applyAlignment="1">
      <alignment horizontal="center"/>
    </xf>
    <xf numFmtId="0" fontId="16" fillId="12" borderId="42" xfId="5" applyFont="1" applyFill="1" applyBorder="1" applyAlignment="1">
      <alignment horizontal="center"/>
    </xf>
    <xf numFmtId="3" fontId="9" fillId="12" borderId="42" xfId="5" applyNumberFormat="1" applyFont="1" applyFill="1" applyBorder="1" applyAlignment="1">
      <alignment horizontal="center"/>
    </xf>
    <xf numFmtId="0" fontId="9" fillId="12" borderId="42" xfId="5" applyFont="1" applyFill="1" applyBorder="1" applyAlignment="1">
      <alignment horizontal="center"/>
    </xf>
    <xf numFmtId="10" fontId="9" fillId="12" borderId="42" xfId="6" applyNumberFormat="1" applyFont="1" applyFill="1" applyBorder="1" applyAlignment="1">
      <alignment horizontal="center"/>
    </xf>
    <xf numFmtId="0" fontId="9" fillId="12" borderId="42" xfId="6" applyNumberFormat="1" applyFont="1" applyFill="1" applyBorder="1" applyAlignment="1">
      <alignment horizontal="center"/>
    </xf>
    <xf numFmtId="10" fontId="9" fillId="12" borderId="42" xfId="5" applyNumberFormat="1" applyFont="1" applyFill="1" applyBorder="1" applyAlignment="1">
      <alignment horizontal="center"/>
    </xf>
    <xf numFmtId="0" fontId="7" fillId="6" borderId="0" xfId="5" applyFill="1" applyBorder="1" applyAlignment="1">
      <alignment horizontal="center"/>
    </xf>
    <xf numFmtId="10" fontId="9" fillId="6" borderId="0" xfId="5" applyNumberFormat="1" applyFont="1" applyFill="1" applyBorder="1" applyAlignment="1">
      <alignment horizontal="center"/>
    </xf>
    <xf numFmtId="0" fontId="7" fillId="5" borderId="43" xfId="5" applyFont="1" applyFill="1" applyBorder="1" applyAlignment="1">
      <alignment horizontal="left"/>
    </xf>
    <xf numFmtId="0" fontId="7" fillId="5" borderId="1" xfId="5" applyFont="1" applyFill="1" applyBorder="1" applyAlignment="1">
      <alignment horizontal="left"/>
    </xf>
    <xf numFmtId="0" fontId="7" fillId="5" borderId="30" xfId="5" applyFont="1" applyFill="1" applyBorder="1" applyAlignment="1">
      <alignment horizontal="left"/>
    </xf>
    <xf numFmtId="10" fontId="9" fillId="12" borderId="36" xfId="6" applyNumberFormat="1" applyFont="1" applyFill="1" applyBorder="1" applyAlignment="1">
      <alignment horizontal="center" wrapText="1"/>
    </xf>
    <xf numFmtId="0" fontId="8" fillId="0" borderId="0" xfId="0" applyFont="1" applyAlignment="1" applyProtection="1">
      <alignment horizontal="center"/>
    </xf>
    <xf numFmtId="22" fontId="0" fillId="0" borderId="0" xfId="0" applyNumberFormat="1"/>
    <xf numFmtId="0" fontId="0" fillId="0" borderId="0" xfId="0" applyBorder="1"/>
    <xf numFmtId="0" fontId="16" fillId="6" borderId="14" xfId="5" applyFont="1" applyFill="1" applyBorder="1"/>
    <xf numFmtId="0" fontId="8" fillId="6" borderId="15" xfId="0" applyFont="1" applyFill="1" applyBorder="1" applyAlignment="1">
      <alignment horizontal="center" vertical="center"/>
    </xf>
    <xf numFmtId="0" fontId="7" fillId="6" borderId="15" xfId="5" applyFont="1" applyFill="1" applyBorder="1" applyAlignment="1">
      <alignment horizontal="left"/>
    </xf>
    <xf numFmtId="0" fontId="16" fillId="6" borderId="15" xfId="5" applyFont="1" applyFill="1" applyBorder="1" applyAlignment="1">
      <alignment horizontal="center"/>
    </xf>
    <xf numFmtId="9" fontId="9" fillId="6" borderId="15" xfId="9" applyFont="1" applyFill="1" applyBorder="1" applyAlignment="1">
      <alignment horizontal="center"/>
    </xf>
    <xf numFmtId="3" fontId="9" fillId="6" borderId="15" xfId="5" applyNumberFormat="1" applyFont="1" applyFill="1" applyBorder="1" applyAlignment="1">
      <alignment horizontal="center"/>
    </xf>
    <xf numFmtId="0" fontId="9" fillId="6" borderId="15" xfId="5" applyFont="1" applyFill="1" applyBorder="1" applyAlignment="1">
      <alignment horizontal="center"/>
    </xf>
    <xf numFmtId="10" fontId="9" fillId="6" borderId="15" xfId="6" applyNumberFormat="1" applyFont="1" applyFill="1" applyBorder="1" applyAlignment="1">
      <alignment horizontal="center"/>
    </xf>
    <xf numFmtId="0" fontId="9" fillId="6" borderId="15" xfId="6" applyNumberFormat="1" applyFont="1" applyFill="1" applyBorder="1" applyAlignment="1">
      <alignment horizontal="center"/>
    </xf>
    <xf numFmtId="10" fontId="9" fillId="6" borderId="15" xfId="5" applyNumberFormat="1" applyFont="1" applyFill="1" applyBorder="1" applyAlignment="1">
      <alignment horizontal="center"/>
    </xf>
    <xf numFmtId="0" fontId="9" fillId="6" borderId="17" xfId="5" applyFont="1" applyFill="1" applyBorder="1" applyAlignment="1">
      <alignment horizontal="left"/>
    </xf>
    <xf numFmtId="0" fontId="7" fillId="6" borderId="17" xfId="5" applyFill="1" applyBorder="1"/>
    <xf numFmtId="0" fontId="9" fillId="6" borderId="17" xfId="5" applyFont="1" applyFill="1" applyBorder="1"/>
    <xf numFmtId="0" fontId="9" fillId="6" borderId="35" xfId="5" applyFont="1" applyFill="1" applyBorder="1"/>
    <xf numFmtId="0" fontId="9" fillId="6" borderId="19" xfId="5" applyFont="1" applyFill="1" applyBorder="1" applyAlignment="1">
      <alignment horizontal="left"/>
    </xf>
    <xf numFmtId="0" fontId="7" fillId="6" borderId="19" xfId="5" applyFont="1" applyFill="1" applyBorder="1"/>
    <xf numFmtId="0" fontId="7" fillId="6" borderId="19" xfId="5" applyFill="1" applyBorder="1"/>
    <xf numFmtId="10" fontId="8" fillId="6" borderId="19" xfId="5" applyNumberFormat="1" applyFont="1" applyFill="1" applyBorder="1" applyAlignment="1">
      <alignment horizontal="center"/>
    </xf>
    <xf numFmtId="0" fontId="7" fillId="6" borderId="19" xfId="5" applyFill="1" applyBorder="1" applyAlignment="1">
      <alignment horizontal="center"/>
    </xf>
    <xf numFmtId="173" fontId="7" fillId="0" borderId="0" xfId="5" applyNumberFormat="1" applyFont="1"/>
    <xf numFmtId="0" fontId="16" fillId="5" borderId="45" xfId="0" applyFont="1" applyFill="1" applyBorder="1" applyAlignment="1">
      <alignment horizontal="center"/>
    </xf>
    <xf numFmtId="9" fontId="16" fillId="5" borderId="1" xfId="7" applyFont="1" applyFill="1" applyBorder="1" applyAlignment="1">
      <alignment horizontal="center"/>
    </xf>
    <xf numFmtId="9" fontId="16" fillId="5" borderId="45" xfId="7" applyFont="1" applyFill="1" applyBorder="1" applyAlignment="1">
      <alignment horizontal="center"/>
    </xf>
    <xf numFmtId="3" fontId="16" fillId="5" borderId="1" xfId="0" applyNumberFormat="1" applyFont="1" applyFill="1" applyBorder="1" applyAlignment="1">
      <alignment horizontal="center"/>
    </xf>
    <xf numFmtId="3" fontId="16" fillId="5" borderId="45" xfId="0" applyNumberFormat="1" applyFont="1" applyFill="1" applyBorder="1" applyAlignment="1">
      <alignment horizontal="center"/>
    </xf>
    <xf numFmtId="169" fontId="16" fillId="5" borderId="45" xfId="6" applyNumberFormat="1" applyFont="1" applyFill="1" applyBorder="1" applyAlignment="1">
      <alignment horizontal="center"/>
    </xf>
    <xf numFmtId="10" fontId="16" fillId="5" borderId="45" xfId="0" applyNumberFormat="1" applyFont="1" applyFill="1" applyBorder="1" applyAlignment="1">
      <alignment horizontal="center"/>
    </xf>
    <xf numFmtId="49" fontId="7" fillId="3" borderId="4" xfId="0" applyNumberFormat="1" applyFont="1" applyFill="1" applyBorder="1" applyAlignment="1" applyProtection="1">
      <alignment horizontal="center" vertical="center"/>
      <protection locked="0"/>
    </xf>
    <xf numFmtId="0" fontId="20" fillId="10" borderId="31" xfId="4" applyFill="1" applyBorder="1"/>
    <xf numFmtId="0" fontId="20" fillId="10" borderId="24" xfId="4" applyFill="1" applyBorder="1" applyAlignment="1">
      <alignment horizontal="left"/>
    </xf>
    <xf numFmtId="0" fontId="20" fillId="0" borderId="0" xfId="4"/>
    <xf numFmtId="0" fontId="20" fillId="10" borderId="0" xfId="3" applyFill="1" applyBorder="1"/>
    <xf numFmtId="0" fontId="20" fillId="0" borderId="0" xfId="3"/>
    <xf numFmtId="0" fontId="8" fillId="0" borderId="0" xfId="1"/>
    <xf numFmtId="0" fontId="8" fillId="0" borderId="0" xfId="1" applyFill="1"/>
    <xf numFmtId="0" fontId="9" fillId="12" borderId="23" xfId="0" applyFont="1" applyFill="1" applyBorder="1" applyAlignment="1">
      <alignment horizontal="left" vertical="center"/>
    </xf>
    <xf numFmtId="0" fontId="9" fillId="12" borderId="38" xfId="0" applyFont="1" applyFill="1" applyBorder="1" applyAlignment="1">
      <alignment horizontal="left" vertical="center"/>
    </xf>
    <xf numFmtId="0" fontId="5" fillId="15" borderId="0" xfId="8" applyFill="1"/>
    <xf numFmtId="2" fontId="5" fillId="15" borderId="0" xfId="8" applyNumberFormat="1" applyFill="1"/>
    <xf numFmtId="2" fontId="5" fillId="16" borderId="0" xfId="8" applyNumberFormat="1" applyFill="1"/>
    <xf numFmtId="0" fontId="5" fillId="17" borderId="0" xfId="8" applyFill="1"/>
    <xf numFmtId="169" fontId="0" fillId="5" borderId="0" xfId="12" applyNumberFormat="1" applyFont="1" applyFill="1"/>
    <xf numFmtId="174" fontId="0" fillId="5" borderId="0" xfId="9" applyNumberFormat="1" applyFont="1" applyFill="1"/>
    <xf numFmtId="1" fontId="0" fillId="5" borderId="0" xfId="9" applyNumberFormat="1" applyFont="1" applyFill="1"/>
    <xf numFmtId="169" fontId="0" fillId="5" borderId="0" xfId="12" applyNumberFormat="1" applyFont="1" applyFill="1" applyAlignment="1">
      <alignment horizontal="right"/>
    </xf>
    <xf numFmtId="169" fontId="0" fillId="16" borderId="0" xfId="12" applyNumberFormat="1" applyFont="1" applyFill="1"/>
    <xf numFmtId="174" fontId="0" fillId="0" borderId="0" xfId="9" applyNumberFormat="1" applyFont="1"/>
    <xf numFmtId="1" fontId="0" fillId="0" borderId="0" xfId="9" applyNumberFormat="1" applyFont="1"/>
    <xf numFmtId="10" fontId="0" fillId="5" borderId="0" xfId="0" applyNumberFormat="1" applyFill="1" applyAlignment="1">
      <alignment horizontal="right"/>
    </xf>
    <xf numFmtId="0" fontId="21" fillId="5" borderId="0" xfId="0" applyFont="1" applyFill="1"/>
    <xf numFmtId="169" fontId="22" fillId="5" borderId="14" xfId="12" applyNumberFormat="1" applyFont="1" applyFill="1" applyBorder="1" applyAlignment="1">
      <alignment horizontal="center" vertical="center"/>
    </xf>
    <xf numFmtId="1" fontId="22" fillId="5" borderId="15" xfId="9" applyNumberFormat="1" applyFont="1" applyFill="1" applyBorder="1" applyAlignment="1">
      <alignment horizontal="center" vertical="center"/>
    </xf>
    <xf numFmtId="169" fontId="22" fillId="5" borderId="14" xfId="12" applyNumberFormat="1" applyFont="1" applyFill="1" applyBorder="1" applyAlignment="1">
      <alignment horizontal="right" vertical="center"/>
    </xf>
    <xf numFmtId="1" fontId="22" fillId="5" borderId="16" xfId="9" applyNumberFormat="1" applyFont="1" applyFill="1" applyBorder="1" applyAlignment="1">
      <alignment horizontal="center" vertical="center"/>
    </xf>
    <xf numFmtId="0" fontId="25" fillId="5" borderId="0" xfId="0" applyFont="1" applyFill="1" applyAlignment="1">
      <alignment horizontal="center"/>
    </xf>
    <xf numFmtId="169" fontId="21" fillId="5" borderId="0" xfId="12" applyNumberFormat="1" applyFont="1" applyFill="1"/>
    <xf numFmtId="174" fontId="21" fillId="5" borderId="0" xfId="9" applyNumberFormat="1" applyFont="1" applyFill="1"/>
    <xf numFmtId="1" fontId="21" fillId="5" borderId="0" xfId="9" applyNumberFormat="1" applyFont="1" applyFill="1"/>
    <xf numFmtId="169" fontId="21" fillId="5" borderId="0" xfId="12" applyNumberFormat="1" applyFont="1" applyFill="1" applyAlignment="1">
      <alignment horizontal="right"/>
    </xf>
    <xf numFmtId="174" fontId="21" fillId="5" borderId="0" xfId="9" applyNumberFormat="1" applyFont="1" applyFill="1" applyAlignment="1">
      <alignment horizontal="right"/>
    </xf>
    <xf numFmtId="1" fontId="21" fillId="5" borderId="0" xfId="9" applyNumberFormat="1" applyFont="1" applyFill="1" applyAlignment="1">
      <alignment horizontal="right"/>
    </xf>
    <xf numFmtId="10" fontId="26" fillId="5" borderId="0" xfId="9" applyNumberFormat="1" applyFont="1" applyFill="1" applyBorder="1" applyAlignment="1">
      <alignment vertical="center"/>
    </xf>
    <xf numFmtId="10" fontId="26" fillId="5" borderId="46" xfId="9" applyNumberFormat="1" applyFont="1" applyFill="1" applyBorder="1" applyAlignment="1">
      <alignment vertical="center"/>
    </xf>
    <xf numFmtId="0" fontId="27" fillId="0" borderId="0" xfId="0" applyFont="1" applyAlignment="1">
      <alignment vertical="center"/>
    </xf>
    <xf numFmtId="169" fontId="28" fillId="16" borderId="22" xfId="12" applyNumberFormat="1" applyFont="1" applyFill="1" applyBorder="1"/>
    <xf numFmtId="174" fontId="28" fillId="18" borderId="22" xfId="9" applyNumberFormat="1" applyFont="1" applyFill="1" applyBorder="1"/>
    <xf numFmtId="1" fontId="28" fillId="18" borderId="22" xfId="9" applyNumberFormat="1" applyFont="1" applyFill="1" applyBorder="1"/>
    <xf numFmtId="169" fontId="28" fillId="16" borderId="22" xfId="12" applyNumberFormat="1" applyFont="1" applyFill="1" applyBorder="1" applyAlignment="1">
      <alignment horizontal="right"/>
    </xf>
    <xf numFmtId="174" fontId="28" fillId="18" borderId="3" xfId="9" applyNumberFormat="1" applyFont="1" applyFill="1" applyBorder="1" applyAlignment="1">
      <alignment vertical="center"/>
    </xf>
    <xf numFmtId="1" fontId="28" fillId="18" borderId="5" xfId="9" applyNumberFormat="1" applyFont="1" applyFill="1" applyBorder="1" applyAlignment="1">
      <alignment vertical="center"/>
    </xf>
    <xf numFmtId="174" fontId="28" fillId="16" borderId="22" xfId="9" applyNumberFormat="1" applyFont="1" applyFill="1" applyBorder="1" applyAlignment="1">
      <alignment horizontal="center" vertical="center"/>
    </xf>
    <xf numFmtId="174" fontId="28" fillId="18" borderId="22" xfId="9" applyNumberFormat="1" applyFont="1" applyFill="1" applyBorder="1" applyAlignment="1">
      <alignment horizontal="center" vertical="center"/>
    </xf>
    <xf numFmtId="0" fontId="30" fillId="0" borderId="0" xfId="0" applyFont="1"/>
    <xf numFmtId="169" fontId="30" fillId="16" borderId="0" xfId="12" applyNumberFormat="1" applyFont="1" applyFill="1" applyBorder="1"/>
    <xf numFmtId="174" fontId="30" fillId="18" borderId="0" xfId="9" applyNumberFormat="1" applyFont="1" applyFill="1"/>
    <xf numFmtId="1" fontId="30" fillId="18" borderId="0" xfId="9" applyNumberFormat="1" applyFont="1" applyFill="1"/>
    <xf numFmtId="169" fontId="30" fillId="16" borderId="0" xfId="12" applyNumberFormat="1" applyFont="1" applyFill="1" applyBorder="1" applyAlignment="1">
      <alignment horizontal="right" vertical="center"/>
    </xf>
    <xf numFmtId="169" fontId="30" fillId="0" borderId="0" xfId="12" applyNumberFormat="1" applyFont="1"/>
    <xf numFmtId="174" fontId="30" fillId="18" borderId="12" xfId="9" applyNumberFormat="1" applyFont="1" applyFill="1" applyBorder="1"/>
    <xf numFmtId="1" fontId="30" fillId="18" borderId="0" xfId="9" applyNumberFormat="1" applyFont="1" applyFill="1" applyBorder="1"/>
    <xf numFmtId="174" fontId="28" fillId="16" borderId="0" xfId="9" applyNumberFormat="1" applyFont="1" applyFill="1" applyBorder="1"/>
    <xf numFmtId="174" fontId="28" fillId="18" borderId="6" xfId="9" applyNumberFormat="1" applyFont="1" applyFill="1" applyBorder="1" applyAlignment="1">
      <alignment vertical="center"/>
    </xf>
    <xf numFmtId="174" fontId="30" fillId="18" borderId="0" xfId="9" applyNumberFormat="1" applyFont="1" applyFill="1" applyBorder="1"/>
    <xf numFmtId="174" fontId="30" fillId="0" borderId="0" xfId="9" applyNumberFormat="1" applyFont="1"/>
    <xf numFmtId="1" fontId="30" fillId="0" borderId="0" xfId="9" applyNumberFormat="1" applyFont="1"/>
    <xf numFmtId="169" fontId="30" fillId="0" borderId="0" xfId="12" applyNumberFormat="1" applyFont="1" applyAlignment="1">
      <alignment horizontal="right"/>
    </xf>
    <xf numFmtId="0" fontId="30" fillId="0" borderId="0" xfId="0" applyFont="1" applyBorder="1" applyAlignment="1">
      <alignment horizontal="right"/>
    </xf>
    <xf numFmtId="174" fontId="30" fillId="0" borderId="0" xfId="9" applyNumberFormat="1" applyFont="1" applyBorder="1"/>
    <xf numFmtId="0" fontId="8" fillId="12" borderId="23" xfId="0" applyFont="1" applyFill="1" applyBorder="1" applyAlignment="1">
      <alignment horizontal="left" vertical="center"/>
    </xf>
    <xf numFmtId="0" fontId="8" fillId="14" borderId="40" xfId="0" applyFont="1" applyFill="1" applyBorder="1" applyAlignment="1">
      <alignment horizontal="left" vertical="center"/>
    </xf>
    <xf numFmtId="0" fontId="8" fillId="12" borderId="36" xfId="0" applyFont="1" applyFill="1" applyBorder="1" applyAlignment="1">
      <alignment horizontal="left" vertical="center"/>
    </xf>
    <xf numFmtId="0" fontId="8" fillId="12" borderId="38" xfId="0" applyFont="1" applyFill="1" applyBorder="1" applyAlignment="1">
      <alignment horizontal="left" vertical="center"/>
    </xf>
    <xf numFmtId="0" fontId="8" fillId="12" borderId="42" xfId="0" applyFont="1" applyFill="1" applyBorder="1" applyAlignment="1">
      <alignment horizontal="left" vertical="center"/>
    </xf>
    <xf numFmtId="0" fontId="24" fillId="5" borderId="50" xfId="0" applyFont="1" applyFill="1" applyBorder="1" applyAlignment="1">
      <alignment horizontal="center" vertical="center"/>
    </xf>
    <xf numFmtId="0" fontId="25" fillId="5" borderId="44" xfId="0" applyFont="1" applyFill="1" applyBorder="1" applyAlignment="1">
      <alignment horizontal="center" vertical="center"/>
    </xf>
    <xf numFmtId="169" fontId="22" fillId="5" borderId="49" xfId="12" applyNumberFormat="1" applyFont="1" applyFill="1" applyBorder="1" applyAlignment="1">
      <alignment horizontal="center" vertical="center"/>
    </xf>
    <xf numFmtId="174" fontId="22" fillId="5" borderId="51" xfId="9" applyNumberFormat="1" applyFont="1" applyFill="1" applyBorder="1" applyAlignment="1">
      <alignment horizontal="center" vertical="center"/>
    </xf>
    <xf numFmtId="1" fontId="22" fillId="5" borderId="51" xfId="9" applyNumberFormat="1" applyFont="1" applyFill="1" applyBorder="1" applyAlignment="1">
      <alignment horizontal="center" vertical="center"/>
    </xf>
    <xf numFmtId="169" fontId="22" fillId="5" borderId="51" xfId="12" applyNumberFormat="1" applyFont="1" applyFill="1" applyBorder="1" applyAlignment="1">
      <alignment horizontal="center" vertical="center"/>
    </xf>
    <xf numFmtId="174" fontId="22" fillId="5" borderId="49" xfId="9" applyNumberFormat="1" applyFont="1" applyFill="1" applyBorder="1" applyAlignment="1">
      <alignment horizontal="center" vertical="center"/>
    </xf>
    <xf numFmtId="0" fontId="0" fillId="0" borderId="0" xfId="0" applyAlignment="1">
      <alignment horizontal="center" vertical="center"/>
    </xf>
    <xf numFmtId="0" fontId="16" fillId="10" borderId="24" xfId="4" applyFont="1" applyFill="1" applyBorder="1" applyAlignment="1">
      <alignment horizontal="left"/>
    </xf>
    <xf numFmtId="3" fontId="16" fillId="10" borderId="24" xfId="4" applyNumberFormat="1" applyFont="1" applyFill="1" applyBorder="1" applyAlignment="1">
      <alignment horizontal="center"/>
    </xf>
    <xf numFmtId="0" fontId="16" fillId="10" borderId="24" xfId="4" applyFont="1" applyFill="1" applyBorder="1"/>
    <xf numFmtId="0" fontId="16" fillId="10" borderId="24" xfId="4" applyFont="1" applyFill="1" applyBorder="1" applyAlignment="1">
      <alignment horizontal="center"/>
    </xf>
    <xf numFmtId="10" fontId="16" fillId="10" borderId="32" xfId="4" applyNumberFormat="1" applyFont="1" applyFill="1" applyBorder="1" applyAlignment="1">
      <alignment horizontal="center"/>
    </xf>
    <xf numFmtId="10" fontId="16" fillId="10" borderId="0" xfId="0" applyNumberFormat="1" applyFont="1" applyFill="1" applyBorder="1"/>
    <xf numFmtId="10" fontId="9" fillId="10" borderId="0" xfId="2" applyNumberFormat="1" applyFont="1" applyFill="1" applyBorder="1" applyAlignment="1">
      <alignment horizontal="center"/>
    </xf>
    <xf numFmtId="0" fontId="16" fillId="10" borderId="0" xfId="3" applyFont="1" applyFill="1" applyBorder="1"/>
    <xf numFmtId="10" fontId="16" fillId="10" borderId="6" xfId="3" applyNumberFormat="1" applyFont="1" applyFill="1" applyBorder="1" applyAlignment="1">
      <alignment horizontal="center"/>
    </xf>
    <xf numFmtId="0" fontId="16" fillId="10" borderId="7" xfId="0" applyFont="1" applyFill="1" applyBorder="1"/>
    <xf numFmtId="0" fontId="16" fillId="10" borderId="8" xfId="0" applyFont="1" applyFill="1" applyBorder="1" applyAlignment="1">
      <alignment horizontal="center"/>
    </xf>
    <xf numFmtId="0" fontId="9" fillId="14" borderId="40" xfId="0" applyFont="1" applyFill="1" applyBorder="1" applyAlignment="1">
      <alignment horizontal="center" vertical="center"/>
    </xf>
    <xf numFmtId="0" fontId="16" fillId="14" borderId="37" xfId="0" applyFont="1" applyFill="1" applyBorder="1" applyAlignment="1">
      <alignment horizontal="center" vertical="center"/>
    </xf>
    <xf numFmtId="9" fontId="9" fillId="14" borderId="37" xfId="7" applyFont="1" applyFill="1" applyBorder="1" applyAlignment="1">
      <alignment horizontal="center" vertical="center"/>
    </xf>
    <xf numFmtId="3" fontId="9" fillId="14" borderId="37" xfId="0" applyNumberFormat="1" applyFont="1" applyFill="1" applyBorder="1" applyAlignment="1">
      <alignment horizontal="center" vertical="center"/>
    </xf>
    <xf numFmtId="169" fontId="9" fillId="14" borderId="37" xfId="6" applyNumberFormat="1" applyFont="1" applyFill="1" applyBorder="1" applyAlignment="1">
      <alignment horizontal="center" vertical="center"/>
    </xf>
    <xf numFmtId="10" fontId="9" fillId="14" borderId="37" xfId="0" applyNumberFormat="1" applyFont="1" applyFill="1" applyBorder="1" applyAlignment="1">
      <alignment horizontal="center" vertical="center"/>
    </xf>
    <xf numFmtId="0" fontId="16" fillId="5" borderId="0" xfId="0" applyFont="1" applyFill="1" applyBorder="1" applyAlignment="1">
      <alignment horizontal="center" vertical="center"/>
    </xf>
    <xf numFmtId="10" fontId="9" fillId="14" borderId="40" xfId="0" applyNumberFormat="1" applyFont="1" applyFill="1" applyBorder="1" applyAlignment="1">
      <alignment horizontal="center" vertical="center"/>
    </xf>
    <xf numFmtId="3" fontId="9" fillId="14" borderId="40" xfId="0" applyNumberFormat="1" applyFont="1" applyFill="1" applyBorder="1" applyAlignment="1">
      <alignment horizontal="center" vertical="center"/>
    </xf>
    <xf numFmtId="169" fontId="9" fillId="14" borderId="40" xfId="6" applyNumberFormat="1" applyFont="1" applyFill="1" applyBorder="1" applyAlignment="1">
      <alignment horizontal="center" vertical="center"/>
    </xf>
    <xf numFmtId="0" fontId="16" fillId="0" borderId="0" xfId="0" applyFont="1" applyAlignment="1">
      <alignment horizontal="center" vertical="center"/>
    </xf>
    <xf numFmtId="10" fontId="9" fillId="14" borderId="40" xfId="2" applyNumberFormat="1" applyFont="1" applyFill="1" applyBorder="1" applyAlignment="1">
      <alignment horizontal="center" vertical="center"/>
    </xf>
    <xf numFmtId="10" fontId="15" fillId="9" borderId="0" xfId="9" applyNumberFormat="1" applyFont="1" applyFill="1" applyBorder="1"/>
    <xf numFmtId="10" fontId="15" fillId="0" borderId="0" xfId="9" applyNumberFormat="1" applyFont="1" applyFill="1" applyBorder="1"/>
    <xf numFmtId="168" fontId="15" fillId="0" borderId="0" xfId="0" applyNumberFormat="1" applyFont="1" applyFill="1" applyBorder="1" applyAlignment="1">
      <alignment horizontal="center"/>
    </xf>
    <xf numFmtId="0" fontId="16" fillId="0" borderId="1" xfId="0" applyFont="1" applyBorder="1" applyAlignment="1"/>
    <xf numFmtId="9" fontId="3" fillId="15" borderId="0" xfId="9" applyFont="1" applyFill="1"/>
    <xf numFmtId="9" fontId="3" fillId="0" borderId="0" xfId="9" applyFont="1"/>
    <xf numFmtId="0" fontId="3" fillId="0" borderId="0" xfId="8" applyFont="1"/>
    <xf numFmtId="168" fontId="15" fillId="10" borderId="0" xfId="0" applyNumberFormat="1" applyFont="1" applyFill="1" applyBorder="1" applyAlignment="1">
      <alignment horizontal="center"/>
    </xf>
    <xf numFmtId="10" fontId="15" fillId="10" borderId="18" xfId="9" applyNumberFormat="1" applyFont="1" applyFill="1" applyBorder="1"/>
    <xf numFmtId="10" fontId="15" fillId="10" borderId="0" xfId="9" applyNumberFormat="1" applyFont="1" applyFill="1" applyBorder="1"/>
    <xf numFmtId="0" fontId="16" fillId="0" borderId="4" xfId="0" applyFont="1" applyFill="1" applyBorder="1" applyAlignment="1">
      <alignment horizontal="left"/>
    </xf>
    <xf numFmtId="0" fontId="16" fillId="0" borderId="4" xfId="0" applyFont="1" applyFill="1" applyBorder="1" applyAlignment="1">
      <alignment horizontal="center"/>
    </xf>
    <xf numFmtId="9" fontId="16" fillId="0" borderId="4" xfId="7" applyFont="1" applyFill="1" applyBorder="1" applyAlignment="1">
      <alignment horizontal="center"/>
    </xf>
    <xf numFmtId="169" fontId="16" fillId="0" borderId="4" xfId="6" applyNumberFormat="1" applyFont="1" applyFill="1" applyBorder="1" applyAlignment="1">
      <alignment horizontal="center"/>
    </xf>
    <xf numFmtId="10" fontId="16" fillId="0" borderId="4" xfId="0" applyNumberFormat="1" applyFont="1" applyFill="1" applyBorder="1" applyAlignment="1">
      <alignment horizontal="center"/>
    </xf>
    <xf numFmtId="0" fontId="16" fillId="0" borderId="1" xfId="0" applyFont="1" applyFill="1" applyBorder="1" applyAlignment="1">
      <alignment horizontal="center"/>
    </xf>
    <xf numFmtId="9" fontId="16" fillId="0" borderId="1" xfId="7" applyFont="1" applyFill="1" applyBorder="1" applyAlignment="1">
      <alignment horizontal="center"/>
    </xf>
    <xf numFmtId="169" fontId="16" fillId="0" borderId="1" xfId="6" applyNumberFormat="1" applyFont="1" applyFill="1" applyBorder="1" applyAlignment="1">
      <alignment horizontal="center"/>
    </xf>
    <xf numFmtId="0" fontId="7" fillId="5" borderId="4" xfId="5" applyFont="1" applyFill="1" applyBorder="1" applyAlignment="1">
      <alignment horizontal="left"/>
    </xf>
    <xf numFmtId="0" fontId="16" fillId="14" borderId="38" xfId="5" applyFont="1" applyFill="1" applyBorder="1" applyAlignment="1">
      <alignment horizontal="center"/>
    </xf>
    <xf numFmtId="0" fontId="8" fillId="12" borderId="42" xfId="0" applyFont="1" applyFill="1" applyBorder="1" applyAlignment="1">
      <alignment vertical="center"/>
    </xf>
    <xf numFmtId="0" fontId="9" fillId="14" borderId="38" xfId="5" applyFont="1" applyFill="1" applyBorder="1" applyAlignment="1">
      <alignment horizontal="center"/>
    </xf>
    <xf numFmtId="3" fontId="9" fillId="14" borderId="38" xfId="5" applyNumberFormat="1" applyFont="1" applyFill="1" applyBorder="1" applyAlignment="1">
      <alignment horizontal="center"/>
    </xf>
    <xf numFmtId="22" fontId="0" fillId="0" borderId="0" xfId="0" applyNumberFormat="1"/>
    <xf numFmtId="0" fontId="9" fillId="14" borderId="38" xfId="6" applyNumberFormat="1" applyFont="1" applyFill="1" applyBorder="1" applyAlignment="1">
      <alignment horizontal="center"/>
    </xf>
    <xf numFmtId="10" fontId="9" fillId="12" borderId="23" xfId="9" applyNumberFormat="1" applyFont="1" applyFill="1" applyBorder="1" applyAlignment="1">
      <alignment horizontal="center"/>
    </xf>
    <xf numFmtId="10" fontId="9" fillId="12" borderId="38" xfId="9" applyNumberFormat="1" applyFont="1" applyFill="1" applyBorder="1" applyAlignment="1">
      <alignment horizontal="center"/>
    </xf>
    <xf numFmtId="10" fontId="9" fillId="12" borderId="42" xfId="9" applyNumberFormat="1" applyFont="1" applyFill="1" applyBorder="1" applyAlignment="1">
      <alignment horizontal="center"/>
    </xf>
    <xf numFmtId="0" fontId="8" fillId="10" borderId="5" xfId="3" applyFont="1" applyFill="1" applyBorder="1"/>
    <xf numFmtId="3" fontId="9" fillId="10" borderId="0" xfId="3" applyNumberFormat="1" applyFont="1" applyFill="1" applyBorder="1" applyAlignment="1">
      <alignment horizontal="center"/>
    </xf>
    <xf numFmtId="0" fontId="9" fillId="10" borderId="7" xfId="0" applyFont="1" applyFill="1" applyBorder="1" applyAlignment="1"/>
    <xf numFmtId="22" fontId="0" fillId="0" borderId="0" xfId="0" applyNumberFormat="1"/>
    <xf numFmtId="0" fontId="9" fillId="14" borderId="38" xfId="0" applyFont="1" applyFill="1" applyBorder="1" applyAlignment="1">
      <alignment vertical="center"/>
    </xf>
    <xf numFmtId="0" fontId="9" fillId="12" borderId="42" xfId="0" applyFont="1" applyFill="1" applyBorder="1" applyAlignment="1">
      <alignment horizontal="center"/>
    </xf>
    <xf numFmtId="0" fontId="9" fillId="14" borderId="38" xfId="0" applyFont="1" applyFill="1" applyBorder="1" applyAlignment="1">
      <alignment horizontal="center"/>
    </xf>
    <xf numFmtId="10" fontId="0" fillId="5" borderId="25" xfId="0" applyNumberFormat="1" applyFill="1" applyBorder="1"/>
    <xf numFmtId="10" fontId="0" fillId="5" borderId="29" xfId="0" applyNumberFormat="1" applyFill="1" applyBorder="1"/>
    <xf numFmtId="10" fontId="9" fillId="11" borderId="1" xfId="0" applyNumberFormat="1" applyFont="1" applyFill="1" applyBorder="1" applyAlignment="1">
      <alignment horizontal="center" wrapText="1"/>
    </xf>
    <xf numFmtId="10" fontId="9" fillId="10" borderId="24" xfId="2" applyNumberFormat="1" applyFont="1" applyFill="1" applyBorder="1" applyAlignment="1">
      <alignment horizontal="center"/>
    </xf>
    <xf numFmtId="10" fontId="9" fillId="10" borderId="7" xfId="2" applyNumberFormat="1" applyFont="1" applyFill="1" applyBorder="1" applyAlignment="1">
      <alignment horizontal="center"/>
    </xf>
    <xf numFmtId="10" fontId="0" fillId="7" borderId="0" xfId="0" applyNumberFormat="1" applyFill="1"/>
    <xf numFmtId="10" fontId="9" fillId="12" borderId="42" xfId="0" applyNumberFormat="1" applyFont="1" applyFill="1" applyBorder="1" applyAlignment="1">
      <alignment horizontal="center"/>
    </xf>
    <xf numFmtId="10" fontId="9" fillId="14" borderId="38" xfId="0" applyNumberFormat="1" applyFont="1" applyFill="1" applyBorder="1" applyAlignment="1">
      <alignment horizontal="center"/>
    </xf>
    <xf numFmtId="3" fontId="9" fillId="12" borderId="42" xfId="0" applyNumberFormat="1" applyFont="1" applyFill="1" applyBorder="1" applyAlignment="1">
      <alignment horizontal="center"/>
    </xf>
    <xf numFmtId="169" fontId="9" fillId="12" borderId="42" xfId="6" applyNumberFormat="1" applyFont="1" applyFill="1" applyBorder="1" applyAlignment="1">
      <alignment horizontal="center"/>
    </xf>
    <xf numFmtId="3" fontId="9" fillId="14" borderId="38" xfId="0" applyNumberFormat="1" applyFont="1" applyFill="1" applyBorder="1" applyAlignment="1">
      <alignment horizontal="center"/>
    </xf>
    <xf numFmtId="169" fontId="9" fillId="14" borderId="38" xfId="6" applyNumberFormat="1" applyFont="1" applyFill="1" applyBorder="1" applyAlignment="1">
      <alignment horizontal="center"/>
    </xf>
    <xf numFmtId="0" fontId="9" fillId="14" borderId="40" xfId="0" applyFont="1" applyFill="1" applyBorder="1" applyAlignment="1">
      <alignment horizontal="left" vertical="center"/>
    </xf>
    <xf numFmtId="169" fontId="7" fillId="0" borderId="0" xfId="6" applyNumberFormat="1" applyFont="1"/>
    <xf numFmtId="10" fontId="15" fillId="0" borderId="18" xfId="9" applyNumberFormat="1" applyFont="1" applyFill="1" applyBorder="1"/>
    <xf numFmtId="10" fontId="9" fillId="14" borderId="38" xfId="6" applyNumberFormat="1" applyFont="1" applyFill="1" applyBorder="1" applyAlignment="1">
      <alignment horizontal="center"/>
    </xf>
    <xf numFmtId="10" fontId="9" fillId="14" borderId="38" xfId="5" applyNumberFormat="1" applyFont="1" applyFill="1" applyBorder="1" applyAlignment="1">
      <alignment horizontal="center"/>
    </xf>
    <xf numFmtId="22" fontId="0" fillId="0" borderId="0" xfId="0" applyNumberFormat="1"/>
    <xf numFmtId="10" fontId="9" fillId="14" borderId="23" xfId="0" applyNumberFormat="1" applyFont="1" applyFill="1" applyBorder="1" applyAlignment="1">
      <alignment horizontal="center" vertical="center"/>
    </xf>
    <xf numFmtId="10" fontId="15" fillId="5" borderId="0" xfId="9" applyNumberFormat="1" applyFont="1" applyFill="1" applyBorder="1"/>
    <xf numFmtId="10" fontId="15" fillId="5" borderId="18" xfId="9" applyNumberFormat="1" applyFont="1" applyFill="1" applyBorder="1"/>
    <xf numFmtId="0" fontId="16" fillId="7" borderId="0" xfId="0" applyFont="1" applyFill="1" applyBorder="1"/>
    <xf numFmtId="10" fontId="9" fillId="12" borderId="52" xfId="0" applyNumberFormat="1" applyFont="1" applyFill="1" applyBorder="1" applyAlignment="1">
      <alignment horizontal="center"/>
    </xf>
    <xf numFmtId="0" fontId="16" fillId="5" borderId="1" xfId="0" applyFont="1" applyFill="1" applyBorder="1" applyAlignment="1">
      <alignment horizontal="left" vertical="center"/>
    </xf>
    <xf numFmtId="9" fontId="16" fillId="5" borderId="30" xfId="7" applyFont="1" applyFill="1" applyBorder="1" applyAlignment="1">
      <alignment horizontal="center"/>
    </xf>
    <xf numFmtId="2" fontId="0" fillId="0" borderId="0" xfId="0" applyNumberFormat="1"/>
    <xf numFmtId="0" fontId="8" fillId="0" borderId="0" xfId="5" applyFont="1"/>
    <xf numFmtId="9" fontId="34" fillId="20" borderId="55" xfId="9" applyNumberFormat="1" applyFont="1" applyFill="1" applyBorder="1" applyAlignment="1">
      <alignment horizontal="right" indent="1"/>
    </xf>
    <xf numFmtId="9" fontId="33" fillId="20" borderId="57" xfId="9" applyNumberFormat="1" applyFont="1" applyFill="1" applyBorder="1" applyAlignment="1">
      <alignment horizontal="right" indent="1"/>
    </xf>
    <xf numFmtId="9" fontId="34" fillId="20" borderId="48" xfId="9" applyNumberFormat="1" applyFont="1" applyFill="1" applyBorder="1" applyAlignment="1">
      <alignment horizontal="right" indent="1"/>
    </xf>
    <xf numFmtId="10" fontId="7" fillId="0" borderId="0" xfId="5" applyNumberFormat="1"/>
    <xf numFmtId="0" fontId="7" fillId="0" borderId="0" xfId="5" applyNumberFormat="1" applyAlignment="1">
      <alignment horizontal="center"/>
    </xf>
    <xf numFmtId="0" fontId="16" fillId="10" borderId="6" xfId="5" applyNumberFormat="1" applyFont="1" applyFill="1" applyBorder="1" applyAlignment="1">
      <alignment horizontal="center"/>
    </xf>
    <xf numFmtId="0" fontId="7" fillId="10" borderId="6" xfId="5" applyNumberFormat="1" applyFill="1" applyBorder="1" applyAlignment="1">
      <alignment horizontal="center"/>
    </xf>
    <xf numFmtId="0" fontId="7" fillId="10" borderId="47" xfId="5" applyNumberFormat="1" applyFill="1" applyBorder="1" applyAlignment="1">
      <alignment horizontal="center"/>
    </xf>
    <xf numFmtId="0" fontId="16" fillId="14" borderId="23" xfId="5" applyNumberFormat="1" applyFont="1" applyFill="1" applyBorder="1" applyAlignment="1">
      <alignment horizontal="center"/>
    </xf>
    <xf numFmtId="0" fontId="16" fillId="12" borderId="23" xfId="5" applyNumberFormat="1" applyFont="1" applyFill="1" applyBorder="1" applyAlignment="1">
      <alignment horizontal="center"/>
    </xf>
    <xf numFmtId="0" fontId="16" fillId="12" borderId="38" xfId="5" applyNumberFormat="1" applyFont="1" applyFill="1" applyBorder="1" applyAlignment="1">
      <alignment horizontal="center"/>
    </xf>
    <xf numFmtId="0" fontId="16" fillId="12" borderId="84" xfId="5" applyNumberFormat="1" applyFont="1" applyFill="1" applyBorder="1" applyAlignment="1">
      <alignment horizontal="center"/>
    </xf>
    <xf numFmtId="22" fontId="0" fillId="0" borderId="0" xfId="0" applyNumberFormat="1"/>
    <xf numFmtId="0" fontId="35" fillId="19" borderId="44" xfId="15" applyFont="1" applyBorder="1" applyAlignment="1">
      <alignment vertical="center"/>
    </xf>
    <xf numFmtId="0" fontId="35" fillId="19" borderId="51" xfId="15" applyFont="1" applyBorder="1" applyAlignment="1">
      <alignment vertical="center"/>
    </xf>
    <xf numFmtId="0" fontId="33" fillId="22" borderId="58" xfId="0" applyFont="1" applyFill="1" applyBorder="1" applyAlignment="1">
      <alignment vertical="center" wrapText="1"/>
    </xf>
    <xf numFmtId="0" fontId="7" fillId="22" borderId="53" xfId="0" applyFont="1" applyFill="1" applyBorder="1" applyAlignment="1">
      <alignment vertical="center" wrapText="1"/>
    </xf>
    <xf numFmtId="9" fontId="33" fillId="20" borderId="49" xfId="9" applyNumberFormat="1" applyFont="1" applyFill="1" applyBorder="1" applyAlignment="1">
      <alignment horizontal="right" indent="1"/>
    </xf>
    <xf numFmtId="0" fontId="18" fillId="0" borderId="76" xfId="5" applyFont="1" applyFill="1" applyBorder="1" applyAlignment="1">
      <alignment vertical="center"/>
    </xf>
    <xf numFmtId="0" fontId="18" fillId="0" borderId="73" xfId="5" applyFont="1" applyFill="1" applyBorder="1" applyAlignment="1">
      <alignment vertical="center"/>
    </xf>
    <xf numFmtId="38" fontId="33" fillId="21" borderId="68" xfId="5" applyNumberFormat="1" applyFont="1" applyFill="1" applyBorder="1" applyAlignment="1">
      <alignment horizontal="right" vertical="center" indent="1"/>
    </xf>
    <xf numFmtId="38" fontId="34" fillId="21" borderId="70" xfId="5" applyNumberFormat="1" applyFont="1" applyFill="1" applyBorder="1" applyAlignment="1">
      <alignment horizontal="right" vertical="center" indent="1"/>
    </xf>
    <xf numFmtId="0" fontId="33" fillId="22" borderId="48" xfId="0" applyFont="1" applyFill="1" applyBorder="1" applyAlignment="1">
      <alignment horizontal="center"/>
    </xf>
    <xf numFmtId="0" fontId="33" fillId="22" borderId="55" xfId="0" applyFont="1" applyFill="1" applyBorder="1" applyAlignment="1">
      <alignment horizontal="center"/>
    </xf>
    <xf numFmtId="0" fontId="33" fillId="22" borderId="57" xfId="0" applyFont="1" applyFill="1" applyBorder="1" applyAlignment="1">
      <alignment horizontal="center"/>
    </xf>
    <xf numFmtId="0" fontId="33" fillId="22" borderId="56" xfId="0" applyFont="1" applyFill="1" applyBorder="1" applyAlignment="1">
      <alignment horizontal="center"/>
    </xf>
    <xf numFmtId="0" fontId="33" fillId="22" borderId="51" xfId="0" applyFont="1" applyFill="1" applyBorder="1" applyAlignment="1">
      <alignment horizontal="center"/>
    </xf>
    <xf numFmtId="0" fontId="7" fillId="0" borderId="0" xfId="5" applyAlignment="1">
      <alignment vertical="center"/>
    </xf>
    <xf numFmtId="0" fontId="18" fillId="0" borderId="62" xfId="0" applyFont="1" applyFill="1" applyBorder="1" applyAlignment="1">
      <alignment vertical="center"/>
    </xf>
    <xf numFmtId="0" fontId="33" fillId="20" borderId="49" xfId="5" applyFont="1" applyFill="1" applyBorder="1" applyAlignment="1">
      <alignment vertical="center"/>
    </xf>
    <xf numFmtId="9" fontId="34" fillId="20" borderId="55" xfId="9" applyNumberFormat="1" applyFont="1" applyFill="1" applyBorder="1" applyAlignment="1">
      <alignment horizontal="right" vertical="center"/>
    </xf>
    <xf numFmtId="174" fontId="33" fillId="20" borderId="52" xfId="9" applyNumberFormat="1" applyFont="1" applyFill="1" applyBorder="1" applyAlignment="1">
      <alignment horizontal="center" vertical="center"/>
    </xf>
    <xf numFmtId="174" fontId="33" fillId="20" borderId="55" xfId="9" applyNumberFormat="1" applyFont="1" applyFill="1" applyBorder="1" applyAlignment="1">
      <alignment horizontal="center" vertical="center"/>
    </xf>
    <xf numFmtId="174" fontId="33" fillId="20" borderId="49" xfId="9" applyNumberFormat="1" applyFont="1" applyFill="1" applyBorder="1" applyAlignment="1">
      <alignment horizontal="center" vertical="center"/>
    </xf>
    <xf numFmtId="0" fontId="18" fillId="0" borderId="64" xfId="0" applyFont="1" applyFill="1" applyBorder="1" applyAlignment="1">
      <alignment vertical="center"/>
    </xf>
    <xf numFmtId="0" fontId="39" fillId="0" borderId="0" xfId="5" applyFont="1" applyAlignment="1">
      <alignment vertical="center"/>
    </xf>
    <xf numFmtId="0" fontId="8" fillId="0" borderId="0" xfId="5" applyFont="1" applyAlignment="1">
      <alignment vertical="center"/>
    </xf>
    <xf numFmtId="0" fontId="38" fillId="0" borderId="0" xfId="5" applyFont="1" applyAlignment="1">
      <alignment vertical="center"/>
    </xf>
    <xf numFmtId="0" fontId="38" fillId="0" borderId="17" xfId="5" applyFont="1" applyBorder="1" applyAlignment="1">
      <alignment vertical="center"/>
    </xf>
    <xf numFmtId="0" fontId="7" fillId="0" borderId="0" xfId="5" applyFont="1" applyAlignment="1">
      <alignment vertical="center"/>
    </xf>
    <xf numFmtId="0" fontId="7" fillId="0" borderId="17" xfId="5" applyFont="1" applyBorder="1" applyAlignment="1">
      <alignment vertical="center"/>
    </xf>
    <xf numFmtId="0" fontId="33" fillId="22" borderId="52" xfId="5" applyFont="1" applyFill="1" applyBorder="1" applyAlignment="1">
      <alignment horizontal="center" vertical="center"/>
    </xf>
    <xf numFmtId="0" fontId="33" fillId="22" borderId="55" xfId="5" applyFont="1" applyFill="1" applyBorder="1" applyAlignment="1">
      <alignment horizontal="center" vertical="center"/>
    </xf>
    <xf numFmtId="0" fontId="33" fillId="22" borderId="57" xfId="5" applyFont="1" applyFill="1" applyBorder="1" applyAlignment="1">
      <alignment horizontal="center" vertical="center"/>
    </xf>
    <xf numFmtId="0" fontId="33" fillId="22" borderId="56" xfId="5" applyFont="1" applyFill="1" applyBorder="1" applyAlignment="1">
      <alignment horizontal="center" vertical="center"/>
    </xf>
    <xf numFmtId="0" fontId="33" fillId="22" borderId="51" xfId="5" applyFont="1" applyFill="1" applyBorder="1" applyAlignment="1">
      <alignment horizontal="center" vertical="center"/>
    </xf>
    <xf numFmtId="0" fontId="33" fillId="22" borderId="48" xfId="5" applyFont="1" applyFill="1" applyBorder="1" applyAlignment="1">
      <alignment horizontal="center" vertical="center"/>
    </xf>
    <xf numFmtId="0" fontId="33" fillId="22" borderId="44" xfId="5" applyFont="1" applyFill="1" applyBorder="1" applyAlignment="1">
      <alignment horizontal="center" vertical="center"/>
    </xf>
    <xf numFmtId="0" fontId="33" fillId="22" borderId="49" xfId="5" applyFont="1" applyFill="1" applyBorder="1" applyAlignment="1">
      <alignment horizontal="center" vertical="center"/>
    </xf>
    <xf numFmtId="0" fontId="33" fillId="22" borderId="50" xfId="5" applyFont="1" applyFill="1" applyBorder="1" applyAlignment="1">
      <alignment horizontal="center" vertical="center"/>
    </xf>
    <xf numFmtId="0" fontId="33" fillId="22" borderId="44" xfId="5" applyFont="1" applyFill="1" applyBorder="1" applyAlignment="1">
      <alignment vertical="center"/>
    </xf>
    <xf numFmtId="0" fontId="18" fillId="0" borderId="78" xfId="5" applyFont="1" applyFill="1" applyBorder="1" applyAlignment="1">
      <alignment vertical="center"/>
    </xf>
    <xf numFmtId="38" fontId="34" fillId="0" borderId="8" xfId="5" applyNumberFormat="1" applyFont="1" applyFill="1" applyBorder="1" applyAlignment="1">
      <alignment vertical="center"/>
    </xf>
    <xf numFmtId="38" fontId="34" fillId="0" borderId="74" xfId="5" applyNumberFormat="1" applyFont="1" applyFill="1" applyBorder="1" applyAlignment="1">
      <alignment vertical="center"/>
    </xf>
    <xf numFmtId="38" fontId="33" fillId="0" borderId="77" xfId="5" applyNumberFormat="1" applyFont="1" applyFill="1" applyBorder="1" applyAlignment="1">
      <alignment vertical="center"/>
    </xf>
    <xf numFmtId="38" fontId="34" fillId="0" borderId="61" xfId="5" applyNumberFormat="1" applyFont="1" applyBorder="1" applyAlignment="1">
      <alignment horizontal="right" vertical="center"/>
    </xf>
    <xf numFmtId="38" fontId="34" fillId="0" borderId="2" xfId="5" applyNumberFormat="1" applyFont="1" applyBorder="1" applyAlignment="1">
      <alignment horizontal="right" vertical="center"/>
    </xf>
    <xf numFmtId="0" fontId="34" fillId="0" borderId="0" xfId="5" applyFont="1" applyAlignment="1">
      <alignment vertical="center"/>
    </xf>
    <xf numFmtId="0" fontId="18" fillId="0" borderId="82" xfId="5" applyFont="1" applyFill="1" applyBorder="1" applyAlignment="1">
      <alignment vertical="center"/>
    </xf>
    <xf numFmtId="40" fontId="33" fillId="0" borderId="60" xfId="5" applyNumberFormat="1" applyFont="1" applyBorder="1" applyAlignment="1">
      <alignment vertical="center"/>
    </xf>
    <xf numFmtId="0" fontId="18" fillId="0" borderId="62" xfId="5" applyFont="1" applyFill="1" applyBorder="1" applyAlignment="1">
      <alignment vertical="center"/>
    </xf>
    <xf numFmtId="38" fontId="33" fillId="0" borderId="72" xfId="5" applyNumberFormat="1" applyFont="1" applyFill="1" applyBorder="1" applyAlignment="1">
      <alignment vertical="center"/>
    </xf>
    <xf numFmtId="0" fontId="18" fillId="0" borderId="75" xfId="5" applyFont="1" applyFill="1" applyBorder="1" applyAlignment="1">
      <alignment vertical="center"/>
    </xf>
    <xf numFmtId="0" fontId="18" fillId="0" borderId="81" xfId="5" applyFont="1" applyFill="1" applyBorder="1" applyAlignment="1">
      <alignment vertical="center"/>
    </xf>
    <xf numFmtId="0" fontId="18" fillId="0" borderId="64" xfId="5" applyFont="1" applyFill="1" applyBorder="1" applyAlignment="1">
      <alignment vertical="center"/>
    </xf>
    <xf numFmtId="0" fontId="33" fillId="21" borderId="58" xfId="5" applyFont="1" applyFill="1" applyBorder="1" applyAlignment="1">
      <alignment vertical="center"/>
    </xf>
    <xf numFmtId="38" fontId="34" fillId="21" borderId="46" xfId="5" applyNumberFormat="1" applyFont="1" applyFill="1" applyBorder="1" applyAlignment="1">
      <alignment vertical="center"/>
    </xf>
    <xf numFmtId="38" fontId="34" fillId="21" borderId="67" xfId="5" applyNumberFormat="1" applyFont="1" applyFill="1" applyBorder="1" applyAlignment="1">
      <alignment vertical="center"/>
    </xf>
    <xf numFmtId="38" fontId="33" fillId="21" borderId="66" xfId="5" applyNumberFormat="1" applyFont="1" applyFill="1" applyBorder="1" applyAlignment="1">
      <alignment vertical="center"/>
    </xf>
    <xf numFmtId="38" fontId="34" fillId="21" borderId="70" xfId="5" applyNumberFormat="1" applyFont="1" applyFill="1" applyBorder="1" applyAlignment="1">
      <alignment horizontal="right" vertical="center"/>
    </xf>
    <xf numFmtId="38" fontId="34" fillId="21" borderId="69" xfId="5" applyNumberFormat="1" applyFont="1" applyFill="1" applyBorder="1" applyAlignment="1">
      <alignment horizontal="right" vertical="center"/>
    </xf>
    <xf numFmtId="0" fontId="33" fillId="0" borderId="0" xfId="5" applyFont="1" applyAlignment="1">
      <alignment vertical="center"/>
    </xf>
    <xf numFmtId="0" fontId="33" fillId="21" borderId="50" xfId="5" applyFont="1" applyFill="1" applyBorder="1" applyAlignment="1">
      <alignment vertical="center"/>
    </xf>
    <xf numFmtId="0" fontId="33" fillId="21" borderId="49" xfId="5" applyFont="1" applyFill="1" applyBorder="1" applyAlignment="1">
      <alignment vertical="center"/>
    </xf>
    <xf numFmtId="9" fontId="34" fillId="20" borderId="52" xfId="9" applyNumberFormat="1" applyFont="1" applyFill="1" applyBorder="1" applyAlignment="1">
      <alignment horizontal="right" vertical="center"/>
    </xf>
    <xf numFmtId="164" fontId="34" fillId="0" borderId="0" xfId="12" applyFont="1" applyAlignment="1">
      <alignment vertical="center"/>
    </xf>
    <xf numFmtId="175" fontId="7" fillId="0" borderId="0" xfId="5" applyNumberFormat="1" applyAlignment="1">
      <alignment vertical="center"/>
    </xf>
    <xf numFmtId="0" fontId="37" fillId="0" borderId="0" xfId="5" applyFont="1" applyAlignment="1">
      <alignment vertical="center"/>
    </xf>
    <xf numFmtId="0" fontId="36" fillId="0" borderId="0" xfId="5" applyFont="1" applyAlignment="1">
      <alignment vertical="center"/>
    </xf>
    <xf numFmtId="10" fontId="33" fillId="0" borderId="0" xfId="9" applyNumberFormat="1" applyFont="1" applyAlignment="1">
      <alignment vertical="center"/>
    </xf>
    <xf numFmtId="9" fontId="33" fillId="20" borderId="49" xfId="9" applyNumberFormat="1" applyFont="1" applyFill="1" applyBorder="1" applyAlignment="1">
      <alignment horizontal="right" vertical="center"/>
    </xf>
    <xf numFmtId="10" fontId="7" fillId="0" borderId="0" xfId="7" applyNumberFormat="1" applyFont="1" applyAlignment="1">
      <alignment vertical="center"/>
    </xf>
    <xf numFmtId="0" fontId="8" fillId="22" borderId="14" xfId="5" applyFont="1" applyFill="1" applyBorder="1" applyAlignment="1">
      <alignment horizontal="left" vertical="center"/>
    </xf>
    <xf numFmtId="0" fontId="8" fillId="22" borderId="53" xfId="5" applyFont="1" applyFill="1" applyBorder="1" applyAlignment="1">
      <alignment horizontal="left" vertical="center"/>
    </xf>
    <xf numFmtId="0" fontId="33" fillId="22" borderId="39" xfId="5" applyFont="1" applyFill="1" applyBorder="1" applyAlignment="1">
      <alignment horizontal="center" vertical="center"/>
    </xf>
    <xf numFmtId="0" fontId="33" fillId="22" borderId="48" xfId="0" applyFont="1" applyFill="1" applyBorder="1" applyAlignment="1">
      <alignment horizontal="center" vertical="center"/>
    </xf>
    <xf numFmtId="0" fontId="33" fillId="22" borderId="55" xfId="0" applyFont="1" applyFill="1" applyBorder="1" applyAlignment="1">
      <alignment horizontal="center" vertical="center"/>
    </xf>
    <xf numFmtId="0" fontId="33" fillId="22" borderId="57" xfId="0" applyFont="1" applyFill="1" applyBorder="1" applyAlignment="1">
      <alignment horizontal="center" vertical="center"/>
    </xf>
    <xf numFmtId="0" fontId="33" fillId="22" borderId="56" xfId="0" applyFont="1" applyFill="1" applyBorder="1" applyAlignment="1">
      <alignment horizontal="center" vertical="center"/>
    </xf>
    <xf numFmtId="0" fontId="33" fillId="22" borderId="51" xfId="0" applyFont="1" applyFill="1" applyBorder="1" applyAlignment="1">
      <alignment horizontal="center" vertical="center"/>
    </xf>
    <xf numFmtId="0" fontId="33" fillId="21" borderId="49" xfId="0" applyFont="1" applyFill="1" applyBorder="1" applyAlignment="1">
      <alignment vertical="center"/>
    </xf>
    <xf numFmtId="0" fontId="7" fillId="22" borderId="53" xfId="0" applyFont="1" applyFill="1" applyBorder="1" applyAlignment="1">
      <alignment wrapText="1"/>
    </xf>
    <xf numFmtId="0" fontId="33" fillId="20" borderId="49" xfId="0" applyFont="1" applyFill="1" applyBorder="1"/>
    <xf numFmtId="9" fontId="34" fillId="20" borderId="48" xfId="9" applyNumberFormat="1" applyFont="1" applyFill="1" applyBorder="1" applyAlignment="1">
      <alignment horizontal="right" vertical="center" indent="1"/>
    </xf>
    <xf numFmtId="9" fontId="34" fillId="20" borderId="55" xfId="9" applyNumberFormat="1" applyFont="1" applyFill="1" applyBorder="1" applyAlignment="1">
      <alignment horizontal="right" vertical="center" indent="1"/>
    </xf>
    <xf numFmtId="9" fontId="33" fillId="20" borderId="57" xfId="9" applyNumberFormat="1" applyFont="1" applyFill="1" applyBorder="1" applyAlignment="1">
      <alignment horizontal="right" vertical="center" indent="1"/>
    </xf>
    <xf numFmtId="174" fontId="33" fillId="20" borderId="52" xfId="9" applyNumberFormat="1" applyFont="1" applyFill="1" applyBorder="1" applyAlignment="1">
      <alignment horizontal="right" vertical="center" indent="1"/>
    </xf>
    <xf numFmtId="174" fontId="33" fillId="20" borderId="55" xfId="9" applyNumberFormat="1" applyFont="1" applyFill="1" applyBorder="1" applyAlignment="1">
      <alignment horizontal="right" vertical="center" indent="1"/>
    </xf>
    <xf numFmtId="174" fontId="33" fillId="20" borderId="49" xfId="9" applyNumberFormat="1" applyFont="1" applyFill="1" applyBorder="1" applyAlignment="1">
      <alignment horizontal="right" vertical="center" indent="1"/>
    </xf>
    <xf numFmtId="38" fontId="34" fillId="0" borderId="61" xfId="5" applyNumberFormat="1" applyFont="1" applyBorder="1" applyAlignment="1">
      <alignment horizontal="right" vertical="center" indent="1"/>
    </xf>
    <xf numFmtId="38" fontId="34" fillId="0" borderId="2" xfId="5" applyNumberFormat="1" applyFont="1" applyBorder="1" applyAlignment="1">
      <alignment horizontal="right" vertical="center" indent="1"/>
    </xf>
    <xf numFmtId="38" fontId="33" fillId="0" borderId="63" xfId="5" applyNumberFormat="1" applyFont="1" applyFill="1" applyBorder="1" applyAlignment="1">
      <alignment horizontal="right" vertical="center" indent="1"/>
    </xf>
    <xf numFmtId="38" fontId="34" fillId="21" borderId="69" xfId="5" applyNumberFormat="1" applyFont="1" applyFill="1" applyBorder="1" applyAlignment="1">
      <alignment horizontal="right" vertical="center" indent="1"/>
    </xf>
    <xf numFmtId="9" fontId="34" fillId="20" borderId="52" xfId="9" applyNumberFormat="1" applyFont="1" applyFill="1" applyBorder="1" applyAlignment="1">
      <alignment horizontal="right" vertical="center" indent="1"/>
    </xf>
    <xf numFmtId="10" fontId="34" fillId="0" borderId="62" xfId="9" applyNumberFormat="1" applyFont="1" applyFill="1" applyBorder="1" applyAlignment="1">
      <alignment horizontal="right" vertical="center" indent="1"/>
    </xf>
    <xf numFmtId="10" fontId="34" fillId="0" borderId="60" xfId="9" applyNumberFormat="1" applyFont="1" applyFill="1" applyBorder="1" applyAlignment="1">
      <alignment horizontal="right" vertical="center" indent="1"/>
    </xf>
    <xf numFmtId="10" fontId="33" fillId="0" borderId="72" xfId="9" applyNumberFormat="1" applyFont="1" applyFill="1" applyBorder="1" applyAlignment="1">
      <alignment horizontal="right" vertical="center" indent="1"/>
    </xf>
    <xf numFmtId="10" fontId="7" fillId="21" borderId="48" xfId="9" applyNumberFormat="1" applyFont="1" applyFill="1" applyBorder="1" applyAlignment="1">
      <alignment horizontal="right" vertical="center" indent="1"/>
    </xf>
    <xf numFmtId="10" fontId="7" fillId="21" borderId="55" xfId="9" applyNumberFormat="1" applyFont="1" applyFill="1" applyBorder="1" applyAlignment="1">
      <alignment horizontal="right" vertical="center" indent="1"/>
    </xf>
    <xf numFmtId="10" fontId="8" fillId="21" borderId="57" xfId="9" applyNumberFormat="1" applyFont="1" applyFill="1" applyBorder="1" applyAlignment="1">
      <alignment horizontal="right" vertical="center" indent="1"/>
    </xf>
    <xf numFmtId="3" fontId="18" fillId="21" borderId="48" xfId="9" applyNumberFormat="1" applyFont="1" applyFill="1" applyBorder="1" applyAlignment="1">
      <alignment vertical="center"/>
    </xf>
    <xf numFmtId="3" fontId="18" fillId="21" borderId="55" xfId="9" applyNumberFormat="1" applyFont="1" applyFill="1" applyBorder="1" applyAlignment="1">
      <alignment vertical="center"/>
    </xf>
    <xf numFmtId="3" fontId="41" fillId="21" borderId="57" xfId="9" applyNumberFormat="1" applyFont="1" applyFill="1" applyBorder="1" applyAlignment="1">
      <alignment vertical="center"/>
    </xf>
    <xf numFmtId="3" fontId="41" fillId="21" borderId="49" xfId="9" applyNumberFormat="1" applyFont="1" applyFill="1" applyBorder="1" applyAlignment="1">
      <alignment vertical="center"/>
    </xf>
    <xf numFmtId="9" fontId="33" fillId="20" borderId="49" xfId="9" applyNumberFormat="1" applyFont="1" applyFill="1" applyBorder="1" applyAlignment="1">
      <alignment horizontal="right" vertical="center" indent="1"/>
    </xf>
    <xf numFmtId="3" fontId="42" fillId="0" borderId="62" xfId="9" applyNumberFormat="1" applyFont="1" applyFill="1" applyBorder="1" applyAlignment="1">
      <alignment vertical="center"/>
    </xf>
    <xf numFmtId="3" fontId="42" fillId="0" borderId="60" xfId="9" applyNumberFormat="1" applyFont="1" applyFill="1" applyBorder="1" applyAlignment="1">
      <alignment vertical="center"/>
    </xf>
    <xf numFmtId="3" fontId="43" fillId="0" borderId="72" xfId="9" applyNumberFormat="1" applyFont="1" applyFill="1" applyBorder="1" applyAlignment="1">
      <alignment vertical="center"/>
    </xf>
    <xf numFmtId="3" fontId="43" fillId="0" borderId="76" xfId="9" applyNumberFormat="1" applyFont="1" applyFill="1" applyBorder="1" applyAlignment="1">
      <alignment vertical="center"/>
    </xf>
    <xf numFmtId="3" fontId="8" fillId="0" borderId="0" xfId="5" applyNumberFormat="1" applyFont="1" applyAlignment="1">
      <alignment vertical="center"/>
    </xf>
    <xf numFmtId="3" fontId="34" fillId="0" borderId="90" xfId="9" applyNumberFormat="1" applyFont="1" applyFill="1" applyBorder="1" applyAlignment="1">
      <alignment horizontal="right" vertical="center" indent="1"/>
    </xf>
    <xf numFmtId="3" fontId="34" fillId="0" borderId="10" xfId="9" applyNumberFormat="1" applyFont="1" applyFill="1" applyBorder="1" applyAlignment="1">
      <alignment horizontal="right" vertical="center" indent="1"/>
    </xf>
    <xf numFmtId="3" fontId="33" fillId="0" borderId="63" xfId="9" applyNumberFormat="1" applyFont="1" applyFill="1" applyBorder="1" applyAlignment="1">
      <alignment horizontal="right" vertical="center" indent="1"/>
    </xf>
    <xf numFmtId="3" fontId="33" fillId="0" borderId="62" xfId="9" applyNumberFormat="1" applyFont="1" applyFill="1" applyBorder="1" applyAlignment="1">
      <alignment horizontal="right" vertical="center" indent="1"/>
    </xf>
    <xf numFmtId="3" fontId="34" fillId="0" borderId="9" xfId="9" applyNumberFormat="1" applyFont="1" applyFill="1" applyBorder="1" applyAlignment="1">
      <alignment horizontal="right" vertical="center" indent="1"/>
    </xf>
    <xf numFmtId="3" fontId="33" fillId="0" borderId="76" xfId="9" applyNumberFormat="1" applyFont="1" applyFill="1" applyBorder="1" applyAlignment="1">
      <alignment horizontal="right" vertical="center" indent="1"/>
    </xf>
    <xf numFmtId="3" fontId="34" fillId="0" borderId="62" xfId="9" applyNumberFormat="1" applyFont="1" applyFill="1" applyBorder="1" applyAlignment="1">
      <alignment horizontal="right" vertical="center" indent="1"/>
    </xf>
    <xf numFmtId="3" fontId="34" fillId="0" borderId="64" xfId="9" applyNumberFormat="1" applyFont="1" applyFill="1" applyBorder="1" applyAlignment="1">
      <alignment horizontal="right" vertical="center" indent="1"/>
    </xf>
    <xf numFmtId="3" fontId="34" fillId="21" borderId="48" xfId="9" applyNumberFormat="1" applyFont="1" applyFill="1" applyBorder="1" applyAlignment="1">
      <alignment horizontal="right" vertical="center" indent="1"/>
    </xf>
    <xf numFmtId="3" fontId="34" fillId="21" borderId="51" xfId="9" applyNumberFormat="1" applyFont="1" applyFill="1" applyBorder="1" applyAlignment="1">
      <alignment horizontal="right" vertical="center" indent="1"/>
    </xf>
    <xf numFmtId="3" fontId="33" fillId="21" borderId="57" xfId="9" applyNumberFormat="1" applyFont="1" applyFill="1" applyBorder="1" applyAlignment="1">
      <alignment horizontal="right" vertical="center" indent="1"/>
    </xf>
    <xf numFmtId="3" fontId="34" fillId="21" borderId="56" xfId="9" applyNumberFormat="1" applyFont="1" applyFill="1" applyBorder="1" applyAlignment="1">
      <alignment horizontal="right" vertical="center" indent="1"/>
    </xf>
    <xf numFmtId="3" fontId="34" fillId="21" borderId="39" xfId="9" applyNumberFormat="1" applyFont="1" applyFill="1" applyBorder="1" applyAlignment="1">
      <alignment horizontal="right" vertical="center" indent="1"/>
    </xf>
    <xf numFmtId="3" fontId="33" fillId="21" borderId="49" xfId="9" applyNumberFormat="1" applyFont="1" applyFill="1" applyBorder="1" applyAlignment="1">
      <alignment horizontal="right" vertical="center" indent="1"/>
    </xf>
    <xf numFmtId="9" fontId="34" fillId="20" borderId="51" xfId="9" applyNumberFormat="1" applyFont="1" applyFill="1" applyBorder="1" applyAlignment="1">
      <alignment horizontal="right" vertical="center" indent="1"/>
    </xf>
    <xf numFmtId="9" fontId="34" fillId="20" borderId="56" xfId="9" applyNumberFormat="1" applyFont="1" applyFill="1" applyBorder="1" applyAlignment="1">
      <alignment horizontal="right" vertical="center" indent="1"/>
    </xf>
    <xf numFmtId="9" fontId="34" fillId="20" borderId="39" xfId="9" applyNumberFormat="1" applyFont="1" applyFill="1" applyBorder="1" applyAlignment="1">
      <alignment horizontal="right" vertical="center" indent="1"/>
    </xf>
    <xf numFmtId="10" fontId="34" fillId="0" borderId="61" xfId="9" applyNumberFormat="1" applyFont="1" applyFill="1" applyBorder="1" applyAlignment="1">
      <alignment horizontal="right" vertical="center" indent="1"/>
    </xf>
    <xf numFmtId="10" fontId="33" fillId="0" borderId="59" xfId="9" applyNumberFormat="1" applyFont="1" applyFill="1" applyBorder="1" applyAlignment="1">
      <alignment horizontal="right" vertical="center" indent="1"/>
    </xf>
    <xf numFmtId="10" fontId="8" fillId="21" borderId="51" xfId="9" applyNumberFormat="1" applyFont="1" applyFill="1" applyBorder="1" applyAlignment="1">
      <alignment horizontal="right" vertical="center" indent="1"/>
    </xf>
    <xf numFmtId="10" fontId="33" fillId="0" borderId="76" xfId="9" applyNumberFormat="1" applyFont="1" applyFill="1" applyBorder="1" applyAlignment="1">
      <alignment horizontal="right" vertical="center" indent="1"/>
    </xf>
    <xf numFmtId="10" fontId="8" fillId="21" borderId="49" xfId="9" applyNumberFormat="1" applyFont="1" applyFill="1" applyBorder="1" applyAlignment="1">
      <alignment horizontal="right" vertical="center" indent="1"/>
    </xf>
    <xf numFmtId="171" fontId="0" fillId="0" borderId="1" xfId="7" applyNumberFormat="1" applyFont="1" applyBorder="1" applyAlignment="1">
      <alignment horizontal="center"/>
    </xf>
    <xf numFmtId="22" fontId="0" fillId="0" borderId="34" xfId="0" applyNumberFormat="1" applyBorder="1"/>
    <xf numFmtId="22" fontId="0" fillId="0" borderId="0" xfId="0" applyNumberFormat="1"/>
    <xf numFmtId="14" fontId="0" fillId="0" borderId="0" xfId="0" applyNumberFormat="1"/>
    <xf numFmtId="22" fontId="0" fillId="0" borderId="0" xfId="0" applyNumberFormat="1"/>
    <xf numFmtId="0" fontId="16" fillId="5" borderId="21" xfId="0" applyFont="1" applyFill="1" applyBorder="1" applyAlignment="1">
      <alignment horizontal="center"/>
    </xf>
    <xf numFmtId="0" fontId="7" fillId="5" borderId="43" xfId="5" applyFont="1" applyFill="1" applyBorder="1" applyAlignment="1">
      <alignment horizontal="center"/>
    </xf>
    <xf numFmtId="0" fontId="7" fillId="5" borderId="1" xfId="5" applyFont="1" applyFill="1" applyBorder="1" applyAlignment="1">
      <alignment horizontal="center"/>
    </xf>
    <xf numFmtId="0" fontId="7" fillId="5" borderId="45" xfId="5" applyFont="1" applyFill="1" applyBorder="1" applyAlignment="1">
      <alignment horizontal="center"/>
    </xf>
    <xf numFmtId="0" fontId="7" fillId="5" borderId="45" xfId="5" applyFont="1" applyFill="1" applyBorder="1" applyAlignment="1">
      <alignment horizontal="left"/>
    </xf>
    <xf numFmtId="0" fontId="7" fillId="0" borderId="1" xfId="5" applyFont="1" applyBorder="1" applyAlignment="1">
      <alignment horizontal="center"/>
    </xf>
    <xf numFmtId="9" fontId="7" fillId="0" borderId="1" xfId="9" applyFont="1" applyBorder="1" applyAlignment="1">
      <alignment horizontal="center"/>
    </xf>
    <xf numFmtId="3" fontId="7" fillId="0" borderId="1" xfId="5" applyNumberFormat="1" applyFont="1" applyBorder="1" applyAlignment="1">
      <alignment horizontal="center"/>
    </xf>
    <xf numFmtId="10" fontId="7" fillId="0" borderId="1" xfId="6" applyNumberFormat="1" applyFont="1" applyBorder="1" applyAlignment="1">
      <alignment horizontal="center"/>
    </xf>
    <xf numFmtId="0" fontId="7" fillId="0" borderId="1" xfId="5" applyNumberFormat="1" applyFont="1" applyBorder="1" applyAlignment="1">
      <alignment horizontal="center"/>
    </xf>
    <xf numFmtId="10" fontId="7" fillId="0" borderId="1" xfId="5" applyNumberFormat="1" applyFont="1" applyBorder="1" applyAlignment="1">
      <alignment horizontal="center" vertical="center" wrapText="1"/>
    </xf>
    <xf numFmtId="1" fontId="7" fillId="0" borderId="1" xfId="5" applyNumberFormat="1" applyFont="1" applyBorder="1" applyAlignment="1">
      <alignment horizontal="center"/>
    </xf>
    <xf numFmtId="0" fontId="7" fillId="0" borderId="4" xfId="5" applyFont="1" applyBorder="1" applyAlignment="1">
      <alignment horizontal="center"/>
    </xf>
    <xf numFmtId="9" fontId="7" fillId="0" borderId="4" xfId="9" applyFont="1" applyBorder="1" applyAlignment="1">
      <alignment horizontal="center"/>
    </xf>
    <xf numFmtId="3" fontId="7" fillId="0" borderId="4" xfId="5" applyNumberFormat="1" applyFont="1" applyBorder="1" applyAlignment="1">
      <alignment horizontal="center"/>
    </xf>
    <xf numFmtId="10" fontId="7" fillId="0" borderId="30" xfId="5" applyNumberFormat="1" applyFont="1" applyBorder="1" applyAlignment="1">
      <alignment horizontal="center"/>
    </xf>
    <xf numFmtId="0" fontId="7" fillId="0" borderId="30" xfId="5" applyNumberFormat="1" applyFont="1" applyBorder="1" applyAlignment="1">
      <alignment horizontal="center"/>
    </xf>
    <xf numFmtId="10" fontId="7" fillId="0" borderId="4" xfId="5" applyNumberFormat="1" applyFont="1" applyBorder="1" applyAlignment="1">
      <alignment horizontal="center"/>
    </xf>
    <xf numFmtId="0" fontId="7" fillId="0" borderId="4" xfId="5" applyNumberFormat="1" applyFont="1" applyBorder="1" applyAlignment="1">
      <alignment horizontal="center"/>
    </xf>
    <xf numFmtId="10" fontId="7" fillId="0" borderId="1" xfId="5" applyNumberFormat="1" applyFont="1" applyBorder="1" applyAlignment="1">
      <alignment horizontal="center"/>
    </xf>
    <xf numFmtId="10" fontId="7" fillId="0" borderId="4" xfId="9" applyNumberFormat="1" applyFont="1" applyBorder="1" applyAlignment="1">
      <alignment horizontal="center"/>
    </xf>
    <xf numFmtId="0" fontId="7" fillId="0" borderId="30" xfId="6" applyNumberFormat="1" applyFont="1" applyBorder="1" applyAlignment="1">
      <alignment horizontal="center"/>
    </xf>
    <xf numFmtId="0" fontId="7" fillId="0" borderId="1" xfId="6" applyNumberFormat="1" applyFont="1" applyBorder="1" applyAlignment="1">
      <alignment horizontal="center"/>
    </xf>
    <xf numFmtId="10" fontId="7" fillId="5" borderId="30" xfId="9" applyNumberFormat="1" applyFont="1" applyFill="1" applyBorder="1" applyAlignment="1">
      <alignment horizontal="center"/>
    </xf>
    <xf numFmtId="3" fontId="7" fillId="5" borderId="30" xfId="5" applyNumberFormat="1" applyFont="1" applyFill="1" applyBorder="1" applyAlignment="1">
      <alignment horizontal="center"/>
    </xf>
    <xf numFmtId="0" fontId="7" fillId="5" borderId="30" xfId="5" applyFont="1" applyFill="1" applyBorder="1" applyAlignment="1">
      <alignment horizontal="center"/>
    </xf>
    <xf numFmtId="10" fontId="7" fillId="5" borderId="30" xfId="6" applyNumberFormat="1" applyFont="1" applyFill="1" applyBorder="1" applyAlignment="1">
      <alignment horizontal="center"/>
    </xf>
    <xf numFmtId="0" fontId="7" fillId="5" borderId="30" xfId="6" applyNumberFormat="1" applyFont="1" applyFill="1" applyBorder="1" applyAlignment="1">
      <alignment horizontal="center"/>
    </xf>
    <xf numFmtId="10" fontId="7" fillId="5" borderId="30" xfId="5" applyNumberFormat="1" applyFont="1" applyFill="1" applyBorder="1" applyAlignment="1">
      <alignment horizontal="center"/>
    </xf>
    <xf numFmtId="10" fontId="7" fillId="5" borderId="1" xfId="9" applyNumberFormat="1" applyFont="1" applyFill="1" applyBorder="1" applyAlignment="1">
      <alignment horizontal="center"/>
    </xf>
    <xf numFmtId="3" fontId="7" fillId="5" borderId="1" xfId="5" applyNumberFormat="1" applyFont="1" applyFill="1" applyBorder="1" applyAlignment="1">
      <alignment horizontal="center"/>
    </xf>
    <xf numFmtId="10" fontId="7" fillId="5" borderId="1" xfId="6" applyNumberFormat="1" applyFont="1" applyFill="1" applyBorder="1" applyAlignment="1">
      <alignment horizontal="center"/>
    </xf>
    <xf numFmtId="0" fontId="7" fillId="5" borderId="1" xfId="6" applyNumberFormat="1" applyFont="1" applyFill="1" applyBorder="1" applyAlignment="1">
      <alignment horizontal="center"/>
    </xf>
    <xf numFmtId="10" fontId="7" fillId="5" borderId="1" xfId="5" applyNumberFormat="1" applyFont="1" applyFill="1" applyBorder="1" applyAlignment="1">
      <alignment horizontal="center"/>
    </xf>
    <xf numFmtId="9" fontId="7" fillId="5" borderId="43" xfId="9" applyFont="1" applyFill="1" applyBorder="1" applyAlignment="1">
      <alignment horizontal="center"/>
    </xf>
    <xf numFmtId="3" fontId="7" fillId="5" borderId="43" xfId="5" applyNumberFormat="1" applyFont="1" applyFill="1" applyBorder="1" applyAlignment="1">
      <alignment horizontal="center"/>
    </xf>
    <xf numFmtId="10" fontId="7" fillId="5" borderId="43" xfId="6" applyNumberFormat="1" applyFont="1" applyFill="1" applyBorder="1" applyAlignment="1">
      <alignment horizontal="center"/>
    </xf>
    <xf numFmtId="0" fontId="7" fillId="5" borderId="43" xfId="6" applyNumberFormat="1" applyFont="1" applyFill="1" applyBorder="1" applyAlignment="1">
      <alignment horizontal="center"/>
    </xf>
    <xf numFmtId="10" fontId="7" fillId="5" borderId="43" xfId="5" applyNumberFormat="1" applyFont="1" applyFill="1" applyBorder="1" applyAlignment="1">
      <alignment horizontal="center"/>
    </xf>
    <xf numFmtId="9" fontId="7" fillId="5" borderId="1" xfId="9" applyFont="1" applyFill="1" applyBorder="1" applyAlignment="1">
      <alignment horizontal="center"/>
    </xf>
    <xf numFmtId="9" fontId="7" fillId="5" borderId="30" xfId="9" applyFont="1" applyFill="1" applyBorder="1" applyAlignment="1">
      <alignment horizontal="center"/>
    </xf>
    <xf numFmtId="0" fontId="7" fillId="5" borderId="4" xfId="5" applyFont="1" applyFill="1" applyBorder="1" applyAlignment="1">
      <alignment horizontal="center"/>
    </xf>
    <xf numFmtId="9" fontId="7" fillId="5" borderId="4" xfId="9" applyFont="1" applyFill="1" applyBorder="1" applyAlignment="1">
      <alignment horizontal="center"/>
    </xf>
    <xf numFmtId="3" fontId="7" fillId="5" borderId="4" xfId="5" applyNumberFormat="1" applyFont="1" applyFill="1" applyBorder="1" applyAlignment="1">
      <alignment horizontal="center"/>
    </xf>
    <xf numFmtId="10" fontId="7" fillId="5" borderId="4" xfId="6" applyNumberFormat="1" applyFont="1" applyFill="1" applyBorder="1" applyAlignment="1">
      <alignment horizontal="center"/>
    </xf>
    <xf numFmtId="0" fontId="7" fillId="5" borderId="4" xfId="6" applyNumberFormat="1" applyFont="1" applyFill="1" applyBorder="1" applyAlignment="1">
      <alignment horizontal="center"/>
    </xf>
    <xf numFmtId="10" fontId="7" fillId="5" borderId="4" xfId="5" applyNumberFormat="1" applyFont="1" applyFill="1" applyBorder="1" applyAlignment="1">
      <alignment horizontal="center"/>
    </xf>
    <xf numFmtId="9" fontId="7" fillId="5" borderId="45" xfId="9" applyFont="1" applyFill="1" applyBorder="1" applyAlignment="1">
      <alignment horizontal="center"/>
    </xf>
    <xf numFmtId="10" fontId="7" fillId="5" borderId="45" xfId="6" applyNumberFormat="1" applyFont="1" applyFill="1" applyBorder="1" applyAlignment="1">
      <alignment horizontal="center"/>
    </xf>
    <xf numFmtId="10" fontId="7" fillId="5" borderId="45" xfId="5" applyNumberFormat="1" applyFont="1" applyFill="1" applyBorder="1" applyAlignment="1">
      <alignment horizontal="center"/>
    </xf>
    <xf numFmtId="0" fontId="7" fillId="0" borderId="21" xfId="5" applyNumberFormat="1" applyFont="1" applyBorder="1" applyAlignment="1">
      <alignment horizontal="center"/>
    </xf>
    <xf numFmtId="3" fontId="7" fillId="5" borderId="45" xfId="5" applyNumberFormat="1" applyFont="1" applyFill="1" applyBorder="1" applyAlignment="1">
      <alignment horizontal="center"/>
    </xf>
    <xf numFmtId="0" fontId="36" fillId="11" borderId="1" xfId="5" applyFont="1" applyFill="1" applyBorder="1" applyAlignment="1">
      <alignment horizontal="center"/>
    </xf>
    <xf numFmtId="0" fontId="36" fillId="11" borderId="1" xfId="5" applyFont="1" applyFill="1" applyBorder="1" applyAlignment="1">
      <alignment horizontal="center" wrapText="1"/>
    </xf>
    <xf numFmtId="0" fontId="36" fillId="23" borderId="1" xfId="5" applyNumberFormat="1" applyFont="1" applyFill="1" applyBorder="1" applyAlignment="1">
      <alignment horizontal="center" wrapText="1"/>
    </xf>
    <xf numFmtId="0" fontId="36" fillId="11" borderId="1" xfId="5" applyFont="1" applyFill="1" applyBorder="1" applyAlignment="1"/>
    <xf numFmtId="22" fontId="0" fillId="0" borderId="0" xfId="0" applyNumberFormat="1"/>
    <xf numFmtId="10" fontId="8" fillId="21" borderId="68" xfId="9" applyNumberFormat="1" applyFont="1" applyFill="1" applyBorder="1" applyAlignment="1">
      <alignment horizontal="right" vertical="center" indent="1"/>
    </xf>
    <xf numFmtId="10" fontId="7" fillId="21" borderId="70" xfId="9" applyNumberFormat="1" applyFont="1" applyFill="1" applyBorder="1" applyAlignment="1">
      <alignment horizontal="right" vertical="center" indent="1"/>
    </xf>
    <xf numFmtId="10" fontId="7" fillId="21" borderId="67" xfId="9" applyNumberFormat="1" applyFont="1" applyFill="1" applyBorder="1" applyAlignment="1">
      <alignment horizontal="right" vertical="center" indent="1"/>
    </xf>
    <xf numFmtId="10" fontId="33" fillId="0" borderId="87" xfId="9" applyNumberFormat="1" applyFont="1" applyFill="1" applyBorder="1" applyAlignment="1">
      <alignment horizontal="right" vertical="center" indent="1"/>
    </xf>
    <xf numFmtId="10" fontId="34" fillId="0" borderId="93" xfId="9" applyNumberFormat="1" applyFont="1" applyFill="1" applyBorder="1" applyAlignment="1">
      <alignment horizontal="right" vertical="center" indent="1"/>
    </xf>
    <xf numFmtId="10" fontId="34" fillId="0" borderId="86" xfId="9" applyNumberFormat="1" applyFont="1" applyFill="1" applyBorder="1" applyAlignment="1">
      <alignment horizontal="right" vertical="center" indent="1"/>
    </xf>
    <xf numFmtId="10" fontId="34" fillId="0" borderId="85" xfId="9" applyNumberFormat="1" applyFont="1" applyFill="1" applyBorder="1" applyAlignment="1">
      <alignment horizontal="right" vertical="center" indent="1"/>
    </xf>
    <xf numFmtId="10" fontId="7" fillId="21" borderId="71" xfId="9" applyNumberFormat="1" applyFont="1" applyFill="1" applyBorder="1" applyAlignment="1">
      <alignment horizontal="right" vertical="center" indent="1"/>
    </xf>
    <xf numFmtId="10" fontId="34" fillId="0" borderId="71" xfId="9" applyNumberFormat="1" applyFont="1" applyFill="1" applyBorder="1" applyAlignment="1">
      <alignment horizontal="right" vertical="center" indent="1"/>
    </xf>
    <xf numFmtId="10" fontId="34" fillId="0" borderId="67" xfId="9" applyNumberFormat="1" applyFont="1" applyFill="1" applyBorder="1" applyAlignment="1">
      <alignment horizontal="right" vertical="center" indent="1"/>
    </xf>
    <xf numFmtId="10" fontId="33" fillId="0" borderId="68" xfId="9" applyNumberFormat="1" applyFont="1" applyFill="1" applyBorder="1" applyAlignment="1">
      <alignment horizontal="right" vertical="center" indent="1"/>
    </xf>
    <xf numFmtId="10" fontId="34" fillId="0" borderId="70" xfId="9" applyNumberFormat="1" applyFont="1" applyFill="1" applyBorder="1" applyAlignment="1">
      <alignment horizontal="right" vertical="center" indent="1"/>
    </xf>
    <xf numFmtId="3" fontId="33" fillId="0" borderId="87" xfId="9" applyNumberFormat="1" applyFont="1" applyFill="1" applyBorder="1" applyAlignment="1">
      <alignment horizontal="right" vertical="center" indent="1"/>
    </xf>
    <xf numFmtId="3" fontId="34" fillId="0" borderId="62" xfId="9" applyNumberFormat="1" applyFont="1" applyFill="1" applyBorder="1" applyAlignment="1">
      <alignment horizontal="right" vertical="center" indent="1"/>
    </xf>
    <xf numFmtId="3" fontId="34" fillId="0" borderId="60" xfId="9" applyNumberFormat="1" applyFont="1" applyFill="1" applyBorder="1" applyAlignment="1">
      <alignment horizontal="right" vertical="center" indent="1"/>
    </xf>
    <xf numFmtId="3" fontId="33" fillId="0" borderId="75" xfId="9" applyNumberFormat="1" applyFont="1" applyFill="1" applyBorder="1" applyAlignment="1">
      <alignment horizontal="right" vertical="center" indent="1"/>
    </xf>
    <xf numFmtId="3" fontId="34" fillId="0" borderId="90" xfId="9" applyNumberFormat="1" applyFont="1" applyFill="1" applyBorder="1" applyAlignment="1">
      <alignment horizontal="right" vertical="center" indent="1"/>
    </xf>
    <xf numFmtId="3" fontId="34" fillId="0" borderId="92" xfId="9" applyNumberFormat="1" applyFont="1" applyFill="1" applyBorder="1" applyAlignment="1">
      <alignment horizontal="right" vertical="center" indent="1"/>
    </xf>
    <xf numFmtId="3" fontId="33" fillId="0" borderId="58" xfId="9" applyNumberFormat="1" applyFont="1" applyFill="1" applyBorder="1" applyAlignment="1">
      <alignment horizontal="right" vertical="center" indent="1"/>
    </xf>
    <xf numFmtId="10" fontId="8" fillId="21" borderId="58" xfId="9" applyNumberFormat="1" applyFont="1" applyFill="1" applyBorder="1" applyAlignment="1">
      <alignment horizontal="right" vertical="center" indent="1"/>
    </xf>
    <xf numFmtId="10" fontId="33" fillId="0" borderId="75" xfId="9" applyNumberFormat="1" applyFont="1" applyFill="1" applyBorder="1" applyAlignment="1">
      <alignment horizontal="right" vertical="center" indent="1"/>
    </xf>
    <xf numFmtId="10" fontId="33" fillId="0" borderId="58" xfId="9" applyNumberFormat="1" applyFont="1" applyFill="1" applyBorder="1" applyAlignment="1">
      <alignment horizontal="right" vertical="center" indent="1"/>
    </xf>
    <xf numFmtId="0" fontId="34" fillId="0" borderId="14" xfId="0" applyFont="1" applyFill="1" applyBorder="1" applyAlignment="1">
      <alignment vertical="center"/>
    </xf>
    <xf numFmtId="0" fontId="34" fillId="0" borderId="94" xfId="0" applyFont="1" applyFill="1" applyBorder="1" applyAlignment="1">
      <alignment vertical="center"/>
    </xf>
    <xf numFmtId="0" fontId="8" fillId="21" borderId="14" xfId="0" applyFont="1" applyFill="1" applyBorder="1" applyAlignment="1">
      <alignment vertical="center"/>
    </xf>
    <xf numFmtId="10" fontId="33" fillId="0" borderId="54" xfId="9" applyNumberFormat="1" applyFont="1" applyFill="1" applyBorder="1" applyAlignment="1">
      <alignment horizontal="right" vertical="center" indent="1"/>
    </xf>
    <xf numFmtId="0" fontId="34" fillId="0" borderId="58" xfId="0" applyFont="1" applyFill="1" applyBorder="1" applyAlignment="1">
      <alignment vertical="center"/>
    </xf>
    <xf numFmtId="0" fontId="34" fillId="0" borderId="75" xfId="0" applyFont="1" applyFill="1" applyBorder="1" applyAlignment="1">
      <alignment vertical="center"/>
    </xf>
    <xf numFmtId="0" fontId="8" fillId="21" borderId="58" xfId="0" applyFont="1" applyFill="1" applyBorder="1" applyAlignment="1">
      <alignment vertical="center"/>
    </xf>
    <xf numFmtId="3" fontId="33" fillId="0" borderId="68" xfId="9" applyNumberFormat="1" applyFont="1" applyFill="1" applyBorder="1" applyAlignment="1">
      <alignment horizontal="right" vertical="center" indent="1"/>
    </xf>
    <xf numFmtId="3" fontId="34" fillId="21" borderId="55" xfId="9" applyNumberFormat="1" applyFont="1" applyFill="1" applyBorder="1" applyAlignment="1">
      <alignment horizontal="right" vertical="center" indent="1"/>
    </xf>
    <xf numFmtId="3" fontId="33" fillId="21" borderId="95" xfId="9" applyNumberFormat="1" applyFont="1" applyFill="1" applyBorder="1" applyAlignment="1">
      <alignment horizontal="right" vertical="center" indent="1"/>
    </xf>
    <xf numFmtId="4" fontId="34" fillId="0" borderId="62" xfId="5" applyNumberFormat="1" applyFont="1" applyBorder="1" applyAlignment="1">
      <alignment horizontal="right" vertical="center" indent="1"/>
    </xf>
    <xf numFmtId="4" fontId="34" fillId="0" borderId="83" xfId="5" applyNumberFormat="1" applyFont="1" applyBorder="1" applyAlignment="1">
      <alignment horizontal="right" vertical="center" indent="1"/>
    </xf>
    <xf numFmtId="4" fontId="34" fillId="0" borderId="1" xfId="5" applyNumberFormat="1" applyFont="1" applyBorder="1" applyAlignment="1">
      <alignment horizontal="right" vertical="center" indent="1"/>
    </xf>
    <xf numFmtId="4" fontId="34" fillId="0" borderId="9" xfId="5" applyNumberFormat="1" applyFont="1" applyBorder="1" applyAlignment="1">
      <alignment horizontal="right" vertical="center" indent="1"/>
    </xf>
    <xf numFmtId="4" fontId="33" fillId="0" borderId="76" xfId="5" applyNumberFormat="1" applyFont="1" applyBorder="1" applyAlignment="1">
      <alignment horizontal="right" vertical="center" indent="1"/>
    </xf>
    <xf numFmtId="4" fontId="33" fillId="0" borderId="2" xfId="5" applyNumberFormat="1" applyFont="1" applyBorder="1" applyAlignment="1">
      <alignment horizontal="right" vertical="center" indent="1"/>
    </xf>
    <xf numFmtId="4" fontId="34" fillId="0" borderId="61" xfId="5" applyNumberFormat="1" applyFont="1" applyBorder="1" applyAlignment="1">
      <alignment horizontal="right" vertical="center" indent="1"/>
    </xf>
    <xf numFmtId="4" fontId="34" fillId="0" borderId="2" xfId="5" applyNumberFormat="1" applyFont="1" applyBorder="1" applyAlignment="1">
      <alignment horizontal="right" vertical="center" indent="1"/>
    </xf>
    <xf numFmtId="4" fontId="34" fillId="0" borderId="60" xfId="5" applyNumberFormat="1" applyFont="1" applyBorder="1" applyAlignment="1">
      <alignment horizontal="right" vertical="center" indent="1"/>
    </xf>
    <xf numFmtId="4" fontId="34" fillId="0" borderId="80" xfId="5" applyNumberFormat="1" applyFont="1" applyBorder="1" applyAlignment="1">
      <alignment horizontal="right" vertical="center" indent="1"/>
    </xf>
    <xf numFmtId="4" fontId="7" fillId="21" borderId="48" xfId="5" applyNumberFormat="1" applyFont="1" applyFill="1" applyBorder="1" applyAlignment="1">
      <alignment horizontal="right" vertical="center" indent="1"/>
    </xf>
    <xf numFmtId="4" fontId="7" fillId="21" borderId="44" xfId="5" applyNumberFormat="1" applyFont="1" applyFill="1" applyBorder="1" applyAlignment="1">
      <alignment horizontal="right" vertical="center" indent="1"/>
    </xf>
    <xf numFmtId="4" fontId="7" fillId="21" borderId="55" xfId="5" applyNumberFormat="1" applyFont="1" applyFill="1" applyBorder="1" applyAlignment="1">
      <alignment horizontal="right" vertical="center" indent="1"/>
    </xf>
    <xf numFmtId="4" fontId="8" fillId="21" borderId="50" xfId="5" applyNumberFormat="1" applyFont="1" applyFill="1" applyBorder="1" applyAlignment="1">
      <alignment horizontal="right" vertical="center" indent="1"/>
    </xf>
    <xf numFmtId="4" fontId="8" fillId="21" borderId="49" xfId="5" applyNumberFormat="1" applyFont="1" applyFill="1" applyBorder="1" applyAlignment="1">
      <alignment horizontal="right" vertical="center" indent="1"/>
    </xf>
    <xf numFmtId="4" fontId="7" fillId="21" borderId="56" xfId="5" applyNumberFormat="1" applyFont="1" applyFill="1" applyBorder="1" applyAlignment="1">
      <alignment horizontal="right" vertical="center" indent="1"/>
    </xf>
    <xf numFmtId="4" fontId="7" fillId="21" borderId="50" xfId="5" applyNumberFormat="1" applyFont="1" applyFill="1" applyBorder="1" applyAlignment="1">
      <alignment horizontal="right" vertical="center" indent="1"/>
    </xf>
    <xf numFmtId="10" fontId="0" fillId="10" borderId="0" xfId="7" applyNumberFormat="1" applyFont="1" applyFill="1" applyBorder="1"/>
    <xf numFmtId="0" fontId="0" fillId="10" borderId="18" xfId="0" applyFill="1" applyBorder="1"/>
    <xf numFmtId="168" fontId="15" fillId="5" borderId="0" xfId="0" applyNumberFormat="1" applyFont="1" applyFill="1" applyBorder="1" applyAlignment="1">
      <alignment horizontal="center"/>
    </xf>
    <xf numFmtId="10" fontId="0" fillId="5" borderId="0" xfId="7" applyNumberFormat="1" applyFont="1" applyFill="1" applyBorder="1"/>
    <xf numFmtId="9" fontId="33" fillId="0" borderId="75" xfId="7" applyFont="1" applyFill="1" applyBorder="1" applyAlignment="1">
      <alignment horizontal="right" vertical="center" indent="1"/>
    </xf>
    <xf numFmtId="38" fontId="34" fillId="0" borderId="93" xfId="5" applyNumberFormat="1" applyFont="1" applyFill="1" applyBorder="1" applyAlignment="1">
      <alignment horizontal="right" vertical="center" indent="1"/>
    </xf>
    <xf numFmtId="38" fontId="34" fillId="0" borderId="86" xfId="5" applyNumberFormat="1" applyFont="1" applyFill="1" applyBorder="1" applyAlignment="1">
      <alignment horizontal="right" vertical="center" indent="1"/>
    </xf>
    <xf numFmtId="38" fontId="33" fillId="0" borderId="87" xfId="5" applyNumberFormat="1" applyFont="1" applyFill="1" applyBorder="1" applyAlignment="1">
      <alignment horizontal="right" vertical="center" indent="1"/>
    </xf>
    <xf numFmtId="9" fontId="34" fillId="0" borderId="93" xfId="7" applyFont="1" applyFill="1" applyBorder="1" applyAlignment="1">
      <alignment horizontal="right" vertical="center" indent="1"/>
    </xf>
    <xf numFmtId="9" fontId="34" fillId="0" borderId="86" xfId="7" applyFont="1" applyFill="1" applyBorder="1" applyAlignment="1">
      <alignment horizontal="right" vertical="center" indent="1"/>
    </xf>
    <xf numFmtId="38" fontId="34" fillId="21" borderId="70" xfId="5" applyNumberFormat="1" applyFont="1" applyFill="1" applyBorder="1" applyAlignment="1">
      <alignment horizontal="right" vertical="center" indent="1"/>
    </xf>
    <xf numFmtId="38" fontId="34" fillId="21" borderId="67" xfId="5" applyNumberFormat="1" applyFont="1" applyFill="1" applyBorder="1" applyAlignment="1">
      <alignment horizontal="right" vertical="center" indent="1"/>
    </xf>
    <xf numFmtId="38" fontId="33" fillId="21" borderId="68" xfId="5" applyNumberFormat="1" applyFont="1" applyFill="1" applyBorder="1" applyAlignment="1">
      <alignment horizontal="right" vertical="center" indent="1"/>
    </xf>
    <xf numFmtId="9" fontId="34" fillId="21" borderId="70" xfId="7" applyFont="1" applyFill="1" applyBorder="1" applyAlignment="1">
      <alignment horizontal="right" vertical="center" indent="1"/>
    </xf>
    <xf numFmtId="9" fontId="34" fillId="21" borderId="67" xfId="7" applyFont="1" applyFill="1" applyBorder="1" applyAlignment="1">
      <alignment horizontal="right" vertical="center" indent="1"/>
    </xf>
    <xf numFmtId="9" fontId="33" fillId="0" borderId="58" xfId="7" applyFont="1" applyFill="1" applyBorder="1" applyAlignment="1">
      <alignment horizontal="right" vertical="center" indent="1"/>
    </xf>
    <xf numFmtId="38" fontId="34" fillId="0" borderId="70" xfId="5" applyNumberFormat="1" applyFont="1" applyFill="1" applyBorder="1" applyAlignment="1">
      <alignment horizontal="right" vertical="center" indent="1"/>
    </xf>
    <xf numFmtId="38" fontId="34" fillId="0" borderId="67" xfId="5" applyNumberFormat="1" applyFont="1" applyFill="1" applyBorder="1" applyAlignment="1">
      <alignment horizontal="right" vertical="center" indent="1"/>
    </xf>
    <xf numFmtId="38" fontId="33" fillId="0" borderId="68" xfId="5" applyNumberFormat="1" applyFont="1" applyFill="1" applyBorder="1" applyAlignment="1">
      <alignment horizontal="right" vertical="center" indent="1"/>
    </xf>
    <xf numFmtId="9" fontId="34" fillId="0" borderId="70" xfId="7" applyFont="1" applyFill="1" applyBorder="1" applyAlignment="1">
      <alignment horizontal="right" vertical="center" indent="1"/>
    </xf>
    <xf numFmtId="9" fontId="34" fillId="0" borderId="67" xfId="7" applyFont="1" applyFill="1" applyBorder="1" applyAlignment="1">
      <alignment horizontal="right" vertical="center" indent="1"/>
    </xf>
    <xf numFmtId="9" fontId="33" fillId="21" borderId="58" xfId="7" applyFont="1" applyFill="1" applyBorder="1" applyAlignment="1">
      <alignment horizontal="right" vertical="center" indent="1"/>
    </xf>
    <xf numFmtId="38" fontId="33" fillId="0" borderId="54" xfId="5" applyNumberFormat="1" applyFont="1" applyFill="1" applyBorder="1" applyAlignment="1">
      <alignment horizontal="right" vertical="center"/>
    </xf>
    <xf numFmtId="38" fontId="33" fillId="0" borderId="76" xfId="5" applyNumberFormat="1" applyFont="1" applyFill="1" applyBorder="1" applyAlignment="1">
      <alignment horizontal="right" vertical="center"/>
    </xf>
    <xf numFmtId="38" fontId="33" fillId="21" borderId="58" xfId="5" applyNumberFormat="1" applyFont="1" applyFill="1" applyBorder="1" applyAlignment="1">
      <alignment horizontal="right" vertical="center"/>
    </xf>
    <xf numFmtId="0" fontId="33" fillId="0" borderId="58" xfId="0" applyFont="1" applyFill="1" applyBorder="1" applyAlignment="1">
      <alignment vertical="center"/>
    </xf>
    <xf numFmtId="38" fontId="34" fillId="0" borderId="90" xfId="5" applyNumberFormat="1" applyFont="1" applyFill="1" applyBorder="1" applyAlignment="1">
      <alignment vertical="center"/>
    </xf>
    <xf numFmtId="38" fontId="34" fillId="0" borderId="92" xfId="5" applyNumberFormat="1" applyFont="1" applyFill="1" applyBorder="1" applyAlignment="1">
      <alignment vertical="center"/>
    </xf>
    <xf numFmtId="38" fontId="33" fillId="0" borderId="91" xfId="5" applyNumberFormat="1" applyFont="1" applyFill="1" applyBorder="1" applyAlignment="1">
      <alignment vertical="center"/>
    </xf>
    <xf numFmtId="38" fontId="34" fillId="0" borderId="62" xfId="5" applyNumberFormat="1" applyFont="1" applyFill="1" applyBorder="1" applyAlignment="1">
      <alignment vertical="center"/>
    </xf>
    <xf numFmtId="38" fontId="34" fillId="0" borderId="60" xfId="5" applyNumberFormat="1" applyFont="1" applyFill="1" applyBorder="1" applyAlignment="1">
      <alignment vertical="center"/>
    </xf>
    <xf numFmtId="0" fontId="33" fillId="0" borderId="75" xfId="0" applyFont="1" applyFill="1" applyBorder="1" applyAlignment="1">
      <alignment vertical="center"/>
    </xf>
    <xf numFmtId="38" fontId="34" fillId="21" borderId="71" xfId="5" applyNumberFormat="1" applyFont="1" applyFill="1" applyBorder="1" applyAlignment="1">
      <alignment vertical="center"/>
    </xf>
    <xf numFmtId="38" fontId="34" fillId="0" borderId="85" xfId="5" applyNumberFormat="1" applyFont="1" applyFill="1" applyBorder="1" applyAlignment="1">
      <alignment vertical="center"/>
    </xf>
    <xf numFmtId="0" fontId="7" fillId="0" borderId="0" xfId="5" applyFill="1"/>
    <xf numFmtId="10" fontId="8" fillId="0" borderId="0" xfId="1" applyNumberFormat="1" applyFill="1"/>
    <xf numFmtId="174" fontId="22" fillId="5" borderId="44" xfId="9" applyNumberFormat="1" applyFont="1" applyFill="1" applyBorder="1" applyAlignment="1">
      <alignment horizontal="center" vertical="center"/>
    </xf>
    <xf numFmtId="169" fontId="22" fillId="5" borderId="15" xfId="12" applyNumberFormat="1" applyFont="1" applyFill="1" applyBorder="1" applyAlignment="1">
      <alignment horizontal="center" vertical="center"/>
    </xf>
    <xf numFmtId="169" fontId="22" fillId="5" borderId="50" xfId="12" applyNumberFormat="1" applyFont="1" applyFill="1" applyBorder="1" applyAlignment="1">
      <alignment horizontal="center" vertical="center"/>
    </xf>
    <xf numFmtId="174" fontId="22" fillId="5" borderId="44" xfId="9" applyNumberFormat="1" applyFont="1" applyFill="1" applyBorder="1" applyAlignment="1">
      <alignment horizontal="right" vertical="center"/>
    </xf>
    <xf numFmtId="10" fontId="22" fillId="5" borderId="51" xfId="9" applyNumberFormat="1" applyFont="1" applyFill="1" applyBorder="1" applyAlignment="1">
      <alignment horizontal="center" vertical="center"/>
    </xf>
    <xf numFmtId="1" fontId="22" fillId="5" borderId="49" xfId="9" applyNumberFormat="1" applyFont="1" applyFill="1" applyBorder="1" applyAlignment="1">
      <alignment horizontal="center" vertical="center"/>
    </xf>
    <xf numFmtId="169" fontId="22" fillId="5" borderId="50" xfId="12" applyNumberFormat="1" applyFont="1" applyFill="1" applyBorder="1" applyAlignment="1">
      <alignment horizontal="left" vertical="center"/>
    </xf>
    <xf numFmtId="0" fontId="2" fillId="0" borderId="0" xfId="8" applyFont="1"/>
    <xf numFmtId="14" fontId="0" fillId="0" borderId="0" xfId="0" applyNumberFormat="1" applyFill="1" applyBorder="1" applyProtection="1"/>
    <xf numFmtId="0" fontId="8" fillId="0" borderId="0" xfId="5" applyFont="1" applyAlignment="1">
      <alignment horizontal="right" vertical="center"/>
    </xf>
    <xf numFmtId="0" fontId="36" fillId="0" borderId="0" xfId="5" applyFont="1" applyAlignment="1">
      <alignment horizontal="right" vertical="center"/>
    </xf>
    <xf numFmtId="0" fontId="39" fillId="0" borderId="0" xfId="5" applyFont="1" applyAlignment="1"/>
    <xf numFmtId="14" fontId="7" fillId="0" borderId="0" xfId="5" applyNumberFormat="1" applyAlignment="1">
      <alignment horizontal="center"/>
    </xf>
    <xf numFmtId="0" fontId="7" fillId="0" borderId="0" xfId="5" applyAlignment="1">
      <alignment horizontal="right"/>
    </xf>
    <xf numFmtId="0" fontId="34" fillId="0" borderId="0" xfId="5" applyFont="1" applyAlignment="1">
      <alignment horizontal="right"/>
    </xf>
    <xf numFmtId="0" fontId="8" fillId="7" borderId="1" xfId="5" applyFont="1" applyFill="1" applyBorder="1" applyAlignment="1" applyProtection="1">
      <alignment horizontal="center" vertical="center"/>
      <protection locked="0"/>
    </xf>
    <xf numFmtId="0" fontId="1" fillId="0" borderId="0" xfId="8" applyFont="1"/>
    <xf numFmtId="0" fontId="45" fillId="0" borderId="0" xfId="0" applyFont="1"/>
    <xf numFmtId="169" fontId="45" fillId="16" borderId="0" xfId="12" applyNumberFormat="1" applyFont="1" applyFill="1"/>
    <xf numFmtId="174" fontId="45" fillId="18" borderId="0" xfId="9" applyNumberFormat="1" applyFont="1" applyFill="1"/>
    <xf numFmtId="1" fontId="45" fillId="18" borderId="0" xfId="9" applyNumberFormat="1" applyFont="1" applyFill="1"/>
    <xf numFmtId="169" fontId="45" fillId="16" borderId="0" xfId="12" applyNumberFormat="1" applyFont="1" applyFill="1" applyAlignment="1">
      <alignment horizontal="right" vertical="center"/>
    </xf>
    <xf numFmtId="169" fontId="45" fillId="0" borderId="0" xfId="12" applyNumberFormat="1" applyFont="1"/>
    <xf numFmtId="174" fontId="45" fillId="18" borderId="6" xfId="9" applyNumberFormat="1" applyFont="1" applyFill="1" applyBorder="1"/>
    <xf numFmtId="174" fontId="46" fillId="16" borderId="0" xfId="9" applyNumberFormat="1" applyFont="1" applyFill="1" applyAlignment="1">
      <alignment horizontal="right"/>
    </xf>
    <xf numFmtId="174" fontId="46" fillId="18" borderId="6" xfId="9" applyNumberFormat="1" applyFont="1" applyFill="1" applyBorder="1" applyAlignment="1">
      <alignment vertical="center"/>
    </xf>
    <xf numFmtId="22" fontId="0" fillId="0" borderId="0" xfId="0" applyNumberFormat="1"/>
    <xf numFmtId="164" fontId="0" fillId="0" borderId="0" xfId="6" applyNumberFormat="1" applyFont="1"/>
    <xf numFmtId="22" fontId="0" fillId="0" borderId="0" xfId="0" applyNumberFormat="1"/>
    <xf numFmtId="0" fontId="16" fillId="7" borderId="0" xfId="0" applyFont="1" applyFill="1"/>
    <xf numFmtId="164" fontId="7" fillId="0" borderId="0" xfId="6" applyNumberFormat="1" applyFont="1"/>
    <xf numFmtId="0" fontId="9" fillId="14" borderId="48" xfId="5" applyFont="1" applyFill="1" applyBorder="1"/>
    <xf numFmtId="0" fontId="8" fillId="14" borderId="38" xfId="0" applyFont="1" applyFill="1" applyBorder="1" applyAlignment="1">
      <alignment horizontal="left" vertical="center"/>
    </xf>
    <xf numFmtId="10" fontId="9" fillId="14" borderId="38" xfId="9" applyNumberFormat="1" applyFont="1" applyFill="1" applyBorder="1" applyAlignment="1">
      <alignment horizontal="center"/>
    </xf>
    <xf numFmtId="0" fontId="16" fillId="14" borderId="55" xfId="5" applyNumberFormat="1" applyFont="1" applyFill="1" applyBorder="1" applyAlignment="1">
      <alignment horizontal="center"/>
    </xf>
    <xf numFmtId="10" fontId="0" fillId="5" borderId="0" xfId="9" applyNumberFormat="1" applyFont="1" applyFill="1" applyBorder="1"/>
    <xf numFmtId="165" fontId="15" fillId="10" borderId="97" xfId="0" applyNumberFormat="1" applyFont="1" applyFill="1" applyBorder="1"/>
    <xf numFmtId="165" fontId="15" fillId="5" borderId="97" xfId="0" applyNumberFormat="1" applyFont="1" applyFill="1" applyBorder="1"/>
    <xf numFmtId="10" fontId="15" fillId="9" borderId="97" xfId="9" applyNumberFormat="1" applyFont="1" applyFill="1" applyBorder="1"/>
    <xf numFmtId="10" fontId="15" fillId="0" borderId="97" xfId="9" applyNumberFormat="1" applyFont="1" applyFill="1" applyBorder="1"/>
    <xf numFmtId="10" fontId="15" fillId="10" borderId="97" xfId="9" applyNumberFormat="1" applyFont="1" applyFill="1" applyBorder="1"/>
    <xf numFmtId="10" fontId="15" fillId="5" borderId="97" xfId="9" applyNumberFormat="1" applyFont="1" applyFill="1" applyBorder="1"/>
    <xf numFmtId="0" fontId="0" fillId="10" borderId="97" xfId="0" applyFill="1" applyBorder="1"/>
    <xf numFmtId="165" fontId="15" fillId="5" borderId="96" xfId="0" applyNumberFormat="1" applyFont="1" applyFill="1" applyBorder="1"/>
    <xf numFmtId="165" fontId="15" fillId="10" borderId="96" xfId="0" applyNumberFormat="1" applyFont="1" applyFill="1" applyBorder="1"/>
    <xf numFmtId="0" fontId="16" fillId="0" borderId="1" xfId="0" applyFont="1" applyBorder="1" applyAlignment="1">
      <alignment horizontal="left"/>
    </xf>
    <xf numFmtId="0" fontId="16" fillId="0" borderId="21" xfId="0" applyFont="1" applyBorder="1" applyAlignment="1">
      <alignment horizontal="left"/>
    </xf>
    <xf numFmtId="0" fontId="16" fillId="0" borderId="21" xfId="0" applyFont="1" applyBorder="1" applyAlignment="1">
      <alignment horizontal="center"/>
    </xf>
    <xf numFmtId="9" fontId="16" fillId="13" borderId="21" xfId="7" applyFont="1" applyFill="1" applyBorder="1" applyAlignment="1">
      <alignment horizontal="center"/>
    </xf>
    <xf numFmtId="3" fontId="16" fillId="0" borderId="21" xfId="0" applyNumberFormat="1" applyFont="1" applyFill="1" applyBorder="1" applyAlignment="1">
      <alignment horizontal="center"/>
    </xf>
    <xf numFmtId="169" fontId="16" fillId="5" borderId="21" xfId="6" applyNumberFormat="1" applyFont="1" applyFill="1" applyBorder="1" applyAlignment="1">
      <alignment horizontal="center"/>
    </xf>
    <xf numFmtId="10" fontId="16" fillId="5" borderId="21" xfId="0" applyNumberFormat="1" applyFont="1" applyFill="1" applyBorder="1" applyAlignment="1">
      <alignment horizontal="center"/>
    </xf>
    <xf numFmtId="0" fontId="16" fillId="0" borderId="36" xfId="0" applyFont="1" applyBorder="1" applyAlignment="1">
      <alignment horizontal="left"/>
    </xf>
    <xf numFmtId="0" fontId="16" fillId="0" borderId="36" xfId="0" applyFont="1" applyBorder="1" applyAlignment="1">
      <alignment horizontal="center"/>
    </xf>
    <xf numFmtId="9" fontId="16" fillId="13" borderId="36" xfId="7" applyFont="1" applyFill="1" applyBorder="1" applyAlignment="1">
      <alignment horizontal="center"/>
    </xf>
    <xf numFmtId="3" fontId="16" fillId="0" borderId="36" xfId="0" applyNumberFormat="1" applyFont="1" applyFill="1" applyBorder="1" applyAlignment="1">
      <alignment horizontal="center"/>
    </xf>
    <xf numFmtId="0" fontId="16" fillId="5" borderId="36" xfId="0" applyFont="1" applyFill="1" applyBorder="1" applyAlignment="1">
      <alignment horizontal="center"/>
    </xf>
    <xf numFmtId="169" fontId="16" fillId="5" borderId="36" xfId="6" applyNumberFormat="1" applyFont="1" applyFill="1" applyBorder="1" applyAlignment="1">
      <alignment horizontal="center"/>
    </xf>
    <xf numFmtId="10" fontId="16" fillId="5" borderId="36" xfId="0" applyNumberFormat="1" applyFont="1" applyFill="1" applyBorder="1" applyAlignment="1">
      <alignment horizontal="center"/>
    </xf>
    <xf numFmtId="10" fontId="15" fillId="24" borderId="0" xfId="9" applyNumberFormat="1" applyFont="1" applyFill="1" applyBorder="1"/>
    <xf numFmtId="10" fontId="15" fillId="24" borderId="97" xfId="9" applyNumberFormat="1" applyFont="1" applyFill="1" applyBorder="1"/>
    <xf numFmtId="10" fontId="15" fillId="24" borderId="18" xfId="9" applyNumberFormat="1" applyFont="1" applyFill="1" applyBorder="1"/>
    <xf numFmtId="0" fontId="7" fillId="5" borderId="22" xfId="5" applyFont="1" applyFill="1" applyBorder="1" applyAlignment="1">
      <alignment horizontal="left"/>
    </xf>
    <xf numFmtId="0" fontId="7" fillId="5" borderId="21" xfId="5" applyFont="1" applyFill="1" applyBorder="1" applyAlignment="1">
      <alignment horizontal="center"/>
    </xf>
    <xf numFmtId="9" fontId="7" fillId="5" borderId="21" xfId="9" applyFont="1" applyFill="1" applyBorder="1" applyAlignment="1">
      <alignment horizontal="center"/>
    </xf>
    <xf numFmtId="3" fontId="7" fillId="5" borderId="21" xfId="5" applyNumberFormat="1" applyFont="1" applyFill="1" applyBorder="1" applyAlignment="1">
      <alignment horizontal="center"/>
    </xf>
    <xf numFmtId="10" fontId="7" fillId="5" borderId="21" xfId="6" applyNumberFormat="1" applyFont="1" applyFill="1" applyBorder="1" applyAlignment="1">
      <alignment horizontal="center"/>
    </xf>
    <xf numFmtId="10" fontId="7" fillId="5" borderId="21" xfId="5" applyNumberFormat="1" applyFont="1" applyFill="1" applyBorder="1" applyAlignment="1">
      <alignment horizontal="center"/>
    </xf>
    <xf numFmtId="0" fontId="7" fillId="0" borderId="45" xfId="5" applyNumberFormat="1" applyFont="1" applyBorder="1" applyAlignment="1">
      <alignment horizontal="center"/>
    </xf>
    <xf numFmtId="172" fontId="15" fillId="5" borderId="99" xfId="0" applyNumberFormat="1" applyFont="1" applyFill="1" applyBorder="1" applyAlignment="1">
      <alignment horizontal="center"/>
    </xf>
    <xf numFmtId="172" fontId="15" fillId="0" borderId="99" xfId="0" applyNumberFormat="1" applyFont="1" applyFill="1" applyBorder="1" applyAlignment="1">
      <alignment horizontal="center"/>
    </xf>
    <xf numFmtId="172" fontId="15" fillId="10" borderId="99" xfId="0" applyNumberFormat="1" applyFont="1" applyFill="1" applyBorder="1" applyAlignment="1">
      <alignment horizontal="center"/>
    </xf>
    <xf numFmtId="165" fontId="15" fillId="24" borderId="96" xfId="0" applyNumberFormat="1" applyFont="1" applyFill="1" applyBorder="1"/>
    <xf numFmtId="0" fontId="9" fillId="5" borderId="42" xfId="0" applyFont="1" applyFill="1" applyBorder="1" applyAlignment="1">
      <alignment horizontal="center" vertical="center"/>
    </xf>
    <xf numFmtId="0" fontId="9" fillId="5" borderId="6" xfId="0" applyFont="1" applyFill="1" applyBorder="1" applyAlignment="1">
      <alignment horizontal="left" vertical="center"/>
    </xf>
    <xf numFmtId="0" fontId="9" fillId="5" borderId="43" xfId="0" applyFont="1" applyFill="1" applyBorder="1" applyAlignment="1">
      <alignment horizontal="center" vertical="center"/>
    </xf>
    <xf numFmtId="10" fontId="9" fillId="5" borderId="43" xfId="0" applyNumberFormat="1" applyFont="1" applyFill="1" applyBorder="1" applyAlignment="1">
      <alignment horizontal="center" vertical="center"/>
    </xf>
    <xf numFmtId="3" fontId="9" fillId="5" borderId="43" xfId="0" applyNumberFormat="1" applyFont="1" applyFill="1" applyBorder="1" applyAlignment="1">
      <alignment horizontal="center" vertical="center"/>
    </xf>
    <xf numFmtId="169" fontId="9" fillId="5" borderId="43" xfId="6" applyNumberFormat="1" applyFont="1" applyFill="1" applyBorder="1" applyAlignment="1">
      <alignment horizontal="center" vertical="center"/>
    </xf>
    <xf numFmtId="0" fontId="16" fillId="7" borderId="0" xfId="0" applyFont="1" applyFill="1" applyAlignment="1">
      <alignment horizontal="center"/>
    </xf>
    <xf numFmtId="9" fontId="9" fillId="12" borderId="38" xfId="9" applyFont="1" applyFill="1" applyBorder="1" applyAlignment="1">
      <alignment horizontal="center"/>
    </xf>
    <xf numFmtId="0" fontId="16" fillId="14" borderId="0" xfId="5" applyFont="1" applyFill="1"/>
    <xf numFmtId="0" fontId="9" fillId="14" borderId="38" xfId="5" applyFont="1" applyFill="1" applyBorder="1" applyAlignment="1">
      <alignment horizontal="left"/>
    </xf>
    <xf numFmtId="0" fontId="8" fillId="14" borderId="38" xfId="0" applyFont="1" applyFill="1" applyBorder="1" applyAlignment="1">
      <alignment vertical="center"/>
    </xf>
    <xf numFmtId="9" fontId="9" fillId="14" borderId="38" xfId="9" applyFont="1" applyFill="1" applyBorder="1" applyAlignment="1">
      <alignment horizontal="center"/>
    </xf>
    <xf numFmtId="0" fontId="16" fillId="14" borderId="38" xfId="5" applyNumberFormat="1" applyFont="1" applyFill="1" applyBorder="1" applyAlignment="1">
      <alignment horizontal="center"/>
    </xf>
    <xf numFmtId="10" fontId="0" fillId="10" borderId="0" xfId="9" applyNumberFormat="1" applyFont="1" applyFill="1" applyBorder="1"/>
    <xf numFmtId="165" fontId="48" fillId="0" borderId="101" xfId="0" applyNumberFormat="1" applyFont="1" applyBorder="1" applyAlignment="1">
      <alignment horizontal="center"/>
    </xf>
    <xf numFmtId="165" fontId="47" fillId="0" borderId="44" xfId="0" applyNumberFormat="1" applyFont="1" applyBorder="1" applyAlignment="1">
      <alignment horizontal="center"/>
    </xf>
    <xf numFmtId="165" fontId="48" fillId="0" borderId="102" xfId="0" applyNumberFormat="1" applyFont="1" applyBorder="1" applyAlignment="1">
      <alignment horizontal="center"/>
    </xf>
    <xf numFmtId="10" fontId="31" fillId="0" borderId="44" xfId="9" applyNumberFormat="1" applyFont="1" applyBorder="1" applyAlignment="1">
      <alignment horizontal="center"/>
    </xf>
    <xf numFmtId="166" fontId="49" fillId="0" borderId="102" xfId="12" applyNumberFormat="1" applyFont="1" applyBorder="1" applyAlignment="1">
      <alignment horizontal="center" wrapText="1"/>
    </xf>
    <xf numFmtId="166" fontId="19" fillId="0" borderId="51" xfId="12" applyNumberFormat="1" applyFont="1" applyBorder="1" applyAlignment="1">
      <alignment horizontal="center" wrapText="1"/>
    </xf>
    <xf numFmtId="166" fontId="31" fillId="0" borderId="49" xfId="12" applyNumberFormat="1" applyFont="1" applyBorder="1" applyAlignment="1">
      <alignment horizontal="center" wrapText="1"/>
    </xf>
    <xf numFmtId="166" fontId="19" fillId="0" borderId="49" xfId="12" applyNumberFormat="1" applyFont="1" applyBorder="1" applyAlignment="1">
      <alignment horizontal="center" wrapText="1"/>
    </xf>
    <xf numFmtId="0" fontId="50" fillId="0" borderId="0" xfId="0" applyFont="1"/>
    <xf numFmtId="169" fontId="50" fillId="16" borderId="0" xfId="12" applyNumberFormat="1" applyFont="1" applyFill="1"/>
    <xf numFmtId="174" fontId="50" fillId="18" borderId="0" xfId="9" applyNumberFormat="1" applyFont="1" applyFill="1"/>
    <xf numFmtId="1" fontId="50" fillId="18" borderId="0" xfId="9" applyNumberFormat="1" applyFont="1" applyFill="1"/>
    <xf numFmtId="169" fontId="50" fillId="16" borderId="0" xfId="12" applyNumberFormat="1" applyFont="1" applyFill="1" applyAlignment="1">
      <alignment horizontal="right" vertical="center"/>
    </xf>
    <xf numFmtId="169" fontId="50" fillId="0" borderId="0" xfId="12" applyNumberFormat="1" applyFont="1"/>
    <xf numFmtId="174" fontId="50" fillId="18" borderId="6" xfId="9" applyNumberFormat="1" applyFont="1" applyFill="1" applyBorder="1"/>
    <xf numFmtId="174" fontId="51" fillId="16" borderId="0" xfId="9" applyNumberFormat="1" applyFont="1" applyFill="1" applyAlignment="1">
      <alignment horizontal="right"/>
    </xf>
    <xf numFmtId="174" fontId="51" fillId="18" borderId="6" xfId="9" applyNumberFormat="1" applyFont="1" applyFill="1" applyBorder="1" applyAlignment="1">
      <alignment vertical="center"/>
    </xf>
    <xf numFmtId="172" fontId="15" fillId="5" borderId="100" xfId="0" applyNumberFormat="1" applyFont="1" applyFill="1" applyBorder="1" applyAlignment="1">
      <alignment horizontal="center"/>
    </xf>
    <xf numFmtId="10" fontId="0" fillId="5" borderId="19" xfId="9" applyNumberFormat="1" applyFont="1" applyFill="1" applyBorder="1"/>
    <xf numFmtId="10" fontId="15" fillId="5" borderId="98" xfId="9" applyNumberFormat="1" applyFont="1" applyFill="1" applyBorder="1"/>
    <xf numFmtId="10" fontId="15" fillId="5" borderId="20" xfId="9" applyNumberFormat="1" applyFont="1" applyFill="1" applyBorder="1"/>
    <xf numFmtId="165" fontId="15" fillId="5" borderId="53" xfId="0" applyNumberFormat="1" applyFont="1" applyFill="1" applyBorder="1"/>
    <xf numFmtId="0" fontId="52" fillId="0" borderId="0" xfId="0" applyFont="1"/>
    <xf numFmtId="169" fontId="52" fillId="16" borderId="0" xfId="12" applyNumberFormat="1" applyFont="1" applyFill="1"/>
    <xf numFmtId="174" fontId="52" fillId="18" borderId="0" xfId="9" applyNumberFormat="1" applyFont="1" applyFill="1"/>
    <xf numFmtId="1" fontId="52" fillId="18" borderId="0" xfId="9" applyNumberFormat="1" applyFont="1" applyFill="1"/>
    <xf numFmtId="169" fontId="52" fillId="16" borderId="0" xfId="12" applyNumberFormat="1" applyFont="1" applyFill="1" applyAlignment="1">
      <alignment horizontal="right" vertical="center"/>
    </xf>
    <xf numFmtId="169" fontId="52" fillId="0" borderId="0" xfId="12" applyNumberFormat="1" applyFont="1"/>
    <xf numFmtId="174" fontId="52" fillId="18" borderId="6" xfId="9" applyNumberFormat="1" applyFont="1" applyFill="1" applyBorder="1"/>
    <xf numFmtId="174" fontId="53" fillId="16" borderId="0" xfId="9" applyNumberFormat="1" applyFont="1" applyFill="1" applyAlignment="1">
      <alignment horizontal="right"/>
    </xf>
    <xf numFmtId="174" fontId="53" fillId="18" borderId="6" xfId="9" applyNumberFormat="1" applyFont="1" applyFill="1" applyBorder="1" applyAlignment="1">
      <alignment vertical="center"/>
    </xf>
    <xf numFmtId="172" fontId="15" fillId="9" borderId="103" xfId="0" applyNumberFormat="1" applyFont="1" applyFill="1" applyBorder="1" applyAlignment="1">
      <alignment horizontal="center"/>
    </xf>
    <xf numFmtId="168" fontId="15" fillId="9" borderId="15" xfId="0" applyNumberFormat="1" applyFont="1" applyFill="1" applyBorder="1" applyAlignment="1">
      <alignment horizontal="center"/>
    </xf>
    <xf numFmtId="165" fontId="15" fillId="9" borderId="104" xfId="0" applyNumberFormat="1" applyFont="1" applyFill="1" applyBorder="1"/>
    <xf numFmtId="10" fontId="15" fillId="9" borderId="15" xfId="9" applyNumberFormat="1" applyFont="1" applyFill="1" applyBorder="1"/>
    <xf numFmtId="10" fontId="15" fillId="9" borderId="104" xfId="9" applyNumberFormat="1" applyFont="1" applyFill="1" applyBorder="1"/>
    <xf numFmtId="10" fontId="15" fillId="9" borderId="16" xfId="9" applyNumberFormat="1" applyFont="1" applyFill="1" applyBorder="1"/>
    <xf numFmtId="0" fontId="15" fillId="10" borderId="58" xfId="0" applyFont="1" applyFill="1" applyBorder="1"/>
    <xf numFmtId="0" fontId="16" fillId="5" borderId="21" xfId="0" applyFont="1" applyFill="1" applyBorder="1" applyAlignment="1">
      <alignment horizontal="left"/>
    </xf>
    <xf numFmtId="0" fontId="9" fillId="12" borderId="39" xfId="0" applyFont="1" applyFill="1" applyBorder="1" applyAlignment="1">
      <alignment horizontal="left"/>
    </xf>
    <xf numFmtId="0" fontId="16" fillId="12" borderId="46" xfId="0" applyFont="1" applyFill="1" applyBorder="1" applyAlignment="1">
      <alignment horizontal="center"/>
    </xf>
    <xf numFmtId="0" fontId="9" fillId="12" borderId="49" xfId="0" applyFont="1" applyFill="1" applyBorder="1" applyAlignment="1">
      <alignment horizontal="center"/>
    </xf>
    <xf numFmtId="169" fontId="7" fillId="25" borderId="0" xfId="0" applyNumberFormat="1" applyFont="1" applyFill="1"/>
    <xf numFmtId="0" fontId="7" fillId="25" borderId="0" xfId="0" applyFont="1" applyFill="1"/>
    <xf numFmtId="0" fontId="54" fillId="0" borderId="0" xfId="0" applyFont="1"/>
    <xf numFmtId="169" fontId="54" fillId="16" borderId="0" xfId="12" applyNumberFormat="1" applyFont="1" applyFill="1"/>
    <xf numFmtId="174" fontId="54" fillId="18" borderId="0" xfId="9" applyNumberFormat="1" applyFont="1" applyFill="1"/>
    <xf numFmtId="1" fontId="54" fillId="18" borderId="0" xfId="9" applyNumberFormat="1" applyFont="1" applyFill="1"/>
    <xf numFmtId="169" fontId="54" fillId="16" borderId="0" xfId="12" applyNumberFormat="1" applyFont="1" applyFill="1" applyAlignment="1">
      <alignment horizontal="right" vertical="center"/>
    </xf>
    <xf numFmtId="169" fontId="54" fillId="0" borderId="0" xfId="12" applyNumberFormat="1" applyFont="1"/>
    <xf numFmtId="174" fontId="54" fillId="18" borderId="6" xfId="9" applyNumberFormat="1" applyFont="1" applyFill="1" applyBorder="1"/>
    <xf numFmtId="174" fontId="55" fillId="16" borderId="0" xfId="9" applyNumberFormat="1" applyFont="1" applyFill="1" applyAlignment="1">
      <alignment horizontal="right"/>
    </xf>
    <xf numFmtId="174" fontId="55" fillId="18" borderId="6" xfId="9" applyNumberFormat="1" applyFont="1" applyFill="1" applyBorder="1" applyAlignment="1">
      <alignment vertical="center"/>
    </xf>
    <xf numFmtId="0" fontId="0" fillId="0" borderId="15" xfId="0" applyBorder="1"/>
    <xf numFmtId="168" fontId="15" fillId="10" borderId="98" xfId="0" applyNumberFormat="1" applyFont="1" applyFill="1" applyBorder="1" applyAlignment="1">
      <alignment horizontal="center"/>
    </xf>
    <xf numFmtId="0" fontId="0" fillId="0" borderId="0" xfId="0" applyAlignment="1">
      <alignment horizontal="center"/>
    </xf>
    <xf numFmtId="0" fontId="56" fillId="0" borderId="0" xfId="0" pivotButton="1" applyFont="1"/>
    <xf numFmtId="0" fontId="56" fillId="0" borderId="0" xfId="0" applyFont="1"/>
    <xf numFmtId="10" fontId="56" fillId="0" borderId="0" xfId="0" applyNumberFormat="1" applyFont="1"/>
    <xf numFmtId="0" fontId="56" fillId="0" borderId="0" xfId="0" applyFont="1" applyAlignment="1">
      <alignment horizontal="left"/>
    </xf>
    <xf numFmtId="0" fontId="56" fillId="0" borderId="0" xfId="0" applyNumberFormat="1" applyFont="1"/>
    <xf numFmtId="0" fontId="56" fillId="0" borderId="0" xfId="0" applyFont="1" applyAlignment="1">
      <alignment horizontal="left" indent="1"/>
    </xf>
    <xf numFmtId="0" fontId="56" fillId="0" borderId="0" xfId="0" applyFont="1" applyAlignment="1">
      <alignment horizontal="left" indent="2"/>
    </xf>
    <xf numFmtId="169" fontId="56" fillId="0" borderId="0" xfId="0" applyNumberFormat="1" applyFont="1" applyAlignment="1">
      <alignment horizontal="center"/>
    </xf>
    <xf numFmtId="0" fontId="8" fillId="4" borderId="12" xfId="0" applyFont="1" applyFill="1" applyBorder="1" applyAlignment="1" applyProtection="1">
      <alignment horizontal="center"/>
    </xf>
    <xf numFmtId="0" fontId="8" fillId="4" borderId="13" xfId="0" applyFont="1" applyFill="1" applyBorder="1" applyAlignment="1" applyProtection="1">
      <alignment horizontal="center"/>
    </xf>
    <xf numFmtId="0" fontId="0" fillId="5" borderId="5" xfId="0" applyFill="1" applyBorder="1" applyAlignment="1" applyProtection="1">
      <alignment horizontal="left"/>
    </xf>
    <xf numFmtId="0" fontId="0" fillId="5" borderId="0" xfId="0" applyFill="1" applyBorder="1" applyAlignment="1" applyProtection="1">
      <alignment horizontal="left"/>
    </xf>
    <xf numFmtId="0" fontId="0" fillId="5" borderId="3" xfId="0" applyFill="1" applyBorder="1" applyAlignment="1" applyProtection="1">
      <alignment horizontal="left"/>
    </xf>
    <xf numFmtId="0" fontId="0" fillId="5" borderId="7" xfId="0" applyFill="1" applyBorder="1" applyAlignment="1" applyProtection="1">
      <alignment horizontal="left"/>
    </xf>
    <xf numFmtId="49" fontId="7" fillId="2" borderId="5" xfId="0" applyNumberFormat="1" applyFont="1" applyFill="1" applyBorder="1" applyAlignment="1" applyProtection="1">
      <alignment horizontal="center" vertical="center"/>
    </xf>
    <xf numFmtId="0" fontId="9" fillId="5" borderId="42" xfId="0" applyFont="1" applyFill="1" applyBorder="1" applyAlignment="1">
      <alignment horizontal="center" vertical="center"/>
    </xf>
    <xf numFmtId="0" fontId="9" fillId="5" borderId="22" xfId="0" applyFont="1" applyFill="1" applyBorder="1" applyAlignment="1">
      <alignment horizontal="center" vertical="center"/>
    </xf>
    <xf numFmtId="0" fontId="9" fillId="5" borderId="41" xfId="0" applyFont="1" applyFill="1" applyBorder="1" applyAlignment="1">
      <alignment horizontal="center" vertical="center"/>
    </xf>
    <xf numFmtId="0" fontId="9" fillId="5" borderId="22" xfId="0" applyFont="1" applyFill="1" applyBorder="1" applyAlignment="1">
      <alignment horizontal="left" vertical="center"/>
    </xf>
    <xf numFmtId="0" fontId="9" fillId="5" borderId="42" xfId="0" applyFont="1" applyFill="1" applyBorder="1" applyAlignment="1">
      <alignment horizontal="left" vertical="center"/>
    </xf>
    <xf numFmtId="0" fontId="9" fillId="0" borderId="36" xfId="0" applyFont="1" applyBorder="1" applyAlignment="1">
      <alignment horizontal="center" vertical="center"/>
    </xf>
    <xf numFmtId="0" fontId="9" fillId="0" borderId="22" xfId="0" applyFont="1" applyBorder="1" applyAlignment="1">
      <alignment horizontal="center" vertical="center"/>
    </xf>
    <xf numFmtId="0" fontId="9" fillId="0" borderId="22" xfId="0" applyFont="1" applyBorder="1" applyAlignment="1">
      <alignment horizontal="left" vertical="center"/>
    </xf>
    <xf numFmtId="0" fontId="9" fillId="5" borderId="21" xfId="0" applyFont="1" applyFill="1" applyBorder="1" applyAlignment="1">
      <alignment horizontal="center" vertical="center"/>
    </xf>
    <xf numFmtId="0" fontId="9" fillId="0" borderId="21" xfId="0" applyFont="1" applyBorder="1" applyAlignment="1">
      <alignment horizontal="left" vertical="center"/>
    </xf>
    <xf numFmtId="0" fontId="9" fillId="5" borderId="36" xfId="0" applyFont="1" applyFill="1" applyBorder="1" applyAlignment="1">
      <alignment horizontal="left" vertical="center"/>
    </xf>
    <xf numFmtId="0" fontId="9" fillId="5" borderId="41" xfId="0" applyFont="1" applyFill="1" applyBorder="1" applyAlignment="1">
      <alignment horizontal="left" vertical="center"/>
    </xf>
    <xf numFmtId="0" fontId="9" fillId="0" borderId="22" xfId="5" applyFont="1" applyBorder="1" applyAlignment="1">
      <alignment horizontal="center" vertical="center"/>
    </xf>
    <xf numFmtId="0" fontId="9" fillId="0" borderId="41" xfId="5" applyFont="1" applyBorder="1" applyAlignment="1">
      <alignment horizontal="center" vertical="center"/>
    </xf>
    <xf numFmtId="0" fontId="8" fillId="5" borderId="36" xfId="0" applyFont="1" applyFill="1" applyBorder="1" applyAlignment="1">
      <alignment horizontal="center" vertical="center"/>
    </xf>
    <xf numFmtId="0" fontId="8" fillId="5" borderId="22" xfId="0" applyFont="1" applyFill="1" applyBorder="1" applyAlignment="1">
      <alignment horizontal="center" vertical="center"/>
    </xf>
    <xf numFmtId="0" fontId="8" fillId="5" borderId="41" xfId="0" applyFont="1" applyFill="1" applyBorder="1" applyAlignment="1">
      <alignment horizontal="center" vertical="center"/>
    </xf>
    <xf numFmtId="0" fontId="9" fillId="0" borderId="21" xfId="5" applyFont="1" applyBorder="1" applyAlignment="1">
      <alignment horizontal="center" vertical="center"/>
    </xf>
    <xf numFmtId="0" fontId="8" fillId="0" borderId="21" xfId="0" applyFont="1" applyBorder="1" applyAlignment="1">
      <alignment horizontal="center" vertical="center"/>
    </xf>
    <xf numFmtId="0" fontId="8" fillId="0" borderId="22" xfId="0" applyFont="1" applyBorder="1" applyAlignment="1">
      <alignment horizontal="center" vertical="center"/>
    </xf>
    <xf numFmtId="0" fontId="8" fillId="0" borderId="22" xfId="0" applyFont="1" applyBorder="1" applyAlignment="1">
      <alignment horizontal="left" vertical="center"/>
    </xf>
    <xf numFmtId="0" fontId="9" fillId="0" borderId="36" xfId="5" applyFont="1" applyBorder="1" applyAlignment="1">
      <alignment horizontal="center" vertical="center"/>
    </xf>
    <xf numFmtId="0" fontId="8" fillId="5" borderId="42" xfId="0" applyFont="1" applyFill="1" applyBorder="1" applyAlignment="1">
      <alignment horizontal="left" vertical="center"/>
    </xf>
    <xf numFmtId="0" fontId="8" fillId="5" borderId="22" xfId="0" applyFont="1" applyFill="1" applyBorder="1" applyAlignment="1">
      <alignment horizontal="left" vertical="center"/>
    </xf>
    <xf numFmtId="165" fontId="15" fillId="0" borderId="0" xfId="0" applyNumberFormat="1" applyFont="1" applyFill="1" applyBorder="1" applyAlignment="1">
      <alignment horizontal="center"/>
    </xf>
    <xf numFmtId="0" fontId="0" fillId="0" borderId="0" xfId="0" applyAlignment="1">
      <alignment horizontal="center"/>
    </xf>
    <xf numFmtId="0" fontId="8" fillId="0" borderId="33" xfId="0" applyFont="1" applyBorder="1" applyAlignment="1">
      <alignment horizontal="center" wrapText="1"/>
    </xf>
    <xf numFmtId="0" fontId="8" fillId="0" borderId="34" xfId="0" applyFont="1" applyBorder="1" applyAlignment="1">
      <alignment horizontal="center" wrapText="1"/>
    </xf>
    <xf numFmtId="0" fontId="31" fillId="0" borderId="0" xfId="0" applyFont="1" applyAlignment="1">
      <alignment horizontal="center"/>
    </xf>
    <xf numFmtId="0" fontId="19" fillId="0" borderId="0" xfId="0" applyFont="1" applyAlignment="1">
      <alignment horizontal="center"/>
    </xf>
    <xf numFmtId="10" fontId="23" fillId="5" borderId="14" xfId="9" applyNumberFormat="1" applyFont="1" applyFill="1" applyBorder="1" applyAlignment="1">
      <alignment horizontal="center" vertical="center"/>
    </xf>
    <xf numFmtId="10" fontId="23" fillId="5" borderId="16" xfId="9" applyNumberFormat="1" applyFont="1" applyFill="1" applyBorder="1" applyAlignment="1">
      <alignment horizontal="center" vertical="center"/>
    </xf>
    <xf numFmtId="10" fontId="23" fillId="5" borderId="35" xfId="9" applyNumberFormat="1" applyFont="1" applyFill="1" applyBorder="1" applyAlignment="1">
      <alignment horizontal="center" vertical="center"/>
    </xf>
    <xf numFmtId="10" fontId="23" fillId="5" borderId="20" xfId="9" applyNumberFormat="1" applyFont="1" applyFill="1" applyBorder="1" applyAlignment="1">
      <alignment horizontal="center" vertical="center"/>
    </xf>
    <xf numFmtId="0" fontId="8" fillId="22" borderId="50" xfId="5" applyFont="1" applyFill="1" applyBorder="1" applyAlignment="1">
      <alignment horizontal="center" vertical="center"/>
    </xf>
    <xf numFmtId="0" fontId="8" fillId="22" borderId="44" xfId="5" applyFont="1" applyFill="1" applyBorder="1" applyAlignment="1">
      <alignment horizontal="center" vertical="center"/>
    </xf>
    <xf numFmtId="0" fontId="8" fillId="22" borderId="57" xfId="5" applyFont="1" applyFill="1" applyBorder="1" applyAlignment="1">
      <alignment horizontal="center" vertical="center"/>
    </xf>
    <xf numFmtId="0" fontId="8" fillId="22" borderId="88" xfId="5" applyFont="1" applyFill="1" applyBorder="1" applyAlignment="1">
      <alignment horizontal="center" vertical="center"/>
    </xf>
    <xf numFmtId="0" fontId="8" fillId="22" borderId="19" xfId="5" applyFont="1" applyFill="1" applyBorder="1" applyAlignment="1">
      <alignment horizontal="center" vertical="center"/>
    </xf>
    <xf numFmtId="0" fontId="8" fillId="22" borderId="89" xfId="5" applyFont="1" applyFill="1" applyBorder="1" applyAlignment="1">
      <alignment horizontal="center" vertical="center"/>
    </xf>
    <xf numFmtId="0" fontId="33" fillId="22" borderId="79" xfId="5" applyFont="1" applyFill="1" applyBorder="1" applyAlignment="1">
      <alignment horizontal="center" vertical="center"/>
    </xf>
    <xf numFmtId="0" fontId="33" fillId="22" borderId="44" xfId="5" applyFont="1" applyFill="1" applyBorder="1" applyAlignment="1">
      <alignment horizontal="center" vertical="center"/>
    </xf>
    <xf numFmtId="0" fontId="33" fillId="22" borderId="51" xfId="5" applyFont="1" applyFill="1" applyBorder="1" applyAlignment="1">
      <alignment horizontal="center" vertical="center"/>
    </xf>
    <xf numFmtId="0" fontId="35" fillId="19" borderId="50" xfId="15" applyFont="1" applyBorder="1" applyAlignment="1">
      <alignment horizontal="right" vertical="center"/>
    </xf>
    <xf numFmtId="0" fontId="35" fillId="19" borderId="44" xfId="15" applyFont="1" applyBorder="1" applyAlignment="1">
      <alignment horizontal="right" vertical="center"/>
    </xf>
    <xf numFmtId="176" fontId="35" fillId="19" borderId="44" xfId="15" applyNumberFormat="1" applyFont="1" applyBorder="1" applyAlignment="1">
      <alignment horizontal="left" vertical="center"/>
    </xf>
    <xf numFmtId="176" fontId="35" fillId="19" borderId="51" xfId="15" applyNumberFormat="1" applyFont="1" applyBorder="1" applyAlignment="1">
      <alignment horizontal="left" vertical="center"/>
    </xf>
    <xf numFmtId="0" fontId="8" fillId="22" borderId="79" xfId="5" applyFont="1" applyFill="1" applyBorder="1" applyAlignment="1">
      <alignment horizontal="center" vertical="center"/>
    </xf>
    <xf numFmtId="0" fontId="8" fillId="22" borderId="51" xfId="5" applyFont="1" applyFill="1" applyBorder="1" applyAlignment="1">
      <alignment horizontal="center" vertical="center"/>
    </xf>
    <xf numFmtId="0" fontId="8" fillId="22" borderId="58" xfId="5" applyFont="1" applyFill="1" applyBorder="1" applyAlignment="1">
      <alignment horizontal="left" vertical="center"/>
    </xf>
    <xf numFmtId="0" fontId="8" fillId="22" borderId="53" xfId="5" applyFont="1" applyFill="1" applyBorder="1" applyAlignment="1">
      <alignment horizontal="left" vertical="center"/>
    </xf>
    <xf numFmtId="0" fontId="8" fillId="22" borderId="50" xfId="5" applyFont="1" applyFill="1" applyBorder="1" applyAlignment="1">
      <alignment horizontal="center" vertical="center" wrapText="1"/>
    </xf>
    <xf numFmtId="0" fontId="8" fillId="22" borderId="44" xfId="5" applyFont="1" applyFill="1" applyBorder="1" applyAlignment="1">
      <alignment horizontal="center" vertical="center" wrapText="1"/>
    </xf>
    <xf numFmtId="0" fontId="8" fillId="22" borderId="57" xfId="5" applyFont="1" applyFill="1" applyBorder="1" applyAlignment="1">
      <alignment horizontal="center" vertical="center" wrapText="1"/>
    </xf>
    <xf numFmtId="0" fontId="8" fillId="22" borderId="79" xfId="5" applyFont="1" applyFill="1" applyBorder="1" applyAlignment="1">
      <alignment horizontal="center" vertical="center" wrapText="1"/>
    </xf>
    <xf numFmtId="0" fontId="39" fillId="0" borderId="0" xfId="5" applyFont="1" applyAlignment="1">
      <alignment horizontal="left" vertical="center"/>
    </xf>
    <xf numFmtId="0" fontId="34" fillId="0" borderId="15" xfId="0" applyFont="1" applyFill="1" applyBorder="1" applyAlignment="1">
      <alignment horizontal="left" vertical="top" wrapText="1"/>
    </xf>
    <xf numFmtId="0" fontId="34" fillId="0" borderId="19" xfId="0" applyFont="1" applyFill="1" applyBorder="1" applyAlignment="1">
      <alignment horizontal="left" vertical="top" wrapText="1"/>
    </xf>
    <xf numFmtId="0" fontId="8" fillId="22" borderId="14" xfId="5" applyFont="1" applyFill="1" applyBorder="1" applyAlignment="1">
      <alignment horizontal="left" vertical="center"/>
    </xf>
    <xf numFmtId="0" fontId="8" fillId="22" borderId="35" xfId="5" applyFont="1" applyFill="1" applyBorder="1" applyAlignment="1">
      <alignment horizontal="left" vertical="center"/>
    </xf>
    <xf numFmtId="0" fontId="8" fillId="22" borderId="14" xfId="5" applyFont="1" applyFill="1" applyBorder="1" applyAlignment="1">
      <alignment horizontal="center" vertical="center"/>
    </xf>
    <xf numFmtId="0" fontId="8" fillId="22" borderId="15" xfId="5" applyFont="1" applyFill="1" applyBorder="1" applyAlignment="1">
      <alignment horizontal="center" vertical="center"/>
    </xf>
    <xf numFmtId="0" fontId="8" fillId="22" borderId="66" xfId="5" applyFont="1" applyFill="1" applyBorder="1" applyAlignment="1">
      <alignment horizontal="center" vertical="center"/>
    </xf>
    <xf numFmtId="0" fontId="8" fillId="22" borderId="65" xfId="5" applyFont="1" applyFill="1" applyBorder="1" applyAlignment="1">
      <alignment horizontal="center" vertical="center"/>
    </xf>
    <xf numFmtId="0" fontId="8" fillId="22" borderId="16" xfId="5" applyFont="1" applyFill="1" applyBorder="1" applyAlignment="1">
      <alignment horizontal="center" vertical="center"/>
    </xf>
    <xf numFmtId="0" fontId="8" fillId="22" borderId="79" xfId="0" applyFont="1" applyFill="1" applyBorder="1" applyAlignment="1">
      <alignment horizontal="center"/>
    </xf>
    <xf numFmtId="0" fontId="8" fillId="22" borderId="44" xfId="0" applyFont="1" applyFill="1" applyBorder="1" applyAlignment="1">
      <alignment horizontal="center"/>
    </xf>
    <xf numFmtId="0" fontId="8" fillId="22" borderId="51" xfId="0" applyFont="1" applyFill="1" applyBorder="1" applyAlignment="1">
      <alignment horizontal="center"/>
    </xf>
    <xf numFmtId="0" fontId="8" fillId="22" borderId="57" xfId="0" applyFont="1" applyFill="1" applyBorder="1" applyAlignment="1">
      <alignment horizontal="center"/>
    </xf>
    <xf numFmtId="0" fontId="8" fillId="22" borderId="50" xfId="0" applyFont="1" applyFill="1" applyBorder="1" applyAlignment="1">
      <alignment horizontal="center"/>
    </xf>
    <xf numFmtId="0" fontId="34" fillId="0" borderId="15" xfId="0" applyFont="1" applyBorder="1" applyAlignment="1">
      <alignment horizontal="left" vertical="top" wrapText="1"/>
    </xf>
    <xf numFmtId="0" fontId="34" fillId="0" borderId="0" xfId="0" applyFont="1" applyBorder="1" applyAlignment="1">
      <alignment horizontal="left" vertical="top" wrapText="1"/>
    </xf>
    <xf numFmtId="0" fontId="34" fillId="0" borderId="0" xfId="0" applyFont="1" applyFill="1" applyBorder="1" applyAlignment="1">
      <alignment horizontal="left" vertical="top" wrapText="1"/>
    </xf>
    <xf numFmtId="0" fontId="8" fillId="22" borderId="58" xfId="0" applyFont="1" applyFill="1" applyBorder="1" applyAlignment="1">
      <alignment horizontal="left" vertical="center"/>
    </xf>
    <xf numFmtId="0" fontId="8" fillId="22" borderId="53" xfId="0" applyFont="1" applyFill="1" applyBorder="1" applyAlignment="1">
      <alignment horizontal="left" vertical="center"/>
    </xf>
    <xf numFmtId="0" fontId="8" fillId="22" borderId="14" xfId="0" applyFont="1" applyFill="1" applyBorder="1" applyAlignment="1">
      <alignment horizontal="center" vertical="center"/>
    </xf>
    <xf numFmtId="0" fontId="8" fillId="22" borderId="15" xfId="0" applyFont="1" applyFill="1" applyBorder="1" applyAlignment="1">
      <alignment horizontal="center" vertical="center"/>
    </xf>
    <xf numFmtId="0" fontId="8" fillId="22" borderId="66" xfId="0" applyFont="1" applyFill="1" applyBorder="1" applyAlignment="1">
      <alignment horizontal="center" vertical="center"/>
    </xf>
    <xf numFmtId="0" fontId="8" fillId="22" borderId="65" xfId="0" applyFont="1" applyFill="1" applyBorder="1" applyAlignment="1">
      <alignment horizontal="center" vertical="center"/>
    </xf>
    <xf numFmtId="0" fontId="8" fillId="22" borderId="16" xfId="0" applyFont="1" applyFill="1" applyBorder="1" applyAlignment="1">
      <alignment horizontal="center" vertical="center"/>
    </xf>
    <xf numFmtId="0" fontId="34" fillId="0" borderId="15" xfId="0" applyFont="1" applyBorder="1" applyAlignment="1">
      <alignment horizontal="left" vertical="top"/>
    </xf>
    <xf numFmtId="0" fontId="34" fillId="0" borderId="0" xfId="0" applyFont="1" applyAlignment="1">
      <alignment horizontal="left" vertical="top"/>
    </xf>
  </cellXfs>
  <cellStyles count="16">
    <cellStyle name="Accent3 2" xfId="15" xr:uid="{00000000-0005-0000-0000-000000000000}"/>
    <cellStyle name="ColLevel_1" xfId="2" builtinId="2" iLevel="0"/>
    <cellStyle name="Comma" xfId="6" builtinId="3"/>
    <cellStyle name="Comma 2" xfId="12" xr:uid="{00000000-0005-0000-0000-000003000000}"/>
    <cellStyle name="Normal" xfId="0" builtinId="0"/>
    <cellStyle name="Normal 2" xfId="5" xr:uid="{00000000-0005-0000-0000-000005000000}"/>
    <cellStyle name="Normal 3" xfId="8" xr:uid="{00000000-0005-0000-0000-000006000000}"/>
    <cellStyle name="Normal 3 2" xfId="14" xr:uid="{00000000-0005-0000-0000-000007000000}"/>
    <cellStyle name="Normal 4" xfId="11" xr:uid="{00000000-0005-0000-0000-000008000000}"/>
    <cellStyle name="Normal 5" xfId="10" xr:uid="{00000000-0005-0000-0000-000009000000}"/>
    <cellStyle name="Percent" xfId="7" builtinId="5"/>
    <cellStyle name="Percent 2" xfId="9" xr:uid="{00000000-0005-0000-0000-00000B000000}"/>
    <cellStyle name="Percent 3" xfId="13" xr:uid="{00000000-0005-0000-0000-00000C000000}"/>
    <cellStyle name="RowLevel_1" xfId="1" builtinId="1" iLevel="0"/>
    <cellStyle name="RowLevel_3" xfId="3" builtinId="1" iLevel="2"/>
    <cellStyle name="RowLevel_4" xfId="4" builtinId="1" iLevel="3"/>
  </cellStyles>
  <dxfs count="15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77" formatCode="m/d/yyyy\ h:mm"/>
    </dxf>
    <dxf>
      <numFmt numFmtId="177" formatCode="m/d/yyyy\ h:mm"/>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7" formatCode="m/d/yyyy\ h:mm"/>
    </dxf>
    <dxf>
      <numFmt numFmtId="177" formatCode="m/d/yyyy\ h:mm"/>
    </dxf>
    <dxf>
      <numFmt numFmtId="0" formatCode="General"/>
    </dxf>
    <dxf>
      <numFmt numFmtId="164" formatCode="_-* #,##0.00_-;\-* #,##0.00_-;_-* &quot;-&quot;??_-;_-@_-"/>
    </dxf>
    <dxf>
      <numFmt numFmtId="164" formatCode="_-* #,##0.00_-;\-* #,##0.00_-;_-* &quot;-&quot;??_-;_-@_-"/>
    </dxf>
    <dxf>
      <numFmt numFmtId="164" formatCode="_-* #,##0.00_-;\-* #,##0.00_-;_-* &quot;-&quot;??_-;_-@_-"/>
    </dxf>
    <dxf>
      <numFmt numFmtId="164" formatCode="_-* #,##0.00_-;\-* #,##0.00_-;_-* &quot;-&quot;??_-;_-@_-"/>
    </dxf>
    <dxf>
      <numFmt numFmtId="169" formatCode="_-* #,##0_-;\-* #,##0_-;_-* &quot;-&quot;??_-;_-@_-"/>
    </dxf>
    <dxf>
      <numFmt numFmtId="169" formatCode="_-* #,##0_-;\-* #,##0_-;_-* &quot;-&quot;??_-;_-@_-"/>
    </dxf>
    <dxf>
      <numFmt numFmtId="178" formatCode="m/d/yyyy"/>
    </dxf>
    <dxf>
      <numFmt numFmtId="177" formatCode="m/d/yyyy\ h:mm"/>
    </dxf>
    <dxf>
      <numFmt numFmtId="178" formatCode="m/d/yyyy"/>
    </dxf>
    <dxf>
      <numFmt numFmtId="177" formatCode="m/d/yyyy\ h:mm"/>
    </dxf>
    <dxf>
      <font>
        <b val="0"/>
        <i val="0"/>
        <strike val="0"/>
        <condense val="0"/>
        <extend val="0"/>
        <outline val="0"/>
        <shadow val="0"/>
        <u val="none"/>
        <vertAlign val="baseline"/>
        <sz val="10"/>
        <color auto="1"/>
        <name val="Arial"/>
        <scheme val="none"/>
      </font>
      <numFmt numFmtId="169" formatCode="_-* #,##0_-;\-* #,##0_-;_-* &quot;-&quot;??_-;_-@_-"/>
    </dxf>
    <dxf>
      <font>
        <b val="0"/>
        <i val="0"/>
        <strike val="0"/>
        <condense val="0"/>
        <extend val="0"/>
        <outline val="0"/>
        <shadow val="0"/>
        <u val="none"/>
        <vertAlign val="baseline"/>
        <sz val="10"/>
        <color auto="1"/>
        <name val="Arial"/>
        <scheme val="none"/>
      </font>
      <numFmt numFmtId="169" formatCode="_-* #,##0_-;\-* #,##0_-;_-* &quot;-&quot;??_-;_-@_-"/>
    </dxf>
    <dxf>
      <font>
        <b val="0"/>
        <i val="0"/>
        <strike val="0"/>
        <condense val="0"/>
        <extend val="0"/>
        <outline val="0"/>
        <shadow val="0"/>
        <u val="none"/>
        <vertAlign val="baseline"/>
        <sz val="10"/>
        <color auto="1"/>
        <name val="Arial"/>
        <scheme val="none"/>
      </font>
      <numFmt numFmtId="169" formatCode="_-* #,##0_-;\-* #,##0_-;_-* &quot;-&quot;??_-;_-@_-"/>
    </dxf>
    <dxf>
      <font>
        <b val="0"/>
        <i val="0"/>
        <strike val="0"/>
        <condense val="0"/>
        <extend val="0"/>
        <outline val="0"/>
        <shadow val="0"/>
        <u val="none"/>
        <vertAlign val="baseline"/>
        <sz val="10"/>
        <color auto="1"/>
        <name val="Arial"/>
        <scheme val="none"/>
      </font>
      <numFmt numFmtId="164" formatCode="_-* #,##0.00_-;\-* #,##0.00_-;_-* &quot;-&quot;??_-;_-@_-"/>
    </dxf>
    <dxf>
      <font>
        <b val="0"/>
        <i val="0"/>
        <strike val="0"/>
        <condense val="0"/>
        <extend val="0"/>
        <outline val="0"/>
        <shadow val="0"/>
        <u val="none"/>
        <vertAlign val="baseline"/>
        <sz val="10"/>
        <color auto="1"/>
        <name val="Arial"/>
        <scheme val="none"/>
      </font>
      <numFmt numFmtId="164" formatCode="_-* #,##0.00_-;\-* #,##0.00_-;_-* &quot;-&quot;??_-;_-@_-"/>
    </dxf>
    <dxf>
      <font>
        <b val="0"/>
        <i val="0"/>
        <strike val="0"/>
        <condense val="0"/>
        <extend val="0"/>
        <outline val="0"/>
        <shadow val="0"/>
        <u val="none"/>
        <vertAlign val="baseline"/>
        <sz val="10"/>
        <color auto="1"/>
        <name val="Arial"/>
        <scheme val="none"/>
      </font>
      <numFmt numFmtId="164" formatCode="_-* #,##0.00_-;\-* #,##0.00_-;_-* &quot;-&quot;??_-;_-@_-"/>
    </dxf>
    <dxf>
      <numFmt numFmtId="177" formatCode="m/d/yyyy\ h:mm"/>
    </dxf>
    <dxf>
      <numFmt numFmtId="177" formatCode="m/d/yyyy\ h:mm"/>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readingOrder="0"/>
    </dxf>
    <dxf>
      <numFmt numFmtId="169" formatCode="_-* #,##0_-;\-* #,##0_-;_-* &quot;-&quot;??_-;_-@_-"/>
    </dxf>
    <dxf>
      <font>
        <sz val="8"/>
      </font>
    </dxf>
    <dxf>
      <numFmt numFmtId="14" formatCode="0.00%"/>
    </dxf>
    <dxf>
      <numFmt numFmtId="14" formatCode="0.00%"/>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strike val="0"/>
        <outline val="0"/>
        <shadow val="0"/>
        <u val="none"/>
        <vertAlign val="baseline"/>
        <sz val="18"/>
        <color theme="1"/>
        <name val="Arial"/>
        <scheme val="none"/>
      </font>
      <numFmt numFmtId="174" formatCode="0.0%"/>
      <fill>
        <patternFill patternType="solid">
          <fgColor indexed="64"/>
          <bgColor theme="2" tint="-0.249977111117893"/>
        </patternFill>
      </fill>
      <alignment horizontal="general"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8"/>
        <color theme="1"/>
        <name val="Arial"/>
        <scheme val="none"/>
      </font>
      <numFmt numFmtId="174" formatCode="0.0%"/>
      <fill>
        <patternFill patternType="solid">
          <fgColor indexed="64"/>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6"/>
        <color auto="1"/>
        <name val="Arial"/>
        <scheme val="none"/>
      </font>
      <numFmt numFmtId="1" formatCode="0"/>
      <fill>
        <patternFill patternType="solid">
          <fgColor indexed="64"/>
          <bgColor theme="2" tint="-0.249977111117893"/>
        </patternFill>
      </fill>
    </dxf>
    <dxf>
      <font>
        <strike val="0"/>
        <outline val="0"/>
        <shadow val="0"/>
        <u val="none"/>
        <vertAlign val="baseline"/>
        <sz val="16"/>
        <color auto="1"/>
        <name val="Arial"/>
        <scheme val="none"/>
      </font>
      <numFmt numFmtId="174" formatCode="0.0%"/>
      <fill>
        <patternFill patternType="solid">
          <fgColor indexed="64"/>
          <bgColor theme="2" tint="-0.249977111117893"/>
        </patternFill>
      </fill>
      <border diagonalUp="0" diagonalDown="0">
        <left/>
        <right style="thin">
          <color indexed="64"/>
        </right>
        <top/>
        <bottom/>
        <vertical/>
        <horizontal/>
      </border>
    </dxf>
    <dxf>
      <font>
        <b val="0"/>
        <i val="0"/>
        <strike val="0"/>
        <condense val="0"/>
        <extend val="0"/>
        <outline val="0"/>
        <shadow val="0"/>
        <u val="none"/>
        <vertAlign val="baseline"/>
        <sz val="16"/>
        <color auto="1"/>
        <name val="Arial"/>
        <scheme val="none"/>
      </font>
      <numFmt numFmtId="169" formatCode="_-* #,##0_-;\-* #,##0_-;_-* &quot;-&quot;??_-;_-@_-"/>
      <fill>
        <patternFill patternType="solid">
          <fgColor indexed="64"/>
          <bgColor theme="4" tint="0.79998168889431442"/>
        </patternFill>
      </fill>
    </dxf>
    <dxf>
      <font>
        <b val="0"/>
        <i val="0"/>
        <strike val="0"/>
        <condense val="0"/>
        <extend val="0"/>
        <outline val="0"/>
        <shadow val="0"/>
        <u val="none"/>
        <vertAlign val="baseline"/>
        <sz val="16"/>
        <color auto="1"/>
        <name val="Arial"/>
        <scheme val="none"/>
      </font>
      <numFmt numFmtId="1" formatCode="0"/>
      <fill>
        <patternFill patternType="solid">
          <fgColor indexed="64"/>
          <bgColor theme="2" tint="-0.249977111117893"/>
        </patternFill>
      </fill>
    </dxf>
    <dxf>
      <font>
        <strike val="0"/>
        <outline val="0"/>
        <shadow val="0"/>
        <u val="none"/>
        <vertAlign val="baseline"/>
        <sz val="16"/>
        <color auto="1"/>
        <name val="Arial"/>
        <scheme val="none"/>
      </font>
      <numFmt numFmtId="174" formatCode="0.0%"/>
      <fill>
        <patternFill patternType="solid">
          <fgColor indexed="64"/>
          <bgColor theme="2" tint="-0.249977111117893"/>
        </patternFill>
      </fill>
    </dxf>
    <dxf>
      <font>
        <strike val="0"/>
        <outline val="0"/>
        <shadow val="0"/>
        <u val="none"/>
        <vertAlign val="baseline"/>
        <sz val="16"/>
        <color auto="1"/>
        <name val="Arial"/>
        <scheme val="none"/>
      </font>
      <numFmt numFmtId="169" formatCode="_-* #,##0_-;\-* #,##0_-;_-* &quot;-&quot;??_-;_-@_-"/>
    </dxf>
    <dxf>
      <font>
        <b val="0"/>
        <i val="0"/>
        <strike val="0"/>
        <condense val="0"/>
        <extend val="0"/>
        <outline val="0"/>
        <shadow val="0"/>
        <u val="none"/>
        <vertAlign val="baseline"/>
        <sz val="16"/>
        <color auto="1"/>
        <name val="Arial"/>
        <scheme val="none"/>
      </font>
      <numFmt numFmtId="1" formatCode="0"/>
      <fill>
        <patternFill patternType="solid">
          <fgColor indexed="64"/>
          <bgColor theme="2" tint="-0.249977111117893"/>
        </patternFill>
      </fill>
    </dxf>
    <dxf>
      <font>
        <strike val="0"/>
        <outline val="0"/>
        <shadow val="0"/>
        <u val="none"/>
        <vertAlign val="baseline"/>
        <sz val="16"/>
        <color auto="1"/>
        <name val="Arial"/>
        <scheme val="none"/>
      </font>
      <numFmt numFmtId="174" formatCode="0.0%"/>
      <fill>
        <patternFill patternType="solid">
          <fgColor indexed="64"/>
          <bgColor theme="2" tint="-0.249977111117893"/>
        </patternFill>
      </fill>
    </dxf>
    <dxf>
      <font>
        <strike val="0"/>
        <outline val="0"/>
        <shadow val="0"/>
        <u val="none"/>
        <vertAlign val="baseline"/>
        <sz val="16"/>
        <color auto="1"/>
        <name val="Arial"/>
        <scheme val="none"/>
      </font>
      <numFmt numFmtId="169" formatCode="_-* #,##0_-;\-* #,##0_-;_-* &quot;-&quot;??_-;_-@_-"/>
      <fill>
        <patternFill patternType="solid">
          <fgColor indexed="64"/>
          <bgColor theme="4" tint="0.79998168889431442"/>
        </patternFill>
      </fill>
    </dxf>
    <dxf>
      <font>
        <b val="0"/>
        <i val="0"/>
        <strike val="0"/>
        <condense val="0"/>
        <extend val="0"/>
        <outline val="0"/>
        <shadow val="0"/>
        <u val="none"/>
        <vertAlign val="baseline"/>
        <sz val="16"/>
        <color auto="1"/>
        <name val="Arial"/>
        <scheme val="none"/>
      </font>
      <numFmt numFmtId="1" formatCode="0"/>
      <fill>
        <patternFill patternType="solid">
          <fgColor indexed="64"/>
          <bgColor theme="2" tint="-0.249977111117893"/>
        </patternFill>
      </fill>
    </dxf>
    <dxf>
      <font>
        <strike val="0"/>
        <outline val="0"/>
        <shadow val="0"/>
        <u val="none"/>
        <vertAlign val="baseline"/>
        <sz val="16"/>
        <color auto="1"/>
        <name val="Arial"/>
        <scheme val="none"/>
      </font>
      <numFmt numFmtId="174" formatCode="0.0%"/>
      <fill>
        <patternFill patternType="solid">
          <fgColor indexed="64"/>
          <bgColor theme="2" tint="-0.249977111117893"/>
        </patternFill>
      </fill>
    </dxf>
    <dxf>
      <font>
        <strike val="0"/>
        <outline val="0"/>
        <shadow val="0"/>
        <u val="none"/>
        <vertAlign val="baseline"/>
        <sz val="16"/>
        <color auto="1"/>
        <name val="Arial"/>
        <scheme val="none"/>
      </font>
      <numFmt numFmtId="169" formatCode="_-* #,##0_-;\-* #,##0_-;_-* &quot;-&quot;??_-;_-@_-"/>
      <fill>
        <patternFill patternType="solid">
          <fgColor indexed="64"/>
          <bgColor theme="4"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6"/>
        <color auto="1"/>
        <name val="Arial"/>
        <scheme val="none"/>
      </font>
      <numFmt numFmtId="1" formatCode="0"/>
      <fill>
        <patternFill patternType="solid">
          <fgColor indexed="64"/>
          <bgColor theme="2" tint="-0.249977111117893"/>
        </patternFill>
      </fill>
    </dxf>
    <dxf>
      <font>
        <strike val="0"/>
        <outline val="0"/>
        <shadow val="0"/>
        <u val="none"/>
        <vertAlign val="baseline"/>
        <sz val="16"/>
        <color auto="1"/>
        <name val="Arial"/>
        <scheme val="none"/>
      </font>
      <numFmt numFmtId="174" formatCode="0.0%"/>
      <fill>
        <patternFill patternType="solid">
          <fgColor indexed="64"/>
          <bgColor theme="2" tint="-0.249977111117893"/>
        </patternFill>
      </fill>
    </dxf>
    <dxf>
      <font>
        <strike val="0"/>
        <outline val="0"/>
        <shadow val="0"/>
        <u val="none"/>
        <vertAlign val="baseline"/>
        <sz val="16"/>
        <color auto="1"/>
        <name val="Arial"/>
        <scheme val="none"/>
      </font>
      <numFmt numFmtId="169" formatCode="_-* #,##0_-;\-* #,##0_-;_-* &quot;-&quot;??_-;_-@_-"/>
      <fill>
        <patternFill patternType="solid">
          <fgColor indexed="64"/>
          <bgColor theme="4" tint="0.79998168889431442"/>
        </patternFill>
      </fill>
    </dxf>
    <dxf>
      <font>
        <strike val="0"/>
        <outline val="0"/>
        <shadow val="0"/>
        <u val="none"/>
        <vertAlign val="baseline"/>
        <sz val="16"/>
        <color auto="1"/>
        <name val="Arial"/>
        <scheme val="none"/>
      </font>
    </dxf>
    <dxf>
      <font>
        <strike val="0"/>
        <outline val="0"/>
        <shadow val="0"/>
        <u val="none"/>
        <vertAlign val="baseline"/>
        <sz val="16"/>
        <color auto="1"/>
        <name val="Arial"/>
        <scheme val="none"/>
      </font>
    </dxf>
    <dxf>
      <font>
        <strike val="0"/>
        <outline val="0"/>
        <shadow val="0"/>
        <u val="none"/>
        <vertAlign val="baseline"/>
        <sz val="16"/>
        <color auto="1"/>
        <name val="Arial"/>
        <scheme val="none"/>
      </font>
    </dxf>
    <dxf>
      <font>
        <strike val="0"/>
        <outline val="0"/>
        <shadow val="0"/>
        <u val="none"/>
        <vertAlign val="baseline"/>
        <sz val="16"/>
        <color auto="1"/>
        <name val="Arial"/>
        <scheme val="none"/>
      </font>
    </dxf>
    <dxf>
      <font>
        <strike val="0"/>
        <outline val="0"/>
        <shadow val="0"/>
        <u val="none"/>
        <vertAlign val="baseline"/>
        <sz val="18"/>
        <name val="Arial"/>
        <scheme val="none"/>
      </font>
      <alignment horizontal="general" vertical="center" textRotation="0" wrapText="0" indent="0" justifyLastLine="0" shrinkToFit="0" readingOrder="0"/>
    </dxf>
    <dxf>
      <font>
        <b/>
        <i val="0"/>
        <color theme="0"/>
      </font>
      <fill>
        <patternFill>
          <bgColor rgb="FF00B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numFmt numFmtId="177" formatCode="m/d/yyyy\ h:mm"/>
      <border diagonalUp="0" diagonalDown="0">
        <left style="thin">
          <color theme="0"/>
        </left>
        <right style="thin">
          <color theme="0"/>
        </right>
        <top/>
        <bottom/>
        <vertical/>
        <horizontal/>
      </border>
    </dxf>
    <dxf>
      <border diagonalUp="0" diagonalDown="0">
        <left style="thin">
          <color theme="0"/>
        </left>
        <right style="thin">
          <color theme="0"/>
        </right>
        <top/>
        <bottom/>
        <vertical/>
        <horizontal/>
      </border>
    </dxf>
    <dxf>
      <border diagonalUp="0" diagonalDown="0">
        <left style="thin">
          <color theme="0"/>
        </left>
        <right style="thin">
          <color theme="0"/>
        </right>
        <top/>
        <bottom/>
        <vertical style="thin">
          <color theme="0"/>
        </vertical>
        <horizontal/>
      </border>
    </dxf>
    <dxf>
      <fill>
        <patternFill>
          <bgColor rgb="FF92D050"/>
        </patternFill>
      </fill>
    </dxf>
    <dxf>
      <fill>
        <patternFill>
          <bgColor rgb="FFFF0000"/>
        </patternFill>
      </fill>
    </dxf>
    <dxf>
      <fill>
        <patternFill>
          <bgColor rgb="FFFFC000"/>
        </patternFill>
      </fill>
    </dxf>
    <dxf>
      <fill>
        <patternFill>
          <bgColor theme="7" tint="0.79998168889431442"/>
        </patternFill>
      </fill>
    </dxf>
  </dxfs>
  <tableStyles count="1" defaultTableStyle="TableStyleMedium9" defaultPivotStyle="PivotStyleLight16">
    <tableStyle name="Table Style 1" pivot="0" count="1" xr9:uid="{00000000-0011-0000-FFFF-FFFF00000000}">
      <tableStyleElement type="firstColumn" dxfId="158"/>
    </tableStyle>
  </tableStyles>
  <colors>
    <mruColors>
      <color rgb="FFFFFF99"/>
      <color rgb="FF008C53"/>
      <color rgb="FFEAEAEA"/>
      <color rgb="FFDDDDDD"/>
      <color rgb="FF99FF99"/>
      <color rgb="FF33CC33"/>
      <color rgb="FFFFA829"/>
      <color rgb="FFFA9706"/>
      <color rgb="FFF66F0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pivotCacheDefinition" Target="pivotCache/pivotCacheDefinition2.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9433960527507746E-2"/>
          <c:y val="6.729842061872765E-2"/>
          <c:w val="0.96113207894498442"/>
          <c:h val="0.92622746151176105"/>
        </c:manualLayout>
      </c:layout>
      <c:pie3DChart>
        <c:varyColors val="1"/>
        <c:ser>
          <c:idx val="0"/>
          <c:order val="0"/>
          <c:tx>
            <c:strRef>
              <c:f>Disbursement!$E$10</c:f>
              <c:strCache>
                <c:ptCount val="1"/>
                <c:pt idx="0">
                  <c:v>Loan Disbursed (%)</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1616-43CB-BD0E-C9E38C177FFB}"/>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1616-43CB-BD0E-C9E38C177FFB}"/>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1616-43CB-BD0E-C9E38C177FFB}"/>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1616-43CB-BD0E-C9E38C177FFB}"/>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1616-43CB-BD0E-C9E38C177FFB}"/>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1616-43CB-BD0E-C9E38C177FFB}"/>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1616-43CB-BD0E-C9E38C177FFB}"/>
              </c:ext>
            </c:extLst>
          </c:dPt>
          <c:dPt>
            <c:idx val="7"/>
            <c:bubble3D val="0"/>
            <c:spPr>
              <a:solidFill>
                <a:schemeClr val="accent2">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1616-43CB-BD0E-C9E38C177FFB}"/>
              </c:ext>
            </c:extLst>
          </c:dPt>
          <c:dPt>
            <c:idx val="8"/>
            <c:bubble3D val="0"/>
            <c:spPr>
              <a:solidFill>
                <a:schemeClr val="accent3">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1-1616-43CB-BD0E-C9E38C177FF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(Disbursement!$B$32,Disbursement!$B$56,Disbursement!$B$73,Disbursement!$B$100,Disbursement!$B$129,Disbursement!$B$156,Disbursement!$B$182,Disbursement!$B$210,Disbursement!$B$216)</c:f>
              <c:strCache>
                <c:ptCount val="9"/>
                <c:pt idx="0">
                  <c:v>KALERWE Total</c:v>
                </c:pt>
                <c:pt idx="1">
                  <c:v>KIREKA  Total</c:v>
                </c:pt>
                <c:pt idx="2">
                  <c:v>MUKONO  Total</c:v>
                </c:pt>
                <c:pt idx="3">
                  <c:v>ACACIA Total</c:v>
                </c:pt>
                <c:pt idx="4">
                  <c:v>CITY CENTER Total</c:v>
                </c:pt>
                <c:pt idx="5">
                  <c:v>NATEETE  Total</c:v>
                </c:pt>
                <c:pt idx="6">
                  <c:v>NDEEBA Total</c:v>
                </c:pt>
                <c:pt idx="7">
                  <c:v>NANSANA Total</c:v>
                </c:pt>
                <c:pt idx="8">
                  <c:v>ADMINTotal</c:v>
                </c:pt>
              </c:strCache>
            </c:strRef>
          </c:cat>
          <c:val>
            <c:numRef>
              <c:f>(Disbursement!$E$32,Disbursement!$E$56,Disbursement!$E$73,Disbursement!$E$100,Disbursement!$E$129,Disbursement!$E$156,Disbursement!$E$182,Disbursement!$E$210,Disbursement!$E$216)</c:f>
              <c:numCache>
                <c:formatCode>0%</c:formatCode>
                <c:ptCount val="9"/>
                <c:pt idx="0">
                  <c:v>0.14409241606127982</c:v>
                </c:pt>
                <c:pt idx="1">
                  <c:v>0.19777390439783502</c:v>
                </c:pt>
                <c:pt idx="2">
                  <c:v>6.2157512810748147E-2</c:v>
                </c:pt>
                <c:pt idx="3">
                  <c:v>5.3681488336555228E-2</c:v>
                </c:pt>
                <c:pt idx="4">
                  <c:v>0.16839035288729953</c:v>
                </c:pt>
                <c:pt idx="5" formatCode="0.00%">
                  <c:v>2.8253414913976434E-2</c:v>
                </c:pt>
                <c:pt idx="6" formatCode="0.00%">
                  <c:v>2.2602731931181147E-2</c:v>
                </c:pt>
                <c:pt idx="7" formatCode="0.00%">
                  <c:v>0.10171229369031516</c:v>
                </c:pt>
                <c:pt idx="8" formatCode="0.00%">
                  <c:v>0.22133588497080953</c:v>
                </c:pt>
              </c:numCache>
            </c:numRef>
          </c:val>
          <c:extLst>
            <c:ext xmlns:c16="http://schemas.microsoft.com/office/drawing/2014/chart" uri="{C3380CC4-5D6E-409C-BE32-E72D297353CC}">
              <c16:uniqueId val="{00000000-1427-4BA4-AD94-62A150B437FA}"/>
            </c:ext>
          </c:extLst>
        </c:ser>
        <c:dLbls>
          <c:dLblPos val="inEnd"/>
          <c:showLegendKey val="0"/>
          <c:showVal val="0"/>
          <c:showCatName val="1"/>
          <c:showSerName val="0"/>
          <c:showPercent val="1"/>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Loan Portfolio by Activity</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88861088625604E-2"/>
          <c:y val="5.1208952137600766E-2"/>
          <c:w val="0.94976672308484789"/>
          <c:h val="0.93647105344126469"/>
        </c:manualLayout>
      </c:layout>
      <c:pie3DChart>
        <c:varyColors val="1"/>
        <c:ser>
          <c:idx val="0"/>
          <c:order val="0"/>
          <c:tx>
            <c:strRef>
              <c:f>'Data-graph'!$C$4</c:f>
              <c:strCache>
                <c:ptCount val="1"/>
                <c:pt idx="0">
                  <c:v>Outstanding 
Balance (%)</c:v>
                </c:pt>
              </c:strCache>
            </c:strRef>
          </c:tx>
          <c:explosion val="38"/>
          <c:dPt>
            <c:idx val="5"/>
            <c:bubble3D val="0"/>
            <c:explosion val="41"/>
            <c:extLst>
              <c:ext xmlns:c16="http://schemas.microsoft.com/office/drawing/2014/chart" uri="{C3380CC4-5D6E-409C-BE32-E72D297353CC}">
                <c16:uniqueId val="{00000000-A868-46E7-A7EA-7BB875304935}"/>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'[2]Data-graph'!$A$5:$A$18</c:f>
              <c:strCache>
                <c:ptCount val="14"/>
                <c:pt idx="0">
                  <c:v>Agriculture, Forestry, Fishing and Hunting</c:v>
                </c:pt>
                <c:pt idx="1">
                  <c:v>Mining</c:v>
                </c:pt>
                <c:pt idx="2">
                  <c:v>Construction</c:v>
                </c:pt>
                <c:pt idx="3">
                  <c:v>Manufacturing</c:v>
                </c:pt>
                <c:pt idx="4">
                  <c:v>Wholesale Trade</c:v>
                </c:pt>
                <c:pt idx="5">
                  <c:v>Retail</c:v>
                </c:pt>
                <c:pt idx="6">
                  <c:v>Transportation and Warehousing</c:v>
                </c:pt>
                <c:pt idx="7">
                  <c:v>Information</c:v>
                </c:pt>
                <c:pt idx="8">
                  <c:v>Finance and Insurance</c:v>
                </c:pt>
                <c:pt idx="9">
                  <c:v>Real Estate and Rental</c:v>
                </c:pt>
                <c:pt idx="10">
                  <c:v>Educational Services</c:v>
                </c:pt>
                <c:pt idx="11">
                  <c:v>Health Care</c:v>
                </c:pt>
                <c:pt idx="12">
                  <c:v>Restaurants and Hotels</c:v>
                </c:pt>
                <c:pt idx="13">
                  <c:v>Other Services</c:v>
                </c:pt>
              </c:strCache>
            </c:strRef>
          </c:cat>
          <c:val>
            <c:numRef>
              <c:f>('Data-graph'!$C$5,'Data-graph'!$C$6,'Data-graph'!$C$7,'Data-graph'!$C$8,'Data-graph'!$C$9,'Data-graph'!$C$10,'Data-graph'!$C$11,'Data-graph'!$C$12,'Data-graph'!$C$13,'Data-graph'!$C$14,'Data-graph'!$C$15,'Data-graph'!$C$16,'Data-graph'!$C$17,'Data-graph'!$C$18)</c:f>
              <c:numCache>
                <c:formatCode>0%</c:formatCode>
                <c:ptCount val="14"/>
                <c:pt idx="0">
                  <c:v>3.096892800245871E-2</c:v>
                </c:pt>
                <c:pt idx="1">
                  <c:v>5.1390073613305854E-3</c:v>
                </c:pt>
                <c:pt idx="2">
                  <c:v>3.2556410132733186E-2</c:v>
                </c:pt>
                <c:pt idx="3">
                  <c:v>2.4108236853457029E-2</c:v>
                </c:pt>
                <c:pt idx="4">
                  <c:v>0.10077046736625002</c:v>
                </c:pt>
                <c:pt idx="5">
                  <c:v>0.30478715315147736</c:v>
                </c:pt>
                <c:pt idx="6">
                  <c:v>6.460669209703887E-2</c:v>
                </c:pt>
                <c:pt idx="7">
                  <c:v>7.3967710806159869E-3</c:v>
                </c:pt>
                <c:pt idx="8">
                  <c:v>1.6314825568130797E-2</c:v>
                </c:pt>
                <c:pt idx="9">
                  <c:v>0.32571673762668135</c:v>
                </c:pt>
                <c:pt idx="10">
                  <c:v>4.7422500095902424E-2</c:v>
                </c:pt>
                <c:pt idx="11">
                  <c:v>1.4152302337519084E-2</c:v>
                </c:pt>
                <c:pt idx="12">
                  <c:v>2.2463493664960067E-2</c:v>
                </c:pt>
                <c:pt idx="13">
                  <c:v>3.5964746614445503E-3</c:v>
                </c:pt>
              </c:numCache>
            </c:numRef>
          </c:val>
          <c:extLst>
            <c:ext xmlns:c16="http://schemas.microsoft.com/office/drawing/2014/chart" uri="{C3380CC4-5D6E-409C-BE32-E72D297353CC}">
              <c16:uniqueId val="{00000001-A868-46E7-A7EA-7BB875304935}"/>
            </c:ext>
          </c:extLst>
        </c:ser>
        <c:dLbls>
          <c:showLegendKey val="0"/>
          <c:showVal val="0"/>
          <c:showCatName val="1"/>
          <c:showSerName val="0"/>
          <c:showPercent val="1"/>
          <c:showBubbleSize val="0"/>
          <c:showLeaderLines val="1"/>
        </c:dLbls>
      </c:pie3DChart>
    </c:plotArea>
    <c:plotVisOnly val="1"/>
    <c:dispBlanksAs val="zero"/>
    <c:showDLblsOverMax val="0"/>
  </c:chart>
  <c:printSettings>
    <c:headerFooter/>
    <c:pageMargins b="0.75000000000000011" l="0.70000000000000007" r="0.70000000000000007" t="0.75000000000000011" header="0.30000000000000004" footer="0.30000000000000004"/>
    <c:pageSetup orientation="portrait"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9433967422346633E-2"/>
          <c:y val="1.1531630559331945E-2"/>
          <c:w val="0.95803208165600628"/>
          <c:h val="0.92242745151310435"/>
        </c:manualLayout>
      </c:layout>
      <c:pie3DChart>
        <c:varyColors val="1"/>
        <c:ser>
          <c:idx val="0"/>
          <c:order val="0"/>
          <c:tx>
            <c:strRef>
              <c:f>'General Porfolio'!$E$10</c:f>
              <c:strCache>
                <c:ptCount val="1"/>
                <c:pt idx="0">
                  <c:v>Oustanding 
Balance (%)</c:v>
                </c:pt>
              </c:strCache>
            </c:strRef>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('General Porfolio'!$B$26,'General Porfolio'!$B$45,'General Porfolio'!$B$63,'General Porfolio'!$B$83,'General Porfolio'!$B$103,'General Porfolio'!$B$123,'General Porfolio'!$B$143,'General Porfolio'!$B$162,'General Porfolio'!$B$169)</c:f>
              <c:strCache>
                <c:ptCount val="9"/>
                <c:pt idx="0">
                  <c:v>KALERWE Total</c:v>
                </c:pt>
                <c:pt idx="1">
                  <c:v>KIREKA Total</c:v>
                </c:pt>
                <c:pt idx="2">
                  <c:v>MUKONO  Total</c:v>
                </c:pt>
                <c:pt idx="3">
                  <c:v>ACACIA Total</c:v>
                </c:pt>
                <c:pt idx="4">
                  <c:v>CITY CENTER  Total</c:v>
                </c:pt>
                <c:pt idx="5">
                  <c:v>NATEETE Total</c:v>
                </c:pt>
                <c:pt idx="6">
                  <c:v>NDEEBA Total</c:v>
                </c:pt>
                <c:pt idx="7">
                  <c:v>NANSANA Total</c:v>
                </c:pt>
                <c:pt idx="8">
                  <c:v>ADMIN Total</c:v>
                </c:pt>
              </c:strCache>
            </c:strRef>
          </c:cat>
          <c:val>
            <c:numRef>
              <c:f>('General Porfolio'!$E$26,'General Porfolio'!$E$45,'General Porfolio'!$E$63,'General Porfolio'!$E$83,'General Porfolio'!$E$103,'General Porfolio'!$E$123,'General Porfolio'!$E$143,'General Porfolio'!$E$162,'General Porfolio'!$E$169)</c:f>
              <c:numCache>
                <c:formatCode>0.00%</c:formatCode>
                <c:ptCount val="9"/>
                <c:pt idx="0" formatCode="0%">
                  <c:v>0.13473161505379766</c:v>
                </c:pt>
                <c:pt idx="1">
                  <c:v>7.4119887417743224E-2</c:v>
                </c:pt>
                <c:pt idx="2">
                  <c:v>1.4168140814705184E-2</c:v>
                </c:pt>
                <c:pt idx="3">
                  <c:v>0.20446288095069404</c:v>
                </c:pt>
                <c:pt idx="4" formatCode="0%">
                  <c:v>0.19206433568137457</c:v>
                </c:pt>
                <c:pt idx="5" formatCode="0%">
                  <c:v>0.15956655463254965</c:v>
                </c:pt>
                <c:pt idx="6">
                  <c:v>7.4549467757858937E-2</c:v>
                </c:pt>
                <c:pt idx="7" formatCode="0%">
                  <c:v>5.4342685897958369E-2</c:v>
                </c:pt>
                <c:pt idx="8">
                  <c:v>9.1994431793318385E-2</c:v>
                </c:pt>
              </c:numCache>
            </c:numRef>
          </c:val>
          <c:extLst>
            <c:ext xmlns:c16="http://schemas.microsoft.com/office/drawing/2014/chart" uri="{C3380CC4-5D6E-409C-BE32-E72D297353CC}">
              <c16:uniqueId val="{00000000-9035-4EA1-8817-E5F1BA88B5E1}"/>
            </c:ext>
          </c:extLst>
        </c:ser>
        <c:dLbls>
          <c:showLegendKey val="0"/>
          <c:showVal val="0"/>
          <c:showCatName val="1"/>
          <c:showSerName val="0"/>
          <c:showPercent val="1"/>
          <c:showBubbleSize val="0"/>
          <c:showLeaderLines val="1"/>
        </c:dLbls>
      </c:pie3DChart>
    </c:plotArea>
    <c:plotVisOnly val="1"/>
    <c:dispBlanksAs val="zero"/>
    <c:showDLblsOverMax val="0"/>
  </c:chart>
  <c:printSettings>
    <c:headerFooter/>
    <c:pageMargins b="0.75000000000000011" l="0.70000000000000007" r="0.70000000000000007" t="0.75000000000000011" header="0.30000000000000004" footer="0.30000000000000004"/>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Loans Portfolio Progression</a:t>
            </a:r>
          </a:p>
        </c:rich>
      </c:tx>
      <c:overlay val="0"/>
    </c:title>
    <c:autoTitleDeleted val="0"/>
    <c:plotArea>
      <c:layout>
        <c:manualLayout>
          <c:layoutTarget val="inner"/>
          <c:xMode val="edge"/>
          <c:yMode val="edge"/>
          <c:x val="0.11691185569335584"/>
          <c:y val="1.7689416883293542E-2"/>
          <c:w val="0.8112286600292431"/>
          <c:h val="0.78284337553574734"/>
        </c:manualLayout>
      </c:layout>
      <c:barChart>
        <c:barDir val="col"/>
        <c:grouping val="clustered"/>
        <c:varyColors val="0"/>
        <c:ser>
          <c:idx val="0"/>
          <c:order val="0"/>
          <c:tx>
            <c:strRef>
              <c:f>'Loans Port Progression'!$B$12</c:f>
              <c:strCache>
                <c:ptCount val="1"/>
                <c:pt idx="0">
                  <c:v> Prevision </c:v>
                </c:pt>
              </c:strCache>
            </c:strRef>
          </c:tx>
          <c:spPr>
            <a:solidFill>
              <a:srgbClr val="008C53"/>
            </a:solidFill>
          </c:spPr>
          <c:invertIfNegative val="0"/>
          <c:cat>
            <c:multiLvlStrRef>
              <c:f>#REF!</c:f>
            </c:multiLvlStrRef>
          </c:cat>
          <c:val>
            <c:numRef>
              <c:f>'Loans Port Progression'!$B$13:$B$41</c:f>
              <c:numCache>
                <c:formatCode>#,##0_ ;\-#,##0\ </c:formatCode>
                <c:ptCount val="26"/>
                <c:pt idx="1">
                  <c:v>152000000</c:v>
                </c:pt>
                <c:pt idx="2">
                  <c:v>304000000</c:v>
                </c:pt>
                <c:pt idx="3">
                  <c:v>456000000</c:v>
                </c:pt>
                <c:pt idx="4">
                  <c:v>608000000</c:v>
                </c:pt>
                <c:pt idx="5">
                  <c:v>760000000</c:v>
                </c:pt>
                <c:pt idx="6">
                  <c:v>912000000</c:v>
                </c:pt>
                <c:pt idx="7">
                  <c:v>1064000000</c:v>
                </c:pt>
                <c:pt idx="8">
                  <c:v>1216000000</c:v>
                </c:pt>
                <c:pt idx="9">
                  <c:v>1368000000</c:v>
                </c:pt>
                <c:pt idx="10">
                  <c:v>1520000000</c:v>
                </c:pt>
                <c:pt idx="11">
                  <c:v>1672000000</c:v>
                </c:pt>
                <c:pt idx="12">
                  <c:v>1824000000</c:v>
                </c:pt>
                <c:pt idx="13">
                  <c:v>1976000000</c:v>
                </c:pt>
                <c:pt idx="14">
                  <c:v>2128000000</c:v>
                </c:pt>
                <c:pt idx="15">
                  <c:v>2280000000</c:v>
                </c:pt>
                <c:pt idx="16">
                  <c:v>2432000000</c:v>
                </c:pt>
                <c:pt idx="17">
                  <c:v>2584000000</c:v>
                </c:pt>
                <c:pt idx="18">
                  <c:v>2736000000</c:v>
                </c:pt>
                <c:pt idx="19">
                  <c:v>2888000000</c:v>
                </c:pt>
                <c:pt idx="20">
                  <c:v>3040000000</c:v>
                </c:pt>
                <c:pt idx="21">
                  <c:v>3192000000</c:v>
                </c:pt>
                <c:pt idx="22">
                  <c:v>3344000000</c:v>
                </c:pt>
                <c:pt idx="23">
                  <c:v>3496000000</c:v>
                </c:pt>
                <c:pt idx="24">
                  <c:v>3648000000</c:v>
                </c:pt>
                <c:pt idx="25">
                  <c:v>3800000000</c:v>
                </c:pt>
              </c:numCache>
            </c:numRef>
          </c:val>
          <c:extLst>
            <c:ext xmlns:c16="http://schemas.microsoft.com/office/drawing/2014/chart" uri="{C3380CC4-5D6E-409C-BE32-E72D297353CC}">
              <c16:uniqueId val="{00000000-0265-47CD-ADF2-3A19674BDF03}"/>
            </c:ext>
          </c:extLst>
        </c:ser>
        <c:ser>
          <c:idx val="1"/>
          <c:order val="1"/>
          <c:tx>
            <c:strRef>
              <c:f>'Loans Port Progression'!$C$12</c:f>
              <c:strCache>
                <c:ptCount val="1"/>
                <c:pt idx="0">
                  <c:v> Realized </c:v>
                </c:pt>
              </c:strCache>
            </c:strRef>
          </c:tx>
          <c:spPr>
            <a:gradFill>
              <a:gsLst>
                <a:gs pos="0">
                  <a:srgbClr val="FFF200"/>
                </a:gs>
                <a:gs pos="0">
                  <a:srgbClr val="FFA829"/>
                </a:gs>
                <a:gs pos="75000">
                  <a:srgbClr val="FF0300"/>
                </a:gs>
                <a:gs pos="100000">
                  <a:srgbClr val="4D0808"/>
                </a:gs>
              </a:gsLst>
              <a:lin ang="5400000" scaled="0"/>
            </a:gradFill>
          </c:spPr>
          <c:invertIfNegative val="0"/>
          <c:cat>
            <c:multiLvlStrRef>
              <c:f>#REF!</c:f>
            </c:multiLvlStrRef>
          </c:cat>
          <c:val>
            <c:numRef>
              <c:f>'Loans Port Progression'!$C$13:$C$41</c:f>
              <c:numCache>
                <c:formatCode>_ * #,##0_)\ _$_ ;_ * \(#,##0\)\ _$_ ;_ * "-"_)\ _$_ ;_ @_ </c:formatCode>
                <c:ptCount val="26"/>
                <c:pt idx="1">
                  <c:v>46581380</c:v>
                </c:pt>
                <c:pt idx="2">
                  <c:v>69581380</c:v>
                </c:pt>
                <c:pt idx="3">
                  <c:v>73581380</c:v>
                </c:pt>
                <c:pt idx="4">
                  <c:v>90581380</c:v>
                </c:pt>
                <c:pt idx="5">
                  <c:v>111187758</c:v>
                </c:pt>
                <c:pt idx="6">
                  <c:v>130687758</c:v>
                </c:pt>
                <c:pt idx="7">
                  <c:v>142687758</c:v>
                </c:pt>
                <c:pt idx="8">
                  <c:v>152687758</c:v>
                </c:pt>
                <c:pt idx="9">
                  <c:v>154687758</c:v>
                </c:pt>
                <c:pt idx="10">
                  <c:v>154687758</c:v>
                </c:pt>
                <c:pt idx="11">
                  <c:v>154687758</c:v>
                </c:pt>
                <c:pt idx="12">
                  <c:v>156187758</c:v>
                </c:pt>
                <c:pt idx="13">
                  <c:v>176969758</c:v>
                </c:pt>
                <c:pt idx="14">
                  <c:v>176969758</c:v>
                </c:pt>
                <c:pt idx="15">
                  <c:v>176969758</c:v>
                </c:pt>
                <c:pt idx="16">
                  <c:v>176969758</c:v>
                </c:pt>
                <c:pt idx="17">
                  <c:v>176969758</c:v>
                </c:pt>
                <c:pt idx="18">
                  <c:v>176969758</c:v>
                </c:pt>
                <c:pt idx="19">
                  <c:v>176969758</c:v>
                </c:pt>
                <c:pt idx="20">
                  <c:v>176969758</c:v>
                </c:pt>
                <c:pt idx="21">
                  <c:v>176969758</c:v>
                </c:pt>
                <c:pt idx="22">
                  <c:v>176969758</c:v>
                </c:pt>
                <c:pt idx="23">
                  <c:v>176969758</c:v>
                </c:pt>
                <c:pt idx="24">
                  <c:v>176969758</c:v>
                </c:pt>
                <c:pt idx="25">
                  <c:v>176969758</c:v>
                </c:pt>
              </c:numCache>
            </c:numRef>
          </c:val>
          <c:extLst>
            <c:ext xmlns:c16="http://schemas.microsoft.com/office/drawing/2014/chart" uri="{C3380CC4-5D6E-409C-BE32-E72D297353CC}">
              <c16:uniqueId val="{00000001-0265-47CD-ADF2-3A19674BDF03}"/>
            </c:ext>
          </c:extLst>
        </c:ser>
        <c:dLbls>
          <c:showLegendKey val="0"/>
          <c:showVal val="0"/>
          <c:showCatName val="0"/>
          <c:showSerName val="0"/>
          <c:showPercent val="0"/>
          <c:showBubbleSize val="0"/>
        </c:dLbls>
        <c:gapWidth val="75"/>
        <c:overlap val="-25"/>
        <c:axId val="202392496"/>
        <c:axId val="202392112"/>
      </c:barChart>
      <c:lineChart>
        <c:grouping val="standard"/>
        <c:varyColors val="0"/>
        <c:ser>
          <c:idx val="3"/>
          <c:order val="2"/>
          <c:tx>
            <c:strRef>
              <c:f>'Loans Port Progression'!$D$12</c:f>
              <c:strCache>
                <c:ptCount val="1"/>
                <c:pt idx="0">
                  <c:v>PAR1</c:v>
                </c:pt>
              </c:strCache>
            </c:strRef>
          </c:tx>
          <c:marker>
            <c:symbol val="none"/>
          </c:marker>
          <c:val>
            <c:numRef>
              <c:f>'Loans Port Progression'!$D$13:$D$41</c:f>
              <c:numCache>
                <c:formatCode>0.00%</c:formatCode>
                <c:ptCount val="26"/>
                <c:pt idx="1">
                  <c:v>0.36730000000000002</c:v>
                </c:pt>
                <c:pt idx="2">
                  <c:v>0.36730000000000002</c:v>
                </c:pt>
                <c:pt idx="3">
                  <c:v>0.44429999999999997</c:v>
                </c:pt>
                <c:pt idx="4">
                  <c:v>0.4299</c:v>
                </c:pt>
                <c:pt idx="5">
                  <c:v>0.43330000000000002</c:v>
                </c:pt>
                <c:pt idx="6">
                  <c:v>0.41980000000000001</c:v>
                </c:pt>
                <c:pt idx="7">
                  <c:v>0.41980000000000001</c:v>
                </c:pt>
                <c:pt idx="8">
                  <c:v>0.41980000000000001</c:v>
                </c:pt>
                <c:pt idx="9">
                  <c:v>0.42720000000000002</c:v>
                </c:pt>
                <c:pt idx="10">
                  <c:v>0.42720000000000002</c:v>
                </c:pt>
                <c:pt idx="11">
                  <c:v>0.41620000000000001</c:v>
                </c:pt>
                <c:pt idx="12">
                  <c:v>0.43309999999999998</c:v>
                </c:pt>
                <c:pt idx="13">
                  <c:v>0.43120000000000003</c:v>
                </c:pt>
                <c:pt idx="14">
                  <c:v>0.42109999999999997</c:v>
                </c:pt>
                <c:pt idx="15">
                  <c:v>0.44429999999999997</c:v>
                </c:pt>
                <c:pt idx="16">
                  <c:v>0.45660000000000001</c:v>
                </c:pt>
                <c:pt idx="17">
                  <c:v>0.45119999999999999</c:v>
                </c:pt>
                <c:pt idx="18">
                  <c:v>0.44669999999999999</c:v>
                </c:pt>
                <c:pt idx="19">
                  <c:v>0.44519999999999998</c:v>
                </c:pt>
              </c:numCache>
            </c:numRef>
          </c:val>
          <c:smooth val="0"/>
          <c:extLst>
            <c:ext xmlns:c16="http://schemas.microsoft.com/office/drawing/2014/chart" uri="{C3380CC4-5D6E-409C-BE32-E72D297353CC}">
              <c16:uniqueId val="{00000002-0265-47CD-ADF2-3A19674BDF03}"/>
            </c:ext>
          </c:extLst>
        </c:ser>
        <c:ser>
          <c:idx val="2"/>
          <c:order val="3"/>
          <c:tx>
            <c:strRef>
              <c:f>'Loans Port Progression'!$E$12</c:f>
              <c:strCache>
                <c:ptCount val="1"/>
                <c:pt idx="0">
                  <c:v> PAR30 </c:v>
                </c:pt>
              </c:strCache>
            </c:strRef>
          </c:tx>
          <c:spPr>
            <a:ln>
              <a:solidFill>
                <a:srgbClr val="FFFF00"/>
              </a:solidFill>
            </a:ln>
          </c:spPr>
          <c:marker>
            <c:symbol val="none"/>
          </c:marker>
          <c:cat>
            <c:numRef>
              <c:f>'Loans Port Progression'!$A$13:$A$41</c:f>
              <c:numCache>
                <c:formatCode>d</c:formatCode>
                <c:ptCount val="26"/>
                <c:pt idx="1">
                  <c:v>2</c:v>
                </c:pt>
                <c:pt idx="2">
                  <c:v>3</c:v>
                </c:pt>
                <c:pt idx="3">
                  <c:v>4</c:v>
                </c:pt>
                <c:pt idx="4">
                  <c:v>6</c:v>
                </c:pt>
                <c:pt idx="5">
                  <c:v>7</c:v>
                </c:pt>
                <c:pt idx="6">
                  <c:v>8</c:v>
                </c:pt>
                <c:pt idx="7">
                  <c:v>9</c:v>
                </c:pt>
                <c:pt idx="8">
                  <c:v>10</c:v>
                </c:pt>
                <c:pt idx="9">
                  <c:v>11</c:v>
                </c:pt>
                <c:pt idx="10">
                  <c:v>13</c:v>
                </c:pt>
                <c:pt idx="11">
                  <c:v>14</c:v>
                </c:pt>
                <c:pt idx="12">
                  <c:v>15</c:v>
                </c:pt>
                <c:pt idx="13">
                  <c:v>16</c:v>
                </c:pt>
                <c:pt idx="14">
                  <c:v>17</c:v>
                </c:pt>
                <c:pt idx="15">
                  <c:v>18</c:v>
                </c:pt>
                <c:pt idx="16">
                  <c:v>20</c:v>
                </c:pt>
                <c:pt idx="17">
                  <c:v>21</c:v>
                </c:pt>
                <c:pt idx="18">
                  <c:v>22</c:v>
                </c:pt>
                <c:pt idx="19">
                  <c:v>23</c:v>
                </c:pt>
                <c:pt idx="20">
                  <c:v>25</c:v>
                </c:pt>
                <c:pt idx="21">
                  <c:v>27</c:v>
                </c:pt>
                <c:pt idx="22">
                  <c:v>28</c:v>
                </c:pt>
                <c:pt idx="23">
                  <c:v>29</c:v>
                </c:pt>
                <c:pt idx="24">
                  <c:v>30</c:v>
                </c:pt>
                <c:pt idx="25">
                  <c:v>30</c:v>
                </c:pt>
              </c:numCache>
            </c:numRef>
          </c:cat>
          <c:val>
            <c:numRef>
              <c:f>'Loans Port Progression'!$E$13:$E$41</c:f>
              <c:numCache>
                <c:formatCode>0.00%</c:formatCode>
                <c:ptCount val="26"/>
                <c:pt idx="1">
                  <c:v>0.1173</c:v>
                </c:pt>
                <c:pt idx="2">
                  <c:v>0.1173</c:v>
                </c:pt>
                <c:pt idx="3">
                  <c:v>0.1303</c:v>
                </c:pt>
                <c:pt idx="4">
                  <c:v>0.13150000000000001</c:v>
                </c:pt>
                <c:pt idx="5">
                  <c:v>0.1308</c:v>
                </c:pt>
                <c:pt idx="6">
                  <c:v>0.12709999999999999</c:v>
                </c:pt>
                <c:pt idx="7">
                  <c:v>0.12709999999999999</c:v>
                </c:pt>
                <c:pt idx="8">
                  <c:v>0.12709999999999999</c:v>
                </c:pt>
                <c:pt idx="9">
                  <c:v>0.14199999999999999</c:v>
                </c:pt>
                <c:pt idx="10">
                  <c:v>0.14199999999999999</c:v>
                </c:pt>
                <c:pt idx="11">
                  <c:v>0.1421</c:v>
                </c:pt>
                <c:pt idx="12">
                  <c:v>0.1532</c:v>
                </c:pt>
                <c:pt idx="13">
                  <c:v>0.14990000000000001</c:v>
                </c:pt>
                <c:pt idx="14">
                  <c:v>0.15229999999999999</c:v>
                </c:pt>
                <c:pt idx="15">
                  <c:v>0.1598</c:v>
                </c:pt>
                <c:pt idx="16">
                  <c:v>0.16350000000000001</c:v>
                </c:pt>
                <c:pt idx="17">
                  <c:v>0.15640000000000001</c:v>
                </c:pt>
                <c:pt idx="18">
                  <c:v>0.15640000000000001</c:v>
                </c:pt>
                <c:pt idx="19">
                  <c:v>0.14580000000000001</c:v>
                </c:pt>
              </c:numCache>
            </c:numRef>
          </c:val>
          <c:smooth val="0"/>
          <c:extLst>
            <c:ext xmlns:c16="http://schemas.microsoft.com/office/drawing/2014/chart" uri="{C3380CC4-5D6E-409C-BE32-E72D297353CC}">
              <c16:uniqueId val="{00000003-0265-47CD-ADF2-3A19674BDF03}"/>
            </c:ext>
          </c:extLst>
        </c:ser>
        <c:ser>
          <c:idx val="5"/>
          <c:order val="4"/>
          <c:tx>
            <c:strRef>
              <c:f>'Loans Port Progression'!$F$12</c:f>
              <c:strCache>
                <c:ptCount val="1"/>
                <c:pt idx="0">
                  <c:v> PAR90 </c:v>
                </c:pt>
              </c:strCache>
            </c:strRef>
          </c:tx>
          <c:spPr>
            <a:ln>
              <a:solidFill>
                <a:srgbClr val="FF0000"/>
              </a:solidFill>
            </a:ln>
          </c:spPr>
          <c:marker>
            <c:symbol val="none"/>
          </c:marker>
          <c:val>
            <c:numRef>
              <c:f>'Loans Port Progression'!$F$13:$F$41</c:f>
              <c:numCache>
                <c:formatCode>0.00%</c:formatCode>
                <c:ptCount val="26"/>
                <c:pt idx="1">
                  <c:v>3.5799999999999998E-2</c:v>
                </c:pt>
                <c:pt idx="2">
                  <c:v>3.5799999999999998E-2</c:v>
                </c:pt>
                <c:pt idx="3">
                  <c:v>3.6600000000000001E-2</c:v>
                </c:pt>
                <c:pt idx="4">
                  <c:v>3.6700000000000003E-2</c:v>
                </c:pt>
                <c:pt idx="5">
                  <c:v>3.6799999999999999E-2</c:v>
                </c:pt>
                <c:pt idx="6">
                  <c:v>3.6700000000000003E-2</c:v>
                </c:pt>
                <c:pt idx="7">
                  <c:v>3.6700000000000003E-2</c:v>
                </c:pt>
                <c:pt idx="8">
                  <c:v>3.6700000000000003E-2</c:v>
                </c:pt>
                <c:pt idx="9">
                  <c:v>4.2000000000000003E-2</c:v>
                </c:pt>
                <c:pt idx="10">
                  <c:v>4.2000000000000003E-2</c:v>
                </c:pt>
                <c:pt idx="11">
                  <c:v>4.2099999999999999E-2</c:v>
                </c:pt>
                <c:pt idx="12">
                  <c:v>4.53E-2</c:v>
                </c:pt>
                <c:pt idx="13">
                  <c:v>4.6300000000000001E-2</c:v>
                </c:pt>
                <c:pt idx="14">
                  <c:v>4.3099999999999999E-2</c:v>
                </c:pt>
                <c:pt idx="15">
                  <c:v>4.6600000000000003E-2</c:v>
                </c:pt>
                <c:pt idx="16">
                  <c:v>4.7899999999999998E-2</c:v>
                </c:pt>
                <c:pt idx="17">
                  <c:v>4.82E-2</c:v>
                </c:pt>
                <c:pt idx="18">
                  <c:v>4.8500000000000001E-2</c:v>
                </c:pt>
                <c:pt idx="19">
                  <c:v>4.9099999999999998E-2</c:v>
                </c:pt>
              </c:numCache>
            </c:numRef>
          </c:val>
          <c:smooth val="0"/>
          <c:extLst>
            <c:ext xmlns:c16="http://schemas.microsoft.com/office/drawing/2014/chart" uri="{C3380CC4-5D6E-409C-BE32-E72D297353CC}">
              <c16:uniqueId val="{00000000-D483-4B07-881D-5318ACCF65FA}"/>
            </c:ext>
          </c:extLst>
        </c:ser>
        <c:dLbls>
          <c:showLegendKey val="0"/>
          <c:showVal val="0"/>
          <c:showCatName val="0"/>
          <c:showSerName val="0"/>
          <c:showPercent val="0"/>
          <c:showBubbleSize val="0"/>
        </c:dLbls>
        <c:marker val="1"/>
        <c:smooth val="0"/>
        <c:axId val="202387248"/>
        <c:axId val="202387632"/>
        <c:extLst>
          <c:ext xmlns:c15="http://schemas.microsoft.com/office/drawing/2012/chart" uri="{02D57815-91ED-43cb-92C2-25804820EDAC}">
            <c15:filteredLineSeries>
              <c15:ser>
                <c:idx val="4"/>
                <c:order val="5"/>
                <c:tx>
                  <c:strRef>
                    <c:extLst>
                      <c:ext uri="{02D57815-91ED-43cb-92C2-25804820EDAC}">
                        <c15:formulaRef>
                          <c15:sqref>'Loans Port Progression'!$F$12</c15:sqref>
                        </c15:formulaRef>
                      </c:ext>
                    </c:extLst>
                    <c:strCache>
                      <c:ptCount val="1"/>
                      <c:pt idx="0">
                        <c:v> PAR90 </c:v>
                      </c:pt>
                    </c:strCache>
                  </c:strRef>
                </c:tx>
                <c:marker>
                  <c:symbol val="none"/>
                </c:marker>
                <c:val>
                  <c:numRef>
                    <c:extLst>
                      <c:ext uri="{02D57815-91ED-43cb-92C2-25804820EDAC}">
                        <c15:formulaRef>
                          <c15:sqref>'Loans Port Progression'!$F$12</c15:sqref>
                        </c15:formulaRef>
                      </c:ext>
                    </c:extLst>
                    <c:numCache>
                      <c:formatCode>_ * #,##0.00_)\ _$_ ;_ * \(#,##0.00\)\ _$_ ;_ * "-"??_)\ _$_ ;_ @_ </c:formatCode>
                      <c:ptCount val="1"/>
                      <c:pt idx="0">
                        <c:v>0</c:v>
                      </c:pt>
                    </c:numCache>
                  </c:numRef>
                </c:val>
                <c:smooth val="0"/>
                <c:extLst>
                  <c:ext xmlns:c16="http://schemas.microsoft.com/office/drawing/2014/chart" uri="{C3380CC4-5D6E-409C-BE32-E72D297353CC}">
                    <c16:uniqueId val="{00000001-D483-4B07-881D-5318ACCF65FA}"/>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'Loans Port Progression'!$F$12</c15:sqref>
                        </c15:formulaRef>
                      </c:ext>
                    </c:extLst>
                    <c:strCache>
                      <c:ptCount val="1"/>
                      <c:pt idx="0">
                        <c:v> PAR90 </c:v>
                      </c:pt>
                    </c:strCache>
                  </c:strRef>
                </c:tx>
                <c:marker>
                  <c:symbol val="none"/>
                </c:marker>
                <c:val>
                  <c:numRef>
                    <c:extLst xmlns:c15="http://schemas.microsoft.com/office/drawing/2012/chart">
                      <c:ext xmlns:c15="http://schemas.microsoft.com/office/drawing/2012/chart" uri="{02D57815-91ED-43cb-92C2-25804820EDAC}">
                        <c15:formulaRef>
                          <c15:sqref>'Loans Port Progression'!$F$14:$F$39</c15:sqref>
                        </c15:formulaRef>
                      </c:ext>
                    </c:extLst>
                    <c:numCache>
                      <c:formatCode>0.00%</c:formatCode>
                      <c:ptCount val="23"/>
                      <c:pt idx="0">
                        <c:v>3.5799999999999998E-2</c:v>
                      </c:pt>
                      <c:pt idx="1">
                        <c:v>3.5799999999999998E-2</c:v>
                      </c:pt>
                      <c:pt idx="2">
                        <c:v>3.6600000000000001E-2</c:v>
                      </c:pt>
                      <c:pt idx="3">
                        <c:v>3.6700000000000003E-2</c:v>
                      </c:pt>
                      <c:pt idx="4">
                        <c:v>3.6799999999999999E-2</c:v>
                      </c:pt>
                      <c:pt idx="5">
                        <c:v>3.6700000000000003E-2</c:v>
                      </c:pt>
                      <c:pt idx="6">
                        <c:v>3.6700000000000003E-2</c:v>
                      </c:pt>
                      <c:pt idx="7">
                        <c:v>3.6700000000000003E-2</c:v>
                      </c:pt>
                      <c:pt idx="8">
                        <c:v>4.2000000000000003E-2</c:v>
                      </c:pt>
                      <c:pt idx="9">
                        <c:v>4.2000000000000003E-2</c:v>
                      </c:pt>
                      <c:pt idx="10">
                        <c:v>4.2099999999999999E-2</c:v>
                      </c:pt>
                      <c:pt idx="11">
                        <c:v>4.53E-2</c:v>
                      </c:pt>
                      <c:pt idx="12">
                        <c:v>4.6300000000000001E-2</c:v>
                      </c:pt>
                      <c:pt idx="13">
                        <c:v>4.3099999999999999E-2</c:v>
                      </c:pt>
                      <c:pt idx="14">
                        <c:v>4.6600000000000003E-2</c:v>
                      </c:pt>
                      <c:pt idx="15">
                        <c:v>4.7899999999999998E-2</c:v>
                      </c:pt>
                      <c:pt idx="16">
                        <c:v>4.82E-2</c:v>
                      </c:pt>
                      <c:pt idx="17">
                        <c:v>4.8500000000000001E-2</c:v>
                      </c:pt>
                      <c:pt idx="18">
                        <c:v>4.9099999999999998E-2</c:v>
                      </c:pt>
                    </c:numCache>
                  </c:numRef>
                </c:val>
                <c:smooth val="0"/>
                <c:extLst xmlns:c15="http://schemas.microsoft.com/office/drawing/2012/chart">
                  <c:ext xmlns:c16="http://schemas.microsoft.com/office/drawing/2014/chart" uri="{C3380CC4-5D6E-409C-BE32-E72D297353CC}">
                    <c16:uniqueId val="{00000002-D483-4B07-881D-5318ACCF65FA}"/>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'Loans Port Progression'!$F$12</c15:sqref>
                        </c15:formulaRef>
                      </c:ext>
                    </c:extLst>
                    <c:strCache>
                      <c:ptCount val="1"/>
                      <c:pt idx="0">
                        <c:v> PAR90 </c:v>
                      </c:pt>
                    </c:strCache>
                  </c:strRef>
                </c:tx>
                <c:marker>
                  <c:symbol val="none"/>
                </c:marker>
                <c:val>
                  <c:numRef>
                    <c:extLst xmlns:c15="http://schemas.microsoft.com/office/drawing/2012/chart">
                      <c:ext xmlns:c15="http://schemas.microsoft.com/office/drawing/2012/chart" uri="{02D57815-91ED-43cb-92C2-25804820EDAC}">
                        <c15:formulaRef>
                          <c15:sqref>'Loans Port Progression'!$F$14:$F$39</c15:sqref>
                        </c15:formulaRef>
                      </c:ext>
                    </c:extLst>
                    <c:numCache>
                      <c:formatCode>0.00%</c:formatCode>
                      <c:ptCount val="23"/>
                      <c:pt idx="0">
                        <c:v>3.5799999999999998E-2</c:v>
                      </c:pt>
                      <c:pt idx="1">
                        <c:v>3.5799999999999998E-2</c:v>
                      </c:pt>
                      <c:pt idx="2">
                        <c:v>3.6600000000000001E-2</c:v>
                      </c:pt>
                      <c:pt idx="3">
                        <c:v>3.6700000000000003E-2</c:v>
                      </c:pt>
                      <c:pt idx="4">
                        <c:v>3.6799999999999999E-2</c:v>
                      </c:pt>
                      <c:pt idx="5">
                        <c:v>3.6700000000000003E-2</c:v>
                      </c:pt>
                      <c:pt idx="6">
                        <c:v>3.6700000000000003E-2</c:v>
                      </c:pt>
                      <c:pt idx="7">
                        <c:v>3.6700000000000003E-2</c:v>
                      </c:pt>
                      <c:pt idx="8">
                        <c:v>4.2000000000000003E-2</c:v>
                      </c:pt>
                      <c:pt idx="9">
                        <c:v>4.2000000000000003E-2</c:v>
                      </c:pt>
                      <c:pt idx="10">
                        <c:v>4.2099999999999999E-2</c:v>
                      </c:pt>
                      <c:pt idx="11">
                        <c:v>4.53E-2</c:v>
                      </c:pt>
                      <c:pt idx="12">
                        <c:v>4.6300000000000001E-2</c:v>
                      </c:pt>
                      <c:pt idx="13">
                        <c:v>4.3099999999999999E-2</c:v>
                      </c:pt>
                      <c:pt idx="14">
                        <c:v>4.6600000000000003E-2</c:v>
                      </c:pt>
                      <c:pt idx="15">
                        <c:v>4.7899999999999998E-2</c:v>
                      </c:pt>
                      <c:pt idx="16">
                        <c:v>4.82E-2</c:v>
                      </c:pt>
                      <c:pt idx="17">
                        <c:v>4.8500000000000001E-2</c:v>
                      </c:pt>
                      <c:pt idx="18">
                        <c:v>4.9099999999999998E-2</c:v>
                      </c:pt>
                    </c:numCache>
                  </c:numRef>
                </c:val>
                <c:smooth val="0"/>
                <c:extLst xmlns:c15="http://schemas.microsoft.com/office/drawing/2012/chart">
                  <c:ext xmlns:c16="http://schemas.microsoft.com/office/drawing/2014/chart" uri="{C3380CC4-5D6E-409C-BE32-E72D297353CC}">
                    <c16:uniqueId val="{00000003-D483-4B07-881D-5318ACCF65FA}"/>
                  </c:ext>
                </c:extLst>
              </c15:ser>
            </c15:filteredLineSeries>
          </c:ext>
        </c:extLst>
      </c:lineChart>
      <c:catAx>
        <c:axId val="202387248"/>
        <c:scaling>
          <c:orientation val="minMax"/>
        </c:scaling>
        <c:delete val="0"/>
        <c:axPos val="b"/>
        <c:numFmt formatCode="d" sourceLinked="1"/>
        <c:majorTickMark val="none"/>
        <c:minorTickMark val="none"/>
        <c:tickLblPos val="nextTo"/>
        <c:crossAx val="202387632"/>
        <c:crossesAt val="0"/>
        <c:auto val="1"/>
        <c:lblAlgn val="ctr"/>
        <c:lblOffset val="100"/>
        <c:noMultiLvlLbl val="0"/>
      </c:catAx>
      <c:valAx>
        <c:axId val="202387632"/>
        <c:scaling>
          <c:orientation val="minMax"/>
        </c:scaling>
        <c:delete val="0"/>
        <c:axPos val="l"/>
        <c:majorGridlines/>
        <c:numFmt formatCode="0.00%" sourceLinked="1"/>
        <c:majorTickMark val="none"/>
        <c:minorTickMark val="none"/>
        <c:tickLblPos val="nextTo"/>
        <c:spPr>
          <a:ln w="9525">
            <a:noFill/>
          </a:ln>
        </c:spPr>
        <c:crossAx val="202387248"/>
        <c:crosses val="autoZero"/>
        <c:crossBetween val="between"/>
      </c:valAx>
      <c:valAx>
        <c:axId val="202392112"/>
        <c:scaling>
          <c:orientation val="minMax"/>
        </c:scaling>
        <c:delete val="0"/>
        <c:axPos val="r"/>
        <c:numFmt formatCode="#,##0_ ;\-#,##0\ " sourceLinked="1"/>
        <c:majorTickMark val="out"/>
        <c:minorTickMark val="none"/>
        <c:tickLblPos val="nextTo"/>
        <c:crossAx val="202392496"/>
        <c:crosses val="max"/>
        <c:crossBetween val="between"/>
        <c:dispUnits>
          <c:builtInUnit val="millions"/>
          <c:dispUnitsLbl/>
        </c:dispUnits>
      </c:valAx>
      <c:catAx>
        <c:axId val="202392496"/>
        <c:scaling>
          <c:orientation val="minMax"/>
        </c:scaling>
        <c:delete val="1"/>
        <c:axPos val="b"/>
        <c:numFmt formatCode="General" sourceLinked="1"/>
        <c:majorTickMark val="out"/>
        <c:minorTickMark val="none"/>
        <c:tickLblPos val="none"/>
        <c:crossAx val="202392112"/>
        <c:crosses val="autoZero"/>
        <c:auto val="1"/>
        <c:lblAlgn val="ctr"/>
        <c:lblOffset val="100"/>
        <c:noMultiLvlLbl val="0"/>
      </c:catAx>
    </c:plotArea>
    <c:legend>
      <c:legendPos val="b"/>
      <c:layout>
        <c:manualLayout>
          <c:xMode val="edge"/>
          <c:yMode val="edge"/>
          <c:x val="0.20601110558583002"/>
          <c:y val="0.95805944031040524"/>
          <c:w val="0.55654908266662195"/>
          <c:h val="4.1940559689594606E-2"/>
        </c:manualLayout>
      </c:layout>
      <c:overlay val="0"/>
    </c:legend>
    <c:plotVisOnly val="1"/>
    <c:dispBlanksAs val="gap"/>
    <c:showDLblsOverMax val="0"/>
  </c:chart>
  <c:spPr>
    <a:ln>
      <a:solidFill>
        <a:srgbClr val="FF0000">
          <a:alpha val="41000"/>
        </a:srgbClr>
      </a:solidFill>
    </a:ln>
  </c:spPr>
  <c:printSettings>
    <c:headerFooter/>
    <c:pageMargins b="0.75000000000000466" l="0.70000000000000062" r="0.70000000000000062" t="0.75000000000000466" header="0.30000000000000032" footer="0.30000000000000032"/>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3</xdr:col>
          <xdr:colOff>76200</xdr:colOff>
          <xdr:row>3</xdr:row>
          <xdr:rowOff>38100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Get loans information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468261</xdr:colOff>
      <xdr:row>1</xdr:row>
      <xdr:rowOff>151478</xdr:rowOff>
    </xdr:from>
    <xdr:to>
      <xdr:col>2</xdr:col>
      <xdr:colOff>219203</xdr:colOff>
      <xdr:row>9</xdr:row>
      <xdr:rowOff>28780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9744"/>
        <a:stretch>
          <a:fillRect/>
        </a:stretch>
      </xdr:blipFill>
      <xdr:spPr bwMode="auto">
        <a:xfrm>
          <a:off x="468261" y="315349"/>
          <a:ext cx="2178281" cy="12804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24355</xdr:colOff>
      <xdr:row>10</xdr:row>
      <xdr:rowOff>19048</xdr:rowOff>
    </xdr:from>
    <xdr:to>
      <xdr:col>19</xdr:col>
      <xdr:colOff>57151</xdr:colOff>
      <xdr:row>164</xdr:row>
      <xdr:rowOff>161924</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30480</xdr:colOff>
          <xdr:row>3</xdr:row>
          <xdr:rowOff>106680</xdr:rowOff>
        </xdr:from>
        <xdr:to>
          <xdr:col>2</xdr:col>
          <xdr:colOff>1036320</xdr:colOff>
          <xdr:row>6</xdr:row>
          <xdr:rowOff>60960</xdr:rowOff>
        </xdr:to>
        <xdr:sp macro="" textlink="">
          <xdr:nvSpPr>
            <xdr:cNvPr id="7174" name="Branches_MLP"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Only</a:t>
              </a:r>
            </a:p>
            <a:p>
              <a:pPr algn="ctr" rtl="0">
                <a:defRPr sz="1000"/>
              </a:pPr>
              <a:r>
                <a:rPr lang="en-US" sz="1000" b="0" i="0" u="none" strike="noStrike" baseline="0">
                  <a:solidFill>
                    <a:srgbClr val="000000"/>
                  </a:solidFill>
                  <a:latin typeface="Arial"/>
                  <a:cs typeface="Arial"/>
                </a:rPr>
                <a:t>Branches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1165860</xdr:colOff>
          <xdr:row>3</xdr:row>
          <xdr:rowOff>114300</xdr:rowOff>
        </xdr:from>
        <xdr:to>
          <xdr:col>3</xdr:col>
          <xdr:colOff>746760</xdr:colOff>
          <xdr:row>6</xdr:row>
          <xdr:rowOff>68580</xdr:rowOff>
        </xdr:to>
        <xdr:sp macro="" textlink="">
          <xdr:nvSpPr>
            <xdr:cNvPr id="7175" name="Branches&amp;BLCs"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Branches &amp; BLCs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3</xdr:row>
          <xdr:rowOff>114300</xdr:rowOff>
        </xdr:from>
        <xdr:to>
          <xdr:col>4</xdr:col>
          <xdr:colOff>990600</xdr:colOff>
          <xdr:row>6</xdr:row>
          <xdr:rowOff>68580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 Branches &amp; BLC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90769</xdr:colOff>
      <xdr:row>83</xdr:row>
      <xdr:rowOff>0</xdr:rowOff>
    </xdr:from>
    <xdr:to>
      <xdr:col>18</xdr:col>
      <xdr:colOff>566458</xdr:colOff>
      <xdr:row>164</xdr:row>
      <xdr:rowOff>26895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57150</xdr:colOff>
      <xdr:row>0</xdr:row>
      <xdr:rowOff>47625</xdr:rowOff>
    </xdr:from>
    <xdr:ext cx="2200173" cy="1270007"/>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9744"/>
        <a:stretch>
          <a:fillRect/>
        </a:stretch>
      </xdr:blipFill>
      <xdr:spPr bwMode="auto">
        <a:xfrm>
          <a:off x="57150" y="47625"/>
          <a:ext cx="2200173" cy="12700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xdr:col>
          <xdr:colOff>7620</xdr:colOff>
          <xdr:row>3</xdr:row>
          <xdr:rowOff>22860</xdr:rowOff>
        </xdr:from>
        <xdr:to>
          <xdr:col>2</xdr:col>
          <xdr:colOff>1021080</xdr:colOff>
          <xdr:row>5</xdr:row>
          <xdr:rowOff>152400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Branches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1127760</xdr:colOff>
          <xdr:row>3</xdr:row>
          <xdr:rowOff>7620</xdr:rowOff>
        </xdr:from>
        <xdr:to>
          <xdr:col>3</xdr:col>
          <xdr:colOff>861060</xdr:colOff>
          <xdr:row>5</xdr:row>
          <xdr:rowOff>144780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Branches &amp; BLCs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982980</xdr:colOff>
          <xdr:row>3</xdr:row>
          <xdr:rowOff>7620</xdr:rowOff>
        </xdr:from>
        <xdr:to>
          <xdr:col>4</xdr:col>
          <xdr:colOff>762000</xdr:colOff>
          <xdr:row>5</xdr:row>
          <xdr:rowOff>137160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 Branches &amp; BLC</a:t>
              </a:r>
            </a:p>
          </xdr:txBody>
        </xdr:sp>
        <xdr:clientData fPrintsWithSheet="0"/>
      </xdr:twoCellAnchor>
    </mc:Choice>
    <mc:Fallback/>
  </mc:AlternateContent>
  <xdr:twoCellAnchor>
    <xdr:from>
      <xdr:col>12</xdr:col>
      <xdr:colOff>97651</xdr:colOff>
      <xdr:row>9</xdr:row>
      <xdr:rowOff>16810</xdr:rowOff>
    </xdr:from>
    <xdr:to>
      <xdr:col>18</xdr:col>
      <xdr:colOff>526677</xdr:colOff>
      <xdr:row>82</xdr:row>
      <xdr:rowOff>98453</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519546</xdr:colOff>
      <xdr:row>10</xdr:row>
      <xdr:rowOff>152730</xdr:rowOff>
    </xdr:from>
    <xdr:to>
      <xdr:col>20</xdr:col>
      <xdr:colOff>346364</xdr:colOff>
      <xdr:row>44</xdr:row>
      <xdr:rowOff>136071</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19050</xdr:colOff>
      <xdr:row>0</xdr:row>
      <xdr:rowOff>69850</xdr:rowOff>
    </xdr:from>
    <xdr:to>
      <xdr:col>2</xdr:col>
      <xdr:colOff>96077</xdr:colOff>
      <xdr:row>8</xdr:row>
      <xdr:rowOff>16903</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9744"/>
        <a:stretch>
          <a:fillRect/>
        </a:stretch>
      </xdr:blipFill>
      <xdr:spPr bwMode="auto">
        <a:xfrm>
          <a:off x="2432050" y="69850"/>
          <a:ext cx="2256643" cy="13186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480060</xdr:colOff>
          <xdr:row>5</xdr:row>
          <xdr:rowOff>22860</xdr:rowOff>
        </xdr:from>
        <xdr:to>
          <xdr:col>5</xdr:col>
          <xdr:colOff>975360</xdr:colOff>
          <xdr:row>6</xdr:row>
          <xdr:rowOff>99060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C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Format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TAENTRYCREDIT/Desktop/DEL%20and%20DASH/09/Today%20Work%20Load/20160831_UG_Credit%20Daily%20Dashboard_T2%200%20WITH%20REPEAT%20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RV-BRA-01\FolderRedirections\Users\DATAENTRY-CREDIT\AppData\Local\Microsoft\Windows\Temporary%20Internet%20Files\Content.Outlook\JMCMHC23\tests\20150509_UG_Credit%20Daily%20Dashboard_T1%203_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RV-BRA-01\FolderRedirections\2014\07%20July\20140324_UG_Daily_Dashboard_3%20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RV-BRA-01\FolderRedirections\2014\07%20July\20140325_UG_Daily_Dashboard_3%20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X:\Users\INTERN1\Dropbox\Dropbox\Stage_DID\Work-Stage\Frederic%20Requests\20160210_UG_Credit%20Daily%20Dashboard_T2%2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Disbursement"/>
      <sheetName val="General Porfolio"/>
      <sheetName val="Loans Port Progression"/>
      <sheetName val="Data"/>
      <sheetName val="Global Portfolio"/>
      <sheetName val="Delinquency"/>
      <sheetName val="Analysis (EOM)"/>
      <sheetName val="Data-graph"/>
      <sheetName val="DelinquencyPerSector"/>
      <sheetName val="DelinquencyPerSector_Dashboard"/>
      <sheetName val="Sheet1"/>
      <sheetName val="Delinquency With Sectors"/>
      <sheetName val="Credit Officer Per Branch"/>
      <sheetName val="Sheet2"/>
      <sheetName val="Gender Sheet"/>
      <sheetName val="PIVOT TABLE GLOBAL"/>
      <sheetName val="Delinquency With Sector EOM"/>
    </sheetNames>
    <sheetDataSet>
      <sheetData sheetId="0">
        <row r="12">
          <cell r="B12" t="str">
            <v>01-08-2016</v>
          </cell>
        </row>
        <row r="15">
          <cell r="B15" t="str">
            <v>31-08-2016</v>
          </cell>
        </row>
      </sheetData>
      <sheetData sheetId="1"/>
      <sheetData sheetId="2"/>
      <sheetData sheetId="3"/>
      <sheetData sheetId="4"/>
      <sheetData sheetId="5">
        <row r="2">
          <cell r="N2" t="str">
            <v>Others</v>
          </cell>
        </row>
        <row r="3">
          <cell r="N3" t="str">
            <v>Others</v>
          </cell>
        </row>
        <row r="4">
          <cell r="N4" t="str">
            <v>Others</v>
          </cell>
        </row>
        <row r="5">
          <cell r="N5" t="str">
            <v>Others</v>
          </cell>
        </row>
        <row r="6">
          <cell r="N6" t="str">
            <v>Others</v>
          </cell>
        </row>
        <row r="7">
          <cell r="N7" t="str">
            <v>Timber Tract Operations</v>
          </cell>
        </row>
        <row r="8">
          <cell r="N8" t="str">
            <v>Other General Purpose Machinery</v>
          </cell>
        </row>
        <row r="9">
          <cell r="N9" t="str">
            <v>Others</v>
          </cell>
        </row>
        <row r="10">
          <cell r="N10" t="str">
            <v>Others</v>
          </cell>
        </row>
        <row r="11">
          <cell r="N11" t="str">
            <v>Timber Tract Operations</v>
          </cell>
        </row>
        <row r="12">
          <cell r="N12" t="str">
            <v>Residential Construction</v>
          </cell>
        </row>
        <row r="13">
          <cell r="N13" t="str">
            <v>Others</v>
          </cell>
        </row>
        <row r="14">
          <cell r="N14" t="str">
            <v>Microfinance Institutions</v>
          </cell>
        </row>
        <row r="15">
          <cell r="N15" t="str">
            <v>Others</v>
          </cell>
        </row>
        <row r="16">
          <cell r="N16" t="str">
            <v>Others</v>
          </cell>
        </row>
        <row r="17">
          <cell r="N17" t="str">
            <v>Others</v>
          </cell>
        </row>
        <row r="18">
          <cell r="N18" t="str">
            <v>Others</v>
          </cell>
        </row>
        <row r="19">
          <cell r="N19" t="str">
            <v>Others</v>
          </cell>
        </row>
        <row r="20">
          <cell r="N20" t="str">
            <v>Others</v>
          </cell>
        </row>
        <row r="21">
          <cell r="N21" t="str">
            <v>Others</v>
          </cell>
        </row>
        <row r="22">
          <cell r="N22" t="str">
            <v>Poultry &amp; Egg Production</v>
          </cell>
        </row>
        <row r="23">
          <cell r="N23" t="str">
            <v>Others</v>
          </cell>
        </row>
        <row r="24">
          <cell r="N24" t="str">
            <v>Others</v>
          </cell>
        </row>
        <row r="25">
          <cell r="N25" t="str">
            <v>General Insurance</v>
          </cell>
        </row>
        <row r="26">
          <cell r="N26" t="str">
            <v>Clothing Stores</v>
          </cell>
        </row>
        <row r="27">
          <cell r="N27" t="str">
            <v>Others</v>
          </cell>
        </row>
        <row r="28">
          <cell r="N28" t="str">
            <v>Others</v>
          </cell>
        </row>
        <row r="29">
          <cell r="N29" t="str">
            <v>Others</v>
          </cell>
        </row>
        <row r="30">
          <cell r="N30" t="str">
            <v>Others</v>
          </cell>
        </row>
        <row r="31">
          <cell r="N31" t="str">
            <v>Others</v>
          </cell>
        </row>
        <row r="32">
          <cell r="N32" t="str">
            <v>Others</v>
          </cell>
        </row>
        <row r="33">
          <cell r="N33" t="str">
            <v>Others</v>
          </cell>
        </row>
        <row r="34">
          <cell r="N34" t="str">
            <v>Others</v>
          </cell>
        </row>
        <row r="35">
          <cell r="N35" t="str">
            <v>Others</v>
          </cell>
        </row>
        <row r="36">
          <cell r="N36" t="str">
            <v>Others</v>
          </cell>
        </row>
        <row r="37">
          <cell r="N37" t="str">
            <v>Grain &amp; Oilseed Milling</v>
          </cell>
        </row>
        <row r="38">
          <cell r="N38" t="str">
            <v>Others</v>
          </cell>
        </row>
        <row r="39">
          <cell r="N39" t="str">
            <v>Others</v>
          </cell>
        </row>
        <row r="40">
          <cell r="N40" t="str">
            <v>Others</v>
          </cell>
        </row>
        <row r="41">
          <cell r="N41" t="str">
            <v>General Stores</v>
          </cell>
        </row>
        <row r="42">
          <cell r="N42" t="str">
            <v>Others</v>
          </cell>
        </row>
        <row r="43">
          <cell r="N43" t="str">
            <v>Others</v>
          </cell>
        </row>
        <row r="44">
          <cell r="N44" t="str">
            <v>Others</v>
          </cell>
        </row>
        <row r="45">
          <cell r="N45" t="str">
            <v>Others</v>
          </cell>
        </row>
        <row r="46">
          <cell r="N46" t="str">
            <v>Others</v>
          </cell>
        </row>
        <row r="47">
          <cell r="N47" t="str">
            <v>Others</v>
          </cell>
        </row>
        <row r="48">
          <cell r="N48" t="str">
            <v>Beverage Stores</v>
          </cell>
        </row>
        <row r="49">
          <cell r="N49" t="str">
            <v>Others</v>
          </cell>
        </row>
        <row r="50">
          <cell r="N50" t="str">
            <v>Poultry &amp; Egg Production</v>
          </cell>
        </row>
        <row r="51">
          <cell r="N51" t="str">
            <v>Real Estate</v>
          </cell>
        </row>
        <row r="52">
          <cell r="N52" t="str">
            <v>Others</v>
          </cell>
        </row>
        <row r="53">
          <cell r="N53" t="str">
            <v>Others</v>
          </cell>
        </row>
        <row r="54">
          <cell r="N54" t="str">
            <v>Others</v>
          </cell>
        </row>
        <row r="55">
          <cell r="N55" t="str">
            <v>Others</v>
          </cell>
        </row>
        <row r="56">
          <cell r="N56" t="str">
            <v>Others</v>
          </cell>
        </row>
        <row r="57">
          <cell r="N57" t="str">
            <v>Others</v>
          </cell>
        </row>
        <row r="58">
          <cell r="N58" t="str">
            <v>Others</v>
          </cell>
        </row>
        <row r="59">
          <cell r="N59" t="str">
            <v>Others</v>
          </cell>
        </row>
        <row r="60">
          <cell r="N60" t="str">
            <v>Others</v>
          </cell>
        </row>
        <row r="61">
          <cell r="N61" t="str">
            <v>Others</v>
          </cell>
        </row>
        <row r="62">
          <cell r="N62" t="str">
            <v>Others</v>
          </cell>
        </row>
        <row r="63">
          <cell r="N63" t="str">
            <v>Others</v>
          </cell>
        </row>
        <row r="64">
          <cell r="N64" t="str">
            <v>Others</v>
          </cell>
        </row>
        <row r="65">
          <cell r="N65" t="str">
            <v>Others</v>
          </cell>
        </row>
        <row r="66">
          <cell r="N66" t="str">
            <v>Others</v>
          </cell>
        </row>
        <row r="67">
          <cell r="N67" t="str">
            <v>Others</v>
          </cell>
        </row>
        <row r="68">
          <cell r="N68" t="str">
            <v>Others</v>
          </cell>
        </row>
        <row r="69">
          <cell r="N69" t="str">
            <v>Others</v>
          </cell>
        </row>
        <row r="70">
          <cell r="N70" t="str">
            <v>Others</v>
          </cell>
        </row>
        <row r="71">
          <cell r="N71" t="str">
            <v>Others</v>
          </cell>
        </row>
        <row r="72">
          <cell r="N72" t="str">
            <v>Others</v>
          </cell>
        </row>
        <row r="73">
          <cell r="N73" t="str">
            <v>Others</v>
          </cell>
        </row>
        <row r="74">
          <cell r="N74" t="str">
            <v>General Stores</v>
          </cell>
        </row>
        <row r="75">
          <cell r="N75" t="str">
            <v>Hardware Stores</v>
          </cell>
        </row>
        <row r="76">
          <cell r="N76" t="str">
            <v>Others</v>
          </cell>
        </row>
        <row r="77">
          <cell r="N77" t="str">
            <v>Others</v>
          </cell>
        </row>
        <row r="78">
          <cell r="N78" t="str">
            <v>Others</v>
          </cell>
        </row>
        <row r="79">
          <cell r="N79" t="str">
            <v>Others</v>
          </cell>
        </row>
        <row r="80">
          <cell r="N80" t="str">
            <v>Others</v>
          </cell>
        </row>
        <row r="81">
          <cell r="N81" t="str">
            <v>Real Estate</v>
          </cell>
        </row>
        <row r="82">
          <cell r="N82" t="str">
            <v>Grain &amp; Oilseed Milling</v>
          </cell>
        </row>
        <row r="83">
          <cell r="N83" t="str">
            <v>Others</v>
          </cell>
        </row>
        <row r="84">
          <cell r="N84" t="str">
            <v>Others</v>
          </cell>
        </row>
        <row r="85">
          <cell r="N85" t="str">
            <v>Others</v>
          </cell>
        </row>
        <row r="86">
          <cell r="N86" t="str">
            <v>Others</v>
          </cell>
        </row>
        <row r="87">
          <cell r="N87" t="str">
            <v>Others</v>
          </cell>
        </row>
        <row r="88">
          <cell r="N88" t="str">
            <v>Others</v>
          </cell>
        </row>
        <row r="89">
          <cell r="N89" t="str">
            <v>Others</v>
          </cell>
        </row>
        <row r="90">
          <cell r="N90" t="str">
            <v>General Stores</v>
          </cell>
        </row>
        <row r="91">
          <cell r="N91" t="str">
            <v>Others</v>
          </cell>
        </row>
        <row r="92">
          <cell r="N92" t="str">
            <v>Automotive Parts, Accessories, &amp; Tire Stores</v>
          </cell>
        </row>
        <row r="93">
          <cell r="N93" t="str">
            <v>Others</v>
          </cell>
        </row>
        <row r="94">
          <cell r="N94" t="str">
            <v>Others</v>
          </cell>
        </row>
        <row r="95">
          <cell r="N95" t="str">
            <v>Others</v>
          </cell>
        </row>
        <row r="96">
          <cell r="N96" t="str">
            <v>Others</v>
          </cell>
        </row>
        <row r="97">
          <cell r="N97" t="str">
            <v>Others</v>
          </cell>
        </row>
        <row r="98">
          <cell r="N98" t="str">
            <v>Others</v>
          </cell>
        </row>
        <row r="99">
          <cell r="N99" t="str">
            <v>Others</v>
          </cell>
        </row>
        <row r="100">
          <cell r="N100" t="str">
            <v>Others</v>
          </cell>
        </row>
        <row r="101">
          <cell r="N101" t="str">
            <v>Others</v>
          </cell>
        </row>
        <row r="102">
          <cell r="N102" t="str">
            <v>Others</v>
          </cell>
        </row>
        <row r="103">
          <cell r="N103" t="str">
            <v>Others</v>
          </cell>
        </row>
        <row r="104">
          <cell r="N104" t="str">
            <v>Others</v>
          </cell>
        </row>
        <row r="105">
          <cell r="N105" t="str">
            <v>Others</v>
          </cell>
        </row>
        <row r="106">
          <cell r="N106" t="str">
            <v>Real Estate</v>
          </cell>
        </row>
        <row r="107">
          <cell r="N107" t="str">
            <v>Others</v>
          </cell>
        </row>
        <row r="108">
          <cell r="N108" t="str">
            <v>Others</v>
          </cell>
        </row>
        <row r="109">
          <cell r="N109" t="str">
            <v>Others</v>
          </cell>
        </row>
        <row r="110">
          <cell r="N110" t="str">
            <v>Others</v>
          </cell>
        </row>
        <row r="111">
          <cell r="N111" t="str">
            <v>Others</v>
          </cell>
        </row>
        <row r="112">
          <cell r="N112" t="str">
            <v>Others</v>
          </cell>
        </row>
        <row r="113">
          <cell r="N113" t="str">
            <v>Others</v>
          </cell>
        </row>
        <row r="114">
          <cell r="N114" t="str">
            <v>Others</v>
          </cell>
        </row>
        <row r="115">
          <cell r="N115" t="str">
            <v>Others</v>
          </cell>
        </row>
        <row r="116">
          <cell r="N116" t="str">
            <v>Others</v>
          </cell>
        </row>
        <row r="117">
          <cell r="N117" t="str">
            <v>Others</v>
          </cell>
        </row>
        <row r="118">
          <cell r="N118" t="str">
            <v>Others</v>
          </cell>
        </row>
        <row r="119">
          <cell r="N119" t="str">
            <v>Others</v>
          </cell>
        </row>
        <row r="120">
          <cell r="N120" t="str">
            <v>Others</v>
          </cell>
        </row>
        <row r="121">
          <cell r="N121" t="str">
            <v>Others</v>
          </cell>
        </row>
        <row r="122">
          <cell r="N122" t="str">
            <v>Others</v>
          </cell>
        </row>
        <row r="123">
          <cell r="N123" t="str">
            <v>Others</v>
          </cell>
        </row>
        <row r="124">
          <cell r="N124" t="str">
            <v>Others</v>
          </cell>
        </row>
        <row r="125">
          <cell r="N125" t="str">
            <v>Others</v>
          </cell>
        </row>
        <row r="126">
          <cell r="N126" t="str">
            <v>Others</v>
          </cell>
        </row>
        <row r="127">
          <cell r="N127" t="str">
            <v>Others</v>
          </cell>
        </row>
        <row r="128">
          <cell r="N128" t="str">
            <v>Others</v>
          </cell>
        </row>
        <row r="129">
          <cell r="N129" t="str">
            <v>Others</v>
          </cell>
        </row>
        <row r="130">
          <cell r="N130" t="str">
            <v>Others</v>
          </cell>
        </row>
        <row r="131">
          <cell r="N131" t="str">
            <v>Others</v>
          </cell>
        </row>
        <row r="132">
          <cell r="N132" t="str">
            <v>Others</v>
          </cell>
        </row>
        <row r="133">
          <cell r="N133" t="str">
            <v>Others</v>
          </cell>
        </row>
        <row r="134">
          <cell r="N134" t="str">
            <v>Others</v>
          </cell>
        </row>
        <row r="135">
          <cell r="N135" t="str">
            <v>Others</v>
          </cell>
        </row>
        <row r="136">
          <cell r="N136" t="str">
            <v>Others</v>
          </cell>
        </row>
        <row r="137">
          <cell r="N137" t="str">
            <v>Others</v>
          </cell>
        </row>
        <row r="138">
          <cell r="N138" t="str">
            <v>Others</v>
          </cell>
        </row>
        <row r="139">
          <cell r="N139" t="str">
            <v>Real Estate</v>
          </cell>
        </row>
        <row r="140">
          <cell r="N140" t="str">
            <v>Others</v>
          </cell>
        </row>
        <row r="141">
          <cell r="N141" t="str">
            <v>Others</v>
          </cell>
        </row>
        <row r="142">
          <cell r="N142" t="str">
            <v>Others</v>
          </cell>
        </row>
        <row r="143">
          <cell r="N143" t="str">
            <v>Hardware Stores</v>
          </cell>
        </row>
        <row r="144">
          <cell r="N144" t="str">
            <v>Others</v>
          </cell>
        </row>
        <row r="145">
          <cell r="N145" t="str">
            <v>Hardware Stores</v>
          </cell>
        </row>
        <row r="146">
          <cell r="N146" t="str">
            <v>Poultry &amp; Egg Production</v>
          </cell>
        </row>
        <row r="147">
          <cell r="N147" t="str">
            <v>Warehousing and Storage</v>
          </cell>
        </row>
        <row r="148">
          <cell r="N148" t="str">
            <v>Others</v>
          </cell>
        </row>
        <row r="149">
          <cell r="N149" t="str">
            <v>Furniture</v>
          </cell>
        </row>
        <row r="150">
          <cell r="N150" t="str">
            <v>Others</v>
          </cell>
        </row>
        <row r="151">
          <cell r="N151" t="str">
            <v>Others</v>
          </cell>
        </row>
        <row r="152">
          <cell r="N152" t="str">
            <v>Others</v>
          </cell>
        </row>
        <row r="153">
          <cell r="N153" t="str">
            <v>Others</v>
          </cell>
        </row>
        <row r="154">
          <cell r="N154" t="str">
            <v>Others</v>
          </cell>
        </row>
        <row r="155">
          <cell r="N155" t="str">
            <v>Others</v>
          </cell>
        </row>
        <row r="156">
          <cell r="N156" t="str">
            <v>Others</v>
          </cell>
        </row>
        <row r="157">
          <cell r="N157" t="str">
            <v>Others</v>
          </cell>
        </row>
        <row r="158">
          <cell r="N158" t="str">
            <v>Others</v>
          </cell>
        </row>
        <row r="159">
          <cell r="N159" t="str">
            <v>Poultry &amp; Egg Production</v>
          </cell>
        </row>
        <row r="160">
          <cell r="N160" t="str">
            <v>Others</v>
          </cell>
        </row>
        <row r="161">
          <cell r="N161" t="str">
            <v>Others</v>
          </cell>
        </row>
        <row r="162">
          <cell r="N162" t="str">
            <v>Others</v>
          </cell>
        </row>
        <row r="163">
          <cell r="N163" t="str">
            <v>Others</v>
          </cell>
        </row>
        <row r="164">
          <cell r="N164" t="str">
            <v>Others</v>
          </cell>
        </row>
        <row r="165">
          <cell r="N165" t="str">
            <v>Others</v>
          </cell>
        </row>
        <row r="166">
          <cell r="N166" t="str">
            <v>Others</v>
          </cell>
        </row>
        <row r="167">
          <cell r="N167" t="str">
            <v>Others</v>
          </cell>
        </row>
        <row r="168">
          <cell r="N168" t="str">
            <v>Others</v>
          </cell>
        </row>
        <row r="169">
          <cell r="N169" t="str">
            <v>Others</v>
          </cell>
        </row>
        <row r="170">
          <cell r="N170" t="str">
            <v>Others</v>
          </cell>
        </row>
        <row r="171">
          <cell r="N171" t="str">
            <v>Others</v>
          </cell>
        </row>
        <row r="172">
          <cell r="N172" t="str">
            <v>Others</v>
          </cell>
        </row>
        <row r="173">
          <cell r="N173" t="str">
            <v>Others</v>
          </cell>
        </row>
        <row r="174">
          <cell r="N174" t="str">
            <v>Others</v>
          </cell>
        </row>
        <row r="175">
          <cell r="N175" t="str">
            <v>Others</v>
          </cell>
        </row>
        <row r="176">
          <cell r="N176" t="str">
            <v>Others</v>
          </cell>
        </row>
        <row r="177">
          <cell r="N177" t="str">
            <v>Others</v>
          </cell>
        </row>
        <row r="178">
          <cell r="N178" t="str">
            <v>Others</v>
          </cell>
        </row>
        <row r="179">
          <cell r="N179" t="str">
            <v>Others</v>
          </cell>
        </row>
        <row r="180">
          <cell r="N180" t="str">
            <v>Others</v>
          </cell>
        </row>
        <row r="181">
          <cell r="N181" t="str">
            <v>Sand, Gravel, Clay, &amp; Ceramic</v>
          </cell>
        </row>
        <row r="182">
          <cell r="N182" t="str">
            <v>Others</v>
          </cell>
        </row>
        <row r="183">
          <cell r="N183" t="str">
            <v>Automotive Parts, Accessories, &amp; Tire Stores</v>
          </cell>
        </row>
        <row r="184">
          <cell r="N184" t="str">
            <v>Others</v>
          </cell>
        </row>
        <row r="185">
          <cell r="N185" t="str">
            <v>Others</v>
          </cell>
        </row>
        <row r="186">
          <cell r="N186" t="str">
            <v>Others</v>
          </cell>
        </row>
        <row r="187">
          <cell r="N187" t="str">
            <v>Others</v>
          </cell>
        </row>
        <row r="188">
          <cell r="N188" t="str">
            <v>Others</v>
          </cell>
        </row>
        <row r="189">
          <cell r="N189" t="str">
            <v>Poultry &amp; Egg Production</v>
          </cell>
        </row>
        <row r="190">
          <cell r="N190" t="str">
            <v>Others</v>
          </cell>
        </row>
        <row r="191">
          <cell r="N191" t="str">
            <v>Others</v>
          </cell>
        </row>
        <row r="192">
          <cell r="N192" t="str">
            <v>Others</v>
          </cell>
        </row>
        <row r="193">
          <cell r="N193" t="str">
            <v>Others</v>
          </cell>
        </row>
        <row r="194">
          <cell r="N194" t="str">
            <v>Others</v>
          </cell>
        </row>
        <row r="195">
          <cell r="N195" t="str">
            <v>Others</v>
          </cell>
        </row>
        <row r="196">
          <cell r="N196" t="str">
            <v>Others</v>
          </cell>
        </row>
        <row r="197">
          <cell r="N197" t="str">
            <v>Others</v>
          </cell>
        </row>
        <row r="198">
          <cell r="N198" t="str">
            <v>Others</v>
          </cell>
        </row>
        <row r="199">
          <cell r="N199" t="str">
            <v>Others</v>
          </cell>
        </row>
        <row r="200">
          <cell r="N200" t="str">
            <v>Others</v>
          </cell>
        </row>
        <row r="201">
          <cell r="N201" t="str">
            <v>Others</v>
          </cell>
        </row>
        <row r="202">
          <cell r="N202" t="str">
            <v>Others</v>
          </cell>
        </row>
        <row r="203">
          <cell r="N203" t="str">
            <v>Others</v>
          </cell>
        </row>
        <row r="204">
          <cell r="N204" t="str">
            <v>Others</v>
          </cell>
        </row>
        <row r="205">
          <cell r="N205" t="str">
            <v>Others</v>
          </cell>
        </row>
        <row r="206">
          <cell r="N206" t="str">
            <v>Others</v>
          </cell>
        </row>
        <row r="207">
          <cell r="N207" t="str">
            <v>Others</v>
          </cell>
        </row>
        <row r="208">
          <cell r="N208" t="str">
            <v>Others</v>
          </cell>
        </row>
        <row r="209">
          <cell r="N209" t="str">
            <v>Others</v>
          </cell>
        </row>
        <row r="210">
          <cell r="N210" t="str">
            <v>Others</v>
          </cell>
        </row>
        <row r="211">
          <cell r="N211" t="str">
            <v>Others</v>
          </cell>
        </row>
        <row r="212">
          <cell r="N212" t="str">
            <v>Others</v>
          </cell>
        </row>
        <row r="213">
          <cell r="N213" t="str">
            <v>Others</v>
          </cell>
        </row>
        <row r="214">
          <cell r="N214" t="str">
            <v>Others</v>
          </cell>
        </row>
        <row r="215">
          <cell r="N215" t="str">
            <v>Others</v>
          </cell>
        </row>
        <row r="216">
          <cell r="N216" t="str">
            <v>Others</v>
          </cell>
        </row>
        <row r="217">
          <cell r="N217" t="str">
            <v>Others</v>
          </cell>
        </row>
        <row r="218">
          <cell r="N218" t="str">
            <v>Others</v>
          </cell>
        </row>
        <row r="219">
          <cell r="N219" t="str">
            <v>Others</v>
          </cell>
        </row>
        <row r="220">
          <cell r="N220" t="str">
            <v>Others</v>
          </cell>
        </row>
        <row r="221">
          <cell r="N221" t="str">
            <v>General Freight Trucking, Long-distance</v>
          </cell>
        </row>
        <row r="222">
          <cell r="N222" t="str">
            <v>Others</v>
          </cell>
        </row>
        <row r="223">
          <cell r="N223" t="str">
            <v>Others</v>
          </cell>
        </row>
        <row r="224">
          <cell r="N224" t="str">
            <v>Poultry &amp; Egg Production</v>
          </cell>
        </row>
        <row r="225">
          <cell r="N225" t="str">
            <v>Others</v>
          </cell>
        </row>
        <row r="226">
          <cell r="N226" t="str">
            <v>Others</v>
          </cell>
        </row>
        <row r="227">
          <cell r="N227" t="str">
            <v>General Stores</v>
          </cell>
        </row>
        <row r="228">
          <cell r="N228" t="str">
            <v>Others</v>
          </cell>
        </row>
        <row r="229">
          <cell r="N229" t="str">
            <v>Others</v>
          </cell>
        </row>
        <row r="230">
          <cell r="N230" t="str">
            <v>Others</v>
          </cell>
        </row>
        <row r="231">
          <cell r="N231" t="str">
            <v>Hardware Stores</v>
          </cell>
        </row>
        <row r="232">
          <cell r="N232" t="str">
            <v>Others</v>
          </cell>
        </row>
        <row r="233">
          <cell r="N233" t="str">
            <v>Others</v>
          </cell>
        </row>
        <row r="234">
          <cell r="N234" t="str">
            <v>Others</v>
          </cell>
        </row>
        <row r="235">
          <cell r="N235" t="str">
            <v>Automotive Parts, Accessories, &amp; Tire Stores</v>
          </cell>
        </row>
        <row r="236">
          <cell r="N236" t="str">
            <v>Others</v>
          </cell>
        </row>
        <row r="237">
          <cell r="N237" t="str">
            <v>Others</v>
          </cell>
        </row>
        <row r="238">
          <cell r="N238" t="str">
            <v>Others</v>
          </cell>
        </row>
        <row r="239">
          <cell r="N239" t="str">
            <v>Others</v>
          </cell>
        </row>
        <row r="240">
          <cell r="N240" t="str">
            <v>Others</v>
          </cell>
        </row>
        <row r="241">
          <cell r="N241" t="str">
            <v>Others</v>
          </cell>
        </row>
        <row r="242">
          <cell r="N242" t="str">
            <v>Others</v>
          </cell>
        </row>
        <row r="243">
          <cell r="N243" t="str">
            <v>Others</v>
          </cell>
        </row>
        <row r="244">
          <cell r="N244" t="str">
            <v>Others</v>
          </cell>
        </row>
        <row r="245">
          <cell r="N245" t="str">
            <v>Others</v>
          </cell>
        </row>
        <row r="246">
          <cell r="N246" t="str">
            <v>Others</v>
          </cell>
        </row>
        <row r="247">
          <cell r="N247" t="str">
            <v>Others</v>
          </cell>
        </row>
        <row r="248">
          <cell r="N248" t="str">
            <v>Others</v>
          </cell>
        </row>
        <row r="249">
          <cell r="N249" t="str">
            <v>Others</v>
          </cell>
        </row>
        <row r="250">
          <cell r="N250" t="str">
            <v>Residential Construction</v>
          </cell>
        </row>
        <row r="251">
          <cell r="N251" t="str">
            <v>Others</v>
          </cell>
        </row>
        <row r="252">
          <cell r="N252" t="str">
            <v>Others</v>
          </cell>
        </row>
        <row r="253">
          <cell r="N253" t="str">
            <v>Others</v>
          </cell>
        </row>
        <row r="254">
          <cell r="N254" t="str">
            <v>Others</v>
          </cell>
        </row>
        <row r="255">
          <cell r="N255" t="str">
            <v>Others</v>
          </cell>
        </row>
        <row r="256">
          <cell r="N256" t="str">
            <v>Others</v>
          </cell>
        </row>
        <row r="257">
          <cell r="N257" t="str">
            <v>Others</v>
          </cell>
        </row>
        <row r="258">
          <cell r="N258" t="str">
            <v>Taxi service</v>
          </cell>
        </row>
        <row r="259">
          <cell r="N259" t="str">
            <v>Others</v>
          </cell>
        </row>
        <row r="260">
          <cell r="N260" t="str">
            <v>Others</v>
          </cell>
        </row>
        <row r="261">
          <cell r="N261" t="str">
            <v>Others</v>
          </cell>
        </row>
        <row r="262">
          <cell r="N262" t="str">
            <v>Others</v>
          </cell>
        </row>
        <row r="263">
          <cell r="N263" t="str">
            <v>Others</v>
          </cell>
        </row>
        <row r="264">
          <cell r="N264" t="str">
            <v>Others</v>
          </cell>
        </row>
        <row r="265">
          <cell r="N265" t="str">
            <v>Others</v>
          </cell>
        </row>
        <row r="266">
          <cell r="N266" t="str">
            <v>Others</v>
          </cell>
        </row>
        <row r="267">
          <cell r="N267" t="str">
            <v>Others</v>
          </cell>
        </row>
        <row r="268">
          <cell r="N268" t="str">
            <v>Others</v>
          </cell>
        </row>
        <row r="269">
          <cell r="N269" t="str">
            <v>General Rental Centers</v>
          </cell>
        </row>
        <row r="270">
          <cell r="N270" t="str">
            <v>Others</v>
          </cell>
        </row>
        <row r="271">
          <cell r="N271" t="str">
            <v>Others</v>
          </cell>
        </row>
        <row r="272">
          <cell r="N272" t="str">
            <v>Others</v>
          </cell>
        </row>
        <row r="273">
          <cell r="N273" t="str">
            <v>Others</v>
          </cell>
        </row>
        <row r="274">
          <cell r="N274" t="str">
            <v>Others</v>
          </cell>
        </row>
        <row r="275">
          <cell r="N275" t="str">
            <v>Others</v>
          </cell>
        </row>
        <row r="276">
          <cell r="N276" t="str">
            <v>Others</v>
          </cell>
        </row>
        <row r="277">
          <cell r="N277" t="str">
            <v>Others</v>
          </cell>
        </row>
        <row r="278">
          <cell r="N278" t="str">
            <v>Others</v>
          </cell>
        </row>
        <row r="279">
          <cell r="N279" t="str">
            <v>Others</v>
          </cell>
        </row>
        <row r="280">
          <cell r="N280" t="str">
            <v>Others</v>
          </cell>
        </row>
        <row r="281">
          <cell r="N281" t="str">
            <v>Others</v>
          </cell>
        </row>
        <row r="282">
          <cell r="N282" t="str">
            <v>Others</v>
          </cell>
        </row>
        <row r="283">
          <cell r="N283" t="str">
            <v>Others</v>
          </cell>
        </row>
        <row r="284">
          <cell r="N284" t="str">
            <v>Others</v>
          </cell>
        </row>
        <row r="285">
          <cell r="N285" t="str">
            <v>Others</v>
          </cell>
        </row>
        <row r="286">
          <cell r="N286" t="str">
            <v>Others</v>
          </cell>
        </row>
        <row r="287">
          <cell r="N287" t="str">
            <v>Others</v>
          </cell>
        </row>
        <row r="288">
          <cell r="N288" t="str">
            <v>Others</v>
          </cell>
        </row>
        <row r="289">
          <cell r="N289" t="str">
            <v>Others</v>
          </cell>
        </row>
        <row r="290">
          <cell r="N290" t="str">
            <v>Others</v>
          </cell>
        </row>
        <row r="291">
          <cell r="N291" t="str">
            <v>Others</v>
          </cell>
        </row>
        <row r="292">
          <cell r="N292" t="str">
            <v>Others</v>
          </cell>
        </row>
        <row r="293">
          <cell r="N293" t="str">
            <v>Others</v>
          </cell>
        </row>
        <row r="294">
          <cell r="N294" t="str">
            <v>Others</v>
          </cell>
        </row>
        <row r="295">
          <cell r="N295" t="str">
            <v>Others</v>
          </cell>
        </row>
        <row r="296">
          <cell r="N296" t="str">
            <v>Restaurant</v>
          </cell>
        </row>
        <row r="297">
          <cell r="N297" t="str">
            <v>Others</v>
          </cell>
        </row>
        <row r="298">
          <cell r="N298" t="str">
            <v>Others</v>
          </cell>
        </row>
        <row r="299">
          <cell r="N299" t="str">
            <v>Others</v>
          </cell>
        </row>
        <row r="300">
          <cell r="N300" t="str">
            <v>Others</v>
          </cell>
        </row>
        <row r="301">
          <cell r="N301" t="str">
            <v>Others</v>
          </cell>
        </row>
        <row r="302">
          <cell r="N302" t="str">
            <v>Others</v>
          </cell>
        </row>
        <row r="303">
          <cell r="N303" t="str">
            <v>Others</v>
          </cell>
        </row>
        <row r="304">
          <cell r="N304" t="str">
            <v>Others</v>
          </cell>
        </row>
        <row r="305">
          <cell r="N305" t="str">
            <v>Others</v>
          </cell>
        </row>
        <row r="306">
          <cell r="N306" t="str">
            <v>Others</v>
          </cell>
        </row>
        <row r="307">
          <cell r="N307" t="str">
            <v>Others</v>
          </cell>
        </row>
        <row r="308">
          <cell r="N308" t="str">
            <v>Others</v>
          </cell>
        </row>
        <row r="309">
          <cell r="N309" t="str">
            <v>Others</v>
          </cell>
        </row>
        <row r="310">
          <cell r="N310" t="str">
            <v>Others</v>
          </cell>
        </row>
        <row r="311">
          <cell r="N311" t="str">
            <v>Others</v>
          </cell>
        </row>
        <row r="312">
          <cell r="N312" t="str">
            <v>Others</v>
          </cell>
        </row>
        <row r="313">
          <cell r="N313" t="str">
            <v>Others</v>
          </cell>
        </row>
        <row r="314">
          <cell r="N314" t="str">
            <v>Others</v>
          </cell>
        </row>
        <row r="315">
          <cell r="N315" t="str">
            <v>Others</v>
          </cell>
        </row>
        <row r="316">
          <cell r="N316" t="str">
            <v>Others</v>
          </cell>
        </row>
        <row r="317">
          <cell r="N317" t="str">
            <v>Others</v>
          </cell>
        </row>
        <row r="318">
          <cell r="N318" t="str">
            <v>Others</v>
          </cell>
        </row>
        <row r="319">
          <cell r="N319" t="str">
            <v>Others</v>
          </cell>
        </row>
        <row r="320">
          <cell r="N320" t="str">
            <v>Others</v>
          </cell>
        </row>
        <row r="321">
          <cell r="N321" t="str">
            <v>Others</v>
          </cell>
        </row>
        <row r="322">
          <cell r="N322" t="str">
            <v>Others</v>
          </cell>
        </row>
        <row r="323">
          <cell r="N323" t="str">
            <v>Others</v>
          </cell>
        </row>
        <row r="324">
          <cell r="N324" t="str">
            <v>Others</v>
          </cell>
        </row>
        <row r="325">
          <cell r="N325" t="str">
            <v>Others</v>
          </cell>
        </row>
        <row r="326">
          <cell r="N326" t="str">
            <v>Others</v>
          </cell>
        </row>
        <row r="327">
          <cell r="N327" t="str">
            <v>Others</v>
          </cell>
        </row>
        <row r="328">
          <cell r="N328" t="str">
            <v>Others</v>
          </cell>
        </row>
        <row r="329">
          <cell r="N329" t="str">
            <v>Others</v>
          </cell>
        </row>
        <row r="330">
          <cell r="N330" t="str">
            <v>Others</v>
          </cell>
        </row>
        <row r="331">
          <cell r="N331" t="str">
            <v>Others</v>
          </cell>
        </row>
        <row r="332">
          <cell r="N332" t="str">
            <v>Others</v>
          </cell>
        </row>
        <row r="333">
          <cell r="N333" t="str">
            <v>Others</v>
          </cell>
        </row>
        <row r="334">
          <cell r="N334" t="str">
            <v>Others</v>
          </cell>
        </row>
        <row r="335">
          <cell r="N335" t="str">
            <v>Others</v>
          </cell>
        </row>
        <row r="336">
          <cell r="N336" t="str">
            <v>Hardware Stores</v>
          </cell>
        </row>
        <row r="337">
          <cell r="N337" t="str">
            <v>Others</v>
          </cell>
        </row>
        <row r="338">
          <cell r="N338" t="str">
            <v>Others</v>
          </cell>
        </row>
        <row r="339">
          <cell r="N339" t="str">
            <v>Others</v>
          </cell>
        </row>
        <row r="340">
          <cell r="N340" t="str">
            <v>Others</v>
          </cell>
        </row>
        <row r="341">
          <cell r="N341" t="str">
            <v>Others</v>
          </cell>
        </row>
        <row r="342">
          <cell r="N342" t="str">
            <v>Others</v>
          </cell>
        </row>
        <row r="343">
          <cell r="N343" t="str">
            <v>Others</v>
          </cell>
        </row>
        <row r="344">
          <cell r="N344" t="str">
            <v>Others</v>
          </cell>
        </row>
        <row r="345">
          <cell r="N345" t="str">
            <v>Others</v>
          </cell>
        </row>
        <row r="346">
          <cell r="N346" t="str">
            <v>Others</v>
          </cell>
        </row>
        <row r="347">
          <cell r="N347" t="str">
            <v>Others</v>
          </cell>
        </row>
        <row r="348">
          <cell r="N348" t="str">
            <v>Others</v>
          </cell>
        </row>
        <row r="349">
          <cell r="N349" t="str">
            <v>Others</v>
          </cell>
        </row>
        <row r="350">
          <cell r="N350" t="str">
            <v>Others</v>
          </cell>
        </row>
        <row r="351">
          <cell r="N351" t="str">
            <v>Others</v>
          </cell>
        </row>
        <row r="352">
          <cell r="N352" t="str">
            <v>Others</v>
          </cell>
        </row>
        <row r="353">
          <cell r="N353" t="str">
            <v>Others</v>
          </cell>
        </row>
        <row r="354">
          <cell r="N354" t="str">
            <v>Others</v>
          </cell>
        </row>
        <row r="355">
          <cell r="N355" t="str">
            <v>Others</v>
          </cell>
        </row>
        <row r="356">
          <cell r="N356" t="str">
            <v>Others</v>
          </cell>
        </row>
        <row r="357">
          <cell r="N357" t="str">
            <v>Others</v>
          </cell>
        </row>
        <row r="358">
          <cell r="N358" t="str">
            <v>Others</v>
          </cell>
        </row>
        <row r="359">
          <cell r="N359" t="str">
            <v>Others</v>
          </cell>
        </row>
        <row r="360">
          <cell r="N360" t="str">
            <v>Others</v>
          </cell>
        </row>
        <row r="361">
          <cell r="N361" t="str">
            <v>Others</v>
          </cell>
        </row>
        <row r="362">
          <cell r="N362" t="str">
            <v>Others</v>
          </cell>
        </row>
        <row r="363">
          <cell r="N363" t="str">
            <v>Others</v>
          </cell>
        </row>
        <row r="364">
          <cell r="N364" t="str">
            <v>Others</v>
          </cell>
        </row>
        <row r="365">
          <cell r="N365" t="str">
            <v>Others</v>
          </cell>
        </row>
        <row r="366">
          <cell r="N366" t="str">
            <v>Timber Tract Operations</v>
          </cell>
        </row>
        <row r="367">
          <cell r="N367" t="str">
            <v>Real Estate</v>
          </cell>
        </row>
        <row r="368">
          <cell r="N368" t="str">
            <v>Automotive Parts, Accessories, &amp; Tire Stores</v>
          </cell>
        </row>
        <row r="369">
          <cell r="N369" t="str">
            <v>Others</v>
          </cell>
        </row>
        <row r="370">
          <cell r="N370" t="str">
            <v>Furniture</v>
          </cell>
        </row>
        <row r="371">
          <cell r="N371" t="str">
            <v>Others</v>
          </cell>
        </row>
        <row r="372">
          <cell r="N372" t="str">
            <v>Others</v>
          </cell>
        </row>
        <row r="373">
          <cell r="N373" t="str">
            <v>Poultry &amp; Egg Production</v>
          </cell>
        </row>
        <row r="374">
          <cell r="N374" t="str">
            <v>Others</v>
          </cell>
        </row>
        <row r="375">
          <cell r="N375" t="str">
            <v>Others</v>
          </cell>
        </row>
        <row r="376">
          <cell r="N376" t="str">
            <v>Others</v>
          </cell>
        </row>
        <row r="377">
          <cell r="N377" t="str">
            <v>Others</v>
          </cell>
        </row>
        <row r="378">
          <cell r="N378" t="str">
            <v>Others</v>
          </cell>
        </row>
        <row r="379">
          <cell r="N379" t="str">
            <v>Microfinance Institutions</v>
          </cell>
        </row>
        <row r="380">
          <cell r="N380" t="str">
            <v>Others</v>
          </cell>
        </row>
        <row r="381">
          <cell r="N381" t="str">
            <v>Others</v>
          </cell>
        </row>
        <row r="382">
          <cell r="N382" t="str">
            <v>Others</v>
          </cell>
        </row>
        <row r="383">
          <cell r="N383" t="str">
            <v>Bakeries</v>
          </cell>
        </row>
        <row r="384">
          <cell r="N384" t="str">
            <v>Others</v>
          </cell>
        </row>
        <row r="385">
          <cell r="N385" t="str">
            <v>Others</v>
          </cell>
        </row>
        <row r="386">
          <cell r="N386" t="str">
            <v>Colleges</v>
          </cell>
        </row>
        <row r="387">
          <cell r="N387" t="str">
            <v>Automotive Equipment</v>
          </cell>
        </row>
        <row r="388">
          <cell r="N388" t="str">
            <v>Schools</v>
          </cell>
        </row>
        <row r="389">
          <cell r="N389" t="str">
            <v>Others</v>
          </cell>
        </row>
        <row r="390">
          <cell r="N390" t="str">
            <v>Microfinance Institutions</v>
          </cell>
        </row>
        <row r="391">
          <cell r="N391" t="str">
            <v>Farm Supplies</v>
          </cell>
        </row>
        <row r="392">
          <cell r="N392" t="str">
            <v>Microfinance Institutions</v>
          </cell>
        </row>
        <row r="393">
          <cell r="N393" t="str">
            <v>Others</v>
          </cell>
        </row>
        <row r="394">
          <cell r="N394" t="str">
            <v>Others</v>
          </cell>
        </row>
        <row r="395">
          <cell r="N395" t="str">
            <v>Others</v>
          </cell>
        </row>
        <row r="396">
          <cell r="N396" t="str">
            <v>General Stores</v>
          </cell>
        </row>
        <row r="397">
          <cell r="N397" t="str">
            <v>Others</v>
          </cell>
        </row>
        <row r="398">
          <cell r="N398" t="str">
            <v>Others</v>
          </cell>
        </row>
        <row r="399">
          <cell r="N399" t="str">
            <v>Others</v>
          </cell>
        </row>
        <row r="400">
          <cell r="N400" t="str">
            <v>Schools</v>
          </cell>
        </row>
        <row r="401">
          <cell r="N401" t="str">
            <v>Furniture Stores</v>
          </cell>
        </row>
        <row r="402">
          <cell r="N402" t="str">
            <v>Real Estate</v>
          </cell>
        </row>
        <row r="403">
          <cell r="N403" t="str">
            <v>Others</v>
          </cell>
        </row>
        <row r="404">
          <cell r="N404" t="str">
            <v>General Rental Centers</v>
          </cell>
        </row>
        <row r="405">
          <cell r="N405" t="str">
            <v>Others</v>
          </cell>
        </row>
        <row r="406">
          <cell r="N406" t="str">
            <v>General Stores</v>
          </cell>
        </row>
        <row r="407">
          <cell r="N407" t="str">
            <v>Furniture &amp; Home Furnishings</v>
          </cell>
        </row>
        <row r="408">
          <cell r="N408" t="str">
            <v>Others</v>
          </cell>
        </row>
        <row r="409">
          <cell r="N409" t="str">
            <v>General Rental Centers</v>
          </cell>
        </row>
        <row r="410">
          <cell r="N410" t="str">
            <v>Others</v>
          </cell>
        </row>
        <row r="411">
          <cell r="N411" t="str">
            <v>Others</v>
          </cell>
        </row>
        <row r="412">
          <cell r="N412" t="str">
            <v>Others</v>
          </cell>
        </row>
        <row r="413">
          <cell r="N413" t="str">
            <v>General Rental Centers</v>
          </cell>
        </row>
        <row r="414">
          <cell r="N414" t="str">
            <v>Others</v>
          </cell>
        </row>
        <row r="415">
          <cell r="N415" t="str">
            <v>Others</v>
          </cell>
        </row>
        <row r="416">
          <cell r="N416" t="str">
            <v>Apparel, Piece Goods, &amp; Notions</v>
          </cell>
        </row>
        <row r="417">
          <cell r="N417" t="str">
            <v>Real Estate</v>
          </cell>
        </row>
        <row r="418">
          <cell r="N418" t="str">
            <v>Others</v>
          </cell>
        </row>
        <row r="419">
          <cell r="N419" t="str">
            <v>Others</v>
          </cell>
        </row>
        <row r="420">
          <cell r="N420" t="str">
            <v>Hotel</v>
          </cell>
        </row>
        <row r="421">
          <cell r="N421" t="str">
            <v>Radio, Television, &amp; Other Electronics Stores</v>
          </cell>
        </row>
        <row r="422">
          <cell r="N422" t="str">
            <v>Others</v>
          </cell>
        </row>
        <row r="423">
          <cell r="N423" t="str">
            <v>Real Estate</v>
          </cell>
        </row>
        <row r="424">
          <cell r="N424" t="str">
            <v>Cosmetics, Beauty Supplies, &amp; Perfume Stores</v>
          </cell>
        </row>
        <row r="425">
          <cell r="N425" t="str">
            <v>Others</v>
          </cell>
        </row>
        <row r="426">
          <cell r="N426" t="str">
            <v>Others</v>
          </cell>
        </row>
        <row r="427">
          <cell r="N427" t="str">
            <v>Beverage Stores</v>
          </cell>
        </row>
        <row r="428">
          <cell r="N428" t="str">
            <v>Others</v>
          </cell>
        </row>
        <row r="429">
          <cell r="N429" t="str">
            <v>General Rental Centers</v>
          </cell>
        </row>
        <row r="430">
          <cell r="N430" t="str">
            <v>General Rental Centers</v>
          </cell>
        </row>
        <row r="431">
          <cell r="N431" t="str">
            <v>Others</v>
          </cell>
        </row>
        <row r="432">
          <cell r="N432" t="str">
            <v>Schools</v>
          </cell>
        </row>
        <row r="433">
          <cell r="N433" t="str">
            <v>Others</v>
          </cell>
        </row>
        <row r="434">
          <cell r="N434" t="str">
            <v>Taxi service</v>
          </cell>
        </row>
        <row r="435">
          <cell r="N435" t="str">
            <v>Others</v>
          </cell>
        </row>
        <row r="436">
          <cell r="N436" t="str">
            <v>Others</v>
          </cell>
        </row>
        <row r="437">
          <cell r="N437" t="str">
            <v>Baked Goods Stores</v>
          </cell>
        </row>
        <row r="438">
          <cell r="N438" t="str">
            <v>Others</v>
          </cell>
        </row>
        <row r="439">
          <cell r="N439" t="str">
            <v>General Rental Centers</v>
          </cell>
        </row>
        <row r="440">
          <cell r="N440" t="str">
            <v>Others</v>
          </cell>
        </row>
        <row r="441">
          <cell r="N441" t="str">
            <v>Printing Stores</v>
          </cell>
        </row>
        <row r="442">
          <cell r="N442" t="str">
            <v>Others</v>
          </cell>
        </row>
        <row r="443">
          <cell r="N443" t="str">
            <v>Others</v>
          </cell>
        </row>
        <row r="444">
          <cell r="N444" t="str">
            <v>Others</v>
          </cell>
        </row>
        <row r="445">
          <cell r="N445" t="str">
            <v>General Stores</v>
          </cell>
        </row>
        <row r="446">
          <cell r="N446" t="str">
            <v>Others</v>
          </cell>
        </row>
        <row r="447">
          <cell r="N447" t="str">
            <v>Others</v>
          </cell>
        </row>
        <row r="448">
          <cell r="N448" t="str">
            <v>Others</v>
          </cell>
        </row>
        <row r="449">
          <cell r="N449" t="str">
            <v>General Rental Centers</v>
          </cell>
        </row>
        <row r="450">
          <cell r="N450" t="str">
            <v>Others</v>
          </cell>
        </row>
        <row r="451">
          <cell r="N451" t="str">
            <v>General Rental Centers</v>
          </cell>
        </row>
        <row r="452">
          <cell r="N452" t="str">
            <v>Others</v>
          </cell>
        </row>
        <row r="453">
          <cell r="N453" t="str">
            <v>Others</v>
          </cell>
        </row>
        <row r="454">
          <cell r="N454" t="str">
            <v>General Rental Centers</v>
          </cell>
        </row>
        <row r="455">
          <cell r="N455" t="str">
            <v>Others</v>
          </cell>
        </row>
        <row r="456">
          <cell r="N456" t="str">
            <v>Others</v>
          </cell>
        </row>
        <row r="457">
          <cell r="N457" t="str">
            <v>Automotive Parts, Accessories, &amp; Tire Stores</v>
          </cell>
        </row>
        <row r="458">
          <cell r="N458" t="str">
            <v>Fruit &amp; Vegetable Markets</v>
          </cell>
        </row>
        <row r="459">
          <cell r="N459" t="str">
            <v>Others</v>
          </cell>
        </row>
        <row r="460">
          <cell r="N460" t="str">
            <v>Others</v>
          </cell>
        </row>
        <row r="461">
          <cell r="N461" t="str">
            <v>Others</v>
          </cell>
        </row>
        <row r="462">
          <cell r="N462" t="str">
            <v>Automotive Parts, Accessories, &amp; Tire Stores</v>
          </cell>
        </row>
        <row r="463">
          <cell r="N463" t="str">
            <v>General Rental Centers</v>
          </cell>
        </row>
        <row r="464">
          <cell r="N464" t="str">
            <v>General Stores</v>
          </cell>
        </row>
        <row r="465">
          <cell r="N465" t="str">
            <v>Apparel, Piece Goods, &amp; Notions</v>
          </cell>
        </row>
        <row r="466">
          <cell r="N466" t="str">
            <v>General Stores</v>
          </cell>
        </row>
        <row r="467">
          <cell r="N467" t="str">
            <v>Lumber &amp; Other Construction Materials</v>
          </cell>
        </row>
        <row r="468">
          <cell r="N468" t="str">
            <v>Others</v>
          </cell>
        </row>
        <row r="469">
          <cell r="N469" t="str">
            <v>Automotive Parts, Accessories, &amp; Tire Stores</v>
          </cell>
        </row>
        <row r="470">
          <cell r="N470" t="str">
            <v>Schools</v>
          </cell>
        </row>
        <row r="471">
          <cell r="N471" t="str">
            <v>General Rental Centers</v>
          </cell>
        </row>
        <row r="472">
          <cell r="N472" t="str">
            <v>Others</v>
          </cell>
        </row>
        <row r="473">
          <cell r="N473" t="str">
            <v>Grocery</v>
          </cell>
        </row>
        <row r="474">
          <cell r="N474" t="str">
            <v>Others</v>
          </cell>
        </row>
        <row r="475">
          <cell r="N475" t="str">
            <v>Others</v>
          </cell>
        </row>
        <row r="476">
          <cell r="N476" t="str">
            <v>General Stores</v>
          </cell>
        </row>
        <row r="477">
          <cell r="N477" t="str">
            <v>Real Estate</v>
          </cell>
        </row>
        <row r="478">
          <cell r="N478" t="str">
            <v>Others</v>
          </cell>
        </row>
        <row r="479">
          <cell r="N479" t="str">
            <v>Others</v>
          </cell>
        </row>
        <row r="480">
          <cell r="N480" t="str">
            <v>Others</v>
          </cell>
        </row>
        <row r="481">
          <cell r="N481" t="str">
            <v>Beverage Stores</v>
          </cell>
        </row>
        <row r="482">
          <cell r="N482" t="str">
            <v>Others</v>
          </cell>
        </row>
        <row r="483">
          <cell r="N483" t="str">
            <v>Others</v>
          </cell>
        </row>
        <row r="484">
          <cell r="N484" t="str">
            <v>Others</v>
          </cell>
        </row>
        <row r="485">
          <cell r="N485" t="str">
            <v>Real Estate</v>
          </cell>
        </row>
        <row r="486">
          <cell r="N486" t="str">
            <v>Others</v>
          </cell>
        </row>
        <row r="487">
          <cell r="N487" t="str">
            <v>Others</v>
          </cell>
        </row>
        <row r="488">
          <cell r="N488" t="str">
            <v>Others</v>
          </cell>
        </row>
        <row r="489">
          <cell r="N489" t="str">
            <v>Others</v>
          </cell>
        </row>
        <row r="490">
          <cell r="N490" t="str">
            <v>Others</v>
          </cell>
        </row>
        <row r="491">
          <cell r="N491" t="str">
            <v>Others</v>
          </cell>
        </row>
        <row r="492">
          <cell r="N492" t="str">
            <v>Others</v>
          </cell>
        </row>
        <row r="493">
          <cell r="N493" t="str">
            <v>Offices of Dentists</v>
          </cell>
        </row>
        <row r="494">
          <cell r="N494" t="str">
            <v>Others</v>
          </cell>
        </row>
        <row r="495">
          <cell r="N495" t="str">
            <v>Others</v>
          </cell>
        </row>
        <row r="496">
          <cell r="N496" t="str">
            <v>Hair/Beauty Salons</v>
          </cell>
        </row>
        <row r="497">
          <cell r="N497" t="str">
            <v>Others</v>
          </cell>
        </row>
        <row r="498">
          <cell r="N498" t="str">
            <v>Others</v>
          </cell>
        </row>
        <row r="499">
          <cell r="N499" t="str">
            <v>Others</v>
          </cell>
        </row>
        <row r="500">
          <cell r="N500" t="str">
            <v>Others</v>
          </cell>
        </row>
        <row r="501">
          <cell r="N501" t="str">
            <v>Schools</v>
          </cell>
        </row>
        <row r="502">
          <cell r="N502" t="str">
            <v>Others</v>
          </cell>
        </row>
        <row r="503">
          <cell r="N503" t="str">
            <v>Nonresidential Construction</v>
          </cell>
        </row>
        <row r="504">
          <cell r="N504" t="str">
            <v>Others</v>
          </cell>
        </row>
        <row r="505">
          <cell r="N505" t="str">
            <v>Others</v>
          </cell>
        </row>
        <row r="506">
          <cell r="N506" t="str">
            <v>Nonresidential Construction</v>
          </cell>
        </row>
        <row r="507">
          <cell r="N507" t="str">
            <v>Others</v>
          </cell>
        </row>
        <row r="508">
          <cell r="N508" t="str">
            <v>Others</v>
          </cell>
        </row>
        <row r="509">
          <cell r="N509" t="str">
            <v>Hardware, &amp; Plumbing &amp; Heating Equipment</v>
          </cell>
        </row>
        <row r="510">
          <cell r="N510" t="str">
            <v>Others</v>
          </cell>
        </row>
        <row r="511">
          <cell r="N511" t="str">
            <v>General Stores</v>
          </cell>
        </row>
        <row r="512">
          <cell r="N512" t="str">
            <v>Others</v>
          </cell>
        </row>
        <row r="513">
          <cell r="N513" t="str">
            <v>General Freight Trucking, Local</v>
          </cell>
        </row>
        <row r="514">
          <cell r="N514" t="str">
            <v>Others</v>
          </cell>
        </row>
        <row r="515">
          <cell r="N515" t="str">
            <v>Others</v>
          </cell>
        </row>
        <row r="516">
          <cell r="N516" t="str">
            <v>Restaurant</v>
          </cell>
        </row>
        <row r="517">
          <cell r="N517" t="str">
            <v>Hardware Stores</v>
          </cell>
        </row>
        <row r="518">
          <cell r="N518" t="str">
            <v>Others</v>
          </cell>
        </row>
        <row r="519">
          <cell r="N519" t="str">
            <v>General Rental Centers</v>
          </cell>
        </row>
        <row r="520">
          <cell r="N520" t="str">
            <v>Others</v>
          </cell>
        </row>
        <row r="521">
          <cell r="N521" t="str">
            <v>Hotel</v>
          </cell>
        </row>
        <row r="522">
          <cell r="N522" t="str">
            <v>General Rental Centers</v>
          </cell>
        </row>
        <row r="523">
          <cell r="N523" t="str">
            <v>General Rental Centers</v>
          </cell>
        </row>
        <row r="524">
          <cell r="N524" t="str">
            <v>Others</v>
          </cell>
        </row>
        <row r="525">
          <cell r="N525" t="str">
            <v>Others</v>
          </cell>
        </row>
        <row r="526">
          <cell r="N526" t="str">
            <v>Hardware Stores</v>
          </cell>
        </row>
        <row r="527">
          <cell r="N527" t="str">
            <v>Others</v>
          </cell>
        </row>
        <row r="528">
          <cell r="N528" t="str">
            <v>Electrical &amp; Electronic Goods</v>
          </cell>
        </row>
        <row r="529">
          <cell r="N529" t="str">
            <v>Others</v>
          </cell>
        </row>
        <row r="530">
          <cell r="N530" t="str">
            <v>Others</v>
          </cell>
        </row>
        <row r="531">
          <cell r="N531" t="str">
            <v>Cement Store</v>
          </cell>
        </row>
        <row r="532">
          <cell r="N532" t="str">
            <v>Others</v>
          </cell>
        </row>
        <row r="533">
          <cell r="N533" t="str">
            <v>Others</v>
          </cell>
        </row>
        <row r="534">
          <cell r="N534" t="str">
            <v>Real Estate</v>
          </cell>
        </row>
        <row r="535">
          <cell r="N535" t="str">
            <v>Automotive Parts, Accessories, &amp; Tire Stores</v>
          </cell>
        </row>
        <row r="536">
          <cell r="N536" t="str">
            <v>Others</v>
          </cell>
        </row>
        <row r="537">
          <cell r="N537" t="str">
            <v>Others</v>
          </cell>
        </row>
        <row r="538">
          <cell r="N538" t="str">
            <v>Others</v>
          </cell>
        </row>
        <row r="539">
          <cell r="N539" t="str">
            <v>General Stores</v>
          </cell>
        </row>
        <row r="540">
          <cell r="N540" t="str">
            <v>Others</v>
          </cell>
        </row>
        <row r="541">
          <cell r="N541" t="str">
            <v>Others</v>
          </cell>
        </row>
        <row r="542">
          <cell r="N542" t="str">
            <v>General Stores</v>
          </cell>
        </row>
        <row r="543">
          <cell r="N543" t="str">
            <v>General Rental Centers</v>
          </cell>
        </row>
        <row r="544">
          <cell r="N544" t="str">
            <v>Others</v>
          </cell>
        </row>
        <row r="545">
          <cell r="N545" t="str">
            <v>Others</v>
          </cell>
        </row>
        <row r="546">
          <cell r="N546" t="str">
            <v>Others</v>
          </cell>
        </row>
        <row r="547">
          <cell r="N547" t="str">
            <v>Others</v>
          </cell>
        </row>
        <row r="548">
          <cell r="N548" t="str">
            <v>General Stores</v>
          </cell>
        </row>
        <row r="549">
          <cell r="N549" t="str">
            <v>Others</v>
          </cell>
        </row>
        <row r="550">
          <cell r="N550" t="str">
            <v>Real Estate</v>
          </cell>
        </row>
        <row r="551">
          <cell r="N551" t="str">
            <v>Others</v>
          </cell>
        </row>
        <row r="552">
          <cell r="N552" t="str">
            <v>Grocery</v>
          </cell>
        </row>
        <row r="553">
          <cell r="N553" t="str">
            <v>Others</v>
          </cell>
        </row>
        <row r="554">
          <cell r="N554" t="str">
            <v>Others</v>
          </cell>
        </row>
        <row r="555">
          <cell r="N555" t="str">
            <v>General Rental Centers</v>
          </cell>
        </row>
        <row r="556">
          <cell r="N556" t="str">
            <v>Real Estate</v>
          </cell>
        </row>
        <row r="557">
          <cell r="N557" t="str">
            <v>General Stores</v>
          </cell>
        </row>
        <row r="558">
          <cell r="N558" t="str">
            <v>Others</v>
          </cell>
        </row>
        <row r="559">
          <cell r="N559" t="str">
            <v>General Stores</v>
          </cell>
        </row>
        <row r="560">
          <cell r="N560" t="str">
            <v>Others</v>
          </cell>
        </row>
        <row r="561">
          <cell r="N561" t="str">
            <v>Nonresidential Construction</v>
          </cell>
        </row>
        <row r="562">
          <cell r="N562" t="str">
            <v>Taxi service</v>
          </cell>
        </row>
        <row r="563">
          <cell r="N563" t="str">
            <v>Others</v>
          </cell>
        </row>
        <row r="564">
          <cell r="N564" t="str">
            <v>Others</v>
          </cell>
        </row>
        <row r="565">
          <cell r="N565" t="str">
            <v>Others</v>
          </cell>
        </row>
        <row r="566">
          <cell r="N566" t="str">
            <v>Others</v>
          </cell>
        </row>
        <row r="567">
          <cell r="N567" t="str">
            <v>Others</v>
          </cell>
        </row>
        <row r="568">
          <cell r="N568" t="str">
            <v>Others</v>
          </cell>
        </row>
        <row r="569">
          <cell r="N569" t="str">
            <v>Others</v>
          </cell>
        </row>
        <row r="570">
          <cell r="N570" t="str">
            <v>Others</v>
          </cell>
        </row>
        <row r="571">
          <cell r="N571" t="str">
            <v>Others</v>
          </cell>
        </row>
        <row r="572">
          <cell r="N572" t="str">
            <v>Hardware Stores</v>
          </cell>
        </row>
        <row r="573">
          <cell r="N573" t="str">
            <v>General Rental Centers</v>
          </cell>
        </row>
        <row r="574">
          <cell r="N574" t="str">
            <v>Real Estate</v>
          </cell>
        </row>
        <row r="575">
          <cell r="N575" t="str">
            <v>Others</v>
          </cell>
        </row>
        <row r="576">
          <cell r="N576" t="str">
            <v>Others</v>
          </cell>
        </row>
        <row r="577">
          <cell r="N577" t="str">
            <v>General Stores</v>
          </cell>
        </row>
        <row r="578">
          <cell r="N578" t="str">
            <v>Others</v>
          </cell>
        </row>
        <row r="579">
          <cell r="N579" t="str">
            <v>Furniture Stores</v>
          </cell>
        </row>
        <row r="580">
          <cell r="N580" t="str">
            <v>Others</v>
          </cell>
        </row>
        <row r="581">
          <cell r="N581" t="str">
            <v>Others</v>
          </cell>
        </row>
        <row r="582">
          <cell r="N582" t="str">
            <v>Others</v>
          </cell>
        </row>
        <row r="583">
          <cell r="N583" t="str">
            <v>Hardware, &amp; Plumbing &amp; Heating Equipment</v>
          </cell>
        </row>
        <row r="584">
          <cell r="N584" t="str">
            <v>General Rental Centers</v>
          </cell>
        </row>
        <row r="585">
          <cell r="N585" t="str">
            <v>Others</v>
          </cell>
        </row>
        <row r="586">
          <cell r="N586" t="str">
            <v>General Freight Trucking, Local</v>
          </cell>
        </row>
        <row r="587">
          <cell r="N587" t="str">
            <v>Automotive Parts, Accessories, &amp; Tire Stores</v>
          </cell>
        </row>
        <row r="588">
          <cell r="N588" t="str">
            <v>Others</v>
          </cell>
        </row>
        <row r="589">
          <cell r="N589" t="str">
            <v>General Rental Centers</v>
          </cell>
        </row>
        <row r="590">
          <cell r="N590" t="str">
            <v>General Stores</v>
          </cell>
        </row>
        <row r="591">
          <cell r="N591" t="str">
            <v>Real Estate</v>
          </cell>
        </row>
        <row r="592">
          <cell r="N592" t="str">
            <v>Electrical &amp; Electronic Goods</v>
          </cell>
        </row>
        <row r="593">
          <cell r="N593" t="str">
            <v>Others</v>
          </cell>
        </row>
        <row r="594">
          <cell r="N594" t="str">
            <v>Others</v>
          </cell>
        </row>
        <row r="595">
          <cell r="N595" t="str">
            <v>Hardware Stores</v>
          </cell>
        </row>
        <row r="596">
          <cell r="N596" t="str">
            <v>Others</v>
          </cell>
        </row>
        <row r="597">
          <cell r="N597" t="str">
            <v>Others</v>
          </cell>
        </row>
        <row r="598">
          <cell r="N598" t="str">
            <v>Schools</v>
          </cell>
        </row>
        <row r="599">
          <cell r="N599" t="str">
            <v>Others</v>
          </cell>
        </row>
        <row r="600">
          <cell r="N600" t="str">
            <v>General Rental Centers</v>
          </cell>
        </row>
        <row r="601">
          <cell r="N601" t="str">
            <v>Others</v>
          </cell>
        </row>
        <row r="602">
          <cell r="N602" t="str">
            <v>Others</v>
          </cell>
        </row>
        <row r="603">
          <cell r="N603" t="str">
            <v>Real Estate</v>
          </cell>
        </row>
        <row r="604">
          <cell r="N604" t="str">
            <v>Real Estate</v>
          </cell>
        </row>
        <row r="605">
          <cell r="N605" t="str">
            <v>Microfinance Institutions</v>
          </cell>
        </row>
        <row r="606">
          <cell r="N606" t="str">
            <v>Nonresidential Construction</v>
          </cell>
        </row>
        <row r="607">
          <cell r="N607" t="str">
            <v>Taxi service</v>
          </cell>
        </row>
        <row r="608">
          <cell r="N608" t="str">
            <v>Schools</v>
          </cell>
        </row>
        <row r="609">
          <cell r="N609" t="str">
            <v>Taxi service</v>
          </cell>
        </row>
        <row r="610">
          <cell r="N610" t="str">
            <v>Real Estate</v>
          </cell>
        </row>
        <row r="611">
          <cell r="N611" t="str">
            <v>Others</v>
          </cell>
        </row>
        <row r="612">
          <cell r="N612" t="str">
            <v>Microfinance Institutions</v>
          </cell>
        </row>
        <row r="613">
          <cell r="N613" t="str">
            <v>Architectural &amp; Structural Metals</v>
          </cell>
        </row>
        <row r="614">
          <cell r="N614" t="str">
            <v>Others</v>
          </cell>
        </row>
        <row r="615">
          <cell r="N615" t="str">
            <v>Others</v>
          </cell>
        </row>
        <row r="616">
          <cell r="N616" t="str">
            <v>Real Estate</v>
          </cell>
        </row>
        <row r="617">
          <cell r="N617" t="str">
            <v>Others</v>
          </cell>
        </row>
        <row r="618">
          <cell r="N618" t="str">
            <v>Offices of Dentists</v>
          </cell>
        </row>
        <row r="619">
          <cell r="N619" t="str">
            <v>Others</v>
          </cell>
        </row>
        <row r="620">
          <cell r="N620" t="str">
            <v>Real Estate</v>
          </cell>
        </row>
        <row r="621">
          <cell r="N621" t="str">
            <v>Others</v>
          </cell>
        </row>
        <row r="622">
          <cell r="N622" t="str">
            <v>General Stores</v>
          </cell>
        </row>
        <row r="623">
          <cell r="N623" t="str">
            <v>Hardware Stores</v>
          </cell>
        </row>
        <row r="624">
          <cell r="N624" t="str">
            <v>Others</v>
          </cell>
        </row>
        <row r="625">
          <cell r="N625" t="str">
            <v>Real Estate</v>
          </cell>
        </row>
        <row r="626">
          <cell r="N626" t="str">
            <v>Pharmacies &amp; Drug Stores</v>
          </cell>
        </row>
        <row r="627">
          <cell r="N627" t="str">
            <v>General Stores</v>
          </cell>
        </row>
        <row r="628">
          <cell r="N628" t="str">
            <v>Hardware Stores</v>
          </cell>
        </row>
        <row r="629">
          <cell r="N629" t="str">
            <v>Others</v>
          </cell>
        </row>
        <row r="630">
          <cell r="N630" t="str">
            <v>Others</v>
          </cell>
        </row>
        <row r="631">
          <cell r="N631" t="str">
            <v>Others</v>
          </cell>
        </row>
        <row r="632">
          <cell r="N632" t="str">
            <v>Grocery</v>
          </cell>
        </row>
        <row r="633">
          <cell r="N633" t="str">
            <v>Hardware Stores</v>
          </cell>
        </row>
        <row r="634">
          <cell r="N634" t="str">
            <v>Automotive Parts, Accessories, &amp; Tire Stores</v>
          </cell>
        </row>
        <row r="635">
          <cell r="N635" t="str">
            <v>Others</v>
          </cell>
        </row>
        <row r="636">
          <cell r="N636" t="str">
            <v>Warehousing and Storage</v>
          </cell>
        </row>
        <row r="637">
          <cell r="N637" t="str">
            <v>Others</v>
          </cell>
        </row>
        <row r="638">
          <cell r="N638" t="str">
            <v>Others</v>
          </cell>
        </row>
        <row r="639">
          <cell r="N639" t="str">
            <v>Others</v>
          </cell>
        </row>
        <row r="640">
          <cell r="N640" t="str">
            <v>Others</v>
          </cell>
        </row>
        <row r="641">
          <cell r="N641" t="str">
            <v>Others</v>
          </cell>
        </row>
        <row r="642">
          <cell r="N642" t="str">
            <v>Electrical &amp; Electronic Goods</v>
          </cell>
        </row>
        <row r="643">
          <cell r="N643" t="str">
            <v>Real Estate</v>
          </cell>
        </row>
        <row r="644">
          <cell r="N644" t="str">
            <v>Others</v>
          </cell>
        </row>
        <row r="645">
          <cell r="N645" t="str">
            <v>General Stores</v>
          </cell>
        </row>
        <row r="646">
          <cell r="N646" t="str">
            <v>Others</v>
          </cell>
        </row>
        <row r="647">
          <cell r="N647" t="str">
            <v>Others</v>
          </cell>
        </row>
        <row r="648">
          <cell r="N648" t="str">
            <v>Real Estate</v>
          </cell>
        </row>
        <row r="649">
          <cell r="N649" t="str">
            <v>Others</v>
          </cell>
        </row>
        <row r="650">
          <cell r="N650">
            <v>0</v>
          </cell>
        </row>
        <row r="651">
          <cell r="N651" t="str">
            <v>Others</v>
          </cell>
        </row>
        <row r="652">
          <cell r="N652" t="str">
            <v>Others</v>
          </cell>
        </row>
        <row r="653">
          <cell r="N653" t="str">
            <v>Others</v>
          </cell>
        </row>
        <row r="654">
          <cell r="N654" t="str">
            <v>Others</v>
          </cell>
        </row>
        <row r="655">
          <cell r="N655" t="str">
            <v>Maize</v>
          </cell>
        </row>
        <row r="656">
          <cell r="N656" t="str">
            <v>Others</v>
          </cell>
        </row>
        <row r="657">
          <cell r="N657" t="str">
            <v>Others</v>
          </cell>
        </row>
        <row r="658">
          <cell r="N658" t="str">
            <v>Others</v>
          </cell>
        </row>
        <row r="659">
          <cell r="N659" t="str">
            <v>Others</v>
          </cell>
        </row>
        <row r="660">
          <cell r="N660" t="str">
            <v>Others</v>
          </cell>
        </row>
        <row r="661">
          <cell r="N661" t="str">
            <v>Real Estate</v>
          </cell>
        </row>
        <row r="662">
          <cell r="N662" t="str">
            <v>General Rental Centers</v>
          </cell>
        </row>
        <row r="663">
          <cell r="N663" t="str">
            <v>Restaurant</v>
          </cell>
        </row>
        <row r="664">
          <cell r="N664" t="str">
            <v>Others</v>
          </cell>
        </row>
        <row r="665">
          <cell r="N665" t="str">
            <v>Poultry &amp; Egg Production</v>
          </cell>
        </row>
        <row r="666">
          <cell r="N666" t="str">
            <v>Others</v>
          </cell>
        </row>
        <row r="667">
          <cell r="N667" t="str">
            <v>General Rental Centers</v>
          </cell>
        </row>
        <row r="668">
          <cell r="N668" t="str">
            <v>Others</v>
          </cell>
        </row>
        <row r="669">
          <cell r="N669" t="str">
            <v>Real Estate</v>
          </cell>
        </row>
        <row r="670">
          <cell r="N670" t="str">
            <v>Real Estate</v>
          </cell>
        </row>
        <row r="671">
          <cell r="N671" t="str">
            <v>General Rental Centers</v>
          </cell>
        </row>
        <row r="672">
          <cell r="N672" t="str">
            <v>Automotive</v>
          </cell>
        </row>
        <row r="673">
          <cell r="N673" t="str">
            <v>Poultry &amp; Egg Production</v>
          </cell>
        </row>
        <row r="674">
          <cell r="N674" t="str">
            <v>Others</v>
          </cell>
        </row>
        <row r="675">
          <cell r="N675" t="str">
            <v>Others</v>
          </cell>
        </row>
        <row r="676">
          <cell r="N676" t="str">
            <v>Microfinance Institutions</v>
          </cell>
        </row>
        <row r="677">
          <cell r="N677" t="str">
            <v>General Freight Trucking, Local</v>
          </cell>
        </row>
        <row r="678">
          <cell r="N678" t="str">
            <v>Others</v>
          </cell>
        </row>
        <row r="679">
          <cell r="N679" t="str">
            <v>Others</v>
          </cell>
        </row>
        <row r="680">
          <cell r="N680" t="str">
            <v>Automotive Parts, Accessories, &amp; Tire Stores</v>
          </cell>
        </row>
        <row r="681">
          <cell r="N681" t="str">
            <v>Others</v>
          </cell>
        </row>
        <row r="682">
          <cell r="N682" t="str">
            <v>Others</v>
          </cell>
        </row>
        <row r="683">
          <cell r="N683" t="str">
            <v>Others</v>
          </cell>
        </row>
        <row r="684">
          <cell r="N684" t="str">
            <v>Others</v>
          </cell>
        </row>
        <row r="685">
          <cell r="N685" t="str">
            <v>Others</v>
          </cell>
        </row>
        <row r="686">
          <cell r="N686" t="str">
            <v>Others</v>
          </cell>
        </row>
        <row r="687">
          <cell r="N687" t="str">
            <v>Others</v>
          </cell>
        </row>
        <row r="688">
          <cell r="N688" t="str">
            <v>Others</v>
          </cell>
        </row>
        <row r="689">
          <cell r="N689" t="str">
            <v>Others</v>
          </cell>
        </row>
        <row r="690">
          <cell r="N690" t="str">
            <v>Others</v>
          </cell>
        </row>
        <row r="691">
          <cell r="N691" t="str">
            <v>Others</v>
          </cell>
        </row>
        <row r="692">
          <cell r="N692" t="str">
            <v>General Stores</v>
          </cell>
        </row>
        <row r="693">
          <cell r="N693" t="str">
            <v>Others</v>
          </cell>
        </row>
        <row r="694">
          <cell r="N694" t="str">
            <v>Others</v>
          </cell>
        </row>
        <row r="695">
          <cell r="N695" t="str">
            <v>Others</v>
          </cell>
        </row>
        <row r="696">
          <cell r="N696" t="str">
            <v>Consumer Electronics</v>
          </cell>
        </row>
        <row r="697">
          <cell r="N697" t="str">
            <v>Others</v>
          </cell>
        </row>
        <row r="698">
          <cell r="N698" t="str">
            <v>General Freight Trucking, Local</v>
          </cell>
        </row>
        <row r="699">
          <cell r="N699" t="str">
            <v>Others</v>
          </cell>
        </row>
        <row r="700">
          <cell r="N700" t="str">
            <v>Grocery</v>
          </cell>
        </row>
        <row r="701">
          <cell r="N701" t="str">
            <v>Others</v>
          </cell>
        </row>
        <row r="702">
          <cell r="N702" t="str">
            <v>Others</v>
          </cell>
        </row>
        <row r="703">
          <cell r="N703" t="str">
            <v>Beverage Stores</v>
          </cell>
        </row>
        <row r="704">
          <cell r="N704" t="str">
            <v>Others</v>
          </cell>
        </row>
        <row r="705">
          <cell r="N705" t="str">
            <v>Restaurant</v>
          </cell>
        </row>
        <row r="706">
          <cell r="N706" t="str">
            <v>Clothing Stores</v>
          </cell>
        </row>
        <row r="707">
          <cell r="N707" t="str">
            <v>Others</v>
          </cell>
        </row>
        <row r="708">
          <cell r="N708" t="str">
            <v>General Rental Centers</v>
          </cell>
        </row>
        <row r="709">
          <cell r="N709" t="str">
            <v>Others</v>
          </cell>
        </row>
        <row r="710">
          <cell r="N710" t="str">
            <v>Others</v>
          </cell>
        </row>
        <row r="711">
          <cell r="N711" t="str">
            <v>Clothing Stores</v>
          </cell>
        </row>
        <row r="712">
          <cell r="N712" t="str">
            <v>Others</v>
          </cell>
        </row>
        <row r="713">
          <cell r="N713" t="str">
            <v>Others</v>
          </cell>
        </row>
        <row r="714">
          <cell r="N714" t="str">
            <v>Others</v>
          </cell>
        </row>
        <row r="715">
          <cell r="N715" t="str">
            <v>Apparel, Piece Goods, &amp; Notions</v>
          </cell>
        </row>
        <row r="716">
          <cell r="N716" t="str">
            <v>Mobile</v>
          </cell>
        </row>
        <row r="717">
          <cell r="N717" t="str">
            <v>Others</v>
          </cell>
        </row>
        <row r="718">
          <cell r="N718" t="str">
            <v>General Rental Centers</v>
          </cell>
        </row>
        <row r="719">
          <cell r="N719" t="str">
            <v>General Freight Trucking, Long-distance</v>
          </cell>
        </row>
        <row r="720">
          <cell r="N720" t="str">
            <v>Others</v>
          </cell>
        </row>
        <row r="721">
          <cell r="N721" t="str">
            <v>Others</v>
          </cell>
        </row>
        <row r="722">
          <cell r="N722" t="str">
            <v>Apparel, Piece Goods, &amp; Notions</v>
          </cell>
        </row>
        <row r="723">
          <cell r="N723" t="str">
            <v>Colleges</v>
          </cell>
        </row>
        <row r="724">
          <cell r="N724" t="str">
            <v>Others</v>
          </cell>
        </row>
        <row r="725">
          <cell r="N725" t="str">
            <v>Schools</v>
          </cell>
        </row>
        <row r="726">
          <cell r="N726" t="str">
            <v>General Stores</v>
          </cell>
        </row>
        <row r="727">
          <cell r="N727" t="str">
            <v>Others</v>
          </cell>
        </row>
        <row r="728">
          <cell r="N728" t="str">
            <v>Others</v>
          </cell>
        </row>
        <row r="729">
          <cell r="N729" t="str">
            <v>Others</v>
          </cell>
        </row>
        <row r="730">
          <cell r="N730" t="str">
            <v>Others</v>
          </cell>
        </row>
        <row r="731">
          <cell r="N731" t="str">
            <v>Hardware, &amp; Plumbing &amp; Heating Equipment</v>
          </cell>
        </row>
        <row r="732">
          <cell r="N732" t="str">
            <v>Others</v>
          </cell>
        </row>
        <row r="733">
          <cell r="N733" t="str">
            <v>Others</v>
          </cell>
        </row>
        <row r="734">
          <cell r="N734" t="str">
            <v>Others</v>
          </cell>
        </row>
        <row r="735">
          <cell r="N735" t="str">
            <v>Others</v>
          </cell>
        </row>
        <row r="736">
          <cell r="N736" t="str">
            <v>Others</v>
          </cell>
        </row>
        <row r="737">
          <cell r="N737" t="str">
            <v>Others</v>
          </cell>
        </row>
        <row r="738">
          <cell r="N738" t="str">
            <v>Others</v>
          </cell>
        </row>
        <row r="739">
          <cell r="N739" t="str">
            <v>Take away restaurant</v>
          </cell>
        </row>
        <row r="740">
          <cell r="N740" t="str">
            <v>General Rental Centers</v>
          </cell>
        </row>
        <row r="741">
          <cell r="N741" t="str">
            <v>Others</v>
          </cell>
        </row>
        <row r="742">
          <cell r="N742" t="str">
            <v>Others</v>
          </cell>
        </row>
        <row r="743">
          <cell r="N743" t="str">
            <v>Others</v>
          </cell>
        </row>
        <row r="744">
          <cell r="N744" t="str">
            <v>Others</v>
          </cell>
        </row>
        <row r="745">
          <cell r="N745" t="str">
            <v>Others</v>
          </cell>
        </row>
        <row r="746">
          <cell r="N746" t="str">
            <v>Others</v>
          </cell>
        </row>
        <row r="747">
          <cell r="N747" t="str">
            <v>Others</v>
          </cell>
        </row>
        <row r="748">
          <cell r="N748" t="str">
            <v>Others</v>
          </cell>
        </row>
        <row r="749">
          <cell r="N749" t="str">
            <v>Others</v>
          </cell>
        </row>
        <row r="750">
          <cell r="N750" t="str">
            <v>General Stores</v>
          </cell>
        </row>
        <row r="751">
          <cell r="N751" t="str">
            <v>Others</v>
          </cell>
        </row>
        <row r="752">
          <cell r="N752" t="str">
            <v>General Stores</v>
          </cell>
        </row>
        <row r="753">
          <cell r="N753" t="str">
            <v>General Rental Centers</v>
          </cell>
        </row>
        <row r="754">
          <cell r="N754" t="str">
            <v>Confectionery &amp; Nut Stores</v>
          </cell>
        </row>
        <row r="755">
          <cell r="N755" t="str">
            <v>Others</v>
          </cell>
        </row>
        <row r="756">
          <cell r="N756" t="str">
            <v>Others</v>
          </cell>
        </row>
        <row r="757">
          <cell r="N757" t="str">
            <v>Others</v>
          </cell>
        </row>
        <row r="758">
          <cell r="N758" t="str">
            <v>General Rental Centers</v>
          </cell>
        </row>
        <row r="759">
          <cell r="N759" t="str">
            <v>Others</v>
          </cell>
        </row>
        <row r="760">
          <cell r="N760" t="str">
            <v>Others</v>
          </cell>
        </row>
        <row r="761">
          <cell r="N761">
            <v>0</v>
          </cell>
        </row>
        <row r="762">
          <cell r="N762" t="str">
            <v>Others</v>
          </cell>
        </row>
        <row r="763">
          <cell r="N763" t="str">
            <v>Others</v>
          </cell>
        </row>
        <row r="764">
          <cell r="N764" t="str">
            <v>Others</v>
          </cell>
        </row>
        <row r="765">
          <cell r="N765" t="str">
            <v>Others</v>
          </cell>
        </row>
        <row r="766">
          <cell r="N766" t="str">
            <v>Grocery</v>
          </cell>
        </row>
        <row r="767">
          <cell r="N767" t="str">
            <v>Others</v>
          </cell>
        </row>
        <row r="768">
          <cell r="N768" t="str">
            <v>General Rental Centers</v>
          </cell>
        </row>
        <row r="769">
          <cell r="N769" t="str">
            <v>Microfinance Institutions</v>
          </cell>
        </row>
        <row r="770">
          <cell r="N770" t="str">
            <v>Clothing Stores</v>
          </cell>
        </row>
        <row r="771">
          <cell r="N771" t="str">
            <v>Automotive Parts, Accessories, &amp; Tire Stores</v>
          </cell>
        </row>
        <row r="772">
          <cell r="N772" t="str">
            <v>General Rental Centers</v>
          </cell>
        </row>
        <row r="773">
          <cell r="N773" t="str">
            <v>Motor Vehicle &amp; Parts</v>
          </cell>
        </row>
        <row r="774">
          <cell r="N774" t="str">
            <v>Others</v>
          </cell>
        </row>
        <row r="775">
          <cell r="N775" t="str">
            <v>Others</v>
          </cell>
        </row>
        <row r="776">
          <cell r="N776" t="str">
            <v>Poultry &amp; Egg Production</v>
          </cell>
        </row>
        <row r="777">
          <cell r="N777" t="str">
            <v>Others</v>
          </cell>
        </row>
        <row r="778">
          <cell r="N778" t="str">
            <v>Others</v>
          </cell>
        </row>
        <row r="779">
          <cell r="N779" t="str">
            <v>Book Publishers</v>
          </cell>
        </row>
        <row r="780">
          <cell r="N780" t="str">
            <v>Others</v>
          </cell>
        </row>
        <row r="781">
          <cell r="N781" t="str">
            <v>Others</v>
          </cell>
        </row>
        <row r="782">
          <cell r="N782" t="str">
            <v>Others</v>
          </cell>
        </row>
        <row r="783">
          <cell r="N783" t="str">
            <v>Others</v>
          </cell>
        </row>
        <row r="784">
          <cell r="N784" t="str">
            <v>Others</v>
          </cell>
        </row>
        <row r="785">
          <cell r="N785" t="str">
            <v>Others</v>
          </cell>
        </row>
        <row r="786">
          <cell r="N786" t="str">
            <v>Others</v>
          </cell>
        </row>
        <row r="787">
          <cell r="N787" t="str">
            <v>Others</v>
          </cell>
        </row>
        <row r="788">
          <cell r="N788" t="str">
            <v>Others</v>
          </cell>
        </row>
        <row r="789">
          <cell r="N789" t="str">
            <v>Others</v>
          </cell>
        </row>
        <row r="790">
          <cell r="N790" t="str">
            <v>Cosmetics, Beauty Supplies, &amp; Perfume Stores</v>
          </cell>
        </row>
        <row r="791">
          <cell r="N791" t="str">
            <v>General Stores</v>
          </cell>
        </row>
        <row r="792">
          <cell r="N792" t="str">
            <v>Schools</v>
          </cell>
        </row>
        <row r="793">
          <cell r="N793" t="str">
            <v>Others</v>
          </cell>
        </row>
        <row r="794">
          <cell r="N794" t="str">
            <v>Others</v>
          </cell>
        </row>
        <row r="795">
          <cell r="N795" t="str">
            <v>Bus transportation</v>
          </cell>
        </row>
        <row r="796">
          <cell r="N796" t="str">
            <v>Others</v>
          </cell>
        </row>
        <row r="797">
          <cell r="N797" t="str">
            <v>Others</v>
          </cell>
        </row>
        <row r="798">
          <cell r="N798" t="str">
            <v>Others</v>
          </cell>
        </row>
        <row r="799">
          <cell r="N799" t="str">
            <v>Real Estate</v>
          </cell>
        </row>
        <row r="800">
          <cell r="N800" t="str">
            <v>Others</v>
          </cell>
        </row>
        <row r="801">
          <cell r="N801" t="str">
            <v>Others</v>
          </cell>
        </row>
        <row r="802">
          <cell r="N802" t="str">
            <v xml:space="preserve"> Medical &amp; Diagnostic Laboratories</v>
          </cell>
        </row>
        <row r="803">
          <cell r="N803" t="str">
            <v>Automotive Parts, Accessories, &amp; Tire Stores</v>
          </cell>
        </row>
        <row r="804">
          <cell r="N804" t="str">
            <v>Others</v>
          </cell>
        </row>
        <row r="805">
          <cell r="N805" t="str">
            <v>Others</v>
          </cell>
        </row>
        <row r="806">
          <cell r="N806" t="str">
            <v>Others</v>
          </cell>
        </row>
        <row r="807">
          <cell r="N807" t="str">
            <v>Others</v>
          </cell>
        </row>
        <row r="808">
          <cell r="N808" t="str">
            <v>Real Estate</v>
          </cell>
        </row>
        <row r="809">
          <cell r="N809" t="str">
            <v>Others</v>
          </cell>
        </row>
        <row r="810">
          <cell r="N810" t="str">
            <v>Others</v>
          </cell>
        </row>
        <row r="811">
          <cell r="N811" t="str">
            <v>General Freight Trucking, Long-distance</v>
          </cell>
        </row>
        <row r="812">
          <cell r="N812" t="str">
            <v>General Rental Centers</v>
          </cell>
        </row>
        <row r="813">
          <cell r="N813" t="str">
            <v>Poultry &amp; Egg Production</v>
          </cell>
        </row>
        <row r="814">
          <cell r="N814" t="str">
            <v>Others</v>
          </cell>
        </row>
        <row r="815">
          <cell r="N815" t="str">
            <v>Others</v>
          </cell>
        </row>
        <row r="816">
          <cell r="N816" t="str">
            <v>Others</v>
          </cell>
        </row>
        <row r="817">
          <cell r="N817" t="str">
            <v>Others</v>
          </cell>
        </row>
        <row r="818">
          <cell r="N818" t="str">
            <v>Others</v>
          </cell>
        </row>
        <row r="819">
          <cell r="N819" t="str">
            <v>Newspaper Publishers</v>
          </cell>
        </row>
        <row r="820">
          <cell r="N820" t="str">
            <v>Others</v>
          </cell>
        </row>
        <row r="821">
          <cell r="N821" t="str">
            <v>Others</v>
          </cell>
        </row>
        <row r="822">
          <cell r="N822" t="str">
            <v>Others</v>
          </cell>
        </row>
        <row r="823">
          <cell r="N823" t="str">
            <v>Others</v>
          </cell>
        </row>
        <row r="824">
          <cell r="N824" t="str">
            <v>Poultry &amp; Egg Production</v>
          </cell>
        </row>
        <row r="825">
          <cell r="N825" t="str">
            <v>General Stores</v>
          </cell>
        </row>
        <row r="826">
          <cell r="N826" t="str">
            <v>Others</v>
          </cell>
        </row>
        <row r="827">
          <cell r="N827" t="str">
            <v>Nonresidential Construction</v>
          </cell>
        </row>
        <row r="828">
          <cell r="N828" t="str">
            <v>Others</v>
          </cell>
        </row>
        <row r="829">
          <cell r="N829" t="str">
            <v>Others</v>
          </cell>
        </row>
        <row r="830">
          <cell r="N830" t="str">
            <v>Others</v>
          </cell>
        </row>
        <row r="831">
          <cell r="N831" t="str">
            <v>Others</v>
          </cell>
        </row>
        <row r="832">
          <cell r="N832" t="str">
            <v>Others</v>
          </cell>
        </row>
        <row r="833">
          <cell r="N833" t="str">
            <v>Others</v>
          </cell>
        </row>
        <row r="834">
          <cell r="N834" t="str">
            <v>Drugs &amp; Druggists' Sundries</v>
          </cell>
        </row>
        <row r="835">
          <cell r="N835" t="str">
            <v>General Rental Centers</v>
          </cell>
        </row>
        <row r="836">
          <cell r="N836" t="str">
            <v>General Rental Centers</v>
          </cell>
        </row>
        <row r="837">
          <cell r="N837" t="str">
            <v>Others</v>
          </cell>
        </row>
        <row r="838">
          <cell r="N838" t="str">
            <v>Warehousing and Storage</v>
          </cell>
        </row>
        <row r="839">
          <cell r="N839" t="str">
            <v>Others</v>
          </cell>
        </row>
        <row r="840">
          <cell r="N840" t="str">
            <v>General Rental Centers</v>
          </cell>
        </row>
        <row r="841">
          <cell r="N841" t="str">
            <v>Others</v>
          </cell>
        </row>
        <row r="842">
          <cell r="N842" t="str">
            <v>Others</v>
          </cell>
        </row>
        <row r="843">
          <cell r="N843" t="str">
            <v>Others</v>
          </cell>
        </row>
        <row r="844">
          <cell r="N844" t="str">
            <v>Others</v>
          </cell>
        </row>
        <row r="845">
          <cell r="N845" t="str">
            <v>Others</v>
          </cell>
        </row>
        <row r="846">
          <cell r="N846" t="str">
            <v>Hardware Stores</v>
          </cell>
        </row>
        <row r="847">
          <cell r="N847" t="str">
            <v>Real Estate</v>
          </cell>
        </row>
        <row r="848">
          <cell r="N848" t="str">
            <v>Others</v>
          </cell>
        </row>
        <row r="849">
          <cell r="N849" t="str">
            <v>Others</v>
          </cell>
        </row>
        <row r="850">
          <cell r="N850" t="str">
            <v>Others</v>
          </cell>
        </row>
        <row r="851">
          <cell r="N851" t="str">
            <v>General Rental Centers</v>
          </cell>
        </row>
        <row r="852">
          <cell r="N852" t="str">
            <v>Hardware, &amp; Plumbing &amp; Heating Equipment</v>
          </cell>
        </row>
        <row r="853">
          <cell r="N853" t="str">
            <v>Others</v>
          </cell>
        </row>
        <row r="854">
          <cell r="N854" t="str">
            <v>General Stores</v>
          </cell>
        </row>
        <row r="855">
          <cell r="N855" t="str">
            <v>General Stores</v>
          </cell>
        </row>
        <row r="856">
          <cell r="N856" t="str">
            <v>Others</v>
          </cell>
        </row>
        <row r="857">
          <cell r="N857" t="str">
            <v>Others</v>
          </cell>
        </row>
        <row r="858">
          <cell r="N858" t="str">
            <v>General Stores</v>
          </cell>
        </row>
        <row r="859">
          <cell r="N859" t="str">
            <v>Others</v>
          </cell>
        </row>
        <row r="860">
          <cell r="N860" t="str">
            <v>Others</v>
          </cell>
        </row>
        <row r="861">
          <cell r="N861" t="str">
            <v>Schools</v>
          </cell>
        </row>
        <row r="862">
          <cell r="N862" t="str">
            <v>Others</v>
          </cell>
        </row>
        <row r="863">
          <cell r="N863" t="str">
            <v>General Stores</v>
          </cell>
        </row>
        <row r="864">
          <cell r="N864" t="str">
            <v>General Rental Centers</v>
          </cell>
        </row>
        <row r="865">
          <cell r="N865" t="str">
            <v>Others</v>
          </cell>
        </row>
        <row r="866">
          <cell r="N866" t="str">
            <v>General Stores</v>
          </cell>
        </row>
        <row r="867">
          <cell r="N867" t="str">
            <v>Others</v>
          </cell>
        </row>
        <row r="868">
          <cell r="N868" t="str">
            <v>General Stores</v>
          </cell>
        </row>
        <row r="869">
          <cell r="N869" t="str">
            <v>Others</v>
          </cell>
        </row>
        <row r="870">
          <cell r="N870" t="str">
            <v>Others</v>
          </cell>
        </row>
        <row r="871">
          <cell r="N871" t="str">
            <v>Others</v>
          </cell>
        </row>
        <row r="872">
          <cell r="N872" t="str">
            <v>Others</v>
          </cell>
        </row>
        <row r="873">
          <cell r="N873" t="str">
            <v>Residential Construction</v>
          </cell>
        </row>
        <row r="874">
          <cell r="N874" t="str">
            <v>Others</v>
          </cell>
        </row>
        <row r="875">
          <cell r="N875" t="str">
            <v>Others</v>
          </cell>
        </row>
        <row r="876">
          <cell r="N876" t="str">
            <v>General Stores</v>
          </cell>
        </row>
        <row r="877">
          <cell r="N877" t="str">
            <v>Others</v>
          </cell>
        </row>
        <row r="878">
          <cell r="N878" t="str">
            <v>Schools</v>
          </cell>
        </row>
        <row r="879">
          <cell r="N879" t="str">
            <v>General Stores</v>
          </cell>
        </row>
        <row r="880">
          <cell r="N880" t="str">
            <v>Others</v>
          </cell>
        </row>
        <row r="881">
          <cell r="N881" t="str">
            <v>General Stores</v>
          </cell>
        </row>
        <row r="882">
          <cell r="N882" t="str">
            <v>Others</v>
          </cell>
        </row>
        <row r="883">
          <cell r="N883" t="str">
            <v>Others</v>
          </cell>
        </row>
        <row r="884">
          <cell r="N884" t="str">
            <v>Professional &amp; Commercial Equipment</v>
          </cell>
        </row>
        <row r="885">
          <cell r="N885" t="str">
            <v>Others</v>
          </cell>
        </row>
        <row r="886">
          <cell r="N886" t="str">
            <v>Schools</v>
          </cell>
        </row>
        <row r="887">
          <cell r="N887" t="str">
            <v>Others</v>
          </cell>
        </row>
        <row r="888">
          <cell r="N888" t="str">
            <v>Others</v>
          </cell>
        </row>
        <row r="889">
          <cell r="N889" t="str">
            <v>Others</v>
          </cell>
        </row>
        <row r="890">
          <cell r="N890" t="str">
            <v>Real Estate</v>
          </cell>
        </row>
        <row r="891">
          <cell r="N891" t="str">
            <v>Others</v>
          </cell>
        </row>
        <row r="892">
          <cell r="N892" t="str">
            <v>Nonresidential Construction</v>
          </cell>
        </row>
        <row r="893">
          <cell r="N893" t="str">
            <v>Others</v>
          </cell>
        </row>
        <row r="894">
          <cell r="N894" t="str">
            <v>General Rental Centers</v>
          </cell>
        </row>
        <row r="895">
          <cell r="N895" t="str">
            <v>General Rental Centers</v>
          </cell>
        </row>
        <row r="896">
          <cell r="N896" t="str">
            <v>Others</v>
          </cell>
        </row>
        <row r="897">
          <cell r="N897" t="str">
            <v>General Freight Trucking, Local</v>
          </cell>
        </row>
        <row r="898">
          <cell r="N898" t="str">
            <v>Drugs &amp; Druggists' Sundries</v>
          </cell>
        </row>
        <row r="899">
          <cell r="N899" t="str">
            <v>Others</v>
          </cell>
        </row>
        <row r="900">
          <cell r="N900" t="str">
            <v>Others</v>
          </cell>
        </row>
        <row r="901">
          <cell r="N901" t="str">
            <v>General Rental Centers</v>
          </cell>
        </row>
        <row r="902">
          <cell r="N902" t="str">
            <v>Real Estate</v>
          </cell>
        </row>
        <row r="903">
          <cell r="N903" t="str">
            <v>Others</v>
          </cell>
        </row>
        <row r="904">
          <cell r="N904" t="str">
            <v>Others</v>
          </cell>
        </row>
        <row r="905">
          <cell r="N905" t="str">
            <v>Schools</v>
          </cell>
        </row>
        <row r="906">
          <cell r="N906" t="str">
            <v>Others</v>
          </cell>
        </row>
        <row r="907">
          <cell r="N907" t="str">
            <v>Real Estate</v>
          </cell>
        </row>
        <row r="908">
          <cell r="N908" t="str">
            <v>Others</v>
          </cell>
        </row>
        <row r="909">
          <cell r="N909" t="str">
            <v>Other Animal Production</v>
          </cell>
        </row>
        <row r="910">
          <cell r="N910" t="str">
            <v>Others</v>
          </cell>
        </row>
        <row r="911">
          <cell r="N911" t="str">
            <v>Others</v>
          </cell>
        </row>
        <row r="912">
          <cell r="N912" t="str">
            <v>Clothing Stores</v>
          </cell>
        </row>
        <row r="913">
          <cell r="N913" t="str">
            <v>Others</v>
          </cell>
        </row>
        <row r="914">
          <cell r="N914" t="str">
            <v>Others</v>
          </cell>
        </row>
        <row r="915">
          <cell r="N915" t="str">
            <v>Others</v>
          </cell>
        </row>
        <row r="916">
          <cell r="N916" t="str">
            <v>General Stores</v>
          </cell>
        </row>
        <row r="917">
          <cell r="N917" t="str">
            <v>Others</v>
          </cell>
        </row>
        <row r="918">
          <cell r="N918" t="str">
            <v>Others</v>
          </cell>
        </row>
        <row r="919">
          <cell r="N919" t="str">
            <v>Others</v>
          </cell>
        </row>
        <row r="920">
          <cell r="N920" t="str">
            <v>Hardware, &amp; Plumbing &amp; Heating Equipment</v>
          </cell>
        </row>
        <row r="921">
          <cell r="N921" t="str">
            <v>Others</v>
          </cell>
        </row>
        <row r="922">
          <cell r="N922" t="str">
            <v>Others</v>
          </cell>
        </row>
        <row r="923">
          <cell r="N923" t="str">
            <v>Others</v>
          </cell>
        </row>
        <row r="924">
          <cell r="N924" t="str">
            <v>Others</v>
          </cell>
        </row>
        <row r="925">
          <cell r="N925" t="str">
            <v>Clothing Stores</v>
          </cell>
        </row>
        <row r="926">
          <cell r="N926" t="str">
            <v>Others</v>
          </cell>
        </row>
        <row r="927">
          <cell r="N927" t="str">
            <v>General Stores</v>
          </cell>
        </row>
        <row r="928">
          <cell r="N928" t="str">
            <v>Poultry &amp; Egg Production</v>
          </cell>
        </row>
        <row r="929">
          <cell r="N929" t="str">
            <v>Others</v>
          </cell>
        </row>
        <row r="930">
          <cell r="N930" t="str">
            <v>General Stores</v>
          </cell>
        </row>
        <row r="931">
          <cell r="N931" t="str">
            <v>General Stores</v>
          </cell>
        </row>
        <row r="932">
          <cell r="N932" t="str">
            <v>Others</v>
          </cell>
        </row>
        <row r="933">
          <cell r="N933" t="str">
            <v>Others</v>
          </cell>
        </row>
        <row r="934">
          <cell r="N934" t="str">
            <v>General Stores</v>
          </cell>
        </row>
        <row r="935">
          <cell r="N935" t="str">
            <v>Others</v>
          </cell>
        </row>
        <row r="936">
          <cell r="N936" t="str">
            <v>Others</v>
          </cell>
        </row>
        <row r="937">
          <cell r="N937" t="str">
            <v>Hardware Stores</v>
          </cell>
        </row>
        <row r="938">
          <cell r="N938" t="str">
            <v>Hardware Stores</v>
          </cell>
        </row>
        <row r="939">
          <cell r="N939" t="str">
            <v>Others</v>
          </cell>
        </row>
        <row r="940">
          <cell r="N940" t="str">
            <v>General Stores</v>
          </cell>
        </row>
        <row r="941">
          <cell r="N941" t="str">
            <v>Automotive Parts, Accessories, &amp; Tire Stores</v>
          </cell>
        </row>
        <row r="942">
          <cell r="N942" t="str">
            <v>Others</v>
          </cell>
        </row>
        <row r="943">
          <cell r="N943" t="str">
            <v>Other Animal Production</v>
          </cell>
        </row>
        <row r="944">
          <cell r="N944" t="str">
            <v>Others</v>
          </cell>
        </row>
        <row r="945">
          <cell r="N945" t="str">
            <v>Others</v>
          </cell>
        </row>
        <row r="946">
          <cell r="N946" t="str">
            <v>Others</v>
          </cell>
        </row>
        <row r="947">
          <cell r="N947" t="str">
            <v>Others</v>
          </cell>
        </row>
        <row r="948">
          <cell r="N948" t="str">
            <v>Fruit &amp; Vegetable Markets</v>
          </cell>
        </row>
        <row r="949">
          <cell r="N949" t="str">
            <v>Others</v>
          </cell>
        </row>
        <row r="950">
          <cell r="N950" t="str">
            <v>Schools</v>
          </cell>
        </row>
        <row r="951">
          <cell r="N951" t="str">
            <v>Hotel</v>
          </cell>
        </row>
        <row r="952">
          <cell r="N952" t="str">
            <v>Others</v>
          </cell>
        </row>
        <row r="953">
          <cell r="N953" t="str">
            <v>Others</v>
          </cell>
        </row>
        <row r="954">
          <cell r="N954" t="str">
            <v>Others</v>
          </cell>
        </row>
        <row r="955">
          <cell r="N955" t="str">
            <v>Others</v>
          </cell>
        </row>
        <row r="956">
          <cell r="N956" t="str">
            <v>General Rental Centers</v>
          </cell>
        </row>
        <row r="957">
          <cell r="N957" t="str">
            <v>General Stores</v>
          </cell>
        </row>
        <row r="958">
          <cell r="N958" t="str">
            <v>Others</v>
          </cell>
        </row>
        <row r="959">
          <cell r="N959" t="str">
            <v>Others</v>
          </cell>
        </row>
        <row r="960">
          <cell r="N960" t="str">
            <v>Mobile</v>
          </cell>
        </row>
        <row r="961">
          <cell r="N961" t="str">
            <v>Others</v>
          </cell>
        </row>
        <row r="962">
          <cell r="N962" t="str">
            <v>Nonresidential Construction</v>
          </cell>
        </row>
        <row r="963">
          <cell r="N963" t="str">
            <v>Others</v>
          </cell>
        </row>
        <row r="964">
          <cell r="N964" t="str">
            <v>Lumber &amp; Other Construction Materials</v>
          </cell>
        </row>
        <row r="965">
          <cell r="N965" t="str">
            <v>Hospital</v>
          </cell>
        </row>
        <row r="966">
          <cell r="N966" t="str">
            <v>Others</v>
          </cell>
        </row>
        <row r="967">
          <cell r="N967" t="str">
            <v>General Rental Centers</v>
          </cell>
        </row>
        <row r="968">
          <cell r="N968" t="str">
            <v>Hotel</v>
          </cell>
        </row>
        <row r="969">
          <cell r="N969" t="str">
            <v>Confectionery &amp; Nut Stores</v>
          </cell>
        </row>
        <row r="970">
          <cell r="N970" t="str">
            <v>Others</v>
          </cell>
        </row>
        <row r="971">
          <cell r="N971" t="str">
            <v>Others</v>
          </cell>
        </row>
        <row r="972">
          <cell r="N972" t="str">
            <v>Others</v>
          </cell>
        </row>
        <row r="973">
          <cell r="N973" t="str">
            <v>Others</v>
          </cell>
        </row>
        <row r="974">
          <cell r="N974" t="str">
            <v>Others</v>
          </cell>
        </row>
        <row r="975">
          <cell r="N975" t="str">
            <v>Real Estate</v>
          </cell>
        </row>
        <row r="976">
          <cell r="N976" t="str">
            <v>General Rental Centers</v>
          </cell>
        </row>
        <row r="977">
          <cell r="N977" t="str">
            <v>Others</v>
          </cell>
        </row>
        <row r="978">
          <cell r="N978" t="str">
            <v>Others</v>
          </cell>
        </row>
        <row r="979">
          <cell r="N979" t="str">
            <v>Others</v>
          </cell>
        </row>
        <row r="980">
          <cell r="N980" t="str">
            <v>Others</v>
          </cell>
        </row>
        <row r="981">
          <cell r="N981" t="str">
            <v>Schools</v>
          </cell>
        </row>
        <row r="982">
          <cell r="N982" t="str">
            <v>Others</v>
          </cell>
        </row>
        <row r="983">
          <cell r="N983" t="str">
            <v xml:space="preserve"> Medical &amp; Diagnostic Laboratories</v>
          </cell>
        </row>
        <row r="984">
          <cell r="N984" t="str">
            <v>Others</v>
          </cell>
        </row>
        <row r="985">
          <cell r="N985" t="str">
            <v>Others</v>
          </cell>
        </row>
        <row r="986">
          <cell r="N986" t="str">
            <v>Others</v>
          </cell>
        </row>
        <row r="987">
          <cell r="N987" t="str">
            <v>Others</v>
          </cell>
        </row>
        <row r="988">
          <cell r="N988" t="str">
            <v>Others</v>
          </cell>
        </row>
        <row r="989">
          <cell r="N989" t="str">
            <v>Others</v>
          </cell>
        </row>
        <row r="990">
          <cell r="N990" t="str">
            <v>House decors</v>
          </cell>
        </row>
        <row r="991">
          <cell r="N991" t="str">
            <v>Others</v>
          </cell>
        </row>
        <row r="992">
          <cell r="N992" t="str">
            <v>Automotive Parts, Accessories, &amp; Tire Stores</v>
          </cell>
        </row>
        <row r="993">
          <cell r="N993" t="str">
            <v>Others</v>
          </cell>
        </row>
        <row r="994">
          <cell r="N994" t="str">
            <v>Others</v>
          </cell>
        </row>
        <row r="995">
          <cell r="N995" t="str">
            <v>House decors</v>
          </cell>
        </row>
        <row r="996">
          <cell r="N996" t="str">
            <v>Others</v>
          </cell>
        </row>
        <row r="997">
          <cell r="N997" t="str">
            <v>Others</v>
          </cell>
        </row>
        <row r="998">
          <cell r="N998" t="str">
            <v>Others</v>
          </cell>
        </row>
        <row r="999">
          <cell r="N999" t="str">
            <v>Others</v>
          </cell>
        </row>
        <row r="1000">
          <cell r="N1000" t="str">
            <v>Others</v>
          </cell>
        </row>
      </sheetData>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Disbursement"/>
      <sheetName val="Loans Port Progression"/>
      <sheetName val="Data"/>
      <sheetName val="Global Portfolio"/>
      <sheetName val="Delinquency"/>
      <sheetName val="Data-graph"/>
      <sheetName val="DelinquencyPerSector"/>
      <sheetName val="Sheet1"/>
      <sheetName val="Deliquency With Sector"/>
      <sheetName val="Credit Officer Per Branch"/>
    </sheetNames>
    <sheetDataSet>
      <sheetData sheetId="0">
        <row r="12">
          <cell r="B12" t="str">
            <v>01-05-2015</v>
          </cell>
        </row>
        <row r="15">
          <cell r="B15" t="str">
            <v>31-05-2015</v>
          </cell>
        </row>
      </sheetData>
      <sheetData sheetId="1"/>
      <sheetData sheetId="2"/>
      <sheetData sheetId="3"/>
      <sheetData sheetId="4">
        <row r="2">
          <cell r="N2" t="str">
            <v>DCOLLECTOR</v>
          </cell>
        </row>
        <row r="3">
          <cell r="N3" t="str">
            <v>DCOLLECTOR</v>
          </cell>
        </row>
        <row r="4">
          <cell r="N4" t="str">
            <v>DCOLLECTOR</v>
          </cell>
        </row>
        <row r="5">
          <cell r="N5" t="str">
            <v>JLUMUNYE</v>
          </cell>
        </row>
        <row r="6">
          <cell r="N6" t="str">
            <v>LMUBIRU</v>
          </cell>
        </row>
        <row r="7">
          <cell r="N7" t="str">
            <v>JLUMUNYE</v>
          </cell>
        </row>
        <row r="8">
          <cell r="N8" t="str">
            <v>DCOLLECTOR</v>
          </cell>
        </row>
        <row r="9">
          <cell r="N9" t="str">
            <v>BKYOMUGISH</v>
          </cell>
        </row>
        <row r="10">
          <cell r="N10" t="str">
            <v>LKABABIITO</v>
          </cell>
        </row>
        <row r="11">
          <cell r="N11" t="str">
            <v>LKABABIITO</v>
          </cell>
        </row>
        <row r="12">
          <cell r="N12" t="str">
            <v>FDAGIRU</v>
          </cell>
        </row>
        <row r="13">
          <cell r="N13" t="str">
            <v>BKYOMUGISH</v>
          </cell>
        </row>
        <row r="14">
          <cell r="N14" t="str">
            <v>JNDAGIRE</v>
          </cell>
        </row>
        <row r="15">
          <cell r="N15" t="str">
            <v>JNDAGIRE</v>
          </cell>
        </row>
        <row r="16">
          <cell r="N16" t="str">
            <v>FDAGIRU</v>
          </cell>
        </row>
        <row r="17">
          <cell r="N17" t="str">
            <v>BKYOMUGISH</v>
          </cell>
        </row>
        <row r="18">
          <cell r="N18" t="str">
            <v>LKABABIITO</v>
          </cell>
        </row>
        <row r="19">
          <cell r="N19" t="str">
            <v>LKABABIITO</v>
          </cell>
        </row>
        <row r="20">
          <cell r="N20" t="str">
            <v>CKIWUMULO</v>
          </cell>
        </row>
        <row r="21">
          <cell r="N21" t="str">
            <v>FMATOVU</v>
          </cell>
        </row>
        <row r="22">
          <cell r="N22" t="str">
            <v>FDAGIRU</v>
          </cell>
        </row>
        <row r="23">
          <cell r="N23" t="str">
            <v>DCOLLECTOR</v>
          </cell>
        </row>
        <row r="24">
          <cell r="N24" t="str">
            <v>JNDAGIRE</v>
          </cell>
        </row>
        <row r="25">
          <cell r="N25" t="str">
            <v>FMATOVU</v>
          </cell>
        </row>
        <row r="26">
          <cell r="N26" t="str">
            <v>DCOLLECTOR</v>
          </cell>
        </row>
        <row r="27">
          <cell r="N27" t="str">
            <v>CKIWUMULO</v>
          </cell>
        </row>
        <row r="28">
          <cell r="N28" t="str">
            <v>BKYOMUGISH</v>
          </cell>
        </row>
        <row r="29">
          <cell r="N29" t="str">
            <v>JNDAGIRE</v>
          </cell>
        </row>
        <row r="30">
          <cell r="N30" t="str">
            <v>DCOLLECTOR</v>
          </cell>
        </row>
        <row r="31">
          <cell r="N31" t="str">
            <v>JLUMUNYE</v>
          </cell>
        </row>
        <row r="32">
          <cell r="N32" t="str">
            <v>BKYOMUGISH</v>
          </cell>
        </row>
        <row r="33">
          <cell r="N33" t="str">
            <v>FDAGIRU</v>
          </cell>
        </row>
        <row r="34">
          <cell r="N34" t="str">
            <v>BKYOMUGISH</v>
          </cell>
        </row>
        <row r="35">
          <cell r="N35" t="str">
            <v>LKABABIITO</v>
          </cell>
        </row>
        <row r="36">
          <cell r="N36" t="str">
            <v>EKOBUSINGE</v>
          </cell>
        </row>
        <row r="37">
          <cell r="N37" t="str">
            <v>EKOBUSINGE</v>
          </cell>
        </row>
        <row r="38">
          <cell r="N38" t="str">
            <v>JLUMUNYE</v>
          </cell>
        </row>
        <row r="39">
          <cell r="N39" t="str">
            <v>FMATOVU</v>
          </cell>
        </row>
        <row r="40">
          <cell r="N40" t="str">
            <v>FMATOVU</v>
          </cell>
        </row>
        <row r="41">
          <cell r="N41" t="str">
            <v>EKABAHENDA</v>
          </cell>
        </row>
        <row r="42">
          <cell r="N42" t="str">
            <v>BKYOMUGISH</v>
          </cell>
        </row>
        <row r="43">
          <cell r="N43" t="str">
            <v>DCOLLECTOR</v>
          </cell>
        </row>
        <row r="44">
          <cell r="N44" t="str">
            <v>LMUBIRU</v>
          </cell>
        </row>
        <row r="45">
          <cell r="N45" t="str">
            <v>JLUMUNYE</v>
          </cell>
        </row>
        <row r="46">
          <cell r="N46" t="str">
            <v>BKYOMUGISH</v>
          </cell>
        </row>
        <row r="47">
          <cell r="N47" t="str">
            <v>FDAGIRU</v>
          </cell>
        </row>
        <row r="48">
          <cell r="N48" t="str">
            <v>JLUMUNYE</v>
          </cell>
        </row>
        <row r="49">
          <cell r="N49" t="str">
            <v>CAYESIGA</v>
          </cell>
        </row>
        <row r="50">
          <cell r="N50" t="str">
            <v>BKYOMUGISH</v>
          </cell>
        </row>
        <row r="51">
          <cell r="N51" t="str">
            <v>CKIWUMULO</v>
          </cell>
        </row>
        <row r="52">
          <cell r="N52" t="str">
            <v>FDAGIRU</v>
          </cell>
        </row>
        <row r="53">
          <cell r="N53" t="str">
            <v>DCOLLECTOR</v>
          </cell>
        </row>
        <row r="54">
          <cell r="N54" t="str">
            <v>BKYOMUGISH</v>
          </cell>
        </row>
        <row r="55">
          <cell r="N55" t="str">
            <v>JLUMUNYE</v>
          </cell>
        </row>
        <row r="56">
          <cell r="N56" t="str">
            <v>LMUBIRU</v>
          </cell>
        </row>
        <row r="57">
          <cell r="N57" t="str">
            <v>BKYOMUGISH</v>
          </cell>
        </row>
        <row r="58">
          <cell r="N58" t="str">
            <v>JLUMUNYE</v>
          </cell>
        </row>
        <row r="59">
          <cell r="N59" t="str">
            <v>DCOLLECTOR</v>
          </cell>
        </row>
        <row r="60">
          <cell r="N60" t="str">
            <v>LKABABIITO</v>
          </cell>
        </row>
        <row r="61">
          <cell r="N61" t="str">
            <v>IMUGARUKIR</v>
          </cell>
        </row>
        <row r="62">
          <cell r="N62" t="str">
            <v>FDAGIRU</v>
          </cell>
        </row>
        <row r="63">
          <cell r="N63" t="str">
            <v>BKYOMUGISH</v>
          </cell>
        </row>
        <row r="64">
          <cell r="N64" t="str">
            <v>BKYOMUGISH</v>
          </cell>
        </row>
        <row r="65">
          <cell r="N65" t="str">
            <v>LMUBIRU</v>
          </cell>
        </row>
        <row r="66">
          <cell r="N66" t="str">
            <v>BKYOMUGISH</v>
          </cell>
        </row>
        <row r="67">
          <cell r="N67" t="str">
            <v>LKABABIITO</v>
          </cell>
        </row>
        <row r="68">
          <cell r="N68" t="str">
            <v>FDAGIRU</v>
          </cell>
        </row>
        <row r="69">
          <cell r="N69" t="str">
            <v>EMUGALA</v>
          </cell>
        </row>
        <row r="70">
          <cell r="N70" t="str">
            <v>DCOLLECTOR</v>
          </cell>
        </row>
        <row r="71">
          <cell r="N71" t="str">
            <v>DCOLLECTOR</v>
          </cell>
        </row>
        <row r="72">
          <cell r="N72" t="str">
            <v>JNDAGIRE</v>
          </cell>
        </row>
        <row r="73">
          <cell r="N73" t="str">
            <v>BKYOMUGISH</v>
          </cell>
        </row>
        <row r="74">
          <cell r="N74" t="str">
            <v>EMUGALA</v>
          </cell>
        </row>
        <row r="75">
          <cell r="N75" t="str">
            <v>FMATOVU</v>
          </cell>
        </row>
        <row r="76">
          <cell r="N76" t="str">
            <v>JLUMUNYE</v>
          </cell>
        </row>
        <row r="77">
          <cell r="N77" t="str">
            <v>FDAGIRU</v>
          </cell>
        </row>
        <row r="78">
          <cell r="N78" t="str">
            <v>FMATOVU</v>
          </cell>
        </row>
        <row r="79">
          <cell r="N79" t="str">
            <v>JLUYIMA</v>
          </cell>
        </row>
        <row r="80">
          <cell r="N80" t="str">
            <v>JNDAGIRE</v>
          </cell>
        </row>
        <row r="81">
          <cell r="N81" t="str">
            <v>CAYESIGA</v>
          </cell>
        </row>
        <row r="82">
          <cell r="N82" t="str">
            <v>CAYESIGA</v>
          </cell>
        </row>
        <row r="83">
          <cell r="N83" t="str">
            <v>JNDAGIRE</v>
          </cell>
        </row>
        <row r="84">
          <cell r="N84" t="str">
            <v>DCOLLECTOR</v>
          </cell>
        </row>
        <row r="85">
          <cell r="N85" t="str">
            <v>LKABABIITO</v>
          </cell>
        </row>
        <row r="86">
          <cell r="N86" t="str">
            <v>FMATOVU</v>
          </cell>
        </row>
        <row r="87">
          <cell r="N87" t="str">
            <v>DCOLLECTOR</v>
          </cell>
        </row>
        <row r="88">
          <cell r="N88" t="str">
            <v>EKOBUSINGE</v>
          </cell>
        </row>
        <row r="89">
          <cell r="N89" t="str">
            <v>EKOBUSINGE</v>
          </cell>
        </row>
        <row r="90">
          <cell r="N90" t="str">
            <v>DCOLLECTOR</v>
          </cell>
        </row>
        <row r="91">
          <cell r="N91" t="str">
            <v>JLUMUNYE</v>
          </cell>
        </row>
        <row r="92">
          <cell r="N92" t="str">
            <v>JKYAKUWA</v>
          </cell>
        </row>
        <row r="93">
          <cell r="N93" t="str">
            <v>JLUMUNYE</v>
          </cell>
        </row>
        <row r="94">
          <cell r="N94" t="str">
            <v>JLUMUNYE</v>
          </cell>
        </row>
        <row r="95">
          <cell r="N95" t="str">
            <v>EMUGALA</v>
          </cell>
        </row>
        <row r="96">
          <cell r="N96" t="str">
            <v>JLUYIMA</v>
          </cell>
        </row>
        <row r="97">
          <cell r="N97" t="str">
            <v>DCOLLECTOR</v>
          </cell>
        </row>
        <row r="98">
          <cell r="N98" t="str">
            <v>FMATOVU</v>
          </cell>
        </row>
        <row r="99">
          <cell r="N99" t="str">
            <v>FDAGIRU</v>
          </cell>
        </row>
        <row r="100">
          <cell r="N100" t="str">
            <v>BKYOMUGISH</v>
          </cell>
        </row>
        <row r="101">
          <cell r="N101" t="str">
            <v>DCOLLECTOR</v>
          </cell>
        </row>
        <row r="102">
          <cell r="N102" t="str">
            <v>CKIWUMULO</v>
          </cell>
        </row>
        <row r="103">
          <cell r="N103" t="str">
            <v>FDAGIRU</v>
          </cell>
        </row>
        <row r="104">
          <cell r="N104" t="str">
            <v>FDAGIRU</v>
          </cell>
        </row>
        <row r="105">
          <cell r="N105" t="str">
            <v>EKABAHENDA</v>
          </cell>
        </row>
        <row r="106">
          <cell r="N106" t="str">
            <v>FKATONGOLE</v>
          </cell>
        </row>
        <row r="107">
          <cell r="N107" t="str">
            <v>PMUYIMBWA</v>
          </cell>
        </row>
        <row r="108">
          <cell r="N108" t="str">
            <v>LMUBIRU</v>
          </cell>
        </row>
        <row r="109">
          <cell r="N109" t="str">
            <v>FDAGIRU</v>
          </cell>
        </row>
        <row r="110">
          <cell r="N110" t="str">
            <v>EKABAHENDA</v>
          </cell>
        </row>
        <row r="111">
          <cell r="N111" t="str">
            <v>LKABABIITO</v>
          </cell>
        </row>
        <row r="112">
          <cell r="N112" t="str">
            <v>FDAGIRU</v>
          </cell>
        </row>
        <row r="113">
          <cell r="N113" t="str">
            <v>EKOBUSINGE</v>
          </cell>
        </row>
        <row r="114">
          <cell r="N114" t="str">
            <v>JLUMUNYE</v>
          </cell>
        </row>
        <row r="115">
          <cell r="N115" t="str">
            <v>LMUBIRU</v>
          </cell>
        </row>
        <row r="116">
          <cell r="N116" t="str">
            <v>LKABABIITO</v>
          </cell>
        </row>
        <row r="117">
          <cell r="N117" t="str">
            <v>JKYAKUWA</v>
          </cell>
        </row>
        <row r="118">
          <cell r="N118" t="str">
            <v>FMATOVU</v>
          </cell>
        </row>
        <row r="119">
          <cell r="N119" t="str">
            <v>CKIWUMULO</v>
          </cell>
        </row>
        <row r="120">
          <cell r="N120" t="str">
            <v>JLUMUNYE</v>
          </cell>
        </row>
        <row r="121">
          <cell r="N121" t="str">
            <v>CAYESIGA</v>
          </cell>
        </row>
        <row r="122">
          <cell r="N122" t="str">
            <v>DCOLLECTOR</v>
          </cell>
        </row>
        <row r="123">
          <cell r="N123" t="str">
            <v>JLUMUNYE</v>
          </cell>
        </row>
        <row r="124">
          <cell r="N124" t="str">
            <v>EKOBUSINGE</v>
          </cell>
        </row>
        <row r="125">
          <cell r="N125" t="str">
            <v>FMATOVU</v>
          </cell>
        </row>
        <row r="126">
          <cell r="N126" t="str">
            <v>LMUBIRU</v>
          </cell>
        </row>
        <row r="127">
          <cell r="N127" t="str">
            <v>FDAGIRU</v>
          </cell>
        </row>
        <row r="128">
          <cell r="N128" t="str">
            <v>CAYESIGA</v>
          </cell>
        </row>
        <row r="129">
          <cell r="N129" t="str">
            <v>CAYESIGA</v>
          </cell>
        </row>
        <row r="130">
          <cell r="N130" t="str">
            <v>DCOLLECTOR</v>
          </cell>
        </row>
        <row r="131">
          <cell r="N131" t="str">
            <v>EKABAHENDA</v>
          </cell>
        </row>
        <row r="132">
          <cell r="N132" t="str">
            <v>LKABABIITO</v>
          </cell>
        </row>
        <row r="133">
          <cell r="N133" t="str">
            <v>JLUMUNYE</v>
          </cell>
        </row>
        <row r="134">
          <cell r="N134" t="str">
            <v>EKOBUSINGE</v>
          </cell>
        </row>
        <row r="135">
          <cell r="N135" t="str">
            <v>FDAGIRU</v>
          </cell>
        </row>
        <row r="136">
          <cell r="N136" t="str">
            <v>LMUBIRU</v>
          </cell>
        </row>
        <row r="137">
          <cell r="N137" t="str">
            <v>DCOLLECTOR</v>
          </cell>
        </row>
        <row r="138">
          <cell r="N138" t="str">
            <v>JLUMUNYE</v>
          </cell>
        </row>
        <row r="139">
          <cell r="N139" t="str">
            <v>FMATOVU</v>
          </cell>
        </row>
        <row r="140">
          <cell r="N140" t="str">
            <v>EKOBUSINGE</v>
          </cell>
        </row>
        <row r="141">
          <cell r="N141" t="str">
            <v>JLUMUNYE</v>
          </cell>
        </row>
        <row r="142">
          <cell r="N142" t="str">
            <v>FMATOVU</v>
          </cell>
        </row>
        <row r="143">
          <cell r="N143" t="str">
            <v>BKYOMUGISH</v>
          </cell>
        </row>
        <row r="144">
          <cell r="N144" t="str">
            <v>EKOBUSINGE</v>
          </cell>
        </row>
        <row r="145">
          <cell r="N145" t="str">
            <v>IMUGARUKIR</v>
          </cell>
        </row>
        <row r="146">
          <cell r="N146" t="str">
            <v>LKABABIITO</v>
          </cell>
        </row>
        <row r="147">
          <cell r="N147" t="str">
            <v>LKABABIITO</v>
          </cell>
        </row>
        <row r="148">
          <cell r="N148" t="str">
            <v>FDAGIRU</v>
          </cell>
        </row>
        <row r="149">
          <cell r="N149" t="str">
            <v>CAYESIGA</v>
          </cell>
        </row>
        <row r="150">
          <cell r="N150" t="str">
            <v>EKOBUSINGE</v>
          </cell>
        </row>
        <row r="151">
          <cell r="N151" t="str">
            <v>EKABAHENDA</v>
          </cell>
        </row>
        <row r="152">
          <cell r="N152" t="str">
            <v>CAYESIGA</v>
          </cell>
        </row>
        <row r="153">
          <cell r="N153" t="str">
            <v>FDAGIRU</v>
          </cell>
        </row>
        <row r="154">
          <cell r="N154" t="str">
            <v>JLUMUNYE</v>
          </cell>
        </row>
        <row r="155">
          <cell r="N155" t="str">
            <v>DCOLLECTOR</v>
          </cell>
        </row>
        <row r="156">
          <cell r="N156" t="str">
            <v>EMUGALA</v>
          </cell>
        </row>
        <row r="157">
          <cell r="N157" t="str">
            <v>LMUBIRU</v>
          </cell>
        </row>
        <row r="158">
          <cell r="N158" t="str">
            <v>IMUGARUKIR</v>
          </cell>
        </row>
        <row r="159">
          <cell r="N159" t="str">
            <v>JLUYIMA</v>
          </cell>
        </row>
        <row r="160">
          <cell r="N160" t="str">
            <v>LKABABIITO</v>
          </cell>
        </row>
        <row r="161">
          <cell r="N161" t="str">
            <v>LKABABIITO</v>
          </cell>
        </row>
        <row r="162">
          <cell r="N162" t="str">
            <v>EKABAHENDA</v>
          </cell>
        </row>
        <row r="163">
          <cell r="N163" t="str">
            <v>BKYOMUGISH</v>
          </cell>
        </row>
        <row r="164">
          <cell r="N164" t="str">
            <v>FMATOVU</v>
          </cell>
        </row>
        <row r="165">
          <cell r="N165" t="str">
            <v>EKOBUSINGE</v>
          </cell>
        </row>
        <row r="166">
          <cell r="N166" t="str">
            <v>BKYOMUGISH</v>
          </cell>
        </row>
        <row r="167">
          <cell r="N167" t="str">
            <v>JLUMUNYE</v>
          </cell>
        </row>
        <row r="168">
          <cell r="N168" t="str">
            <v>DCOLLECTOR</v>
          </cell>
        </row>
        <row r="169">
          <cell r="N169" t="str">
            <v>LKABABIITO</v>
          </cell>
        </row>
        <row r="170">
          <cell r="N170" t="str">
            <v>JLUMUNYE</v>
          </cell>
        </row>
        <row r="171">
          <cell r="N171" t="str">
            <v>FDAGIRU</v>
          </cell>
        </row>
        <row r="172">
          <cell r="N172" t="str">
            <v>SAF2000</v>
          </cell>
        </row>
        <row r="173">
          <cell r="N173" t="str">
            <v>EKOBUSINGE</v>
          </cell>
        </row>
        <row r="174">
          <cell r="N174" t="str">
            <v>LMUBIRU</v>
          </cell>
        </row>
        <row r="175">
          <cell r="N175" t="str">
            <v>JNDAGIRE</v>
          </cell>
        </row>
        <row r="176">
          <cell r="N176" t="str">
            <v>JLUMUNYE</v>
          </cell>
        </row>
        <row r="177">
          <cell r="N177" t="str">
            <v>FMATOVU</v>
          </cell>
        </row>
        <row r="178">
          <cell r="N178" t="str">
            <v>IMUGARUKIR</v>
          </cell>
        </row>
        <row r="179">
          <cell r="N179" t="str">
            <v>FMATOVU</v>
          </cell>
        </row>
        <row r="180">
          <cell r="N180" t="str">
            <v>FMATOVU</v>
          </cell>
        </row>
        <row r="181">
          <cell r="N181" t="str">
            <v>FKATONGOLE</v>
          </cell>
        </row>
        <row r="182">
          <cell r="N182" t="str">
            <v>EKOBUSINGE</v>
          </cell>
        </row>
        <row r="183">
          <cell r="N183" t="str">
            <v>BKYOMUGISH</v>
          </cell>
        </row>
        <row r="184">
          <cell r="N184" t="str">
            <v>JLUMUNYE</v>
          </cell>
        </row>
        <row r="185">
          <cell r="N185" t="str">
            <v>BKYOMUGISH</v>
          </cell>
        </row>
        <row r="186">
          <cell r="N186" t="str">
            <v>LMUBIRU</v>
          </cell>
        </row>
        <row r="187">
          <cell r="N187" t="str">
            <v>JLUYIMA</v>
          </cell>
        </row>
        <row r="188">
          <cell r="N188" t="str">
            <v>JLUYIMA</v>
          </cell>
        </row>
        <row r="189">
          <cell r="N189" t="str">
            <v>SAF2000</v>
          </cell>
        </row>
        <row r="190">
          <cell r="N190" t="str">
            <v>BKYOMUGISH</v>
          </cell>
        </row>
        <row r="191">
          <cell r="N191" t="str">
            <v>JLUMUNYE</v>
          </cell>
        </row>
        <row r="192">
          <cell r="N192" t="str">
            <v>SAF2000</v>
          </cell>
        </row>
        <row r="193">
          <cell r="N193" t="str">
            <v>EKOBUSINGE</v>
          </cell>
        </row>
        <row r="194">
          <cell r="N194" t="str">
            <v>LMUBIRU</v>
          </cell>
        </row>
        <row r="195">
          <cell r="N195" t="str">
            <v>JLUMUNYE</v>
          </cell>
        </row>
        <row r="196">
          <cell r="N196" t="str">
            <v>SAF2000</v>
          </cell>
        </row>
        <row r="197">
          <cell r="N197" t="str">
            <v>SAF2000</v>
          </cell>
        </row>
        <row r="198">
          <cell r="N198" t="str">
            <v>BKYOMUGISH</v>
          </cell>
        </row>
        <row r="199">
          <cell r="N199" t="str">
            <v>DCOLLECTOR</v>
          </cell>
        </row>
        <row r="200">
          <cell r="N200" t="str">
            <v>FMATOVU</v>
          </cell>
        </row>
        <row r="201">
          <cell r="N201" t="str">
            <v>DCOLLECTOR</v>
          </cell>
        </row>
        <row r="202">
          <cell r="N202" t="str">
            <v>FMATOVU</v>
          </cell>
        </row>
        <row r="203">
          <cell r="N203" t="str">
            <v>CKIWUMULO</v>
          </cell>
        </row>
        <row r="204">
          <cell r="N204" t="str">
            <v>JLUMUNYE</v>
          </cell>
        </row>
        <row r="205">
          <cell r="N205" t="str">
            <v>BKYOMUGISH</v>
          </cell>
        </row>
        <row r="206">
          <cell r="N206" t="str">
            <v>JLUMUNYE</v>
          </cell>
        </row>
        <row r="207">
          <cell r="N207" t="str">
            <v>DCOLLECTOR</v>
          </cell>
        </row>
        <row r="208">
          <cell r="N208" t="str">
            <v>FDAGIRU</v>
          </cell>
        </row>
        <row r="209">
          <cell r="N209" t="str">
            <v>IBOGERE</v>
          </cell>
        </row>
        <row r="210">
          <cell r="N210" t="str">
            <v>FDAGIRU</v>
          </cell>
        </row>
        <row r="211">
          <cell r="N211" t="str">
            <v>LMUBIRU</v>
          </cell>
        </row>
        <row r="212">
          <cell r="N212" t="str">
            <v>FMATOVU</v>
          </cell>
        </row>
        <row r="213">
          <cell r="N213" t="str">
            <v>GNALUBWAMA</v>
          </cell>
        </row>
        <row r="214">
          <cell r="N214" t="str">
            <v>ARUKUNDO</v>
          </cell>
        </row>
        <row r="215">
          <cell r="N215" t="str">
            <v>FDAGIRU</v>
          </cell>
        </row>
        <row r="216">
          <cell r="N216" t="str">
            <v>JLUMUNYE</v>
          </cell>
        </row>
        <row r="217">
          <cell r="N217" t="str">
            <v>FMATOVU</v>
          </cell>
        </row>
        <row r="218">
          <cell r="N218" t="str">
            <v>JKYAKUWA</v>
          </cell>
        </row>
        <row r="219">
          <cell r="N219" t="str">
            <v>JLUMUNYE</v>
          </cell>
        </row>
        <row r="220">
          <cell r="N220" t="str">
            <v>CKIWUMULO</v>
          </cell>
        </row>
        <row r="221">
          <cell r="N221" t="str">
            <v>PMUYIMBWA</v>
          </cell>
        </row>
        <row r="222">
          <cell r="N222" t="str">
            <v>CAYESIGA</v>
          </cell>
        </row>
        <row r="223">
          <cell r="N223" t="str">
            <v>LKABABIITO</v>
          </cell>
        </row>
        <row r="224">
          <cell r="N224" t="str">
            <v>JNDAGIRE</v>
          </cell>
        </row>
        <row r="225">
          <cell r="N225" t="str">
            <v>FDAGIRU</v>
          </cell>
        </row>
        <row r="226">
          <cell r="N226" t="str">
            <v>PMUYIMBWA</v>
          </cell>
        </row>
        <row r="227">
          <cell r="N227" t="str">
            <v>BKYOMUGISH</v>
          </cell>
        </row>
        <row r="228">
          <cell r="N228" t="str">
            <v>FDAGIRU</v>
          </cell>
        </row>
        <row r="229">
          <cell r="N229" t="str">
            <v>JNDAGIRE</v>
          </cell>
        </row>
        <row r="230">
          <cell r="N230" t="str">
            <v>EMATEGA</v>
          </cell>
        </row>
        <row r="231">
          <cell r="N231" t="str">
            <v>BKYOMUGISH</v>
          </cell>
        </row>
        <row r="232">
          <cell r="N232" t="str">
            <v>DCOLLECTOR</v>
          </cell>
        </row>
        <row r="233">
          <cell r="N233" t="str">
            <v>JKYAKUWA</v>
          </cell>
        </row>
        <row r="234">
          <cell r="N234" t="str">
            <v>JLUMUNYE</v>
          </cell>
        </row>
        <row r="235">
          <cell r="N235" t="str">
            <v>EKOBUSINGE</v>
          </cell>
        </row>
        <row r="236">
          <cell r="N236" t="str">
            <v>FMATOVU</v>
          </cell>
        </row>
        <row r="237">
          <cell r="N237" t="str">
            <v>BKYOMUGISH</v>
          </cell>
        </row>
        <row r="238">
          <cell r="N238" t="str">
            <v>JNDAGIRE</v>
          </cell>
        </row>
        <row r="239">
          <cell r="N239" t="str">
            <v>JNDAGIRE</v>
          </cell>
        </row>
        <row r="240">
          <cell r="N240" t="str">
            <v>JNDAGIRE</v>
          </cell>
        </row>
        <row r="241">
          <cell r="N241" t="str">
            <v>JLUMUNYE</v>
          </cell>
        </row>
        <row r="242">
          <cell r="N242" t="str">
            <v>BKYOMUGISH</v>
          </cell>
        </row>
        <row r="243">
          <cell r="N243" t="str">
            <v>BKYOMUGISH</v>
          </cell>
        </row>
        <row r="244">
          <cell r="N244" t="str">
            <v>FKATONGOLE</v>
          </cell>
        </row>
        <row r="245">
          <cell r="N245" t="str">
            <v>LMUBIRU</v>
          </cell>
        </row>
        <row r="246">
          <cell r="N246" t="str">
            <v>CKIWUMULO</v>
          </cell>
        </row>
        <row r="247">
          <cell r="N247" t="str">
            <v>EKOBUSINGE</v>
          </cell>
        </row>
        <row r="248">
          <cell r="N248" t="str">
            <v>JKYAKUWA</v>
          </cell>
        </row>
        <row r="249">
          <cell r="N249" t="str">
            <v>FKATONGOLE</v>
          </cell>
        </row>
        <row r="250">
          <cell r="N250" t="str">
            <v>GNALUBWAMA</v>
          </cell>
        </row>
        <row r="251">
          <cell r="N251" t="str">
            <v>FDAGIRU</v>
          </cell>
        </row>
        <row r="252">
          <cell r="N252" t="str">
            <v>EMATEGA</v>
          </cell>
        </row>
        <row r="253">
          <cell r="N253" t="str">
            <v>GNALUBWAMA</v>
          </cell>
        </row>
        <row r="254">
          <cell r="N254" t="str">
            <v>IMUGARUKIR</v>
          </cell>
        </row>
        <row r="255">
          <cell r="N255" t="str">
            <v>JLUMUNYE</v>
          </cell>
        </row>
        <row r="256">
          <cell r="N256" t="str">
            <v>EMUGALA</v>
          </cell>
        </row>
        <row r="257">
          <cell r="N257" t="str">
            <v>JNDAGIRE</v>
          </cell>
        </row>
        <row r="258">
          <cell r="N258" t="str">
            <v>FDAGIRU</v>
          </cell>
        </row>
        <row r="259">
          <cell r="N259" t="str">
            <v>FMATOVU</v>
          </cell>
        </row>
        <row r="260">
          <cell r="N260" t="str">
            <v>FNAKAJUBI</v>
          </cell>
        </row>
        <row r="261">
          <cell r="N261" t="str">
            <v>IMUGARUKIR</v>
          </cell>
        </row>
        <row r="262">
          <cell r="N262" t="str">
            <v>EMATEGA</v>
          </cell>
        </row>
        <row r="263">
          <cell r="N263" t="str">
            <v>JNDAGIRE</v>
          </cell>
        </row>
        <row r="264">
          <cell r="N264" t="str">
            <v>JNDAGIRE</v>
          </cell>
        </row>
        <row r="265">
          <cell r="N265" t="str">
            <v>JNDAGIRE</v>
          </cell>
        </row>
        <row r="266">
          <cell r="N266" t="str">
            <v>FDAGIRU</v>
          </cell>
        </row>
        <row r="267">
          <cell r="N267" t="str">
            <v>LKABABIITO</v>
          </cell>
        </row>
        <row r="268">
          <cell r="N268" t="str">
            <v>EKOBUSINGE</v>
          </cell>
        </row>
        <row r="269">
          <cell r="N269" t="str">
            <v>JLUMUNYE</v>
          </cell>
        </row>
        <row r="270">
          <cell r="N270" t="str">
            <v>JLUMUNYE</v>
          </cell>
        </row>
        <row r="271">
          <cell r="N271" t="str">
            <v>CAYESIGA</v>
          </cell>
        </row>
        <row r="272">
          <cell r="N272" t="str">
            <v>FKATONGOLE</v>
          </cell>
        </row>
        <row r="273">
          <cell r="N273" t="str">
            <v>DCOLLECTOR</v>
          </cell>
        </row>
        <row r="274">
          <cell r="N274" t="str">
            <v>EKOBUSINGE</v>
          </cell>
        </row>
        <row r="275">
          <cell r="N275" t="str">
            <v>IBOGERE</v>
          </cell>
        </row>
        <row r="276">
          <cell r="N276" t="str">
            <v>EKOBUSINGE</v>
          </cell>
        </row>
        <row r="277">
          <cell r="N277" t="str">
            <v>EKOBUSINGE</v>
          </cell>
        </row>
        <row r="278">
          <cell r="N278" t="str">
            <v>EKOBUSINGE</v>
          </cell>
        </row>
        <row r="279">
          <cell r="N279" t="str">
            <v>PMUYIMBWA</v>
          </cell>
        </row>
        <row r="280">
          <cell r="N280" t="str">
            <v>IMUGARUKIR</v>
          </cell>
        </row>
        <row r="281">
          <cell r="N281" t="str">
            <v>FDAGIRU</v>
          </cell>
        </row>
        <row r="282">
          <cell r="N282" t="str">
            <v>CKIWUMULO</v>
          </cell>
        </row>
        <row r="283">
          <cell r="N283" t="str">
            <v>LKABABIITO</v>
          </cell>
        </row>
        <row r="284">
          <cell r="N284" t="str">
            <v>LKABABIITO</v>
          </cell>
        </row>
        <row r="285">
          <cell r="N285" t="str">
            <v>SAF2000</v>
          </cell>
        </row>
        <row r="286">
          <cell r="N286" t="str">
            <v>LKABABIITO</v>
          </cell>
        </row>
        <row r="287">
          <cell r="N287" t="str">
            <v>JNDAGIRE</v>
          </cell>
        </row>
        <row r="288">
          <cell r="N288" t="str">
            <v>BKYOMUGISH</v>
          </cell>
        </row>
        <row r="289">
          <cell r="N289" t="str">
            <v>IMUGARUKIR</v>
          </cell>
        </row>
        <row r="290">
          <cell r="N290" t="str">
            <v>CKIWUMULO</v>
          </cell>
        </row>
        <row r="291">
          <cell r="N291" t="str">
            <v>CKIWUMULO</v>
          </cell>
        </row>
        <row r="292">
          <cell r="N292" t="str">
            <v>FKATONGOLE</v>
          </cell>
        </row>
        <row r="293">
          <cell r="N293" t="str">
            <v>CAYESIGA</v>
          </cell>
        </row>
        <row r="294">
          <cell r="N294" t="str">
            <v>SAF2000</v>
          </cell>
        </row>
        <row r="295">
          <cell r="N295" t="str">
            <v>PMUYIMBWA</v>
          </cell>
        </row>
        <row r="296">
          <cell r="N296" t="str">
            <v>EKOBUSINGE</v>
          </cell>
        </row>
        <row r="297">
          <cell r="N297" t="str">
            <v>CKIWUMULO</v>
          </cell>
        </row>
        <row r="298">
          <cell r="N298" t="str">
            <v>EKABAHENDA</v>
          </cell>
        </row>
        <row r="299">
          <cell r="N299" t="str">
            <v>LKABABIITO</v>
          </cell>
        </row>
        <row r="300">
          <cell r="N300" t="str">
            <v>LKABABIITO</v>
          </cell>
        </row>
        <row r="301">
          <cell r="N301" t="str">
            <v>LKABABIITO</v>
          </cell>
        </row>
        <row r="302">
          <cell r="N302" t="str">
            <v>EKABAHENDA</v>
          </cell>
        </row>
        <row r="303">
          <cell r="N303" t="str">
            <v>FKATONGOLE</v>
          </cell>
        </row>
        <row r="304">
          <cell r="N304" t="str">
            <v>EKABAHENDA</v>
          </cell>
        </row>
        <row r="305">
          <cell r="N305" t="str">
            <v>JNDAGIRE</v>
          </cell>
        </row>
        <row r="306">
          <cell r="N306" t="str">
            <v>JKYAKUWA</v>
          </cell>
        </row>
        <row r="307">
          <cell r="N307" t="str">
            <v>IMUGARUKIR</v>
          </cell>
        </row>
        <row r="308">
          <cell r="N308" t="str">
            <v>FDAGIRU</v>
          </cell>
        </row>
        <row r="309">
          <cell r="N309" t="str">
            <v>PMUYIMBWA</v>
          </cell>
        </row>
        <row r="310">
          <cell r="N310" t="str">
            <v>CAYESIGA</v>
          </cell>
        </row>
        <row r="311">
          <cell r="N311" t="str">
            <v>CKIWUMULO</v>
          </cell>
        </row>
        <row r="312">
          <cell r="N312" t="str">
            <v>CKIWUMULO</v>
          </cell>
        </row>
        <row r="313">
          <cell r="N313" t="str">
            <v>JNDAGIRE</v>
          </cell>
        </row>
        <row r="314">
          <cell r="N314" t="str">
            <v>LKABABIITO</v>
          </cell>
        </row>
        <row r="315">
          <cell r="N315" t="str">
            <v>FDAGIRU</v>
          </cell>
        </row>
        <row r="316">
          <cell r="N316" t="str">
            <v>EKOBUSINGE</v>
          </cell>
        </row>
        <row r="317">
          <cell r="N317" t="str">
            <v>GNALUBWAMA</v>
          </cell>
        </row>
        <row r="318">
          <cell r="N318" t="str">
            <v>EMUGALA</v>
          </cell>
        </row>
        <row r="319">
          <cell r="N319" t="str">
            <v>JNDAGIRE</v>
          </cell>
        </row>
        <row r="320">
          <cell r="N320" t="str">
            <v>GNALUBWAMA</v>
          </cell>
        </row>
        <row r="321">
          <cell r="N321" t="str">
            <v>JNDAGIRE</v>
          </cell>
        </row>
        <row r="322">
          <cell r="N322" t="str">
            <v>JLUMUNYE</v>
          </cell>
        </row>
        <row r="323">
          <cell r="N323" t="str">
            <v>BKYOMUGISH</v>
          </cell>
        </row>
        <row r="324">
          <cell r="N324" t="str">
            <v>FMATOVU</v>
          </cell>
        </row>
        <row r="325">
          <cell r="N325" t="str">
            <v>BKYOMUGISH</v>
          </cell>
        </row>
        <row r="326">
          <cell r="N326" t="str">
            <v>LMUBIRU</v>
          </cell>
        </row>
        <row r="327">
          <cell r="N327" t="str">
            <v>PMUYIMBWA</v>
          </cell>
        </row>
        <row r="328">
          <cell r="N328" t="str">
            <v>JLUMUNYE</v>
          </cell>
        </row>
        <row r="329">
          <cell r="N329" t="str">
            <v>LKABABIITO</v>
          </cell>
        </row>
        <row r="330">
          <cell r="N330" t="str">
            <v>JNDAGIRE</v>
          </cell>
        </row>
        <row r="331">
          <cell r="N331" t="str">
            <v>BKYOMUGISH</v>
          </cell>
        </row>
        <row r="332">
          <cell r="N332" t="str">
            <v>JKYAKUWA</v>
          </cell>
        </row>
        <row r="333">
          <cell r="N333" t="str">
            <v>EKOBUSINGE</v>
          </cell>
        </row>
        <row r="334">
          <cell r="N334" t="str">
            <v>EKOBUSINGE</v>
          </cell>
        </row>
        <row r="335">
          <cell r="N335" t="str">
            <v>FMATOVU</v>
          </cell>
        </row>
        <row r="336">
          <cell r="N336" t="str">
            <v>CKIWUMULO</v>
          </cell>
        </row>
        <row r="337">
          <cell r="N337" t="str">
            <v>JLUMUNYE</v>
          </cell>
        </row>
        <row r="338">
          <cell r="N338" t="str">
            <v>JKYAKUWA</v>
          </cell>
        </row>
        <row r="339">
          <cell r="N339" t="str">
            <v>GNALUBWAMA</v>
          </cell>
        </row>
        <row r="340">
          <cell r="N340" t="str">
            <v>IMUGARUKIR</v>
          </cell>
        </row>
        <row r="341">
          <cell r="N341" t="str">
            <v>FDAGIRU</v>
          </cell>
        </row>
        <row r="342">
          <cell r="N342" t="str">
            <v>LKABABIITO</v>
          </cell>
        </row>
        <row r="343">
          <cell r="N343" t="str">
            <v>JLUMUNYE</v>
          </cell>
        </row>
        <row r="344">
          <cell r="N344" t="str">
            <v>JLUYIMA</v>
          </cell>
        </row>
        <row r="345">
          <cell r="N345" t="str">
            <v>LKABABIITO</v>
          </cell>
        </row>
        <row r="346">
          <cell r="N346" t="str">
            <v>EKOBUSINGE</v>
          </cell>
        </row>
        <row r="347">
          <cell r="N347" t="str">
            <v>EKOBUSINGE</v>
          </cell>
        </row>
        <row r="348">
          <cell r="N348" t="str">
            <v>FDAGIRU</v>
          </cell>
        </row>
        <row r="349">
          <cell r="N349" t="str">
            <v>IBOGERE</v>
          </cell>
        </row>
        <row r="350">
          <cell r="N350" t="str">
            <v>EMUGALA</v>
          </cell>
        </row>
        <row r="351">
          <cell r="N351" t="str">
            <v>EKOBUSINGE</v>
          </cell>
        </row>
        <row r="352">
          <cell r="N352" t="str">
            <v>LKABABIITO</v>
          </cell>
        </row>
        <row r="353">
          <cell r="N353" t="str">
            <v>CAYESIGA</v>
          </cell>
        </row>
        <row r="354">
          <cell r="N354" t="str">
            <v>JNDAGIRE</v>
          </cell>
        </row>
        <row r="355">
          <cell r="N355" t="str">
            <v>JLUYIMA</v>
          </cell>
        </row>
        <row r="356">
          <cell r="N356" t="str">
            <v>LKABABIITO</v>
          </cell>
        </row>
        <row r="357">
          <cell r="N357" t="str">
            <v>IMUGARUKIR</v>
          </cell>
        </row>
        <row r="358">
          <cell r="N358" t="str">
            <v>FKATONGOLE</v>
          </cell>
        </row>
        <row r="359">
          <cell r="N359" t="str">
            <v>FMATOVU</v>
          </cell>
        </row>
        <row r="360">
          <cell r="N360" t="str">
            <v>LMUBIRU</v>
          </cell>
        </row>
        <row r="361">
          <cell r="N361" t="str">
            <v>JNDAGIRE</v>
          </cell>
        </row>
        <row r="362">
          <cell r="N362" t="str">
            <v>SAF2000</v>
          </cell>
        </row>
        <row r="363">
          <cell r="N363" t="str">
            <v>JLUMUNYE</v>
          </cell>
        </row>
        <row r="364">
          <cell r="N364" t="str">
            <v>FDAGIRU</v>
          </cell>
        </row>
        <row r="365">
          <cell r="N365" t="str">
            <v>PMUYIMBWA</v>
          </cell>
        </row>
        <row r="366">
          <cell r="N366" t="str">
            <v>BKYOMUGISH</v>
          </cell>
        </row>
        <row r="367">
          <cell r="N367" t="str">
            <v>CKIWUMULO</v>
          </cell>
        </row>
        <row r="368">
          <cell r="N368" t="str">
            <v>PMUYIMBWA</v>
          </cell>
        </row>
        <row r="369">
          <cell r="N369" t="str">
            <v>EMUGALA</v>
          </cell>
        </row>
        <row r="370">
          <cell r="N370" t="str">
            <v>LKABABIITO</v>
          </cell>
        </row>
        <row r="371">
          <cell r="N371" t="str">
            <v>IMUGARUKIR</v>
          </cell>
        </row>
        <row r="372">
          <cell r="N372" t="str">
            <v>EKOBUSINGE</v>
          </cell>
        </row>
        <row r="373">
          <cell r="N373" t="str">
            <v>JNDAGIRE</v>
          </cell>
        </row>
        <row r="374">
          <cell r="N374" t="str">
            <v>FDAGIRU</v>
          </cell>
        </row>
        <row r="375">
          <cell r="N375" t="str">
            <v>EKABAHENDA</v>
          </cell>
        </row>
        <row r="376">
          <cell r="N376" t="str">
            <v>SAF2000</v>
          </cell>
        </row>
        <row r="377">
          <cell r="N377" t="str">
            <v>JLUMUNYE</v>
          </cell>
        </row>
        <row r="378">
          <cell r="N378" t="str">
            <v>ARUKUNDO</v>
          </cell>
        </row>
        <row r="379">
          <cell r="N379" t="str">
            <v>PMUYIMBWA</v>
          </cell>
        </row>
        <row r="380">
          <cell r="N380" t="str">
            <v>JNDAGIRE</v>
          </cell>
        </row>
        <row r="381">
          <cell r="N381" t="str">
            <v>JKYAKUWA</v>
          </cell>
        </row>
        <row r="382">
          <cell r="N382" t="str">
            <v>JLUMUNYE</v>
          </cell>
        </row>
        <row r="383">
          <cell r="N383" t="str">
            <v>IMUGARUKIR</v>
          </cell>
        </row>
        <row r="384">
          <cell r="N384" t="str">
            <v>JNDAGIRE</v>
          </cell>
        </row>
        <row r="385">
          <cell r="N385" t="str">
            <v>LKABABIITO</v>
          </cell>
        </row>
        <row r="386">
          <cell r="N386" t="str">
            <v>FKATONGOLE</v>
          </cell>
        </row>
        <row r="387">
          <cell r="N387" t="str">
            <v>JKYAKUWA</v>
          </cell>
        </row>
        <row r="388">
          <cell r="N388" t="str">
            <v>CKIWUMULO</v>
          </cell>
        </row>
        <row r="389">
          <cell r="N389" t="str">
            <v>GNALUBWAMA</v>
          </cell>
        </row>
        <row r="390">
          <cell r="N390" t="str">
            <v>EMUGALA</v>
          </cell>
        </row>
        <row r="391">
          <cell r="N391" t="str">
            <v>EMATEGA</v>
          </cell>
        </row>
        <row r="392">
          <cell r="N392" t="str">
            <v>EMUGALA</v>
          </cell>
        </row>
        <row r="393">
          <cell r="N393" t="str">
            <v>PMUYIMBWA</v>
          </cell>
        </row>
        <row r="394">
          <cell r="N394" t="str">
            <v>FDAGIRU</v>
          </cell>
        </row>
        <row r="395">
          <cell r="N395" t="str">
            <v>CKIWUMULO</v>
          </cell>
        </row>
        <row r="396">
          <cell r="N396" t="str">
            <v>FDAGIRU</v>
          </cell>
        </row>
        <row r="397">
          <cell r="N397" t="str">
            <v>LKABABIITO</v>
          </cell>
        </row>
        <row r="398">
          <cell r="N398" t="str">
            <v>CKIWUMULO</v>
          </cell>
        </row>
        <row r="399">
          <cell r="N399" t="str">
            <v>BKYOMUGISH</v>
          </cell>
        </row>
        <row r="400">
          <cell r="N400" t="str">
            <v>EKOBUSINGE</v>
          </cell>
        </row>
        <row r="401">
          <cell r="N401" t="str">
            <v>JLUYIMA</v>
          </cell>
        </row>
        <row r="402">
          <cell r="N402" t="str">
            <v>CKIWUMULO</v>
          </cell>
        </row>
        <row r="403">
          <cell r="N403" t="str">
            <v>JLUMUNYE</v>
          </cell>
        </row>
        <row r="404">
          <cell r="N404" t="str">
            <v>HKABALWANY</v>
          </cell>
        </row>
        <row r="405">
          <cell r="N405" t="str">
            <v>BKYOMUGISH</v>
          </cell>
        </row>
        <row r="406">
          <cell r="N406" t="str">
            <v>CAYESIGA</v>
          </cell>
        </row>
        <row r="407">
          <cell r="N407" t="str">
            <v>JLUMUNYE</v>
          </cell>
        </row>
        <row r="408">
          <cell r="N408" t="str">
            <v>CAYESIGA</v>
          </cell>
        </row>
        <row r="409">
          <cell r="N409" t="str">
            <v>LMUBIRU</v>
          </cell>
        </row>
        <row r="410">
          <cell r="N410" t="str">
            <v>LMUBIRU</v>
          </cell>
        </row>
        <row r="411">
          <cell r="N411" t="str">
            <v>CKIWUMULO</v>
          </cell>
        </row>
        <row r="412">
          <cell r="N412" t="str">
            <v>JLUMUNYE</v>
          </cell>
        </row>
        <row r="413">
          <cell r="N413" t="str">
            <v>FDAGIRU</v>
          </cell>
        </row>
        <row r="414">
          <cell r="N414" t="str">
            <v>IMUGARUKIR</v>
          </cell>
        </row>
        <row r="415">
          <cell r="N415" t="str">
            <v>BKYOMUGISH</v>
          </cell>
        </row>
        <row r="416">
          <cell r="N416" t="str">
            <v>EKABAHENDA</v>
          </cell>
        </row>
        <row r="417">
          <cell r="N417" t="str">
            <v>LKABABIITO</v>
          </cell>
        </row>
        <row r="418">
          <cell r="N418" t="str">
            <v>LKABABIITO</v>
          </cell>
        </row>
        <row r="419">
          <cell r="N419" t="str">
            <v>EKOBUSINGE</v>
          </cell>
        </row>
        <row r="420">
          <cell r="N420" t="str">
            <v>EMUGALA</v>
          </cell>
        </row>
        <row r="421">
          <cell r="N421" t="str">
            <v>CKIWUMULO</v>
          </cell>
        </row>
        <row r="422">
          <cell r="N422" t="str">
            <v>GNALUBWAMA</v>
          </cell>
        </row>
        <row r="423">
          <cell r="N423" t="str">
            <v>FDAGIRU</v>
          </cell>
        </row>
        <row r="424">
          <cell r="N424" t="str">
            <v>JNDAGIRE</v>
          </cell>
        </row>
        <row r="425">
          <cell r="N425" t="str">
            <v>EKOBUSINGE</v>
          </cell>
        </row>
        <row r="426">
          <cell r="N426" t="str">
            <v>FDAGIRU</v>
          </cell>
        </row>
        <row r="427">
          <cell r="N427" t="str">
            <v>EMUGALA</v>
          </cell>
        </row>
        <row r="428">
          <cell r="N428" t="str">
            <v>JLUMUNYE</v>
          </cell>
        </row>
        <row r="429">
          <cell r="N429" t="str">
            <v>FKATONGOLE</v>
          </cell>
        </row>
        <row r="430">
          <cell r="N430" t="str">
            <v>JLUMUNYE</v>
          </cell>
        </row>
        <row r="431">
          <cell r="N431" t="str">
            <v>SAF2000</v>
          </cell>
        </row>
        <row r="432">
          <cell r="N432" t="str">
            <v>EKOBUSINGE</v>
          </cell>
        </row>
        <row r="433">
          <cell r="N433" t="str">
            <v>FKATONGOLE</v>
          </cell>
        </row>
        <row r="434">
          <cell r="N434" t="str">
            <v>JLUMUNYE</v>
          </cell>
        </row>
        <row r="435">
          <cell r="N435" t="str">
            <v>EKOBUSINGE</v>
          </cell>
        </row>
        <row r="436">
          <cell r="N436" t="str">
            <v>JNDAGIRE</v>
          </cell>
        </row>
        <row r="437">
          <cell r="N437" t="str">
            <v>JLUMUNYE</v>
          </cell>
        </row>
        <row r="438">
          <cell r="N438" t="str">
            <v>BKYOMUGISH</v>
          </cell>
        </row>
        <row r="439">
          <cell r="N439" t="str">
            <v>JLUMUNYE</v>
          </cell>
        </row>
        <row r="440">
          <cell r="N440" t="str">
            <v>EKOBUSINGE</v>
          </cell>
        </row>
        <row r="441">
          <cell r="N441" t="str">
            <v>JKYAKUWA</v>
          </cell>
        </row>
        <row r="442">
          <cell r="N442" t="str">
            <v>FMATOVU</v>
          </cell>
        </row>
        <row r="443">
          <cell r="N443" t="str">
            <v>FMATOVU</v>
          </cell>
        </row>
        <row r="444">
          <cell r="N444" t="str">
            <v>BKYOMUGISH</v>
          </cell>
        </row>
        <row r="445">
          <cell r="N445" t="str">
            <v>LMUBIRU</v>
          </cell>
        </row>
        <row r="446">
          <cell r="N446" t="str">
            <v>JLUMUNYE</v>
          </cell>
        </row>
        <row r="447">
          <cell r="N447" t="str">
            <v>FMATOVU</v>
          </cell>
        </row>
        <row r="448">
          <cell r="N448" t="str">
            <v>CKIWUMULO</v>
          </cell>
        </row>
        <row r="449">
          <cell r="N449" t="str">
            <v>FMATOVU</v>
          </cell>
        </row>
        <row r="450">
          <cell r="N450" t="str">
            <v>CKIWUMULO</v>
          </cell>
        </row>
        <row r="451">
          <cell r="N451" t="str">
            <v>CKIWUMULO</v>
          </cell>
        </row>
        <row r="452">
          <cell r="N452" t="str">
            <v>FMATOVU</v>
          </cell>
        </row>
        <row r="453">
          <cell r="N453" t="str">
            <v>EKOBUSINGE</v>
          </cell>
        </row>
        <row r="454">
          <cell r="N454" t="str">
            <v>EKOBUSINGE</v>
          </cell>
        </row>
        <row r="455">
          <cell r="N455" t="str">
            <v>FDAGIRU</v>
          </cell>
        </row>
        <row r="456">
          <cell r="N456" t="str">
            <v>JLUMUNYE</v>
          </cell>
        </row>
        <row r="457">
          <cell r="N457" t="str">
            <v>EMUGALA</v>
          </cell>
        </row>
        <row r="458">
          <cell r="N458" t="str">
            <v>CAYESIGA</v>
          </cell>
        </row>
        <row r="459">
          <cell r="N459" t="str">
            <v>JNDAGIRE</v>
          </cell>
        </row>
        <row r="460">
          <cell r="N460" t="str">
            <v>JLUYIMA</v>
          </cell>
        </row>
        <row r="461">
          <cell r="N461" t="str">
            <v>JLUMUNYE</v>
          </cell>
        </row>
        <row r="462">
          <cell r="N462" t="str">
            <v>EKOBUSINGE</v>
          </cell>
        </row>
        <row r="463">
          <cell r="N463" t="str">
            <v>LKABABIITO</v>
          </cell>
        </row>
        <row r="464">
          <cell r="N464" t="str">
            <v>BKYOMUGISH</v>
          </cell>
        </row>
        <row r="465">
          <cell r="N465" t="str">
            <v>EKOBUSINGE</v>
          </cell>
        </row>
        <row r="466">
          <cell r="N466" t="str">
            <v>SAF2000</v>
          </cell>
        </row>
        <row r="467">
          <cell r="N467" t="str">
            <v>CKIWUMULO</v>
          </cell>
        </row>
        <row r="468">
          <cell r="N468" t="str">
            <v>ARUKUNDO</v>
          </cell>
        </row>
        <row r="469">
          <cell r="N469" t="str">
            <v>IMUGARUKIR</v>
          </cell>
        </row>
        <row r="470">
          <cell r="N470" t="str">
            <v>LMUBIRU</v>
          </cell>
        </row>
        <row r="471">
          <cell r="N471" t="str">
            <v>LMUBIRU</v>
          </cell>
        </row>
        <row r="472">
          <cell r="N472" t="str">
            <v>IMUGARUKIR</v>
          </cell>
        </row>
        <row r="473">
          <cell r="N473" t="str">
            <v>JKYAKUWA</v>
          </cell>
        </row>
        <row r="474">
          <cell r="N474" t="str">
            <v>EMUGALA</v>
          </cell>
        </row>
        <row r="475">
          <cell r="N475" t="str">
            <v>EKOBUSINGE</v>
          </cell>
        </row>
        <row r="476">
          <cell r="N476" t="str">
            <v>BKYOMUGISH</v>
          </cell>
        </row>
        <row r="477">
          <cell r="N477" t="str">
            <v>JLUMUNYE</v>
          </cell>
        </row>
        <row r="478">
          <cell r="N478" t="str">
            <v>HKABALWANY</v>
          </cell>
        </row>
        <row r="479">
          <cell r="N479" t="str">
            <v>FMATOVU</v>
          </cell>
        </row>
        <row r="480">
          <cell r="N480" t="str">
            <v>JLUMUNYE</v>
          </cell>
        </row>
        <row r="481">
          <cell r="N481" t="str">
            <v>FDAGIRU</v>
          </cell>
        </row>
        <row r="482">
          <cell r="N482" t="str">
            <v>JNDAGIRE</v>
          </cell>
        </row>
        <row r="483">
          <cell r="N483" t="str">
            <v>EMATEGA</v>
          </cell>
        </row>
        <row r="484">
          <cell r="N484" t="str">
            <v>JNDAGIRE</v>
          </cell>
        </row>
        <row r="485">
          <cell r="N485" t="str">
            <v>IMUGARUKIR</v>
          </cell>
        </row>
        <row r="486">
          <cell r="N486" t="str">
            <v>LMUBIRU</v>
          </cell>
        </row>
        <row r="487">
          <cell r="N487" t="str">
            <v>GNALUBWAMA</v>
          </cell>
        </row>
        <row r="488">
          <cell r="N488" t="str">
            <v>IMUGARUKIR</v>
          </cell>
        </row>
        <row r="489">
          <cell r="N489" t="str">
            <v>EMATEGA</v>
          </cell>
        </row>
        <row r="490">
          <cell r="N490" t="str">
            <v>FMATOVU</v>
          </cell>
        </row>
        <row r="491">
          <cell r="N491" t="str">
            <v>JNDAGIRE</v>
          </cell>
        </row>
        <row r="492">
          <cell r="N492" t="str">
            <v>JLUMUNYE</v>
          </cell>
        </row>
        <row r="493">
          <cell r="N493" t="str">
            <v>FDAGIRU</v>
          </cell>
        </row>
        <row r="494">
          <cell r="N494" t="str">
            <v>JNDAGIRE</v>
          </cell>
        </row>
        <row r="495">
          <cell r="N495" t="str">
            <v>FMATOVU</v>
          </cell>
        </row>
        <row r="496">
          <cell r="N496" t="str">
            <v>LKABABIITO</v>
          </cell>
        </row>
        <row r="497">
          <cell r="N497" t="str">
            <v>PMUYIMBWA</v>
          </cell>
        </row>
        <row r="498">
          <cell r="N498" t="str">
            <v>EKABAHENDA</v>
          </cell>
        </row>
        <row r="499">
          <cell r="N499" t="str">
            <v>JKITAYIMBW</v>
          </cell>
        </row>
        <row r="500">
          <cell r="N500" t="str">
            <v>JNDAGIRE</v>
          </cell>
        </row>
        <row r="501">
          <cell r="N501" t="str">
            <v>BKYOMUGISH</v>
          </cell>
        </row>
        <row r="502">
          <cell r="N502" t="str">
            <v>IMUGARUKIR</v>
          </cell>
        </row>
        <row r="503">
          <cell r="N503" t="str">
            <v>CKIWUMULO</v>
          </cell>
        </row>
        <row r="504">
          <cell r="N504" t="str">
            <v>JLUMUNYE</v>
          </cell>
        </row>
        <row r="505">
          <cell r="N505" t="str">
            <v>ARUKUNDO</v>
          </cell>
        </row>
        <row r="506">
          <cell r="N506" t="str">
            <v>EKOBUSINGE</v>
          </cell>
        </row>
        <row r="507">
          <cell r="N507" t="str">
            <v>FMATOVU</v>
          </cell>
        </row>
        <row r="508">
          <cell r="N508" t="str">
            <v>JNDAGIRE</v>
          </cell>
        </row>
        <row r="509">
          <cell r="N509" t="str">
            <v>EKOBUSINGE</v>
          </cell>
        </row>
        <row r="510">
          <cell r="N510" t="str">
            <v>BKYOMUGISH</v>
          </cell>
        </row>
        <row r="511">
          <cell r="N511" t="str">
            <v>EKOBUSINGE</v>
          </cell>
        </row>
        <row r="512">
          <cell r="N512" t="str">
            <v>FDAGIRU</v>
          </cell>
        </row>
        <row r="513">
          <cell r="N513" t="str">
            <v>EKOBUSINGE</v>
          </cell>
        </row>
        <row r="514">
          <cell r="N514" t="str">
            <v>LKABABIITO</v>
          </cell>
        </row>
        <row r="515">
          <cell r="N515" t="str">
            <v>CKIWUMULO</v>
          </cell>
        </row>
        <row r="516">
          <cell r="N516" t="str">
            <v>JLUYIMA</v>
          </cell>
        </row>
        <row r="517">
          <cell r="N517" t="str">
            <v>EMATEGA</v>
          </cell>
        </row>
        <row r="518">
          <cell r="N518" t="str">
            <v>LKABABIITO</v>
          </cell>
        </row>
        <row r="519">
          <cell r="N519" t="str">
            <v>FNAKAJUBI</v>
          </cell>
        </row>
        <row r="520">
          <cell r="N520" t="str">
            <v>JLUYIMA</v>
          </cell>
        </row>
        <row r="521">
          <cell r="N521" t="str">
            <v>JKITAYIMBW</v>
          </cell>
        </row>
        <row r="522">
          <cell r="N522" t="str">
            <v>JKITAYIMBW</v>
          </cell>
        </row>
        <row r="523">
          <cell r="N523" t="str">
            <v>EMATEGA</v>
          </cell>
        </row>
        <row r="524">
          <cell r="N524" t="str">
            <v>JYEHUNDE</v>
          </cell>
        </row>
        <row r="525">
          <cell r="N525" t="str">
            <v>FMATOVU</v>
          </cell>
        </row>
        <row r="526">
          <cell r="N526" t="str">
            <v>FMATOVU</v>
          </cell>
        </row>
        <row r="527">
          <cell r="N527" t="str">
            <v>ENAMUGANGA</v>
          </cell>
        </row>
        <row r="528">
          <cell r="N528" t="str">
            <v>BKYOMUGISH</v>
          </cell>
        </row>
        <row r="529">
          <cell r="N529" t="str">
            <v>CKIWUMULO</v>
          </cell>
        </row>
        <row r="530">
          <cell r="N530" t="str">
            <v>SAF2000</v>
          </cell>
        </row>
        <row r="531">
          <cell r="N531" t="str">
            <v>SAF2000</v>
          </cell>
        </row>
        <row r="532">
          <cell r="N532" t="str">
            <v>SAF2000</v>
          </cell>
        </row>
        <row r="533">
          <cell r="N533" t="str">
            <v>SAF2000</v>
          </cell>
        </row>
        <row r="534">
          <cell r="N534" t="str">
            <v>IMUGARUKIR</v>
          </cell>
        </row>
        <row r="535">
          <cell r="N535" t="str">
            <v>JLUMUNYE</v>
          </cell>
        </row>
        <row r="536">
          <cell r="N536" t="str">
            <v>SAF2000</v>
          </cell>
        </row>
        <row r="537">
          <cell r="N537" t="str">
            <v>FMATOVU</v>
          </cell>
        </row>
        <row r="538">
          <cell r="N538" t="str">
            <v>FMATOVU</v>
          </cell>
        </row>
        <row r="539">
          <cell r="N539" t="str">
            <v>EKABAHENDA</v>
          </cell>
        </row>
        <row r="540">
          <cell r="N540" t="str">
            <v>JLUMUNYE</v>
          </cell>
        </row>
        <row r="541">
          <cell r="N541" t="str">
            <v>ARUKUNDO</v>
          </cell>
        </row>
        <row r="542">
          <cell r="N542" t="str">
            <v>BKYOMUGISH</v>
          </cell>
        </row>
        <row r="543">
          <cell r="N543" t="str">
            <v>FDAGIRU</v>
          </cell>
        </row>
        <row r="544">
          <cell r="N544" t="str">
            <v>BKYOMUGISH</v>
          </cell>
        </row>
        <row r="545">
          <cell r="N545" t="str">
            <v>EMUGALA</v>
          </cell>
        </row>
        <row r="546">
          <cell r="N546" t="str">
            <v>JNDAGIRE</v>
          </cell>
        </row>
        <row r="547">
          <cell r="N547" t="str">
            <v>FKATONGOLE</v>
          </cell>
        </row>
        <row r="548">
          <cell r="N548" t="str">
            <v>GNALUBWAMA</v>
          </cell>
        </row>
        <row r="549">
          <cell r="N549" t="str">
            <v>ENAMUGANGA</v>
          </cell>
        </row>
        <row r="550">
          <cell r="N550" t="str">
            <v>LKABABIITO</v>
          </cell>
        </row>
        <row r="551">
          <cell r="N551" t="str">
            <v>JBOGERE</v>
          </cell>
        </row>
        <row r="552">
          <cell r="N552" t="str">
            <v>FMATOVU</v>
          </cell>
        </row>
        <row r="553">
          <cell r="N553" t="str">
            <v>JLUYIMA</v>
          </cell>
        </row>
        <row r="554">
          <cell r="N554" t="str">
            <v>EMUGALA</v>
          </cell>
        </row>
        <row r="555">
          <cell r="N555" t="str">
            <v>ARUKUNDO</v>
          </cell>
        </row>
        <row r="556">
          <cell r="N556" t="str">
            <v>JLUMUNYE</v>
          </cell>
        </row>
        <row r="557">
          <cell r="N557" t="str">
            <v>JLUYIMA</v>
          </cell>
        </row>
        <row r="558">
          <cell r="N558" t="str">
            <v>IBOGERE</v>
          </cell>
        </row>
        <row r="559">
          <cell r="N559" t="str">
            <v>FMATOVU</v>
          </cell>
        </row>
        <row r="560">
          <cell r="N560" t="str">
            <v>JNDAGIRE</v>
          </cell>
        </row>
        <row r="561">
          <cell r="N561" t="str">
            <v>FNAKAJUBI</v>
          </cell>
        </row>
        <row r="562">
          <cell r="N562" t="str">
            <v>JNDAGIRE</v>
          </cell>
        </row>
        <row r="563">
          <cell r="N563" t="str">
            <v>PMUYIMBWA</v>
          </cell>
        </row>
        <row r="564">
          <cell r="N564" t="str">
            <v>IBOGERE</v>
          </cell>
        </row>
        <row r="565">
          <cell r="N565" t="str">
            <v>FMATOVU</v>
          </cell>
        </row>
        <row r="566">
          <cell r="N566" t="str">
            <v>EKOBUSINGE</v>
          </cell>
        </row>
        <row r="567">
          <cell r="N567" t="str">
            <v>JLUMUNYE</v>
          </cell>
        </row>
        <row r="568">
          <cell r="N568" t="str">
            <v>EKABAHENDA</v>
          </cell>
        </row>
        <row r="569">
          <cell r="N569" t="str">
            <v>LKABABIITO</v>
          </cell>
        </row>
        <row r="570">
          <cell r="N570" t="str">
            <v>EKOBUSINGE</v>
          </cell>
        </row>
        <row r="571">
          <cell r="N571" t="str">
            <v>FDAGIRU</v>
          </cell>
        </row>
        <row r="572">
          <cell r="N572" t="str">
            <v>CAYESIGA</v>
          </cell>
        </row>
        <row r="573">
          <cell r="N573" t="str">
            <v>FDAGIRU</v>
          </cell>
        </row>
        <row r="574">
          <cell r="N574" t="str">
            <v>LMUBIRU</v>
          </cell>
        </row>
        <row r="575">
          <cell r="N575" t="str">
            <v>IMLWANGA</v>
          </cell>
        </row>
        <row r="576">
          <cell r="N576" t="str">
            <v>JKYAKUWA</v>
          </cell>
        </row>
        <row r="577">
          <cell r="N577" t="str">
            <v>GNALUBWAMA</v>
          </cell>
        </row>
        <row r="578">
          <cell r="N578" t="str">
            <v>LKABABIITO</v>
          </cell>
        </row>
        <row r="579">
          <cell r="N579" t="str">
            <v>JNDAGIRE</v>
          </cell>
        </row>
        <row r="580">
          <cell r="N580" t="str">
            <v>JLUMUNYE</v>
          </cell>
        </row>
        <row r="581">
          <cell r="N581" t="str">
            <v>IBOGERE</v>
          </cell>
        </row>
        <row r="582">
          <cell r="N582" t="str">
            <v>PMUYIMBWA</v>
          </cell>
        </row>
        <row r="583">
          <cell r="N583" t="str">
            <v>JNDAGIRE</v>
          </cell>
        </row>
        <row r="584">
          <cell r="N584" t="str">
            <v>LKABABIITO</v>
          </cell>
        </row>
        <row r="585">
          <cell r="N585" t="str">
            <v>FDAGIRU</v>
          </cell>
        </row>
        <row r="586">
          <cell r="N586" t="str">
            <v>IBOGERE</v>
          </cell>
        </row>
        <row r="587">
          <cell r="N587" t="str">
            <v>ARUKUNDO</v>
          </cell>
        </row>
        <row r="588">
          <cell r="N588" t="str">
            <v>JNDAGIRE</v>
          </cell>
        </row>
        <row r="589">
          <cell r="N589" t="str">
            <v>ARUKUNDO</v>
          </cell>
        </row>
        <row r="590">
          <cell r="N590" t="str">
            <v>LKABABIITO</v>
          </cell>
        </row>
        <row r="591">
          <cell r="N591" t="str">
            <v>IMLWANGA</v>
          </cell>
        </row>
        <row r="592">
          <cell r="N592" t="str">
            <v>JLUMUNYE</v>
          </cell>
        </row>
        <row r="593">
          <cell r="N593" t="str">
            <v>CKIWUMULO</v>
          </cell>
        </row>
        <row r="594">
          <cell r="N594" t="str">
            <v>FMATOVU</v>
          </cell>
        </row>
        <row r="595">
          <cell r="N595" t="str">
            <v>FMATOVU</v>
          </cell>
        </row>
        <row r="596">
          <cell r="N596" t="str">
            <v>IMUGARUKIR</v>
          </cell>
        </row>
        <row r="597">
          <cell r="N597" t="str">
            <v>LKABABIITO</v>
          </cell>
        </row>
        <row r="598">
          <cell r="N598" t="str">
            <v>EMUGALA</v>
          </cell>
        </row>
        <row r="599">
          <cell r="N599" t="str">
            <v>JKYAKUWA</v>
          </cell>
        </row>
        <row r="600">
          <cell r="N600" t="str">
            <v>RNSUBUGA</v>
          </cell>
        </row>
        <row r="601">
          <cell r="N601" t="str">
            <v>EKOBUSINGE</v>
          </cell>
        </row>
        <row r="602">
          <cell r="N602" t="str">
            <v>IMUGARUKIR</v>
          </cell>
        </row>
        <row r="603">
          <cell r="N603" t="str">
            <v>FDAGIRU</v>
          </cell>
        </row>
        <row r="604">
          <cell r="N604" t="str">
            <v>IBOGERE</v>
          </cell>
        </row>
        <row r="605">
          <cell r="N605" t="str">
            <v>IBOGERE</v>
          </cell>
        </row>
        <row r="606">
          <cell r="N606" t="str">
            <v>EKABAHENDA</v>
          </cell>
        </row>
        <row r="607">
          <cell r="N607" t="str">
            <v>EKABAHENDA</v>
          </cell>
        </row>
        <row r="608">
          <cell r="N608" t="str">
            <v>JYEHUNDE</v>
          </cell>
        </row>
        <row r="609">
          <cell r="N609" t="str">
            <v>EMATEGA</v>
          </cell>
        </row>
        <row r="610">
          <cell r="N610" t="str">
            <v>JNDAGIRE</v>
          </cell>
        </row>
        <row r="611">
          <cell r="N611" t="str">
            <v>FMATOVU</v>
          </cell>
        </row>
        <row r="612">
          <cell r="N612" t="str">
            <v>LKABABIITO</v>
          </cell>
        </row>
        <row r="613">
          <cell r="N613" t="str">
            <v>JLUYIMA</v>
          </cell>
        </row>
        <row r="614">
          <cell r="N614" t="str">
            <v>CKIWUMULO</v>
          </cell>
        </row>
        <row r="615">
          <cell r="N615" t="str">
            <v>JNDAGIRE</v>
          </cell>
        </row>
        <row r="616">
          <cell r="N616" t="str">
            <v>EMATEGA</v>
          </cell>
        </row>
        <row r="617">
          <cell r="N617" t="str">
            <v>CKIWUMULO</v>
          </cell>
        </row>
        <row r="618">
          <cell r="N618" t="str">
            <v>LKABABIITO</v>
          </cell>
        </row>
        <row r="619">
          <cell r="N619" t="str">
            <v>BKYOMUGISH</v>
          </cell>
        </row>
        <row r="620">
          <cell r="N620" t="str">
            <v>EKOBUSINGE</v>
          </cell>
        </row>
        <row r="621">
          <cell r="N621" t="str">
            <v>CKIWUMULO</v>
          </cell>
        </row>
        <row r="622">
          <cell r="N622" t="str">
            <v>PMUYIMBWA</v>
          </cell>
        </row>
        <row r="623">
          <cell r="N623" t="str">
            <v>EKABAHENDA</v>
          </cell>
        </row>
        <row r="624">
          <cell r="N624" t="str">
            <v>BKYOMUGISH</v>
          </cell>
        </row>
        <row r="625">
          <cell r="N625" t="str">
            <v>EMATEGA</v>
          </cell>
        </row>
        <row r="626">
          <cell r="N626" t="str">
            <v>IBOGERE</v>
          </cell>
        </row>
        <row r="627">
          <cell r="N627" t="str">
            <v>PMUYIMBWA</v>
          </cell>
        </row>
        <row r="628">
          <cell r="N628" t="str">
            <v>PMUYIMBWA</v>
          </cell>
        </row>
        <row r="629">
          <cell r="N629" t="str">
            <v>LKABABIITO</v>
          </cell>
        </row>
        <row r="630">
          <cell r="N630" t="str">
            <v>LKABABIITO</v>
          </cell>
        </row>
        <row r="631">
          <cell r="N631" t="str">
            <v>HKABALWANY</v>
          </cell>
        </row>
        <row r="632">
          <cell r="N632" t="str">
            <v>JNDAGIRE</v>
          </cell>
        </row>
        <row r="633">
          <cell r="N633" t="str">
            <v>ARUKUNDO</v>
          </cell>
        </row>
        <row r="634">
          <cell r="N634" t="str">
            <v>CKIWUMULO</v>
          </cell>
        </row>
        <row r="635">
          <cell r="N635" t="str">
            <v>JKITAYIMBW</v>
          </cell>
        </row>
        <row r="636">
          <cell r="N636" t="str">
            <v>IMUGARUKIR</v>
          </cell>
        </row>
        <row r="637">
          <cell r="N637" t="str">
            <v>JYEHUNDE</v>
          </cell>
        </row>
        <row r="638">
          <cell r="N638" t="str">
            <v>BKYOMUGISH</v>
          </cell>
        </row>
        <row r="639">
          <cell r="N639" t="str">
            <v>FMATOVU</v>
          </cell>
        </row>
        <row r="640">
          <cell r="N640" t="str">
            <v>CKIWUMULO</v>
          </cell>
        </row>
        <row r="641">
          <cell r="N641" t="str">
            <v>EKOBUSINGE</v>
          </cell>
        </row>
        <row r="642">
          <cell r="N642" t="str">
            <v>EMUGALA</v>
          </cell>
        </row>
        <row r="643">
          <cell r="N643" t="str">
            <v>GNALUBWAMA</v>
          </cell>
        </row>
        <row r="644">
          <cell r="N644" t="str">
            <v>EKABAHENDA</v>
          </cell>
        </row>
        <row r="645">
          <cell r="N645" t="str">
            <v>JNDAGIRE</v>
          </cell>
        </row>
        <row r="646">
          <cell r="N646" t="str">
            <v>LKABABIITO</v>
          </cell>
        </row>
        <row r="647">
          <cell r="N647" t="str">
            <v>ENAMUGANGA</v>
          </cell>
        </row>
        <row r="648">
          <cell r="N648" t="str">
            <v>ARUKUNDO</v>
          </cell>
        </row>
        <row r="649">
          <cell r="N649" t="str">
            <v>FKATONGOLE</v>
          </cell>
        </row>
        <row r="650">
          <cell r="N650" t="str">
            <v>FNAKAJUBI</v>
          </cell>
        </row>
        <row r="651">
          <cell r="N651" t="str">
            <v>JKYAKUWA</v>
          </cell>
        </row>
        <row r="652">
          <cell r="N652" t="str">
            <v>HKABALWANY</v>
          </cell>
        </row>
        <row r="653">
          <cell r="N653" t="str">
            <v>EMUGALA</v>
          </cell>
        </row>
        <row r="654">
          <cell r="N654" t="str">
            <v>ENAMUGANGA</v>
          </cell>
        </row>
        <row r="655">
          <cell r="N655" t="str">
            <v>JNDAGIRE</v>
          </cell>
        </row>
        <row r="656">
          <cell r="N656" t="str">
            <v>LMUBIRU</v>
          </cell>
        </row>
        <row r="657">
          <cell r="N657" t="str">
            <v>IMLWANGA</v>
          </cell>
        </row>
        <row r="658">
          <cell r="N658" t="str">
            <v>GNALUBWAMA</v>
          </cell>
        </row>
        <row r="659">
          <cell r="N659" t="str">
            <v>EMUGALA</v>
          </cell>
        </row>
        <row r="660">
          <cell r="N660" t="str">
            <v>EKOBUSINGE</v>
          </cell>
        </row>
        <row r="661">
          <cell r="N661" t="str">
            <v>FDAGIRU</v>
          </cell>
        </row>
        <row r="662">
          <cell r="N662" t="str">
            <v>BKYOMUGISH</v>
          </cell>
        </row>
        <row r="663">
          <cell r="N663" t="str">
            <v>LMUBIRU</v>
          </cell>
        </row>
        <row r="664">
          <cell r="N664" t="str">
            <v>JNDAGIRE</v>
          </cell>
        </row>
        <row r="665">
          <cell r="N665" t="str">
            <v>ARUKUNDO</v>
          </cell>
        </row>
        <row r="666">
          <cell r="N666" t="str">
            <v>EMATEGA</v>
          </cell>
        </row>
        <row r="667">
          <cell r="N667" t="str">
            <v>GNALUBWAMA</v>
          </cell>
        </row>
        <row r="668">
          <cell r="N668" t="str">
            <v>ARUKUNDO</v>
          </cell>
        </row>
        <row r="669">
          <cell r="N669" t="str">
            <v>EKOBUSINGE</v>
          </cell>
        </row>
        <row r="670">
          <cell r="N670" t="str">
            <v>CNAMAYANJA</v>
          </cell>
        </row>
        <row r="671">
          <cell r="N671" t="str">
            <v>JYEHUNDE</v>
          </cell>
        </row>
        <row r="672">
          <cell r="N672" t="str">
            <v>EMUGALA</v>
          </cell>
        </row>
        <row r="673">
          <cell r="N673" t="str">
            <v>BKYOMUGISH</v>
          </cell>
        </row>
        <row r="674">
          <cell r="N674" t="str">
            <v>LKABABIITO</v>
          </cell>
        </row>
        <row r="675">
          <cell r="N675" t="str">
            <v>JNDAGIRE</v>
          </cell>
        </row>
        <row r="676">
          <cell r="N676" t="str">
            <v>ARUKUNDO</v>
          </cell>
        </row>
        <row r="677">
          <cell r="N677" t="str">
            <v>JBOGERE</v>
          </cell>
        </row>
        <row r="678">
          <cell r="N678" t="str">
            <v>FMATOVU</v>
          </cell>
        </row>
        <row r="679">
          <cell r="N679" t="str">
            <v>JKYAKUWA</v>
          </cell>
        </row>
        <row r="680">
          <cell r="N680" t="str">
            <v>EMATEGA</v>
          </cell>
        </row>
        <row r="681">
          <cell r="N681" t="str">
            <v>CKIWUMULO</v>
          </cell>
        </row>
        <row r="682">
          <cell r="N682" t="str">
            <v>JNDAGIRE</v>
          </cell>
        </row>
        <row r="683">
          <cell r="N683" t="str">
            <v>GNALUBWAMA</v>
          </cell>
        </row>
        <row r="684">
          <cell r="N684" t="str">
            <v>FMATOVU</v>
          </cell>
        </row>
        <row r="685">
          <cell r="N685" t="str">
            <v>JNDAGIRE</v>
          </cell>
        </row>
        <row r="686">
          <cell r="N686" t="str">
            <v>CAYESIGA</v>
          </cell>
        </row>
        <row r="687">
          <cell r="N687" t="str">
            <v>EKOBUSINGE</v>
          </cell>
        </row>
        <row r="688">
          <cell r="N688" t="str">
            <v>EKOBUSINGE</v>
          </cell>
        </row>
        <row r="689">
          <cell r="N689" t="str">
            <v>LMUBIRU</v>
          </cell>
        </row>
        <row r="690">
          <cell r="N690" t="str">
            <v>JLUMUNYE</v>
          </cell>
        </row>
        <row r="691">
          <cell r="N691" t="str">
            <v>IBOGERE</v>
          </cell>
        </row>
        <row r="692">
          <cell r="N692" t="str">
            <v>CAYESIGA</v>
          </cell>
        </row>
        <row r="693">
          <cell r="N693" t="str">
            <v>IMLWANGA</v>
          </cell>
        </row>
        <row r="694">
          <cell r="N694" t="str">
            <v>IBOGERE</v>
          </cell>
        </row>
        <row r="695">
          <cell r="N695" t="str">
            <v>JYEHUNDE</v>
          </cell>
        </row>
        <row r="696">
          <cell r="N696" t="str">
            <v>IMLWANGA</v>
          </cell>
        </row>
        <row r="697">
          <cell r="N697" t="str">
            <v>EMATEGA</v>
          </cell>
        </row>
        <row r="698">
          <cell r="N698" t="str">
            <v>BKYOMUGISH</v>
          </cell>
        </row>
        <row r="699">
          <cell r="N699" t="str">
            <v>IMLWANGA</v>
          </cell>
        </row>
        <row r="700">
          <cell r="N700" t="str">
            <v>IMUGARUKIR</v>
          </cell>
        </row>
        <row r="701">
          <cell r="N701" t="str">
            <v>FKATONGOLE</v>
          </cell>
        </row>
        <row r="702">
          <cell r="N702" t="str">
            <v>JKITAYIMBW</v>
          </cell>
        </row>
        <row r="703">
          <cell r="N703" t="str">
            <v>RNSUBUGA</v>
          </cell>
        </row>
        <row r="704">
          <cell r="N704" t="str">
            <v>EKABAHENDA</v>
          </cell>
        </row>
        <row r="705">
          <cell r="N705" t="str">
            <v>EKABAHENDA</v>
          </cell>
        </row>
        <row r="706">
          <cell r="N706" t="str">
            <v>JNDAGIRE</v>
          </cell>
        </row>
        <row r="707">
          <cell r="N707" t="str">
            <v>CAYESIGA</v>
          </cell>
        </row>
        <row r="708">
          <cell r="N708" t="str">
            <v>FDAGIRU</v>
          </cell>
        </row>
        <row r="709">
          <cell r="N709" t="str">
            <v>JBOGERE</v>
          </cell>
        </row>
        <row r="710">
          <cell r="N710" t="str">
            <v>FDAGIRU</v>
          </cell>
        </row>
        <row r="711">
          <cell r="N711" t="str">
            <v>JNDAGIRE</v>
          </cell>
        </row>
        <row r="712">
          <cell r="N712" t="str">
            <v>EKABAHENDA</v>
          </cell>
        </row>
        <row r="713">
          <cell r="N713" t="str">
            <v>IMUGARUKIR</v>
          </cell>
        </row>
        <row r="714">
          <cell r="N714" t="str">
            <v>JNDAGIRE</v>
          </cell>
        </row>
        <row r="715">
          <cell r="N715" t="str">
            <v>JLUMUNYE</v>
          </cell>
        </row>
        <row r="716">
          <cell r="N716" t="str">
            <v>JNDAGIRE</v>
          </cell>
        </row>
        <row r="717">
          <cell r="N717" t="str">
            <v>JYEHUNDE</v>
          </cell>
        </row>
        <row r="718">
          <cell r="N718" t="str">
            <v>JLUMUNYE</v>
          </cell>
        </row>
        <row r="719">
          <cell r="N719" t="str">
            <v>CAYESIGA</v>
          </cell>
        </row>
        <row r="720">
          <cell r="N720" t="str">
            <v>JNDAGIRE</v>
          </cell>
        </row>
        <row r="721">
          <cell r="N721" t="str">
            <v>LKABABIITO</v>
          </cell>
        </row>
        <row r="722">
          <cell r="N722" t="str">
            <v>EMATEGA</v>
          </cell>
        </row>
        <row r="723">
          <cell r="N723" t="str">
            <v>FMATOVU</v>
          </cell>
        </row>
        <row r="724">
          <cell r="N724" t="str">
            <v>JKYAKUWA</v>
          </cell>
        </row>
        <row r="725">
          <cell r="N725" t="str">
            <v>CKIWUMULO</v>
          </cell>
        </row>
        <row r="726">
          <cell r="N726" t="str">
            <v>MKIRUMIRA</v>
          </cell>
        </row>
        <row r="727">
          <cell r="N727" t="str">
            <v>EKABAHENDA</v>
          </cell>
        </row>
        <row r="728">
          <cell r="N728" t="str">
            <v>EMATEGA</v>
          </cell>
        </row>
        <row r="729">
          <cell r="N729" t="str">
            <v>LKABABIITO</v>
          </cell>
        </row>
        <row r="730">
          <cell r="N730" t="str">
            <v>FMATOVU</v>
          </cell>
        </row>
        <row r="731">
          <cell r="N731" t="str">
            <v>EKOBUSINGE</v>
          </cell>
        </row>
        <row r="732">
          <cell r="N732" t="str">
            <v>JBOGERE</v>
          </cell>
        </row>
        <row r="733">
          <cell r="N733" t="str">
            <v>JKITAYIMBW</v>
          </cell>
        </row>
        <row r="734">
          <cell r="N734" t="str">
            <v>IMUGARUKIR</v>
          </cell>
        </row>
        <row r="735">
          <cell r="N735" t="str">
            <v>RNSUBUGA</v>
          </cell>
        </row>
        <row r="736">
          <cell r="N736" t="str">
            <v>PMUYIMBWA</v>
          </cell>
        </row>
        <row r="737">
          <cell r="N737" t="str">
            <v>ANAMYALO</v>
          </cell>
        </row>
        <row r="738">
          <cell r="N738" t="str">
            <v>PMUYIMBWA</v>
          </cell>
        </row>
        <row r="739">
          <cell r="N739" t="str">
            <v>CKIWUMULO</v>
          </cell>
        </row>
        <row r="740">
          <cell r="N740" t="str">
            <v>EMUGALA</v>
          </cell>
        </row>
        <row r="741">
          <cell r="N741" t="str">
            <v>RABIMANYIS</v>
          </cell>
        </row>
        <row r="742">
          <cell r="N742" t="str">
            <v>FKATONGOLE</v>
          </cell>
        </row>
        <row r="743">
          <cell r="N743" t="str">
            <v>FMATOVU</v>
          </cell>
        </row>
        <row r="744">
          <cell r="N744" t="str">
            <v>BKYOMUGISH</v>
          </cell>
        </row>
        <row r="745">
          <cell r="N745" t="str">
            <v>EMATEGA</v>
          </cell>
        </row>
        <row r="746">
          <cell r="N746" t="str">
            <v>GNALUBWAMA</v>
          </cell>
        </row>
        <row r="747">
          <cell r="N747" t="str">
            <v>VMUSOKE</v>
          </cell>
        </row>
        <row r="748">
          <cell r="N748" t="str">
            <v>JBOGERE</v>
          </cell>
        </row>
        <row r="749">
          <cell r="N749" t="str">
            <v>FMATOVU</v>
          </cell>
        </row>
        <row r="750">
          <cell r="N750" t="str">
            <v>LMUBIRU</v>
          </cell>
        </row>
        <row r="751">
          <cell r="N751" t="str">
            <v>SAF2000</v>
          </cell>
        </row>
        <row r="752">
          <cell r="N752" t="str">
            <v>EKOBUSINGE</v>
          </cell>
        </row>
        <row r="753">
          <cell r="N753" t="str">
            <v>SAF2000</v>
          </cell>
        </row>
        <row r="754">
          <cell r="N754" t="str">
            <v>LKABABIITO</v>
          </cell>
        </row>
        <row r="755">
          <cell r="N755" t="str">
            <v>SAF2000</v>
          </cell>
        </row>
        <row r="756">
          <cell r="N756" t="str">
            <v>SAF2000</v>
          </cell>
        </row>
        <row r="757">
          <cell r="N757" t="str">
            <v>JNDAGIRE</v>
          </cell>
        </row>
        <row r="758">
          <cell r="N758" t="str">
            <v>SAF2000</v>
          </cell>
        </row>
        <row r="759">
          <cell r="N759" t="str">
            <v>IMUGARUKIR</v>
          </cell>
        </row>
        <row r="760">
          <cell r="N760" t="str">
            <v>EKABAHENDA</v>
          </cell>
        </row>
        <row r="761">
          <cell r="N761" t="str">
            <v>SAF2000</v>
          </cell>
        </row>
        <row r="762">
          <cell r="N762" t="str">
            <v>SAF2000</v>
          </cell>
        </row>
        <row r="763">
          <cell r="N763" t="str">
            <v>FDAGIRU</v>
          </cell>
        </row>
        <row r="764">
          <cell r="N764" t="str">
            <v>SAF2000</v>
          </cell>
        </row>
        <row r="765">
          <cell r="N765" t="str">
            <v>RABIMANYIS</v>
          </cell>
        </row>
        <row r="766">
          <cell r="N766" t="str">
            <v>SAF2000</v>
          </cell>
        </row>
        <row r="767">
          <cell r="N767" t="str">
            <v>IBOGERE</v>
          </cell>
        </row>
        <row r="768">
          <cell r="N768" t="str">
            <v>SAF2000</v>
          </cell>
        </row>
        <row r="769">
          <cell r="N769" t="str">
            <v>ENAMUGANGA</v>
          </cell>
        </row>
        <row r="770">
          <cell r="N770" t="str">
            <v>SAF2000</v>
          </cell>
        </row>
        <row r="771">
          <cell r="N771" t="str">
            <v>SAF2000</v>
          </cell>
        </row>
        <row r="772">
          <cell r="N772" t="str">
            <v>LKABABIITO</v>
          </cell>
        </row>
        <row r="773">
          <cell r="N773" t="str">
            <v>JLUMUNYE</v>
          </cell>
        </row>
        <row r="774">
          <cell r="N774" t="str">
            <v>EMUGALA</v>
          </cell>
        </row>
        <row r="775">
          <cell r="N775" t="str">
            <v>JYEHUNDE</v>
          </cell>
        </row>
        <row r="776">
          <cell r="N776" t="str">
            <v>SAF2000</v>
          </cell>
        </row>
        <row r="777">
          <cell r="N777" t="str">
            <v>CKIWUMULO</v>
          </cell>
        </row>
        <row r="778">
          <cell r="N778" t="str">
            <v>SAF2000</v>
          </cell>
        </row>
        <row r="779">
          <cell r="N779" t="str">
            <v>SAF2000</v>
          </cell>
        </row>
        <row r="780">
          <cell r="N780" t="str">
            <v>SAF2000</v>
          </cell>
        </row>
        <row r="781">
          <cell r="N781" t="str">
            <v>SAF2000</v>
          </cell>
        </row>
        <row r="782">
          <cell r="N782" t="str">
            <v>JNDAGIRE</v>
          </cell>
        </row>
        <row r="783">
          <cell r="N783" t="str">
            <v>IMUGARUKIR</v>
          </cell>
        </row>
        <row r="784">
          <cell r="N784" t="str">
            <v>JYEHUNDE</v>
          </cell>
        </row>
        <row r="785">
          <cell r="N785" t="str">
            <v>GNALUBWAMA</v>
          </cell>
        </row>
        <row r="786">
          <cell r="N786" t="str">
            <v>IBOGERE</v>
          </cell>
        </row>
        <row r="787">
          <cell r="N787" t="str">
            <v>JLUYIMA</v>
          </cell>
        </row>
        <row r="788">
          <cell r="N788" t="str">
            <v>RNSUBUGA</v>
          </cell>
        </row>
        <row r="789">
          <cell r="N789" t="str">
            <v>SAF2000</v>
          </cell>
        </row>
        <row r="790">
          <cell r="N790" t="str">
            <v>SAF2000</v>
          </cell>
        </row>
        <row r="791">
          <cell r="N791" t="str">
            <v>JKNANTAMBA</v>
          </cell>
        </row>
        <row r="792">
          <cell r="N792" t="str">
            <v>RNSUBUGA</v>
          </cell>
        </row>
        <row r="793">
          <cell r="N793" t="str">
            <v>SAF2000</v>
          </cell>
        </row>
        <row r="794">
          <cell r="N794" t="str">
            <v>SAF2000</v>
          </cell>
        </row>
        <row r="795">
          <cell r="N795" t="str">
            <v>SAF2000</v>
          </cell>
        </row>
        <row r="796">
          <cell r="N796" t="str">
            <v>JLUMUNYE</v>
          </cell>
        </row>
        <row r="797">
          <cell r="N797" t="str">
            <v>JYEHUNDE</v>
          </cell>
        </row>
        <row r="798">
          <cell r="N798" t="str">
            <v>ARUKUNDO</v>
          </cell>
        </row>
        <row r="799">
          <cell r="N799" t="str">
            <v>CMUTABAZI</v>
          </cell>
        </row>
        <row r="800">
          <cell r="N800" t="str">
            <v>EMUGALA</v>
          </cell>
        </row>
        <row r="801">
          <cell r="N801" t="str">
            <v>FMATOVU</v>
          </cell>
        </row>
        <row r="802">
          <cell r="N802" t="str">
            <v>EKABAHENDA</v>
          </cell>
        </row>
        <row r="803">
          <cell r="N803" t="str">
            <v>SAF2000</v>
          </cell>
        </row>
        <row r="804">
          <cell r="N804" t="str">
            <v>SAF2000</v>
          </cell>
        </row>
        <row r="805">
          <cell r="N805" t="str">
            <v>CKIWUMULO</v>
          </cell>
        </row>
        <row r="806">
          <cell r="N806" t="str">
            <v>JNDAGIRE</v>
          </cell>
        </row>
        <row r="807">
          <cell r="N807" t="str">
            <v>LKABABIITO</v>
          </cell>
        </row>
        <row r="808">
          <cell r="N808" t="str">
            <v>JKITAYIMBW</v>
          </cell>
        </row>
        <row r="809">
          <cell r="N809" t="str">
            <v>ARUKUNDO</v>
          </cell>
        </row>
        <row r="810">
          <cell r="N810" t="str">
            <v>JNDAGIRE</v>
          </cell>
        </row>
        <row r="811">
          <cell r="N811" t="str">
            <v>JYEHUNDE</v>
          </cell>
        </row>
        <row r="812">
          <cell r="N812" t="str">
            <v>CAYESIGA</v>
          </cell>
        </row>
        <row r="813">
          <cell r="N813" t="str">
            <v>BKYOMUGISH</v>
          </cell>
        </row>
        <row r="814">
          <cell r="N814" t="str">
            <v>EKOBUSINGE</v>
          </cell>
        </row>
        <row r="815">
          <cell r="N815" t="str">
            <v>RABIMANYIS</v>
          </cell>
        </row>
        <row r="816">
          <cell r="N816" t="str">
            <v>SAF2000</v>
          </cell>
        </row>
        <row r="817">
          <cell r="N817" t="str">
            <v>LKABABIITO</v>
          </cell>
        </row>
        <row r="818">
          <cell r="N818" t="str">
            <v>IBOGERE</v>
          </cell>
        </row>
        <row r="819">
          <cell r="N819" t="str">
            <v>EKOBUSINGE</v>
          </cell>
        </row>
        <row r="820">
          <cell r="N820" t="str">
            <v>FDAGIRU</v>
          </cell>
        </row>
        <row r="821">
          <cell r="N821" t="str">
            <v>IMUGARUKIR</v>
          </cell>
        </row>
        <row r="822">
          <cell r="N822" t="str">
            <v>EMATEGA</v>
          </cell>
        </row>
        <row r="823">
          <cell r="N823" t="str">
            <v>FMATOVU</v>
          </cell>
        </row>
        <row r="824">
          <cell r="N824" t="str">
            <v>ANAMYALO</v>
          </cell>
        </row>
        <row r="825">
          <cell r="N825" t="str">
            <v>CAYESIGA</v>
          </cell>
        </row>
        <row r="826">
          <cell r="N826" t="str">
            <v>RABIMANYIS</v>
          </cell>
        </row>
        <row r="827">
          <cell r="N827" t="str">
            <v>SAF2000</v>
          </cell>
        </row>
        <row r="828">
          <cell r="N828" t="str">
            <v>SAF2000</v>
          </cell>
        </row>
        <row r="829">
          <cell r="N829" t="str">
            <v>JBOGERE</v>
          </cell>
        </row>
        <row r="830">
          <cell r="N830" t="str">
            <v>RKANDEKE</v>
          </cell>
        </row>
        <row r="831">
          <cell r="N831" t="str">
            <v>JLUMUNYE</v>
          </cell>
        </row>
        <row r="832">
          <cell r="N832" t="str">
            <v>IMLWANGA</v>
          </cell>
        </row>
        <row r="833">
          <cell r="N833" t="str">
            <v>JNDAGIRE</v>
          </cell>
        </row>
        <row r="834">
          <cell r="N834" t="str">
            <v>LKABABIITO</v>
          </cell>
        </row>
        <row r="835">
          <cell r="N835" t="str">
            <v>IMUGARUKIR</v>
          </cell>
        </row>
        <row r="836">
          <cell r="N836" t="str">
            <v>LMUBIRU</v>
          </cell>
        </row>
        <row r="837">
          <cell r="N837" t="str">
            <v>SAF2000</v>
          </cell>
        </row>
        <row r="838">
          <cell r="N838" t="str">
            <v>LKABABIITO</v>
          </cell>
        </row>
        <row r="839">
          <cell r="N839" t="str">
            <v>FNAKAJUBI</v>
          </cell>
        </row>
        <row r="840">
          <cell r="N840" t="str">
            <v>PMUYIMBWA</v>
          </cell>
        </row>
        <row r="841">
          <cell r="N841" t="str">
            <v>FMATOVU</v>
          </cell>
        </row>
        <row r="842">
          <cell r="N842" t="str">
            <v>ARUKUNDO</v>
          </cell>
        </row>
        <row r="843">
          <cell r="N843" t="str">
            <v>PMUYIMBWA</v>
          </cell>
        </row>
      </sheetData>
      <sheetData sheetId="5"/>
      <sheetData sheetId="6">
        <row r="5">
          <cell r="A5" t="str">
            <v>Agriculture, Forestry, Fishing and Hunting</v>
          </cell>
        </row>
        <row r="6">
          <cell r="A6" t="str">
            <v>Mining</v>
          </cell>
        </row>
        <row r="7">
          <cell r="A7" t="str">
            <v>Construction</v>
          </cell>
        </row>
        <row r="8">
          <cell r="A8" t="str">
            <v>Manufacturing</v>
          </cell>
        </row>
        <row r="9">
          <cell r="A9" t="str">
            <v>Wholesale Trade</v>
          </cell>
        </row>
        <row r="10">
          <cell r="A10" t="str">
            <v>Retail</v>
          </cell>
        </row>
        <row r="11">
          <cell r="A11" t="str">
            <v>Transportation and Warehousing</v>
          </cell>
        </row>
        <row r="12">
          <cell r="A12" t="str">
            <v>Information</v>
          </cell>
        </row>
        <row r="13">
          <cell r="A13" t="str">
            <v>Finance and Insurance</v>
          </cell>
        </row>
        <row r="14">
          <cell r="A14" t="str">
            <v>Real Estate and Rental</v>
          </cell>
        </row>
        <row r="15">
          <cell r="A15" t="str">
            <v>Educational Services</v>
          </cell>
        </row>
        <row r="16">
          <cell r="A16" t="str">
            <v>Health Care</v>
          </cell>
        </row>
        <row r="17">
          <cell r="A17" t="str">
            <v>Restaurants and Hotels</v>
          </cell>
        </row>
        <row r="18">
          <cell r="A18" t="str">
            <v>Other Services</v>
          </cell>
        </row>
      </sheetData>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DailyReportTotal"/>
      <sheetName val="DailyReportPerBranch"/>
      <sheetName val="Consolidated Graphs"/>
      <sheetName val="PAR30"/>
      <sheetName val="PAR1"/>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DailyReportTotal"/>
      <sheetName val="DailyReportPerBranch"/>
      <sheetName val="Consolidated Graphs"/>
      <sheetName val="PAR30"/>
      <sheetName val="PAR1"/>
    </sheetNames>
    <sheetDataSet>
      <sheetData sheetId="0"/>
      <sheetData sheetId="1"/>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ENTRYCREDIT TRAINEE" refreshedDate="43063.369579513892" createdVersion="4" refreshedVersion="5" minRefreshableVersion="3" recordCount="1451" xr:uid="{00000000-000A-0000-FFFF-FFFF00000000}">
  <cacheSource type="worksheet">
    <worksheetSource name="Table__192.168.1.150_Daily_Delinquency_With_Sectors"/>
  </cacheSource>
  <cacheFields count="23">
    <cacheField name="Client Name" numFmtId="0">
      <sharedItems/>
    </cacheField>
    <cacheField name="Credit Type" numFmtId="0">
      <sharedItems containsBlank="1" count="12">
        <s v="BUSINESS LOAN 1"/>
        <s v="HOME IMPROVEMENT LOAN"/>
        <s v="BUSINESS LOAN 3"/>
        <s v="BUSINESS LOAN 2"/>
        <s v="RESCHEDULE LOAN - BUSINESS"/>
        <s v="RESCHEDULE LOAN - HOUSING"/>
        <s v="ACQUISITION LOAN FOR EMPLOYEES"/>
        <s v="WOMEN MARKET TRADER LOAN"/>
        <s v="WOMEN MARKET TRADER LOAN 2"/>
        <s v="WOMEN MARKET TRADER LOAN 3"/>
        <s v="LIQUIDITY LOAN FOR EMPLOYEES"/>
        <m u="1"/>
      </sharedItems>
    </cacheField>
    <cacheField name="Days in Arrears" numFmtId="0">
      <sharedItems containsSemiMixedTypes="0" containsString="0" containsNumber="1" containsInteger="1" minValue="-29" maxValue="203"/>
    </cacheField>
    <cacheField name="Outstanding Balance" numFmtId="164">
      <sharedItems containsSemiMixedTypes="0" containsString="0" containsNumber="1" minValue="7761.31" maxValue="58355347.810000002"/>
    </cacheField>
    <cacheField name="Loan Officer" numFmtId="0">
      <sharedItems containsBlank="1" count="127">
        <s v="KOLOLO ADMIN"/>
        <s v="GNALUBWAMA"/>
        <s v="EMATEGA"/>
        <s v="CNAKAYIKI"/>
        <s v="IMUGARUKIR"/>
        <s v="ANABISERE"/>
        <s v="PNAMWASE"/>
        <s v="NDEEBA ADMIN"/>
        <s v="HEAD OFFICE"/>
        <s v="EKOBUSINGE"/>
        <s v="FOWEMBABAB"/>
        <s v="MMBABAZI"/>
        <s v="FDAGIRU"/>
        <s v="CNANYONGA"/>
        <s v="SKATENDE"/>
        <s v="AMWEBE"/>
        <s v="ENABBOSA"/>
        <s v="SAF2000"/>
        <s v="SAKASEGERE"/>
        <s v="SNYUNGWE"/>
        <s v="PNAMPIJJA"/>
        <s v="DCOLLECTO2"/>
        <s v="BBIRUNGI"/>
        <s v="MBIRABWA"/>
        <s v="JNYAKATE"/>
        <s v="AKAZOBA"/>
        <s v="FKATUA"/>
        <s v="JNALUKENGE"/>
        <s v="SOJAMBO"/>
        <s v="ATURYAMUBUGANA"/>
        <s v="JTUSIIME"/>
        <s v="LNAMUYOMBA"/>
        <s v="DNSUBUGA1"/>
        <s v="SMIREMBE"/>
        <s v="FMUZANIRABANDI"/>
        <s v="JNATUHWEZA"/>
        <s v="DONGODIA"/>
        <s v="CKAWEESA"/>
        <s v="EMUBAJE"/>
        <s v="ESEMAKULA"/>
        <s v="FASABA"/>
        <s v="IKIRAGGA"/>
        <s v="RMALE"/>
        <s v="TKUSHEMERERWA"/>
        <s v="GAMANYIRE" u="1"/>
        <m u="1"/>
        <s v="IAIMO" u="1"/>
        <s v="PARAPA" u="1"/>
        <s v="SKWATA" u="1"/>
        <s v="EKYOZIRA" u="1"/>
        <s v="JODONGO" u="1"/>
        <s v="DKULUSE" u="1"/>
        <s v="HNABAASA" u="1"/>
        <s v="JAKAMPA" u="1"/>
        <s v="IMLWANGA" u="1"/>
        <s v="JNANYONJO" u="1"/>
        <s v="AKYOMUHEND" u="1"/>
        <s v="FKATONGOLE" u="1"/>
        <s v="ANAMYALO" u="1"/>
        <s v="LMUBIRU" u="1"/>
        <s v="HTUMUSIIME" u="1"/>
        <s v="GKEMIGISHA" u="1"/>
        <s v="ENANFUKA" u="1"/>
        <s v="IBOGERE" u="1"/>
        <s v="MBARISIGARA" u="1"/>
        <s v="JLUMUNYE" u="1"/>
        <s v="DCOLLECTOR" u="1"/>
        <s v="DTUMUHAIRWE" u="1"/>
        <s v="FBISANGA" u="1"/>
        <s v="HNAJJEMBA" u="1"/>
        <s v="JNALUKENGA" u="1"/>
        <s v="CAYESIGA" u="1"/>
        <s v="CKIWUMULO" u="1"/>
        <s v="TJNYAKATE" u="1"/>
        <s v="ZNANDOBYO" u="1"/>
        <s v="CNINSIIMA" u="1"/>
        <s v="CNANTUME" u="1"/>
        <s v="DMUGOYA" u="1"/>
        <s v="FMATOVU" u="1"/>
        <s v="NKIBUUKA" u="1"/>
        <s v="DCOLLECTO1" u="1"/>
        <s v="WNAMPEEWO" u="1"/>
        <s v="JPANDE" u="1"/>
        <s v="EMUGALA" u="1"/>
        <s v="SYMUTEBI" u="1"/>
        <s v="CTUMWESIGE" u="1"/>
        <s v="VMUSOKE" u="1"/>
        <s v="MNANTEZA" u="1"/>
        <s v="MKIRUMIRA" u="1"/>
        <s v="STUSUBIRA" u="1"/>
        <s v="EKABAHENDA" u="1"/>
        <s v="MWATASA" u="1"/>
        <s v="JKYAKUWA" u="1"/>
        <s v="JEDOPU" u="1"/>
        <s v="JNDAGIRE" u="1"/>
        <s v="JBOGERE" u="1"/>
        <s v="CERUUT" u="1"/>
        <s v="CKAGGWA" u="1"/>
        <s v="MNAKAYIZA" u="1"/>
        <s v="DBWIRE" u="1"/>
        <s v="ARUKUNDO" u="1"/>
        <s v="JDUSHIME" u="1"/>
        <s v="CMUTABAZI" u="1"/>
        <s v="ATUGUME" u="1"/>
        <s v="BNABWALA" u="1"/>
        <s v="DCOLLECTO3" u="1"/>
        <s v="RKIKONYOGO" u="1"/>
        <s v="LKABABIITO" u="1"/>
        <s v="EJOLOBA" u="1"/>
        <s v="JMUGULUSI" u="1"/>
        <s v="COKELLO" u="1"/>
        <s v="JKIGGUNDU" u="1"/>
        <s v="CNAKIRIJJA" u="1"/>
        <s v="MNAMUDALA" u="1"/>
        <s v="ENAMUGANGA" u="1"/>
        <s v="CNABAJJA" u="1"/>
        <s v="SKAYONGO" u="1"/>
        <s v="BNABBAALE" u="1"/>
        <s v="DCRISPUS" u="1"/>
        <s v="MAMULEN" u="1"/>
        <s v="DCOLLECTOR90" u="1"/>
        <s v="CNAMAYANJA" u="1"/>
        <s v="LKABAGABU" u="1"/>
        <s v="RNSUBUGA" u="1"/>
        <s v="CMATAMA" u="1"/>
        <s v="BKWEEZI" u="1"/>
        <s v="JYEHUNDE" u="1"/>
      </sharedItems>
    </cacheField>
    <cacheField name="Interest" numFmtId="164">
      <sharedItems containsSemiMixedTypes="0" containsString="0" containsNumber="1" minValue="0" maxValue="3377896.12"/>
    </cacheField>
    <cacheField name="Late Amount" numFmtId="164">
      <sharedItems containsSemiMixedTypes="0" containsString="0" containsNumber="1" minValue="7761.31" maxValue="92611990.459999993"/>
    </cacheField>
    <cacheField name="Disbursment date" numFmtId="22">
      <sharedItems containsSemiMixedTypes="0" containsNonDate="0" containsDate="1" containsString="0" minDate="2014-11-14T15:19:14" maxDate="2017-11-16T17:17:56"/>
    </cacheField>
    <cacheField name="Expiration date" numFmtId="22">
      <sharedItems containsSemiMixedTypes="0" containsNonDate="0" containsDate="1" containsString="0" minDate="2017-05-05T00:00:00" maxDate="2022-05-22T00:00:00"/>
    </cacheField>
    <cacheField name="Phone No-1" numFmtId="0">
      <sharedItems/>
    </cacheField>
    <cacheField name="Phone No-2" numFmtId="0">
      <sharedItems/>
    </cacheField>
    <cacheField name="Phone No-3" numFmtId="0">
      <sharedItems/>
    </cacheField>
    <cacheField name="Credit number" numFmtId="0">
      <sharedItems containsSemiMixedTypes="0" containsString="0" containsNumber="1" containsInteger="1" minValue="101042" maxValue="201461"/>
    </cacheField>
    <cacheField name="Client number" numFmtId="0">
      <sharedItems/>
    </cacheField>
    <cacheField name="Activity" numFmtId="0">
      <sharedItems/>
    </cacheField>
    <cacheField name="Sub activity" numFmtId="0">
      <sharedItems/>
    </cacheField>
    <cacheField name="Sub-sub activity" numFmtId="0">
      <sharedItems containsBlank="1"/>
    </cacheField>
    <cacheField name="PAR 1" numFmtId="164">
      <sharedItems containsSemiMixedTypes="0" containsString="0" containsNumber="1" minValue="0" maxValue="58355347.810000002"/>
    </cacheField>
    <cacheField name="PAR 30" numFmtId="164">
      <sharedItems containsSemiMixedTypes="0" containsString="0" containsNumber="1" minValue="0" maxValue="58355347.810000002"/>
    </cacheField>
    <cacheField name="PAR 90" numFmtId="164">
      <sharedItems containsSemiMixedTypes="0" containsString="0" containsNumber="1" minValue="0" maxValue="58355347.810000002"/>
    </cacheField>
    <cacheField name="PAR 1 MARKED" numFmtId="169">
      <sharedItems containsSemiMixedTypes="0" containsString="0" containsNumber="1" containsInteger="1" minValue="0" maxValue="1"/>
    </cacheField>
    <cacheField name="PAR 30 MARKED" numFmtId="169">
      <sharedItems containsSemiMixedTypes="0" containsString="0" containsNumber="1" containsInteger="1" minValue="0" maxValue="1"/>
    </cacheField>
    <cacheField name="PAR 90 MARKED" numFmtId="169">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ENTRYCREDIT TRAINEE" refreshedDate="43063.370335069441" createdVersion="5" refreshedVersion="5" minRefreshableVersion="3" recordCount="155" xr:uid="{00000000-000A-0000-FFFF-FFFF01000000}">
  <cacheSource type="worksheet">
    <worksheetSource ref="A1:F156" sheet="DelinquencyPerSector"/>
  </cacheSource>
  <cacheFields count="6">
    <cacheField name="Activity" numFmtId="0">
      <sharedItems count="14">
        <s v="Agriculture, Forestry, Fishing and Hunting"/>
        <s v="Construction"/>
        <s v="Educational Services"/>
        <s v="Finance and Insurance"/>
        <s v="Health Care"/>
        <s v="Information"/>
        <s v="Manufacturing"/>
        <s v="Mining"/>
        <s v="Other Services"/>
        <s v="Real Estate and Rental"/>
        <s v="Restaurants and Hotels"/>
        <s v="Retail"/>
        <s v="Transportation and Warehousing"/>
        <s v="Wholesale Trade"/>
      </sharedItems>
    </cacheField>
    <cacheField name="Sub-Activity" numFmtId="0">
      <sharedItems count="44">
        <s v="Animal Production"/>
        <s v="Crop Production"/>
        <s v="Fishing and Hunting"/>
        <s v="Forestry"/>
        <s v="Others"/>
        <s v="Construction of Buildings"/>
        <s v="Educational Services"/>
        <s v="Finance"/>
        <s v="Health Care"/>
        <s v="Publishing Industries"/>
        <s v="Apparel Manufacturing"/>
        <s v="Chemical Manufacturing"/>
        <s v="Fabricated Metal Product Manufacturing"/>
        <s v="Food Manufacturing"/>
        <s v="Leather and Allied Product Manufacturing"/>
        <s v="Machinery Manufacturing"/>
        <s v="Plastics and Rubber"/>
        <s v="Primary Metal Manufacturing"/>
        <s v="Textiles"/>
        <s v="Wood Product Manufacturing"/>
        <s v="Mining and Extraction"/>
        <s v="Personal Services"/>
        <s v="Religious"/>
        <s v="Real Estate"/>
        <s v="Rental"/>
        <s v="Hotel"/>
        <s v="Restaurant"/>
        <s v="Building Material and Garden Equipment"/>
        <s v="Electronics Stores"/>
        <s v="Food and Beverage Stores"/>
        <s v="Furniture and Home Furnishings Stores"/>
        <s v="Gasoline Stations"/>
        <s v="General Merchandise Stores"/>
        <s v="Health and Personal Care Stores"/>
        <s v="Miscellaneous Store Retailers"/>
        <s v="Motor Vehicle and Parts Dealers"/>
        <s v="New-Clothing and  Accessories"/>
        <s v="Second Hand -Clothing and  Accessories"/>
        <s v=" Passenger Transportation"/>
        <s v="Air, Rail, and Water Transportation"/>
        <s v="Truck Transportation"/>
        <s v="Warehousing and Storage"/>
        <s v="Durable Goods"/>
        <s v="Nondurable Goods"/>
      </sharedItems>
    </cacheField>
    <cacheField name="Delinquency" numFmtId="0">
      <sharedItems count="5">
        <s v="0 day"/>
        <s v="1 to 30 days"/>
        <s v="31 to 90 days"/>
        <s v="91 to 180 days"/>
        <s v="More than 180 days"/>
      </sharedItems>
    </cacheField>
    <cacheField name="Nb" numFmtId="0">
      <sharedItems containsSemiMixedTypes="0" containsString="0" containsNumber="1" containsInteger="1" minValue="1" maxValue="242"/>
    </cacheField>
    <cacheField name="balance" numFmtId="0">
      <sharedItems containsSemiMixedTypes="0" containsString="0" containsNumber="1" minValue="309379.08" maxValue="2089010806.1600001"/>
    </cacheField>
    <cacheField name="%" numFmtId="0">
      <sharedItems containsSemiMixedTypes="0" containsString="0" containsNumber="1" minValue="1.8E-3" maxValue="12.6102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51">
  <r>
    <s v="ABDALLAH KASOZI"/>
    <x v="0"/>
    <n v="40"/>
    <n v="1496244.82"/>
    <x v="0"/>
    <n v="89344.39"/>
    <n v="1586606.27"/>
    <d v="2014-11-14T15:19:14"/>
    <d v="2017-11-14T00:00:00"/>
    <s v="0702408303"/>
    <s v=""/>
    <s v=""/>
    <n v="101042"/>
    <s v="00100000879"/>
    <s v="Agriculture, Forestry, Fishing and Hunting"/>
    <s v="Animal Production"/>
    <s v="Poultry &amp; Egg Production"/>
    <n v="1496244.82"/>
    <n v="1496244.82"/>
    <n v="0"/>
    <n v="1"/>
    <n v="1"/>
    <n v="0"/>
  </r>
  <r>
    <s v="SINGH TAJINDER GARCHA"/>
    <x v="1"/>
    <n v="-8"/>
    <n v="1787422.92"/>
    <x v="1"/>
    <n v="37535.879999999997"/>
    <n v="1841045.61"/>
    <d v="2014-11-27T11:37:43"/>
    <d v="2017-12-02T00:00:00"/>
    <s v="0772401010"/>
    <s v="0772544000"/>
    <s v=""/>
    <n v="101068"/>
    <s v="00100001755"/>
    <s v="Real Estate and Rental"/>
    <s v="Rental"/>
    <s v="Others"/>
    <n v="0"/>
    <n v="0"/>
    <n v="0"/>
    <n v="0"/>
    <n v="0"/>
    <n v="0"/>
  </r>
  <r>
    <s v="MILDRED KUWONYA"/>
    <x v="1"/>
    <n v="6"/>
    <n v="1348808.9"/>
    <x v="2"/>
    <n v="6689.88"/>
    <n v="1388948.2"/>
    <d v="2014-12-15T11:33:18"/>
    <d v="2017-12-18T00:00:00"/>
    <s v="0772671057"/>
    <s v=""/>
    <s v=""/>
    <n v="101114"/>
    <s v="00100002011"/>
    <s v="Real Estate and Rental"/>
    <s v="Rental"/>
    <s v="Others"/>
    <n v="1348808.9"/>
    <n v="0"/>
    <n v="0"/>
    <n v="1"/>
    <n v="0"/>
    <n v="0"/>
  </r>
  <r>
    <s v="SAM DAVID KISITU"/>
    <x v="1"/>
    <n v="39"/>
    <n v="6896243.7000000002"/>
    <x v="3"/>
    <n v="362625.13"/>
    <n v="7421104.2699999996"/>
    <d v="2015-01-02T10:50:42"/>
    <d v="2018-01-15T00:00:00"/>
    <s v="0772384766"/>
    <s v="0703623892"/>
    <s v=""/>
    <n v="101181"/>
    <s v="00100000710"/>
    <s v="Real Estate and Rental"/>
    <s v="Real Estate"/>
    <s v="Others"/>
    <n v="6896243.7000000002"/>
    <n v="6896243.7000000002"/>
    <n v="0"/>
    <n v="1"/>
    <n v="1"/>
    <n v="0"/>
  </r>
  <r>
    <s v="VICTOR KIYINGI"/>
    <x v="2"/>
    <n v="23"/>
    <n v="9430003.2799999993"/>
    <x v="4"/>
    <n v="169700.16"/>
    <n v="10017074.689999999"/>
    <d v="2015-02-24T15:15:56"/>
    <d v="2018-03-01T00:00:00"/>
    <s v="0752566463"/>
    <s v=""/>
    <s v=""/>
    <n v="101304"/>
    <s v="00100002346"/>
    <s v="Real Estate and Rental"/>
    <s v="Rental"/>
    <s v="Others"/>
    <n v="9430003.2799999993"/>
    <n v="0"/>
    <n v="0"/>
    <n v="1"/>
    <n v="0"/>
    <n v="0"/>
  </r>
  <r>
    <s v="EMMANUEL S HAKIZA"/>
    <x v="3"/>
    <n v="23"/>
    <n v="3431151.96"/>
    <x v="5"/>
    <n v="189931.83"/>
    <n v="3797879.23"/>
    <d v="2015-02-26T12:04:55"/>
    <d v="2018-03-01T00:00:00"/>
    <s v="0772418267"/>
    <s v="0703418267"/>
    <s v="0772939307"/>
    <n v="101313"/>
    <s v="00100000096"/>
    <s v="Other Services"/>
    <s v="Religious"/>
    <s v="Others"/>
    <n v="3431151.96"/>
    <n v="0"/>
    <n v="0"/>
    <n v="1"/>
    <n v="0"/>
    <n v="0"/>
  </r>
  <r>
    <s v="EMANUEL GUYIDDE"/>
    <x v="2"/>
    <n v="-8"/>
    <n v="5142447.18"/>
    <x v="6"/>
    <n v="107991.39"/>
    <n v="5517678.3499999996"/>
    <d v="2015-03-04T14:35:29"/>
    <d v="2018-03-02T00:00:00"/>
    <s v="0772660086"/>
    <s v="0701660086"/>
    <s v=""/>
    <n v="101339"/>
    <s v="00100000104"/>
    <s v="Real Estate and Rental"/>
    <s v="Rental"/>
    <s v="Others"/>
    <n v="0"/>
    <n v="0"/>
    <n v="0"/>
    <n v="0"/>
    <n v="0"/>
    <n v="0"/>
  </r>
  <r>
    <s v="SUSAN MUGIMU"/>
    <x v="2"/>
    <n v="7"/>
    <n v="13971913.65"/>
    <x v="4"/>
    <n v="83766.55"/>
    <n v="15034466.93"/>
    <d v="2015-03-17T15:41:17"/>
    <d v="2018-03-17T00:00:00"/>
    <s v="0782695235"/>
    <s v=""/>
    <s v=""/>
    <n v="101385"/>
    <s v="00100002595"/>
    <s v="Retail"/>
    <s v="Food and Beverage Stores"/>
    <s v="Others"/>
    <n v="13971913.65"/>
    <n v="0"/>
    <n v="0"/>
    <n v="1"/>
    <n v="0"/>
    <n v="0"/>
  </r>
  <r>
    <s v="SALONGO SSEBALAMU"/>
    <x v="2"/>
    <n v="70"/>
    <n v="21619863.559999999"/>
    <x v="7"/>
    <n v="611192.65"/>
    <n v="24336341.989999998"/>
    <d v="2015-04-24T15:08:32"/>
    <d v="2018-05-14T00:00:00"/>
    <s v="0772439096"/>
    <s v="0704878656"/>
    <s v=""/>
    <n v="101518"/>
    <s v="00100002069"/>
    <s v="Educational Services"/>
    <s v="Educational Services"/>
    <s v="Others"/>
    <n v="21619863.559999999"/>
    <n v="21619863.559999999"/>
    <n v="0"/>
    <n v="1"/>
    <n v="1"/>
    <n v="0"/>
  </r>
  <r>
    <s v="JOSEPH ROGERS KAWESA"/>
    <x v="1"/>
    <n v="-15"/>
    <n v="16284900.460000001"/>
    <x v="2"/>
    <n v="227988.61"/>
    <n v="18036911.510000002"/>
    <d v="2015-04-29T15:01:39"/>
    <d v="2018-05-09T00:00:00"/>
    <s v="0751613431"/>
    <s v="0704624700"/>
    <s v=""/>
    <n v="101540"/>
    <s v="00100002657"/>
    <s v="Real Estate and Rental"/>
    <s v="Rental"/>
    <s v="Others"/>
    <n v="0"/>
    <n v="0"/>
    <n v="0"/>
    <n v="0"/>
    <n v="0"/>
    <n v="0"/>
  </r>
  <r>
    <s v="AIDAH NALULE"/>
    <x v="1"/>
    <n v="79"/>
    <n v="25109756.34"/>
    <x v="1"/>
    <n v="1449906"/>
    <n v="29024485.68"/>
    <d v="2015-04-29T15:38:16"/>
    <d v="2018-05-05T00:00:00"/>
    <s v="0702301547"/>
    <s v=""/>
    <s v=""/>
    <n v="101541"/>
    <s v="00100001864"/>
    <s v="Retail"/>
    <s v="Electronics Stores"/>
    <s v="Others"/>
    <n v="25109756.34"/>
    <n v="25109756.34"/>
    <n v="0"/>
    <n v="1"/>
    <n v="1"/>
    <n v="0"/>
  </r>
  <r>
    <s v="KENETH OFWONO"/>
    <x v="2"/>
    <n v="173"/>
    <n v="32858913.73"/>
    <x v="8"/>
    <n v="1917458.15"/>
    <n v="39610400.009999998"/>
    <d v="2015-04-30T12:49:02"/>
    <d v="2018-05-01T00:00:00"/>
    <s v="0772434118"/>
    <s v=""/>
    <s v=""/>
    <n v="101547"/>
    <s v="00100002838"/>
    <s v="Real Estate and Rental"/>
    <s v="Real Estate"/>
    <s v="Others"/>
    <n v="32858913.73"/>
    <n v="32858913.73"/>
    <n v="32858913.73"/>
    <n v="1"/>
    <n v="1"/>
    <n v="1"/>
  </r>
  <r>
    <s v="ROSE NAKAFEERO JJUMBA"/>
    <x v="2"/>
    <n v="15"/>
    <n v="21402795.050000001"/>
    <x v="9"/>
    <n v="902618.17"/>
    <n v="24020310.350000001"/>
    <d v="2015-05-09T11:25:55"/>
    <d v="2018-05-01T00:00:00"/>
    <s v="0772405591"/>
    <s v=""/>
    <s v=""/>
    <n v="101605"/>
    <s v="00100000921"/>
    <s v="Retail"/>
    <s v="General Merchandise Stores"/>
    <s v="General Stores"/>
    <n v="21402795.050000001"/>
    <n v="0"/>
    <n v="0"/>
    <n v="1"/>
    <n v="0"/>
    <n v="0"/>
  </r>
  <r>
    <s v="SIMEON KYOMUHENDO"/>
    <x v="0"/>
    <n v="-10"/>
    <n v="4174203.37"/>
    <x v="9"/>
    <n v="105746.49"/>
    <n v="4868236.78"/>
    <d v="2015-05-25T16:26:43"/>
    <d v="2018-06-04T00:00:00"/>
    <s v="0702440372"/>
    <s v="07724440372"/>
    <s v=""/>
    <n v="101670"/>
    <s v="00100002926"/>
    <s v="Real Estate and Rental"/>
    <s v="Rental"/>
    <s v="Others"/>
    <n v="0"/>
    <n v="0"/>
    <n v="0"/>
    <n v="0"/>
    <n v="0"/>
    <n v="0"/>
  </r>
  <r>
    <s v="STEVEN SERUBIDDE"/>
    <x v="3"/>
    <n v="-16"/>
    <n v="9083233.8300000001"/>
    <x v="10"/>
    <n v="137762.38"/>
    <n v="10385851.039999999"/>
    <d v="2015-05-26T11:18:19"/>
    <d v="2018-06-10T00:00:00"/>
    <s v="0753124606"/>
    <s v=""/>
    <s v=""/>
    <n v="101674"/>
    <s v="00100002902"/>
    <s v="Real Estate and Rental"/>
    <s v="Real Estate"/>
    <s v="Real Estate"/>
    <n v="0"/>
    <n v="0"/>
    <n v="0"/>
    <n v="0"/>
    <n v="0"/>
    <n v="0"/>
  </r>
  <r>
    <s v="HARRIET NSOBYA"/>
    <x v="3"/>
    <n v="-21"/>
    <n v="7505070.71"/>
    <x v="10"/>
    <n v="70047.33"/>
    <n v="8571997.5199999996"/>
    <d v="2015-05-30T11:32:32"/>
    <d v="2018-06-15T00:00:00"/>
    <s v="0701804258"/>
    <s v=""/>
    <s v=""/>
    <n v="101704"/>
    <s v="00100002249"/>
    <s v="Retail"/>
    <s v="Motor Vehicle and Parts Dealers"/>
    <s v="Others"/>
    <n v="0"/>
    <n v="0"/>
    <n v="0"/>
    <n v="0"/>
    <n v="0"/>
    <n v="0"/>
  </r>
  <r>
    <s v="AFRICANO KANGIRE"/>
    <x v="1"/>
    <n v="20"/>
    <n v="14326640.18"/>
    <x v="11"/>
    <n v="666480.74"/>
    <n v="16096617.449999999"/>
    <d v="2015-05-30T15:43:02"/>
    <d v="2018-05-04T00:00:00"/>
    <s v="0772467631"/>
    <s v=""/>
    <s v=""/>
    <n v="101711"/>
    <s v="00100002379"/>
    <s v="Retail"/>
    <s v="Others"/>
    <s v="Others"/>
    <n v="14326640.18"/>
    <n v="0"/>
    <n v="0"/>
    <n v="1"/>
    <n v="0"/>
    <n v="0"/>
  </r>
  <r>
    <s v="GEORGE KAYANJA"/>
    <x v="1"/>
    <n v="34"/>
    <n v="16757272.619999999"/>
    <x v="3"/>
    <n v="484216.83"/>
    <n v="19019801.079999998"/>
    <d v="2015-06-12T13:11:07"/>
    <d v="2018-06-20T00:00:00"/>
    <s v="0772303102"/>
    <s v="0702303102"/>
    <s v=""/>
    <n v="101730"/>
    <s v="00100003026"/>
    <s v="Wholesale Trade"/>
    <s v="Others"/>
    <s v="Others"/>
    <n v="16757272.619999999"/>
    <n v="16757272.619999999"/>
    <n v="0"/>
    <n v="1"/>
    <n v="1"/>
    <n v="0"/>
  </r>
  <r>
    <s v="ASHIM TWONGYEIRWE"/>
    <x v="1"/>
    <n v="-29"/>
    <n v="8610988.6300000008"/>
    <x v="2"/>
    <n v="291061.37"/>
    <n v="9676170.5899999999"/>
    <d v="2015-06-17T17:05:19"/>
    <d v="2018-06-24T00:00:00"/>
    <s v="0772459208"/>
    <s v=""/>
    <s v=""/>
    <n v="101743"/>
    <s v="00100001256"/>
    <s v="Real Estate and Rental"/>
    <s v="Rental"/>
    <s v="Others"/>
    <n v="0"/>
    <n v="0"/>
    <n v="0"/>
    <n v="0"/>
    <n v="0"/>
    <n v="0"/>
  </r>
  <r>
    <s v="EVERLINE ABANJI"/>
    <x v="1"/>
    <n v="22"/>
    <n v="12627589.939999999"/>
    <x v="3"/>
    <n v="617904.46"/>
    <n v="14596290.74"/>
    <d v="2015-06-20T12:04:20"/>
    <d v="2018-07-02T00:00:00"/>
    <s v="0781699069"/>
    <s v=""/>
    <s v=""/>
    <n v="101758"/>
    <s v="00100003065"/>
    <s v="Real Estate and Rental"/>
    <s v="Rental"/>
    <s v="Others"/>
    <n v="12627589.939999999"/>
    <n v="0"/>
    <n v="0"/>
    <n v="1"/>
    <n v="0"/>
    <n v="0"/>
  </r>
  <r>
    <s v="EDWARD KALULE"/>
    <x v="2"/>
    <n v="-16"/>
    <n v="10112540.810000001"/>
    <x v="4"/>
    <n v="131463.03"/>
    <n v="11524768.369999999"/>
    <d v="2015-06-25T17:03:33"/>
    <d v="2018-07-10T00:00:00"/>
    <s v="0772609953"/>
    <s v=""/>
    <s v=""/>
    <n v="101780"/>
    <s v="00100002923"/>
    <s v="Wholesale Trade"/>
    <s v="Others"/>
    <s v="Others"/>
    <n v="0"/>
    <n v="0"/>
    <n v="0"/>
    <n v="0"/>
    <n v="0"/>
    <n v="0"/>
  </r>
  <r>
    <s v="PAUL SSENABULYA"/>
    <x v="1"/>
    <n v="39"/>
    <n v="11780976.289999999"/>
    <x v="11"/>
    <n v="324886.45"/>
    <n v="13474911.9"/>
    <d v="2015-06-29T14:10:34"/>
    <d v="2018-07-15T00:00:00"/>
    <s v="0752442658"/>
    <s v=""/>
    <s v=""/>
    <n v="101791"/>
    <s v="00100003053"/>
    <s v="Real Estate and Rental"/>
    <s v="Real Estate"/>
    <s v="Real Estate"/>
    <n v="11780976.289999999"/>
    <n v="11780976.289999999"/>
    <n v="0"/>
    <n v="1"/>
    <n v="1"/>
    <n v="0"/>
  </r>
  <r>
    <s v="GEORGE WILSON MUTEEKANGA"/>
    <x v="1"/>
    <n v="-1"/>
    <n v="15998386.050000001"/>
    <x v="2"/>
    <n v="447954.81"/>
    <n v="18232578.449999999"/>
    <d v="2015-06-30T13:22:08"/>
    <d v="2018-06-25T00:00:00"/>
    <s v="0775701747"/>
    <s v=""/>
    <s v=""/>
    <n v="101795"/>
    <s v="00100000836"/>
    <s v="Real Estate and Rental"/>
    <s v="Rental"/>
    <s v="Others"/>
    <n v="0"/>
    <n v="0"/>
    <n v="0"/>
    <n v="0"/>
    <n v="0"/>
    <n v="0"/>
  </r>
  <r>
    <s v="REBECCA NABIRYO"/>
    <x v="1"/>
    <n v="22"/>
    <n v="29300717.640000001"/>
    <x v="2"/>
    <n v="1429025.65"/>
    <n v="33864094.539999999"/>
    <d v="2015-06-30T17:18:49"/>
    <d v="2018-07-02T00:00:00"/>
    <s v="0772496212"/>
    <s v="0754496212"/>
    <s v=""/>
    <n v="101802"/>
    <s v="00100001148"/>
    <s v="Retail"/>
    <s v="Building Material and Garden Equipment"/>
    <s v="Hardware Stores"/>
    <n v="29300717.640000001"/>
    <n v="0"/>
    <n v="0"/>
    <n v="1"/>
    <n v="0"/>
    <n v="0"/>
  </r>
  <r>
    <s v="KYOMUHANGI DEBORAH"/>
    <x v="1"/>
    <n v="-8"/>
    <n v="17649731.629999999"/>
    <x v="3"/>
    <n v="370644.36"/>
    <n v="20114536.280000001"/>
    <d v="2015-07-04T11:58:53"/>
    <d v="2018-07-02T00:00:00"/>
    <s v="0775225450"/>
    <s v="0705555689"/>
    <s v=""/>
    <n v="101815"/>
    <s v="00100000112"/>
    <s v="Retail"/>
    <s v="General Merchandise Stores"/>
    <s v="Others"/>
    <n v="0"/>
    <n v="0"/>
    <n v="0"/>
    <n v="0"/>
    <n v="0"/>
    <n v="0"/>
  </r>
  <r>
    <s v="GEORGE KABAGAMBE"/>
    <x v="1"/>
    <n v="-12"/>
    <n v="24114640.399999999"/>
    <x v="2"/>
    <n v="409948.89"/>
    <n v="27482276.73"/>
    <d v="2015-07-06T15:14:02"/>
    <d v="2018-07-06T00:00:00"/>
    <s v="0772525362"/>
    <s v="0772740727"/>
    <s v=""/>
    <n v="101817"/>
    <s v="00100002242"/>
    <s v="Real Estate and Rental"/>
    <s v="Rental"/>
    <s v="Others"/>
    <n v="0"/>
    <n v="0"/>
    <n v="0"/>
    <n v="0"/>
    <n v="0"/>
    <n v="0"/>
  </r>
  <r>
    <s v="RONNIE ROCK MUSONI"/>
    <x v="0"/>
    <n v="-24"/>
    <n v="4970824.9000000004"/>
    <x v="5"/>
    <n v="33138.83"/>
    <n v="5877374.2599999998"/>
    <d v="2015-07-25T12:41:12"/>
    <d v="2018-08-18T00:00:00"/>
    <s v="0776514799"/>
    <s v=""/>
    <s v=""/>
    <n v="101863"/>
    <s v="00100003149"/>
    <s v="Health Care"/>
    <s v="Health Care"/>
    <s v="Others"/>
    <n v="0"/>
    <n v="0"/>
    <n v="0"/>
    <n v="0"/>
    <n v="0"/>
    <n v="0"/>
  </r>
  <r>
    <s v="ROBERT TUBASE"/>
    <x v="2"/>
    <n v="-11"/>
    <n v="28696864.579999998"/>
    <x v="12"/>
    <n v="516543.56"/>
    <n v="33170841.039999999"/>
    <d v="2015-07-29T15:55:00"/>
    <d v="2018-08-05T00:00:00"/>
    <s v="0772471704"/>
    <s v=""/>
    <s v=""/>
    <n v="101877"/>
    <s v="00100003211"/>
    <s v="Manufacturing"/>
    <s v="Food Manufacturing"/>
    <s v="Others"/>
    <n v="0"/>
    <n v="0"/>
    <n v="0"/>
    <n v="0"/>
    <n v="0"/>
    <n v="0"/>
  </r>
  <r>
    <s v="EDSON MUSINGUZI"/>
    <x v="2"/>
    <n v="142"/>
    <n v="4853148.8099999996"/>
    <x v="7"/>
    <n v="217005.08"/>
    <n v="5072616.33"/>
    <d v="2015-07-31T15:06:41"/>
    <d v="2017-08-02T00:00:00"/>
    <s v="0701748730"/>
    <s v="0783864686"/>
    <s v=""/>
    <n v="101892"/>
    <s v="00100000277"/>
    <s v="Retail"/>
    <s v="Others"/>
    <s v="Others"/>
    <n v="4853148.8099999996"/>
    <n v="4853148.8099999996"/>
    <n v="4853148.8099999996"/>
    <n v="1"/>
    <n v="1"/>
    <n v="1"/>
  </r>
  <r>
    <s v="WILFRED KITAKA"/>
    <x v="2"/>
    <n v="52"/>
    <n v="23516676.079999998"/>
    <x v="8"/>
    <n v="881515.01"/>
    <n v="27485334.969999999"/>
    <d v="2015-07-31T15:24:31"/>
    <d v="2018-08-02T00:00:00"/>
    <s v="0752597007"/>
    <s v=""/>
    <s v=""/>
    <n v="101895"/>
    <s v="00100002167"/>
    <s v="Retail"/>
    <s v="Others"/>
    <s v="Others"/>
    <n v="23516676.079999998"/>
    <n v="23516676.079999998"/>
    <n v="0"/>
    <n v="1"/>
    <n v="1"/>
    <n v="0"/>
  </r>
  <r>
    <s v="RICHARD SSESANGA"/>
    <x v="1"/>
    <n v="-8"/>
    <n v="10121571.390000001"/>
    <x v="3"/>
    <n v="212553"/>
    <n v="10734848.43"/>
    <d v="2015-07-31T16:21:37"/>
    <d v="2018-02-02T00:00:00"/>
    <s v="0772433704"/>
    <s v="0702433704"/>
    <s v=""/>
    <n v="101896"/>
    <s v="00100002056"/>
    <s v="Construction"/>
    <s v="Others"/>
    <s v="Others"/>
    <n v="0"/>
    <n v="0"/>
    <n v="0"/>
    <n v="0"/>
    <n v="0"/>
    <n v="0"/>
  </r>
  <r>
    <s v="HENRY NSUBUGA"/>
    <x v="2"/>
    <n v="-11"/>
    <n v="28669164.699999999"/>
    <x v="13"/>
    <n v="516044.96"/>
    <n v="33138822.579999998"/>
    <d v="2015-07-31T17:21:05"/>
    <d v="2018-08-05T00:00:00"/>
    <s v="0772495570"/>
    <s v=""/>
    <s v=""/>
    <n v="101898"/>
    <s v="00100003060"/>
    <s v="Restaurants and Hotels"/>
    <s v="Hotel"/>
    <s v="Others"/>
    <n v="0"/>
    <n v="0"/>
    <n v="0"/>
    <n v="0"/>
    <n v="0"/>
    <n v="0"/>
  </r>
  <r>
    <s v="JOHNSON BOSCO GUMISIRIZA"/>
    <x v="2"/>
    <n v="-8"/>
    <n v="28586065.690000001"/>
    <x v="14"/>
    <n v="600307.38"/>
    <n v="33042768.030000001"/>
    <d v="2015-07-31T14:30:35"/>
    <d v="2018-08-02T00:00:00"/>
    <s v="0772505415"/>
    <s v="0712505415"/>
    <s v=""/>
    <n v="101902"/>
    <s v="00100000144"/>
    <s v="Real Estate and Rental"/>
    <s v="Rental"/>
    <s v="Others"/>
    <n v="0"/>
    <n v="0"/>
    <n v="0"/>
    <n v="0"/>
    <n v="0"/>
    <n v="0"/>
  </r>
  <r>
    <s v="YUSUFU ALI MUBIRU"/>
    <x v="1"/>
    <n v="-10"/>
    <n v="28641465.129999999"/>
    <x v="1"/>
    <n v="544187.84"/>
    <n v="33106804.539999999"/>
    <d v="2015-07-31T14:57:58"/>
    <d v="2018-08-04T00:00:00"/>
    <s v="0772569463"/>
    <s v=""/>
    <s v=""/>
    <n v="101903"/>
    <s v="00100000132"/>
    <s v="Retail"/>
    <s v="Motor Vehicle and Parts Dealers"/>
    <s v="Automotive Parts, Accessories, &amp; Tire Stores"/>
    <n v="0"/>
    <n v="0"/>
    <n v="0"/>
    <n v="0"/>
    <n v="0"/>
    <n v="0"/>
  </r>
  <r>
    <s v="VINCENT MAYAMBALA"/>
    <x v="3"/>
    <n v="51"/>
    <n v="9708159.1500000004"/>
    <x v="10"/>
    <n v="351233.95"/>
    <n v="11533382.52"/>
    <d v="2015-08-03T14:04:37"/>
    <d v="2018-08-03T00:00:00"/>
    <s v="0772445359"/>
    <s v="0701445359"/>
    <s v=""/>
    <n v="101906"/>
    <s v="00100002940"/>
    <s v="Wholesale Trade"/>
    <s v="Durable Goods"/>
    <s v="Others"/>
    <n v="9708159.1500000004"/>
    <n v="9708159.1500000004"/>
    <n v="0"/>
    <n v="1"/>
    <n v="1"/>
    <n v="0"/>
  </r>
  <r>
    <s v="MOSES MATTE"/>
    <x v="2"/>
    <n v="-9"/>
    <n v="10823524.18"/>
    <x v="13"/>
    <n v="216470.48"/>
    <n v="11479333.310000001"/>
    <d v="2015-08-03T17:17:37"/>
    <d v="2018-02-03T00:00:00"/>
    <s v="0782329839"/>
    <s v=""/>
    <s v=""/>
    <n v="101908"/>
    <s v="00100003139"/>
    <s v="Retail"/>
    <s v="Others"/>
    <s v="Others"/>
    <n v="0"/>
    <n v="0"/>
    <n v="0"/>
    <n v="0"/>
    <n v="0"/>
    <n v="0"/>
  </r>
  <r>
    <s v="MARIA GORETTI MUSEDE"/>
    <x v="2"/>
    <n v="14"/>
    <n v="19592683.27"/>
    <x v="5"/>
    <n v="781240.11"/>
    <n v="22929574.670000002"/>
    <d v="2015-08-07T13:03:41"/>
    <d v="2018-08-10T00:00:00"/>
    <s v="0774424210"/>
    <s v=""/>
    <s v=""/>
    <n v="101916"/>
    <s v="00100003213"/>
    <s v="Wholesale Trade"/>
    <s v="Others"/>
    <s v="Others"/>
    <n v="19592683.27"/>
    <n v="0"/>
    <n v="0"/>
    <n v="1"/>
    <n v="0"/>
    <n v="0"/>
  </r>
  <r>
    <s v="JOHN WANZALA BIKALA"/>
    <x v="2"/>
    <n v="-21"/>
    <n v="11087834.220000001"/>
    <x v="5"/>
    <n v="88702.67"/>
    <n v="12816479.84"/>
    <d v="2015-08-12T14:39:14"/>
    <d v="2018-08-15T00:00:00"/>
    <s v="0752661104"/>
    <s v="0782650398"/>
    <s v=""/>
    <n v="101925"/>
    <s v="00100003247"/>
    <s v="Real Estate and Rental"/>
    <s v="Rental"/>
    <s v="Others"/>
    <n v="0"/>
    <n v="0"/>
    <n v="0"/>
    <n v="0"/>
    <n v="0"/>
    <n v="0"/>
  </r>
  <r>
    <s v="JOSEPHAT BISANGWA KASIMBA"/>
    <x v="4"/>
    <n v="41"/>
    <n v="8344405.3499999996"/>
    <x v="8"/>
    <n v="242798.67"/>
    <n v="8965318.0199999996"/>
    <d v="2015-08-14T15:43:08"/>
    <d v="2018-02-13T00:00:00"/>
    <s v="0752203320"/>
    <s v="0414341990"/>
    <s v=""/>
    <n v="101931"/>
    <s v="00100002331"/>
    <s v="Other Services"/>
    <s v="Others"/>
    <s v="Others"/>
    <n v="8344405.3499999996"/>
    <n v="8344405.3499999996"/>
    <n v="0"/>
    <n v="1"/>
    <n v="1"/>
    <n v="0"/>
  </r>
  <r>
    <s v="ROBERT KAKEMBO KIKOMEKO"/>
    <x v="1"/>
    <n v="36"/>
    <n v="23309290.98"/>
    <x v="0"/>
    <n v="1194774.26"/>
    <n v="27563984.710000001"/>
    <d v="2015-08-18T14:56:54"/>
    <d v="2018-08-18T00:00:00"/>
    <s v="0752648824"/>
    <s v=""/>
    <s v=""/>
    <n v="101939"/>
    <s v="00100003119"/>
    <s v="Retail"/>
    <s v="Others"/>
    <s v="Others"/>
    <n v="23309290.98"/>
    <n v="23309290.98"/>
    <n v="0"/>
    <n v="1"/>
    <n v="1"/>
    <n v="0"/>
  </r>
  <r>
    <s v="MOSES SEMANDA MULUYA"/>
    <x v="2"/>
    <n v="3"/>
    <n v="24060353.460000001"/>
    <x v="15"/>
    <n v="765894.48"/>
    <n v="28323747.190000001"/>
    <d v="2015-08-18T16:12:01"/>
    <d v="2018-08-21T00:00:00"/>
    <s v="0782947520"/>
    <s v="0776250801"/>
    <s v=""/>
    <n v="101943"/>
    <s v="00100003261"/>
    <s v="Retail"/>
    <s v="Others"/>
    <s v="Others"/>
    <n v="24060353.460000001"/>
    <n v="0"/>
    <n v="0"/>
    <n v="1"/>
    <n v="0"/>
    <n v="0"/>
  </r>
  <r>
    <s v="GODFREY KWIKIRIZA"/>
    <x v="5"/>
    <n v="52"/>
    <n v="29980930.129999999"/>
    <x v="0"/>
    <n v="1709038.24"/>
    <n v="36119095.039999999"/>
    <d v="2015-08-19T14:30:06"/>
    <d v="2018-09-02T00:00:00"/>
    <s v="0774804763"/>
    <s v="0703817066"/>
    <s v=""/>
    <n v="101944"/>
    <s v="00100001497"/>
    <s v="Retail"/>
    <s v="Others"/>
    <s v="Others"/>
    <n v="29980930.129999999"/>
    <n v="29980930.129999999"/>
    <n v="0"/>
    <n v="1"/>
    <n v="1"/>
    <n v="0"/>
  </r>
  <r>
    <s v="INNOCENT LUBEGA"/>
    <x v="2"/>
    <n v="-13"/>
    <n v="28568521.719999999"/>
    <x v="4"/>
    <n v="457096.35"/>
    <n v="33491022.719999999"/>
    <d v="2015-08-21T16:04:35"/>
    <d v="2018-09-07T00:00:00"/>
    <s v="0701966272"/>
    <s v="0772966262"/>
    <s v=""/>
    <n v="101954"/>
    <s v="00100002696"/>
    <s v="Restaurants and Hotels"/>
    <s v="Others"/>
    <s v="Others"/>
    <n v="0"/>
    <n v="0"/>
    <n v="0"/>
    <n v="0"/>
    <n v="0"/>
    <n v="0"/>
  </r>
  <r>
    <s v="CHARLES KAZIRO KATO"/>
    <x v="2"/>
    <n v="83"/>
    <n v="29369158.379999999"/>
    <x v="7"/>
    <n v="1729291.43"/>
    <n v="35900391.43"/>
    <d v="2015-08-26T10:33:27"/>
    <d v="2018-09-01T00:00:00"/>
    <s v="0773143694"/>
    <s v="0700197169"/>
    <s v=""/>
    <n v="101971"/>
    <s v="00100000420"/>
    <s v="Educational Services"/>
    <s v="Educational Services"/>
    <s v="Others"/>
    <n v="29369158.379999999"/>
    <n v="29369158.379999999"/>
    <n v="0"/>
    <n v="1"/>
    <n v="1"/>
    <n v="0"/>
  </r>
  <r>
    <s v="MAGDALENE NALUMANSI"/>
    <x v="0"/>
    <n v="3"/>
    <n v="4626744.96"/>
    <x v="8"/>
    <n v="73591.679999999993"/>
    <n v="5014205.82"/>
    <d v="2015-08-27T16:34:28"/>
    <d v="2018-08-21T00:00:00"/>
    <s v="0700493055"/>
    <s v="0772987502"/>
    <s v=""/>
    <n v="101980"/>
    <s v="00100002193"/>
    <s v="Finance and Insurance"/>
    <s v="Others"/>
    <s v="Others"/>
    <n v="4626744.96"/>
    <n v="0"/>
    <n v="0"/>
    <n v="1"/>
    <n v="0"/>
    <n v="0"/>
  </r>
  <r>
    <s v="BEN RUYONGA MANYINDO"/>
    <x v="2"/>
    <n v="-21"/>
    <n v="15849705.220000001"/>
    <x v="0"/>
    <n v="126797.64"/>
    <n v="18574362.559999999"/>
    <d v="2015-08-28T17:48:56"/>
    <d v="2018-09-15T00:00:00"/>
    <s v="0782806074"/>
    <s v=""/>
    <s v=""/>
    <n v="101990"/>
    <s v="00100003293"/>
    <s v="Construction"/>
    <s v="Construction of Buildings"/>
    <s v="Others"/>
    <n v="0"/>
    <n v="0"/>
    <n v="0"/>
    <n v="0"/>
    <n v="0"/>
    <n v="0"/>
  </r>
  <r>
    <s v="RICHARD SSERWADDA"/>
    <x v="2"/>
    <n v="19"/>
    <n v="7621404.0199999996"/>
    <x v="4"/>
    <n v="125442.62"/>
    <n v="8151804.5499999998"/>
    <d v="2015-08-28T18:00:56"/>
    <d v="2018-03-05T00:00:00"/>
    <s v="0772847418"/>
    <s v=""/>
    <s v=""/>
    <n v="101991"/>
    <s v="00100003322"/>
    <s v="Real Estate and Rental"/>
    <s v="Rental"/>
    <s v="Others"/>
    <n v="7621404.0199999996"/>
    <n v="0"/>
    <n v="0"/>
    <n v="1"/>
    <n v="0"/>
    <n v="0"/>
  </r>
  <r>
    <s v="JOHN MATOVU"/>
    <x v="5"/>
    <n v="52"/>
    <n v="20876300.52"/>
    <x v="7"/>
    <n v="1206933.29"/>
    <n v="25167320.199999999"/>
    <d v="2015-08-29T14:19:07"/>
    <d v="2018-09-02T00:00:00"/>
    <s v="0782869453"/>
    <s v="0705575243"/>
    <s v=""/>
    <n v="101997"/>
    <s v="00100000267"/>
    <s v="Real Estate and Rental"/>
    <s v="Real Estate"/>
    <s v="Others"/>
    <n v="20876300.52"/>
    <n v="20876300.52"/>
    <n v="0"/>
    <n v="1"/>
    <n v="1"/>
    <n v="0"/>
  </r>
  <r>
    <s v="MUSA ABU MUWANGA"/>
    <x v="3"/>
    <n v="109"/>
    <n v="2682654.79"/>
    <x v="0"/>
    <n v="51178.07"/>
    <n v="2735597.62"/>
    <d v="2015-08-31T17:49:09"/>
    <d v="2017-09-05T00:00:00"/>
    <s v="0772415514"/>
    <s v="0700150086"/>
    <s v=""/>
    <n v="102006"/>
    <s v="00100003148"/>
    <s v="Transportation and Warehousing"/>
    <s v="Truck Transportation"/>
    <s v="General Freight Trucking, Long-distance"/>
    <n v="2682654.79"/>
    <n v="2682654.79"/>
    <n v="2682654.79"/>
    <n v="1"/>
    <n v="1"/>
    <n v="1"/>
  </r>
  <r>
    <s v="ANNET AGUTI"/>
    <x v="1"/>
    <n v="17"/>
    <n v="10667138.1"/>
    <x v="2"/>
    <n v="441239.59"/>
    <n v="12645524.74"/>
    <d v="2015-08-31T19:03:35"/>
    <d v="2018-09-07T00:00:00"/>
    <s v="0715781494"/>
    <s v=""/>
    <s v=""/>
    <n v="102010"/>
    <s v="00100000568"/>
    <s v="Other Services"/>
    <s v="Others"/>
    <s v="Others"/>
    <n v="10667138.1"/>
    <n v="0"/>
    <n v="0"/>
    <n v="1"/>
    <n v="0"/>
    <n v="0"/>
  </r>
  <r>
    <s v="OSCAR NICHOLAS KIMBUGWE"/>
    <x v="4"/>
    <n v="-11"/>
    <n v="9246013.3000000007"/>
    <x v="10"/>
    <n v="194166.28"/>
    <n v="11117532.869999999"/>
    <d v="2015-08-31T19:12:28"/>
    <d v="2018-09-05T00:00:00"/>
    <s v="0782165701"/>
    <s v="07522165701"/>
    <s v=""/>
    <n v="102011"/>
    <s v="00100000165"/>
    <s v="Agriculture, Forestry, Fishing and Hunting"/>
    <s v="Animal Production"/>
    <s v="Poultry &amp; Egg Production"/>
    <n v="0"/>
    <n v="0"/>
    <n v="0"/>
    <n v="0"/>
    <n v="0"/>
    <n v="0"/>
  </r>
  <r>
    <s v="ROSET KANYUNYUNZI ABOOKI"/>
    <x v="1"/>
    <n v="14"/>
    <n v="26970582.52"/>
    <x v="3"/>
    <n v="1132359.73"/>
    <n v="32064029.030000001"/>
    <d v="2015-09-12T12:11:27"/>
    <d v="2018-09-10T00:00:00"/>
    <s v="0776311783"/>
    <s v="0702111842"/>
    <s v=""/>
    <n v="102044"/>
    <s v="00100000760"/>
    <s v="Retail"/>
    <s v="New-Clothing and  Accessories"/>
    <s v="Others"/>
    <n v="26970582.52"/>
    <n v="0"/>
    <n v="0"/>
    <n v="1"/>
    <n v="0"/>
    <n v="0"/>
  </r>
  <r>
    <s v="DEO GATAMA"/>
    <x v="2"/>
    <n v="186"/>
    <n v="36253749.93"/>
    <x v="0"/>
    <n v="2107711.13"/>
    <n v="46804152.049999997"/>
    <d v="2015-09-16T14:43:40"/>
    <d v="2018-09-18T00:00:00"/>
    <s v="0772923568"/>
    <s v=""/>
    <s v=""/>
    <n v="102051"/>
    <s v="00100003350"/>
    <s v="Wholesale Trade"/>
    <s v="Nondurable Goods"/>
    <s v="Others"/>
    <n v="36253749.93"/>
    <n v="36253749.93"/>
    <n v="36253749.93"/>
    <n v="1"/>
    <n v="1"/>
    <n v="1"/>
  </r>
  <r>
    <s v="AMON REEVES MUZOORA KABAREEBE"/>
    <x v="2"/>
    <n v="-26"/>
    <n v="17633414.690000001"/>
    <x v="5"/>
    <n v="52900.24"/>
    <n v="20671741.350000001"/>
    <d v="2015-09-17T17:17:26"/>
    <d v="2018-09-20T00:00:00"/>
    <s v="0752691025"/>
    <s v="0771878743"/>
    <s v="0772330568"/>
    <n v="102056"/>
    <s v="00100003240"/>
    <s v="Real Estate and Rental"/>
    <s v="Rental"/>
    <s v="Others"/>
    <n v="0"/>
    <n v="0"/>
    <n v="0"/>
    <n v="0"/>
    <n v="0"/>
    <n v="0"/>
  </r>
  <r>
    <s v="MOSES KACUCU"/>
    <x v="5"/>
    <n v="62"/>
    <n v="3333418.48"/>
    <x v="0"/>
    <n v="144047.5"/>
    <n v="3700348.5"/>
    <d v="2015-09-18T08:30:50"/>
    <d v="2018-03-22T00:00:00"/>
    <s v="0777071054"/>
    <s v=""/>
    <s v=""/>
    <n v="102057"/>
    <s v="00100003206"/>
    <s v="Real Estate and Rental"/>
    <s v="Rental"/>
    <s v="Others"/>
    <n v="3333418.48"/>
    <n v="3333418.48"/>
    <n v="0"/>
    <n v="1"/>
    <n v="1"/>
    <n v="0"/>
  </r>
  <r>
    <s v="ROGERS ARUHO"/>
    <x v="2"/>
    <n v="-1"/>
    <n v="17018045.469999999"/>
    <x v="16"/>
    <n v="476505.27"/>
    <n v="20231936.140000001"/>
    <d v="2015-09-21T17:10:27"/>
    <d v="2018-09-25T00:00:00"/>
    <s v="0702771891"/>
    <s v=""/>
    <s v=""/>
    <n v="102064"/>
    <s v="00100003431"/>
    <s v="Wholesale Trade"/>
    <s v="Durable Goods"/>
    <s v="Others"/>
    <n v="0"/>
    <n v="0"/>
    <n v="0"/>
    <n v="0"/>
    <n v="0"/>
    <n v="0"/>
  </r>
  <r>
    <s v="VINCENT MUSOKE"/>
    <x v="1"/>
    <n v="-28"/>
    <n v="29332124.379999999"/>
    <x v="2"/>
    <n v="29332.12"/>
    <n v="34386198.030000001"/>
    <d v="2015-09-21T17:49:09"/>
    <d v="2018-09-22T00:00:00"/>
    <s v="0782032770"/>
    <s v="0702280646"/>
    <s v=""/>
    <n v="102065"/>
    <s v="00100003393"/>
    <s v="Construction"/>
    <s v="Construction of Buildings"/>
    <s v="Residential Construction"/>
    <n v="0"/>
    <n v="0"/>
    <n v="0"/>
    <n v="0"/>
    <n v="0"/>
    <n v="0"/>
  </r>
  <r>
    <s v="STEWART TEGULE GAWAYA"/>
    <x v="2"/>
    <n v="194"/>
    <n v="19756376.18"/>
    <x v="0"/>
    <n v="844834.28"/>
    <n v="25546672.579999998"/>
    <d v="2015-09-28T18:05:39"/>
    <d v="2018-10-10T00:00:00"/>
    <s v="0706160664"/>
    <s v="0750398555"/>
    <s v=""/>
    <n v="102088"/>
    <s v="00100003446"/>
    <s v="Real Estate and Rental"/>
    <s v="Rental"/>
    <s v="Others"/>
    <n v="19756376.18"/>
    <n v="19756376.18"/>
    <n v="19756376.18"/>
    <n v="1"/>
    <n v="1"/>
    <n v="1"/>
  </r>
  <r>
    <s v="GEOFREY MWESIGWA"/>
    <x v="2"/>
    <n v="22"/>
    <n v="32046511.23"/>
    <x v="13"/>
    <n v="668789.43999999994"/>
    <n v="38060900.43"/>
    <d v="2015-09-30T11:08:10"/>
    <d v="2018-10-02T00:00:00"/>
    <s v="0752567171"/>
    <s v=""/>
    <s v=""/>
    <n v="102099"/>
    <s v="00100003459"/>
    <s v="Real Estate and Rental"/>
    <s v="Rental"/>
    <s v="Others"/>
    <n v="32046511.23"/>
    <n v="0"/>
    <n v="0"/>
    <n v="1"/>
    <n v="0"/>
    <n v="0"/>
  </r>
  <r>
    <s v="HARUNAH KAZIBWE"/>
    <x v="2"/>
    <n v="-21"/>
    <n v="22239297.010000002"/>
    <x v="10"/>
    <n v="177914.38"/>
    <n v="25062005.690000001"/>
    <d v="2015-09-30T12:40:46"/>
    <d v="2018-10-15T00:00:00"/>
    <s v="0752502164"/>
    <s v=""/>
    <s v=""/>
    <n v="102102"/>
    <s v="00100003047"/>
    <s v="Real Estate and Rental"/>
    <s v="Rental"/>
    <s v="Others"/>
    <n v="0"/>
    <n v="0"/>
    <n v="0"/>
    <n v="0"/>
    <n v="0"/>
    <n v="0"/>
  </r>
  <r>
    <s v="FLORENCE KABATABAZI"/>
    <x v="3"/>
    <n v="53"/>
    <n v="11183352.5"/>
    <x v="12"/>
    <n v="481112.23"/>
    <n v="13834566.82"/>
    <d v="2015-09-30T15:40:11"/>
    <d v="2018-10-01T00:00:00"/>
    <s v="0752655814"/>
    <s v=""/>
    <s v=""/>
    <n v="102107"/>
    <s v="00100002995"/>
    <s v="Real Estate and Rental"/>
    <s v="Rental"/>
    <s v="General Rental Centers"/>
    <n v="11183352.5"/>
    <n v="11183352.5"/>
    <n v="0"/>
    <n v="1"/>
    <n v="1"/>
    <n v="0"/>
  </r>
  <r>
    <s v="FRED KATUNGYI"/>
    <x v="1"/>
    <n v="-13"/>
    <n v="31785396.940000001"/>
    <x v="1"/>
    <n v="508566.35"/>
    <n v="37788130.409999996"/>
    <d v="2015-10-07T16:58:05"/>
    <d v="2018-10-07T00:00:00"/>
    <s v="0782102309"/>
    <s v="0701700431"/>
    <s v=""/>
    <n v="102125"/>
    <s v="00100002109"/>
    <s v="Real Estate and Rental"/>
    <s v="Real Estate"/>
    <s v="Others"/>
    <n v="0"/>
    <n v="0"/>
    <n v="0"/>
    <n v="0"/>
    <n v="0"/>
    <n v="0"/>
  </r>
  <r>
    <s v="MARGARET APIO"/>
    <x v="1"/>
    <n v="12"/>
    <n v="21696618.77"/>
    <x v="11"/>
    <n v="233092.91"/>
    <n v="25698441.050000001"/>
    <d v="2015-10-12T16:16:47"/>
    <d v="2018-10-12T00:00:00"/>
    <s v="0752755195"/>
    <s v="0312274236"/>
    <s v=""/>
    <n v="102129"/>
    <s v="00100003502"/>
    <s v="Retail"/>
    <s v="General Merchandise Stores"/>
    <s v="Others"/>
    <n v="21696618.77"/>
    <n v="0"/>
    <n v="0"/>
    <n v="1"/>
    <n v="0"/>
    <n v="0"/>
  </r>
  <r>
    <s v="DAVID KASULE"/>
    <x v="2"/>
    <n v="9"/>
    <n v="34294432.770000003"/>
    <x v="7"/>
    <n v="1283856.78"/>
    <n v="41343482.810000002"/>
    <d v="2015-10-12T17:33:00"/>
    <d v="2018-10-15T00:00:00"/>
    <s v="0772481347"/>
    <s v="0700510646"/>
    <s v=""/>
    <n v="102130"/>
    <s v="00100003384"/>
    <s v="Real Estate and Rental"/>
    <s v="Rental"/>
    <s v="Others"/>
    <n v="34294432.770000003"/>
    <n v="0"/>
    <n v="0"/>
    <n v="1"/>
    <n v="0"/>
    <n v="0"/>
  </r>
  <r>
    <s v="CISSY KWATULIRA"/>
    <x v="1"/>
    <n v="39"/>
    <n v="7044717.6100000003"/>
    <x v="11"/>
    <n v="205084.59"/>
    <n v="8453162.9299999997"/>
    <d v="2015-10-13T11:21:05"/>
    <d v="2018-10-15T00:00:00"/>
    <s v="0704564479"/>
    <s v=""/>
    <s v="0772564479"/>
    <n v="102131"/>
    <s v="00100003500"/>
    <s v="Real Estate and Rental"/>
    <s v="Real Estate"/>
    <s v="Others"/>
    <n v="7044717.6100000003"/>
    <n v="7044717.6100000003"/>
    <n v="0"/>
    <n v="1"/>
    <n v="1"/>
    <n v="0"/>
  </r>
  <r>
    <s v="BOSCO JINGO"/>
    <x v="1"/>
    <n v="9"/>
    <n v="18237245.899999999"/>
    <x v="11"/>
    <n v="682735.07"/>
    <n v="21985821.039999999"/>
    <d v="2015-10-15T13:13:36"/>
    <d v="2018-10-15T00:00:00"/>
    <s v="0775336237"/>
    <s v=""/>
    <s v=""/>
    <n v="102143"/>
    <s v="00100003471"/>
    <s v="Real Estate and Rental"/>
    <s v="Rental"/>
    <s v="Others"/>
    <n v="18237245.899999999"/>
    <n v="0"/>
    <n v="0"/>
    <n v="1"/>
    <n v="0"/>
    <n v="0"/>
  </r>
  <r>
    <s v="MOSES WILLIAMS ATAMBA"/>
    <x v="0"/>
    <n v="83"/>
    <n v="1855095.95"/>
    <x v="4"/>
    <n v="124636.58"/>
    <n v="2005443.34"/>
    <d v="2015-10-16T10:54:05"/>
    <d v="2017-11-01T00:00:00"/>
    <s v="0773082497"/>
    <s v=""/>
    <s v=""/>
    <n v="102148"/>
    <s v="00100002366"/>
    <s v="Real Estate and Rental"/>
    <s v="Rental"/>
    <s v="Others"/>
    <n v="1855095.95"/>
    <n v="1855095.95"/>
    <n v="0"/>
    <n v="1"/>
    <n v="1"/>
    <n v="0"/>
  </r>
  <r>
    <s v="ERASMUS OPIO"/>
    <x v="2"/>
    <n v="-8"/>
    <n v="30558896.16"/>
    <x v="12"/>
    <n v="641736.81999999995"/>
    <n v="36840125.280000001"/>
    <d v="2015-10-16T14:20:27"/>
    <d v="2018-11-02T00:00:00"/>
    <s v="0782845604"/>
    <s v=""/>
    <s v=""/>
    <n v="102150"/>
    <s v="00100000405"/>
    <s v="Educational Services"/>
    <s v="Educational Services"/>
    <s v="Others"/>
    <n v="0"/>
    <n v="0"/>
    <n v="0"/>
    <n v="0"/>
    <n v="0"/>
    <n v="0"/>
  </r>
  <r>
    <s v="BONITA BUZABO RUKUNDO"/>
    <x v="1"/>
    <n v="68"/>
    <n v="832429.84"/>
    <x v="1"/>
    <n v="12898.71"/>
    <n v="845328.55"/>
    <d v="2015-10-16T14:59:03"/>
    <d v="2017-10-16T00:00:00"/>
    <s v="0773462282"/>
    <s v=""/>
    <s v=""/>
    <n v="102151"/>
    <s v="00100003378"/>
    <s v="Wholesale Trade"/>
    <s v="Durable Goods"/>
    <s v="Others"/>
    <n v="832429.84"/>
    <n v="832429.84"/>
    <n v="0"/>
    <n v="1"/>
    <n v="1"/>
    <n v="0"/>
  </r>
  <r>
    <s v="GRACE SIMWOGERERE"/>
    <x v="1"/>
    <n v="9"/>
    <n v="11376146.18"/>
    <x v="3"/>
    <n v="344588.51"/>
    <n v="13633164.109999999"/>
    <d v="2015-10-17T13:41:11"/>
    <d v="2018-10-15T00:00:00"/>
    <s v="0781413333"/>
    <s v="0702290755"/>
    <s v=""/>
    <n v="102156"/>
    <s v="00100002304"/>
    <s v="Real Estate and Rental"/>
    <s v="Real Estate"/>
    <s v="Others"/>
    <n v="11376146.18"/>
    <n v="0"/>
    <n v="0"/>
    <n v="1"/>
    <n v="0"/>
    <n v="0"/>
  </r>
  <r>
    <s v="YAHAYA MUSENZE"/>
    <x v="2"/>
    <n v="-7"/>
    <n v="30325175.940000001"/>
    <x v="15"/>
    <n v="667153.87"/>
    <n v="36558365"/>
    <d v="2015-10-23T13:22:26"/>
    <d v="2018-11-01T00:00:00"/>
    <s v="0772979854"/>
    <s v=""/>
    <s v=""/>
    <n v="102172"/>
    <s v="00100002437"/>
    <s v="Real Estate and Rental"/>
    <s v="Real Estate"/>
    <s v="Others"/>
    <n v="0"/>
    <n v="0"/>
    <n v="0"/>
    <n v="0"/>
    <n v="0"/>
    <n v="0"/>
  </r>
  <r>
    <s v="JUDITH NABUKALU"/>
    <x v="2"/>
    <n v="-7"/>
    <n v="14431548.67"/>
    <x v="7"/>
    <n v="317494.07"/>
    <n v="17397881.66"/>
    <d v="2015-10-26T15:48:32"/>
    <d v="2018-11-01T00:00:00"/>
    <s v="0716727574"/>
    <s v=""/>
    <s v=""/>
    <n v="102179"/>
    <s v="00100003564"/>
    <s v="Wholesale Trade"/>
    <s v="Durable Goods"/>
    <s v="Others"/>
    <n v="0"/>
    <n v="0"/>
    <n v="0"/>
    <n v="0"/>
    <n v="0"/>
    <n v="0"/>
  </r>
  <r>
    <s v="PETER KYAKULAGA"/>
    <x v="1"/>
    <n v="21"/>
    <n v="7198622.1799999997"/>
    <x v="2"/>
    <n v="137443.32"/>
    <n v="8611161.7400000002"/>
    <d v="2015-10-28T09:26:32"/>
    <d v="2018-11-03T00:00:00"/>
    <s v="0772420314"/>
    <s v=""/>
    <s v=""/>
    <n v="102185"/>
    <s v="00100003553"/>
    <s v="Information"/>
    <s v="Others"/>
    <s v="Others"/>
    <n v="7198622.1799999997"/>
    <n v="0"/>
    <n v="0"/>
    <n v="1"/>
    <n v="0"/>
    <n v="0"/>
  </r>
  <r>
    <s v="SOLOMON KIBUDDE"/>
    <x v="1"/>
    <n v="-11"/>
    <n v="16066040.01"/>
    <x v="11"/>
    <n v="289188.71999999997"/>
    <n v="19368334.66"/>
    <d v="2015-10-28T09:56:34"/>
    <d v="2018-11-05T00:00:00"/>
    <s v="0774959080"/>
    <s v="0703750955"/>
    <s v=""/>
    <n v="102186"/>
    <s v="00100003569"/>
    <s v="Real Estate and Rental"/>
    <s v="Real Estate"/>
    <s v="Others"/>
    <n v="0"/>
    <n v="0"/>
    <n v="0"/>
    <n v="0"/>
    <n v="0"/>
    <n v="0"/>
  </r>
  <r>
    <s v="ZAM NALWOGA"/>
    <x v="1"/>
    <n v="-7"/>
    <n v="6852246.9500000002"/>
    <x v="1"/>
    <n v="150749.43"/>
    <n v="8260692.2699999996"/>
    <d v="2015-10-29T11:54:16"/>
    <d v="2018-11-01T00:00:00"/>
    <s v="0715136775"/>
    <s v=""/>
    <s v=""/>
    <n v="102190"/>
    <s v="00100002200"/>
    <s v="Retail"/>
    <s v="Electronics Stores"/>
    <s v="Others"/>
    <n v="0"/>
    <n v="0"/>
    <n v="0"/>
    <n v="0"/>
    <n v="0"/>
    <n v="0"/>
  </r>
  <r>
    <s v="PAUL KABBERA"/>
    <x v="4"/>
    <n v="52"/>
    <n v="37211861.189999998"/>
    <x v="7"/>
    <n v="2165132.25"/>
    <n v="46119217.759999998"/>
    <d v="2015-10-29T15:42:53"/>
    <d v="2018-11-02T00:00:00"/>
    <s v="039961982"/>
    <s v=""/>
    <s v=""/>
    <n v="102192"/>
    <s v="00100003191"/>
    <s v="Construction"/>
    <s v="Construction of Buildings"/>
    <s v="Others"/>
    <n v="37211861.189999998"/>
    <n v="37211861.189999998"/>
    <n v="0"/>
    <n v="1"/>
    <n v="1"/>
    <n v="0"/>
  </r>
  <r>
    <s v="GODFREY SSENKUMBA"/>
    <x v="1"/>
    <n v="23"/>
    <n v="35106785.170000002"/>
    <x v="1"/>
    <n v="1776099.66"/>
    <n v="42913975.009999998"/>
    <d v="2015-10-31T16:32:09"/>
    <d v="2018-11-01T00:00:00"/>
    <s v="0701436666"/>
    <s v="0772504438"/>
    <s v=""/>
    <n v="102207"/>
    <s v="00100001034"/>
    <s v="Real Estate and Rental"/>
    <s v="Rental"/>
    <s v="Others"/>
    <n v="35106785.170000002"/>
    <n v="0"/>
    <n v="0"/>
    <n v="1"/>
    <n v="0"/>
    <n v="0"/>
  </r>
  <r>
    <s v="RONALD LEONARD EGESA"/>
    <x v="1"/>
    <n v="99"/>
    <n v="3623553.87"/>
    <x v="3"/>
    <n v="88201.33"/>
    <n v="3807837.14"/>
    <d v="2015-11-03T15:38:54"/>
    <d v="2017-11-15T00:00:00"/>
    <s v="0782442375"/>
    <s v="0752442375"/>
    <s v=""/>
    <n v="102212"/>
    <s v="00100002624"/>
    <s v="Information"/>
    <s v="Others"/>
    <s v="Others"/>
    <n v="3623553.87"/>
    <n v="3623553.87"/>
    <n v="3623553.87"/>
    <n v="1"/>
    <n v="1"/>
    <n v="1"/>
  </r>
  <r>
    <s v="MANSOOR KABIITO"/>
    <x v="3"/>
    <n v="-19"/>
    <n v="10548347.9"/>
    <x v="15"/>
    <n v="123064.06"/>
    <n v="13099016.449999999"/>
    <d v="2015-11-07T10:39:36"/>
    <d v="2018-11-13T00:00:00"/>
    <s v="0772552366"/>
    <s v="0701300559"/>
    <s v=""/>
    <n v="102220"/>
    <s v="00100001806"/>
    <s v="Retail"/>
    <s v="Others"/>
    <s v="Others"/>
    <n v="0"/>
    <n v="0"/>
    <n v="0"/>
    <n v="0"/>
    <n v="0"/>
    <n v="0"/>
  </r>
  <r>
    <s v="IVAN LUGOLOBI WASSWA"/>
    <x v="2"/>
    <n v="-21"/>
    <n v="30725333.050000001"/>
    <x v="16"/>
    <n v="245802.66"/>
    <n v="37040772.43"/>
    <d v="2015-11-09T14:26:10"/>
    <d v="2018-11-15T00:00:00"/>
    <s v="0772486492"/>
    <s v=""/>
    <s v=""/>
    <n v="102222"/>
    <s v="00100002929"/>
    <s v="Educational Services"/>
    <s v="Educational Services"/>
    <s v="Others"/>
    <n v="0"/>
    <n v="0"/>
    <n v="0"/>
    <n v="0"/>
    <n v="0"/>
    <n v="0"/>
  </r>
  <r>
    <s v="CHRISTINE BABWEINEKI"/>
    <x v="1"/>
    <n v="45"/>
    <n v="7681324.2800000003"/>
    <x v="1"/>
    <n v="218736.73"/>
    <n v="9306244.5999999996"/>
    <d v="2015-11-09T14:44:17"/>
    <d v="2018-11-09T00:00:00"/>
    <s v="07038334520"/>
    <s v=""/>
    <s v=""/>
    <n v="102223"/>
    <s v="00100003607"/>
    <s v="Real Estate and Rental"/>
    <s v="Real Estate"/>
    <s v="Others"/>
    <n v="7681324.2800000003"/>
    <n v="7681324.2800000003"/>
    <n v="0"/>
    <n v="1"/>
    <n v="1"/>
    <n v="0"/>
  </r>
  <r>
    <s v="JOHN BOSCO MULENZI"/>
    <x v="2"/>
    <n v="12"/>
    <n v="3159139.76"/>
    <x v="13"/>
    <n v="94774.19"/>
    <n v="3253913.95"/>
    <d v="2015-11-10T11:05:54"/>
    <d v="2017-11-12T00:00:00"/>
    <s v="0777140674"/>
    <s v=""/>
    <s v=""/>
    <n v="102224"/>
    <s v="00100003618"/>
    <s v="Wholesale Trade"/>
    <s v="Others"/>
    <s v="Others"/>
    <n v="3159139.76"/>
    <n v="0"/>
    <n v="0"/>
    <n v="1"/>
    <n v="0"/>
    <n v="0"/>
  </r>
  <r>
    <s v="DAVID KIGGUNDU TAMALE"/>
    <x v="2"/>
    <n v="72"/>
    <n v="21495779.050000001"/>
    <x v="9"/>
    <n v="639741.36"/>
    <n v="26454593.050000001"/>
    <d v="2015-11-11T14:35:57"/>
    <d v="2018-11-12T00:00:00"/>
    <s v="0702200351"/>
    <s v="0782200351"/>
    <s v=""/>
    <n v="102226"/>
    <s v="00100002371"/>
    <s v="Real Estate and Rental"/>
    <s v="Rental"/>
    <s v="Others"/>
    <n v="21495779.050000001"/>
    <n v="21495779.050000001"/>
    <n v="0"/>
    <n v="1"/>
    <n v="1"/>
    <n v="0"/>
  </r>
  <r>
    <s v="FLORENCE BITAMAZIRE"/>
    <x v="1"/>
    <n v="6"/>
    <n v="11736252.67"/>
    <x v="11"/>
    <n v="289894.87"/>
    <n v="14079112.24"/>
    <d v="2015-11-18T10:31:46"/>
    <d v="2018-11-18T00:00:00"/>
    <s v="0774197418"/>
    <s v="0706308644"/>
    <s v=""/>
    <n v="102248"/>
    <s v="00100003642"/>
    <s v="Retail"/>
    <s v="Miscellaneous Store Retailers"/>
    <s v="Others"/>
    <n v="11736252.67"/>
    <n v="0"/>
    <n v="0"/>
    <n v="1"/>
    <n v="0"/>
    <n v="0"/>
  </r>
  <r>
    <s v="WILLIAM JOSEPH SSENOGA"/>
    <x v="2"/>
    <n v="-25"/>
    <n v="16413521.43"/>
    <x v="5"/>
    <n v="65654.09"/>
    <n v="19787239.120000001"/>
    <d v="2015-11-19T17:53:08"/>
    <d v="2018-11-19T00:00:00"/>
    <s v="0758973098"/>
    <s v="0782973098"/>
    <s v=""/>
    <n v="102256"/>
    <s v="00100003605"/>
    <s v="Real Estate and Rental"/>
    <s v="Real Estate"/>
    <s v="Others"/>
    <n v="0"/>
    <n v="0"/>
    <n v="0"/>
    <n v="0"/>
    <n v="0"/>
    <n v="0"/>
  </r>
  <r>
    <s v="JOSEPH MUKWAYA"/>
    <x v="2"/>
    <n v="34"/>
    <n v="34666001.640000001"/>
    <x v="0"/>
    <n v="2015858.35"/>
    <n v="42962813.18"/>
    <d v="2015-11-20T17:24:09"/>
    <d v="2018-11-20T00:00:00"/>
    <s v="0752527275"/>
    <s v="0712527275"/>
    <s v=""/>
    <n v="102259"/>
    <s v="00100002206"/>
    <s v="Real Estate and Rental"/>
    <s v="Real Estate"/>
    <s v="Others"/>
    <n v="34666001.640000001"/>
    <n v="34666001.640000001"/>
    <n v="0"/>
    <n v="1"/>
    <n v="1"/>
    <n v="0"/>
  </r>
  <r>
    <s v="RONALD MATOVU"/>
    <x v="2"/>
    <n v="21"/>
    <n v="30687345.84"/>
    <x v="9"/>
    <n v="1226227.81"/>
    <n v="37760718.149999999"/>
    <d v="2015-11-24T12:22:07"/>
    <d v="2018-12-03T00:00:00"/>
    <s v="0772403326"/>
    <s v=""/>
    <s v=""/>
    <n v="102267"/>
    <s v="00100003063"/>
    <s v="Retail"/>
    <s v="Others"/>
    <s v="Others"/>
    <n v="30687345.84"/>
    <n v="0"/>
    <n v="0"/>
    <n v="1"/>
    <n v="0"/>
    <n v="0"/>
  </r>
  <r>
    <s v="EDWARD SENDAGALA"/>
    <x v="6"/>
    <n v="-27"/>
    <n v="9843742.1099999994"/>
    <x v="17"/>
    <n v="9843.74"/>
    <n v="10829690.49"/>
    <d v="2015-11-24T17:21:29"/>
    <d v="2018-11-21T00:00:00"/>
    <s v="0775615716"/>
    <s v="0701408596"/>
    <s v=""/>
    <n v="102271"/>
    <s v="00100002511"/>
    <s v="Finance and Insurance"/>
    <s v="Finance"/>
    <s v="Others"/>
    <n v="0"/>
    <n v="0"/>
    <n v="0"/>
    <n v="0"/>
    <n v="0"/>
    <n v="0"/>
  </r>
  <r>
    <s v="JOSEPH LWASA"/>
    <x v="1"/>
    <n v="-7"/>
    <n v="13473869.890000001"/>
    <x v="3"/>
    <n v="296425.14"/>
    <n v="16470243.960000001"/>
    <d v="2015-11-25T12:23:52"/>
    <d v="2018-12-01T00:00:00"/>
    <s v="0772410647"/>
    <s v="0704410647"/>
    <s v=""/>
    <n v="102272"/>
    <s v="00100001611"/>
    <s v="Real Estate and Rental"/>
    <s v="Rental"/>
    <s v="Others"/>
    <n v="0"/>
    <n v="0"/>
    <n v="0"/>
    <n v="0"/>
    <n v="0"/>
    <n v="0"/>
  </r>
  <r>
    <s v="SARAH NAMUDDU"/>
    <x v="3"/>
    <n v="-16"/>
    <n v="8209036.5300000003"/>
    <x v="18"/>
    <n v="124503.72"/>
    <n v="10345064.24"/>
    <d v="2015-11-26T17:02:37"/>
    <d v="2018-12-10T00:00:00"/>
    <s v="0772826305"/>
    <s v=""/>
    <s v=""/>
    <n v="102277"/>
    <s v="00100003658"/>
    <s v="Retail"/>
    <s v="General Merchandise Stores"/>
    <s v="Others"/>
    <n v="0"/>
    <n v="0"/>
    <n v="0"/>
    <n v="0"/>
    <n v="0"/>
    <n v="0"/>
  </r>
  <r>
    <s v="MOSES NTABAAZI"/>
    <x v="2"/>
    <n v="-8"/>
    <n v="15188726.189999999"/>
    <x v="10"/>
    <n v="318963.25"/>
    <n v="18566457.030000001"/>
    <d v="2015-11-26T16:18:59"/>
    <d v="2018-12-02T00:00:00"/>
    <s v="0772474880"/>
    <s v=""/>
    <s v=""/>
    <n v="102279"/>
    <s v="00100003613"/>
    <s v="Retail"/>
    <s v="Others"/>
    <s v="Others"/>
    <n v="0"/>
    <n v="0"/>
    <n v="0"/>
    <n v="0"/>
    <n v="0"/>
    <n v="0"/>
  </r>
  <r>
    <s v="HARRIET TUSIIME"/>
    <x v="1"/>
    <n v="20"/>
    <n v="873594.96"/>
    <x v="11"/>
    <n v="16449.400000000001"/>
    <n v="899567.69"/>
    <d v="2015-11-27T13:02:01"/>
    <d v="2017-12-04T00:00:00"/>
    <s v="0772472500"/>
    <s v="0702952710"/>
    <s v=""/>
    <n v="102282"/>
    <s v="00100003614"/>
    <s v="Real Estate and Rental"/>
    <s v="Rental"/>
    <s v="Others"/>
    <n v="873594.96"/>
    <n v="0"/>
    <n v="0"/>
    <n v="1"/>
    <n v="0"/>
    <n v="0"/>
  </r>
  <r>
    <s v="SALIM KIZITO"/>
    <x v="2"/>
    <n v="14"/>
    <n v="3603961.3"/>
    <x v="5"/>
    <n v="126360.03"/>
    <n v="3761407.72"/>
    <d v="2015-11-27T15:06:24"/>
    <d v="2017-12-10T00:00:00"/>
    <s v="0776493353"/>
    <s v="0754493353"/>
    <s v=""/>
    <n v="102284"/>
    <s v="00100002506"/>
    <s v="Agriculture, Forestry, Fishing and Hunting"/>
    <s v="Forestry"/>
    <s v="Timber Tract Operations"/>
    <n v="3603961.3"/>
    <n v="0"/>
    <n v="0"/>
    <n v="1"/>
    <n v="0"/>
    <n v="0"/>
  </r>
  <r>
    <s v="JAMES KABATEREINE"/>
    <x v="1"/>
    <n v="6"/>
    <n v="35097849.229999997"/>
    <x v="2"/>
    <n v="1050865.93"/>
    <n v="43451646.229999997"/>
    <d v="2015-11-30T16:49:46"/>
    <d v="2018-12-18T00:00:00"/>
    <s v="0774434913"/>
    <s v="0757445030"/>
    <s v=""/>
    <n v="102288"/>
    <s v="00100001876"/>
    <s v="Retail"/>
    <s v="Others"/>
    <s v="Others"/>
    <n v="35097849.229999997"/>
    <n v="0"/>
    <n v="0"/>
    <n v="1"/>
    <n v="0"/>
    <n v="0"/>
  </r>
  <r>
    <s v="FRANCIS NYENDE"/>
    <x v="1"/>
    <n v="9"/>
    <n v="34144992.619999997"/>
    <x v="3"/>
    <n v="264645.90999999997"/>
    <n v="41501622.07"/>
    <d v="2015-12-01T12:00:12"/>
    <d v="2018-12-15T00:00:00"/>
    <s v="0772405186"/>
    <s v="0751405186"/>
    <s v=""/>
    <n v="102293"/>
    <s v="00100001072"/>
    <s v="Real Estate and Rental"/>
    <s v="Rental"/>
    <s v="Others"/>
    <n v="34144992.619999997"/>
    <n v="0"/>
    <n v="0"/>
    <n v="1"/>
    <n v="0"/>
    <n v="0"/>
  </r>
  <r>
    <s v="GODFREY BUULE"/>
    <x v="3"/>
    <n v="158"/>
    <n v="6286514.0700000003"/>
    <x v="7"/>
    <n v="207927.89"/>
    <n v="7030612.0700000003"/>
    <d v="2015-12-01T17:12:43"/>
    <d v="2017-12-16T00:00:00"/>
    <s v="0772581171"/>
    <s v="0704581171"/>
    <s v=""/>
    <n v="102295"/>
    <s v="00100000862"/>
    <s v="Agriculture, Forestry, Fishing and Hunting"/>
    <s v="Animal Production"/>
    <s v="Poultry &amp; Egg Production"/>
    <n v="6286514.0700000003"/>
    <n v="6286514.0700000003"/>
    <n v="6286514.0700000003"/>
    <n v="1"/>
    <n v="1"/>
    <n v="1"/>
  </r>
  <r>
    <s v="ACHILLES LUBEGA"/>
    <x v="1"/>
    <n v="-11"/>
    <n v="29312406.25"/>
    <x v="1"/>
    <n v="527623.31000000006"/>
    <n v="35831018.479999997"/>
    <d v="2015-12-02T17:45:43"/>
    <d v="2018-12-05T00:00:00"/>
    <s v="0701973731"/>
    <s v="0392967860"/>
    <s v=""/>
    <n v="102299"/>
    <s v="00100003735"/>
    <s v="Real Estate and Rental"/>
    <s v="Rental"/>
    <s v="Others"/>
    <n v="0"/>
    <n v="0"/>
    <n v="0"/>
    <n v="0"/>
    <n v="0"/>
    <n v="0"/>
  </r>
  <r>
    <s v="DAVID WASIYE"/>
    <x v="3"/>
    <n v="-17"/>
    <n v="1203339.55"/>
    <x v="14"/>
    <n v="16846.75"/>
    <n v="1245456.43"/>
    <d v="2015-12-11T17:10:00"/>
    <d v="2017-12-11T00:00:00"/>
    <s v="0772913354"/>
    <s v="0757140223"/>
    <s v=""/>
    <n v="102318"/>
    <s v="00100000654"/>
    <s v="Health Care"/>
    <s v="Health Care"/>
    <s v="Others"/>
    <n v="0"/>
    <n v="0"/>
    <n v="0"/>
    <n v="0"/>
    <n v="0"/>
    <n v="0"/>
  </r>
  <r>
    <s v="RONNIE SSEKABUGO"/>
    <x v="2"/>
    <n v="-18"/>
    <n v="29227278.370000001"/>
    <x v="5"/>
    <n v="321500.06"/>
    <n v="35726959.539999999"/>
    <d v="2015-12-12T12:43:07"/>
    <d v="2018-12-12T00:00:00"/>
    <s v="0751184701"/>
    <s v="0772927388"/>
    <s v=""/>
    <n v="102319"/>
    <s v="00100003166"/>
    <s v="Real Estate and Rental"/>
    <s v="Rental"/>
    <s v="Others"/>
    <n v="0"/>
    <n v="0"/>
    <n v="0"/>
    <n v="0"/>
    <n v="0"/>
    <n v="0"/>
  </r>
  <r>
    <s v="ERIC KIMBOWA"/>
    <x v="3"/>
    <n v="157"/>
    <n v="1139260.83"/>
    <x v="12"/>
    <n v="39874.129999999997"/>
    <n v="1179134.96"/>
    <d v="2015-12-14T10:43:29"/>
    <d v="2017-06-17T00:00:00"/>
    <s v="0414581065"/>
    <s v="0776485200"/>
    <s v=""/>
    <n v="102320"/>
    <s v="00100001505"/>
    <s v="Educational Services"/>
    <s v="Educational Services"/>
    <s v="Colleges"/>
    <n v="1139260.83"/>
    <n v="1139260.83"/>
    <n v="1139260.83"/>
    <n v="1"/>
    <n v="1"/>
    <n v="1"/>
  </r>
  <r>
    <s v="MARGRETE NDUGWA NAKIBUULE"/>
    <x v="4"/>
    <n v="39"/>
    <n v="23772661.25"/>
    <x v="7"/>
    <n v="1386697.91"/>
    <n v="29870318.100000001"/>
    <d v="2015-12-15T14:46:03"/>
    <d v="2018-12-15T00:00:00"/>
    <s v="0701807402"/>
    <s v="0752807401"/>
    <s v=""/>
    <n v="102325"/>
    <s v="00100002012"/>
    <s v="Wholesale Trade"/>
    <s v="Others"/>
    <s v="Others"/>
    <n v="23772661.25"/>
    <n v="23772661.25"/>
    <n v="0"/>
    <n v="1"/>
    <n v="1"/>
    <n v="0"/>
  </r>
  <r>
    <s v="ALAISAH NAMISANGO"/>
    <x v="6"/>
    <n v="-27"/>
    <n v="1939877.81"/>
    <x v="17"/>
    <n v="1939.88"/>
    <n v="2018577.34"/>
    <d v="2015-12-15T15:33:32"/>
    <d v="2018-12-21T00:00:00"/>
    <s v="0702042756"/>
    <s v="0756220896"/>
    <s v=""/>
    <n v="102326"/>
    <s v="00100002050"/>
    <s v="Finance and Insurance"/>
    <s v="Finance"/>
    <s v="Microfinance Institutions"/>
    <n v="0"/>
    <n v="0"/>
    <n v="0"/>
    <n v="0"/>
    <n v="0"/>
    <n v="0"/>
  </r>
  <r>
    <s v="FRED SSERUGA"/>
    <x v="1"/>
    <n v="39"/>
    <n v="1306377.28"/>
    <x v="3"/>
    <n v="36672.959999999999"/>
    <n v="1362580.57"/>
    <d v="2015-12-15T17:50:02"/>
    <d v="2017-12-15T00:00:00"/>
    <s v="0772517739"/>
    <s v="0705720801"/>
    <s v=""/>
    <n v="102331"/>
    <s v="00100001848"/>
    <s v="Real Estate and Rental"/>
    <s v="Rental"/>
    <s v="Others"/>
    <n v="1306377.28"/>
    <n v="1306377.28"/>
    <n v="0"/>
    <n v="1"/>
    <n v="1"/>
    <n v="0"/>
  </r>
  <r>
    <s v="EDWARD KIGONGO"/>
    <x v="2"/>
    <n v="0"/>
    <n v="6831779.8700000001"/>
    <x v="9"/>
    <n v="198121.62"/>
    <n v="7140724.4000000004"/>
    <d v="2015-12-16T11:58:34"/>
    <d v="2017-12-24T00:00:00"/>
    <s v="0752643433"/>
    <s v="0713019138"/>
    <s v="0701661066"/>
    <n v="102332"/>
    <s v="00100000178"/>
    <s v="Retail"/>
    <s v="Building Material and Garden Equipment"/>
    <s v="Others"/>
    <n v="0"/>
    <n v="0"/>
    <n v="0"/>
    <n v="0"/>
    <n v="0"/>
    <n v="0"/>
  </r>
  <r>
    <s v="JOHNSON BYAMUKAMA BIRYAHWAHO"/>
    <x v="4"/>
    <n v="74"/>
    <n v="9467414.0500000007"/>
    <x v="7"/>
    <n v="734329.53"/>
    <n v="12946749.539999999"/>
    <d v="2015-12-17T17:16:01"/>
    <d v="2019-01-10T00:00:00"/>
    <s v="0772480075"/>
    <s v="0701480075"/>
    <s v=""/>
    <n v="102338"/>
    <s v="00100001929"/>
    <s v="Retail"/>
    <s v="Others"/>
    <s v="Others"/>
    <n v="9467414.0500000007"/>
    <n v="9467414.0500000007"/>
    <n v="0"/>
    <n v="1"/>
    <n v="1"/>
    <n v="0"/>
  </r>
  <r>
    <s v="VINCENT LUKWAGO"/>
    <x v="1"/>
    <n v="7"/>
    <n v="21579944.219999999"/>
    <x v="3"/>
    <n v="760040.97"/>
    <n v="26431917.23"/>
    <d v="2015-12-17T17:31:50"/>
    <d v="2019-01-17T00:00:00"/>
    <s v="0701531577"/>
    <s v=""/>
    <s v=""/>
    <n v="102339"/>
    <s v="00100003110"/>
    <s v="Real Estate and Rental"/>
    <s v="Rental"/>
    <s v="Others"/>
    <n v="21579944.219999999"/>
    <n v="0"/>
    <n v="0"/>
    <n v="1"/>
    <n v="0"/>
    <n v="0"/>
  </r>
  <r>
    <s v="GEORGE WILLYS MAWEJJE"/>
    <x v="2"/>
    <n v="83"/>
    <n v="16299883.449999999"/>
    <x v="15"/>
    <n v="405753.7"/>
    <n v="17311890.789999999"/>
    <d v="2015-12-21T10:09:08"/>
    <d v="2018-01-01T00:00:00"/>
    <s v="0752696949"/>
    <s v=""/>
    <s v=""/>
    <n v="102349"/>
    <s v="00100002723"/>
    <s v="Real Estate and Rental"/>
    <s v="Rental"/>
    <s v="General Rental Centers"/>
    <n v="16299883.449999999"/>
    <n v="16299883.449999999"/>
    <n v="0"/>
    <n v="1"/>
    <n v="1"/>
    <n v="0"/>
  </r>
  <r>
    <s v="MICHEAL LUBWAMA"/>
    <x v="1"/>
    <n v="-16"/>
    <n v="5387739.1900000004"/>
    <x v="11"/>
    <n v="70040.61"/>
    <n v="6140142.9299999997"/>
    <d v="2016-01-07T16:00:26"/>
    <d v="2018-07-10T00:00:00"/>
    <s v="0758932161"/>
    <s v="0775910344"/>
    <s v=""/>
    <n v="102365"/>
    <s v="00100003786"/>
    <s v="Real Estate and Rental"/>
    <s v="Rental"/>
    <s v="Others"/>
    <n v="0"/>
    <n v="0"/>
    <n v="0"/>
    <n v="0"/>
    <n v="0"/>
    <n v="0"/>
  </r>
  <r>
    <s v="ROBERT BAGONZA"/>
    <x v="2"/>
    <n v="-20"/>
    <n v="25870150.449999999"/>
    <x v="5"/>
    <n v="232831.35"/>
    <n v="32062655.93"/>
    <d v="2016-01-14T16:20:24"/>
    <d v="2019-01-14T00:00:00"/>
    <s v="0772594921"/>
    <s v="0751594921"/>
    <s v=""/>
    <n v="102374"/>
    <s v="00100002199"/>
    <s v="Restaurants and Hotels"/>
    <s v="Hotel"/>
    <s v="Hotel"/>
    <n v="0"/>
    <n v="0"/>
    <n v="0"/>
    <n v="0"/>
    <n v="0"/>
    <n v="0"/>
  </r>
  <r>
    <s v="JANE SEMUGOMA"/>
    <x v="1"/>
    <n v="-21"/>
    <n v="23283135.34"/>
    <x v="1"/>
    <n v="186265.08"/>
    <n v="28856390.199999999"/>
    <d v="2016-01-15T11:35:23"/>
    <d v="2019-01-15T00:00:00"/>
    <s v="0772403243"/>
    <s v="0414272754"/>
    <s v=""/>
    <n v="102375"/>
    <s v="00100000012"/>
    <s v="Retail"/>
    <s v="Electronics Stores"/>
    <s v="Radio, Television, &amp; Other Electronics Stores"/>
    <n v="0"/>
    <n v="0"/>
    <n v="0"/>
    <n v="0"/>
    <n v="0"/>
    <n v="0"/>
  </r>
  <r>
    <s v="YEKO SSEMBAJJWE"/>
    <x v="3"/>
    <n v="14"/>
    <n v="4875346.83"/>
    <x v="4"/>
    <n v="227036.9"/>
    <n v="5310771.09"/>
    <d v="2016-01-30T11:57:58"/>
    <d v="2018-02-11T00:00:00"/>
    <s v="0782435092"/>
    <s v=""/>
    <s v=""/>
    <n v="102394"/>
    <s v="00100002072"/>
    <s v="Transportation and Warehousing"/>
    <s v=" Passenger Transportation"/>
    <s v="Taxi service"/>
    <n v="4875346.83"/>
    <n v="0"/>
    <n v="0"/>
    <n v="1"/>
    <n v="0"/>
    <n v="0"/>
  </r>
  <r>
    <s v="JAMES SENJALA"/>
    <x v="3"/>
    <n v="-11"/>
    <n v="3508983.22"/>
    <x v="16"/>
    <n v="73688.649999999994"/>
    <n v="3758839.95"/>
    <d v="2016-01-30T14:06:05"/>
    <d v="2018-02-06T00:00:00"/>
    <s v="0753566180"/>
    <s v=""/>
    <s v=""/>
    <n v="102395"/>
    <s v="00100003788"/>
    <s v="Wholesale Trade"/>
    <s v="Durable Goods"/>
    <s v="Others"/>
    <n v="0"/>
    <n v="0"/>
    <n v="0"/>
    <n v="0"/>
    <n v="0"/>
    <n v="0"/>
  </r>
  <r>
    <s v="MARTIN MUYINGO"/>
    <x v="1"/>
    <n v="-21"/>
    <n v="3356659.52"/>
    <x v="1"/>
    <n v="26853.279999999999"/>
    <n v="3560043.19"/>
    <d v="2016-02-10T16:28:22"/>
    <d v="2018-02-15T00:00:00"/>
    <s v="0700670544"/>
    <s v=""/>
    <s v=""/>
    <n v="102404"/>
    <s v="00100003795"/>
    <s v="Real Estate and Rental"/>
    <s v="Real Estate"/>
    <s v="Others"/>
    <n v="0"/>
    <n v="0"/>
    <n v="0"/>
    <n v="0"/>
    <n v="0"/>
    <n v="0"/>
  </r>
  <r>
    <s v="MICHEAL MULIIKA"/>
    <x v="3"/>
    <n v="38"/>
    <n v="16320894.539999999"/>
    <x v="5"/>
    <n v="673048.42"/>
    <n v="21487541.030000001"/>
    <d v="2016-02-10T16:58:04"/>
    <d v="2019-02-16T00:00:00"/>
    <s v="0702755916"/>
    <s v="0712816256"/>
    <s v=""/>
    <n v="102405"/>
    <s v="00100002583"/>
    <s v="Retail"/>
    <s v="Others"/>
    <s v="Others"/>
    <n v="16320894.539999999"/>
    <n v="16320894.539999999"/>
    <n v="0"/>
    <n v="1"/>
    <n v="1"/>
    <n v="0"/>
  </r>
  <r>
    <s v="UPLANDS HIGH SCHOOL, MUTUNDWE"/>
    <x v="1"/>
    <n v="-26"/>
    <n v="24773348.710000001"/>
    <x v="1"/>
    <n v="74320.05"/>
    <n v="31127680.699999999"/>
    <d v="2016-02-13T10:56:49"/>
    <d v="2019-02-20T00:00:00"/>
    <s v="0772417671"/>
    <s v="0702417671"/>
    <s v=""/>
    <n v="102407"/>
    <s v="00100003835"/>
    <s v="Educational Services"/>
    <s v="Educational Services"/>
    <s v="Others"/>
    <n v="0"/>
    <n v="0"/>
    <n v="0"/>
    <n v="0"/>
    <n v="0"/>
    <n v="0"/>
  </r>
  <r>
    <s v="TONNY KASOZI MUWONGE"/>
    <x v="3"/>
    <n v="94"/>
    <n v="1624281.74"/>
    <x v="5"/>
    <n v="55113.1"/>
    <n v="1679394.84"/>
    <d v="2016-02-13T11:41:35"/>
    <d v="2017-08-20T00:00:00"/>
    <s v="0772622285"/>
    <s v="0702023202"/>
    <s v=""/>
    <n v="102409"/>
    <s v="00100003582"/>
    <s v="Retail"/>
    <s v="Others"/>
    <s v="Others"/>
    <n v="1624281.74"/>
    <n v="1624281.74"/>
    <n v="1624281.74"/>
    <n v="1"/>
    <n v="1"/>
    <n v="1"/>
  </r>
  <r>
    <s v="ABDUL RAHMAN MIVULE"/>
    <x v="4"/>
    <n v="-7"/>
    <n v="11163669.66"/>
    <x v="9"/>
    <n v="327467.64"/>
    <n v="15329057.83"/>
    <d v="2016-02-26T11:17:07"/>
    <d v="2019-03-01T00:00:00"/>
    <s v="0779828372"/>
    <s v=""/>
    <s v=""/>
    <n v="102418"/>
    <s v="00100002586"/>
    <s v="Retail"/>
    <s v="Health and Personal Care Stores"/>
    <s v="Others"/>
    <n v="0"/>
    <n v="0"/>
    <n v="0"/>
    <n v="0"/>
    <n v="0"/>
    <n v="0"/>
  </r>
  <r>
    <s v="ALEX ALBINUS OCHAN"/>
    <x v="1"/>
    <n v="-12"/>
    <n v="39703928.780000001"/>
    <x v="11"/>
    <n v="674966.79"/>
    <n v="59246620.770000003"/>
    <d v="2016-02-27T12:16:24"/>
    <d v="2020-03-06T00:00:00"/>
    <s v="0776760935"/>
    <s v="0752760935"/>
    <s v="0701337118"/>
    <n v="102423"/>
    <s v="00100000268"/>
    <s v="Real Estate and Rental"/>
    <s v="Rental"/>
    <s v="Others"/>
    <n v="0"/>
    <n v="0"/>
    <n v="0"/>
    <n v="0"/>
    <n v="0"/>
    <n v="0"/>
  </r>
  <r>
    <s v="JUMA MBOWA"/>
    <x v="2"/>
    <n v="30"/>
    <n v="14161111.449999999"/>
    <x v="5"/>
    <n v="336365.96"/>
    <n v="15043877.02"/>
    <d v="2016-02-27T13:57:02"/>
    <d v="2018-02-24T00:00:00"/>
    <s v="0781775444"/>
    <s v="0700370677"/>
    <s v=""/>
    <n v="102424"/>
    <s v="00100002754"/>
    <s v="Retail"/>
    <s v="Motor Vehicle and Parts Dealers"/>
    <s v="Automotive Parts, Accessories, &amp; Tire Stores"/>
    <n v="14161111.449999999"/>
    <n v="0"/>
    <n v="0"/>
    <n v="1"/>
    <n v="0"/>
    <n v="0"/>
  </r>
  <r>
    <s v="YOSIA SEKITOLEKO SERWANGA"/>
    <x v="2"/>
    <n v="17"/>
    <n v="20400269.43"/>
    <x v="13"/>
    <n v="325321.93"/>
    <n v="25966803.949999999"/>
    <d v="2016-02-27T14:45:05"/>
    <d v="2019-03-07T00:00:00"/>
    <s v="0772517720"/>
    <s v="0702517720"/>
    <s v=""/>
    <n v="102425"/>
    <s v="00100001940"/>
    <s v="Retail"/>
    <s v="Food and Beverage Stores"/>
    <s v="Fruit &amp; Vegetable Markets"/>
    <n v="20400269.43"/>
    <n v="0"/>
    <n v="0"/>
    <n v="1"/>
    <n v="0"/>
    <n v="0"/>
  </r>
  <r>
    <s v="JOSEPH MUGENI"/>
    <x v="2"/>
    <n v="52"/>
    <n v="32676053.670000002"/>
    <x v="4"/>
    <n v="1939251"/>
    <n v="50013241.759999998"/>
    <d v="2016-02-29T16:38:24"/>
    <d v="2020-03-02T00:00:00"/>
    <s v="0704021763"/>
    <s v="0779854660"/>
    <s v=""/>
    <n v="102426"/>
    <s v="00100001064"/>
    <s v="Retail"/>
    <s v="Others"/>
    <s v="Others"/>
    <n v="32676053.670000002"/>
    <n v="32676053.670000002"/>
    <n v="0"/>
    <n v="1"/>
    <n v="1"/>
    <n v="0"/>
  </r>
  <r>
    <s v="GODFREY MAYANJA"/>
    <x v="5"/>
    <n v="-16"/>
    <n v="37890293.920000002"/>
    <x v="2"/>
    <n v="492573.82"/>
    <n v="56469725.68"/>
    <d v="2016-02-29T19:14:49"/>
    <d v="2020-03-10T00:00:00"/>
    <s v="0772602999"/>
    <s v="0730185852"/>
    <s v=""/>
    <n v="102430"/>
    <s v="00100001973"/>
    <s v="Retail"/>
    <s v="Motor Vehicle and Parts Dealers"/>
    <s v="Automotive Parts, Accessories, &amp; Tire Stores"/>
    <n v="0"/>
    <n v="0"/>
    <n v="0"/>
    <n v="0"/>
    <n v="0"/>
    <n v="0"/>
  </r>
  <r>
    <s v="SAM KIRUNDA MUSOKE"/>
    <x v="2"/>
    <n v="-17"/>
    <n v="35511680.869999997"/>
    <x v="9"/>
    <n v="426140.17"/>
    <n v="52988394.75"/>
    <d v="2016-03-01T09:03:02"/>
    <d v="2020-03-11T00:00:00"/>
    <s v="0772568163"/>
    <s v=""/>
    <s v=""/>
    <n v="102431"/>
    <s v="00100002893"/>
    <s v="Real Estate and Rental"/>
    <s v="Rental"/>
    <s v="General Rental Centers"/>
    <n v="0"/>
    <n v="0"/>
    <n v="0"/>
    <n v="0"/>
    <n v="0"/>
    <n v="0"/>
  </r>
  <r>
    <s v="JOANITA NDAGIRE"/>
    <x v="5"/>
    <n v="14"/>
    <n v="36671845.369999997"/>
    <x v="2"/>
    <n v="1099344.3799999999"/>
    <n v="55423093.659999996"/>
    <d v="2016-03-02T15:03:00"/>
    <d v="2020-03-10T00:00:00"/>
    <s v="0772605855"/>
    <s v=""/>
    <s v=""/>
    <n v="102434"/>
    <s v="00100003081"/>
    <s v="Retail"/>
    <s v="General Merchandise Stores"/>
    <s v="General Stores"/>
    <n v="36671845.369999997"/>
    <n v="0"/>
    <n v="0"/>
    <n v="1"/>
    <n v="0"/>
    <n v="0"/>
  </r>
  <r>
    <s v="SIMON SERUKWAYA"/>
    <x v="1"/>
    <n v="20"/>
    <n v="28343734.399999999"/>
    <x v="2"/>
    <n v="2188711.61"/>
    <n v="36461009.710000001"/>
    <d v="2016-03-04T14:10:21"/>
    <d v="2019-03-04T00:00:00"/>
    <s v="0700670943"/>
    <s v=""/>
    <s v=""/>
    <n v="102437"/>
    <s v="00100002093"/>
    <s v="Real Estate and Rental"/>
    <s v="Rental"/>
    <s v="Others"/>
    <n v="28343734.399999999"/>
    <n v="0"/>
    <n v="0"/>
    <n v="1"/>
    <n v="0"/>
    <n v="0"/>
  </r>
  <r>
    <s v="BRUHANE KASEKENDE"/>
    <x v="3"/>
    <n v="20"/>
    <n v="5623301.6799999997"/>
    <x v="9"/>
    <n v="298220.53999999998"/>
    <n v="6227282.8700000001"/>
    <d v="2016-03-04T16:52:37"/>
    <d v="2018-03-04T00:00:00"/>
    <s v="0772424814"/>
    <s v="0701424814"/>
    <s v=""/>
    <n v="102439"/>
    <s v="00100001802"/>
    <s v="Retail"/>
    <s v="Motor Vehicle and Parts Dealers"/>
    <s v="Automotive Parts, Accessories, &amp; Tire Stores"/>
    <n v="5623301.6799999997"/>
    <n v="0"/>
    <n v="0"/>
    <n v="1"/>
    <n v="0"/>
    <n v="0"/>
  </r>
  <r>
    <s v="PROSSY NABUKALU"/>
    <x v="2"/>
    <n v="190"/>
    <n v="22352970.59"/>
    <x v="8"/>
    <n v="1183820.78"/>
    <n v="26831005.379999999"/>
    <d v="2016-03-09T11:56:28"/>
    <d v="2018-03-14T00:00:00"/>
    <s v="0772425306"/>
    <s v=""/>
    <s v=""/>
    <n v="102444"/>
    <s v="00100000145"/>
    <s v="Wholesale Trade"/>
    <s v="Durable Goods"/>
    <s v="Others"/>
    <n v="22352970.59"/>
    <n v="22352970.59"/>
    <n v="22352970.59"/>
    <n v="1"/>
    <n v="1"/>
    <n v="1"/>
  </r>
  <r>
    <s v="FREDRICK EDWARD JAGWE"/>
    <x v="5"/>
    <n v="-21"/>
    <n v="29449895.48"/>
    <x v="11"/>
    <n v="235599.16"/>
    <n v="43945444.380000003"/>
    <d v="2016-03-11T18:19:10"/>
    <d v="2020-03-15T00:00:00"/>
    <s v="0776111128"/>
    <s v=""/>
    <s v=""/>
    <n v="102449"/>
    <s v="00100003629"/>
    <s v="Real Estate and Rental"/>
    <s v="Real Estate"/>
    <s v="Real Estate"/>
    <n v="0"/>
    <n v="0"/>
    <n v="0"/>
    <n v="0"/>
    <n v="0"/>
    <n v="0"/>
  </r>
  <r>
    <s v="DOROTHY MARGARET NAKIBUUKA"/>
    <x v="1"/>
    <n v="-26"/>
    <n v="29849867.420000002"/>
    <x v="11"/>
    <n v="89549.6"/>
    <n v="44542286.539999999"/>
    <d v="2016-03-15T13:27:57"/>
    <d v="2020-03-20T00:00:00"/>
    <s v="0772414826"/>
    <s v="0702414826"/>
    <s v=""/>
    <n v="102453"/>
    <s v="00100003086"/>
    <s v="Real Estate and Rental"/>
    <s v="Real Estate"/>
    <s v="Others"/>
    <n v="0"/>
    <n v="0"/>
    <n v="0"/>
    <n v="0"/>
    <n v="0"/>
    <n v="0"/>
  </r>
  <r>
    <s v="RICHARD KYAMBADDE"/>
    <x v="3"/>
    <n v="-22"/>
    <n v="6666053.0499999998"/>
    <x v="5"/>
    <n v="62216.5"/>
    <n v="7345725.0300000003"/>
    <d v="2016-03-16T16:45:35"/>
    <d v="2018-03-16T00:00:00"/>
    <s v="0772477612"/>
    <s v=""/>
    <s v=""/>
    <n v="102457"/>
    <s v="00100003845"/>
    <s v="Retail"/>
    <s v="Others"/>
    <s v="Others"/>
    <n v="0"/>
    <n v="0"/>
    <n v="0"/>
    <n v="0"/>
    <n v="0"/>
    <n v="0"/>
  </r>
  <r>
    <s v="JAMIL SSEKYANZI"/>
    <x v="2"/>
    <n v="7"/>
    <n v="28100045.739999998"/>
    <x v="15"/>
    <n v="184616.05"/>
    <n v="36586472.240000002"/>
    <d v="2016-03-17T14:23:53"/>
    <d v="2019-03-17T00:00:00"/>
    <s v="0753777333"/>
    <s v=""/>
    <s v="072513895"/>
    <n v="102459"/>
    <s v="00100003850"/>
    <s v="Real Estate and Rental"/>
    <s v="Others"/>
    <s v="Others"/>
    <n v="28100045.739999998"/>
    <n v="0"/>
    <n v="0"/>
    <n v="1"/>
    <n v="0"/>
    <n v="0"/>
  </r>
  <r>
    <s v="EDITH SSEMPEBWA"/>
    <x v="3"/>
    <n v="127"/>
    <n v="20993030.940000001"/>
    <x v="4"/>
    <n v="1265050.9099999999"/>
    <n v="35537314.039999999"/>
    <d v="2016-03-17T16:04:49"/>
    <d v="2020-03-17T00:00:00"/>
    <s v="0781584888"/>
    <s v=""/>
    <s v=""/>
    <n v="102460"/>
    <s v="00100003208"/>
    <s v="Real Estate and Rental"/>
    <s v="Real Estate"/>
    <s v="Real Estate"/>
    <n v="20993030.940000001"/>
    <n v="20993030.940000001"/>
    <n v="20993030.940000001"/>
    <n v="1"/>
    <n v="1"/>
    <n v="1"/>
  </r>
  <r>
    <s v="JAMES SEKAGYA"/>
    <x v="1"/>
    <n v="-27"/>
    <n v="8068862.0700000003"/>
    <x v="1"/>
    <n v="16137.72"/>
    <n v="11138601.6"/>
    <d v="2016-03-21T16:30:35"/>
    <d v="2019-09-21T00:00:00"/>
    <s v="0772418357"/>
    <s v=""/>
    <s v=""/>
    <n v="102464"/>
    <s v="00100003156"/>
    <s v="Real Estate and Rental"/>
    <s v="Rental"/>
    <s v="Others"/>
    <n v="0"/>
    <n v="0"/>
    <n v="0"/>
    <n v="0"/>
    <n v="0"/>
    <n v="0"/>
  </r>
  <r>
    <s v="CHARLES NSINDA"/>
    <x v="3"/>
    <n v="49"/>
    <n v="15172808.17"/>
    <x v="5"/>
    <n v="1041253.33"/>
    <n v="21027481.710000001"/>
    <d v="2016-03-30T14:48:11"/>
    <d v="2019-04-05T00:00:00"/>
    <s v="0782232133"/>
    <s v="0751232133"/>
    <s v=""/>
    <n v="102479"/>
    <s v="00100002205"/>
    <s v="Retail"/>
    <s v="General Merchandise Stores"/>
    <s v="Others"/>
    <n v="15172808.17"/>
    <n v="15172808.17"/>
    <n v="0"/>
    <n v="1"/>
    <n v="1"/>
    <n v="0"/>
  </r>
  <r>
    <s v="RONALD KIMERA"/>
    <x v="3"/>
    <n v="64"/>
    <n v="10357297.82"/>
    <x v="0"/>
    <n v="326677.87"/>
    <n v="11507007.24"/>
    <d v="2016-03-31T13:05:42"/>
    <d v="2018-03-20T00:00:00"/>
    <s v="0772894025"/>
    <s v=""/>
    <s v=""/>
    <n v="102483"/>
    <s v="00100003113"/>
    <s v="Educational Services"/>
    <s v="Educational Services"/>
    <s v="Others"/>
    <n v="10357297.82"/>
    <n v="10357297.82"/>
    <n v="0"/>
    <n v="1"/>
    <n v="1"/>
    <n v="0"/>
  </r>
  <r>
    <s v="CYPRIAN SEBUNJO MBOOGE"/>
    <x v="1"/>
    <n v="-7"/>
    <n v="33080880.539999999"/>
    <x v="3"/>
    <n v="727779.37"/>
    <n v="42713801.32"/>
    <d v="2016-03-31T16:29:04"/>
    <d v="2019-04-01T00:00:00"/>
    <s v="0772449207"/>
    <s v=""/>
    <s v=""/>
    <n v="102486"/>
    <s v="00100003116"/>
    <s v="Real Estate and Rental"/>
    <s v="Real Estate"/>
    <s v="Others"/>
    <n v="0"/>
    <n v="0"/>
    <n v="0"/>
    <n v="0"/>
    <n v="0"/>
    <n v="0"/>
  </r>
  <r>
    <s v="DAN KALULE"/>
    <x v="2"/>
    <n v="21"/>
    <n v="12832112.75"/>
    <x v="7"/>
    <n v="465174.77"/>
    <n v="14075901.02"/>
    <d v="2016-03-31T13:37:20"/>
    <d v="2018-04-03T00:00:00"/>
    <s v="0772684940"/>
    <s v=""/>
    <s v=""/>
    <n v="102488"/>
    <s v="00100001580"/>
    <s v="Wholesale Trade"/>
    <s v="Durable Goods"/>
    <s v="Hardware, &amp; Plumbing &amp; Heating Equipment"/>
    <n v="12832112.75"/>
    <n v="0"/>
    <n v="0"/>
    <n v="1"/>
    <n v="0"/>
    <n v="0"/>
  </r>
  <r>
    <s v="ROBERT KABUGO"/>
    <x v="0"/>
    <n v="-1"/>
    <n v="6376301.0800000001"/>
    <x v="15"/>
    <n v="238048.57"/>
    <n v="8910082.9399999995"/>
    <d v="2016-04-02T11:13:24"/>
    <d v="2019-03-25T00:00:00"/>
    <s v="0776843904"/>
    <s v="0702843904"/>
    <s v=""/>
    <n v="102491"/>
    <s v="00100000739"/>
    <s v="Retail"/>
    <s v="Others"/>
    <s v="Others"/>
    <n v="0"/>
    <n v="0"/>
    <n v="0"/>
    <n v="0"/>
    <n v="0"/>
    <n v="0"/>
  </r>
  <r>
    <s v="LINDA NAKANDI"/>
    <x v="4"/>
    <n v="160"/>
    <n v="33457718.48"/>
    <x v="12"/>
    <n v="2003323.25"/>
    <n v="46797972.090000004"/>
    <d v="2016-04-04T12:19:53"/>
    <d v="2019-04-14T00:00:00"/>
    <s v="0700236077"/>
    <s v="0775924213"/>
    <s v=""/>
    <n v="102492"/>
    <s v="00100001751"/>
    <s v="Retail"/>
    <s v="General Merchandise Stores"/>
    <s v="General Stores"/>
    <n v="33457718.48"/>
    <n v="33457718.48"/>
    <n v="33457718.48"/>
    <n v="1"/>
    <n v="1"/>
    <n v="1"/>
  </r>
  <r>
    <s v="GERALD MUGERWA MAJJERA"/>
    <x v="2"/>
    <n v="13"/>
    <n v="20889698.109999999"/>
    <x v="7"/>
    <n v="866661.26"/>
    <n v="27339528.699999999"/>
    <d v="2016-04-06T12:48:52"/>
    <d v="2019-04-11T00:00:00"/>
    <s v="0772494273"/>
    <s v=""/>
    <s v="0700621165"/>
    <n v="102495"/>
    <s v="00100003648"/>
    <s v="Retail"/>
    <s v="Miscellaneous Store Retailers"/>
    <s v="Others"/>
    <n v="20889698.109999999"/>
    <n v="0"/>
    <n v="0"/>
    <n v="1"/>
    <n v="0"/>
    <n v="0"/>
  </r>
  <r>
    <s v="STEVEN KISEKKA"/>
    <x v="3"/>
    <n v="15"/>
    <n v="11412255.83"/>
    <x v="7"/>
    <n v="262819.78999999998"/>
    <n v="16738237.720000001"/>
    <d v="2016-04-08T16:33:36"/>
    <d v="2019-10-09T00:00:00"/>
    <s v="0704121199"/>
    <s v="0783201791"/>
    <s v=""/>
    <n v="102501"/>
    <s v="00100001782"/>
    <s v="Retail"/>
    <s v="Others"/>
    <s v="Others"/>
    <n v="11412255.83"/>
    <n v="0"/>
    <n v="0"/>
    <n v="1"/>
    <n v="0"/>
    <n v="0"/>
  </r>
  <r>
    <s v="ALICE NALWOGA"/>
    <x v="1"/>
    <n v="53"/>
    <n v="31027359.940000001"/>
    <x v="3"/>
    <n v="923012.83"/>
    <n v="47363142.310000002"/>
    <d v="2016-04-09T12:27:27"/>
    <d v="2020-04-01T00:00:00"/>
    <s v="0752811909"/>
    <s v=""/>
    <s v=""/>
    <n v="102505"/>
    <s v="00100001878"/>
    <s v="Real Estate and Rental"/>
    <s v="Rental"/>
    <s v="General Rental Centers"/>
    <n v="31027359.940000001"/>
    <n v="31027359.940000001"/>
    <n v="0"/>
    <n v="1"/>
    <n v="1"/>
    <n v="0"/>
  </r>
  <r>
    <s v="HARRIET NANSUBUGA"/>
    <x v="3"/>
    <n v="4"/>
    <n v="4562663.53"/>
    <x v="15"/>
    <n v="18218.86"/>
    <n v="5123510.95"/>
    <d v="2016-04-15T15:46:58"/>
    <d v="2018-04-20T00:00:00"/>
    <s v="0772919745"/>
    <s v=""/>
    <s v=""/>
    <n v="102513"/>
    <s v="00100003878"/>
    <s v="Real Estate and Rental"/>
    <s v="Rental"/>
    <s v="Others"/>
    <n v="4562663.53"/>
    <n v="0"/>
    <n v="0"/>
    <n v="1"/>
    <n v="0"/>
    <n v="0"/>
  </r>
  <r>
    <s v="TIMOTHY ALIDEKI KASULE KIBIRIGE"/>
    <x v="2"/>
    <n v="19"/>
    <n v="9462264.1300000008"/>
    <x v="12"/>
    <n v="168710.5"/>
    <n v="10322433.26"/>
    <d v="2016-04-15T16:10:10"/>
    <d v="2018-04-05T00:00:00"/>
    <s v="0772395684"/>
    <s v="0702395684"/>
    <s v=""/>
    <n v="102514"/>
    <s v="00100000930"/>
    <s v="Retail"/>
    <s v="Building Material and Garden Equipment"/>
    <s v="Cement Store"/>
    <n v="9462264.1300000008"/>
    <n v="0"/>
    <n v="0"/>
    <n v="1"/>
    <n v="0"/>
    <n v="0"/>
  </r>
  <r>
    <s v="TONNY BAYIMUSE"/>
    <x v="2"/>
    <n v="125"/>
    <n v="11930860.960000001"/>
    <x v="9"/>
    <n v="300929.06"/>
    <n v="12876264.390000001"/>
    <d v="2016-04-21T14:50:32"/>
    <d v="2017-12-19T00:00:00"/>
    <s v="0772558778"/>
    <s v="0700516588"/>
    <s v=""/>
    <n v="102521"/>
    <s v="00100003429"/>
    <s v="Educational Services"/>
    <s v="Educational Services"/>
    <s v="Others"/>
    <n v="11930860.960000001"/>
    <n v="11930860.960000001"/>
    <n v="11930860.960000001"/>
    <n v="1"/>
    <n v="1"/>
    <n v="1"/>
  </r>
  <r>
    <s v="MONICAH KATUSHABE"/>
    <x v="1"/>
    <n v="-29"/>
    <n v="31136888.829999998"/>
    <x v="3"/>
    <n v="954162.45"/>
    <n v="47057972.729999997"/>
    <d v="2016-04-23T12:12:45"/>
    <d v="2020-04-23T00:00:00"/>
    <s v="0772572469"/>
    <s v=""/>
    <s v=""/>
    <n v="102528"/>
    <s v="00100001813"/>
    <s v="Real Estate and Rental"/>
    <s v="Rental"/>
    <s v="Others"/>
    <n v="0"/>
    <n v="0"/>
    <n v="0"/>
    <n v="0"/>
    <n v="0"/>
    <n v="0"/>
  </r>
  <r>
    <s v="CAROLYN HOPE NABAASA"/>
    <x v="1"/>
    <n v="19"/>
    <n v="32108559.550000001"/>
    <x v="11"/>
    <n v="577499.88"/>
    <n v="49131259.700000003"/>
    <d v="2016-04-26T13:49:30"/>
    <d v="2020-05-05T00:00:00"/>
    <s v="0776171814"/>
    <s v="0704936360"/>
    <s v=""/>
    <n v="102531"/>
    <s v="00100001095"/>
    <s v="Real Estate and Rental"/>
    <s v="Rental"/>
    <s v="General Rental Centers"/>
    <n v="32108559.550000001"/>
    <n v="0"/>
    <n v="0"/>
    <n v="1"/>
    <n v="0"/>
    <n v="0"/>
  </r>
  <r>
    <s v="JANE BUJJUZA"/>
    <x v="1"/>
    <n v="49"/>
    <n v="6782563.1500000004"/>
    <x v="3"/>
    <n v="214014.95"/>
    <n v="7670491.75"/>
    <d v="2016-04-28T12:31:40"/>
    <d v="2018-05-05T00:00:00"/>
    <s v="0776765459"/>
    <s v=""/>
    <s v=""/>
    <n v="102539"/>
    <s v="00100000807"/>
    <s v="Retail"/>
    <s v="Furniture and Home Furnishings Stores"/>
    <s v="Others"/>
    <n v="6782563.1500000004"/>
    <n v="6782563.1500000004"/>
    <n v="0"/>
    <n v="1"/>
    <n v="1"/>
    <n v="0"/>
  </r>
  <r>
    <s v="VERERIYAN BYARUGABA"/>
    <x v="2"/>
    <n v="19"/>
    <n v="33251222.120000001"/>
    <x v="9"/>
    <n v="1275006.75"/>
    <n v="52870449.159999996"/>
    <d v="2016-04-28T14:47:46"/>
    <d v="2020-05-05T00:00:00"/>
    <s v="0702459333"/>
    <s v=""/>
    <s v=""/>
    <n v="102542"/>
    <s v="00100003883"/>
    <s v="Real Estate and Rental"/>
    <s v="Rental"/>
    <s v="Others"/>
    <n v="33251222.120000001"/>
    <n v="0"/>
    <n v="0"/>
    <n v="1"/>
    <n v="0"/>
    <n v="0"/>
  </r>
  <r>
    <s v="FLORENCE NABULYA"/>
    <x v="7"/>
    <n v="199"/>
    <n v="413493.89"/>
    <x v="7"/>
    <n v="16539.759999999998"/>
    <n v="430033.65"/>
    <d v="2016-04-28T16:25:11"/>
    <d v="2017-05-05T00:00:00"/>
    <s v="0754038313"/>
    <s v=""/>
    <s v=""/>
    <n v="102543"/>
    <s v="00100001694"/>
    <s v="Real Estate and Rental"/>
    <s v="Rental"/>
    <s v="General Rental Centers"/>
    <n v="413493.89"/>
    <n v="413493.89"/>
    <n v="413493.89"/>
    <n v="1"/>
    <n v="1"/>
    <n v="1"/>
  </r>
  <r>
    <s v="ANDREW KITYO MUGABI KATONGOLE"/>
    <x v="1"/>
    <n v="0"/>
    <n v="6691704.0499999998"/>
    <x v="1"/>
    <n v="215621.57"/>
    <n v="7493721.2000000002"/>
    <d v="2016-04-28T18:29:17"/>
    <d v="2018-04-24T00:00:00"/>
    <s v="0702507933"/>
    <s v="0772507933"/>
    <s v=""/>
    <n v="102544"/>
    <s v="00100003266"/>
    <s v="Real Estate and Rental"/>
    <s v="Real Estate"/>
    <s v="Real Estate"/>
    <n v="0"/>
    <n v="0"/>
    <n v="0"/>
    <n v="0"/>
    <n v="0"/>
    <n v="0"/>
  </r>
  <r>
    <s v="PAUL KISUULE KAWEMBA"/>
    <x v="1"/>
    <n v="0"/>
    <n v="19299402.359999999"/>
    <x v="1"/>
    <n v="559682.67000000004"/>
    <n v="29539236.32"/>
    <d v="2016-04-29T14:01:58"/>
    <d v="2020-04-24T00:00:00"/>
    <s v="0752637555"/>
    <s v="0730537555"/>
    <s v=""/>
    <n v="102546"/>
    <s v="00100003249"/>
    <s v="Educational Services"/>
    <s v="Others"/>
    <s v="Others"/>
    <n v="0"/>
    <n v="0"/>
    <n v="0"/>
    <n v="0"/>
    <n v="0"/>
    <n v="0"/>
  </r>
  <r>
    <s v="ANDREW KALANZI"/>
    <x v="2"/>
    <n v="23"/>
    <n v="32825576.800000001"/>
    <x v="16"/>
    <n v="694304.94"/>
    <n v="42569721.420000002"/>
    <d v="2016-04-29T15:32:30"/>
    <d v="2019-05-01T00:00:00"/>
    <s v="0782135267"/>
    <s v="0752135267"/>
    <s v=""/>
    <n v="102547"/>
    <s v="00100000111"/>
    <s v="Retail"/>
    <s v="General Merchandise Stores"/>
    <s v="General Stores"/>
    <n v="32825576.800000001"/>
    <n v="0"/>
    <n v="0"/>
    <n v="1"/>
    <n v="0"/>
    <n v="0"/>
  </r>
  <r>
    <s v="RUKOOGE ENTERPRISES (U) LTD"/>
    <x v="2"/>
    <n v="169"/>
    <n v="4124940.56"/>
    <x v="7"/>
    <n v="0"/>
    <n v="4124940.56"/>
    <d v="2016-04-30T11:04:58"/>
    <d v="2017-06-05T00:00:00"/>
    <s v="0772996845"/>
    <s v=""/>
    <s v=""/>
    <n v="102550"/>
    <s v="00100000064"/>
    <s v="Construction"/>
    <s v="Construction of Buildings"/>
    <s v="Nonresidential Construction"/>
    <n v="4124940.56"/>
    <n v="4124940.56"/>
    <n v="4124940.56"/>
    <n v="1"/>
    <n v="1"/>
    <n v="1"/>
  </r>
  <r>
    <s v="GRACE NGABO NABUKENYA"/>
    <x v="8"/>
    <n v="138"/>
    <n v="3794918.66"/>
    <x v="5"/>
    <n v="302901.45"/>
    <n v="4807979.0599999996"/>
    <d v="2016-04-30T13:04:51"/>
    <d v="2018-05-06T00:00:00"/>
    <s v="0782707474"/>
    <s v=""/>
    <s v="0750308492"/>
    <n v="102552"/>
    <s v="00100003897"/>
    <s v="Real Estate and Rental"/>
    <s v="Rental"/>
    <s v="Others"/>
    <n v="3794918.66"/>
    <n v="3794918.66"/>
    <n v="3794918.66"/>
    <n v="1"/>
    <n v="1"/>
    <n v="1"/>
  </r>
  <r>
    <s v="JOHN SSALI KAFEERO"/>
    <x v="1"/>
    <n v="16"/>
    <n v="28415483.350000001"/>
    <x v="11"/>
    <n v="1411149.87"/>
    <n v="46012567.509999998"/>
    <d v="2016-04-30T16:35:25"/>
    <d v="2020-05-08T00:00:00"/>
    <s v="0774776734"/>
    <s v=""/>
    <s v=""/>
    <n v="102558"/>
    <s v="00100002549"/>
    <s v="Retail"/>
    <s v="Motor Vehicle and Parts Dealers"/>
    <s v="Others"/>
    <n v="28415483.350000001"/>
    <n v="0"/>
    <n v="0"/>
    <n v="1"/>
    <n v="0"/>
    <n v="0"/>
  </r>
  <r>
    <s v="ABDALA NTWANTWA"/>
    <x v="2"/>
    <n v="77"/>
    <n v="31305614.719999999"/>
    <x v="7"/>
    <n v="1890834"/>
    <n v="49721750.030000001"/>
    <d v="2016-04-30T19:17:45"/>
    <d v="2020-05-07T00:00:00"/>
    <s v="0772407836"/>
    <s v=""/>
    <s v=""/>
    <n v="102561"/>
    <s v="00100003234"/>
    <s v="Retail"/>
    <s v="General Merchandise Stores"/>
    <s v="Others"/>
    <n v="31305614.719999999"/>
    <n v="31305614.719999999"/>
    <n v="0"/>
    <n v="1"/>
    <n v="1"/>
    <n v="0"/>
  </r>
  <r>
    <s v="HELLEN NABWAMI"/>
    <x v="7"/>
    <n v="198"/>
    <n v="409816.06"/>
    <x v="9"/>
    <n v="16392.64"/>
    <n v="426208.7"/>
    <d v="2016-05-06T13:37:12"/>
    <d v="2017-05-06T00:00:00"/>
    <s v="0758883853"/>
    <s v=""/>
    <s v=""/>
    <n v="102567"/>
    <s v="00100002987"/>
    <s v="Real Estate and Rental"/>
    <s v="Real Estate"/>
    <s v="Real Estate"/>
    <n v="409816.06"/>
    <n v="409816.06"/>
    <n v="409816.06"/>
    <n v="1"/>
    <n v="1"/>
    <n v="1"/>
  </r>
  <r>
    <s v="PETER BYAKATONDA"/>
    <x v="1"/>
    <n v="129"/>
    <n v="42851075.539999999"/>
    <x v="3"/>
    <n v="2546748.75"/>
    <n v="69799054.439999998"/>
    <d v="2016-05-07T11:36:17"/>
    <d v="2020-05-15T00:00:00"/>
    <s v="0772458646"/>
    <s v=""/>
    <s v=""/>
    <n v="102569"/>
    <s v="00100003090"/>
    <s v="Educational Services"/>
    <s v="Educational Services"/>
    <s v="Others"/>
    <n v="42851075.539999999"/>
    <n v="42851075.539999999"/>
    <n v="42851075.539999999"/>
    <n v="1"/>
    <n v="1"/>
    <n v="1"/>
  </r>
  <r>
    <s v="RICHARD SSIMBWA"/>
    <x v="0"/>
    <n v="197"/>
    <n v="6125013.7699999996"/>
    <x v="7"/>
    <n v="208151.17"/>
    <n v="6903273.46"/>
    <d v="2016-05-07T12:55:08"/>
    <d v="2017-11-07T00:00:00"/>
    <s v="0757604422"/>
    <s v="0786196944"/>
    <s v=""/>
    <n v="102570"/>
    <s v="00100002156"/>
    <s v="Retail"/>
    <s v="General Merchandise Stores"/>
    <s v="General Stores"/>
    <n v="6125013.7699999996"/>
    <n v="6125013.7699999996"/>
    <n v="6125013.7699999996"/>
    <n v="1"/>
    <n v="1"/>
    <n v="1"/>
  </r>
  <r>
    <s v="ROBERT KALYANGO"/>
    <x v="3"/>
    <n v="-21"/>
    <n v="6681366.0800000001"/>
    <x v="9"/>
    <n v="62359.42"/>
    <n v="7523280.0300000003"/>
    <d v="2016-05-09T11:49:02"/>
    <d v="2018-05-15T00:00:00"/>
    <s v="0701854378"/>
    <s v="0788668676"/>
    <s v=""/>
    <n v="102571"/>
    <s v="00100000289"/>
    <s v="Retail"/>
    <s v="Electronics Stores"/>
    <s v="Others"/>
    <n v="0"/>
    <n v="0"/>
    <n v="0"/>
    <n v="0"/>
    <n v="0"/>
    <n v="0"/>
  </r>
  <r>
    <s v="RICHARD MAYENGO"/>
    <x v="2"/>
    <n v="164"/>
    <n v="24709811.829999998"/>
    <x v="7"/>
    <n v="1443803.19"/>
    <n v="29788790.739999998"/>
    <d v="2016-05-09T18:52:49"/>
    <d v="2018-05-10T00:00:00"/>
    <s v="0752612826"/>
    <s v=""/>
    <s v=""/>
    <n v="102575"/>
    <s v="00100003024"/>
    <s v="Wholesale Trade"/>
    <s v="Durable Goods"/>
    <s v="Others"/>
    <n v="24709811.829999998"/>
    <n v="24709811.829999998"/>
    <n v="24709811.829999998"/>
    <n v="1"/>
    <n v="1"/>
    <n v="1"/>
  </r>
  <r>
    <s v="ROGERS GOLOOBA"/>
    <x v="4"/>
    <n v="14"/>
    <n v="9590763.6799999997"/>
    <x v="15"/>
    <n v="314862.77"/>
    <n v="13645322.310000001"/>
    <d v="2016-05-10T15:59:33"/>
    <d v="2019-05-10T00:00:00"/>
    <s v="0772540367"/>
    <s v="0750686063"/>
    <s v=""/>
    <n v="102579"/>
    <s v="00100002651"/>
    <s v="Real Estate and Rental"/>
    <s v="Rental"/>
    <s v="Others"/>
    <n v="9590763.6799999997"/>
    <n v="0"/>
    <n v="0"/>
    <n v="1"/>
    <n v="0"/>
    <n v="0"/>
  </r>
  <r>
    <s v="STEPHEN MATOVU"/>
    <x v="4"/>
    <n v="39"/>
    <n v="9057587.5299999993"/>
    <x v="8"/>
    <n v="597800.02"/>
    <n v="10541339.65"/>
    <d v="2016-05-10T18:14:34"/>
    <d v="2018-05-15T00:00:00"/>
    <s v="0701032030"/>
    <s v="0772464654"/>
    <s v=""/>
    <n v="102581"/>
    <s v="00100001955"/>
    <s v="Retail"/>
    <s v="Motor Vehicle and Parts Dealers"/>
    <s v="Automotive Parts, Accessories, &amp; Tire Stores"/>
    <n v="9057587.5299999993"/>
    <n v="9057587.5299999993"/>
    <n v="0"/>
    <n v="1"/>
    <n v="1"/>
    <n v="0"/>
  </r>
  <r>
    <s v="MOHAMMED NJAGALA"/>
    <x v="1"/>
    <n v="-17"/>
    <n v="32170744.59"/>
    <x v="1"/>
    <n v="428943.26"/>
    <n v="43299135.920000002"/>
    <d v="2016-05-11T13:57:23"/>
    <d v="2019-05-11T00:00:00"/>
    <s v="0772520781"/>
    <s v=""/>
    <s v="0701520781"/>
    <n v="102583"/>
    <s v="00100003895"/>
    <s v="Real Estate and Rental"/>
    <s v="Rental"/>
    <s v="General Rental Centers"/>
    <n v="0"/>
    <n v="0"/>
    <n v="0"/>
    <n v="0"/>
    <n v="0"/>
    <n v="0"/>
  </r>
  <r>
    <s v="JOHN HENRY SSERWANIKO"/>
    <x v="2"/>
    <n v="1"/>
    <n v="24775096.48"/>
    <x v="9"/>
    <n v="743252.89"/>
    <n v="38398781.719999999"/>
    <d v="2016-05-13T12:45:09"/>
    <d v="2020-05-23T00:00:00"/>
    <s v="0703681501"/>
    <s v="0752425394"/>
    <s v=""/>
    <n v="102585"/>
    <s v="00100000463"/>
    <s v="Real Estate and Rental"/>
    <s v="Real Estate"/>
    <s v="Real Estate"/>
    <n v="24775096.48"/>
    <n v="0"/>
    <n v="0"/>
    <n v="1"/>
    <n v="0"/>
    <n v="0"/>
  </r>
  <r>
    <s v="ANGELLA NAKIGONYA"/>
    <x v="1"/>
    <n v="-23"/>
    <n v="23831949.239999998"/>
    <x v="11"/>
    <n v="158879.66"/>
    <n v="32075813.68"/>
    <d v="2016-05-16T17:36:25"/>
    <d v="2019-05-17T00:00:00"/>
    <s v="0752322721"/>
    <s v=""/>
    <s v=""/>
    <n v="102589"/>
    <s v="00100003799"/>
    <s v="Retail"/>
    <s v="Building Material and Garden Equipment"/>
    <s v="Hardware Stores"/>
    <n v="0"/>
    <n v="0"/>
    <n v="0"/>
    <n v="0"/>
    <n v="0"/>
    <n v="0"/>
  </r>
  <r>
    <s v="JOSEPH BYAMUGISHA"/>
    <x v="0"/>
    <n v="35"/>
    <n v="954818.3"/>
    <x v="10"/>
    <n v="29444.62"/>
    <n v="985278.25"/>
    <d v="2016-05-17T13:29:33"/>
    <d v="2017-11-19T00:00:00"/>
    <s v="0772499771"/>
    <s v="0702499771"/>
    <s v=""/>
    <n v="102592"/>
    <s v="00100001926"/>
    <s v="Educational Services"/>
    <s v="Educational Services"/>
    <s v="Schools"/>
    <n v="954818.3"/>
    <n v="954818.3"/>
    <n v="0"/>
    <n v="1"/>
    <n v="1"/>
    <n v="0"/>
  </r>
  <r>
    <s v="RICHARD SALONGO GINGO"/>
    <x v="1"/>
    <n v="0"/>
    <n v="20691148.239999998"/>
    <x v="3"/>
    <n v="600043.30000000005"/>
    <n v="29706214.719999999"/>
    <d v="2016-05-18T17:10:26"/>
    <d v="2019-11-24T00:00:00"/>
    <s v="0772460729"/>
    <s v="0701460729"/>
    <s v=""/>
    <n v="102596"/>
    <s v="00100003190"/>
    <s v="Real Estate and Rental"/>
    <s v="Rental"/>
    <s v="Others"/>
    <n v="0"/>
    <n v="0"/>
    <n v="0"/>
    <n v="0"/>
    <n v="0"/>
    <n v="0"/>
  </r>
  <r>
    <s v="SARAH NANDAWULA"/>
    <x v="2"/>
    <n v="-11"/>
    <n v="23744478.52"/>
    <x v="13"/>
    <n v="427400.61"/>
    <n v="36342771.380000003"/>
    <d v="2016-05-18T17:40:20"/>
    <d v="2020-05-05T00:00:00"/>
    <s v="0772461159"/>
    <s v="0701461156"/>
    <s v=""/>
    <n v="102598"/>
    <s v="00100003725"/>
    <s v="Real Estate and Rental"/>
    <s v="Real Estate"/>
    <s v="Real Estate"/>
    <n v="0"/>
    <n v="0"/>
    <n v="0"/>
    <n v="0"/>
    <n v="0"/>
    <n v="0"/>
  </r>
  <r>
    <s v="ROGERS MUGISHA BUHIIRE"/>
    <x v="3"/>
    <n v="36"/>
    <n v="8561213.2300000004"/>
    <x v="8"/>
    <n v="565039.35999999999"/>
    <n v="9963652.6999999993"/>
    <d v="2016-05-18T18:03:04"/>
    <d v="2018-05-18T00:00:00"/>
    <s v="0706119592"/>
    <s v=""/>
    <s v=""/>
    <n v="102599"/>
    <s v="00100001103"/>
    <s v="Real Estate and Rental"/>
    <s v="Real Estate"/>
    <s v="Real Estate"/>
    <n v="8561213.2300000004"/>
    <n v="8561213.2300000004"/>
    <n v="0"/>
    <n v="1"/>
    <n v="1"/>
    <n v="0"/>
  </r>
  <r>
    <s v="BRIAN TUMWIJUKYE"/>
    <x v="3"/>
    <n v="-26"/>
    <n v="5329134.6500000004"/>
    <x v="9"/>
    <n v="21316.54"/>
    <n v="6099575.1900000004"/>
    <d v="2016-05-20T13:43:35"/>
    <d v="2018-05-20T00:00:00"/>
    <s v="0774953989"/>
    <s v="0791555777"/>
    <s v=""/>
    <n v="102602"/>
    <s v="00100003879"/>
    <s v="Transportation and Warehousing"/>
    <s v=" Passenger Transportation"/>
    <s v="Taxi service"/>
    <n v="0"/>
    <n v="0"/>
    <n v="0"/>
    <n v="0"/>
    <n v="0"/>
    <n v="0"/>
  </r>
  <r>
    <s v="GODFREY LUBEGA"/>
    <x v="2"/>
    <n v="4"/>
    <n v="16531356.49"/>
    <x v="4"/>
    <n v="46467.9"/>
    <n v="19715105.120000001"/>
    <d v="2016-05-20T18:35:18"/>
    <d v="2018-11-20T00:00:00"/>
    <s v="0752638464"/>
    <s v=""/>
    <s v=""/>
    <n v="102605"/>
    <s v="00100001999"/>
    <s v="Real Estate and Rental"/>
    <s v="Real Estate"/>
    <s v="Real Estate"/>
    <n v="16531356.49"/>
    <n v="0"/>
    <n v="0"/>
    <n v="1"/>
    <n v="0"/>
    <n v="0"/>
  </r>
  <r>
    <s v="SAMSON WILBERFORCE KIYINGI"/>
    <x v="2"/>
    <n v="-1"/>
    <n v="20417599.690000001"/>
    <x v="19"/>
    <n v="571692.79"/>
    <n v="27083205.48"/>
    <d v="2016-05-21T13:20:37"/>
    <d v="2019-05-25T00:00:00"/>
    <s v="0772368976"/>
    <s v=""/>
    <s v="0704985953"/>
    <n v="102607"/>
    <s v="00100003572"/>
    <s v="Real Estate and Rental"/>
    <s v="Real Estate"/>
    <s v="Others"/>
    <n v="0"/>
    <n v="0"/>
    <n v="0"/>
    <n v="0"/>
    <n v="0"/>
    <n v="0"/>
  </r>
  <r>
    <s v="ENID MELISA KABAHENDA"/>
    <x v="0"/>
    <n v="123"/>
    <n v="8898075.0199999996"/>
    <x v="8"/>
    <n v="362934.77"/>
    <n v="11289588.140000001"/>
    <d v="2016-05-21T13:41:54"/>
    <d v="2019-05-21T00:00:00"/>
    <s v="0702826059"/>
    <s v=""/>
    <s v=""/>
    <n v="102608"/>
    <s v="00100002314"/>
    <s v="Finance and Insurance"/>
    <s v="Finance"/>
    <s v="Microfinance Institutions"/>
    <n v="8898075.0199999996"/>
    <n v="8898075.0199999996"/>
    <n v="8898075.0199999996"/>
    <n v="1"/>
    <n v="1"/>
    <n v="1"/>
  </r>
  <r>
    <s v="BANABUS KATIMBO"/>
    <x v="3"/>
    <n v="123"/>
    <n v="5400586.4299999997"/>
    <x v="4"/>
    <n v="171851.34"/>
    <n v="5853741.4400000004"/>
    <d v="2016-05-21T13:58:02"/>
    <d v="2017-11-21T00:00:00"/>
    <s v="0753513592"/>
    <s v=""/>
    <s v=""/>
    <n v="102609"/>
    <s v="00100003001"/>
    <s v="Manufacturing"/>
    <s v="Fabricated Metal Product Manufacturing"/>
    <s v="Architectural &amp; Structural Metals"/>
    <n v="5400586.4299999997"/>
    <n v="5400586.4299999997"/>
    <n v="5400586.4299999997"/>
    <n v="1"/>
    <n v="1"/>
    <n v="1"/>
  </r>
  <r>
    <s v="FARIDAH NAMAKULA"/>
    <x v="1"/>
    <n v="21"/>
    <n v="40735858.659999996"/>
    <x v="1"/>
    <n v="1312101.53"/>
    <n v="63222449.880000003"/>
    <d v="2016-05-23T13:06:36"/>
    <d v="2020-06-03T00:00:00"/>
    <s v="0752371967"/>
    <s v="0787995706"/>
    <s v=""/>
    <n v="102611"/>
    <s v="00100003679"/>
    <s v="Retail"/>
    <s v="General Merchandise Stores"/>
    <s v="Others"/>
    <n v="40735858.659999996"/>
    <n v="0"/>
    <n v="0"/>
    <n v="1"/>
    <n v="0"/>
    <n v="0"/>
  </r>
  <r>
    <s v="JAFFER KIWANUKA LUTALO"/>
    <x v="1"/>
    <n v="-7"/>
    <n v="43070421.020000003"/>
    <x v="3"/>
    <n v="947549.26"/>
    <n v="66757722.359999999"/>
    <d v="2016-05-24T10:03:59"/>
    <d v="2020-06-01T00:00:00"/>
    <s v="0753333447"/>
    <s v=""/>
    <s v=""/>
    <n v="102613"/>
    <s v="00100002771"/>
    <s v="Real Estate and Rental"/>
    <s v="Real Estate"/>
    <s v="Real Estate"/>
    <n v="0"/>
    <n v="0"/>
    <n v="0"/>
    <n v="0"/>
    <n v="0"/>
    <n v="0"/>
  </r>
  <r>
    <s v="DAVID M KIKULWE"/>
    <x v="3"/>
    <n v="22"/>
    <n v="18153043.07"/>
    <x v="5"/>
    <n v="725308.91"/>
    <n v="26714653.609999999"/>
    <d v="2016-05-24T18:10:37"/>
    <d v="2019-06-02T00:00:00"/>
    <s v="0772511951"/>
    <s v=""/>
    <s v=""/>
    <n v="102615"/>
    <s v="00100003787"/>
    <s v="Health Care"/>
    <s v="Health Care"/>
    <s v="Offices of Dentists"/>
    <n v="18153043.07"/>
    <n v="0"/>
    <n v="0"/>
    <n v="1"/>
    <n v="0"/>
    <n v="0"/>
  </r>
  <r>
    <s v="NTEGE LUBWAMA"/>
    <x v="0"/>
    <n v="89"/>
    <n v="597121.59"/>
    <x v="20"/>
    <n v="27674.19"/>
    <n v="597121.59"/>
    <d v="2016-05-25T09:45:17"/>
    <d v="2017-08-25T00:00:00"/>
    <s v="0772688494"/>
    <s v="0752688494"/>
    <s v=""/>
    <n v="102616"/>
    <s v="00100001536"/>
    <s v="Real Estate and Rental"/>
    <s v="Real Estate"/>
    <s v="Others"/>
    <n v="597121.59"/>
    <n v="597121.59"/>
    <n v="0"/>
    <n v="1"/>
    <n v="1"/>
    <n v="0"/>
  </r>
  <r>
    <s v="ARERABETH HAKIZA"/>
    <x v="8"/>
    <n v="83"/>
    <n v="269587.37"/>
    <x v="5"/>
    <n v="0"/>
    <n v="269587.37"/>
    <d v="2016-05-25T12:06:47"/>
    <d v="2017-09-01T00:00:00"/>
    <s v="0774163817"/>
    <s v=""/>
    <s v=""/>
    <n v="102618"/>
    <s v="00100000371"/>
    <s v="Real Estate and Rental"/>
    <s v="Real Estate"/>
    <s v="Real Estate"/>
    <n v="269587.37"/>
    <n v="269587.37"/>
    <n v="0"/>
    <n v="1"/>
    <n v="1"/>
    <n v="0"/>
  </r>
  <r>
    <s v="FLAVIA SSUUNA"/>
    <x v="3"/>
    <n v="-11"/>
    <n v="17082354.920000002"/>
    <x v="4"/>
    <n v="358729.45"/>
    <n v="23673857.940000001"/>
    <d v="2016-05-25T13:35:27"/>
    <d v="2019-06-05T00:00:00"/>
    <s v="0772429500"/>
    <s v="0702429500"/>
    <s v=""/>
    <n v="102619"/>
    <s v="00100000775"/>
    <s v="Retail"/>
    <s v="Building Material and Garden Equipment"/>
    <s v="Others"/>
    <n v="0"/>
    <n v="0"/>
    <n v="0"/>
    <n v="0"/>
    <n v="0"/>
    <n v="0"/>
  </r>
  <r>
    <s v="PROMISE AGABA"/>
    <x v="3"/>
    <n v="53"/>
    <n v="9091104.7799999993"/>
    <x v="4"/>
    <n v="664713.78"/>
    <n v="10977187.439999999"/>
    <d v="2016-05-25T15:43:46"/>
    <d v="2018-06-01T00:00:00"/>
    <s v="0782640417"/>
    <s v=""/>
    <s v=""/>
    <n v="102620"/>
    <s v="00100003008"/>
    <s v="Retail"/>
    <s v="General Merchandise Stores"/>
    <s v="General Stores"/>
    <n v="9091104.7799999993"/>
    <n v="9091104.7799999993"/>
    <n v="0"/>
    <n v="1"/>
    <n v="1"/>
    <n v="0"/>
  </r>
  <r>
    <s v="DARLINGTON MUGABE"/>
    <x v="2"/>
    <n v="23"/>
    <n v="11820208.539999999"/>
    <x v="5"/>
    <n v="251869.95"/>
    <n v="13234624.01"/>
    <d v="2016-05-27T16:08:54"/>
    <d v="2018-06-01T00:00:00"/>
    <s v="0776814170"/>
    <s v="0701814170"/>
    <s v="0712814170"/>
    <n v="102626"/>
    <s v="00100000120"/>
    <s v="Retail"/>
    <s v="Building Material and Garden Equipment"/>
    <s v="Hardware Stores"/>
    <n v="11820208.539999999"/>
    <n v="0"/>
    <n v="0"/>
    <n v="1"/>
    <n v="0"/>
    <n v="0"/>
  </r>
  <r>
    <s v="DOROTHY O KHADUYU"/>
    <x v="3"/>
    <n v="203"/>
    <n v="10535979.98"/>
    <x v="8"/>
    <n v="401168.79"/>
    <n v="13604286.699999999"/>
    <d v="2016-05-30T13:21:34"/>
    <d v="2018-06-01T00:00:00"/>
    <s v="0778525203"/>
    <s v="0771908707"/>
    <s v=""/>
    <n v="102630"/>
    <s v="00100003931"/>
    <s v="Retail"/>
    <s v="Food and Beverage Stores"/>
    <s v="Grocery"/>
    <n v="10535979.98"/>
    <n v="10535979.98"/>
    <n v="10535979.98"/>
    <n v="1"/>
    <n v="1"/>
    <n v="1"/>
  </r>
  <r>
    <s v="MOLLY MAJORIE NKAMUHABWA"/>
    <x v="0"/>
    <n v="19"/>
    <n v="1704219.93"/>
    <x v="10"/>
    <n v="23035.599999999999"/>
    <n v="1742612.59"/>
    <d v="2016-05-30T15:31:26"/>
    <d v="2017-12-05T00:00:00"/>
    <s v="0775542132"/>
    <s v=""/>
    <s v=""/>
    <n v="102631"/>
    <s v="00100003278"/>
    <s v="Retail"/>
    <s v="Building Material and Garden Equipment"/>
    <s v="Hardware Stores"/>
    <n v="1704219.93"/>
    <n v="0"/>
    <n v="0"/>
    <n v="1"/>
    <n v="0"/>
    <n v="0"/>
  </r>
  <r>
    <s v="SULAIMAN WASSWA"/>
    <x v="1"/>
    <n v="-11"/>
    <n v="18483397.329999998"/>
    <x v="2"/>
    <n v="332701.15000000002"/>
    <n v="20766918.989999998"/>
    <d v="2016-05-30T16:54:18"/>
    <d v="2018-06-05T00:00:00"/>
    <s v="0772403704"/>
    <s v=""/>
    <s v=""/>
    <n v="102632"/>
    <s v="00100002619"/>
    <s v="Retail"/>
    <s v="Motor Vehicle and Parts Dealers"/>
    <s v="Automotive Parts, Accessories, &amp; Tire Stores"/>
    <n v="0"/>
    <n v="0"/>
    <n v="0"/>
    <n v="0"/>
    <n v="0"/>
    <n v="0"/>
  </r>
  <r>
    <s v="MUZAMIRU NYANZI"/>
    <x v="2"/>
    <n v="14"/>
    <n v="34218121.240000002"/>
    <x v="12"/>
    <n v="1428917.09"/>
    <n v="53668573.380000003"/>
    <d v="2016-05-30T17:24:06"/>
    <d v="2020-06-10T00:00:00"/>
    <s v="0702102814"/>
    <s v=""/>
    <s v=""/>
    <n v="102633"/>
    <s v="00100002585"/>
    <s v="Retail"/>
    <s v="Others"/>
    <s v="Others"/>
    <n v="34218121.240000002"/>
    <n v="0"/>
    <n v="0"/>
    <n v="1"/>
    <n v="0"/>
    <n v="0"/>
  </r>
  <r>
    <s v="PAUL KIRABIRA"/>
    <x v="2"/>
    <n v="19"/>
    <n v="32782919.98"/>
    <x v="4"/>
    <n v="1562340.89"/>
    <n v="51452523.460000001"/>
    <d v="2016-05-31T13:47:48"/>
    <d v="2020-06-05T00:00:00"/>
    <s v="0772406324"/>
    <s v=""/>
    <s v=""/>
    <n v="102634"/>
    <s v="00100002826"/>
    <s v="Transportation and Warehousing"/>
    <s v="Warehousing and Storage"/>
    <s v="Warehousing and Storage"/>
    <n v="32782919.98"/>
    <n v="0"/>
    <n v="0"/>
    <n v="1"/>
    <n v="0"/>
    <n v="0"/>
  </r>
  <r>
    <s v="BETTY NAKAZIBWE"/>
    <x v="1"/>
    <n v="-7"/>
    <n v="32836066.149999999"/>
    <x v="2"/>
    <n v="722393.46"/>
    <n v="43555850.850000001"/>
    <d v="2016-05-31T16:45:44"/>
    <d v="2019-06-01T00:00:00"/>
    <s v="0784618449"/>
    <s v="0702551585"/>
    <s v=""/>
    <n v="102636"/>
    <s v="00100003601"/>
    <s v="Real Estate and Rental"/>
    <s v="Rental"/>
    <s v="Others"/>
    <n v="0"/>
    <n v="0"/>
    <n v="0"/>
    <n v="0"/>
    <n v="0"/>
    <n v="0"/>
  </r>
  <r>
    <s v="FRED MUGERWA"/>
    <x v="5"/>
    <n v="14"/>
    <n v="12523393.949999999"/>
    <x v="1"/>
    <n v="532447.06999999995"/>
    <n v="16835375.670000002"/>
    <d v="2016-05-31T17:27:19"/>
    <d v="2019-06-10T00:00:00"/>
    <s v="0701643090"/>
    <s v="0774643090"/>
    <s v=""/>
    <n v="102637"/>
    <s v="00100002027"/>
    <s v="Real Estate and Rental"/>
    <s v="Rental"/>
    <s v="Others"/>
    <n v="12523393.949999999"/>
    <n v="0"/>
    <n v="0"/>
    <n v="1"/>
    <n v="0"/>
    <n v="0"/>
  </r>
  <r>
    <s v="FRED LUKYAMUZI"/>
    <x v="2"/>
    <n v="-11"/>
    <n v="33849774.689999998"/>
    <x v="4"/>
    <n v="609295.93999999994"/>
    <n v="52466026.789999999"/>
    <d v="2016-05-31T19:40:23"/>
    <d v="2020-06-05T00:00:00"/>
    <s v="0772913122"/>
    <s v=""/>
    <s v=""/>
    <n v="102642"/>
    <s v="00100001314"/>
    <s v="Real Estate and Rental"/>
    <s v="Real Estate"/>
    <s v="Real Estate"/>
    <n v="0"/>
    <n v="0"/>
    <n v="0"/>
    <n v="0"/>
    <n v="0"/>
    <n v="0"/>
  </r>
  <r>
    <s v="DAVID KIMBOWA MUVUUMA"/>
    <x v="3"/>
    <n v="-11"/>
    <n v="16319497.07"/>
    <x v="4"/>
    <n v="342709.44"/>
    <n v="27001332.18"/>
    <d v="2016-05-31T20:17:50"/>
    <d v="2020-06-05T00:00:00"/>
    <s v="0772582365"/>
    <s v="0700151318"/>
    <s v=""/>
    <n v="102644"/>
    <s v="00100001337"/>
    <s v="Real Estate and Rental"/>
    <s v="Rental"/>
    <s v="Others"/>
    <n v="0"/>
    <n v="0"/>
    <n v="0"/>
    <n v="0"/>
    <n v="0"/>
    <n v="0"/>
  </r>
  <r>
    <s v="ABDUL MUYINGO"/>
    <x v="1"/>
    <n v="-12"/>
    <n v="33362207.190000001"/>
    <x v="1"/>
    <n v="567157.52"/>
    <n v="55685864.130000003"/>
    <d v="2016-06-06T12:01:28"/>
    <d v="2020-12-06T00:00:00"/>
    <s v="0772642910"/>
    <s v=""/>
    <s v=""/>
    <n v="102649"/>
    <s v="00100002266"/>
    <s v="Real Estate and Rental"/>
    <s v="Real Estate"/>
    <s v="Real Estate"/>
    <n v="0"/>
    <n v="0"/>
    <n v="0"/>
    <n v="0"/>
    <n v="0"/>
    <n v="0"/>
  </r>
  <r>
    <s v="JAMES SETTUBA"/>
    <x v="4"/>
    <n v="9"/>
    <n v="32117727.530000001"/>
    <x v="14"/>
    <n v="1215579.78"/>
    <n v="50408509.340000004"/>
    <d v="2016-06-06T16:42:05"/>
    <d v="2020-06-15T00:00:00"/>
    <s v="0772998782"/>
    <s v="0704486960"/>
    <s v=""/>
    <n v="102651"/>
    <s v="00100002394"/>
    <s v="Retail"/>
    <s v="General Merchandise Stores"/>
    <s v="General Stores"/>
    <n v="32117727.530000001"/>
    <n v="0"/>
    <n v="0"/>
    <n v="1"/>
    <n v="0"/>
    <n v="0"/>
  </r>
  <r>
    <s v="MICHEAL GITA"/>
    <x v="2"/>
    <n v="-14"/>
    <n v="12914223.6"/>
    <x v="16"/>
    <n v="193713.35"/>
    <n v="14509704.59"/>
    <d v="2016-06-07T13:48:37"/>
    <d v="2018-06-08T00:00:00"/>
    <s v="0701634045"/>
    <s v="0782757207"/>
    <s v=""/>
    <n v="102652"/>
    <s v="00100000649"/>
    <s v="Real Estate and Rental"/>
    <s v="Real Estate"/>
    <s v="Others"/>
    <n v="0"/>
    <n v="0"/>
    <n v="0"/>
    <n v="0"/>
    <n v="0"/>
    <n v="0"/>
  </r>
  <r>
    <s v="MICHEAL MUKHOLI"/>
    <x v="0"/>
    <n v="132"/>
    <n v="1613790.34"/>
    <x v="7"/>
    <n v="46150.66"/>
    <n v="1685871.49"/>
    <d v="2016-06-08T16:56:59"/>
    <d v="2017-09-12T00:00:00"/>
    <s v="0782652178"/>
    <s v="0701652178"/>
    <s v=""/>
    <n v="102653"/>
    <s v="00100000566"/>
    <s v="Retail"/>
    <s v="General Merchandise Stores"/>
    <s v="Others"/>
    <n v="1613790.34"/>
    <n v="1613790.34"/>
    <n v="1613790.34"/>
    <n v="1"/>
    <n v="1"/>
    <n v="1"/>
  </r>
  <r>
    <s v="LAWRENCE BARYAGASHA"/>
    <x v="2"/>
    <n v="14"/>
    <n v="18337097.82"/>
    <x v="5"/>
    <n v="220420.67"/>
    <n v="20431848.34"/>
    <d v="2016-06-08T17:41:05"/>
    <d v="2018-06-10T00:00:00"/>
    <s v="0775976071"/>
    <s v=""/>
    <s v=""/>
    <n v="102655"/>
    <s v="00100000262"/>
    <s v="Retail"/>
    <s v="General Merchandise Stores"/>
    <s v="Others"/>
    <n v="18337097.82"/>
    <n v="0"/>
    <n v="0"/>
    <n v="1"/>
    <n v="0"/>
    <n v="0"/>
  </r>
  <r>
    <s v="PROSSY KIIZA"/>
    <x v="1"/>
    <n v="9"/>
    <n v="23337204.469999999"/>
    <x v="1"/>
    <n v="184595.38"/>
    <n v="30870166.68"/>
    <d v="2016-06-10T16:52:04"/>
    <d v="2019-06-15T00:00:00"/>
    <s v="0772961002"/>
    <s v=""/>
    <s v=""/>
    <n v="102658"/>
    <s v="00100001631"/>
    <s v="Real Estate and Rental"/>
    <s v="Rental"/>
    <s v="Others"/>
    <n v="23337204.469999999"/>
    <n v="0"/>
    <n v="0"/>
    <n v="1"/>
    <n v="0"/>
    <n v="0"/>
  </r>
  <r>
    <s v="GRACE KOMUGISHA"/>
    <x v="2"/>
    <n v="68"/>
    <n v="10731396.800000001"/>
    <x v="12"/>
    <n v="287900.51"/>
    <n v="11306292.859999999"/>
    <d v="2016-06-13T16:06:48"/>
    <d v="2017-12-16T00:00:00"/>
    <s v="0772448395"/>
    <s v="0701448395"/>
    <s v=""/>
    <n v="102661"/>
    <s v="00100000200"/>
    <s v="Retail"/>
    <s v="Building Material and Garden Equipment"/>
    <s v="Others"/>
    <n v="10731396.800000001"/>
    <n v="10731396.800000001"/>
    <n v="0"/>
    <n v="1"/>
    <n v="1"/>
    <n v="0"/>
  </r>
  <r>
    <s v="FREDRICK KIWANUKA"/>
    <x v="3"/>
    <n v="-20"/>
    <n v="15118720.9"/>
    <x v="9"/>
    <n v="158746.57"/>
    <n v="21601149.440000001"/>
    <d v="2016-06-14T15:19:44"/>
    <d v="2019-08-14T00:00:00"/>
    <s v="0772507389"/>
    <s v="0772539519"/>
    <s v=""/>
    <n v="102663"/>
    <s v="00100001821"/>
    <s v="Real Estate and Rental"/>
    <s v="Real Estate"/>
    <s v="Real Estate"/>
    <n v="0"/>
    <n v="0"/>
    <n v="0"/>
    <n v="0"/>
    <n v="0"/>
    <n v="0"/>
  </r>
  <r>
    <s v="ROSE NSUBUGA MUTAKA"/>
    <x v="2"/>
    <n v="-21"/>
    <n v="17317769.809999999"/>
    <x v="13"/>
    <n v="153935.73000000001"/>
    <n v="19702450.920000002"/>
    <d v="2016-06-15T13:12:12"/>
    <d v="2018-06-15T00:00:00"/>
    <s v="0772415727"/>
    <s v=""/>
    <s v=""/>
    <n v="102664"/>
    <s v="00100003957"/>
    <s v="Real Estate and Rental"/>
    <s v="Rental"/>
    <s v="General Rental Centers"/>
    <n v="0"/>
    <n v="0"/>
    <n v="0"/>
    <n v="0"/>
    <n v="0"/>
    <n v="0"/>
  </r>
  <r>
    <s v="SULAIMAN SSEKANNYO"/>
    <x v="1"/>
    <n v="-26"/>
    <n v="30179879.940000001"/>
    <x v="1"/>
    <n v="90539.64"/>
    <n v="40032516.140000001"/>
    <d v="2016-06-20T13:31:55"/>
    <d v="2019-06-20T00:00:00"/>
    <s v="0772306012"/>
    <s v=""/>
    <s v=""/>
    <n v="102670"/>
    <s v="00100002004"/>
    <s v="Real Estate and Rental"/>
    <s v="Real Estate"/>
    <s v="Others"/>
    <n v="0"/>
    <n v="0"/>
    <n v="0"/>
    <n v="0"/>
    <n v="0"/>
    <n v="0"/>
  </r>
  <r>
    <s v="HERBERT LINTON WALUSIMBI"/>
    <x v="3"/>
    <n v="4"/>
    <n v="8831587.9800000004"/>
    <x v="10"/>
    <n v="221619.66"/>
    <n v="10312242.58"/>
    <d v="2016-06-20T15:54:22"/>
    <d v="2018-06-20T00:00:00"/>
    <s v="0752934590"/>
    <s v=""/>
    <s v=""/>
    <n v="102671"/>
    <s v="00100003804"/>
    <s v="Real Estate and Rental"/>
    <s v="Real Estate"/>
    <s v="Real Estate"/>
    <n v="8831587.9800000004"/>
    <n v="0"/>
    <n v="0"/>
    <n v="1"/>
    <n v="0"/>
    <n v="0"/>
  </r>
  <r>
    <s v="ZIAD MUKASA KIBERU"/>
    <x v="0"/>
    <n v="183"/>
    <n v="1026841.7"/>
    <x v="21"/>
    <n v="69033.14"/>
    <n v="1096661.92"/>
    <d v="2016-06-21T11:56:13"/>
    <d v="2017-06-21T00:00:00"/>
    <s v="0782199011"/>
    <s v=""/>
    <s v=""/>
    <n v="102672"/>
    <s v="00100003463"/>
    <s v="Real Estate and Rental"/>
    <s v="Real Estate"/>
    <s v="Real Estate"/>
    <n v="1026841.7"/>
    <n v="1026841.7"/>
    <n v="1026841.7"/>
    <n v="1"/>
    <n v="1"/>
    <n v="1"/>
  </r>
  <r>
    <s v="CONSTANCE NAKIYEMBA MUKASA"/>
    <x v="1"/>
    <n v="-28"/>
    <n v="34037614.799999997"/>
    <x v="11"/>
    <n v="34037.61"/>
    <n v="52757172.780000001"/>
    <d v="2016-06-22T17:15:50"/>
    <d v="2020-06-22T00:00:00"/>
    <s v="0782077293"/>
    <s v=""/>
    <s v=""/>
    <n v="102675"/>
    <s v="00100003303"/>
    <s v="Agriculture, Forestry, Fishing and Hunting"/>
    <s v="Animal Production"/>
    <s v="Poultry &amp; Egg Production"/>
    <n v="0"/>
    <n v="0"/>
    <n v="0"/>
    <n v="0"/>
    <n v="0"/>
    <n v="0"/>
  </r>
  <r>
    <s v="IBRAHIM KATUMBA"/>
    <x v="2"/>
    <n v="-28"/>
    <n v="30444560.640000001"/>
    <x v="9"/>
    <n v="581900.26"/>
    <n v="44072796.939999998"/>
    <d v="2016-06-22T18:42:24"/>
    <d v="2019-10-22T00:00:00"/>
    <s v="0704805205"/>
    <s v=""/>
    <s v="0784517617"/>
    <n v="102677"/>
    <s v="00100003979"/>
    <s v="Real Estate and Rental"/>
    <s v="Rental"/>
    <s v="Others"/>
    <n v="0"/>
    <n v="0"/>
    <n v="0"/>
    <n v="0"/>
    <n v="0"/>
    <n v="0"/>
  </r>
  <r>
    <s v="OSCAR ASSOCIATES"/>
    <x v="3"/>
    <n v="1"/>
    <n v="11039485.130000001"/>
    <x v="9"/>
    <n v="441579.41"/>
    <n v="13111227.369999999"/>
    <d v="2016-06-23T12:00:19"/>
    <d v="2018-06-23T00:00:00"/>
    <s v="0772403981"/>
    <s v=""/>
    <s v=""/>
    <n v="102678"/>
    <s v="00100003981"/>
    <s v="Finance and Insurance"/>
    <s v="Finance"/>
    <s v="Microfinance Institutions"/>
    <n v="11039485.130000001"/>
    <n v="0"/>
    <n v="0"/>
    <n v="1"/>
    <n v="0"/>
    <n v="0"/>
  </r>
  <r>
    <s v="SULAIMAN KANGAVE WALUSIMBI"/>
    <x v="2"/>
    <n v="1"/>
    <n v="19059430.239999998"/>
    <x v="9"/>
    <n v="635314.34"/>
    <n v="21992032.870000001"/>
    <d v="2016-06-23T15:31:40"/>
    <d v="2018-06-23T00:00:00"/>
    <s v="0702311613"/>
    <s v="0772303187"/>
    <s v=""/>
    <n v="102679"/>
    <s v="00100003974"/>
    <s v="Transportation and Warehousing"/>
    <s v="Truck Transportation"/>
    <s v="General Freight Trucking, Local"/>
    <n v="19059430.239999998"/>
    <n v="0"/>
    <n v="0"/>
    <n v="1"/>
    <n v="0"/>
    <n v="0"/>
  </r>
  <r>
    <s v="EMMANUEL TUMUHAIRWE"/>
    <x v="2"/>
    <n v="5"/>
    <n v="35774340.950000003"/>
    <x v="15"/>
    <n v="141948.92000000001"/>
    <n v="55291139.159999996"/>
    <d v="2016-06-24T09:09:15"/>
    <d v="2020-06-19T00:00:00"/>
    <s v="0782591491"/>
    <s v="0753696632"/>
    <s v=""/>
    <n v="102681"/>
    <s v="00100003069"/>
    <s v="Retail"/>
    <s v="Furniture and Home Furnishings Stores"/>
    <s v="Others"/>
    <n v="35774340.950000003"/>
    <n v="0"/>
    <n v="0"/>
    <n v="1"/>
    <n v="0"/>
    <n v="0"/>
  </r>
  <r>
    <s v="CHARLES SSEMAKALU"/>
    <x v="0"/>
    <n v="23"/>
    <n v="1742440.87"/>
    <x v="6"/>
    <n v="50966.69"/>
    <n v="1847455.59"/>
    <d v="2016-06-29T09:12:30"/>
    <d v="2018-01-01T00:00:00"/>
    <s v="0772403208"/>
    <s v=""/>
    <s v="07012403208"/>
    <n v="102693"/>
    <s v="00100003751"/>
    <s v="Retail"/>
    <s v="General Merchandise Stores"/>
    <s v="Others"/>
    <n v="1742440.87"/>
    <n v="0"/>
    <n v="0"/>
    <n v="1"/>
    <n v="0"/>
    <n v="0"/>
  </r>
  <r>
    <s v="JOVIA KEMBABAZI"/>
    <x v="2"/>
    <n v="-9"/>
    <n v="19566770.960000001"/>
    <x v="4"/>
    <n v="434817.13"/>
    <n v="22613934.469999999"/>
    <d v="2016-06-29T15:49:01"/>
    <d v="2018-07-03T00:00:00"/>
    <s v="0772408286"/>
    <s v=""/>
    <s v=""/>
    <n v="102694"/>
    <s v="00100003970"/>
    <s v="Wholesale Trade"/>
    <s v="Durable Goods"/>
    <s v="Others"/>
    <n v="0"/>
    <n v="0"/>
    <n v="0"/>
    <n v="0"/>
    <n v="0"/>
    <n v="0"/>
  </r>
  <r>
    <s v="SHAURI ABRAHAM"/>
    <x v="1"/>
    <n v="-15"/>
    <n v="17522656.920000002"/>
    <x v="3"/>
    <n v="272574.65999999997"/>
    <n v="24287866.68"/>
    <d v="2016-06-30T01:46:24"/>
    <d v="2019-07-09T00:00:00"/>
    <s v="0702038357"/>
    <s v=""/>
    <s v="0774254199"/>
    <n v="102696"/>
    <s v="00100003969"/>
    <s v="Information"/>
    <s v="Publishing Industries"/>
    <s v="Others"/>
    <n v="0"/>
    <n v="0"/>
    <n v="0"/>
    <n v="0"/>
    <n v="0"/>
    <n v="0"/>
  </r>
  <r>
    <s v="ROGERS KATUMBA"/>
    <x v="2"/>
    <n v="-13"/>
    <n v="17831541.02"/>
    <x v="16"/>
    <n v="317005.17"/>
    <n v="22605022.550000001"/>
    <d v="2016-06-30T03:29:24"/>
    <d v="2019-01-07T00:00:00"/>
    <s v="0774680078"/>
    <s v=""/>
    <s v=""/>
    <n v="102698"/>
    <s v="00100003988"/>
    <s v="Agriculture, Forestry, Fishing and Hunting"/>
    <s v="Crop Production"/>
    <s v="Others"/>
    <n v="0"/>
    <n v="0"/>
    <n v="0"/>
    <n v="0"/>
    <n v="0"/>
    <n v="0"/>
  </r>
  <r>
    <s v="SAM LUKYAMUZI"/>
    <x v="2"/>
    <n v="194"/>
    <n v="33157684.32"/>
    <x v="7"/>
    <n v="2139495.7200000002"/>
    <n v="42673510.950000003"/>
    <d v="2016-06-30T08:44:55"/>
    <d v="2018-07-10T00:00:00"/>
    <s v="0783406877"/>
    <s v="0703153121"/>
    <s v=""/>
    <n v="102701"/>
    <s v="00100003996"/>
    <s v="Transportation and Warehousing"/>
    <s v="Truck Transportation"/>
    <s v="General Freight Trucking, Local"/>
    <n v="33157684.32"/>
    <n v="33157684.32"/>
    <n v="33157684.32"/>
    <n v="1"/>
    <n v="1"/>
    <n v="1"/>
  </r>
  <r>
    <s v="GODFREY MPAULO"/>
    <x v="2"/>
    <n v="-7"/>
    <n v="15934664.880000001"/>
    <x v="3"/>
    <n v="350562.63"/>
    <n v="18741931.100000001"/>
    <d v="2016-06-30T09:30:44"/>
    <d v="2019-07-01T00:00:00"/>
    <s v="0772414311"/>
    <s v=""/>
    <s v=""/>
    <n v="102703"/>
    <s v="00100003171"/>
    <s v="Wholesale Trade"/>
    <s v="Nondurable Goods"/>
    <s v="Grocery"/>
    <n v="0"/>
    <n v="0"/>
    <n v="0"/>
    <n v="0"/>
    <n v="0"/>
    <n v="0"/>
  </r>
  <r>
    <s v="VINCENT KAWUNDE"/>
    <x v="2"/>
    <n v="-11"/>
    <n v="35609189"/>
    <x v="9"/>
    <n v="640965.4"/>
    <n v="55888329.579999998"/>
    <d v="2016-07-01T16:50:08"/>
    <d v="2020-07-05T00:00:00"/>
    <s v="0312106562"/>
    <s v="0772403981"/>
    <s v="0752403981"/>
    <n v="102704"/>
    <s v="00100000063"/>
    <s v="Retail"/>
    <s v="General Merchandise Stores"/>
    <s v="Others"/>
    <n v="0"/>
    <n v="0"/>
    <n v="0"/>
    <n v="0"/>
    <n v="0"/>
    <n v="0"/>
  </r>
  <r>
    <s v="BRIAN ANKWASA"/>
    <x v="3"/>
    <n v="17"/>
    <n v="8290217.3399999999"/>
    <x v="22"/>
    <n v="265324.08"/>
    <n v="9808354.5299999993"/>
    <d v="2016-07-07T14:12:27"/>
    <d v="2018-07-07T00:00:00"/>
    <s v="0700721054"/>
    <s v="0772461992"/>
    <s v=""/>
    <n v="102706"/>
    <s v="00100002354"/>
    <s v="Retail"/>
    <s v="Food and Beverage Stores"/>
    <s v="Beverage Stores"/>
    <n v="8290217.3399999999"/>
    <n v="0"/>
    <n v="0"/>
    <n v="1"/>
    <n v="0"/>
    <n v="0"/>
  </r>
  <r>
    <s v="JAMES BUNYA"/>
    <x v="3"/>
    <n v="10"/>
    <n v="8789130.75"/>
    <x v="9"/>
    <n v="398032.02"/>
    <n v="10589651.82"/>
    <d v="2016-07-13T16:25:27"/>
    <d v="2018-07-14T00:00:00"/>
    <s v="0703345346"/>
    <s v="0774345346"/>
    <s v=""/>
    <n v="102712"/>
    <s v="00100004005"/>
    <s v="Transportation and Warehousing"/>
    <s v=" Passenger Transportation"/>
    <s v="Others"/>
    <n v="8789130.75"/>
    <n v="0"/>
    <n v="0"/>
    <n v="1"/>
    <n v="0"/>
    <n v="0"/>
  </r>
  <r>
    <s v="RONALD KARANGIZI"/>
    <x v="1"/>
    <n v="-20"/>
    <n v="12446913.1"/>
    <x v="1"/>
    <n v="112022.22"/>
    <n v="14185138.33"/>
    <d v="2016-07-13T16:39:11"/>
    <d v="2018-07-14T00:00:00"/>
    <s v="0772954430"/>
    <s v="0701954430"/>
    <s v=""/>
    <n v="102713"/>
    <s v="00100002323"/>
    <s v="Wholesale Trade"/>
    <s v="Nondurable Goods"/>
    <s v="Others"/>
    <n v="0"/>
    <n v="0"/>
    <n v="0"/>
    <n v="0"/>
    <n v="0"/>
    <n v="0"/>
  </r>
  <r>
    <s v="CATHERINE KUSASIRA"/>
    <x v="2"/>
    <n v="-20"/>
    <n v="14839941.060000001"/>
    <x v="23"/>
    <n v="148399.41"/>
    <n v="17150988.030000001"/>
    <d v="2016-07-13T16:52:15"/>
    <d v="2018-07-14T00:00:00"/>
    <s v="0782438696"/>
    <s v=""/>
    <s v=""/>
    <n v="102714"/>
    <s v="00100004004"/>
    <s v="Retail"/>
    <s v="New-Clothing and  Accessories"/>
    <s v="Clothing Stores"/>
    <n v="0"/>
    <n v="0"/>
    <n v="0"/>
    <n v="0"/>
    <n v="0"/>
    <n v="0"/>
  </r>
  <r>
    <s v="GERTRUDE NAKAKANDE"/>
    <x v="0"/>
    <n v="126"/>
    <n v="26402.05"/>
    <x v="7"/>
    <n v="0"/>
    <n v="26402.05"/>
    <d v="2016-07-15T14:58:43"/>
    <d v="2017-07-18T00:00:00"/>
    <s v="0785294414"/>
    <s v="0705555329"/>
    <s v=""/>
    <n v="102717"/>
    <s v="00100001225"/>
    <s v="Retail"/>
    <s v="Second Hand -Clothing and  Accessories"/>
    <s v="Others"/>
    <n v="26402.05"/>
    <n v="26402.05"/>
    <n v="26402.05"/>
    <n v="1"/>
    <n v="1"/>
    <n v="1"/>
  </r>
  <r>
    <s v="RASHID KIZITO"/>
    <x v="0"/>
    <n v="158"/>
    <n v="1205804.8700000001"/>
    <x v="12"/>
    <n v="72821.149999999994"/>
    <n v="1278626.02"/>
    <d v="2016-07-16T14:20:04"/>
    <d v="2017-07-16T00:00:00"/>
    <s v="0772559744"/>
    <s v=""/>
    <s v=""/>
    <n v="102721"/>
    <s v="00100003762"/>
    <s v="Real Estate and Rental"/>
    <s v="Rental"/>
    <s v="General Rental Centers"/>
    <n v="1205804.8700000001"/>
    <n v="1205804.8700000001"/>
    <n v="1205804.8700000001"/>
    <n v="1"/>
    <n v="1"/>
    <n v="1"/>
  </r>
  <r>
    <s v="ZAINABU NABUUSO"/>
    <x v="9"/>
    <n v="156"/>
    <n v="4804821.63"/>
    <x v="7"/>
    <n v="348901.72"/>
    <n v="5396466.0800000001"/>
    <d v="2016-07-18T17:25:59"/>
    <d v="2017-10-18T00:00:00"/>
    <s v="0756914031"/>
    <s v=""/>
    <s v=""/>
    <n v="102722"/>
    <s v="00100004018"/>
    <s v="Transportation and Warehousing"/>
    <s v="Truck Transportation"/>
    <s v="General Freight Trucking, Long-distance"/>
    <n v="4804821.63"/>
    <n v="4804821.63"/>
    <n v="4804821.63"/>
    <n v="1"/>
    <n v="1"/>
    <n v="1"/>
  </r>
  <r>
    <s v="JULIUS JACKSON SSONKO"/>
    <x v="2"/>
    <n v="-28"/>
    <n v="24348842.100000001"/>
    <x v="5"/>
    <n v="27054.27"/>
    <n v="33749529.689999998"/>
    <d v="2016-07-20T18:37:47"/>
    <d v="2019-07-22T00:00:00"/>
    <s v="0774240104"/>
    <s v=""/>
    <s v=""/>
    <n v="102726"/>
    <s v="00100003975"/>
    <s v="Educational Services"/>
    <s v="Educational Services"/>
    <s v="Colleges"/>
    <n v="0"/>
    <n v="0"/>
    <n v="0"/>
    <n v="0"/>
    <n v="0"/>
    <n v="0"/>
  </r>
  <r>
    <s v="JOHN CHRYSOSTOM ASIIMWE"/>
    <x v="0"/>
    <n v="123"/>
    <n v="524718.64"/>
    <x v="22"/>
    <n v="23612.34"/>
    <n v="548330.98"/>
    <d v="2016-07-21T12:29:04"/>
    <d v="2017-07-21T00:00:00"/>
    <s v="0751849999"/>
    <s v=""/>
    <s v=""/>
    <n v="102728"/>
    <s v="00100003516"/>
    <s v="Educational Services"/>
    <s v="Educational Services"/>
    <s v="Schools"/>
    <n v="524718.64"/>
    <n v="524718.64"/>
    <n v="524718.64"/>
    <n v="1"/>
    <n v="1"/>
    <n v="1"/>
  </r>
  <r>
    <s v="FRED LUGANDA"/>
    <x v="2"/>
    <n v="-1"/>
    <n v="25860721.039999999"/>
    <x v="5"/>
    <n v="804555.77"/>
    <n v="36371274.159999996"/>
    <d v="2016-07-25T13:30:35"/>
    <d v="2019-07-25T00:00:00"/>
    <s v="0701629546"/>
    <s v=""/>
    <s v="0772629546"/>
    <n v="102735"/>
    <s v="00100004011"/>
    <s v="Real Estate and Rental"/>
    <s v="Rental"/>
    <s v="Others"/>
    <n v="0"/>
    <n v="0"/>
    <n v="0"/>
    <n v="0"/>
    <n v="0"/>
    <n v="0"/>
  </r>
  <r>
    <s v="STELLA OKONYE ARIONGET"/>
    <x v="2"/>
    <n v="-26"/>
    <n v="22356682.059999999"/>
    <x v="16"/>
    <n v="67070.05"/>
    <n v="30054404.050000001"/>
    <d v="2016-07-26T14:48:46"/>
    <d v="2019-07-20T00:00:00"/>
    <s v="0772513828"/>
    <s v="0701513828"/>
    <s v=""/>
    <n v="102737"/>
    <s v="00100002128"/>
    <s v="Real Estate and Rental"/>
    <s v="Rental"/>
    <s v="Others"/>
    <n v="0"/>
    <n v="0"/>
    <n v="0"/>
    <n v="0"/>
    <n v="0"/>
    <n v="0"/>
  </r>
  <r>
    <s v="ROBERT SEBULIBA"/>
    <x v="3"/>
    <n v="18"/>
    <n v="4501411.18"/>
    <x v="22"/>
    <n v="258060.92"/>
    <n v="4960375.88"/>
    <d v="2016-07-26T17:05:20"/>
    <d v="2018-02-06T00:00:00"/>
    <s v="0706068831"/>
    <s v="0784269952"/>
    <s v=""/>
    <n v="102738"/>
    <s v="00100004024"/>
    <s v="Transportation and Warehousing"/>
    <s v="Air, Rail, and Water Transportation"/>
    <s v="Others"/>
    <n v="4501411.18"/>
    <n v="0"/>
    <n v="0"/>
    <n v="1"/>
    <n v="0"/>
    <n v="0"/>
  </r>
  <r>
    <s v="DAVID NSUBUGA"/>
    <x v="1"/>
    <n v="-7"/>
    <n v="5487555.21"/>
    <x v="1"/>
    <n v="134140.24"/>
    <n v="5857390.0899999999"/>
    <d v="2016-07-27T15:27:14"/>
    <d v="2018-02-01T00:00:00"/>
    <s v="0783035960"/>
    <s v="0704611112"/>
    <s v=""/>
    <n v="102741"/>
    <s v="00100004030"/>
    <s v="Educational Services"/>
    <s v="Educational Services"/>
    <s v="Others"/>
    <n v="0"/>
    <n v="0"/>
    <n v="0"/>
    <n v="0"/>
    <n v="0"/>
    <n v="0"/>
  </r>
  <r>
    <s v="MADINA NAKIYEMBA"/>
    <x v="7"/>
    <n v="143"/>
    <n v="309379.08"/>
    <x v="16"/>
    <n v="20799.13"/>
    <n v="330415.34999999998"/>
    <d v="2016-07-28T12:42:39"/>
    <d v="2017-08-01T00:00:00"/>
    <s v="0759764101"/>
    <s v=""/>
    <s v=""/>
    <n v="102742"/>
    <s v="00100004027"/>
    <s v="Restaurants and Hotels"/>
    <s v="Restaurant"/>
    <s v="Take away restaurant"/>
    <n v="309379.08"/>
    <n v="309379.08"/>
    <n v="309379.08"/>
    <n v="1"/>
    <n v="1"/>
    <n v="1"/>
  </r>
  <r>
    <s v="LAWRENCE SALONGO KYATEREKERA"/>
    <x v="2"/>
    <n v="83"/>
    <n v="27229000.399999999"/>
    <x v="0"/>
    <n v="1225035.6399999999"/>
    <n v="38177489.899999999"/>
    <d v="2016-07-28T13:48:12"/>
    <d v="2019-08-01T00:00:00"/>
    <s v="0703882919"/>
    <s v="0754848586"/>
    <s v=""/>
    <n v="102743"/>
    <s v="00100003197"/>
    <s v="Real Estate and Rental"/>
    <s v="Rental"/>
    <s v="General Rental Centers"/>
    <n v="27229000.399999999"/>
    <n v="27229000.399999999"/>
    <n v="0"/>
    <n v="1"/>
    <n v="1"/>
    <n v="0"/>
  </r>
  <r>
    <s v="HERBERT NSABA"/>
    <x v="0"/>
    <n v="46"/>
    <n v="1410988.6"/>
    <x v="9"/>
    <n v="94858.8"/>
    <n v="1506928.93"/>
    <d v="2016-07-30T14:17:35"/>
    <d v="2017-11-08T00:00:00"/>
    <s v="0706334578"/>
    <s v="0772434578"/>
    <s v=""/>
    <n v="102749"/>
    <s v="00100004022"/>
    <s v="Real Estate and Rental"/>
    <s v="Rental"/>
    <s v="Others"/>
    <n v="1410988.6"/>
    <n v="1410988.6"/>
    <n v="0"/>
    <n v="1"/>
    <n v="1"/>
    <n v="0"/>
  </r>
  <r>
    <s v="SILVER BYARUHANGA"/>
    <x v="3"/>
    <n v="-7"/>
    <n v="7825722.2000000002"/>
    <x v="9"/>
    <n v="200860.2"/>
    <n v="9257939.2899999991"/>
    <d v="2016-07-30T14:06:23"/>
    <d v="2018-08-01T00:00:00"/>
    <s v="0772362760"/>
    <s v=""/>
    <s v=""/>
    <n v="102752"/>
    <s v="00100002778"/>
    <s v="Real Estate and Rental"/>
    <s v="Real Estate"/>
    <s v="Others"/>
    <n v="0"/>
    <n v="0"/>
    <n v="0"/>
    <n v="0"/>
    <n v="0"/>
    <n v="0"/>
  </r>
  <r>
    <s v="YUNUSU KAGOLOLA"/>
    <x v="0"/>
    <n v="23"/>
    <n v="1298890.55"/>
    <x v="22"/>
    <n v="51955.62"/>
    <n v="1350846.17"/>
    <d v="2016-07-30T16:44:26"/>
    <d v="2017-11-01T00:00:00"/>
    <s v="0772433530"/>
    <s v="0701433530"/>
    <s v=""/>
    <n v="102753"/>
    <s v="00100002397"/>
    <s v="Real Estate and Rental"/>
    <s v="Rental"/>
    <s v="Others"/>
    <n v="1298890.55"/>
    <n v="0"/>
    <n v="0"/>
    <n v="1"/>
    <n v="0"/>
    <n v="0"/>
  </r>
  <r>
    <s v="SALIM KIZZA SSEREMBA"/>
    <x v="0"/>
    <n v="52"/>
    <n v="4251163.26"/>
    <x v="10"/>
    <n v="158527.07"/>
    <n v="4659379.1100000003"/>
    <d v="2016-07-30T17:04:35"/>
    <d v="2018-02-02T00:00:00"/>
    <s v="0772463963"/>
    <s v="0701463963"/>
    <s v=""/>
    <n v="102754"/>
    <s v="00100002749"/>
    <s v="Retail"/>
    <s v="General Merchandise Stores"/>
    <s v="General Stores"/>
    <n v="4251163.26"/>
    <n v="4251163.26"/>
    <n v="0"/>
    <n v="1"/>
    <n v="1"/>
    <n v="0"/>
  </r>
  <r>
    <s v="JOSHUA KUTEESA"/>
    <x v="2"/>
    <n v="-7"/>
    <n v="21909314.940000001"/>
    <x v="4"/>
    <n v="482004.93"/>
    <n v="29847219.84"/>
    <d v="2016-07-30T17:23:50"/>
    <d v="2019-08-01T00:00:00"/>
    <s v="0705055553"/>
    <s v="0792482027"/>
    <s v=""/>
    <n v="102755"/>
    <s v="00100001693"/>
    <s v="Educational Services"/>
    <s v="Educational Services"/>
    <s v="Others"/>
    <n v="0"/>
    <n v="0"/>
    <n v="0"/>
    <n v="0"/>
    <n v="0"/>
    <n v="0"/>
  </r>
  <r>
    <s v="MERCY NABAKKA"/>
    <x v="7"/>
    <n v="172"/>
    <n v="1507342.24"/>
    <x v="8"/>
    <n v="114038.28"/>
    <n v="1644992.86"/>
    <d v="2016-08-02T11:52:10"/>
    <d v="2017-08-02T00:00:00"/>
    <s v="0758445933"/>
    <s v=""/>
    <s v="0774077813"/>
    <n v="102756"/>
    <s v="00100003748"/>
    <s v="Retail"/>
    <s v="General Merchandise Stores"/>
    <s v="General Stores"/>
    <n v="1507342.24"/>
    <n v="1507342.24"/>
    <n v="1507342.24"/>
    <n v="1"/>
    <n v="1"/>
    <n v="1"/>
  </r>
  <r>
    <s v="KENNETH ERIA KAWEESI"/>
    <x v="0"/>
    <n v="11"/>
    <n v="3884898.3"/>
    <x v="22"/>
    <n v="219472.84"/>
    <n v="4331562.88"/>
    <d v="2016-08-04T13:45:09"/>
    <d v="2018-02-13T00:00:00"/>
    <s v="0775824371"/>
    <s v="0750824371"/>
    <s v=""/>
    <n v="102757"/>
    <s v="00100004040"/>
    <s v="Real Estate and Rental"/>
    <s v="Rental"/>
    <s v="General Rental Centers"/>
    <n v="3884898.3"/>
    <n v="0"/>
    <n v="0"/>
    <n v="1"/>
    <n v="0"/>
    <n v="0"/>
  </r>
  <r>
    <s v="NALUGWA BABIRYE"/>
    <x v="2"/>
    <n v="10"/>
    <n v="29032086"/>
    <x v="14"/>
    <n v="256405"/>
    <n v="39354019.799999997"/>
    <d v="2016-08-05T09:29:27"/>
    <d v="2019-08-14T00:00:00"/>
    <s v="0772467177"/>
    <s v="0752567177"/>
    <s v=""/>
    <n v="102759"/>
    <s v="00100002419"/>
    <s v="Retail"/>
    <s v="Miscellaneous Store Retailers"/>
    <s v="Others"/>
    <n v="29032086"/>
    <n v="0"/>
    <n v="0"/>
    <n v="1"/>
    <n v="0"/>
    <n v="0"/>
  </r>
  <r>
    <s v="JAMES GRACE MASEMBE"/>
    <x v="3"/>
    <n v="14"/>
    <n v="10671998.07"/>
    <x v="5"/>
    <n v="170139.1"/>
    <n v="12737587.550000001"/>
    <d v="2016-08-05T17:05:39"/>
    <d v="2018-08-10T00:00:00"/>
    <s v="0774444140"/>
    <s v=""/>
    <s v=""/>
    <n v="102761"/>
    <s v="00100002384"/>
    <s v="Real Estate and Rental"/>
    <s v="Real Estate"/>
    <s v="Others"/>
    <n v="10671998.07"/>
    <n v="0"/>
    <n v="0"/>
    <n v="1"/>
    <n v="0"/>
    <n v="0"/>
  </r>
  <r>
    <s v="IRENE NAMIRO"/>
    <x v="7"/>
    <n v="106"/>
    <n v="425686.41"/>
    <x v="7"/>
    <n v="0"/>
    <n v="425686.41"/>
    <d v="2016-08-08T16:22:49"/>
    <d v="2017-08-08T00:00:00"/>
    <s v="0705969055"/>
    <s v=""/>
    <s v=""/>
    <n v="102765"/>
    <s v="00100004049"/>
    <s v="Wholesale Trade"/>
    <s v="Durable Goods"/>
    <m/>
    <n v="425686.41"/>
    <n v="425686.41"/>
    <n v="425686.41"/>
    <n v="1"/>
    <n v="1"/>
    <n v="1"/>
  </r>
  <r>
    <s v="FRIDA NAMULEMA"/>
    <x v="8"/>
    <n v="191"/>
    <n v="5152490.5599999996"/>
    <x v="7"/>
    <n v="407526.72"/>
    <n v="6405370.2599999998"/>
    <d v="2016-08-13T13:29:02"/>
    <d v="2018-02-13T00:00:00"/>
    <s v="0750182795"/>
    <s v=""/>
    <s v=""/>
    <n v="102769"/>
    <s v="00100004054"/>
    <s v="Real Estate and Rental"/>
    <s v="Rental"/>
    <s v="Others"/>
    <n v="5152490.5599999996"/>
    <n v="5152490.5599999996"/>
    <n v="5152490.5599999996"/>
    <n v="1"/>
    <n v="1"/>
    <n v="1"/>
  </r>
  <r>
    <s v="MAURICE BEHAKANIRA ARINAITWE"/>
    <x v="2"/>
    <n v="-26"/>
    <n v="17878010.98"/>
    <x v="9"/>
    <n v="53634.03"/>
    <n v="20665277.149999999"/>
    <d v="2016-08-23T10:59:30"/>
    <d v="2018-08-20T00:00:00"/>
    <s v="0702945092"/>
    <s v="0782945092"/>
    <s v=""/>
    <n v="102776"/>
    <s v="00100002406"/>
    <s v="Retail"/>
    <s v="New-Clothing and  Accessories"/>
    <s v="Clothing Stores"/>
    <n v="0"/>
    <n v="0"/>
    <n v="0"/>
    <n v="0"/>
    <n v="0"/>
    <n v="0"/>
  </r>
  <r>
    <s v="MATILDA NAGADYA"/>
    <x v="1"/>
    <n v="91"/>
    <n v="7282420.3399999999"/>
    <x v="16"/>
    <n v="237728.61"/>
    <n v="8928018.4900000002"/>
    <d v="2016-08-23T17:55:35"/>
    <d v="2018-08-23T00:00:00"/>
    <s v="0773695170"/>
    <s v="0759071027"/>
    <s v=""/>
    <n v="102778"/>
    <s v="00100004071"/>
    <s v="Real Estate and Rental"/>
    <s v="Rental"/>
    <s v="General Rental Centers"/>
    <n v="7282420.3399999999"/>
    <n v="7282420.3399999999"/>
    <n v="7282420.3399999999"/>
    <n v="1"/>
    <n v="1"/>
    <n v="1"/>
  </r>
  <r>
    <s v="HUSSEIN BBOSA"/>
    <x v="0"/>
    <n v="23"/>
    <n v="1877973.43"/>
    <x v="18"/>
    <n v="103202.62"/>
    <n v="1991388.3"/>
    <d v="2016-08-26T17:54:59"/>
    <d v="2017-12-01T00:00:00"/>
    <s v="0703222663"/>
    <s v=""/>
    <s v=""/>
    <n v="102782"/>
    <s v="00100003741"/>
    <s v="Wholesale Trade"/>
    <s v="Durable Goods"/>
    <s v="Others"/>
    <n v="1877973.43"/>
    <n v="0"/>
    <n v="0"/>
    <n v="1"/>
    <n v="0"/>
    <n v="0"/>
  </r>
  <r>
    <s v="RASHID NAKIDA"/>
    <x v="3"/>
    <n v="-11"/>
    <n v="16587575.98"/>
    <x v="9"/>
    <n v="348339.1"/>
    <n v="21944654.52"/>
    <d v="2016-08-27T13:51:11"/>
    <d v="2019-03-05T00:00:00"/>
    <s v="0772418770"/>
    <s v=""/>
    <s v=""/>
    <n v="102784"/>
    <s v="00100000137"/>
    <s v="Real Estate and Rental"/>
    <s v="Rental"/>
    <s v="Others"/>
    <n v="0"/>
    <n v="0"/>
    <n v="0"/>
    <n v="0"/>
    <n v="0"/>
    <n v="0"/>
  </r>
  <r>
    <s v="ALEX LAWRENCE LUBULWA"/>
    <x v="2"/>
    <n v="-9"/>
    <n v="28551797.800000001"/>
    <x v="9"/>
    <n v="571035.96"/>
    <n v="39414120.399999999"/>
    <d v="2016-08-30T10:38:11"/>
    <d v="2019-09-03T00:00:00"/>
    <s v="0772411145"/>
    <s v="0702764028"/>
    <s v=""/>
    <n v="102787"/>
    <s v="00100003339"/>
    <s v="Information"/>
    <s v="Publishing Industries"/>
    <s v="Book Publishers"/>
    <n v="0"/>
    <n v="0"/>
    <n v="0"/>
    <n v="0"/>
    <n v="0"/>
    <n v="0"/>
  </r>
  <r>
    <s v="MAUREEN NANTUME"/>
    <x v="1"/>
    <n v="-11"/>
    <n v="9833312.0600000005"/>
    <x v="23"/>
    <n v="196666.23999999999"/>
    <n v="12846761.91"/>
    <d v="2016-08-30T11:51:56"/>
    <d v="2019-03-05T00:00:00"/>
    <s v="0783354995"/>
    <s v=""/>
    <s v=""/>
    <n v="102788"/>
    <s v="00100004099"/>
    <s v="Retail"/>
    <s v="New-Clothing and  Accessories"/>
    <s v="Others"/>
    <n v="0"/>
    <n v="0"/>
    <n v="0"/>
    <n v="0"/>
    <n v="0"/>
    <n v="0"/>
  </r>
  <r>
    <s v="CLAIRE AGABA"/>
    <x v="7"/>
    <n v="111"/>
    <n v="406767.94"/>
    <x v="24"/>
    <n v="13754.13"/>
    <n v="420996.35"/>
    <d v="2016-08-30T17:18:46"/>
    <d v="2017-09-03T00:00:00"/>
    <s v="0704164531"/>
    <s v="0712124541"/>
    <s v=""/>
    <n v="102791"/>
    <s v="00100004091"/>
    <s v="Retail"/>
    <s v="Others"/>
    <s v="Others"/>
    <n v="406767.94"/>
    <n v="406767.94"/>
    <n v="406767.94"/>
    <n v="1"/>
    <n v="1"/>
    <n v="1"/>
  </r>
  <r>
    <s v="FORTUNATE NANYONDO"/>
    <x v="3"/>
    <n v="-9"/>
    <n v="14952391.619999999"/>
    <x v="5"/>
    <n v="398730.44"/>
    <n v="18434944.850000001"/>
    <d v="2016-08-31T11:32:29"/>
    <d v="2018-09-03T00:00:00"/>
    <s v="0782842905"/>
    <s v=""/>
    <s v=""/>
    <n v="102793"/>
    <s v="00100004080"/>
    <s v="Real Estate and Rental"/>
    <s v="Rental"/>
    <s v="Others"/>
    <n v="0"/>
    <n v="0"/>
    <n v="0"/>
    <n v="0"/>
    <n v="0"/>
    <n v="0"/>
  </r>
  <r>
    <s v="SOWED KAZIBWE"/>
    <x v="1"/>
    <n v="19"/>
    <n v="13672713.18"/>
    <x v="1"/>
    <n v="442470.59"/>
    <n v="22022058.629999999"/>
    <d v="2016-08-31T12:01:34"/>
    <d v="2020-09-05T00:00:00"/>
    <s v="0782647536"/>
    <s v=""/>
    <s v=""/>
    <n v="102795"/>
    <s v="00100003078"/>
    <s v="Real Estate and Rental"/>
    <s v="Rental"/>
    <s v="Others"/>
    <n v="13672713.18"/>
    <n v="0"/>
    <n v="0"/>
    <n v="1"/>
    <n v="0"/>
    <n v="0"/>
  </r>
  <r>
    <s v="BENA BABI NAKYANZI"/>
    <x v="7"/>
    <n v="111"/>
    <n v="478281.87"/>
    <x v="4"/>
    <n v="16046.49"/>
    <n v="494881.69"/>
    <d v="2016-08-31T14:56:02"/>
    <d v="2017-09-03T00:00:00"/>
    <s v="0702222263"/>
    <s v="0776927006"/>
    <s v=""/>
    <n v="102796"/>
    <s v="00100004086"/>
    <s v="Real Estate and Rental"/>
    <s v="Rental"/>
    <s v="Others"/>
    <n v="478281.87"/>
    <n v="478281.87"/>
    <n v="478281.87"/>
    <n v="1"/>
    <n v="1"/>
    <n v="1"/>
  </r>
  <r>
    <s v="SUSAN NABBOSA RUKOGWA"/>
    <x v="7"/>
    <n v="141"/>
    <n v="302766.58"/>
    <x v="9"/>
    <n v="21873.37"/>
    <n v="329692.13"/>
    <d v="2016-08-31T15:46:07"/>
    <d v="2017-09-03T00:00:00"/>
    <s v="0774155575"/>
    <s v="0705901719"/>
    <s v=""/>
    <n v="102797"/>
    <s v="00100004089"/>
    <s v="Real Estate and Rental"/>
    <s v="Rental"/>
    <s v="Others"/>
    <n v="302766.58"/>
    <n v="302766.58"/>
    <n v="302766.58"/>
    <n v="1"/>
    <n v="1"/>
    <n v="1"/>
  </r>
  <r>
    <s v="DOROTHY KANYUNYUZI"/>
    <x v="7"/>
    <n v="141"/>
    <n v="605533.28"/>
    <x v="7"/>
    <n v="44469.86"/>
    <n v="660107.5"/>
    <d v="2016-08-31T18:09:32"/>
    <d v="2017-09-03T00:00:00"/>
    <s v="0758582894"/>
    <s v=""/>
    <s v=""/>
    <n v="102799"/>
    <s v="00100003043"/>
    <s v="Retail"/>
    <s v="Health and Personal Care Stores"/>
    <s v="Cosmetics, Beauty Supplies, &amp; Perfume Stores"/>
    <n v="605533.28"/>
    <n v="605533.28"/>
    <n v="605533.28"/>
    <n v="1"/>
    <n v="1"/>
    <n v="1"/>
  </r>
  <r>
    <s v="RICHARD BUTAYI"/>
    <x v="1"/>
    <n v="21"/>
    <n v="4359233.2699999996"/>
    <x v="11"/>
    <n v="91427.49"/>
    <n v="5150541.96"/>
    <d v="2016-09-01T12:24:44"/>
    <d v="2018-09-03T00:00:00"/>
    <s v="0772424192"/>
    <s v=""/>
    <s v=""/>
    <n v="102801"/>
    <s v="00100002456"/>
    <s v="Retail"/>
    <s v="Motor Vehicle and Parts Dealers"/>
    <s v="Used Car Dealers"/>
    <n v="4359233.2699999996"/>
    <n v="0"/>
    <n v="0"/>
    <n v="1"/>
    <n v="0"/>
    <n v="0"/>
  </r>
  <r>
    <s v="FAITH BUSINGE"/>
    <x v="3"/>
    <n v="-11"/>
    <n v="8305057.8300000001"/>
    <x v="9"/>
    <n v="174406.21"/>
    <n v="9986115.1199999992"/>
    <d v="2016-09-03T13:52:57"/>
    <d v="2018-09-05T00:00:00"/>
    <s v="772558299"/>
    <s v="704473078"/>
    <s v=""/>
    <n v="102803"/>
    <s v="00100000613"/>
    <s v="Retail"/>
    <s v="Others"/>
    <s v="Others"/>
    <n v="0"/>
    <n v="0"/>
    <n v="0"/>
    <n v="0"/>
    <n v="0"/>
    <n v="0"/>
  </r>
  <r>
    <s v="FRANCIS XIAVIER KYASA"/>
    <x v="1"/>
    <n v="14"/>
    <n v="18829491.420000002"/>
    <x v="1"/>
    <n v="802125.4"/>
    <n v="26337181.809999999"/>
    <d v="2016-09-10T14:46:39"/>
    <d v="2019-09-10T00:00:00"/>
    <s v="0702299797"/>
    <s v="0712833433"/>
    <s v=""/>
    <n v="102807"/>
    <s v="00100002800"/>
    <s v="Agriculture, Forestry, Fishing and Hunting"/>
    <s v="Animal Production"/>
    <s v="Poultry &amp; Egg Production"/>
    <n v="18829491.420000002"/>
    <n v="0"/>
    <n v="0"/>
    <n v="1"/>
    <n v="0"/>
    <n v="0"/>
  </r>
  <r>
    <s v="ARCHIE LUYIMBAZI"/>
    <x v="3"/>
    <n v="-19"/>
    <n v="4587800.0999999996"/>
    <x v="4"/>
    <n v="61170.67"/>
    <n v="5055573.0199999996"/>
    <d v="2016-09-13T14:49:48"/>
    <d v="2018-03-13T00:00:00"/>
    <s v="0701123334"/>
    <s v=""/>
    <s v=""/>
    <n v="102809"/>
    <s v="00100003954"/>
    <s v="Agriculture, Forestry, Fishing and Hunting"/>
    <s v="Animal Production"/>
    <s v="Poultry &amp; Egg Production"/>
    <n v="0"/>
    <n v="0"/>
    <n v="0"/>
    <n v="0"/>
    <n v="0"/>
    <n v="0"/>
  </r>
  <r>
    <s v="SIMON TWAMBALE"/>
    <x v="0"/>
    <n v="9"/>
    <n v="5883846.4699999997"/>
    <x v="9"/>
    <n v="237774.93"/>
    <n v="7496070.1500000004"/>
    <d v="2016-09-15T15:24:10"/>
    <d v="2018-09-15T00:00:00"/>
    <s v="0772233334"/>
    <s v=""/>
    <s v=""/>
    <n v="102812"/>
    <s v="00100003061"/>
    <s v="Agriculture, Forestry, Fishing and Hunting"/>
    <s v="Animal Production"/>
    <s v="Poultry &amp; Egg Production"/>
    <n v="5883846.4699999997"/>
    <n v="0"/>
    <n v="0"/>
    <n v="1"/>
    <n v="0"/>
    <n v="0"/>
  </r>
  <r>
    <s v="GEOFFREY MUKIIBI"/>
    <x v="1"/>
    <n v="8"/>
    <n v="32315820.850000001"/>
    <x v="2"/>
    <n v="1191944.01"/>
    <n v="52638439.539999999"/>
    <d v="2016-09-16T09:06:52"/>
    <d v="2020-09-16T00:00:00"/>
    <s v="0772851813"/>
    <s v=""/>
    <s v=""/>
    <n v="102813"/>
    <s v="00100003673"/>
    <s v="Real Estate and Rental"/>
    <s v="Rental"/>
    <s v="Others"/>
    <n v="32315820.850000001"/>
    <n v="0"/>
    <n v="0"/>
    <n v="1"/>
    <n v="0"/>
    <n v="0"/>
  </r>
  <r>
    <s v="WINNIE NABANKEMA"/>
    <x v="7"/>
    <n v="68"/>
    <n v="1973998.11"/>
    <x v="11"/>
    <n v="119368.67"/>
    <n v="2157279.86"/>
    <d v="2016-09-16T12:53:08"/>
    <d v="2017-12-16T00:00:00"/>
    <s v="0753623418"/>
    <s v="0778759587"/>
    <s v=""/>
    <n v="102815"/>
    <s v="00100004093"/>
    <s v="Retail"/>
    <s v="Building Material and Garden Equipment"/>
    <s v="Hardware Stores"/>
    <n v="1973998.11"/>
    <n v="1973998.11"/>
    <n v="0"/>
    <n v="1"/>
    <n v="1"/>
    <n v="0"/>
  </r>
  <r>
    <s v="SAUDA NAMUTEBI"/>
    <x v="1"/>
    <n v="0"/>
    <n v="21252828.609999999"/>
    <x v="3"/>
    <n v="616332.03"/>
    <n v="29726751.399999999"/>
    <d v="2016-09-16T16:04:15"/>
    <d v="2019-09-24T00:00:00"/>
    <s v="0774732018"/>
    <s v=""/>
    <s v=""/>
    <n v="102820"/>
    <s v="00100001090"/>
    <s v="Real Estate and Rental"/>
    <s v="Rental"/>
    <s v="Others"/>
    <n v="0"/>
    <n v="0"/>
    <n v="0"/>
    <n v="0"/>
    <n v="0"/>
    <n v="0"/>
  </r>
  <r>
    <s v="JAMES IGA MUKASA"/>
    <x v="0"/>
    <n v="-25"/>
    <n v="737567.53"/>
    <x v="25"/>
    <n v="4425.41"/>
    <n v="822369.06"/>
    <d v="2016-09-19T14:24:19"/>
    <d v="2018-03-19T00:00:00"/>
    <s v="0772604667"/>
    <s v=""/>
    <s v=""/>
    <n v="102824"/>
    <s v="00100004129"/>
    <s v="Real Estate and Rental"/>
    <s v="Rental"/>
    <s v="General Rental Centers"/>
    <n v="0"/>
    <n v="0"/>
    <n v="0"/>
    <n v="0"/>
    <n v="0"/>
    <n v="0"/>
  </r>
  <r>
    <s v="MANN MUYINZA KITUNZI"/>
    <x v="3"/>
    <n v="94"/>
    <n v="13029039.82"/>
    <x v="4"/>
    <n v="856254.75"/>
    <n v="15163368.16"/>
    <d v="2016-09-20T16:06:41"/>
    <d v="2018-03-20T00:00:00"/>
    <s v="0772477089"/>
    <s v=""/>
    <s v=""/>
    <n v="102828"/>
    <s v="00100002336"/>
    <s v="Retail"/>
    <s v="Electronics Stores"/>
    <s v="Radio, Television, &amp; Other Electronics Stores"/>
    <n v="13029039.82"/>
    <n v="13029039.82"/>
    <n v="13029039.82"/>
    <n v="1"/>
    <n v="1"/>
    <n v="1"/>
  </r>
  <r>
    <s v="JAMES BWOYE"/>
    <x v="2"/>
    <n v="113"/>
    <n v="27303712.030000001"/>
    <x v="0"/>
    <n v="1767396.58"/>
    <n v="35139524.329999998"/>
    <d v="2016-09-24T13:56:31"/>
    <d v="2018-10-01T00:00:00"/>
    <s v="0752470092"/>
    <s v="0772470092"/>
    <s v=""/>
    <n v="102835"/>
    <s v="00100003960"/>
    <s v="Educational Services"/>
    <s v="Educational Services"/>
    <s v="Schools"/>
    <n v="27303712.030000001"/>
    <n v="27303712.030000001"/>
    <n v="27303712.030000001"/>
    <n v="1"/>
    <n v="1"/>
    <n v="1"/>
  </r>
  <r>
    <s v="CAXTON ETII"/>
    <x v="3"/>
    <n v="-7"/>
    <n v="9805290.6500000004"/>
    <x v="25"/>
    <n v="287621.86"/>
    <n v="12311909.609999999"/>
    <d v="2016-09-28T16:45:49"/>
    <d v="2018-10-01T00:00:00"/>
    <s v="0772667995"/>
    <s v=""/>
    <s v=""/>
    <n v="102838"/>
    <s v="00100004139"/>
    <s v="Restaurants and Hotels"/>
    <s v="Hotel"/>
    <s v="Others"/>
    <n v="0"/>
    <n v="0"/>
    <n v="0"/>
    <n v="0"/>
    <n v="0"/>
    <n v="0"/>
  </r>
  <r>
    <s v="PAUL SSETTIMBA"/>
    <x v="1"/>
    <n v="51"/>
    <n v="1492287.63"/>
    <x v="1"/>
    <n v="46773.46"/>
    <n v="1539061.09"/>
    <d v="2016-09-30T14:09:52"/>
    <d v="2017-10-03T00:00:00"/>
    <s v="0772481321"/>
    <s v="0704481321"/>
    <s v=""/>
    <n v="102841"/>
    <s v="00100002001"/>
    <s v="Educational Services"/>
    <s v="Educational Services"/>
    <s v="Schools"/>
    <n v="1492287.63"/>
    <n v="1492287.63"/>
    <n v="0"/>
    <n v="1"/>
    <n v="1"/>
    <n v="0"/>
  </r>
  <r>
    <s v="MARIAM NASSEJJE"/>
    <x v="7"/>
    <n v="53"/>
    <n v="226805.78"/>
    <x v="26"/>
    <n v="0"/>
    <n v="226805.78"/>
    <d v="2016-09-30T18:13:51"/>
    <d v="2017-10-01T00:00:00"/>
    <s v="0701306015"/>
    <s v="0701306615"/>
    <s v=""/>
    <n v="102843"/>
    <s v="00100004152"/>
    <s v="Real Estate and Rental"/>
    <s v="Rental"/>
    <s v="Others"/>
    <n v="226805.78"/>
    <n v="226805.78"/>
    <n v="0"/>
    <n v="1"/>
    <n v="1"/>
    <n v="0"/>
  </r>
  <r>
    <s v="JOSEPHINE KAYONDO"/>
    <x v="1"/>
    <n v="-9"/>
    <n v="9202028.8800000008"/>
    <x v="1"/>
    <n v="204489.53"/>
    <n v="13321235.119999999"/>
    <d v="2016-09-30T12:12:09"/>
    <d v="2019-10-03T00:00:00"/>
    <s v="0772405734"/>
    <s v=""/>
    <s v=""/>
    <n v="102845"/>
    <s v="00100004164"/>
    <s v="Real Estate and Rental"/>
    <s v="Rental"/>
    <s v="General Rental Centers"/>
    <n v="0"/>
    <n v="0"/>
    <n v="0"/>
    <n v="0"/>
    <n v="0"/>
    <n v="0"/>
  </r>
  <r>
    <s v="BONIFACE ZZIWA"/>
    <x v="2"/>
    <n v="19"/>
    <n v="37664953.229999997"/>
    <x v="10"/>
    <n v="639221.94999999995"/>
    <n v="44371525.200000003"/>
    <d v="2016-10-05T11:56:59"/>
    <d v="2018-10-05T00:00:00"/>
    <s v="0782668329"/>
    <s v=""/>
    <s v="0772464651"/>
    <n v="102848"/>
    <s v="00100000071"/>
    <s v="Wholesale Trade"/>
    <s v="Nondurable Goods"/>
    <s v="Others"/>
    <n v="37664953.229999997"/>
    <n v="0"/>
    <n v="0"/>
    <n v="1"/>
    <n v="0"/>
    <n v="0"/>
  </r>
  <r>
    <s v="ZZIMULA KASIRYE"/>
    <x v="1"/>
    <n v="-13"/>
    <n v="23345107.75"/>
    <x v="24"/>
    <n v="415024.14"/>
    <n v="28268733.850000001"/>
    <d v="2016-10-07T11:31:01"/>
    <d v="2018-10-07T00:00:00"/>
    <s v="0772593219"/>
    <s v="0701593219"/>
    <s v=""/>
    <n v="102849"/>
    <s v="00100004141"/>
    <s v="Manufacturing"/>
    <s v="Fabricated Metal Product Manufacturing"/>
    <s v="Others"/>
    <n v="0"/>
    <n v="0"/>
    <n v="0"/>
    <n v="0"/>
    <n v="0"/>
    <n v="0"/>
  </r>
  <r>
    <s v="JUDE KALANZI"/>
    <x v="0"/>
    <n v="17"/>
    <n v="3071598.41"/>
    <x v="24"/>
    <n v="98518.95"/>
    <n v="3262175.13"/>
    <d v="2016-10-07T14:38:51"/>
    <d v="2018-01-07T00:00:00"/>
    <s v="0782416127"/>
    <s v="070016703"/>
    <s v=""/>
    <n v="102850"/>
    <s v="00100004168"/>
    <s v="Real Estate and Rental"/>
    <s v="Rental"/>
    <s v="General Rental Centers"/>
    <n v="3071598.41"/>
    <n v="0"/>
    <n v="0"/>
    <n v="1"/>
    <n v="0"/>
    <n v="0"/>
  </r>
  <r>
    <s v="MICROS KIRYA"/>
    <x v="6"/>
    <n v="-26"/>
    <n v="2353744.7999999998"/>
    <x v="17"/>
    <n v="4903.6400000000003"/>
    <n v="2658065.13"/>
    <d v="2016-10-11T13:40:39"/>
    <d v="2018-10-20T00:00:00"/>
    <s v="0782741090"/>
    <s v=""/>
    <s v=""/>
    <n v="102852"/>
    <s v="00100002283"/>
    <s v="Finance and Insurance"/>
    <s v="Finance"/>
    <s v="Microfinance Institutions"/>
    <n v="0"/>
    <n v="0"/>
    <n v="0"/>
    <n v="0"/>
    <n v="0"/>
    <n v="0"/>
  </r>
  <r>
    <s v="MARTIN KIBIRIGE"/>
    <x v="2"/>
    <n v="-18"/>
    <n v="48956677.560000002"/>
    <x v="12"/>
    <n v="538523.44999999995"/>
    <n v="68476672.420000002"/>
    <d v="2016-10-12T16:28:56"/>
    <d v="2019-10-12T00:00:00"/>
    <s v="0781731200"/>
    <s v=""/>
    <s v=""/>
    <n v="102854"/>
    <s v="00100002845"/>
    <s v="Manufacturing"/>
    <s v="Others"/>
    <s v="Others"/>
    <n v="0"/>
    <n v="0"/>
    <n v="0"/>
    <n v="0"/>
    <n v="0"/>
    <n v="0"/>
  </r>
  <r>
    <s v="MASITULA  K KINTU"/>
    <x v="0"/>
    <n v="99"/>
    <n v="9479857.4000000004"/>
    <x v="25"/>
    <n v="724059.04"/>
    <n v="12776089.220000001"/>
    <d v="2016-10-15T10:15:15"/>
    <d v="2018-10-15T00:00:00"/>
    <s v="0782878844"/>
    <s v="0701878844"/>
    <s v=""/>
    <n v="102856"/>
    <s v="00100002853"/>
    <s v="Real Estate and Rental"/>
    <s v="Real Estate"/>
    <s v="Others"/>
    <n v="9479857.4000000004"/>
    <n v="9479857.4000000004"/>
    <n v="9479857.4000000004"/>
    <n v="1"/>
    <n v="1"/>
    <n v="1"/>
  </r>
  <r>
    <s v="ABDALLA KYEZIRA"/>
    <x v="1"/>
    <n v="34"/>
    <n v="14011588.01"/>
    <x v="3"/>
    <n v="674258.68"/>
    <n v="15015471.960000001"/>
    <d v="2016-10-20T13:05:40"/>
    <d v="2018-01-20T00:00:00"/>
    <s v="0772967711"/>
    <s v=""/>
    <s v=""/>
    <n v="102860"/>
    <s v="00100003351"/>
    <s v="Retail"/>
    <s v="Others"/>
    <s v="Others"/>
    <n v="14011588.01"/>
    <n v="14011588.01"/>
    <n v="0"/>
    <n v="1"/>
    <n v="1"/>
    <n v="0"/>
  </r>
  <r>
    <s v="HILLARY INNOCENT KIYAGA"/>
    <x v="1"/>
    <n v="4"/>
    <n v="11942392.939999999"/>
    <x v="23"/>
    <n v="435135.49"/>
    <n v="14685056.560000001"/>
    <d v="2016-10-20T14:23:24"/>
    <d v="2018-10-20T00:00:00"/>
    <s v="0752977115"/>
    <s v="0776090900"/>
    <s v=""/>
    <n v="102861"/>
    <s v="00100004181"/>
    <s v="Transportation and Warehousing"/>
    <s v="Others"/>
    <s v="Others"/>
    <n v="11942392.939999999"/>
    <n v="0"/>
    <n v="0"/>
    <n v="1"/>
    <n v="0"/>
    <n v="0"/>
  </r>
  <r>
    <s v="DAVID KIWANUKA MAYITO"/>
    <x v="1"/>
    <n v="3"/>
    <n v="12023537.32"/>
    <x v="22"/>
    <n v="384054.69"/>
    <n v="17039011.420000002"/>
    <d v="2016-10-21T17:13:39"/>
    <d v="2019-10-21T00:00:00"/>
    <s v="0772523976"/>
    <s v="0704141837"/>
    <s v=""/>
    <n v="102866"/>
    <s v="00100000109"/>
    <s v="Real Estate and Rental"/>
    <s v="Rental"/>
    <s v="General Rental Centers"/>
    <n v="12023537.32"/>
    <n v="0"/>
    <n v="0"/>
    <n v="1"/>
    <n v="0"/>
    <n v="0"/>
  </r>
  <r>
    <s v="GIDEON KIGONYA"/>
    <x v="2"/>
    <n v="20"/>
    <n v="40965108.899999999"/>
    <x v="2"/>
    <n v="774591.87"/>
    <n v="67417882.340000004"/>
    <d v="2016-10-24T13:14:05"/>
    <d v="2020-11-04T00:00:00"/>
    <s v="0782681117"/>
    <s v="0704265522"/>
    <s v=""/>
    <n v="102871"/>
    <s v="00100003041"/>
    <s v="Retail"/>
    <s v="General Merchandise Stores"/>
    <s v="Others"/>
    <n v="40965108.899999999"/>
    <n v="0"/>
    <n v="0"/>
    <n v="1"/>
    <n v="0"/>
    <n v="0"/>
  </r>
  <r>
    <s v="JACOB WATUUTUBIRA"/>
    <x v="2"/>
    <n v="50"/>
    <n v="33350739.02"/>
    <x v="12"/>
    <n v="1538222.59"/>
    <n v="49300163.399999999"/>
    <d v="2016-10-25T09:28:10"/>
    <d v="2019-11-04T00:00:00"/>
    <s v="0772470373"/>
    <s v=""/>
    <s v=""/>
    <n v="102872"/>
    <s v="00100003964"/>
    <s v="Transportation and Warehousing"/>
    <s v="Truck Transportation"/>
    <s v="General Freight Trucking, Local"/>
    <n v="33350739.02"/>
    <n v="33350739.02"/>
    <n v="0"/>
    <n v="1"/>
    <n v="1"/>
    <n v="0"/>
  </r>
  <r>
    <s v="REBECCA MUSOKE NAGAWA"/>
    <x v="3"/>
    <n v="-1"/>
    <n v="9327329.2699999996"/>
    <x v="27"/>
    <n v="304692.76"/>
    <n v="11582746.4"/>
    <d v="2016-10-25T12:29:01"/>
    <d v="2018-10-25T00:00:00"/>
    <s v="0772691939"/>
    <s v=""/>
    <s v=""/>
    <n v="102874"/>
    <s v="00100000118"/>
    <s v="Retail"/>
    <s v="Others"/>
    <s v="Others"/>
    <n v="0"/>
    <n v="0"/>
    <n v="0"/>
    <n v="0"/>
    <n v="0"/>
    <n v="0"/>
  </r>
  <r>
    <s v="SARAH NAMALE"/>
    <x v="2"/>
    <n v="-11"/>
    <n v="39124507.549999997"/>
    <x v="5"/>
    <n v="704241.14"/>
    <n v="55444825.659999996"/>
    <d v="2016-10-26T14:07:28"/>
    <d v="2019-11-05T00:00:00"/>
    <s v="0776624267"/>
    <s v=""/>
    <s v=""/>
    <n v="102877"/>
    <s v="00100003218"/>
    <s v="Mining"/>
    <s v="Mining and Extraction"/>
    <s v="Sand, Gravel, Clay, &amp; Ceramic"/>
    <n v="0"/>
    <n v="0"/>
    <n v="0"/>
    <n v="0"/>
    <n v="0"/>
    <n v="0"/>
  </r>
  <r>
    <s v="ALEX TOZI"/>
    <x v="0"/>
    <n v="53"/>
    <n v="2423977.04"/>
    <x v="13"/>
    <n v="128360.66"/>
    <n v="2553985.37"/>
    <d v="2016-10-27T14:35:24"/>
    <d v="2017-11-01T00:00:00"/>
    <s v="0772778999"/>
    <s v="0702778999"/>
    <s v=""/>
    <n v="102878"/>
    <s v="00100002907"/>
    <s v="Retail"/>
    <s v="Motor Vehicle and Parts Dealers"/>
    <s v="Others"/>
    <n v="2423977.04"/>
    <n v="2423977.04"/>
    <n v="0"/>
    <n v="1"/>
    <n v="1"/>
    <n v="0"/>
  </r>
  <r>
    <s v="JOHN KASIBANTE"/>
    <x v="1"/>
    <n v="23"/>
    <n v="52044568.159999996"/>
    <x v="3"/>
    <n v="2293496.9"/>
    <n v="74338802.530000001"/>
    <d v="2016-10-27T14:51:39"/>
    <d v="2019-11-01T00:00:00"/>
    <s v="0772537791"/>
    <s v=""/>
    <s v=""/>
    <n v="102879"/>
    <s v="00100003492"/>
    <s v="Real Estate and Rental"/>
    <s v="Rental"/>
    <s v="Others"/>
    <n v="52044568.159999996"/>
    <n v="0"/>
    <n v="0"/>
    <n v="1"/>
    <n v="0"/>
    <n v="0"/>
  </r>
  <r>
    <s v="SENGENDO SEMPALA"/>
    <x v="3"/>
    <n v="-7"/>
    <n v="5119768.72"/>
    <x v="5"/>
    <n v="131407.4"/>
    <n v="5693229.7699999996"/>
    <d v="2016-10-28T11:58:21"/>
    <d v="2019-05-01T00:00:00"/>
    <s v="0758112858"/>
    <s v="0776060500"/>
    <s v="0779112858"/>
    <n v="102881"/>
    <s v="00100000308"/>
    <s v="Wholesale Trade"/>
    <s v="Nondurable Goods"/>
    <s v="Others"/>
    <n v="0"/>
    <n v="0"/>
    <n v="0"/>
    <n v="0"/>
    <n v="0"/>
    <n v="0"/>
  </r>
  <r>
    <s v="ASUMANI ` LUZZE"/>
    <x v="1"/>
    <n v="20"/>
    <n v="4551947.53"/>
    <x v="9"/>
    <n v="118249.84"/>
    <n v="5020807"/>
    <d v="2016-10-29T13:45:17"/>
    <d v="2018-05-04T00:00:00"/>
    <s v="0750818923"/>
    <s v=""/>
    <s v=""/>
    <n v="102886"/>
    <s v="00100003766"/>
    <s v="Real Estate and Rental"/>
    <s v="Rental"/>
    <s v="Others"/>
    <n v="4551947.53"/>
    <n v="0"/>
    <n v="0"/>
    <n v="1"/>
    <n v="0"/>
    <n v="0"/>
  </r>
  <r>
    <s v="EDWARD KASULE"/>
    <x v="3"/>
    <n v="74"/>
    <n v="5228891.32"/>
    <x v="7"/>
    <n v="95983.99"/>
    <n v="5324875.3099999996"/>
    <d v="2016-10-31T12:29:45"/>
    <d v="2017-10-10T00:00:00"/>
    <s v="0782672657"/>
    <s v="0705739352"/>
    <s v=""/>
    <n v="102889"/>
    <s v="00100000050"/>
    <s v="Transportation and Warehousing"/>
    <s v=" Passenger Transportation"/>
    <s v="Others"/>
    <n v="5228891.32"/>
    <n v="5228891.32"/>
    <n v="0"/>
    <n v="1"/>
    <n v="1"/>
    <n v="0"/>
  </r>
  <r>
    <s v="DAISY SANDRA MUTAGUBYA"/>
    <x v="2"/>
    <n v="0"/>
    <n v="35474895.289999999"/>
    <x v="13"/>
    <n v="1028771.96"/>
    <n v="50272821.670000002"/>
    <d v="2016-10-31T14:44:15"/>
    <d v="2019-10-24T00:00:00"/>
    <s v="0752644332"/>
    <s v="0701644332"/>
    <s v=""/>
    <n v="102891"/>
    <s v="00100002342"/>
    <s v="Transportation and Warehousing"/>
    <s v="Truck Transportation"/>
    <s v="General Freight Trucking, Long-distance"/>
    <n v="0"/>
    <n v="0"/>
    <n v="0"/>
    <n v="0"/>
    <n v="0"/>
    <n v="0"/>
  </r>
  <r>
    <s v="JOSEPH EPODOI"/>
    <x v="2"/>
    <n v="-11"/>
    <n v="50479884.149999999"/>
    <x v="15"/>
    <n v="908637.91"/>
    <n v="83238128.200000003"/>
    <d v="2016-10-31T16:32:22"/>
    <d v="2020-11-05T00:00:00"/>
    <s v="0776300222"/>
    <s v="0755888777"/>
    <s v=""/>
    <n v="102894"/>
    <s v="00100002981"/>
    <s v="Agriculture, Forestry, Fishing and Hunting"/>
    <s v="Animal Production"/>
    <s v="Poultry &amp; Egg Production"/>
    <n v="0"/>
    <n v="0"/>
    <n v="0"/>
    <n v="0"/>
    <n v="0"/>
    <n v="0"/>
  </r>
  <r>
    <s v="ENID KANYONYI"/>
    <x v="3"/>
    <n v="-7"/>
    <n v="19418560.120000001"/>
    <x v="9"/>
    <n v="427208.32"/>
    <n v="27518779.16"/>
    <d v="2016-10-31T17:06:11"/>
    <d v="2019-11-01T00:00:00"/>
    <s v="0702844606"/>
    <s v="0772616583"/>
    <s v=""/>
    <n v="102895"/>
    <s v="00100000671"/>
    <s v="Real Estate and Rental"/>
    <s v="Rental"/>
    <s v="General Rental Centers"/>
    <n v="0"/>
    <n v="0"/>
    <n v="0"/>
    <n v="0"/>
    <n v="0"/>
    <n v="0"/>
  </r>
  <r>
    <s v="ESTHER MULABIZA"/>
    <x v="2"/>
    <n v="53"/>
    <n v="43397347.869999997"/>
    <x v="7"/>
    <n v="2516836.4900000002"/>
    <n v="53777124.939999998"/>
    <d v="2016-10-31T20:05:34"/>
    <d v="2018-11-01T00:00:00"/>
    <s v="0781537938"/>
    <s v=""/>
    <s v=""/>
    <n v="102898"/>
    <s v="00100003904"/>
    <s v="Retail"/>
    <s v="Building Material and Garden Equipment"/>
    <s v="Hardware Stores"/>
    <n v="43397347.869999997"/>
    <n v="43397347.869999997"/>
    <n v="0"/>
    <n v="1"/>
    <n v="1"/>
    <n v="0"/>
  </r>
  <r>
    <s v="EMMANUEL MBUGANO KITYO"/>
    <x v="1"/>
    <n v="-7"/>
    <n v="15742332.01"/>
    <x v="24"/>
    <n v="384812.56"/>
    <n v="23117703.609999999"/>
    <d v="2016-10-31T20:46:51"/>
    <d v="2019-11-01T00:00:00"/>
    <s v="0774047161"/>
    <s v=""/>
    <s v=""/>
    <n v="102900"/>
    <s v="00100004184"/>
    <s v="Real Estate and Rental"/>
    <s v="Real Estate"/>
    <s v="Others"/>
    <n v="0"/>
    <n v="0"/>
    <n v="0"/>
    <n v="0"/>
    <n v="0"/>
    <n v="0"/>
  </r>
  <r>
    <s v="MUHAMMAD SENABULYA"/>
    <x v="1"/>
    <n v="-7"/>
    <n v="10232515.77"/>
    <x v="24"/>
    <n v="250128.16"/>
    <n v="15026507.220000001"/>
    <d v="2016-10-31T21:29:51"/>
    <d v="2019-11-01T00:00:00"/>
    <s v="0712810006"/>
    <s v=""/>
    <s v=""/>
    <n v="102901"/>
    <s v="00100004192"/>
    <s v="Real Estate and Rental"/>
    <s v="Rental"/>
    <s v="Others"/>
    <n v="0"/>
    <n v="0"/>
    <n v="0"/>
    <n v="0"/>
    <n v="0"/>
    <n v="0"/>
  </r>
  <r>
    <s v="SAMUEL WAMALA"/>
    <x v="3"/>
    <n v="22"/>
    <n v="12893149.109999999"/>
    <x v="13"/>
    <n v="344700.86"/>
    <n v="16323243.58"/>
    <d v="2016-11-02T16:41:30"/>
    <d v="2018-11-02T00:00:00"/>
    <s v="0772507210"/>
    <s v="0702507210"/>
    <s v=""/>
    <n v="102903"/>
    <s v="00100004176"/>
    <s v="Retail"/>
    <s v="Motor Vehicle and Parts Dealers"/>
    <s v="Used Car Dealers"/>
    <n v="12893149.109999999"/>
    <n v="0"/>
    <n v="0"/>
    <n v="1"/>
    <n v="0"/>
    <n v="0"/>
  </r>
  <r>
    <s v="JULIET NAMUZZA"/>
    <x v="8"/>
    <n v="21"/>
    <n v="619690.30000000005"/>
    <x v="24"/>
    <n v="9700.8799999999992"/>
    <n v="629391.18000000005"/>
    <d v="2016-11-03T16:42:01"/>
    <d v="2017-11-03T00:00:00"/>
    <s v="0774042300"/>
    <s v=""/>
    <s v=""/>
    <n v="102904"/>
    <s v="00100004203"/>
    <s v="Manufacturing"/>
    <s v="Others"/>
    <s v="Others"/>
    <n v="619690.30000000005"/>
    <n v="0"/>
    <n v="0"/>
    <n v="1"/>
    <n v="0"/>
    <n v="0"/>
  </r>
  <r>
    <s v="JOHN LWANGA"/>
    <x v="0"/>
    <n v="21"/>
    <n v="524718.64"/>
    <x v="5"/>
    <n v="23612.34"/>
    <n v="548330.98"/>
    <d v="2016-11-03T17:40:37"/>
    <d v="2017-11-03T00:00:00"/>
    <s v="0772893143"/>
    <s v="0705080344"/>
    <s v=""/>
    <n v="102905"/>
    <s v="00100004154"/>
    <s v="Real Estate and Rental"/>
    <s v="Rental"/>
    <s v="General Rental Centers"/>
    <n v="524718.64"/>
    <n v="0"/>
    <n v="0"/>
    <n v="1"/>
    <n v="0"/>
    <n v="0"/>
  </r>
  <r>
    <s v="THOMAS SSEKIZIYIVU"/>
    <x v="2"/>
    <n v="-11"/>
    <n v="53372255.450000003"/>
    <x v="16"/>
    <n v="960700.6"/>
    <n v="88007464.780000001"/>
    <d v="2016-11-05T13:24:40"/>
    <d v="2020-11-05T00:00:00"/>
    <s v="0773722372"/>
    <s v="0752539459"/>
    <s v=""/>
    <n v="102909"/>
    <s v="00100003301"/>
    <s v="Real Estate and Rental"/>
    <s v="Rental"/>
    <s v="General Rental Centers"/>
    <n v="0"/>
    <n v="0"/>
    <n v="0"/>
    <n v="0"/>
    <n v="0"/>
    <n v="0"/>
  </r>
  <r>
    <s v="COSSY NANKYA LWANGA"/>
    <x v="8"/>
    <n v="13"/>
    <n v="438630.34"/>
    <x v="22"/>
    <n v="0"/>
    <n v="438630.34"/>
    <d v="2016-11-11T15:46:51"/>
    <d v="2017-11-11T00:00:00"/>
    <s v="0772526883"/>
    <s v="0756700257"/>
    <s v=""/>
    <n v="102916"/>
    <s v="00100001479"/>
    <s v="Real Estate and Rental"/>
    <s v="Rental"/>
    <s v="Others"/>
    <n v="438630.34"/>
    <n v="0"/>
    <n v="0"/>
    <n v="1"/>
    <n v="0"/>
    <n v="0"/>
  </r>
  <r>
    <s v="DICK KASUJJA"/>
    <x v="1"/>
    <n v="12"/>
    <n v="39365416.740000002"/>
    <x v="2"/>
    <n v="427055.86"/>
    <n v="55560073.270000003"/>
    <d v="2016-11-11T17:04:13"/>
    <d v="2019-11-12T00:00:00"/>
    <s v="0782643995"/>
    <s v="0706580670"/>
    <s v=""/>
    <n v="102917"/>
    <s v="00100002514"/>
    <s v="Retail"/>
    <s v="Others"/>
    <s v="Others"/>
    <n v="39365416.740000002"/>
    <n v="0"/>
    <n v="0"/>
    <n v="1"/>
    <n v="0"/>
    <n v="0"/>
  </r>
  <r>
    <s v="AIDAH NAKAZIBWE"/>
    <x v="7"/>
    <n v="42"/>
    <n v="821473.39"/>
    <x v="7"/>
    <n v="55226.51"/>
    <n v="877329.56"/>
    <d v="2016-11-12T12:03:49"/>
    <d v="2017-11-12T00:00:00"/>
    <s v="0785654559"/>
    <s v="0752366431"/>
    <s v=""/>
    <n v="102919"/>
    <s v="00100004182"/>
    <s v="Educational Services"/>
    <s v="Educational Services"/>
    <s v="Schools"/>
    <n v="821473.39"/>
    <n v="821473.39"/>
    <n v="0"/>
    <n v="1"/>
    <n v="1"/>
    <n v="0"/>
  </r>
  <r>
    <s v="VINCENT NICHOLAS KIBERU"/>
    <x v="3"/>
    <n v="-20"/>
    <n v="9628210.9199999999"/>
    <x v="4"/>
    <n v="101096.21"/>
    <n v="11956383.52"/>
    <d v="2016-11-14T17:32:27"/>
    <d v="2018-11-14T00:00:00"/>
    <s v="0702079394"/>
    <s v=""/>
    <s v=""/>
    <n v="102923"/>
    <s v="00100003600"/>
    <s v="Retail"/>
    <s v="Building Material and Garden Equipment"/>
    <s v="Hardware Stores"/>
    <n v="0"/>
    <n v="0"/>
    <n v="0"/>
    <n v="0"/>
    <n v="0"/>
    <n v="0"/>
  </r>
  <r>
    <s v="MEDI SSALI"/>
    <x v="3"/>
    <n v="39"/>
    <n v="3215479.8"/>
    <x v="24"/>
    <n v="192004.07"/>
    <n v="3409669.56"/>
    <d v="2016-11-15T17:27:11"/>
    <d v="2017-11-15T00:00:00"/>
    <s v="0756500666"/>
    <s v=""/>
    <s v=""/>
    <n v="102926"/>
    <s v="00100003337"/>
    <s v="Transportation and Warehousing"/>
    <s v=" Passenger Transportation"/>
    <s v="Taxi service"/>
    <n v="3215479.8"/>
    <n v="3215479.8"/>
    <n v="0"/>
    <n v="1"/>
    <n v="1"/>
    <n v="0"/>
  </r>
  <r>
    <s v="DESIRE SSESSANGA"/>
    <x v="1"/>
    <n v="8"/>
    <n v="20186644.280000001"/>
    <x v="1"/>
    <n v="687736.63"/>
    <n v="29930806.82"/>
    <d v="2016-11-16T16:26:35"/>
    <d v="2019-11-16T00:00:00"/>
    <s v="0782094719"/>
    <s v="0704601166"/>
    <s v=""/>
    <n v="102928"/>
    <s v="00100003944"/>
    <s v="Real Estate and Rental"/>
    <s v="Rental"/>
    <s v="General Rental Centers"/>
    <n v="20186644.280000001"/>
    <n v="0"/>
    <n v="0"/>
    <n v="1"/>
    <n v="0"/>
    <n v="0"/>
  </r>
  <r>
    <s v="DEUS MONDAY"/>
    <x v="1"/>
    <n v="-23"/>
    <n v="56164676.759999998"/>
    <x v="12"/>
    <n v="336988.06"/>
    <n v="92611990.459999993"/>
    <d v="2016-11-17T10:19:34"/>
    <d v="2020-11-17T00:00:00"/>
    <s v="0782916594"/>
    <s v="0757400857"/>
    <s v=""/>
    <n v="102929"/>
    <s v="00100002550"/>
    <s v="Real Estate and Rental"/>
    <s v="Rental"/>
    <s v="Others"/>
    <n v="0"/>
    <n v="0"/>
    <n v="0"/>
    <n v="0"/>
    <n v="0"/>
    <n v="0"/>
  </r>
  <r>
    <s v="RAMADHAN MUREKYERE"/>
    <x v="2"/>
    <n v="-23"/>
    <n v="50421285.609999999"/>
    <x v="9"/>
    <n v="302527.71000000002"/>
    <n v="71453919.040000007"/>
    <d v="2016-11-17T18:43:37"/>
    <d v="2019-11-17T00:00:00"/>
    <s v="0773370932"/>
    <s v="0754716585"/>
    <s v=""/>
    <n v="102932"/>
    <s v="00100000531"/>
    <s v="Manufacturing"/>
    <s v="Apparel Manufacturing"/>
    <s v="Apparel Manufacturing"/>
    <n v="0"/>
    <n v="0"/>
    <n v="0"/>
    <n v="0"/>
    <n v="0"/>
    <n v="0"/>
  </r>
  <r>
    <s v="FRED LUBEGA"/>
    <x v="2"/>
    <n v="65"/>
    <n v="35245210.909999996"/>
    <x v="7"/>
    <n v="2087250.13"/>
    <n v="44285561.93"/>
    <d v="2016-11-19T13:06:11"/>
    <d v="2018-11-19T00:00:00"/>
    <s v="0792122813"/>
    <s v=""/>
    <s v=""/>
    <n v="102933"/>
    <s v="00100000624"/>
    <s v="Wholesale Trade"/>
    <s v="Nondurable Goods"/>
    <s v="Farm Product Raw Materials"/>
    <n v="35245210.909999996"/>
    <n v="35245210.909999996"/>
    <n v="0"/>
    <n v="1"/>
    <n v="1"/>
    <n v="0"/>
  </r>
  <r>
    <s v="GRACE KIZITO"/>
    <x v="1"/>
    <n v="3"/>
    <n v="15951764.710000001"/>
    <x v="6"/>
    <n v="410719.2"/>
    <n v="22803035.010000002"/>
    <d v="2016-11-21T11:10:38"/>
    <d v="2019-11-21T00:00:00"/>
    <s v="0712834223"/>
    <s v=""/>
    <s v=""/>
    <n v="102935"/>
    <s v="00100002702"/>
    <s v="Agriculture, Forestry, Fishing and Hunting"/>
    <s v="Animal Production"/>
    <s v="Poultry &amp; Egg Production"/>
    <n v="15951764.710000001"/>
    <n v="0"/>
    <n v="0"/>
    <n v="1"/>
    <n v="0"/>
    <n v="0"/>
  </r>
  <r>
    <s v="JOSEPH KAYANJA"/>
    <x v="0"/>
    <n v="2"/>
    <n v="307362.03000000003"/>
    <x v="12"/>
    <n v="6269.13"/>
    <n v="313631.15999999997"/>
    <d v="2016-11-22T14:58:35"/>
    <d v="2017-11-22T00:00:00"/>
    <s v="0712800654"/>
    <s v="0702800654"/>
    <s v=""/>
    <n v="102936"/>
    <s v="00100000843"/>
    <s v="Real Estate and Rental"/>
    <s v="Rental"/>
    <s v="Others"/>
    <n v="307362.03000000003"/>
    <n v="0"/>
    <n v="0"/>
    <n v="1"/>
    <n v="0"/>
    <n v="0"/>
  </r>
  <r>
    <s v="HANNINGTON KAWAGGA"/>
    <x v="2"/>
    <n v="2"/>
    <n v="21978832.079999998"/>
    <x v="9"/>
    <n v="500039.18"/>
    <n v="26686676.91"/>
    <d v="2016-11-22T09:51:07"/>
    <d v="2018-11-22T00:00:00"/>
    <s v="0772432743"/>
    <s v="0751600220"/>
    <s v=""/>
    <n v="102937"/>
    <s v="00100003498"/>
    <s v="Transportation and Warehousing"/>
    <s v="Truck Transportation"/>
    <s v="Others"/>
    <n v="21978832.079999998"/>
    <n v="0"/>
    <n v="0"/>
    <n v="1"/>
    <n v="0"/>
    <n v="0"/>
  </r>
  <r>
    <s v="ROBERT TWESIGYE"/>
    <x v="2"/>
    <n v="2"/>
    <n v="51843235.170000002"/>
    <x v="13"/>
    <n v="1398456.93"/>
    <n v="74223904.239999995"/>
    <d v="2016-11-22T10:43:13"/>
    <d v="2019-11-22T00:00:00"/>
    <s v="0704624208"/>
    <s v=""/>
    <s v=""/>
    <n v="102938"/>
    <s v="00100003670"/>
    <s v="Real Estate and Rental"/>
    <s v="Rental"/>
    <s v="Others"/>
    <n v="51843235.170000002"/>
    <n v="0"/>
    <n v="0"/>
    <n v="1"/>
    <n v="0"/>
    <n v="0"/>
  </r>
  <r>
    <s v="PAUL LUYINDA KIMULI"/>
    <x v="2"/>
    <n v="-28"/>
    <n v="24047074.66"/>
    <x v="25"/>
    <n v="24047.07"/>
    <n v="34078022.880000003"/>
    <d v="2016-11-22T15:20:21"/>
    <d v="2019-11-22T00:00:00"/>
    <s v="0776810597"/>
    <s v=""/>
    <s v=""/>
    <n v="102939"/>
    <s v="00100003694"/>
    <s v="Educational Services"/>
    <s v="Educational Services"/>
    <s v="Schools"/>
    <n v="0"/>
    <n v="0"/>
    <n v="0"/>
    <n v="0"/>
    <n v="0"/>
    <n v="0"/>
  </r>
  <r>
    <s v="WILBERFORCE WAFULA"/>
    <x v="3"/>
    <n v="0"/>
    <n v="24368329.510000002"/>
    <x v="12"/>
    <n v="824461.82"/>
    <n v="36963122.310000002"/>
    <d v="2016-11-24T15:29:03"/>
    <d v="2019-11-24T00:00:00"/>
    <s v="0772578868"/>
    <s v="070131455"/>
    <s v=""/>
    <n v="102942"/>
    <s v="00100001283"/>
    <s v="Retail"/>
    <s v="General Merchandise Stores"/>
    <s v="Others"/>
    <n v="0"/>
    <n v="0"/>
    <n v="0"/>
    <n v="0"/>
    <n v="0"/>
    <n v="0"/>
  </r>
  <r>
    <s v="SIMPSON BRIAN AINAMANI"/>
    <x v="0"/>
    <n v="0"/>
    <n v="524718.64"/>
    <x v="13"/>
    <n v="22825.26"/>
    <n v="548330.98"/>
    <d v="2016-11-24T14:16:40"/>
    <d v="2017-11-24T00:00:00"/>
    <s v="0772465913"/>
    <s v="0702944257"/>
    <s v=""/>
    <n v="102944"/>
    <s v="00100002150"/>
    <s v="Real Estate and Rental"/>
    <s v="Rental"/>
    <s v="General Rental Centers"/>
    <n v="0"/>
    <n v="0"/>
    <n v="0"/>
    <n v="0"/>
    <n v="0"/>
    <n v="0"/>
  </r>
  <r>
    <s v="MIPH MUGABI"/>
    <x v="2"/>
    <n v="0"/>
    <n v="43867352.810000002"/>
    <x v="4"/>
    <n v="1272153.23"/>
    <n v="62980217.009999998"/>
    <d v="2016-11-24T18:55:41"/>
    <d v="2019-11-24T00:00:00"/>
    <s v="07510332227"/>
    <s v="0782804857"/>
    <s v=""/>
    <n v="102945"/>
    <s v="00100002900"/>
    <s v="Agriculture, Forestry, Fishing and Hunting"/>
    <s v="Fishing and Hunting"/>
    <s v="Fishing"/>
    <n v="0"/>
    <n v="0"/>
    <n v="0"/>
    <n v="0"/>
    <n v="0"/>
    <n v="0"/>
  </r>
  <r>
    <s v="STEPHEN KAMULEGEYA"/>
    <x v="0"/>
    <n v="-8"/>
    <n v="723614.31"/>
    <x v="15"/>
    <n v="20261.2"/>
    <n v="752558.88"/>
    <d v="2016-11-25T14:10:45"/>
    <d v="2017-12-02T00:00:00"/>
    <s v="0772507123"/>
    <s v="0702507123"/>
    <s v=""/>
    <n v="102946"/>
    <s v="00100002455"/>
    <s v="Retail"/>
    <s v="Motor Vehicle and Parts Dealers"/>
    <s v="Others"/>
    <n v="0"/>
    <n v="0"/>
    <n v="0"/>
    <n v="0"/>
    <n v="0"/>
    <n v="0"/>
  </r>
  <r>
    <s v="ESAU ABAINOMUGISHA"/>
    <x v="0"/>
    <n v="22"/>
    <n v="3963617.78"/>
    <x v="10"/>
    <n v="110680.65"/>
    <n v="4366654.16"/>
    <d v="2016-11-25T16:19:59"/>
    <d v="2018-03-02T00:00:00"/>
    <s v="0772578121"/>
    <s v="0703067728"/>
    <s v=""/>
    <n v="102948"/>
    <s v="00100001594"/>
    <s v="Retail"/>
    <s v="General Merchandise Stores"/>
    <s v="General Stores"/>
    <n v="3963617.78"/>
    <n v="0"/>
    <n v="0"/>
    <n v="1"/>
    <n v="0"/>
    <n v="0"/>
  </r>
  <r>
    <s v="CLIFFORD GEOFFREY SENYONJO"/>
    <x v="1"/>
    <n v="29"/>
    <n v="6510659.5899999999"/>
    <x v="13"/>
    <n v="177515.53"/>
    <n v="6700854.7999999998"/>
    <d v="2016-11-25T14:26:07"/>
    <d v="2017-11-25T00:00:00"/>
    <s v="0772409012"/>
    <s v=""/>
    <s v=""/>
    <n v="102949"/>
    <s v="00100002078"/>
    <s v="Construction"/>
    <s v="Others"/>
    <s v="Others"/>
    <n v="6510659.5899999999"/>
    <n v="0"/>
    <n v="0"/>
    <n v="1"/>
    <n v="0"/>
    <n v="0"/>
  </r>
  <r>
    <s v="WILLIAM KIMBUGWE"/>
    <x v="0"/>
    <n v="29"/>
    <n v="907019.33"/>
    <x v="14"/>
    <n v="60282.41"/>
    <n v="968692.21"/>
    <d v="2016-11-28T09:13:03"/>
    <d v="2017-11-25T00:00:00"/>
    <s v="0772573016"/>
    <s v="0705420897"/>
    <s v=""/>
    <n v="102950"/>
    <s v="00100003928"/>
    <s v="Wholesale Trade"/>
    <s v="Durable Goods"/>
    <s v="Others"/>
    <n v="907019.33"/>
    <n v="0"/>
    <n v="0"/>
    <n v="1"/>
    <n v="0"/>
    <n v="0"/>
  </r>
  <r>
    <s v="GYAVIIRA KASUMBA"/>
    <x v="0"/>
    <n v="19"/>
    <n v="1419397.29"/>
    <x v="6"/>
    <n v="41464.29"/>
    <n v="1472439.41"/>
    <d v="2016-11-28T13:05:10"/>
    <d v="2017-12-05T00:00:00"/>
    <s v="0772585628"/>
    <s v=""/>
    <s v=""/>
    <n v="102951"/>
    <s v="00100002151"/>
    <s v="Agriculture, Forestry, Fishing and Hunting"/>
    <s v="Forestry"/>
    <s v="Timber Tract Operations"/>
    <n v="1419397.29"/>
    <n v="0"/>
    <n v="0"/>
    <n v="1"/>
    <n v="0"/>
    <n v="0"/>
  </r>
  <r>
    <s v="STEPHEN AMOOTI SABIITI"/>
    <x v="1"/>
    <n v="-7"/>
    <n v="28313369.27"/>
    <x v="1"/>
    <n v="622894.12"/>
    <n v="34609811.600000001"/>
    <d v="2016-11-29T17:57:27"/>
    <d v="2018-12-01T00:00:00"/>
    <s v="0782211376"/>
    <s v=""/>
    <s v=""/>
    <n v="102954"/>
    <s v="00100003813"/>
    <s v="Real Estate and Rental"/>
    <s v="Rental"/>
    <s v="General Rental Centers"/>
    <n v="0"/>
    <n v="0"/>
    <n v="0"/>
    <n v="0"/>
    <n v="0"/>
    <n v="0"/>
  </r>
  <r>
    <s v="FRED SSENABULYA"/>
    <x v="1"/>
    <n v="22"/>
    <n v="15739148.41"/>
    <x v="16"/>
    <n v="330322.64"/>
    <n v="19237171.93"/>
    <d v="2016-11-30T17:53:19"/>
    <d v="2018-12-02T00:00:00"/>
    <s v="0756361689"/>
    <s v=""/>
    <s v=""/>
    <n v="102955"/>
    <s v="00100003659"/>
    <s v="Real Estate and Rental"/>
    <s v="Rental"/>
    <s v="Others"/>
    <n v="15739148.41"/>
    <n v="0"/>
    <n v="0"/>
    <n v="1"/>
    <n v="0"/>
    <n v="0"/>
  </r>
  <r>
    <s v="DAVID KIRABIRA"/>
    <x v="0"/>
    <n v="-8"/>
    <n v="367830.3"/>
    <x v="5"/>
    <n v="11586.65"/>
    <n v="384382.66"/>
    <d v="2016-12-01T17:10:11"/>
    <d v="2017-12-02T00:00:00"/>
    <s v="0751898126"/>
    <s v=""/>
    <s v=""/>
    <n v="102957"/>
    <s v="00100004246"/>
    <s v="Retail"/>
    <s v="Second Hand -Clothing and  Accessories"/>
    <s v="Shoes Stores"/>
    <n v="0"/>
    <n v="0"/>
    <n v="0"/>
    <n v="0"/>
    <n v="0"/>
    <n v="0"/>
  </r>
  <r>
    <s v="TOM KABEGA"/>
    <x v="0"/>
    <n v="-8"/>
    <n v="1052449.93"/>
    <x v="16"/>
    <n v="33152.17"/>
    <n v="1099810.18"/>
    <d v="2016-11-30T12:48:50"/>
    <d v="2017-12-02T00:00:00"/>
    <s v="0772332419"/>
    <s v=""/>
    <s v=""/>
    <n v="102960"/>
    <s v="00100003370"/>
    <s v="Real Estate and Rental"/>
    <s v="Rental"/>
    <s v="General Rental Centers"/>
    <n v="0"/>
    <n v="0"/>
    <n v="0"/>
    <n v="0"/>
    <n v="0"/>
    <n v="0"/>
  </r>
  <r>
    <s v="RITAH KALUNGI NAKAMYA"/>
    <x v="8"/>
    <n v="112"/>
    <n v="2867921.12"/>
    <x v="3"/>
    <n v="214617.17"/>
    <n v="3236160.42"/>
    <d v="2016-11-30T16:45:59"/>
    <d v="2017-12-02T00:00:00"/>
    <s v="0703864249"/>
    <s v="0883669563"/>
    <s v=""/>
    <n v="102961"/>
    <s v="00100003687"/>
    <s v="Retail"/>
    <s v="Food and Beverage Stores"/>
    <s v="Others"/>
    <n v="2867921.12"/>
    <n v="2867921.12"/>
    <n v="2867921.12"/>
    <n v="1"/>
    <n v="1"/>
    <n v="1"/>
  </r>
  <r>
    <s v="WILLIAM MASABA"/>
    <x v="2"/>
    <n v="-11"/>
    <n v="52094901.259999998"/>
    <x v="5"/>
    <n v="937708.22"/>
    <n v="74792481.680000007"/>
    <d v="2016-11-30T16:05:37"/>
    <d v="2019-12-05T00:00:00"/>
    <s v="0703949946"/>
    <s v="0788568179"/>
    <s v=""/>
    <n v="102962"/>
    <s v="00100001763"/>
    <s v="Wholesale Trade"/>
    <s v="Nondurable Goods"/>
    <s v="Grocery"/>
    <n v="0"/>
    <n v="0"/>
    <n v="0"/>
    <n v="0"/>
    <n v="0"/>
    <n v="0"/>
  </r>
  <r>
    <s v="AGNES NASSIWA"/>
    <x v="3"/>
    <n v="-7"/>
    <n v="13115333.039999999"/>
    <x v="24"/>
    <n v="384716.44"/>
    <n v="17074438.440000001"/>
    <d v="2016-11-30T22:25:58"/>
    <d v="2018-12-01T00:00:00"/>
    <s v="0772387888"/>
    <s v="0701886981"/>
    <s v=""/>
    <n v="102964"/>
    <s v="00100004218"/>
    <s v="Other Services"/>
    <s v="Others"/>
    <s v="Others"/>
    <n v="0"/>
    <n v="0"/>
    <n v="0"/>
    <n v="0"/>
    <n v="0"/>
    <n v="0"/>
  </r>
  <r>
    <s v="ALIZIC NALUBEGA"/>
    <x v="1"/>
    <n v="-8"/>
    <n v="7661300.5300000003"/>
    <x v="24"/>
    <n v="178763.68"/>
    <n v="9565814.3300000001"/>
    <d v="2016-11-30T17:35:39"/>
    <d v="2018-12-02T00:00:00"/>
    <s v="0777419159"/>
    <s v="0752419159"/>
    <s v=""/>
    <n v="102965"/>
    <s v="00100004240"/>
    <s v="Real Estate and Rental"/>
    <s v="Rental"/>
    <s v="General Rental Centers"/>
    <n v="0"/>
    <n v="0"/>
    <n v="0"/>
    <n v="0"/>
    <n v="0"/>
    <n v="0"/>
  </r>
  <r>
    <s v="JOHN BOSCO KASULE"/>
    <x v="2"/>
    <n v="-8"/>
    <n v="28313369.27"/>
    <x v="12"/>
    <n v="594580.75"/>
    <n v="34609811.600000001"/>
    <d v="2016-11-30T20:10:50"/>
    <d v="2018-12-02T00:00:00"/>
    <s v="0772560892"/>
    <s v="0704881903"/>
    <s v=""/>
    <n v="102966"/>
    <s v="00100002563"/>
    <s v="Real Estate and Rental"/>
    <s v="Rental"/>
    <s v="Others"/>
    <n v="0"/>
    <n v="0"/>
    <n v="0"/>
    <n v="0"/>
    <n v="0"/>
    <n v="0"/>
  </r>
  <r>
    <s v="PATRICK SSEBYALA"/>
    <x v="1"/>
    <n v="-8"/>
    <n v="10215067.34"/>
    <x v="4"/>
    <n v="238351.57"/>
    <n v="12754419.07"/>
    <d v="2016-11-30T20:56:09"/>
    <d v="2018-12-02T00:00:00"/>
    <s v="0772456819"/>
    <s v=""/>
    <s v="0703614282"/>
    <n v="102969"/>
    <s v="00100004007"/>
    <s v="Retail"/>
    <s v="Electronics Stores"/>
    <s v="Others"/>
    <n v="0"/>
    <n v="0"/>
    <n v="0"/>
    <n v="0"/>
    <n v="0"/>
    <n v="0"/>
  </r>
  <r>
    <s v="BLASIUS MUTANDA KAWULE"/>
    <x v="0"/>
    <n v="22"/>
    <n v="1358781.2"/>
    <x v="5"/>
    <n v="34512.82"/>
    <n v="1408085.22"/>
    <d v="2016-11-30T22:13:31"/>
    <d v="2017-12-02T00:00:00"/>
    <s v="0772686141"/>
    <s v=""/>
    <s v=""/>
    <n v="102970"/>
    <s v="00100000377"/>
    <s v="Educational Services"/>
    <s v="Educational Services"/>
    <s v="Others"/>
    <n v="1358781.2"/>
    <n v="0"/>
    <n v="0"/>
    <n v="1"/>
    <n v="0"/>
    <n v="0"/>
  </r>
  <r>
    <s v="GEORGE WILLIAM KIBUUKA SSEBAGGALA"/>
    <x v="1"/>
    <n v="-7"/>
    <n v="15943917.039999999"/>
    <x v="1"/>
    <n v="389740.19"/>
    <n v="19907396.82"/>
    <d v="2016-11-30T23:08:50"/>
    <d v="2018-12-01T00:00:00"/>
    <s v="0782037756"/>
    <s v="0702640422"/>
    <s v=""/>
    <n v="102971"/>
    <s v="00100002648"/>
    <s v="Real Estate and Rental"/>
    <s v="Rental"/>
    <s v="General Rental Centers"/>
    <n v="0"/>
    <n v="0"/>
    <n v="0"/>
    <n v="0"/>
    <n v="0"/>
    <n v="0"/>
  </r>
  <r>
    <s v="MOSES BBAALE MUYINZA"/>
    <x v="1"/>
    <n v="23"/>
    <n v="14771174.380000001"/>
    <x v="2"/>
    <n v="321859.62"/>
    <n v="19547333.07"/>
    <d v="2016-11-30T23:24:17"/>
    <d v="2019-06-01T00:00:00"/>
    <s v="0776140181"/>
    <s v=""/>
    <s v=""/>
    <n v="102972"/>
    <s v="00100002868"/>
    <s v="Real Estate and Rental"/>
    <s v="Rental"/>
    <s v="General Rental Centers"/>
    <n v="14771174.380000001"/>
    <n v="0"/>
    <n v="0"/>
    <n v="1"/>
    <n v="0"/>
    <n v="0"/>
  </r>
  <r>
    <s v="RONALD KAMYA KAKOOZA"/>
    <x v="2"/>
    <n v="14"/>
    <n v="10134166.34"/>
    <x v="9"/>
    <n v="150307.56"/>
    <n v="11569304.140000001"/>
    <d v="2016-12-01T16:33:34"/>
    <d v="2018-06-10T00:00:00"/>
    <s v="0392961705"/>
    <s v="0759961705"/>
    <s v=""/>
    <n v="102975"/>
    <s v="00100002347"/>
    <s v="Real Estate and Rental"/>
    <s v="Rental"/>
    <s v="Others"/>
    <n v="10134166.34"/>
    <n v="0"/>
    <n v="0"/>
    <n v="1"/>
    <n v="0"/>
    <n v="0"/>
  </r>
  <r>
    <s v="AIDAH KAYONGO"/>
    <x v="2"/>
    <n v="-7"/>
    <n v="40817830.979999997"/>
    <x v="4"/>
    <n v="897992.28"/>
    <n v="49895066.399999999"/>
    <d v="2016-12-01T15:09:41"/>
    <d v="2018-12-01T00:00:00"/>
    <s v="0752291122"/>
    <s v=""/>
    <s v=""/>
    <n v="102976"/>
    <s v="00100002063"/>
    <s v="Educational Services"/>
    <s v="Educational Services"/>
    <s v="Others"/>
    <n v="0"/>
    <n v="0"/>
    <n v="0"/>
    <n v="0"/>
    <n v="0"/>
    <n v="0"/>
  </r>
  <r>
    <s v="ALEX ENOCK MWANDHUZI"/>
    <x v="1"/>
    <n v="52"/>
    <n v="20686130.359999999"/>
    <x v="22"/>
    <n v="1374901.62"/>
    <n v="26112932.309999999"/>
    <d v="2016-12-02T09:53:56"/>
    <d v="2018-12-02T00:00:00"/>
    <s v="0752104966"/>
    <s v="0774104966"/>
    <s v=""/>
    <n v="102977"/>
    <s v="00100004223"/>
    <s v="Information"/>
    <s v="Others"/>
    <s v="Others"/>
    <n v="20686130.359999999"/>
    <n v="20686130.359999999"/>
    <n v="0"/>
    <n v="1"/>
    <n v="1"/>
    <n v="0"/>
  </r>
  <r>
    <s v="FLORENCE NAKATE"/>
    <x v="8"/>
    <n v="52"/>
    <n v="1785699.53"/>
    <x v="4"/>
    <n v="124185.94"/>
    <n v="1936532.15"/>
    <d v="2016-12-02T13:52:29"/>
    <d v="2017-12-02T00:00:00"/>
    <s v="0755501594"/>
    <s v="0774639458"/>
    <s v=""/>
    <n v="102979"/>
    <s v="00100004057"/>
    <s v="Real Estate and Rental"/>
    <s v="Rental"/>
    <s v="General Rental Centers"/>
    <n v="1785699.53"/>
    <n v="1785699.53"/>
    <n v="0"/>
    <n v="1"/>
    <n v="1"/>
    <n v="0"/>
  </r>
  <r>
    <s v="OSCAR ALEX KIRABO"/>
    <x v="3"/>
    <n v="19"/>
    <n v="10636838.539999999"/>
    <x v="9"/>
    <n v="653052.23"/>
    <n v="12638932.550000001"/>
    <d v="2016-12-05T14:26:46"/>
    <d v="2018-06-05T00:00:00"/>
    <s v="0752367018"/>
    <s v=""/>
    <s v=""/>
    <n v="102980"/>
    <s v="00100003763"/>
    <s v="Retail"/>
    <s v="New-Clothing and  Accessories"/>
    <s v="Others"/>
    <n v="10636838.539999999"/>
    <n v="0"/>
    <n v="0"/>
    <n v="1"/>
    <n v="0"/>
    <n v="0"/>
  </r>
  <r>
    <s v="HAMIDU KAWUKI"/>
    <x v="3"/>
    <n v="-11"/>
    <n v="4815621.8499999996"/>
    <x v="9"/>
    <n v="101128.06"/>
    <n v="5244234.13"/>
    <d v="2016-12-05T16:15:12"/>
    <d v="2018-03-05T00:00:00"/>
    <s v="0701808413"/>
    <s v="0392961462"/>
    <s v=""/>
    <n v="102981"/>
    <s v="00100000310"/>
    <s v="Real Estate and Rental"/>
    <s v="Real Estate"/>
    <s v="Others"/>
    <n v="0"/>
    <n v="0"/>
    <n v="0"/>
    <n v="0"/>
    <n v="0"/>
    <n v="0"/>
  </r>
  <r>
    <s v="GEOFFREY SSEBINA"/>
    <x v="1"/>
    <n v="-20"/>
    <n v="491941.29"/>
    <x v="2"/>
    <n v="4427.47"/>
    <n v="506699.53"/>
    <d v="2016-12-05T16:13:36"/>
    <d v="2017-12-14T00:00:00"/>
    <s v="0772835511"/>
    <s v="0759143100"/>
    <s v=""/>
    <n v="102982"/>
    <s v="00100003258"/>
    <s v="Real Estate and Rental"/>
    <s v="Rental"/>
    <s v="General Rental Centers"/>
    <n v="0"/>
    <n v="0"/>
    <n v="0"/>
    <n v="0"/>
    <n v="0"/>
    <n v="0"/>
  </r>
  <r>
    <s v="PAINENTO NGOBI BONYOKO"/>
    <x v="0"/>
    <n v="16"/>
    <n v="1232210.03"/>
    <x v="24"/>
    <n v="42200.480000000003"/>
    <n v="1288577.92"/>
    <d v="2016-12-08T16:46:36"/>
    <d v="2017-12-08T00:00:00"/>
    <s v="0783593916"/>
    <s v="0785975519"/>
    <s v=""/>
    <n v="102986"/>
    <s v="00100004255"/>
    <s v="Real Estate and Rental"/>
    <s v="Rental"/>
    <s v="General Rental Centers"/>
    <n v="1232210.03"/>
    <n v="0"/>
    <n v="0"/>
    <n v="1"/>
    <n v="0"/>
    <n v="0"/>
  </r>
  <r>
    <s v="JOHN SHIKHONGOLA MAYATSA"/>
    <x v="0"/>
    <n v="15"/>
    <n v="1026841.7"/>
    <x v="22"/>
    <n v="35042.160000000003"/>
    <n v="1074477.1100000001"/>
    <d v="2016-12-09T13:30:17"/>
    <d v="2017-12-09T00:00:00"/>
    <s v="0704535595"/>
    <s v=""/>
    <s v=""/>
    <n v="102987"/>
    <s v="00100004259"/>
    <s v="Retail"/>
    <s v="General Merchandise Stores"/>
    <s v="General Stores"/>
    <n v="1026841.7"/>
    <n v="0"/>
    <n v="0"/>
    <n v="1"/>
    <n v="0"/>
    <n v="0"/>
  </r>
  <r>
    <s v="FLORENCE NAMUKASA"/>
    <x v="7"/>
    <n v="45"/>
    <n v="1425294.5"/>
    <x v="10"/>
    <n v="39536.75"/>
    <n v="1485978.8"/>
    <d v="2016-12-09T15:51:18"/>
    <d v="2017-12-09T00:00:00"/>
    <s v="0752110388"/>
    <s v="0782753432"/>
    <s v=""/>
    <n v="102989"/>
    <s v="00100002873"/>
    <s v="Real Estate and Rental"/>
    <s v="Rental"/>
    <s v="General Rental Centers"/>
    <n v="1425294.5"/>
    <n v="1425294.5"/>
    <n v="0"/>
    <n v="1"/>
    <n v="1"/>
    <n v="0"/>
  </r>
  <r>
    <s v="ANDREW TUSIIME"/>
    <x v="0"/>
    <n v="15"/>
    <n v="1864993.12"/>
    <x v="20"/>
    <n v="19124.75"/>
    <n v="1905974.72"/>
    <d v="2016-12-09T16:16:55"/>
    <d v="2017-12-09T00:00:00"/>
    <s v="0700410603"/>
    <s v=""/>
    <s v=""/>
    <n v="102990"/>
    <s v="00100002198"/>
    <s v="Retail"/>
    <s v="General Merchandise Stores"/>
    <s v="General Stores"/>
    <n v="1864993.12"/>
    <n v="0"/>
    <n v="0"/>
    <n v="1"/>
    <n v="0"/>
    <n v="0"/>
  </r>
  <r>
    <s v="BENARD SSEKYANZI"/>
    <x v="3"/>
    <n v="-19"/>
    <n v="14114775"/>
    <x v="10"/>
    <n v="164672.38"/>
    <n v="17810029.359999999"/>
    <d v="2016-12-13T16:47:56"/>
    <d v="2018-12-13T00:00:00"/>
    <s v="0783129200"/>
    <s v="0703480328"/>
    <s v=""/>
    <n v="102996"/>
    <s v="00100002476"/>
    <s v="Retail"/>
    <s v="Furniture and Home Furnishings Stores"/>
    <s v="Furniture Stores"/>
    <n v="0"/>
    <n v="0"/>
    <n v="0"/>
    <n v="0"/>
    <n v="0"/>
    <n v="0"/>
  </r>
  <r>
    <s v="PROSCOVIA RACHAEL NNAKKAZI KIZITO"/>
    <x v="3"/>
    <n v="-19"/>
    <n v="11589635.189999999"/>
    <x v="5"/>
    <n v="135212.41"/>
    <n v="13267947.140000001"/>
    <d v="2016-12-13T12:42:38"/>
    <d v="2018-06-13T00:00:00"/>
    <s v="0752627217"/>
    <s v="0772627217"/>
    <s v=""/>
    <n v="102997"/>
    <s v="00100003461"/>
    <s v="Transportation and Warehousing"/>
    <s v=" Passenger Transportation"/>
    <s v="Taxi service"/>
    <n v="0"/>
    <n v="0"/>
    <n v="0"/>
    <n v="0"/>
    <n v="0"/>
    <n v="0"/>
  </r>
  <r>
    <s v="PATRICK MIVULE"/>
    <x v="0"/>
    <n v="-20"/>
    <n v="1049437.17"/>
    <x v="24"/>
    <n v="14167.4"/>
    <n v="1096661.8400000001"/>
    <d v="2016-12-14T15:51:08"/>
    <d v="2017-12-14T00:00:00"/>
    <s v="0752654890"/>
    <s v=""/>
    <s v=""/>
    <n v="102998"/>
    <s v="00100004256"/>
    <s v="Transportation and Warehousing"/>
    <s v="Truck Transportation"/>
    <s v="General Freight Trucking, Local"/>
    <n v="0"/>
    <n v="0"/>
    <n v="0"/>
    <n v="0"/>
    <n v="0"/>
    <n v="0"/>
  </r>
  <r>
    <s v="HOOD LUYIMA"/>
    <x v="1"/>
    <n v="9"/>
    <n v="53223768.729999997"/>
    <x v="1"/>
    <n v="2011458.94"/>
    <n v="77408412.280000001"/>
    <d v="2016-12-15T11:22:55"/>
    <d v="2019-12-15T00:00:00"/>
    <s v="0776912528"/>
    <s v="0703497933"/>
    <s v=""/>
    <n v="102999"/>
    <s v="00100003445"/>
    <s v="Real Estate and Rental"/>
    <s v="Rental"/>
    <s v="General Rental Centers"/>
    <n v="53223768.729999997"/>
    <n v="0"/>
    <n v="0"/>
    <n v="1"/>
    <n v="0"/>
    <n v="0"/>
  </r>
  <r>
    <s v="EDWARD LUGGYA"/>
    <x v="1"/>
    <n v="4"/>
    <n v="16044405.65"/>
    <x v="9"/>
    <n v="619514.63"/>
    <n v="20024914.309999999"/>
    <d v="2016-12-15T16:19:36"/>
    <d v="2018-12-20T00:00:00"/>
    <s v="0772691700"/>
    <s v=""/>
    <s v=""/>
    <n v="103000"/>
    <s v="00100004263"/>
    <s v="Retail"/>
    <s v="Miscellaneous Store Retailers"/>
    <s v="Gift, Novelty, &amp; Souvenir Stores"/>
    <n v="16044405.65"/>
    <n v="0"/>
    <n v="0"/>
    <n v="1"/>
    <n v="0"/>
    <n v="0"/>
  </r>
  <r>
    <s v="GEOFREY MUWONGE"/>
    <x v="3"/>
    <n v="99"/>
    <n v="15224422.66"/>
    <x v="7"/>
    <n v="1167912.28"/>
    <n v="19116385.420000002"/>
    <d v="2016-12-15T17:58:50"/>
    <d v="2018-06-15T00:00:00"/>
    <s v="0782192934"/>
    <s v="0701002585"/>
    <s v=""/>
    <n v="103001"/>
    <s v="00100004286"/>
    <s v="Real Estate and Rental"/>
    <s v="Rental"/>
    <s v="Others"/>
    <n v="15224422.66"/>
    <n v="15224422.66"/>
    <n v="15224422.66"/>
    <n v="1"/>
    <n v="1"/>
    <n v="1"/>
  </r>
  <r>
    <s v="RASHID KIRUNDA"/>
    <x v="2"/>
    <n v="60"/>
    <n v="36148514.509999998"/>
    <x v="16"/>
    <n v="1099178.03"/>
    <n v="45259081.890000001"/>
    <d v="2016-12-16T11:40:53"/>
    <d v="2018-12-24T00:00:00"/>
    <s v="0772507505"/>
    <s v=""/>
    <s v=""/>
    <n v="103002"/>
    <s v="00100001250"/>
    <s v="Transportation and Warehousing"/>
    <s v="Truck Transportation"/>
    <s v="General Freight Trucking, Long-distance"/>
    <n v="36148514.509999998"/>
    <n v="36148514.509999998"/>
    <n v="0"/>
    <n v="1"/>
    <n v="1"/>
    <n v="0"/>
  </r>
  <r>
    <s v="GLORIA NALUBWAMA"/>
    <x v="6"/>
    <n v="-27"/>
    <n v="9929962.5099999998"/>
    <x v="17"/>
    <n v="13791.61"/>
    <n v="13578894.220000001"/>
    <d v="2016-12-19T12:31:29"/>
    <d v="2020-06-21T00:00:00"/>
    <s v="0706955152"/>
    <s v=""/>
    <s v=""/>
    <n v="103005"/>
    <s v="00100002299"/>
    <s v="Finance and Insurance"/>
    <s v="Finance"/>
    <s v="Microfinance Institutions"/>
    <n v="0"/>
    <n v="0"/>
    <n v="0"/>
    <n v="0"/>
    <n v="0"/>
    <n v="0"/>
  </r>
  <r>
    <s v="ROBERT SSEMUYABA"/>
    <x v="3"/>
    <n v="-26"/>
    <n v="1599751.86"/>
    <x v="11"/>
    <n v="5599.13"/>
    <n v="1655743.18"/>
    <d v="2016-12-20T14:38:35"/>
    <d v="2017-12-20T00:00:00"/>
    <s v="0757736185"/>
    <s v=""/>
    <s v=""/>
    <n v="103007"/>
    <s v="00100003526"/>
    <s v="Wholesale Trade"/>
    <s v="Nondurable Goods"/>
    <s v="Others"/>
    <n v="0"/>
    <n v="0"/>
    <n v="0"/>
    <n v="0"/>
    <n v="0"/>
    <n v="0"/>
  </r>
  <r>
    <s v="DAVID SSALI"/>
    <x v="1"/>
    <n v="0"/>
    <n v="49385354.020000003"/>
    <x v="1"/>
    <n v="1432175.27"/>
    <n v="66389430.270000003"/>
    <d v="2016-12-23T08:51:40"/>
    <d v="2019-06-24T00:00:00"/>
    <s v="0776666601"/>
    <s v="0752425892"/>
    <s v=""/>
    <n v="103009"/>
    <s v="00100003620"/>
    <s v="Health Care"/>
    <s v="Health Care"/>
    <s v=" Medical &amp; Diagnostic Laboratories"/>
    <n v="0"/>
    <n v="0"/>
    <n v="0"/>
    <n v="0"/>
    <n v="0"/>
    <n v="0"/>
  </r>
  <r>
    <s v="YUNUSU KAWUKA"/>
    <x v="0"/>
    <n v="1"/>
    <n v="1540262.57"/>
    <x v="15"/>
    <n v="69311.820000000007"/>
    <n v="1634485.72"/>
    <d v="2016-12-23T15:40:34"/>
    <d v="2017-12-23T00:00:00"/>
    <s v="0752931757"/>
    <s v=""/>
    <s v=""/>
    <n v="103011"/>
    <s v="00100004295"/>
    <s v="Transportation and Warehousing"/>
    <s v=" Passenger Transportation"/>
    <s v="Others"/>
    <n v="1540262.57"/>
    <n v="0"/>
    <n v="0"/>
    <n v="1"/>
    <n v="0"/>
    <n v="0"/>
  </r>
  <r>
    <s v="FRANCIS DDUMBA"/>
    <x v="0"/>
    <n v="0"/>
    <n v="1026841.7"/>
    <x v="24"/>
    <n v="44667.61"/>
    <n v="1096661.92"/>
    <d v="2016-12-24T12:50:54"/>
    <d v="2017-12-24T00:00:00"/>
    <s v="0702845477"/>
    <s v="077284447"/>
    <s v=""/>
    <n v="103013"/>
    <s v="00100004274"/>
    <s v="Transportation and Warehousing"/>
    <s v="Others"/>
    <s v="Others"/>
    <n v="0"/>
    <n v="0"/>
    <n v="0"/>
    <n v="0"/>
    <n v="0"/>
    <n v="0"/>
  </r>
  <r>
    <s v="RUTH KIGOZI"/>
    <x v="1"/>
    <n v="0"/>
    <n v="33350196.440000001"/>
    <x v="3"/>
    <n v="967155.7"/>
    <n v="41333191.130000003"/>
    <d v="2016-12-24T13:04:25"/>
    <d v="2018-12-24T00:00:00"/>
    <s v="0772434450"/>
    <s v="0702006579"/>
    <s v=""/>
    <n v="103014"/>
    <s v="00100002570"/>
    <s v="Real Estate and Rental"/>
    <s v="Rental"/>
    <s v="General Rental Centers"/>
    <n v="0"/>
    <n v="0"/>
    <n v="0"/>
    <n v="0"/>
    <n v="0"/>
    <n v="0"/>
  </r>
  <r>
    <s v="HARRIET NALWOGA"/>
    <x v="7"/>
    <n v="22"/>
    <n v="475101.42"/>
    <x v="26"/>
    <n v="12993.92"/>
    <n v="503149.77"/>
    <d v="2016-12-29T11:43:55"/>
    <d v="2018-01-02T00:00:00"/>
    <s v="0787727166"/>
    <s v=""/>
    <s v=""/>
    <n v="103018"/>
    <s v="00100003875"/>
    <s v="Retail"/>
    <s v="General Merchandise Stores"/>
    <s v="General Stores"/>
    <n v="475101.42"/>
    <n v="0"/>
    <n v="0"/>
    <n v="1"/>
    <n v="0"/>
    <n v="0"/>
  </r>
  <r>
    <s v="JOSHUA NTAMUKUNZI"/>
    <x v="2"/>
    <n v="23"/>
    <n v="53621693.109999999"/>
    <x v="12"/>
    <n v="1172059.73"/>
    <n v="77829816.930000007"/>
    <d v="2016-12-30T14:38:46"/>
    <d v="2020-01-01T00:00:00"/>
    <s v="0772431951"/>
    <s v="0758431951"/>
    <s v=""/>
    <n v="103021"/>
    <s v="00100002335"/>
    <s v="Wholesale Trade"/>
    <s v="Others"/>
    <s v="Others"/>
    <n v="53621693.109999999"/>
    <n v="0"/>
    <n v="0"/>
    <n v="1"/>
    <n v="0"/>
    <n v="0"/>
  </r>
  <r>
    <s v="DAVID MWASA"/>
    <x v="3"/>
    <n v="-13"/>
    <n v="9454928.7699999996"/>
    <x v="9"/>
    <n v="176492"/>
    <n v="11003770.67"/>
    <d v="2016-12-30T15:25:24"/>
    <d v="2018-07-07T00:00:00"/>
    <s v="0702811200"/>
    <s v="0782811200"/>
    <s v=""/>
    <n v="103022"/>
    <s v="00100001956"/>
    <s v="Retail"/>
    <s v="Miscellaneous Store Retailers"/>
    <s v="Printing Stores"/>
    <n v="0"/>
    <n v="0"/>
    <n v="0"/>
    <n v="0"/>
    <n v="0"/>
    <n v="0"/>
  </r>
  <r>
    <s v="ERNEST GGAYI"/>
    <x v="0"/>
    <n v="83"/>
    <n v="4749594.84"/>
    <x v="4"/>
    <n v="347574.42"/>
    <n v="5334438.88"/>
    <d v="2016-12-31T16:13:48"/>
    <d v="2018-01-01T00:00:00"/>
    <s v="0772516609"/>
    <s v=""/>
    <s v=""/>
    <n v="103024"/>
    <s v="00100002471"/>
    <s v="Retail"/>
    <s v="Others"/>
    <s v="Others"/>
    <n v="4749594.84"/>
    <n v="4749594.84"/>
    <n v="0"/>
    <n v="1"/>
    <n v="1"/>
    <n v="0"/>
  </r>
  <r>
    <s v="BEN MAWANDA"/>
    <x v="0"/>
    <n v="-7"/>
    <n v="3018377.05"/>
    <x v="4"/>
    <n v="88539.06"/>
    <n v="3200663.35"/>
    <d v="2016-12-31T19:13:19"/>
    <d v="2018-01-01T00:00:00"/>
    <s v="0772329150"/>
    <s v=""/>
    <s v=""/>
    <n v="103027"/>
    <s v="00100000350"/>
    <s v="Real Estate and Rental"/>
    <s v="Rental"/>
    <s v="General Rental Centers"/>
    <n v="0"/>
    <n v="0"/>
    <n v="0"/>
    <n v="0"/>
    <n v="0"/>
    <n v="0"/>
  </r>
  <r>
    <s v="PHOEBE KATENDE"/>
    <x v="2"/>
    <n v="-15"/>
    <n v="37810420.979999997"/>
    <x v="5"/>
    <n v="529345.89"/>
    <n v="63879002.189999998"/>
    <d v="2017-01-09T14:20:15"/>
    <d v="2021-01-09T00:00:00"/>
    <s v="0772423248"/>
    <s v="070136545"/>
    <s v=""/>
    <n v="103032"/>
    <s v="00100002097"/>
    <s v="Wholesale Trade"/>
    <s v="Others"/>
    <s v="Others"/>
    <n v="0"/>
    <n v="0"/>
    <n v="0"/>
    <n v="0"/>
    <n v="0"/>
    <n v="0"/>
  </r>
  <r>
    <s v="VALENTINO DDUMBA"/>
    <x v="2"/>
    <n v="-15"/>
    <n v="53223768.729999997"/>
    <x v="9"/>
    <n v="745132.76"/>
    <n v="77408412.280000001"/>
    <d v="2017-01-09T16:00:25"/>
    <d v="2020-01-09T00:00:00"/>
    <s v="0702197604"/>
    <s v="0775635412"/>
    <s v=""/>
    <n v="103033"/>
    <s v="00100003377"/>
    <s v="Transportation and Warehousing"/>
    <s v="Truck Transportation"/>
    <s v="Others"/>
    <n v="0"/>
    <n v="0"/>
    <n v="0"/>
    <n v="0"/>
    <n v="0"/>
    <n v="0"/>
  </r>
  <r>
    <s v="EDWARD BUKENYA"/>
    <x v="2"/>
    <n v="9"/>
    <n v="50535831.579999998"/>
    <x v="13"/>
    <n v="396232.44"/>
    <n v="67589386.370000005"/>
    <d v="2017-01-11T17:15:05"/>
    <d v="2019-07-15T00:00:00"/>
    <s v="0772419043"/>
    <s v="070241043"/>
    <s v=""/>
    <n v="103034"/>
    <s v="00100000060"/>
    <s v="Real Estate and Rental"/>
    <s v="Rental"/>
    <s v="General Rental Centers"/>
    <n v="50535831.579999998"/>
    <n v="0"/>
    <n v="0"/>
    <n v="1"/>
    <n v="0"/>
    <n v="0"/>
  </r>
  <r>
    <s v="WILSON BYEKWASO"/>
    <x v="3"/>
    <n v="-19"/>
    <n v="6279386.0099999998"/>
    <x v="4"/>
    <n v="73259.5"/>
    <n v="6953835.1799999997"/>
    <d v="2017-01-12T13:37:30"/>
    <d v="2018-04-13T00:00:00"/>
    <s v="0772334748"/>
    <s v="0759334748"/>
    <s v=""/>
    <n v="103035"/>
    <s v="00100000919"/>
    <s v="Agriculture, Forestry, Fishing and Hunting"/>
    <s v="Animal Production"/>
    <s v="Poultry &amp; Egg Production"/>
    <n v="0"/>
    <n v="0"/>
    <n v="0"/>
    <n v="0"/>
    <n v="0"/>
    <n v="0"/>
  </r>
  <r>
    <s v="EDWARD DUSENGE"/>
    <x v="1"/>
    <n v="-18"/>
    <n v="3844623.11"/>
    <x v="9"/>
    <n v="42290.85"/>
    <n v="4018483.4"/>
    <d v="2017-01-12T13:32:23"/>
    <d v="2018-01-12T00:00:00"/>
    <s v="0772310086"/>
    <s v="0758512497"/>
    <s v=""/>
    <n v="103036"/>
    <s v="00100002164"/>
    <s v="Transportation and Warehousing"/>
    <s v="Truck Transportation"/>
    <s v="General Freight Trucking, Long-distance"/>
    <n v="0"/>
    <n v="0"/>
    <n v="0"/>
    <n v="0"/>
    <n v="0"/>
    <n v="0"/>
  </r>
  <r>
    <s v="GERALD MUKASA"/>
    <x v="1"/>
    <n v="1"/>
    <n v="38769731.990000002"/>
    <x v="12"/>
    <n v="1163091.96"/>
    <n v="48714118.109999999"/>
    <d v="2017-01-23T11:21:35"/>
    <d v="2019-01-23T00:00:00"/>
    <s v="0751482750"/>
    <s v=""/>
    <s v=""/>
    <n v="103037"/>
    <s v="00100003391"/>
    <s v="Real Estate and Rental"/>
    <s v="Rental"/>
    <s v="Others"/>
    <n v="38769731.990000002"/>
    <n v="0"/>
    <n v="0"/>
    <n v="1"/>
    <n v="0"/>
    <n v="0"/>
  </r>
  <r>
    <s v="KHALID SENTONGO"/>
    <x v="1"/>
    <n v="-19"/>
    <n v="23650721.469999999"/>
    <x v="4"/>
    <n v="262785.78999999998"/>
    <n v="29981990.5"/>
    <d v="2017-01-13T13:40:01"/>
    <d v="2019-01-13T00:00:00"/>
    <s v="0772651468"/>
    <s v="0702651468"/>
    <s v=""/>
    <n v="103038"/>
    <s v="00100004313"/>
    <s v="Wholesale Trade"/>
    <s v="Durable Goods"/>
    <s v="Others"/>
    <n v="0"/>
    <n v="0"/>
    <n v="0"/>
    <n v="0"/>
    <n v="0"/>
    <n v="0"/>
  </r>
  <r>
    <s v="JOSEPH BALIDAWA KASANGO"/>
    <x v="2"/>
    <n v="101"/>
    <n v="58355347.810000002"/>
    <x v="7"/>
    <n v="3297698.88"/>
    <n v="89154479.349999994"/>
    <d v="2017-01-13T17:30:39"/>
    <d v="2020-01-13T00:00:00"/>
    <s v="0774787320"/>
    <s v=""/>
    <s v=""/>
    <n v="103041"/>
    <s v="00100000009"/>
    <s v="Retail"/>
    <s v="Others"/>
    <s v="Others"/>
    <n v="58355347.810000002"/>
    <n v="58355347.810000002"/>
    <n v="58355347.810000002"/>
    <n v="1"/>
    <n v="1"/>
    <n v="1"/>
  </r>
  <r>
    <s v="SALIMAH NGAMBE"/>
    <x v="7"/>
    <n v="-20"/>
    <n v="1004837.48"/>
    <x v="15"/>
    <n v="12058.05"/>
    <n v="1065521.78"/>
    <d v="2017-01-14T13:02:48"/>
    <d v="2018-01-14T00:00:00"/>
    <s v="0752894455"/>
    <s v="0716894455"/>
    <s v="0785845583"/>
    <n v="103042"/>
    <s v="00100000473"/>
    <s v="Retail"/>
    <s v="Furniture and Home Furnishings Stores"/>
    <s v="Kitchen Ware"/>
    <n v="0"/>
    <n v="0"/>
    <n v="0"/>
    <n v="0"/>
    <n v="0"/>
    <n v="0"/>
  </r>
  <r>
    <s v="AFANI KALUMBA"/>
    <x v="0"/>
    <n v="-20"/>
    <n v="803869.95"/>
    <x v="16"/>
    <n v="9646.44"/>
    <n v="852417.39"/>
    <d v="2017-01-14T14:36:59"/>
    <d v="2018-01-14T00:00:00"/>
    <s v="0772544643"/>
    <s v=""/>
    <s v=""/>
    <n v="103044"/>
    <s v="00100003888"/>
    <s v="Retail"/>
    <s v="General Merchandise Stores"/>
    <s v="General Stores"/>
    <n v="0"/>
    <n v="0"/>
    <n v="0"/>
    <n v="0"/>
    <n v="0"/>
    <n v="0"/>
  </r>
  <r>
    <s v="JULIUS KAYIIRA LUTAAKOME"/>
    <x v="3"/>
    <n v="-22"/>
    <n v="9573154.6099999994"/>
    <x v="4"/>
    <n v="89349.440000000002"/>
    <n v="11375039.189999999"/>
    <d v="2017-01-16T13:35:28"/>
    <d v="2018-07-16T00:00:00"/>
    <s v="0772462373"/>
    <s v="0702462373"/>
    <s v=""/>
    <n v="103045"/>
    <s v="00100004250"/>
    <s v="Educational Services"/>
    <s v="Educational Services"/>
    <s v="Schools"/>
    <n v="0"/>
    <n v="0"/>
    <n v="0"/>
    <n v="0"/>
    <n v="0"/>
    <n v="0"/>
  </r>
  <r>
    <s v="ANGELLA NASSOLO"/>
    <x v="2"/>
    <n v="-22"/>
    <n v="40941360.549999997"/>
    <x v="14"/>
    <n v="286589.52"/>
    <n v="59544932.450000003"/>
    <d v="2017-01-16T14:30:19"/>
    <d v="2020-01-16T00:00:00"/>
    <s v="0752932112"/>
    <s v=""/>
    <s v=""/>
    <n v="103046"/>
    <s v="00100003692"/>
    <s v="Retail"/>
    <s v="Miscellaneous Store Retailers"/>
    <s v="Others"/>
    <n v="0"/>
    <n v="0"/>
    <n v="0"/>
    <n v="0"/>
    <n v="0"/>
    <n v="0"/>
  </r>
  <r>
    <s v="OLIVIA NAMBASA"/>
    <x v="7"/>
    <n v="9"/>
    <n v="1202411.95"/>
    <x v="22"/>
    <n v="63937.919999999998"/>
    <n v="1312216.31"/>
    <d v="2017-01-17T15:22:37"/>
    <d v="2018-01-15T00:00:00"/>
    <s v="0701249426"/>
    <s v="0776249426"/>
    <s v=""/>
    <n v="103048"/>
    <s v="00100004315"/>
    <s v="Retail"/>
    <s v="Building Material and Garden Equipment"/>
    <s v="Hardware Stores"/>
    <n v="1202411.95"/>
    <n v="0"/>
    <n v="0"/>
    <n v="1"/>
    <n v="0"/>
    <n v="0"/>
  </r>
  <r>
    <s v="JAMES KASENDWA"/>
    <x v="2"/>
    <n v="7"/>
    <n v="27579126.210000001"/>
    <x v="4"/>
    <n v="160080.94"/>
    <n v="33965521.960000001"/>
    <d v="2017-01-17T17:48:03"/>
    <d v="2019-01-17T00:00:00"/>
    <s v="0753326838"/>
    <s v=""/>
    <s v="0782326838"/>
    <n v="103049"/>
    <s v="00100003636"/>
    <s v="Retail"/>
    <s v="General Merchandise Stores"/>
    <s v="General Stores"/>
    <n v="27579126.210000001"/>
    <n v="0"/>
    <n v="0"/>
    <n v="1"/>
    <n v="0"/>
    <n v="0"/>
  </r>
  <r>
    <s v="FRANK SSERWADDA"/>
    <x v="3"/>
    <n v="-24"/>
    <n v="6406428.7599999998"/>
    <x v="25"/>
    <n v="42709.53"/>
    <n v="7195287.9900000002"/>
    <d v="2017-01-18T18:00:00"/>
    <d v="2018-04-18T00:00:00"/>
    <s v="0756899928"/>
    <s v="0782309438"/>
    <s v=""/>
    <n v="103051"/>
    <s v="00100004302"/>
    <s v="Retail"/>
    <s v="Electronics Stores"/>
    <s v="Radio, Television, &amp; Other Electronics Stores"/>
    <n v="0"/>
    <n v="0"/>
    <n v="0"/>
    <n v="0"/>
    <n v="0"/>
    <n v="0"/>
  </r>
  <r>
    <s v="TONNY SSEGUYA"/>
    <x v="2"/>
    <n v="96"/>
    <n v="58355347.810000002"/>
    <x v="0"/>
    <n v="3377896.12"/>
    <n v="89234676.590000004"/>
    <d v="2017-01-18T18:06:20"/>
    <d v="2020-01-18T00:00:00"/>
    <s v="07834438902"/>
    <s v="0758894938"/>
    <s v=""/>
    <n v="103052"/>
    <s v="00100004039"/>
    <s v="Transportation and Warehousing"/>
    <s v=" Passenger Transportation"/>
    <s v="Others"/>
    <n v="58355347.810000002"/>
    <n v="58355347.810000002"/>
    <n v="58355347.810000002"/>
    <n v="1"/>
    <n v="1"/>
    <n v="1"/>
  </r>
  <r>
    <s v="CLETUS SERWANGA"/>
    <x v="2"/>
    <n v="36"/>
    <n v="21707697.300000001"/>
    <x v="5"/>
    <n v="1194312.98"/>
    <n v="25398652.219999999"/>
    <d v="2017-01-18T19:09:27"/>
    <d v="2018-07-18T00:00:00"/>
    <s v="0772566487"/>
    <s v="0414599794"/>
    <s v=""/>
    <n v="103054"/>
    <s v="00100001388"/>
    <s v="Manufacturing"/>
    <s v="Machinery Manufacturing"/>
    <s v="Metalworking Machinery"/>
    <n v="21707697.300000001"/>
    <n v="21707697.300000001"/>
    <n v="0"/>
    <n v="1"/>
    <n v="1"/>
    <n v="0"/>
  </r>
  <r>
    <s v="PHARIDAH MATOVU"/>
    <x v="7"/>
    <n v="-26"/>
    <n v="924157.49"/>
    <x v="4"/>
    <n v="4158.71"/>
    <n v="986995.68"/>
    <d v="2017-01-20T15:28:44"/>
    <d v="2018-01-20T00:00:00"/>
    <s v="0753538292"/>
    <s v=""/>
    <s v=""/>
    <n v="103057"/>
    <s v="00100004314"/>
    <s v="Wholesale Trade"/>
    <s v="Durable Goods"/>
    <s v="Others"/>
    <n v="0"/>
    <n v="0"/>
    <n v="0"/>
    <n v="0"/>
    <n v="0"/>
    <n v="0"/>
  </r>
  <r>
    <s v="ROBERT LULE"/>
    <x v="3"/>
    <n v="1"/>
    <n v="9429671.0999999996"/>
    <x v="24"/>
    <n v="377186.84"/>
    <n v="10792931.98"/>
    <d v="2017-01-23T14:32:16"/>
    <d v="2018-04-23T00:00:00"/>
    <s v="07547654765"/>
    <s v=""/>
    <s v=""/>
    <n v="103059"/>
    <s v="00100004272"/>
    <s v="Retail"/>
    <s v="Furniture and Home Furnishings Stores"/>
    <s v="Furniture Stores"/>
    <n v="9429671.0999999996"/>
    <n v="0"/>
    <n v="0"/>
    <n v="1"/>
    <n v="0"/>
    <n v="0"/>
  </r>
  <r>
    <s v="JOHN BOSCO KATO"/>
    <x v="0"/>
    <n v="-1"/>
    <n v="1774151.84"/>
    <x v="19"/>
    <n v="66235"/>
    <n v="1917939.06"/>
    <d v="2017-01-25T13:35:46"/>
    <d v="2018-01-25T00:00:00"/>
    <s v="0782835080"/>
    <s v=""/>
    <s v=""/>
    <n v="103060"/>
    <s v="00100002396"/>
    <s v="Real Estate and Rental"/>
    <s v="Rental"/>
    <s v="General Rental Centers"/>
    <n v="0"/>
    <n v="0"/>
    <n v="0"/>
    <n v="0"/>
    <n v="0"/>
    <n v="0"/>
  </r>
  <r>
    <s v="JOSEPH NSEREKO BUSULWA"/>
    <x v="2"/>
    <n v="23"/>
    <n v="25166255.359999999"/>
    <x v="10"/>
    <n v="544884.12"/>
    <n v="31519076.789999999"/>
    <d v="2017-01-27T17:32:53"/>
    <d v="2019-02-01T00:00:00"/>
    <s v="0772990343"/>
    <s v=""/>
    <s v=""/>
    <n v="103061"/>
    <s v="00100002716"/>
    <s v="Transportation and Warehousing"/>
    <s v=" Passenger Transportation"/>
    <s v="Others"/>
    <n v="25166255.359999999"/>
    <n v="0"/>
    <n v="0"/>
    <n v="1"/>
    <n v="0"/>
    <n v="0"/>
  </r>
  <r>
    <s v="DANIEL STEPHEN MASINDE"/>
    <x v="1"/>
    <n v="23"/>
    <n v="55626405.399999999"/>
    <x v="10"/>
    <n v="2784766.33"/>
    <n v="81523180.200000003"/>
    <d v="2017-01-28T11:44:07"/>
    <d v="2020-02-01T00:00:00"/>
    <s v="0784887061"/>
    <s v="0702990005"/>
    <s v=""/>
    <n v="103063"/>
    <s v="00100001857"/>
    <s v="Construction"/>
    <s v="Construction of Buildings"/>
    <s v="Others"/>
    <n v="55626405.399999999"/>
    <n v="0"/>
    <n v="0"/>
    <n v="1"/>
    <n v="0"/>
    <n v="0"/>
  </r>
  <r>
    <s v="RONALD MUGANGA"/>
    <x v="3"/>
    <n v="21"/>
    <n v="7735464.4800000004"/>
    <x v="9"/>
    <n v="467120.97"/>
    <n v="8524173.8399999999"/>
    <d v="2017-01-28T13:30:05"/>
    <d v="2018-02-03T00:00:00"/>
    <s v="0703502692"/>
    <s v=""/>
    <s v=""/>
    <n v="103064"/>
    <s v="00100003707"/>
    <s v="Retail"/>
    <s v="General Merchandise Stores"/>
    <s v="Others"/>
    <n v="7735464.4800000004"/>
    <n v="0"/>
    <n v="0"/>
    <n v="1"/>
    <n v="0"/>
    <n v="0"/>
  </r>
  <r>
    <s v="BRIAN SIMON KATONGOLE"/>
    <x v="6"/>
    <n v="-27"/>
    <n v="34861966.829999998"/>
    <x v="17"/>
    <n v="42609.07"/>
    <n v="53545379.439999998"/>
    <d v="2017-01-28T14:28:51"/>
    <d v="2022-01-21T00:00:00"/>
    <s v="0782090352"/>
    <s v=""/>
    <s v=""/>
    <n v="103065"/>
    <s v="00100002048"/>
    <s v="Finance and Insurance"/>
    <s v="Finance"/>
    <s v="Others"/>
    <n v="0"/>
    <n v="0"/>
    <n v="0"/>
    <n v="0"/>
    <n v="0"/>
    <n v="0"/>
  </r>
  <r>
    <s v="WILLIAM KAVUMA KAGGWA"/>
    <x v="0"/>
    <n v="21"/>
    <n v="7761.31"/>
    <x v="4"/>
    <n v="0"/>
    <n v="7761.31"/>
    <d v="2017-01-30T12:44:00"/>
    <d v="2017-11-03T00:00:00"/>
    <s v="0702885644"/>
    <s v=""/>
    <s v=""/>
    <n v="103066"/>
    <s v="00100003706"/>
    <s v="Retail"/>
    <s v="Building Material and Garden Equipment"/>
    <s v="Others"/>
    <n v="7761.31"/>
    <n v="0"/>
    <n v="0"/>
    <n v="1"/>
    <n v="0"/>
    <n v="0"/>
  </r>
  <r>
    <s v="NULUH NALUBEGA"/>
    <x v="3"/>
    <n v="-7"/>
    <n v="11548818.5"/>
    <x v="9"/>
    <n v="296419.67"/>
    <n v="13665836.84"/>
    <d v="2017-01-30T14:54:12"/>
    <d v="2018-08-03T00:00:00"/>
    <s v="0701005530"/>
    <s v="0772005530"/>
    <s v=""/>
    <n v="103067"/>
    <s v="00100002229"/>
    <s v="Restaurants and Hotels"/>
    <s v="Restaurant"/>
    <s v="Others"/>
    <n v="0"/>
    <n v="0"/>
    <n v="0"/>
    <n v="0"/>
    <n v="0"/>
    <n v="0"/>
  </r>
  <r>
    <s v="HALIMA NAMUKWAYA"/>
    <x v="7"/>
    <n v="83"/>
    <n v="1398192.91"/>
    <x v="25"/>
    <n v="89757.46"/>
    <n v="1586362.43"/>
    <d v="2017-01-30T16:13:06"/>
    <d v="2018-02-03T00:00:00"/>
    <s v="0751753418"/>
    <s v=""/>
    <s v=""/>
    <n v="103068"/>
    <s v="00100002496"/>
    <s v="Retail"/>
    <s v="Others"/>
    <s v="Others"/>
    <n v="1398192.91"/>
    <n v="1398192.91"/>
    <n v="0"/>
    <n v="1"/>
    <n v="1"/>
    <n v="0"/>
  </r>
  <r>
    <s v="JOSEPH WILLIAM SSENKUMBA"/>
    <x v="1"/>
    <n v="23"/>
    <n v="3508050.77"/>
    <x v="9"/>
    <n v="62577.7"/>
    <n v="3682351.17"/>
    <d v="2017-01-30T17:11:45"/>
    <d v="2018-02-03T00:00:00"/>
    <s v="0701116763"/>
    <s v=""/>
    <s v=""/>
    <n v="103069"/>
    <s v="00100002127"/>
    <s v="Real Estate and Rental"/>
    <s v="Rental"/>
    <s v="Machinery &amp; Equipment"/>
    <n v="3508050.77"/>
    <n v="0"/>
    <n v="0"/>
    <n v="1"/>
    <n v="0"/>
    <n v="0"/>
  </r>
  <r>
    <s v="MICHEAL KIRIGGWAJJO"/>
    <x v="2"/>
    <n v="203"/>
    <n v="48442901.219999999"/>
    <x v="7"/>
    <n v="1722057.41"/>
    <n v="76792747.760000005"/>
    <d v="2017-01-31T14:22:43"/>
    <d v="2020-02-03T00:00:00"/>
    <s v="0772851559"/>
    <s v=""/>
    <s v=""/>
    <n v="103070"/>
    <s v="00100002264"/>
    <s v="Retail"/>
    <s v="Others"/>
    <s v="Others"/>
    <n v="48442901.219999999"/>
    <n v="48442901.219999999"/>
    <n v="48442901.219999999"/>
    <n v="1"/>
    <n v="1"/>
    <n v="1"/>
  </r>
  <r>
    <s v="SARAH NAKANJAKO"/>
    <x v="8"/>
    <n v="23"/>
    <n v="2679456.13"/>
    <x v="16"/>
    <n v="143652.04999999999"/>
    <n v="2921629.31"/>
    <d v="2017-01-31T18:28:50"/>
    <d v="2018-02-03T00:00:00"/>
    <s v="0788301248"/>
    <s v="0705998561"/>
    <s v=""/>
    <n v="103071"/>
    <s v="00100000716"/>
    <s v="Retail"/>
    <s v="Second Hand -Clothing and  Accessories"/>
    <s v="Clothing Stores"/>
    <n v="2679456.13"/>
    <n v="0"/>
    <n v="0"/>
    <n v="1"/>
    <n v="0"/>
    <n v="0"/>
  </r>
  <r>
    <s v="AMINAH KAZIBWE"/>
    <x v="7"/>
    <n v="23"/>
    <n v="1549076.36"/>
    <x v="10"/>
    <n v="96702.06"/>
    <n v="1708114.7"/>
    <d v="2017-01-31T18:48:48"/>
    <d v="2018-02-03T00:00:00"/>
    <s v="0782160310"/>
    <s v="0702091447"/>
    <s v=""/>
    <n v="103072"/>
    <s v="00100002495"/>
    <s v="Real Estate and Rental"/>
    <s v="Rental"/>
    <s v="General Rental Centers"/>
    <n v="1549076.36"/>
    <n v="0"/>
    <n v="0"/>
    <n v="1"/>
    <n v="0"/>
    <n v="0"/>
  </r>
  <r>
    <s v="ROBERT BASUDDE"/>
    <x v="2"/>
    <n v="49"/>
    <n v="50377873.240000002"/>
    <x v="16"/>
    <n v="1450933.78"/>
    <n v="63648206.280000001"/>
    <d v="2017-01-31T20:17:29"/>
    <d v="2019-02-07T00:00:00"/>
    <s v="0779650271"/>
    <s v=""/>
    <s v="0700650271"/>
    <n v="103073"/>
    <s v="00100003842"/>
    <s v="Construction"/>
    <s v="Construction of Buildings"/>
    <s v="Residential Construction"/>
    <n v="50377873.240000002"/>
    <n v="50377873.240000002"/>
    <n v="0"/>
    <n v="1"/>
    <n v="1"/>
    <n v="0"/>
  </r>
  <r>
    <s v="MUHMOOD KIGOZI SETYABULE"/>
    <x v="2"/>
    <n v="-7"/>
    <n v="51169733.530000001"/>
    <x v="12"/>
    <n v="1125734.1399999999"/>
    <n v="69715347.370000005"/>
    <d v="2017-01-31T21:27:55"/>
    <d v="2019-08-03T00:00:00"/>
    <s v="0782985874"/>
    <s v="0701086272"/>
    <s v=""/>
    <n v="103074"/>
    <s v="00100000139"/>
    <s v="Retail"/>
    <s v="Others"/>
    <s v="Others"/>
    <n v="0"/>
    <n v="0"/>
    <n v="0"/>
    <n v="0"/>
    <n v="0"/>
    <n v="0"/>
  </r>
  <r>
    <s v="NATHAN MUGAMBAZZI KATAMBA"/>
    <x v="0"/>
    <n v="23"/>
    <n v="984987.52"/>
    <x v="24"/>
    <n v="55333.23"/>
    <n v="1085126.2"/>
    <d v="2017-01-31T22:20:25"/>
    <d v="2018-02-03T00:00:00"/>
    <s v="0772839674"/>
    <s v="0705060566"/>
    <s v=""/>
    <n v="103075"/>
    <s v="00100004343"/>
    <s v="Retail"/>
    <s v="Others"/>
    <s v="Others"/>
    <n v="984987.52"/>
    <n v="0"/>
    <n v="0"/>
    <n v="1"/>
    <n v="0"/>
    <n v="0"/>
  </r>
  <r>
    <s v="KENETH BALIKURUNGI"/>
    <x v="0"/>
    <n v="-8"/>
    <n v="711293.86"/>
    <x v="7"/>
    <n v="19916.23"/>
    <n v="739745.61"/>
    <d v="2017-02-02T16:33:03"/>
    <d v="2017-12-02T00:00:00"/>
    <s v="0785153889"/>
    <s v=""/>
    <s v=""/>
    <n v="103076"/>
    <s v="00100001150"/>
    <s v="Agriculture, Forestry, Fishing and Hunting"/>
    <s v="Animal Production"/>
    <s v="Poultry &amp; Egg Production"/>
    <n v="0"/>
    <n v="0"/>
    <n v="0"/>
    <n v="0"/>
    <n v="0"/>
    <n v="0"/>
  </r>
  <r>
    <s v="SILIAN MUHOOZI"/>
    <x v="2"/>
    <n v="-9"/>
    <n v="11366727.82"/>
    <x v="13"/>
    <n v="227334.56"/>
    <n v="12055450.25"/>
    <d v="2017-02-03T16:48:17"/>
    <d v="2018-02-03T00:00:00"/>
    <s v="0703528409"/>
    <s v="0774218660"/>
    <s v=""/>
    <n v="103077"/>
    <s v="00100002990"/>
    <s v="Retail"/>
    <s v="General Merchandise Stores"/>
    <s v="General Stores"/>
    <n v="0"/>
    <n v="0"/>
    <n v="0"/>
    <n v="0"/>
    <n v="0"/>
    <n v="0"/>
  </r>
  <r>
    <s v="JAMES MUSISI LUGWANA"/>
    <x v="3"/>
    <n v="-9"/>
    <n v="11535815.109999999"/>
    <x v="14"/>
    <n v="269169.02"/>
    <n v="13647031.289999999"/>
    <d v="2017-02-03T17:08:59"/>
    <d v="2018-08-03T00:00:00"/>
    <s v="0776628200"/>
    <s v="0752628200"/>
    <s v=""/>
    <n v="103078"/>
    <s v="00100001930"/>
    <s v="Retail"/>
    <s v="General Merchandise Stores"/>
    <s v="Others"/>
    <n v="0"/>
    <n v="0"/>
    <n v="0"/>
    <n v="0"/>
    <n v="0"/>
    <n v="0"/>
  </r>
  <r>
    <s v="EDWARD KIBALAMA"/>
    <x v="3"/>
    <n v="-9"/>
    <n v="4638791.34"/>
    <x v="15"/>
    <n v="108238.46"/>
    <n v="4967229.5599999996"/>
    <d v="2017-02-03T17:28:12"/>
    <d v="2018-02-03T00:00:00"/>
    <s v="0772404421"/>
    <s v=""/>
    <s v=""/>
    <n v="103079"/>
    <s v="00100002191"/>
    <s v="Restaurants and Hotels"/>
    <s v="Others"/>
    <s v="Others"/>
    <n v="0"/>
    <n v="0"/>
    <n v="0"/>
    <n v="0"/>
    <n v="0"/>
    <n v="0"/>
  </r>
  <r>
    <s v="ALEX OKELLO"/>
    <x v="0"/>
    <n v="-13"/>
    <n v="2956919.77"/>
    <x v="24"/>
    <n v="63080.959999999999"/>
    <n v="3196565.15"/>
    <d v="2017-02-07T11:31:39"/>
    <d v="2018-02-07T00:00:00"/>
    <s v="0712555113"/>
    <s v="0755002397"/>
    <s v=""/>
    <n v="103081"/>
    <s v="00100001005"/>
    <s v="Retail"/>
    <s v="Health and Personal Care Stores"/>
    <s v="Others"/>
    <n v="0"/>
    <n v="0"/>
    <n v="0"/>
    <n v="0"/>
    <n v="0"/>
    <n v="0"/>
  </r>
  <r>
    <s v="EDGAR MAGEZI"/>
    <x v="1"/>
    <n v="-13"/>
    <n v="14098084.359999999"/>
    <x v="9"/>
    <n v="225569.35"/>
    <n v="17714224.760000002"/>
    <d v="2017-02-07T15:43:43"/>
    <d v="2019-02-07T00:00:00"/>
    <s v="0712131324"/>
    <s v=""/>
    <s v=""/>
    <n v="103082"/>
    <s v="00100001555"/>
    <s v="Agriculture, Forestry, Fishing and Hunting"/>
    <s v="Crop Production"/>
    <s v="Maize"/>
    <n v="0"/>
    <n v="0"/>
    <n v="0"/>
    <n v="0"/>
    <n v="0"/>
    <n v="0"/>
  </r>
  <r>
    <s v="FRED BULEGA"/>
    <x v="0"/>
    <n v="16"/>
    <n v="413059.12"/>
    <x v="13"/>
    <n v="0"/>
    <n v="413059.12"/>
    <d v="2017-02-08T13:59:30"/>
    <d v="2017-11-08T00:00:00"/>
    <s v="0782534792"/>
    <s v="0703684201"/>
    <s v=""/>
    <n v="103083"/>
    <s v="00100004338"/>
    <s v="Agriculture, Forestry, Fishing and Hunting"/>
    <s v="Animal Production"/>
    <s v="Poultry &amp; Egg Production"/>
    <n v="413059.12"/>
    <n v="0"/>
    <n v="0"/>
    <n v="1"/>
    <n v="0"/>
    <n v="0"/>
  </r>
  <r>
    <s v="DAVID ZZIWA"/>
    <x v="3"/>
    <n v="-21"/>
    <n v="10162105.699999999"/>
    <x v="5"/>
    <n v="94846.32"/>
    <n v="12021913.77"/>
    <d v="2017-02-09T16:03:40"/>
    <d v="2018-08-15T00:00:00"/>
    <s v="0712413349"/>
    <s v="0701088403"/>
    <s v=""/>
    <n v="103085"/>
    <s v="00100003598"/>
    <s v="Retail"/>
    <s v="Building Material and Garden Equipment"/>
    <s v="Others"/>
    <n v="0"/>
    <n v="0"/>
    <n v="0"/>
    <n v="0"/>
    <n v="0"/>
    <n v="0"/>
  </r>
  <r>
    <s v="GRACE KICONCO MAGUMBA"/>
    <x v="1"/>
    <n v="-16"/>
    <n v="9340944.1600000001"/>
    <x v="10"/>
    <n v="121432.27"/>
    <n v="10797241.390000001"/>
    <d v="2017-02-10T15:32:00"/>
    <d v="2018-08-10T00:00:00"/>
    <s v="0772468576"/>
    <s v="0702739591"/>
    <s v=""/>
    <n v="103086"/>
    <s v="00100002937"/>
    <s v="Retail"/>
    <s v="General Merchandise Stores"/>
    <s v="General Stores"/>
    <n v="0"/>
    <n v="0"/>
    <n v="0"/>
    <n v="0"/>
    <n v="0"/>
    <n v="0"/>
  </r>
  <r>
    <s v="HENRY WALUSIMBI DEGEDEGE"/>
    <x v="2"/>
    <n v="11"/>
    <n v="22992719.140000001"/>
    <x v="16"/>
    <n v="908301.88"/>
    <n v="29287518.390000001"/>
    <d v="2017-02-13T09:32:53"/>
    <d v="2019-02-13T00:00:00"/>
    <s v="0756350814"/>
    <s v=""/>
    <s v=""/>
    <n v="103088"/>
    <s v="00100003906"/>
    <s v="Construction"/>
    <s v="Construction of Buildings"/>
    <s v="Others"/>
    <n v="22992719.140000001"/>
    <n v="0"/>
    <n v="0"/>
    <n v="1"/>
    <n v="0"/>
    <n v="0"/>
  </r>
  <r>
    <s v="SULA JJEMBA MUSOKE"/>
    <x v="0"/>
    <n v="-20"/>
    <n v="2110279.12"/>
    <x v="15"/>
    <n v="28488.77"/>
    <n v="2302989.98"/>
    <d v="2017-02-14T12:15:27"/>
    <d v="2018-02-14T00:00:00"/>
    <s v="0703800883"/>
    <s v="0778644446"/>
    <s v=""/>
    <n v="103089"/>
    <s v="00100004346"/>
    <s v="Real Estate and Rental"/>
    <s v="Rental"/>
    <s v="Others"/>
    <n v="0"/>
    <n v="0"/>
    <n v="0"/>
    <n v="0"/>
    <n v="0"/>
    <n v="0"/>
  </r>
  <r>
    <s v="FRED SSEBBUNZA"/>
    <x v="2"/>
    <n v="10"/>
    <n v="37944964.439999998"/>
    <x v="9"/>
    <n v="1457987.22"/>
    <n v="46383320.100000001"/>
    <d v="2017-02-14T16:27:50"/>
    <d v="2018-11-14T00:00:00"/>
    <s v="0772441851"/>
    <s v=""/>
    <s v=""/>
    <n v="103091"/>
    <s v="00100002558"/>
    <s v="Retail"/>
    <s v="Others"/>
    <s v="Others"/>
    <n v="37944964.439999998"/>
    <n v="0"/>
    <n v="0"/>
    <n v="1"/>
    <n v="0"/>
    <n v="0"/>
  </r>
  <r>
    <s v="HERBERT SSEKEBA"/>
    <x v="2"/>
    <n v="-20"/>
    <n v="22644713"/>
    <x v="12"/>
    <n v="203802.42"/>
    <n v="26175130.48"/>
    <d v="2017-02-14T17:37:43"/>
    <d v="2018-08-14T00:00:00"/>
    <s v="0782855200"/>
    <s v=""/>
    <s v=""/>
    <n v="103092"/>
    <s v="00100003595"/>
    <s v="Retail"/>
    <s v="General Merchandise Stores"/>
    <s v="Others"/>
    <n v="0"/>
    <n v="0"/>
    <n v="0"/>
    <n v="0"/>
    <n v="0"/>
    <n v="0"/>
  </r>
  <r>
    <s v="VENANTIE KAMUGISHA"/>
    <x v="7"/>
    <n v="9"/>
    <n v="1049643.77"/>
    <x v="12"/>
    <n v="9462.14"/>
    <n v="1121537.3899999999"/>
    <d v="2017-02-15T17:41:00"/>
    <d v="2018-02-15T00:00:00"/>
    <s v="0788575948"/>
    <s v=""/>
    <s v=""/>
    <n v="103093"/>
    <s v="00100000365"/>
    <s v="Retail"/>
    <s v="General Merchandise Stores"/>
    <s v="General Stores"/>
    <n v="1049643.77"/>
    <n v="0"/>
    <n v="0"/>
    <n v="1"/>
    <n v="0"/>
    <n v="0"/>
  </r>
  <r>
    <s v="STEPHEN BERNARD NALUSWA"/>
    <x v="2"/>
    <n v="-21"/>
    <n v="9945886.8599999994"/>
    <x v="4"/>
    <n v="79567.09"/>
    <n v="10548518.99"/>
    <d v="2017-02-15T19:10:03"/>
    <d v="2018-02-15T00:00:00"/>
    <s v="0772444300"/>
    <s v="0712745023"/>
    <s v=""/>
    <n v="103094"/>
    <s v="00100002933"/>
    <s v="Real Estate and Rental"/>
    <s v="Rental"/>
    <s v="General Rental Centers"/>
    <n v="0"/>
    <n v="0"/>
    <n v="0"/>
    <n v="0"/>
    <n v="0"/>
    <n v="0"/>
  </r>
  <r>
    <s v="BRIDGETTE KIZITO"/>
    <x v="2"/>
    <n v="-23"/>
    <n v="35390840.109999999"/>
    <x v="27"/>
    <n v="212345.04"/>
    <n v="48213200.039999999"/>
    <d v="2017-02-17T16:30:49"/>
    <d v="2019-08-17T00:00:00"/>
    <s v="0752494098"/>
    <s v="0701494098"/>
    <s v=""/>
    <n v="103095"/>
    <s v="00100000458"/>
    <s v="Construction"/>
    <s v="Others"/>
    <s v="Others"/>
    <n v="0"/>
    <n v="0"/>
    <n v="0"/>
    <n v="0"/>
    <n v="0"/>
    <n v="0"/>
  </r>
  <r>
    <s v="PATRICK KALULE"/>
    <x v="2"/>
    <n v="-26"/>
    <n v="38769731.990000002"/>
    <x v="9"/>
    <n v="116309.2"/>
    <n v="48714118.109999999"/>
    <d v="2017-02-20T13:14:23"/>
    <d v="2019-02-20T00:00:00"/>
    <s v="0772502236"/>
    <s v=""/>
    <s v=""/>
    <n v="103096"/>
    <s v="00100000523"/>
    <s v="Construction"/>
    <s v="Construction of Buildings"/>
    <s v="Others"/>
    <n v="0"/>
    <n v="0"/>
    <n v="0"/>
    <n v="0"/>
    <n v="0"/>
    <n v="0"/>
  </r>
  <r>
    <s v="HUDSON PAUL KATUMBA"/>
    <x v="2"/>
    <n v="4"/>
    <n v="41214800.259999998"/>
    <x v="14"/>
    <n v="1371613.9"/>
    <n v="53845207.32"/>
    <d v="2017-02-20T12:19:00"/>
    <d v="2019-02-20T00:00:00"/>
    <s v="0772508225"/>
    <s v="0703810131"/>
    <s v=""/>
    <n v="103097"/>
    <s v="00100004363"/>
    <s v="Real Estate and Rental"/>
    <s v="Rental"/>
    <s v="Others"/>
    <n v="41214800.259999998"/>
    <n v="0"/>
    <n v="0"/>
    <n v="1"/>
    <n v="0"/>
    <n v="0"/>
  </r>
  <r>
    <s v="DANNY INNOCENT BAGHEN"/>
    <x v="0"/>
    <n v="4"/>
    <n v="8876699.7300000004"/>
    <x v="16"/>
    <n v="35240.5"/>
    <n v="10730675.199999999"/>
    <d v="2017-02-20T13:29:28"/>
    <d v="2018-08-20T00:00:00"/>
    <s v="0784842907"/>
    <s v=""/>
    <s v=""/>
    <n v="103098"/>
    <s v="00100003067"/>
    <s v="Health Care"/>
    <s v="Health Care"/>
    <s v="Others"/>
    <n v="8876699.7300000004"/>
    <n v="0"/>
    <n v="0"/>
    <n v="1"/>
    <n v="0"/>
    <n v="0"/>
  </r>
  <r>
    <s v="GODFREY NSUBUGA"/>
    <x v="2"/>
    <n v="53"/>
    <n v="47114080.979999997"/>
    <x v="3"/>
    <n v="1678741.75"/>
    <n v="62954148.380000003"/>
    <d v="2017-03-25T13:47:14"/>
    <d v="2019-04-01T00:00:00"/>
    <s v="0772445147"/>
    <s v="0752445147"/>
    <s v=""/>
    <n v="103099"/>
    <s v="00100004357"/>
    <s v="Retail"/>
    <s v="General Merchandise Stores"/>
    <s v="General Stores"/>
    <n v="47114080.979999997"/>
    <n v="47114080.979999997"/>
    <n v="0"/>
    <n v="1"/>
    <n v="1"/>
    <n v="0"/>
  </r>
  <r>
    <s v="SIMON SSEREMBA"/>
    <x v="2"/>
    <n v="34"/>
    <n v="15219031"/>
    <x v="9"/>
    <n v="444542.57"/>
    <n v="16355866.380000001"/>
    <d v="2017-02-20T14:07:33"/>
    <d v="2018-02-20T00:00:00"/>
    <s v="0772657232"/>
    <s v="0752657232"/>
    <s v=""/>
    <n v="103100"/>
    <s v="00100000343"/>
    <s v="Transportation and Warehousing"/>
    <s v="Others"/>
    <s v="Others"/>
    <n v="15219031"/>
    <n v="15219031"/>
    <n v="0"/>
    <n v="1"/>
    <n v="1"/>
    <n v="0"/>
  </r>
  <r>
    <s v="MARTIN LUTAAYA"/>
    <x v="0"/>
    <n v="64"/>
    <n v="851743.54"/>
    <x v="14"/>
    <n v="57914.400000000001"/>
    <n v="909657.94"/>
    <d v="2017-02-20T16:48:41"/>
    <d v="2017-10-20T00:00:00"/>
    <s v="0782400677"/>
    <s v="0703852626"/>
    <s v=""/>
    <n v="103101"/>
    <s v="00100004361"/>
    <s v="Retail"/>
    <s v="Second Hand -Clothing and  Accessories"/>
    <s v="Others"/>
    <n v="851743.54"/>
    <n v="851743.54"/>
    <n v="0"/>
    <n v="1"/>
    <n v="1"/>
    <n v="0"/>
  </r>
  <r>
    <s v="MICHEAL KIBIRIGE"/>
    <x v="0"/>
    <n v="4"/>
    <n v="1967151.37"/>
    <x v="24"/>
    <n v="95304.85"/>
    <n v="2193323.7999999998"/>
    <d v="2017-02-20T16:41:09"/>
    <d v="2018-02-20T00:00:00"/>
    <s v="0751007133"/>
    <s v="0782007135"/>
    <s v=""/>
    <n v="103102"/>
    <s v="00100004368"/>
    <s v="Retail"/>
    <s v="General Merchandise Stores"/>
    <s v="General Stores"/>
    <n v="1967151.37"/>
    <n v="0"/>
    <n v="0"/>
    <n v="1"/>
    <n v="0"/>
    <n v="0"/>
  </r>
  <r>
    <s v="JOSEPHINE MIREMBE"/>
    <x v="7"/>
    <n v="4"/>
    <n v="1967151.37"/>
    <x v="14"/>
    <n v="95304.85"/>
    <n v="2193323.7999999998"/>
    <d v="2017-02-20T16:46:18"/>
    <d v="2018-02-20T00:00:00"/>
    <s v="0782513799"/>
    <s v="0703376728"/>
    <s v=""/>
    <n v="103103"/>
    <s v="00100004367"/>
    <s v="Real Estate and Rental"/>
    <s v="Rental"/>
    <s v="General Rental Centers"/>
    <n v="1967151.37"/>
    <n v="0"/>
    <n v="0"/>
    <n v="1"/>
    <n v="0"/>
    <n v="0"/>
  </r>
  <r>
    <s v="GRACE MAGOBA"/>
    <x v="7"/>
    <n v="3"/>
    <n v="983575.67"/>
    <x v="5"/>
    <n v="31687.39"/>
    <n v="1081827.3600000001"/>
    <d v="2017-02-21T17:21:56"/>
    <d v="2018-02-21T00:00:00"/>
    <s v="0704793810"/>
    <s v=""/>
    <s v=""/>
    <n v="103104"/>
    <s v="00100004349"/>
    <s v="Real Estate and Rental"/>
    <s v="Real Estate"/>
    <s v="Others"/>
    <n v="983575.67"/>
    <n v="0"/>
    <n v="0"/>
    <n v="1"/>
    <n v="0"/>
    <n v="0"/>
  </r>
  <r>
    <s v="SHEM LUTWAMA KALUGYE BAFIRAWALA"/>
    <x v="0"/>
    <n v="23"/>
    <n v="8698654.6600000001"/>
    <x v="4"/>
    <n v="570834.76"/>
    <n v="11079363.800000001"/>
    <d v="2017-02-21T16:55:22"/>
    <d v="2018-09-01T00:00:00"/>
    <s v="0752436364"/>
    <s v="0772436364"/>
    <s v=""/>
    <n v="103105"/>
    <s v="00100003146"/>
    <s v="Real Estate and Rental"/>
    <s v="Rental"/>
    <s v="General Rental Centers"/>
    <n v="8698654.6600000001"/>
    <n v="0"/>
    <n v="0"/>
    <n v="1"/>
    <n v="0"/>
    <n v="0"/>
  </r>
  <r>
    <s v="JOHN MARY RUMBASI"/>
    <x v="2"/>
    <n v="3"/>
    <n v="24808796.93"/>
    <x v="4"/>
    <n v="789553.34"/>
    <n v="29083478.32"/>
    <d v="2017-02-21T17:34:16"/>
    <d v="2018-08-21T00:00:00"/>
    <s v="0753577592"/>
    <s v=""/>
    <s v=""/>
    <n v="103106"/>
    <s v="00100003591"/>
    <s v="Construction"/>
    <s v="Others"/>
    <s v="Others"/>
    <n v="24808796.93"/>
    <n v="0"/>
    <n v="0"/>
    <n v="1"/>
    <n v="0"/>
    <n v="0"/>
  </r>
  <r>
    <s v="CHARLES OMONGOT"/>
    <x v="2"/>
    <n v="30"/>
    <n v="11605983.99"/>
    <x v="16"/>
    <n v="575861.30000000005"/>
    <n v="12309203.210000001"/>
    <d v="2017-02-24T17:33:00"/>
    <d v="2017-12-24T00:00:00"/>
    <s v="0782015555"/>
    <s v=""/>
    <s v=""/>
    <n v="103108"/>
    <s v="00100003214"/>
    <s v="Wholesale Trade"/>
    <s v="Nondurable Goods"/>
    <s v="Others"/>
    <n v="11605983.99"/>
    <n v="0"/>
    <n v="0"/>
    <n v="1"/>
    <n v="0"/>
    <n v="0"/>
  </r>
  <r>
    <s v="CHARLES LUKANGA"/>
    <x v="0"/>
    <n v="-7"/>
    <n v="2721296.72"/>
    <x v="15"/>
    <n v="79824.7"/>
    <n v="2998760.63"/>
    <d v="2017-02-27T18:04:12"/>
    <d v="2018-03-01T00:00:00"/>
    <s v="0772425111"/>
    <s v="0701425111"/>
    <s v=""/>
    <n v="103109"/>
    <s v="00100000316"/>
    <s v="Real Estate and Rental"/>
    <s v="Rental"/>
    <s v="Machinery &amp; Equipment"/>
    <n v="0"/>
    <n v="0"/>
    <n v="0"/>
    <n v="0"/>
    <n v="0"/>
    <n v="0"/>
  </r>
  <r>
    <s v="FESTO SSEBADDUKA"/>
    <x v="3"/>
    <n v="-11"/>
    <n v="19736014.850000001"/>
    <x v="25"/>
    <n v="414456.31"/>
    <n v="26109904.77"/>
    <d v="2017-02-28T13:57:59"/>
    <d v="2019-03-05T00:00:00"/>
    <s v="0752565565"/>
    <s v="0776565565"/>
    <s v=""/>
    <n v="103110"/>
    <s v="00100001171"/>
    <s v="Retail"/>
    <s v="General Merchandise Stores"/>
    <s v="General Stores"/>
    <n v="0"/>
    <n v="0"/>
    <n v="0"/>
    <n v="0"/>
    <n v="0"/>
    <n v="0"/>
  </r>
  <r>
    <s v="MUSITAFA KIMERA"/>
    <x v="1"/>
    <n v="-7"/>
    <n v="7490302.2000000002"/>
    <x v="14"/>
    <n v="164786.65"/>
    <n v="8060375.4699999997"/>
    <d v="2017-02-28T19:21:38"/>
    <d v="2018-03-01T00:00:00"/>
    <s v="0772662881"/>
    <s v="0702662881"/>
    <s v=""/>
    <n v="103112"/>
    <s v="00100002241"/>
    <s v="Retail"/>
    <s v="Second Hand -Clothing and  Accessories"/>
    <s v="Clothing Stores"/>
    <n v="0"/>
    <n v="0"/>
    <n v="0"/>
    <n v="0"/>
    <n v="0"/>
    <n v="0"/>
  </r>
  <r>
    <s v="ISMA LUBOWA"/>
    <x v="0"/>
    <n v="23"/>
    <n v="2106431.0099999998"/>
    <x v="16"/>
    <n v="56944.92"/>
    <n v="2304366.73"/>
    <d v="2017-02-28T19:23:39"/>
    <d v="2018-03-01T00:00:00"/>
    <s v="0705203477"/>
    <s v=""/>
    <s v=""/>
    <n v="103113"/>
    <s v="00100003983"/>
    <s v="Real Estate and Rental"/>
    <s v="Rental"/>
    <s v="Others"/>
    <n v="2106431.0099999998"/>
    <n v="0"/>
    <n v="0"/>
    <n v="1"/>
    <n v="0"/>
    <n v="0"/>
  </r>
  <r>
    <s v="JUDAS AZABO"/>
    <x v="2"/>
    <n v="23"/>
    <n v="45390845.670000002"/>
    <x v="4"/>
    <n v="986704.06"/>
    <n v="62453770.420000002"/>
    <d v="2017-02-28T21:47:42"/>
    <d v="2019-09-01T00:00:00"/>
    <s v="0701451829"/>
    <s v="0755409795"/>
    <s v=""/>
    <n v="103114"/>
    <s v="00100001445"/>
    <s v="Wholesale Trade"/>
    <s v="Others"/>
    <s v="Others"/>
    <n v="45390845.670000002"/>
    <n v="0"/>
    <n v="0"/>
    <n v="1"/>
    <n v="0"/>
    <n v="0"/>
  </r>
  <r>
    <s v="GIBON DANGA OYUGA"/>
    <x v="0"/>
    <n v="112"/>
    <n v="1903662.33"/>
    <x v="22"/>
    <n v="149117.96"/>
    <n v="2122535.12"/>
    <d v="2017-03-02T13:07:33"/>
    <d v="2017-11-02T00:00:00"/>
    <s v="0775898980"/>
    <s v=""/>
    <s v=""/>
    <n v="103117"/>
    <s v="00100004370"/>
    <s v="Real Estate and Rental"/>
    <s v="Rental"/>
    <s v="Others"/>
    <n v="1903662.33"/>
    <n v="1903662.33"/>
    <n v="1903662.33"/>
    <n v="1"/>
    <n v="1"/>
    <n v="1"/>
  </r>
  <r>
    <s v="AFISHA NAMUTEBI"/>
    <x v="7"/>
    <n v="17"/>
    <n v="1370232.91"/>
    <x v="16"/>
    <n v="28879.07"/>
    <n v="1508257.05"/>
    <d v="2017-03-07T13:21:01"/>
    <d v="2018-03-07T00:00:00"/>
    <s v="0751107041"/>
    <s v=""/>
    <s v=""/>
    <n v="103119"/>
    <s v="00100003967"/>
    <s v="Retail"/>
    <s v="Second Hand -Clothing and  Accessories"/>
    <s v="Others"/>
    <n v="1370232.91"/>
    <n v="0"/>
    <n v="0"/>
    <n v="1"/>
    <n v="0"/>
    <n v="0"/>
  </r>
  <r>
    <s v="ANDREW ABITEKANIZA"/>
    <x v="0"/>
    <n v="44"/>
    <n v="2259329.16"/>
    <x v="10"/>
    <n v="187675.93"/>
    <n v="2628210.5699999998"/>
    <d v="2017-03-11T10:51:52"/>
    <d v="2018-03-10T00:00:00"/>
    <s v="0704904952"/>
    <s v=""/>
    <s v=""/>
    <n v="103122"/>
    <s v="00100004382"/>
    <s v="Educational Services"/>
    <s v="Educational Services"/>
    <s v="Others"/>
    <n v="2259329.16"/>
    <n v="2259329.16"/>
    <n v="0"/>
    <n v="1"/>
    <n v="1"/>
    <n v="0"/>
  </r>
  <r>
    <s v="IRENE BARASA BUSINGE"/>
    <x v="1"/>
    <n v="13"/>
    <n v="15791541.779999999"/>
    <x v="2"/>
    <n v="180266.31"/>
    <n v="16934853.5"/>
    <d v="2017-03-11T12:11:06"/>
    <d v="2018-03-11T00:00:00"/>
    <s v="0772633981"/>
    <s v=""/>
    <s v=""/>
    <n v="103123"/>
    <s v="00100003511"/>
    <s v="Real Estate and Rental"/>
    <s v="Rental"/>
    <s v="Others"/>
    <n v="15791541.779999999"/>
    <n v="0"/>
    <n v="0"/>
    <n v="1"/>
    <n v="0"/>
    <n v="0"/>
  </r>
  <r>
    <s v="AIDAH TWINOMUHANGI"/>
    <x v="8"/>
    <n v="-22"/>
    <n v="3058629.38"/>
    <x v="27"/>
    <n v="26168.27"/>
    <n v="3344050.08"/>
    <d v="2017-03-16T15:26:17"/>
    <d v="2018-03-16T00:00:00"/>
    <s v="0702925090"/>
    <s v="0776925090"/>
    <s v=""/>
    <n v="103125"/>
    <s v="00100004020"/>
    <s v="Retail"/>
    <s v="General Merchandise Stores"/>
    <s v="General Stores"/>
    <n v="0"/>
    <n v="0"/>
    <n v="0"/>
    <n v="0"/>
    <n v="0"/>
    <n v="0"/>
  </r>
  <r>
    <s v="MOSES SSERUWAGI"/>
    <x v="1"/>
    <n v="7"/>
    <n v="4600869.3899999997"/>
    <x v="11"/>
    <n v="160431.73000000001"/>
    <n v="5023104.32"/>
    <d v="2017-03-17T11:00:21"/>
    <d v="2018-03-17T00:00:00"/>
    <s v="0772550868"/>
    <s v=""/>
    <s v="0753550868"/>
    <n v="103126"/>
    <s v="00100003669"/>
    <s v="Construction"/>
    <s v="Construction of Buildings"/>
    <s v="Others"/>
    <n v="4600869.3899999997"/>
    <n v="0"/>
    <n v="0"/>
    <n v="1"/>
    <n v="0"/>
    <n v="0"/>
  </r>
  <r>
    <s v="BETTY KASULE"/>
    <x v="7"/>
    <n v="4"/>
    <n v="694821.79"/>
    <x v="10"/>
    <n v="33396.97"/>
    <n v="758272.97"/>
    <d v="2017-03-20T18:01:53"/>
    <d v="2018-01-20T00:00:00"/>
    <s v="0772383967"/>
    <s v=""/>
    <s v=""/>
    <n v="103129"/>
    <s v="00100004400"/>
    <s v="Real Estate and Rental"/>
    <s v="Rental"/>
    <s v="Others"/>
    <n v="694821.79"/>
    <n v="0"/>
    <n v="0"/>
    <n v="1"/>
    <n v="0"/>
    <n v="0"/>
  </r>
  <r>
    <s v="EDITH KAYAGA MUYONJO"/>
    <x v="7"/>
    <n v="61"/>
    <n v="746175.73"/>
    <x v="3"/>
    <n v="26024.85"/>
    <n v="784840.74"/>
    <d v="2017-03-22T17:09:53"/>
    <d v="2017-11-23T00:00:00"/>
    <s v="0775216609"/>
    <s v=""/>
    <s v=""/>
    <n v="103130"/>
    <s v="00100004377"/>
    <s v="Retail"/>
    <s v="Others"/>
    <s v="Others"/>
    <n v="746175.73"/>
    <n v="746175.73"/>
    <n v="0"/>
    <n v="1"/>
    <n v="1"/>
    <n v="0"/>
  </r>
  <r>
    <s v="GEORGE MAYANJA"/>
    <x v="0"/>
    <n v="63"/>
    <n v="1913905.56"/>
    <x v="11"/>
    <n v="72845.52"/>
    <n v="2096427.82"/>
    <d v="2017-03-21T13:27:14"/>
    <d v="2018-01-21T00:00:00"/>
    <s v="0772479210"/>
    <s v="0758402250"/>
    <s v=""/>
    <n v="103131"/>
    <s v="00100002998"/>
    <s v="Agriculture, Forestry, Fishing and Hunting"/>
    <s v="Crop Production"/>
    <s v="Others"/>
    <n v="1913905.56"/>
    <n v="1913905.56"/>
    <n v="0"/>
    <n v="1"/>
    <n v="1"/>
    <n v="0"/>
  </r>
  <r>
    <s v="FLORENCE KUGONZA KYOLABA"/>
    <x v="2"/>
    <n v="0"/>
    <n v="16269963.73"/>
    <x v="22"/>
    <n v="524254.39"/>
    <n v="17932509.489999998"/>
    <d v="2017-03-24T13:16:27"/>
    <d v="2018-03-24T00:00:00"/>
    <s v="077260552"/>
    <s v="0775605512"/>
    <s v=""/>
    <n v="103134"/>
    <s v="00100004392"/>
    <s v="Transportation and Warehousing"/>
    <s v=" Passenger Transportation"/>
    <s v="Taxi service"/>
    <n v="0"/>
    <n v="0"/>
    <n v="0"/>
    <n v="0"/>
    <n v="0"/>
    <n v="0"/>
  </r>
  <r>
    <s v="FRED KITIMBO"/>
    <x v="0"/>
    <n v="150"/>
    <n v="3750488.76"/>
    <x v="2"/>
    <n v="150839.75"/>
    <n v="4212915.82"/>
    <d v="2017-03-24T12:14:21"/>
    <d v="2017-11-24T00:00:00"/>
    <s v="0757997424"/>
    <s v="0772868528"/>
    <s v=""/>
    <n v="103135"/>
    <s v="00100004404"/>
    <s v="Retail"/>
    <s v="Furniture and Home Furnishings Stores"/>
    <s v="Others"/>
    <n v="3750488.76"/>
    <n v="3750488.76"/>
    <n v="3750488.76"/>
    <n v="1"/>
    <n v="1"/>
    <n v="1"/>
  </r>
  <r>
    <s v="FULUGENSIO MATOVU"/>
    <x v="0"/>
    <n v="0"/>
    <n v="3794810.74"/>
    <x v="12"/>
    <n v="146732.68"/>
    <n v="4262086.91"/>
    <d v="2017-03-24T14:58:53"/>
    <d v="2018-03-24T00:00:00"/>
    <s v="0772604220"/>
    <s v=""/>
    <s v=""/>
    <n v="103136"/>
    <s v="00100002628"/>
    <s v="Retail"/>
    <s v="General Merchandise Stores"/>
    <s v="Others"/>
    <n v="0"/>
    <n v="0"/>
    <n v="0"/>
    <n v="0"/>
    <n v="0"/>
    <n v="0"/>
  </r>
  <r>
    <s v="JOSEPH KATENDE"/>
    <x v="0"/>
    <n v="0"/>
    <n v="3320459.39"/>
    <x v="4"/>
    <n v="128391.1"/>
    <n v="3729326.04"/>
    <d v="2017-03-24T15:40:09"/>
    <d v="2018-03-24T00:00:00"/>
    <s v="0772856116"/>
    <s v="0752856116"/>
    <s v=""/>
    <n v="103137"/>
    <s v="00100002943"/>
    <s v="Real Estate and Rental"/>
    <s v="Rental"/>
    <s v="General Rental Centers"/>
    <n v="0"/>
    <n v="0"/>
    <n v="0"/>
    <n v="0"/>
    <n v="0"/>
    <n v="0"/>
  </r>
  <r>
    <s v="FLORENCE NAKATO"/>
    <x v="8"/>
    <n v="0"/>
    <n v="3095098.46"/>
    <x v="4"/>
    <n v="124663.69"/>
    <n v="3356532.03"/>
    <d v="2017-03-24T18:57:37"/>
    <d v="2018-01-24T00:00:00"/>
    <s v="07829399890"/>
    <s v="0705861101"/>
    <s v=""/>
    <n v="103138"/>
    <s v="00100004408"/>
    <s v="Retail"/>
    <s v="Others"/>
    <s v="Others"/>
    <n v="0"/>
    <n v="0"/>
    <n v="0"/>
    <n v="0"/>
    <n v="0"/>
    <n v="0"/>
  </r>
  <r>
    <s v="GODFREY GALIWANGO"/>
    <x v="0"/>
    <n v="0"/>
    <n v="2737148.79"/>
    <x v="12"/>
    <n v="105836.42"/>
    <n v="2958982.71"/>
    <d v="2017-03-24T19:15:55"/>
    <d v="2018-01-24T00:00:00"/>
    <s v="0772636297"/>
    <s v="0704636297"/>
    <s v=""/>
    <n v="103139"/>
    <s v="00100001833"/>
    <s v="Transportation and Warehousing"/>
    <s v=" Passenger Transportation"/>
    <s v="Taxi service"/>
    <n v="0"/>
    <n v="0"/>
    <n v="0"/>
    <n v="0"/>
    <n v="0"/>
    <n v="0"/>
  </r>
  <r>
    <s v="BOB JOHN KASULE"/>
    <x v="2"/>
    <n v="-7"/>
    <n v="23093684.050000001"/>
    <x v="9"/>
    <n v="508061.05"/>
    <n v="25213057.41"/>
    <d v="2017-03-27T12:50:56"/>
    <d v="2018-04-01T00:00:00"/>
    <s v="0703353340"/>
    <s v=""/>
    <s v=""/>
    <n v="103141"/>
    <s v="00100003182"/>
    <s v="Retail"/>
    <s v="Motor Vehicle and Parts Dealers"/>
    <s v="Motorcycle Dealers"/>
    <n v="0"/>
    <n v="0"/>
    <n v="0"/>
    <n v="0"/>
    <n v="0"/>
    <n v="0"/>
  </r>
  <r>
    <s v="SAFINAH BABIRYE"/>
    <x v="7"/>
    <n v="23"/>
    <n v="272314.43"/>
    <x v="24"/>
    <n v="7222.74"/>
    <n v="282163.63"/>
    <d v="2017-03-27T13:08:33"/>
    <d v="2017-12-01T00:00:00"/>
    <s v="0706642117"/>
    <s v=""/>
    <s v=""/>
    <n v="103142"/>
    <s v="00100004395"/>
    <s v="Retail"/>
    <s v="Others"/>
    <s v="Others"/>
    <n v="272314.43"/>
    <n v="0"/>
    <n v="0"/>
    <n v="1"/>
    <n v="0"/>
    <n v="0"/>
  </r>
  <r>
    <s v="FRANCIS MUWANGA KIWANUKA"/>
    <x v="0"/>
    <n v="0"/>
    <n v="2876153.22"/>
    <x v="23"/>
    <n v="125112.67"/>
    <n v="3275818.28"/>
    <d v="2017-03-27T13:56:59"/>
    <d v="2018-03-24T00:00:00"/>
    <s v="0752669128"/>
    <s v="0786058186"/>
    <s v=""/>
    <n v="103143"/>
    <s v="00100004406"/>
    <s v="Retail"/>
    <s v="Electronics Stores"/>
    <s v="Radio, Television, &amp; Other Electronics Stores"/>
    <n v="0"/>
    <n v="0"/>
    <n v="0"/>
    <n v="0"/>
    <n v="0"/>
    <n v="0"/>
  </r>
  <r>
    <s v="SUZAN NDAGIRE"/>
    <x v="7"/>
    <n v="-7"/>
    <n v="1715104.46"/>
    <x v="24"/>
    <n v="50309.73"/>
    <n v="1854106.16"/>
    <d v="2017-03-29T12:00:50"/>
    <d v="2018-02-01T00:00:00"/>
    <s v="0774475270"/>
    <s v="0754844853"/>
    <s v=""/>
    <n v="103144"/>
    <s v="00100004123"/>
    <s v="Retail"/>
    <s v="General Merchandise Stores"/>
    <s v="General Stores"/>
    <n v="0"/>
    <n v="0"/>
    <n v="0"/>
    <n v="0"/>
    <n v="0"/>
    <n v="0"/>
  </r>
  <r>
    <s v="GERTRUDE NAAZI"/>
    <x v="8"/>
    <n v="-7"/>
    <n v="4712721.71"/>
    <x v="14"/>
    <n v="126719.85"/>
    <n v="5243559.3"/>
    <d v="2017-03-28T17:09:20"/>
    <d v="2018-04-01T00:00:00"/>
    <s v="0772411363"/>
    <s v=""/>
    <s v=""/>
    <n v="103145"/>
    <s v="00100003199"/>
    <s v="Restaurants and Hotels"/>
    <s v="Hotel"/>
    <s v="Hotel"/>
    <n v="0"/>
    <n v="0"/>
    <n v="0"/>
    <n v="0"/>
    <n v="0"/>
    <n v="0"/>
  </r>
  <r>
    <s v="PAULINE MUMBEJJA NANDAULA"/>
    <x v="7"/>
    <n v="53"/>
    <n v="465821.2"/>
    <x v="12"/>
    <n v="20961.95"/>
    <n v="486783.15"/>
    <d v="2017-03-28T17:59:56"/>
    <d v="2017-10-01T00:00:00"/>
    <s v="0755443735"/>
    <s v=""/>
    <s v=""/>
    <n v="103146"/>
    <s v="00100004415"/>
    <s v="Health Care"/>
    <s v="Health Care"/>
    <s v=" Medical &amp; Diagnostic Laboratories"/>
    <n v="465821.2"/>
    <n v="465821.2"/>
    <n v="0"/>
    <n v="1"/>
    <n v="1"/>
    <n v="0"/>
  </r>
  <r>
    <s v="DAVID KIYINGI"/>
    <x v="2"/>
    <n v="-7"/>
    <n v="42841416.07"/>
    <x v="27"/>
    <n v="942511.15"/>
    <n v="55316536.509999998"/>
    <d v="2017-03-29T17:28:46"/>
    <d v="2019-04-01T00:00:00"/>
    <s v="0776840527"/>
    <s v="0702773362"/>
    <s v=""/>
    <n v="103147"/>
    <s v="00100003405"/>
    <s v="Retail"/>
    <s v="General Merchandise Stores"/>
    <s v="General Stores"/>
    <n v="0"/>
    <n v="0"/>
    <n v="0"/>
    <n v="0"/>
    <n v="0"/>
    <n v="0"/>
  </r>
  <r>
    <s v="EDITH BAGAMUHUNDA LUWAGA"/>
    <x v="2"/>
    <n v="23"/>
    <n v="28451425.239999998"/>
    <x v="9"/>
    <n v="1205040.52"/>
    <n v="36988287.609999999"/>
    <d v="2017-03-30T16:39:50"/>
    <d v="2019-04-01T00:00:00"/>
    <s v="0772499971"/>
    <s v="0701492971"/>
    <s v=""/>
    <n v="103148"/>
    <s v="00100001278"/>
    <s v="Retail"/>
    <s v="Second Hand -Clothing and  Accessories"/>
    <s v="Others"/>
    <n v="28451425.239999998"/>
    <n v="0"/>
    <n v="0"/>
    <n v="1"/>
    <n v="0"/>
    <n v="0"/>
  </r>
  <r>
    <s v="ROGERS KIGOZI"/>
    <x v="3"/>
    <n v="53"/>
    <n v="12807037.58"/>
    <x v="19"/>
    <n v="957454.77"/>
    <n v="14939164.550000001"/>
    <d v="2017-03-31T12:58:35"/>
    <d v="2018-04-02T00:00:00"/>
    <s v="0781500018"/>
    <s v=""/>
    <s v=""/>
    <n v="103149"/>
    <s v="00100003137"/>
    <s v="Retail"/>
    <s v="New-Clothing and  Accessories"/>
    <s v="Clothing Stores"/>
    <n v="12807037.58"/>
    <n v="12807037.58"/>
    <n v="0"/>
    <n v="1"/>
    <n v="1"/>
    <n v="0"/>
  </r>
  <r>
    <s v="BEN SERUYANGE KABAKA"/>
    <x v="0"/>
    <n v="-7"/>
    <n v="2377838.12"/>
    <x v="20"/>
    <n v="69749.919999999998"/>
    <n v="2670634.56"/>
    <d v="2017-03-29T16:47:22"/>
    <d v="2018-04-01T00:00:00"/>
    <s v="0752616099"/>
    <s v="0700135335"/>
    <s v=""/>
    <n v="103151"/>
    <s v="00100000890"/>
    <s v="Real Estate and Rental"/>
    <s v="Rental"/>
    <s v="Others"/>
    <n v="0"/>
    <n v="0"/>
    <n v="0"/>
    <n v="0"/>
    <n v="0"/>
    <n v="0"/>
  </r>
  <r>
    <s v="ALEX TOPACHO ORYEMA"/>
    <x v="0"/>
    <n v="-7"/>
    <n v="2892738.38"/>
    <x v="3"/>
    <n v="95460.37"/>
    <n v="3294708.09"/>
    <d v="2017-03-31T12:57:56"/>
    <d v="2018-04-01T00:00:00"/>
    <s v="0772871866"/>
    <s v=""/>
    <s v=""/>
    <n v="103152"/>
    <s v="00100004419"/>
    <s v="Wholesale Trade"/>
    <s v="Others"/>
    <s v="Others"/>
    <n v="0"/>
    <n v="0"/>
    <n v="0"/>
    <n v="0"/>
    <n v="0"/>
    <n v="0"/>
  </r>
  <r>
    <s v="MARGRET NALWANGA"/>
    <x v="7"/>
    <n v="23"/>
    <n v="1277122.79"/>
    <x v="22"/>
    <n v="34830.36"/>
    <n v="1423333.8"/>
    <d v="2017-03-31T19:18:00"/>
    <d v="2018-04-01T00:00:00"/>
    <s v="0782261611"/>
    <s v="0753407388"/>
    <s v=""/>
    <n v="103155"/>
    <s v="00100000454"/>
    <s v="Retail"/>
    <s v="Others"/>
    <s v="Others"/>
    <n v="1277122.79"/>
    <n v="0"/>
    <n v="0"/>
    <n v="1"/>
    <n v="0"/>
    <n v="0"/>
  </r>
  <r>
    <s v="HADIJAH NANYANZI"/>
    <x v="8"/>
    <n v="-9"/>
    <n v="4696111.6900000004"/>
    <x v="12"/>
    <n v="114793.84"/>
    <n v="5225078.34"/>
    <d v="2017-04-03T16:40:42"/>
    <d v="2018-04-03T00:00:00"/>
    <s v="0772474138"/>
    <s v="0701562551"/>
    <s v=""/>
    <n v="103158"/>
    <s v="00100000564"/>
    <s v="Wholesale Trade"/>
    <s v="Others"/>
    <s v="Others"/>
    <n v="0"/>
    <n v="0"/>
    <n v="0"/>
    <n v="0"/>
    <n v="0"/>
    <n v="0"/>
  </r>
  <r>
    <s v="EDRIS MICHAEL KIRUNDA"/>
    <x v="1"/>
    <n v="-13"/>
    <n v="37358593.020000003"/>
    <x v="23"/>
    <n v="664152.76"/>
    <n v="45237748.920000002"/>
    <d v="2017-04-07T16:02:10"/>
    <d v="2018-10-07T00:00:00"/>
    <s v="0776497329"/>
    <s v=""/>
    <s v=""/>
    <n v="103160"/>
    <s v="00100004443"/>
    <s v="Wholesale Trade"/>
    <s v="Durable Goods"/>
    <s v="Furniture &amp; Home Furnishings"/>
    <n v="0"/>
    <n v="0"/>
    <n v="0"/>
    <n v="0"/>
    <n v="0"/>
    <n v="0"/>
  </r>
  <r>
    <s v="AISHA NAKIBUUKA"/>
    <x v="7"/>
    <n v="-16"/>
    <n v="580324.06000000006"/>
    <x v="24"/>
    <n v="11316.32"/>
    <n v="606438.64"/>
    <d v="2017-04-10T17:51:16"/>
    <d v="2017-12-10T00:00:00"/>
    <s v="0782061629"/>
    <s v="0700339239"/>
    <s v=""/>
    <n v="103161"/>
    <s v="00100004448"/>
    <s v="Retail"/>
    <s v="General Merchandise Stores"/>
    <s v="General Stores"/>
    <n v="0"/>
    <n v="0"/>
    <n v="0"/>
    <n v="0"/>
    <n v="0"/>
    <n v="0"/>
  </r>
  <r>
    <s v="SSAKA SSAMBWA"/>
    <x v="2"/>
    <n v="43"/>
    <n v="34796417.969999999"/>
    <x v="7"/>
    <n v="2018432.93"/>
    <n v="42534369.700000003"/>
    <d v="2017-04-11T15:45:25"/>
    <d v="2018-10-11T00:00:00"/>
    <s v="0772977254"/>
    <s v="0753977254"/>
    <s v=""/>
    <n v="103162"/>
    <s v="00100003907"/>
    <s v="Retail"/>
    <s v="General Merchandise Stores"/>
    <s v="General Stores"/>
    <n v="34796417.969999999"/>
    <n v="34796417.969999999"/>
    <n v="0"/>
    <n v="1"/>
    <n v="1"/>
    <n v="0"/>
  </r>
  <r>
    <s v="ROSEMARY NAMAKULA"/>
    <x v="2"/>
    <n v="13"/>
    <n v="40605470.369999997"/>
    <x v="9"/>
    <n v="1684619.27"/>
    <n v="53142674.329999998"/>
    <d v="2017-04-11T16:50:57"/>
    <d v="2019-04-11T00:00:00"/>
    <s v="0772457069"/>
    <s v="0752683568"/>
    <s v=""/>
    <n v="103163"/>
    <s v="00100002575"/>
    <s v="Wholesale Trade"/>
    <s v="Others"/>
    <s v="Others"/>
    <n v="40605470.369999997"/>
    <n v="0"/>
    <n v="0"/>
    <n v="1"/>
    <n v="0"/>
    <n v="0"/>
  </r>
  <r>
    <s v="JACKSON OGOBA"/>
    <x v="2"/>
    <n v="43"/>
    <n v="36108753.939999998"/>
    <x v="5"/>
    <n v="2105989.0699999998"/>
    <n v="45370309.490000002"/>
    <d v="2017-04-11T17:32:32"/>
    <d v="2018-12-11T00:00:00"/>
    <s v="0755545520"/>
    <s v=""/>
    <s v=""/>
    <n v="103164"/>
    <s v="00100002442"/>
    <s v="Transportation and Warehousing"/>
    <s v="Truck Transportation"/>
    <s v="General Freight Trucking, Long-distance"/>
    <n v="36108753.939999998"/>
    <n v="36108753.939999998"/>
    <n v="0"/>
    <n v="1"/>
    <n v="1"/>
    <n v="0"/>
  </r>
  <r>
    <s v="STANLEY BITORWA"/>
    <x v="0"/>
    <n v="-18"/>
    <n v="1660229.73"/>
    <x v="24"/>
    <n v="24350.04"/>
    <n v="1864663.06"/>
    <d v="2017-04-12T16:52:43"/>
    <d v="2018-04-12T00:00:00"/>
    <s v="0775274012"/>
    <s v="0703842507"/>
    <s v=""/>
    <n v="103167"/>
    <s v="00100004066"/>
    <s v="Retail"/>
    <s v="Furniture and Home Furnishings Stores"/>
    <s v="Others"/>
    <n v="0"/>
    <n v="0"/>
    <n v="0"/>
    <n v="0"/>
    <n v="0"/>
    <n v="0"/>
  </r>
  <r>
    <s v="LAWRENCE BUKENYA"/>
    <x v="0"/>
    <n v="9"/>
    <n v="652726.67000000004"/>
    <x v="4"/>
    <n v="4352.43"/>
    <n v="669048.28"/>
    <d v="2017-04-15T11:54:26"/>
    <d v="2017-12-15T00:00:00"/>
    <s v="0772464054"/>
    <s v=""/>
    <s v=""/>
    <n v="103168"/>
    <s v="00100004336"/>
    <s v="Real Estate and Rental"/>
    <s v="Rental"/>
    <s v="General Rental Centers"/>
    <n v="652726.67000000004"/>
    <n v="0"/>
    <n v="0"/>
    <n v="1"/>
    <n v="0"/>
    <n v="0"/>
  </r>
  <r>
    <s v="JACK KATUMWA BUNYA"/>
    <x v="1"/>
    <n v="-19"/>
    <n v="19610025.949999999"/>
    <x v="27"/>
    <n v="217889.18"/>
    <n v="26004787.559999999"/>
    <d v="2017-04-13T16:44:07"/>
    <d v="2019-04-13T00:00:00"/>
    <s v="0772407478"/>
    <s v="0702407478"/>
    <s v=""/>
    <n v="103169"/>
    <s v="00100001814"/>
    <s v="Real Estate and Rental"/>
    <s v="Rental"/>
    <s v="Machinery &amp; Equipment"/>
    <n v="0"/>
    <n v="0"/>
    <n v="0"/>
    <n v="0"/>
    <n v="0"/>
    <n v="0"/>
  </r>
  <r>
    <s v="BALIKUDDEMBE SSEBANDEKE"/>
    <x v="1"/>
    <n v="-19"/>
    <n v="30996850.809999999"/>
    <x v="4"/>
    <n v="344409.45"/>
    <n v="48831803.18"/>
    <d v="2017-04-13T17:10:36"/>
    <d v="2020-04-13T00:00:00"/>
    <s v="0774516706"/>
    <s v="0751516706"/>
    <s v=""/>
    <n v="103170"/>
    <s v="00100004457"/>
    <s v="Wholesale Trade"/>
    <s v="Others"/>
    <s v="Others"/>
    <n v="0"/>
    <n v="0"/>
    <n v="0"/>
    <n v="0"/>
    <n v="0"/>
    <n v="0"/>
  </r>
  <r>
    <s v="BAZANYE YUSUFU"/>
    <x v="2"/>
    <n v="5"/>
    <n v="36544923.329999998"/>
    <x v="27"/>
    <n v="1215496.8400000001"/>
    <n v="46747164.659999996"/>
    <d v="2017-04-19T09:47:51"/>
    <d v="2019-04-19T00:00:00"/>
    <s v="0772435937"/>
    <s v=""/>
    <s v=""/>
    <n v="103171"/>
    <s v="00100002087"/>
    <s v="Wholesale Trade"/>
    <s v="Durable Goods"/>
    <s v="Others"/>
    <n v="36544923.329999998"/>
    <n v="0"/>
    <n v="0"/>
    <n v="1"/>
    <n v="0"/>
    <n v="0"/>
  </r>
  <r>
    <s v="TONNY SSEBUNYA"/>
    <x v="0"/>
    <n v="36"/>
    <n v="3877380.33"/>
    <x v="3"/>
    <n v="326448.14"/>
    <n v="4605979.9400000004"/>
    <d v="2017-04-18T16:33:31"/>
    <d v="2018-04-18T00:00:00"/>
    <s v="0772653998"/>
    <s v="07016539981"/>
    <s v=""/>
    <n v="103172"/>
    <s v="00100004467"/>
    <s v="Retail"/>
    <s v="General Merchandise Stores"/>
    <s v="General Stores"/>
    <n v="3877380.33"/>
    <n v="3877380.33"/>
    <n v="0"/>
    <n v="1"/>
    <n v="1"/>
    <n v="0"/>
  </r>
  <r>
    <s v="RONALD MUBIRU"/>
    <x v="2"/>
    <n v="6"/>
    <n v="19215934.48"/>
    <x v="5"/>
    <n v="321919.84000000003"/>
    <n v="21110011.390000001"/>
    <d v="2017-04-18T17:06:10"/>
    <d v="2018-04-18T00:00:00"/>
    <s v="0774301706"/>
    <s v="0704923093"/>
    <s v=""/>
    <n v="103173"/>
    <s v="00100004456"/>
    <s v="Wholesale Trade"/>
    <s v="Durable Goods"/>
    <s v="Machinery &amp; Equipment"/>
    <n v="19215934.48"/>
    <n v="0"/>
    <n v="0"/>
    <n v="1"/>
    <n v="0"/>
    <n v="0"/>
  </r>
  <r>
    <s v="STEPHEN KUTEESA"/>
    <x v="3"/>
    <n v="4"/>
    <n v="16561238.32"/>
    <x v="2"/>
    <n v="547859.26"/>
    <n v="18567208.460000001"/>
    <d v="2017-04-19T18:19:05"/>
    <d v="2018-04-20T00:00:00"/>
    <s v="0702363708"/>
    <s v=""/>
    <s v="0782638190"/>
    <n v="103175"/>
    <s v="00100003566"/>
    <s v="Transportation and Warehousing"/>
    <s v="Truck Transportation"/>
    <s v="General Freight Trucking, Local"/>
    <n v="16561238.32"/>
    <n v="0"/>
    <n v="0"/>
    <n v="1"/>
    <n v="0"/>
    <n v="0"/>
  </r>
  <r>
    <s v="PROSCOVIA NABAKOOZA"/>
    <x v="7"/>
    <n v="4"/>
    <n v="2262576.9"/>
    <x v="26"/>
    <n v="110481.74"/>
    <n v="2631988.56"/>
    <d v="2017-04-20T18:58:18"/>
    <d v="2018-04-20T00:00:00"/>
    <s v="0758999964"/>
    <s v="0772864730"/>
    <s v=""/>
    <n v="103176"/>
    <s v="00100004460"/>
    <s v="Retail"/>
    <s v="New-Clothing and  Accessories"/>
    <s v="Others"/>
    <n v="2262576.9"/>
    <n v="0"/>
    <n v="0"/>
    <n v="1"/>
    <n v="0"/>
    <n v="0"/>
  </r>
  <r>
    <s v="MOSES BITAGASE"/>
    <x v="0"/>
    <n v="4"/>
    <n v="3959509.52"/>
    <x v="15"/>
    <n v="182843.04"/>
    <n v="4595479.9400000004"/>
    <d v="2017-04-20T17:05:20"/>
    <d v="2018-04-20T00:00:00"/>
    <s v="075286047"/>
    <s v="0775525549"/>
    <s v=""/>
    <n v="103177"/>
    <s v="00100004458"/>
    <s v="Construction"/>
    <s v="Construction of Buildings"/>
    <s v="Nonresidential Construction"/>
    <n v="3959509.52"/>
    <n v="0"/>
    <n v="0"/>
    <n v="1"/>
    <n v="0"/>
    <n v="0"/>
  </r>
  <r>
    <s v="GONZAGA KIBUYE"/>
    <x v="3"/>
    <n v="4"/>
    <n v="9354514.9399999995"/>
    <x v="13"/>
    <n v="32706.48"/>
    <n v="10358200.83"/>
    <d v="2017-04-20T17:41:16"/>
    <d v="2018-04-20T00:00:00"/>
    <s v="0772855954"/>
    <s v="0757855954"/>
    <s v=""/>
    <n v="103178"/>
    <s v="00100000520"/>
    <s v="Retail"/>
    <s v="Others"/>
    <s v="Others"/>
    <n v="9354514.9399999995"/>
    <n v="0"/>
    <n v="0"/>
    <n v="1"/>
    <n v="0"/>
    <n v="0"/>
  </r>
  <r>
    <s v="IRENE BOGERE"/>
    <x v="6"/>
    <n v="-27"/>
    <n v="3973137.41"/>
    <x v="17"/>
    <n v="4856.0600000000004"/>
    <n v="4423406.88"/>
    <d v="2017-04-21T09:54:34"/>
    <d v="2018-10-21T00:00:00"/>
    <s v="0772028096"/>
    <s v=""/>
    <s v=""/>
    <n v="103180"/>
    <s v="00100002422"/>
    <s v="Finance and Insurance"/>
    <s v="Finance"/>
    <s v="Microfinance Institutions"/>
    <n v="0"/>
    <n v="0"/>
    <n v="0"/>
    <n v="0"/>
    <n v="0"/>
    <n v="0"/>
  </r>
  <r>
    <s v="MEBLE PAMBA"/>
    <x v="7"/>
    <n v="0"/>
    <n v="283914.53999999998"/>
    <x v="24"/>
    <n v="12350.28"/>
    <n v="303219.34000000003"/>
    <d v="2017-04-24T17:05:30"/>
    <d v="2017-12-24T00:00:00"/>
    <s v="0777729919"/>
    <s v=""/>
    <s v=""/>
    <n v="103181"/>
    <s v="00100004432"/>
    <s v="Retail"/>
    <s v="General Merchandise Stores"/>
    <s v="General Stores"/>
    <n v="0"/>
    <n v="0"/>
    <n v="0"/>
    <n v="0"/>
    <n v="0"/>
    <n v="0"/>
  </r>
  <r>
    <s v="MICHEAL SEBUWUFU"/>
    <x v="1"/>
    <n v="-1"/>
    <n v="28949705.949999999"/>
    <x v="15"/>
    <n v="810591.77"/>
    <n v="34900174"/>
    <d v="2017-04-25T17:30:32"/>
    <d v="2018-10-25T00:00:00"/>
    <s v="0774508847"/>
    <s v="0752508847"/>
    <s v=""/>
    <n v="103182"/>
    <s v="00100001375"/>
    <s v="Real Estate and Rental"/>
    <s v="Rental"/>
    <s v="General Rental Centers"/>
    <n v="0"/>
    <n v="0"/>
    <n v="0"/>
    <n v="0"/>
    <n v="0"/>
    <n v="0"/>
  </r>
  <r>
    <s v="GODFREY MUTEBI"/>
    <x v="0"/>
    <n v="-7"/>
    <n v="859079.1"/>
    <x v="23"/>
    <n v="28349.61"/>
    <n v="917492.28"/>
    <d v="2017-04-25T17:34:06"/>
    <d v="2018-01-01T00:00:00"/>
    <s v="0783636074"/>
    <s v=""/>
    <s v=""/>
    <n v="103183"/>
    <s v="00100004446"/>
    <s v="Retail"/>
    <s v="Others"/>
    <s v="Others"/>
    <n v="0"/>
    <n v="0"/>
    <n v="0"/>
    <n v="0"/>
    <n v="0"/>
    <n v="0"/>
  </r>
  <r>
    <s v="ADRIAN SSEKYANZI"/>
    <x v="2"/>
    <n v="-7"/>
    <n v="49965967.280000001"/>
    <x v="4"/>
    <n v="1221390.31"/>
    <n v="79808532.450000003"/>
    <d v="2017-04-26T13:54:03"/>
    <d v="2020-05-01T00:00:00"/>
    <s v="0772945178"/>
    <s v="0751945178"/>
    <s v=""/>
    <n v="103185"/>
    <s v="00100004463"/>
    <s v="Health Care"/>
    <s v="Health Care"/>
    <s v=" Medical &amp; Diagnostic Laboratories"/>
    <n v="0"/>
    <n v="0"/>
    <n v="0"/>
    <n v="0"/>
    <n v="0"/>
    <n v="0"/>
  </r>
  <r>
    <s v="MOSES SEMWOGERERE"/>
    <x v="0"/>
    <n v="23"/>
    <n v="5029949.62"/>
    <x v="12"/>
    <n v="339423.41"/>
    <n v="5489285.0300000003"/>
    <d v="2017-04-27T16:02:36"/>
    <d v="2018-01-01T00:00:00"/>
    <s v="0392944595"/>
    <s v="0782434660"/>
    <s v="0702333006"/>
    <n v="103187"/>
    <s v="00100000873"/>
    <s v="Retail"/>
    <s v="Others"/>
    <s v="Others"/>
    <n v="5029949.62"/>
    <n v="0"/>
    <n v="0"/>
    <n v="1"/>
    <n v="0"/>
    <n v="0"/>
  </r>
  <r>
    <s v="EVA NAMPIIMA NABWOMU"/>
    <x v="1"/>
    <n v="7"/>
    <n v="16540720.689999999"/>
    <x v="9"/>
    <n v="97453.13"/>
    <n v="21555602.260000002"/>
    <d v="2017-05-17T14:43:03"/>
    <d v="2019-05-17T00:00:00"/>
    <s v="0784209845"/>
    <s v=""/>
    <s v=""/>
    <n v="103189"/>
    <s v="00100003657"/>
    <s v="Restaurants and Hotels"/>
    <s v="Restaurant"/>
    <s v="Others"/>
    <n v="16540720.689999999"/>
    <n v="0"/>
    <n v="0"/>
    <n v="1"/>
    <n v="0"/>
    <n v="0"/>
  </r>
  <r>
    <s v="STELLA ASIIMWE KAJOINA"/>
    <x v="2"/>
    <n v="-7"/>
    <n v="32631658.890000001"/>
    <x v="10"/>
    <n v="717896.5"/>
    <n v="39342116.82"/>
    <d v="2017-04-29T13:17:36"/>
    <d v="2018-11-02T00:00:00"/>
    <s v="0772605521"/>
    <s v=""/>
    <s v=""/>
    <n v="103190"/>
    <s v="00100003521"/>
    <s v="Retail"/>
    <s v="Miscellaneous Store Retailers"/>
    <s v="Others"/>
    <n v="0"/>
    <n v="0"/>
    <n v="0"/>
    <n v="0"/>
    <n v="0"/>
    <n v="0"/>
  </r>
  <r>
    <s v="ISAAC KIWANDA"/>
    <x v="3"/>
    <n v="-7"/>
    <n v="16799798.390000001"/>
    <x v="9"/>
    <n v="492794.09"/>
    <n v="19232677.690000001"/>
    <d v="2017-04-29T11:19:45"/>
    <d v="2018-05-02T00:00:00"/>
    <s v="0702252383"/>
    <s v=""/>
    <s v=""/>
    <n v="103192"/>
    <s v="00100003901"/>
    <s v="Transportation and Warehousing"/>
    <s v=" Passenger Transportation"/>
    <s v="Taxi service"/>
    <n v="0"/>
    <n v="0"/>
    <n v="0"/>
    <n v="0"/>
    <n v="0"/>
    <n v="0"/>
  </r>
  <r>
    <s v="IRENE LUWEDDE"/>
    <x v="7"/>
    <n v="173"/>
    <n v="5000000"/>
    <x v="24"/>
    <n v="451516.96"/>
    <n v="6090500.7199999997"/>
    <d v="2017-04-28T19:16:35"/>
    <d v="2018-01-01T00:00:00"/>
    <s v="0756317269"/>
    <s v=""/>
    <s v=""/>
    <n v="103193"/>
    <s v="00100004495"/>
    <s v="Retail"/>
    <s v="Others"/>
    <s v="Others"/>
    <n v="5000000"/>
    <n v="5000000"/>
    <n v="5000000"/>
    <n v="1"/>
    <n v="1"/>
    <n v="1"/>
  </r>
  <r>
    <s v="JACKSON KITAKULE"/>
    <x v="0"/>
    <n v="-7"/>
    <n v="2799966.38"/>
    <x v="19"/>
    <n v="82132.350000000006"/>
    <n v="3204761.48"/>
    <d v="2017-04-29T17:22:42"/>
    <d v="2018-05-01T00:00:00"/>
    <s v="0772432033"/>
    <s v=""/>
    <s v=""/>
    <n v="103195"/>
    <s v="00100002915"/>
    <s v="Retail"/>
    <s v="General Merchandise Stores"/>
    <s v="Others"/>
    <n v="0"/>
    <n v="0"/>
    <n v="0"/>
    <n v="0"/>
    <n v="0"/>
    <n v="0"/>
  </r>
  <r>
    <s v="JOHN KIWANUKA"/>
    <x v="2"/>
    <n v="23"/>
    <n v="32005438.300000001"/>
    <x v="24"/>
    <n v="659787.69999999995"/>
    <n v="35231950.189999998"/>
    <d v="2017-04-29T16:36:44"/>
    <d v="2018-05-01T00:00:00"/>
    <s v="0772496338"/>
    <s v=""/>
    <s v="0700897937"/>
    <n v="103196"/>
    <s v="00100003364"/>
    <s v="Retail"/>
    <s v="Others"/>
    <s v="Others"/>
    <n v="32005438.300000001"/>
    <n v="0"/>
    <n v="0"/>
    <n v="1"/>
    <n v="0"/>
    <n v="0"/>
  </r>
  <r>
    <s v="FRANK KAGGA"/>
    <x v="1"/>
    <n v="-7"/>
    <n v="14625325.84"/>
    <x v="4"/>
    <n v="357507.96"/>
    <n v="17984145.920000002"/>
    <d v="2017-04-29T18:03:34"/>
    <d v="2018-11-01T00:00:00"/>
    <s v="0788526609"/>
    <s v=""/>
    <s v=""/>
    <n v="103197"/>
    <s v="00100004475"/>
    <s v="Retail"/>
    <s v="General Merchandise Stores"/>
    <s v="General Stores"/>
    <n v="0"/>
    <n v="0"/>
    <n v="0"/>
    <n v="0"/>
    <n v="0"/>
    <n v="0"/>
  </r>
  <r>
    <s v="RASHID MUKWAYA"/>
    <x v="0"/>
    <n v="-9"/>
    <n v="6702732.8700000001"/>
    <x v="10"/>
    <n v="178739.54"/>
    <n v="7671756.4400000004"/>
    <d v="2017-05-03T16:38:22"/>
    <d v="2018-05-03T00:00:00"/>
    <s v="077262296"/>
    <s v="0772485108"/>
    <s v=""/>
    <n v="103199"/>
    <s v="00100002330"/>
    <s v="Retail"/>
    <s v="Others"/>
    <s v="Others"/>
    <n v="0"/>
    <n v="0"/>
    <n v="0"/>
    <n v="0"/>
    <n v="0"/>
    <n v="0"/>
  </r>
  <r>
    <s v="BRUCE MUSOBYA"/>
    <x v="3"/>
    <n v="20"/>
    <n v="14805544.539999999"/>
    <x v="24"/>
    <n v="353755.35"/>
    <n v="16824343.640000001"/>
    <d v="2017-05-04T17:21:04"/>
    <d v="2018-05-04T00:00:00"/>
    <s v="0752333758"/>
    <s v="0706333758"/>
    <s v=""/>
    <n v="103200"/>
    <s v="00100004390"/>
    <s v="Manufacturing"/>
    <s v="Chemical Manufacturing"/>
    <s v="Chemical Manufacturing"/>
    <n v="14805544.539999999"/>
    <n v="0"/>
    <n v="0"/>
    <n v="1"/>
    <n v="0"/>
    <n v="0"/>
  </r>
  <r>
    <s v="PHIONA KABIIKIRA"/>
    <x v="7"/>
    <n v="46"/>
    <n v="199880.89"/>
    <x v="6"/>
    <n v="8070.53"/>
    <n v="208229.72"/>
    <d v="2017-05-08T17:30:38"/>
    <d v="2017-11-08T00:00:00"/>
    <s v="0754253249"/>
    <s v=""/>
    <s v=""/>
    <n v="103204"/>
    <s v="00100004480"/>
    <s v="Retail"/>
    <s v="General Merchandise Stores"/>
    <s v="General Stores"/>
    <n v="199880.89"/>
    <n v="199880.89"/>
    <n v="0"/>
    <n v="1"/>
    <n v="1"/>
    <n v="0"/>
  </r>
  <r>
    <s v="CATHERINE KIWUMULO"/>
    <x v="6"/>
    <n v="-27"/>
    <n v="12341899.75"/>
    <x v="17"/>
    <n v="15084.54"/>
    <n v="16155499.310000001"/>
    <d v="2017-05-09T16:45:00"/>
    <d v="2020-05-21T00:00:00"/>
    <s v="0701646470"/>
    <s v=""/>
    <s v=""/>
    <n v="103206"/>
    <s v="00100002287"/>
    <s v="Finance and Insurance"/>
    <s v="Finance"/>
    <s v="Commercial Banks"/>
    <n v="0"/>
    <n v="0"/>
    <n v="0"/>
    <n v="0"/>
    <n v="0"/>
    <n v="0"/>
  </r>
  <r>
    <s v="SAKKA MIRUNDI"/>
    <x v="0"/>
    <n v="44"/>
    <n v="2607383.38"/>
    <x v="23"/>
    <n v="211767.65"/>
    <n v="3028271.58"/>
    <d v="2017-05-10T14:13:53"/>
    <d v="2018-03-10T00:00:00"/>
    <s v="0779768512"/>
    <s v=""/>
    <s v=""/>
    <n v="103207"/>
    <s v="00100004498"/>
    <s v="Retail"/>
    <s v="Others"/>
    <s v="Others"/>
    <n v="2607383.38"/>
    <n v="2607383.38"/>
    <n v="0"/>
    <n v="1"/>
    <n v="1"/>
    <n v="0"/>
  </r>
  <r>
    <s v="CHRISTINE KATWE NALUBEGA"/>
    <x v="2"/>
    <n v="-17"/>
    <n v="21961068.010000002"/>
    <x v="4"/>
    <n v="292814.24"/>
    <n v="24593155.920000002"/>
    <d v="2017-05-11T12:41:52"/>
    <d v="2018-05-11T00:00:00"/>
    <s v="077268197"/>
    <s v=""/>
    <s v=""/>
    <n v="103209"/>
    <s v="00100004511"/>
    <s v="Wholesale Trade"/>
    <s v="Others"/>
    <s v="Others"/>
    <n v="0"/>
    <n v="0"/>
    <n v="0"/>
    <n v="0"/>
    <n v="0"/>
    <n v="0"/>
  </r>
  <r>
    <s v="GODFREY MUYOMBA"/>
    <x v="0"/>
    <n v="13"/>
    <n v="4470160.33"/>
    <x v="15"/>
    <n v="71271.17"/>
    <n v="5116630.75"/>
    <d v="2017-05-11T16:35:52"/>
    <d v="2018-05-11T00:00:00"/>
    <s v="0772668201"/>
    <s v=""/>
    <s v=""/>
    <n v="103210"/>
    <s v="00100004399"/>
    <s v="Retail"/>
    <s v="Others"/>
    <s v="Others"/>
    <n v="4470160.33"/>
    <n v="0"/>
    <n v="0"/>
    <n v="1"/>
    <n v="0"/>
    <n v="0"/>
  </r>
  <r>
    <s v="ELIZABETH NAMARAH"/>
    <x v="1"/>
    <n v="-18"/>
    <n v="3271031.77"/>
    <x v="9"/>
    <n v="35981.35"/>
    <n v="3418953.3"/>
    <d v="2017-05-12T15:54:37"/>
    <d v="2018-01-12T00:00:00"/>
    <s v="0782744724"/>
    <s v=""/>
    <s v=""/>
    <n v="103211"/>
    <s v="00100000337"/>
    <s v="Retail"/>
    <s v="Others"/>
    <s v="Others"/>
    <n v="0"/>
    <n v="0"/>
    <n v="0"/>
    <n v="0"/>
    <n v="0"/>
    <n v="0"/>
  </r>
  <r>
    <s v="GODFREY TIBESIGWA"/>
    <x v="0"/>
    <n v="11"/>
    <n v="3231150.28"/>
    <x v="24"/>
    <n v="168791.7"/>
    <n v="3819283.24"/>
    <d v="2017-05-13T11:08:29"/>
    <d v="2018-05-13T00:00:00"/>
    <s v="0772618311"/>
    <s v="070286471"/>
    <s v=""/>
    <n v="103212"/>
    <s v="00100004497"/>
    <s v="Retail"/>
    <s v="Others"/>
    <s v="Others"/>
    <n v="3231150.28"/>
    <n v="0"/>
    <n v="0"/>
    <n v="1"/>
    <n v="0"/>
    <n v="0"/>
  </r>
  <r>
    <s v="STEPHEN KIMBOWA"/>
    <x v="3"/>
    <n v="-21"/>
    <n v="11028394.18"/>
    <x v="18"/>
    <n v="102931.68"/>
    <n v="12418073.869999999"/>
    <d v="2017-05-15T13:43:49"/>
    <d v="2018-05-15T00:00:00"/>
    <s v="0772476413"/>
    <s v="0759476413"/>
    <s v=""/>
    <n v="103213"/>
    <s v="00100001574"/>
    <s v="Wholesale Trade"/>
    <s v="Others"/>
    <s v="Others"/>
    <n v="0"/>
    <n v="0"/>
    <n v="0"/>
    <n v="0"/>
    <n v="0"/>
    <n v="0"/>
  </r>
  <r>
    <s v="WINYI EUNICE KAMAKUNE"/>
    <x v="8"/>
    <n v="38"/>
    <n v="3449876.28"/>
    <x v="25"/>
    <n v="103879.79"/>
    <n v="3662406.1"/>
    <d v="2017-05-16T14:10:26"/>
    <d v="2018-01-16T00:00:00"/>
    <s v="0785245536"/>
    <s v="0702586985"/>
    <s v=""/>
    <n v="103216"/>
    <s v="00100004195"/>
    <s v="Retail"/>
    <s v="General Merchandise Stores"/>
    <s v="Others"/>
    <n v="3449876.28"/>
    <n v="3449876.28"/>
    <n v="0"/>
    <n v="1"/>
    <n v="1"/>
    <n v="0"/>
  </r>
  <r>
    <s v="GERVASE BIRUNGI"/>
    <x v="0"/>
    <n v="37"/>
    <n v="7233456.8399999999"/>
    <x v="3"/>
    <n v="614762.18000000005"/>
    <n v="8772956.9600000009"/>
    <d v="2017-05-17T15:45:13"/>
    <d v="2018-05-17T00:00:00"/>
    <s v="077244538"/>
    <s v="0703515333"/>
    <s v=""/>
    <n v="103219"/>
    <s v="00100004513"/>
    <s v="Retail"/>
    <s v="Others"/>
    <s v="Others"/>
    <n v="7233456.8399999999"/>
    <n v="7233456.8399999999"/>
    <n v="0"/>
    <n v="1"/>
    <n v="1"/>
    <n v="0"/>
  </r>
  <r>
    <s v="ENOCK NYENDE"/>
    <x v="0"/>
    <n v="66"/>
    <n v="3188562.22"/>
    <x v="26"/>
    <n v="277081.39"/>
    <n v="3947982.81"/>
    <d v="2017-05-18T13:51:44"/>
    <d v="2018-05-18T00:00:00"/>
    <s v="0704927947"/>
    <s v="0779211404"/>
    <s v=""/>
    <n v="103220"/>
    <s v="00100004519"/>
    <s v="Real Estate and Rental"/>
    <s v="Rental"/>
    <s v="Others"/>
    <n v="3188562.22"/>
    <n v="3188562.22"/>
    <n v="0"/>
    <n v="1"/>
    <n v="1"/>
    <n v="0"/>
  </r>
  <r>
    <s v="MIRIYAT KIGGUNDU"/>
    <x v="8"/>
    <n v="6"/>
    <n v="3810143.15"/>
    <x v="10"/>
    <n v="133199.26"/>
    <n v="4362253.59"/>
    <d v="2017-05-18T12:33:20"/>
    <d v="2018-05-18T00:00:00"/>
    <s v="0772415290"/>
    <s v="0700368831"/>
    <s v=""/>
    <n v="103221"/>
    <s v="00100002803"/>
    <s v="Retail"/>
    <s v="Others"/>
    <s v="Others"/>
    <n v="3810143.15"/>
    <n v="0"/>
    <n v="0"/>
    <n v="1"/>
    <n v="0"/>
    <n v="0"/>
  </r>
  <r>
    <s v="GODFREY JAKIRA KATONGOLE"/>
    <x v="3"/>
    <n v="5"/>
    <n v="19528027.09"/>
    <x v="16"/>
    <n v="722762.57"/>
    <n v="24594279.809999999"/>
    <d v="2017-05-19T16:13:20"/>
    <d v="2018-11-19T00:00:00"/>
    <s v="0392966625"/>
    <s v="0704353752"/>
    <s v=""/>
    <n v="103223"/>
    <s v="00100001592"/>
    <s v="Retail"/>
    <s v="General Merchandise Stores"/>
    <s v="General Stores"/>
    <n v="19528027.09"/>
    <n v="0"/>
    <n v="0"/>
    <n v="1"/>
    <n v="0"/>
    <n v="0"/>
  </r>
  <r>
    <s v="ISMAIL JJUMBA ALIGAWEESA"/>
    <x v="1"/>
    <n v="-26"/>
    <n v="32484376.289999999"/>
    <x v="3"/>
    <n v="97453.13"/>
    <n v="42514139.460000001"/>
    <d v="2017-05-20T15:43:17"/>
    <d v="2019-05-20T00:00:00"/>
    <s v="0772602384"/>
    <s v="0757602384"/>
    <s v=""/>
    <n v="103224"/>
    <s v="00100000703"/>
    <s v="Real Estate and Rental"/>
    <s v="Rental"/>
    <s v="Machinery &amp; Equipment"/>
    <n v="0"/>
    <n v="0"/>
    <n v="0"/>
    <n v="0"/>
    <n v="0"/>
    <n v="0"/>
  </r>
  <r>
    <s v="IRENE MUYIMBWA"/>
    <x v="1"/>
    <n v="-28"/>
    <n v="14474852.970000001"/>
    <x v="1"/>
    <n v="14474.85"/>
    <n v="17450086.98"/>
    <d v="2017-05-22T17:04:21"/>
    <d v="2018-11-22T00:00:00"/>
    <s v="0702190258"/>
    <s v=""/>
    <s v=""/>
    <n v="103226"/>
    <s v="00100004170"/>
    <s v="Retail"/>
    <s v="Others"/>
    <s v="Others"/>
    <n v="0"/>
    <n v="0"/>
    <n v="0"/>
    <n v="0"/>
    <n v="0"/>
    <n v="0"/>
  </r>
  <r>
    <s v="GERALD JEMBA"/>
    <x v="0"/>
    <n v="1"/>
    <n v="6076263.7999999998"/>
    <x v="25"/>
    <n v="255812.79"/>
    <n v="6883783.4400000004"/>
    <d v="2017-05-23T16:07:16"/>
    <d v="2018-05-23T00:00:00"/>
    <s v="0776850064"/>
    <s v=""/>
    <s v=""/>
    <n v="103228"/>
    <s v="00100002730"/>
    <s v="Retail"/>
    <s v="Others"/>
    <s v="Others"/>
    <n v="6076263.7999999998"/>
    <n v="0"/>
    <n v="0"/>
    <n v="1"/>
    <n v="0"/>
    <n v="0"/>
  </r>
  <r>
    <s v="PENINA NAMATOVU"/>
    <x v="8"/>
    <n v="2"/>
    <n v="3416895.12"/>
    <x v="24"/>
    <n v="4061.25"/>
    <n v="3856112.54"/>
    <d v="2017-05-22T14:06:51"/>
    <d v="2018-05-22T00:00:00"/>
    <s v="0782539029"/>
    <s v="0704508322"/>
    <s v=""/>
    <n v="103229"/>
    <s v="00100004138"/>
    <s v="Retail"/>
    <s v="General Merchandise Stores"/>
    <s v="General Stores"/>
    <n v="3416895.12"/>
    <n v="0"/>
    <n v="0"/>
    <n v="1"/>
    <n v="0"/>
    <n v="0"/>
  </r>
  <r>
    <s v="LIVNGSTONE LWANGA"/>
    <x v="0"/>
    <n v="1"/>
    <n v="2179526.98"/>
    <x v="11"/>
    <n v="111049.19"/>
    <n v="2352207.4700000002"/>
    <d v="2017-05-23T15:03:25"/>
    <d v="2018-02-23T00:00:00"/>
    <s v="07529773870"/>
    <s v=""/>
    <s v=""/>
    <n v="103230"/>
    <s v="00100004478"/>
    <s v="Retail"/>
    <s v="General Merchandise Stores"/>
    <s v="General Stores"/>
    <n v="2179526.98"/>
    <n v="0"/>
    <n v="0"/>
    <n v="1"/>
    <n v="0"/>
    <n v="0"/>
  </r>
  <r>
    <s v="SWALLAH BATAMBUZE"/>
    <x v="0"/>
    <n v="23"/>
    <n v="9477873.8399999999"/>
    <x v="12"/>
    <n v="278013.42"/>
    <n v="12338901.609999999"/>
    <d v="2017-05-30T16:32:47"/>
    <d v="2018-12-01T00:00:00"/>
    <s v="0703132597"/>
    <s v=""/>
    <s v=""/>
    <n v="103231"/>
    <s v="00100001466"/>
    <s v="Real Estate and Rental"/>
    <s v="Rental"/>
    <s v="Others"/>
    <n v="9477873.8399999999"/>
    <n v="0"/>
    <n v="0"/>
    <n v="1"/>
    <n v="0"/>
    <n v="0"/>
  </r>
  <r>
    <s v="GORRETTI BATAMURIZA NYIRANDATIWA"/>
    <x v="8"/>
    <n v="-7"/>
    <n v="4445166.99"/>
    <x v="22"/>
    <n v="119525.6"/>
    <n v="5120576.78"/>
    <d v="2017-06-01T12:09:44"/>
    <d v="2018-06-01T00:00:00"/>
    <s v="0754059239"/>
    <s v="0774771620"/>
    <s v=""/>
    <n v="103233"/>
    <s v="00100002501"/>
    <s v="Retail"/>
    <s v="General Merchandise Stores"/>
    <s v="General Stores"/>
    <n v="0"/>
    <n v="0"/>
    <n v="0"/>
    <n v="0"/>
    <n v="0"/>
    <n v="0"/>
  </r>
  <r>
    <s v="YUSUF MULONDO"/>
    <x v="0"/>
    <n v="-8"/>
    <n v="11051749.84"/>
    <x v="2"/>
    <n v="348130.12"/>
    <n v="13967071.24"/>
    <d v="2017-06-02T13:07:19"/>
    <d v="2018-09-02T00:00:00"/>
    <s v="0701590672"/>
    <s v="0772590672"/>
    <s v=""/>
    <n v="103234"/>
    <s v="00100004503"/>
    <s v="Transportation and Warehousing"/>
    <s v="Truck Transportation"/>
    <s v="General Freight Trucking, Long-distance"/>
    <n v="0"/>
    <n v="0"/>
    <n v="0"/>
    <n v="0"/>
    <n v="0"/>
    <n v="0"/>
  </r>
  <r>
    <s v="RAPHAEL IZUDI"/>
    <x v="3"/>
    <n v="47"/>
    <n v="16896536.18"/>
    <x v="16"/>
    <n v="578478.65"/>
    <n v="21566064.629999999"/>
    <d v="2017-06-07T16:18:43"/>
    <d v="2018-12-07T00:00:00"/>
    <s v="0787140050"/>
    <s v="0704517674"/>
    <s v=""/>
    <n v="103236"/>
    <s v="00100004150"/>
    <s v="Retail"/>
    <s v="Others"/>
    <s v="Others"/>
    <n v="16896536.18"/>
    <n v="16896536.18"/>
    <n v="0"/>
    <n v="1"/>
    <n v="1"/>
    <n v="0"/>
  </r>
  <r>
    <s v="WINNIE KABAHIRIRE"/>
    <x v="8"/>
    <n v="14"/>
    <n v="3837077.99"/>
    <x v="9"/>
    <n v="60538.94"/>
    <n v="4416000.66"/>
    <d v="2017-06-10T11:34:48"/>
    <d v="2018-06-10T00:00:00"/>
    <s v="0782378534"/>
    <s v="0702416319"/>
    <s v=""/>
    <n v="103237"/>
    <s v="00100000802"/>
    <s v="Retail"/>
    <s v="Health and Personal Care Stores"/>
    <s v="Pharmacies &amp; Drug Stores"/>
    <n v="3837077.99"/>
    <n v="0"/>
    <n v="0"/>
    <n v="1"/>
    <n v="0"/>
    <n v="0"/>
  </r>
  <r>
    <s v="DEBORAH NAMUDDU"/>
    <x v="7"/>
    <n v="-18"/>
    <n v="1646608.16"/>
    <x v="9"/>
    <n v="24150.25"/>
    <n v="1849364.2"/>
    <d v="2017-06-12T15:36:40"/>
    <d v="2018-04-12T00:00:00"/>
    <s v="0774747133"/>
    <s v="0703759457"/>
    <s v=""/>
    <n v="103238"/>
    <s v="00100001435"/>
    <s v="Retail"/>
    <s v="General Merchandise Stores"/>
    <s v="Others"/>
    <n v="0"/>
    <n v="0"/>
    <n v="0"/>
    <n v="0"/>
    <n v="0"/>
    <n v="0"/>
  </r>
  <r>
    <s v="CHRISTOPHER KABANDA"/>
    <x v="2"/>
    <n v="39"/>
    <n v="27775734.129999999"/>
    <x v="16"/>
    <n v="1620203.65"/>
    <n v="34900174.009999998"/>
    <d v="2017-06-15T17:03:38"/>
    <d v="2018-12-15T00:00:00"/>
    <s v="0703059658"/>
    <s v=""/>
    <s v=""/>
    <n v="103240"/>
    <s v="00100002512"/>
    <s v="Wholesale Trade"/>
    <s v="Others"/>
    <s v="Others"/>
    <n v="27775734.129999999"/>
    <n v="27775734.129999999"/>
    <n v="0"/>
    <n v="1"/>
    <n v="1"/>
    <n v="0"/>
  </r>
  <r>
    <s v="JOSEPH KYEYUNE"/>
    <x v="2"/>
    <n v="8"/>
    <n v="35139057.840000004"/>
    <x v="4"/>
    <n v="1263491.03"/>
    <n v="47210432.700000003"/>
    <d v="2017-06-16T15:47:17"/>
    <d v="2019-06-16T00:00:00"/>
    <s v="0782387969"/>
    <s v=""/>
    <s v=""/>
    <n v="103242"/>
    <s v="00100003951"/>
    <s v="Wholesale Trade"/>
    <s v="Durable Goods"/>
    <s v="Others"/>
    <n v="35139057.840000004"/>
    <n v="0"/>
    <n v="0"/>
    <n v="1"/>
    <n v="0"/>
    <n v="0"/>
  </r>
  <r>
    <s v="AISHA NAMPONYE"/>
    <x v="1"/>
    <n v="-26"/>
    <n v="29717377.190000001"/>
    <x v="9"/>
    <n v="89152.13"/>
    <n v="39419023.009999998"/>
    <d v="2017-06-16T13:21:49"/>
    <d v="2019-06-20T00:00:00"/>
    <s v="0782603346"/>
    <s v=""/>
    <s v=""/>
    <n v="103243"/>
    <s v="00100003809"/>
    <s v="Real Estate and Rental"/>
    <s v="Rental"/>
    <s v="Others"/>
    <n v="0"/>
    <n v="0"/>
    <n v="0"/>
    <n v="0"/>
    <n v="0"/>
    <n v="0"/>
  </r>
  <r>
    <s v="WILFRED BLAIR RUGUMBA"/>
    <x v="1"/>
    <n v="-26"/>
    <n v="13823434.369999999"/>
    <x v="24"/>
    <n v="41470.300000000003"/>
    <n v="15531243.33"/>
    <d v="2017-06-16T12:51:13"/>
    <d v="2018-06-20T00:00:00"/>
    <s v="0772985959"/>
    <s v=""/>
    <s v=""/>
    <n v="103244"/>
    <s v="00100002368"/>
    <s v="Real Estate and Rental"/>
    <s v="Others"/>
    <s v="Others"/>
    <n v="0"/>
    <n v="0"/>
    <n v="0"/>
    <n v="0"/>
    <n v="0"/>
    <n v="0"/>
  </r>
  <r>
    <s v="JOSEPH KINTU"/>
    <x v="0"/>
    <n v="35"/>
    <n v="3169002.95"/>
    <x v="4"/>
    <n v="232476.04"/>
    <n v="3827227.2"/>
    <d v="2017-06-19T17:17:17"/>
    <d v="2018-06-19T00:00:00"/>
    <s v="0772412554"/>
    <s v="0758412554"/>
    <s v=""/>
    <n v="103245"/>
    <s v="00100004309"/>
    <s v="Retail"/>
    <s v="Miscellaneous Store Retailers"/>
    <s v="Others"/>
    <n v="3169002.95"/>
    <n v="3169002.95"/>
    <n v="0"/>
    <n v="1"/>
    <n v="1"/>
    <n v="0"/>
  </r>
  <r>
    <s v="RICHARD SSEMUGOOMA KIWANUKA"/>
    <x v="0"/>
    <n v="3"/>
    <n v="1839707.8"/>
    <x v="25"/>
    <n v="4993.2"/>
    <n v="2070989.86"/>
    <d v="2017-06-21T15:52:03"/>
    <d v="2018-04-21T00:00:00"/>
    <s v="0785047278"/>
    <s v=""/>
    <s v=""/>
    <n v="103246"/>
    <s v="00100004417"/>
    <s v="Wholesale Trade"/>
    <s v="Others"/>
    <s v="Others"/>
    <n v="1839707.8"/>
    <n v="0"/>
    <n v="0"/>
    <n v="1"/>
    <n v="0"/>
    <n v="0"/>
  </r>
  <r>
    <s v="BENSON NDYAABA"/>
    <x v="0"/>
    <n v="4"/>
    <n v="10007086.789999999"/>
    <x v="23"/>
    <n v="38371.919999999998"/>
    <n v="11602085.439999999"/>
    <d v="2017-06-20T15:30:08"/>
    <d v="2018-06-20T00:00:00"/>
    <s v="0788660286"/>
    <s v=""/>
    <s v=""/>
    <n v="103247"/>
    <s v="00100004171"/>
    <s v="Retail"/>
    <s v="Others"/>
    <s v="Others"/>
    <n v="10007086.789999999"/>
    <n v="0"/>
    <n v="0"/>
    <n v="1"/>
    <n v="0"/>
    <n v="0"/>
  </r>
  <r>
    <s v="ASSUMPTA MARY NAKATAWA"/>
    <x v="7"/>
    <n v="3"/>
    <n v="2531709.91"/>
    <x v="5"/>
    <n v="42748.82"/>
    <n v="2992689.74"/>
    <d v="2017-06-21T17:00:06"/>
    <d v="2018-06-21T00:00:00"/>
    <s v="0772657311"/>
    <s v="0752657311"/>
    <s v=""/>
    <n v="103249"/>
    <s v="00100004534"/>
    <s v="Retail"/>
    <s v="Others"/>
    <s v="Others"/>
    <n v="2531709.91"/>
    <n v="0"/>
    <n v="0"/>
    <n v="1"/>
    <n v="0"/>
    <n v="0"/>
  </r>
  <r>
    <s v="OMOLO JOHN"/>
    <x v="1"/>
    <n v="-29"/>
    <n v="15465074.65"/>
    <x v="10"/>
    <n v="492793.65"/>
    <n v="18904260.899999999"/>
    <d v="2017-06-23T13:47:57"/>
    <d v="2018-12-23T00:00:00"/>
    <s v="0756088542"/>
    <s v=""/>
    <s v="0782088542"/>
    <n v="103252"/>
    <s v="00100003373"/>
    <s v="Real Estate and Rental"/>
    <s v="Rental"/>
    <s v="General Rental Centers"/>
    <n v="0"/>
    <n v="0"/>
    <n v="0"/>
    <n v="0"/>
    <n v="0"/>
    <n v="0"/>
  </r>
  <r>
    <s v="GRACE NAKIBIRIGE"/>
    <x v="7"/>
    <n v="-7"/>
    <n v="2712982.47"/>
    <x v="22"/>
    <n v="79580.820000000007"/>
    <n v="2989598.65"/>
    <d v="2017-06-26T14:40:47"/>
    <d v="2018-03-01T00:00:00"/>
    <s v="0701819985"/>
    <s v="0783819985"/>
    <s v=""/>
    <n v="103253"/>
    <s v="00100001682"/>
    <s v="Retail"/>
    <s v="Others"/>
    <s v="Others"/>
    <n v="0"/>
    <n v="0"/>
    <n v="0"/>
    <n v="0"/>
    <n v="0"/>
    <n v="0"/>
  </r>
  <r>
    <s v="PROSSY NAMUGA NANSUMBU"/>
    <x v="7"/>
    <n v="23"/>
    <n v="3185254.24"/>
    <x v="22"/>
    <n v="212015.42"/>
    <n v="3855549.38"/>
    <d v="2017-06-27T15:38:25"/>
    <d v="2018-07-01T00:00:00"/>
    <s v="0712678062"/>
    <s v=""/>
    <s v=""/>
    <n v="103254"/>
    <s v="00100001088"/>
    <s v="Retail"/>
    <s v="Others"/>
    <s v="Others"/>
    <n v="3185254.24"/>
    <n v="0"/>
    <n v="0"/>
    <n v="1"/>
    <n v="0"/>
    <n v="0"/>
  </r>
  <r>
    <s v="LUKE SAJABI"/>
    <x v="0"/>
    <n v="23"/>
    <n v="3622295.32"/>
    <x v="16"/>
    <n v="105891.46"/>
    <n v="4301767.0999999996"/>
    <d v="2017-06-26T15:18:46"/>
    <d v="2018-07-01T00:00:00"/>
    <s v="0772434199"/>
    <s v="0702434199"/>
    <s v=""/>
    <n v="103255"/>
    <s v="00100000662"/>
    <s v="Retail"/>
    <s v="Others"/>
    <s v="Others"/>
    <n v="3622295.32"/>
    <n v="0"/>
    <n v="0"/>
    <n v="1"/>
    <n v="0"/>
    <n v="0"/>
  </r>
  <r>
    <s v="JOHN ROBERT SENTEZA"/>
    <x v="0"/>
    <n v="23"/>
    <n v="7982847.71"/>
    <x v="5"/>
    <n v="598274.86"/>
    <n v="9884124.4000000004"/>
    <d v="2017-06-30T12:47:21"/>
    <d v="2018-07-01T00:00:00"/>
    <s v="0774513496"/>
    <s v=""/>
    <s v=""/>
    <n v="103256"/>
    <s v="00100004509"/>
    <s v="Real Estate and Rental"/>
    <s v="Real Estate"/>
    <s v="Real Estate"/>
    <n v="7982847.71"/>
    <n v="0"/>
    <n v="0"/>
    <n v="1"/>
    <n v="0"/>
    <n v="0"/>
  </r>
  <r>
    <s v="ENOCK KAPERE"/>
    <x v="0"/>
    <n v="19"/>
    <n v="3547750.49"/>
    <x v="1"/>
    <n v="170115.75"/>
    <n v="4016550.28"/>
    <d v="2017-06-30T15:35:57"/>
    <d v="2018-04-05T00:00:00"/>
    <s v="0772339982"/>
    <s v=""/>
    <s v=""/>
    <n v="103257"/>
    <s v="00100004177"/>
    <s v="Retail"/>
    <s v="General Merchandise Stores"/>
    <s v="General Stores"/>
    <n v="3547750.49"/>
    <n v="0"/>
    <n v="0"/>
    <n v="1"/>
    <n v="0"/>
    <n v="0"/>
  </r>
  <r>
    <s v="DENNIS DAVIS BAMWESIGYE"/>
    <x v="10"/>
    <n v="-27"/>
    <n v="347408.68"/>
    <x v="17"/>
    <n v="482.51"/>
    <n v="354646.36"/>
    <d v="2017-07-05T10:29:10"/>
    <d v="2017-12-21T00:00:00"/>
    <s v="0757118138"/>
    <s v=""/>
    <s v=""/>
    <n v="103258"/>
    <s v="00100002281"/>
    <s v="Other Services"/>
    <s v="Others"/>
    <s v="Others"/>
    <n v="0"/>
    <n v="0"/>
    <n v="0"/>
    <n v="0"/>
    <n v="0"/>
    <n v="0"/>
  </r>
  <r>
    <s v="FLAVIA KARUNDANE AGIRA"/>
    <x v="8"/>
    <n v="-17"/>
    <n v="4280211.46"/>
    <x v="26"/>
    <n v="62776.43"/>
    <n v="5016075.22"/>
    <d v="2017-07-11T13:14:13"/>
    <d v="2018-07-11T00:00:00"/>
    <s v="0772453708"/>
    <s v="0702453708"/>
    <s v=""/>
    <n v="103259"/>
    <s v="00100001383"/>
    <s v="Retail"/>
    <s v="General Merchandise Stores"/>
    <s v="General Stores"/>
    <n v="0"/>
    <n v="0"/>
    <n v="0"/>
    <n v="0"/>
    <n v="0"/>
    <n v="0"/>
  </r>
  <r>
    <s v="HERBERT MARK MUGAMBWA"/>
    <x v="0"/>
    <n v="-18"/>
    <n v="3911075.08"/>
    <x v="1"/>
    <n v="64532.74"/>
    <n v="4549637.58"/>
    <d v="2017-07-12T13:40:30"/>
    <d v="2018-05-12T00:00:00"/>
    <s v="0773131770"/>
    <s v=""/>
    <s v=""/>
    <n v="103260"/>
    <s v="00100004570"/>
    <s v="Retail"/>
    <s v="Others"/>
    <s v="Others"/>
    <n v="0"/>
    <n v="0"/>
    <n v="0"/>
    <n v="0"/>
    <n v="0"/>
    <n v="0"/>
  </r>
  <r>
    <s v="SULAIMAN SSEMAKULA"/>
    <x v="1"/>
    <n v="-18"/>
    <n v="7093099.29"/>
    <x v="5"/>
    <n v="86693.440000000002"/>
    <n v="8197718.5999999996"/>
    <d v="2017-07-12T15:17:59"/>
    <d v="2018-07-12T00:00:00"/>
    <s v="0701583513"/>
    <s v="0776553735"/>
    <s v=""/>
    <n v="103261"/>
    <s v="00100004543"/>
    <s v="Retail"/>
    <s v="General Merchandise Stores"/>
    <s v="General Stores"/>
    <n v="0"/>
    <n v="0"/>
    <n v="0"/>
    <n v="0"/>
    <n v="0"/>
    <n v="0"/>
  </r>
  <r>
    <s v="ABDALATIF HAJJI BANYIKIDDE"/>
    <x v="0"/>
    <n v="-20"/>
    <n v="2510860.1"/>
    <x v="9"/>
    <n v="30130.32"/>
    <n v="2983460.86"/>
    <d v="2017-07-14T17:22:55"/>
    <d v="2018-07-14T00:00:00"/>
    <s v="0755809167"/>
    <s v=""/>
    <s v=""/>
    <n v="103262"/>
    <s v="00100004275"/>
    <s v="Retail"/>
    <s v="General Merchandise Stores"/>
    <s v="General Stores"/>
    <n v="0"/>
    <n v="0"/>
    <n v="0"/>
    <n v="0"/>
    <n v="0"/>
    <n v="0"/>
  </r>
  <r>
    <s v="ROBERT MUKASA"/>
    <x v="0"/>
    <n v="7"/>
    <n v="5579983.8499999996"/>
    <x v="3"/>
    <n v="296670.05"/>
    <n v="6908969.9000000004"/>
    <d v="2017-07-17T15:35:30"/>
    <d v="2018-07-17T00:00:00"/>
    <s v="0752990179"/>
    <s v=""/>
    <s v=""/>
    <n v="103263"/>
    <s v="00100004556"/>
    <s v="Retail"/>
    <s v="General Merchandise Stores"/>
    <s v="General Stores"/>
    <n v="5579983.8499999996"/>
    <n v="0"/>
    <n v="0"/>
    <n v="1"/>
    <n v="0"/>
    <n v="0"/>
  </r>
  <r>
    <s v="MARIAM NALWADDA WARAKIRA"/>
    <x v="8"/>
    <n v="-21"/>
    <n v="4280211.46"/>
    <x v="9"/>
    <n v="41850.959999999999"/>
    <n v="5016075.22"/>
    <d v="2017-07-15T12:17:04"/>
    <d v="2018-07-15T00:00:00"/>
    <s v="0772319926"/>
    <s v="0704891927"/>
    <s v=""/>
    <n v="103264"/>
    <s v="00100002799"/>
    <s v="Retail"/>
    <s v="Others"/>
    <s v="Others"/>
    <n v="0"/>
    <n v="0"/>
    <n v="0"/>
    <n v="0"/>
    <n v="0"/>
    <n v="0"/>
  </r>
  <r>
    <s v="ANNETTE KYOMUHENDO"/>
    <x v="6"/>
    <n v="-27"/>
    <n v="9905521.0899999999"/>
    <x v="17"/>
    <n v="12106.75"/>
    <n v="12542030.369999999"/>
    <d v="2017-07-17T15:27:34"/>
    <d v="2020-01-21T00:00:00"/>
    <s v="0701112255"/>
    <s v=""/>
    <s v=""/>
    <n v="103265"/>
    <s v="00100002294"/>
    <s v="Finance and Insurance"/>
    <s v="Finance"/>
    <s v="Microfinance Institutions"/>
    <n v="0"/>
    <n v="0"/>
    <n v="0"/>
    <n v="0"/>
    <n v="0"/>
    <n v="0"/>
  </r>
  <r>
    <s v="GRACE KYARISIIMA"/>
    <x v="8"/>
    <n v="-24"/>
    <n v="7133685.7599999998"/>
    <x v="13"/>
    <n v="43594.75"/>
    <n v="8360125.3499999996"/>
    <d v="2017-07-18T15:30:29"/>
    <d v="2018-07-18T00:00:00"/>
    <s v="0772422405"/>
    <s v=""/>
    <s v=""/>
    <n v="103266"/>
    <s v="00100004189"/>
    <s v="Retail"/>
    <s v="Food and Beverage Stores"/>
    <s v="Confectionery &amp; Nut Stores"/>
    <n v="0"/>
    <n v="0"/>
    <n v="0"/>
    <n v="0"/>
    <n v="0"/>
    <n v="0"/>
  </r>
  <r>
    <s v="EDWARD KIWANUKA KIKOSO"/>
    <x v="0"/>
    <n v="4"/>
    <n v="7971405.4800000004"/>
    <x v="5"/>
    <n v="184829.05"/>
    <n v="9663522.1999999993"/>
    <d v="2017-07-20T12:13:53"/>
    <d v="2018-07-20T00:00:00"/>
    <s v="0776880562"/>
    <s v="0701880562"/>
    <s v=""/>
    <n v="103267"/>
    <s v="00100001422"/>
    <s v="Retail"/>
    <s v="General Merchandise Stores"/>
    <s v="General Stores"/>
    <n v="7971405.4800000004"/>
    <n v="0"/>
    <n v="0"/>
    <n v="1"/>
    <n v="0"/>
    <n v="0"/>
  </r>
  <r>
    <s v="JOAN NANSUBUGA"/>
    <x v="8"/>
    <n v="-26"/>
    <n v="7193840.4400000004"/>
    <x v="23"/>
    <n v="29974.34"/>
    <n v="8606809.4800000004"/>
    <d v="2017-07-20T15:37:09"/>
    <d v="2018-07-20T00:00:00"/>
    <s v="0782130321"/>
    <s v="0706577179"/>
    <s v=""/>
    <n v="103268"/>
    <s v="00100004593"/>
    <s v="Retail"/>
    <s v="General Merchandise Stores"/>
    <s v="General Stores"/>
    <n v="0"/>
    <n v="0"/>
    <n v="0"/>
    <n v="0"/>
    <n v="0"/>
    <n v="0"/>
  </r>
  <r>
    <s v="HENRY KYEYUNE"/>
    <x v="3"/>
    <n v="-7"/>
    <n v="15834211.49"/>
    <x v="10"/>
    <n v="406411.43"/>
    <n v="18732094.629999999"/>
    <d v="2017-07-26T11:38:36"/>
    <d v="2018-08-01T00:00:00"/>
    <s v="0782475601"/>
    <s v="0704475601"/>
    <s v=""/>
    <n v="103269"/>
    <s v="00100002951"/>
    <s v="Retail"/>
    <s v="General Merchandise Stores"/>
    <s v="General Stores"/>
    <n v="0"/>
    <n v="0"/>
    <n v="0"/>
    <n v="0"/>
    <n v="0"/>
    <n v="0"/>
  </r>
  <r>
    <s v="JOSEPH LUMUNYE"/>
    <x v="0"/>
    <n v="63"/>
    <n v="11692958.02"/>
    <x v="5"/>
    <n v="936925.24"/>
    <n v="18101965.350000001"/>
    <d v="2017-07-21T17:10:44"/>
    <d v="2019-07-21T00:00:00"/>
    <s v="0756885066"/>
    <s v=""/>
    <s v=""/>
    <n v="103270"/>
    <s v="00100001983"/>
    <s v="Retail"/>
    <s v="General Merchandise Stores"/>
    <s v="General Stores"/>
    <n v="11692958.02"/>
    <n v="11692958.02"/>
    <n v="0"/>
    <n v="1"/>
    <n v="1"/>
    <n v="0"/>
  </r>
  <r>
    <s v="EDRINE KIZITO"/>
    <x v="0"/>
    <n v="3"/>
    <n v="6655628.54"/>
    <x v="18"/>
    <n v="315820.39"/>
    <n v="7580482.6799999997"/>
    <d v="2017-07-21T13:57:22"/>
    <d v="2018-03-21T00:00:00"/>
    <s v="0704349733"/>
    <s v=""/>
    <s v=""/>
    <n v="103271"/>
    <s v="00100004604"/>
    <s v="Wholesale Trade"/>
    <s v="Others"/>
    <s v="Others"/>
    <n v="6655628.54"/>
    <n v="0"/>
    <n v="0"/>
    <n v="1"/>
    <n v="0"/>
    <n v="0"/>
  </r>
  <r>
    <s v="JOSEPH SSENYAMA"/>
    <x v="0"/>
    <n v="-27"/>
    <n v="5786765.4800000004"/>
    <x v="1"/>
    <n v="17360.3"/>
    <n v="7018636.0800000001"/>
    <d v="2017-07-21T16:34:47"/>
    <d v="2018-07-21T00:00:00"/>
    <s v="0752400344"/>
    <s v="0772506442"/>
    <s v=""/>
    <n v="103272"/>
    <s v="00100004598"/>
    <s v="Retail"/>
    <s v="Others"/>
    <s v="Others"/>
    <n v="0"/>
    <n v="0"/>
    <n v="0"/>
    <n v="0"/>
    <n v="0"/>
    <n v="0"/>
  </r>
  <r>
    <s v="FRANCIS EKADU"/>
    <x v="0"/>
    <n v="0"/>
    <n v="10299259.609999999"/>
    <x v="14"/>
    <n v="398238.04"/>
    <n v="12466604.23"/>
    <d v="2017-07-24T13:23:57"/>
    <d v="2018-07-24T00:00:00"/>
    <s v="0772610308"/>
    <s v="0702610308"/>
    <s v=""/>
    <n v="103273"/>
    <s v="00100001916"/>
    <s v="Retail"/>
    <s v="General Merchandise Stores"/>
    <s v="General Stores"/>
    <n v="0"/>
    <n v="0"/>
    <n v="0"/>
    <n v="0"/>
    <n v="0"/>
    <n v="0"/>
  </r>
  <r>
    <s v="ROSE NAKAFEERO"/>
    <x v="7"/>
    <n v="23"/>
    <n v="698538.86"/>
    <x v="5"/>
    <n v="49097.82"/>
    <n v="778853.08"/>
    <d v="2017-07-28T14:28:55"/>
    <d v="2018-02-01T00:00:00"/>
    <s v="0756549494"/>
    <s v=""/>
    <s v=""/>
    <n v="103274"/>
    <s v="00100004558"/>
    <s v="Retail"/>
    <s v="General Merchandise Stores"/>
    <s v="Others"/>
    <n v="698538.86"/>
    <n v="0"/>
    <n v="0"/>
    <n v="1"/>
    <n v="0"/>
    <n v="0"/>
  </r>
  <r>
    <s v="LABAN KIIZA"/>
    <x v="0"/>
    <n v="-7"/>
    <n v="11944703.43"/>
    <x v="5"/>
    <n v="350377.97"/>
    <n v="14458310.210000001"/>
    <d v="2017-07-27T10:06:24"/>
    <d v="2018-08-01T00:00:00"/>
    <s v="0772335922"/>
    <s v=""/>
    <s v=""/>
    <n v="103275"/>
    <s v="00100004064"/>
    <s v="Wholesale Trade"/>
    <s v="Durable Goods"/>
    <s v="Others"/>
    <n v="0"/>
    <n v="0"/>
    <n v="0"/>
    <n v="0"/>
    <n v="0"/>
    <n v="0"/>
  </r>
  <r>
    <s v="HADIJAH NAMATOVU"/>
    <x v="8"/>
    <n v="-7"/>
    <n v="4473194.5199999996"/>
    <x v="28"/>
    <n v="136680.94"/>
    <n v="5249118.8899999997"/>
    <d v="2017-07-27T14:29:47"/>
    <d v="2018-06-01T00:00:00"/>
    <s v="0392963881"/>
    <s v=""/>
    <s v=""/>
    <n v="103276"/>
    <s v="00100004578"/>
    <s v="Retail"/>
    <s v="General Merchandise Stores"/>
    <s v="General Stores"/>
    <n v="0"/>
    <n v="0"/>
    <n v="0"/>
    <n v="0"/>
    <n v="0"/>
    <n v="0"/>
  </r>
  <r>
    <s v="GEORGE MAGOOLA"/>
    <x v="3"/>
    <n v="-7"/>
    <n v="19704021.75"/>
    <x v="15"/>
    <n v="505736.56"/>
    <n v="23310134.489999998"/>
    <d v="2017-07-31T16:39:52"/>
    <d v="2018-08-01T00:00:00"/>
    <s v="078201444"/>
    <s v=""/>
    <s v=""/>
    <n v="103277"/>
    <s v="00100003612"/>
    <s v="Real Estate and Rental"/>
    <s v="Real Estate"/>
    <s v="Real Estate"/>
    <n v="0"/>
    <n v="0"/>
    <n v="0"/>
    <n v="0"/>
    <n v="0"/>
    <n v="0"/>
  </r>
  <r>
    <s v="TOPHACE KYABAISHIKI"/>
    <x v="7"/>
    <n v="23"/>
    <n v="1010568.19"/>
    <x v="28"/>
    <n v="32992.65"/>
    <n v="1149495.46"/>
    <d v="2017-07-31T13:10:12"/>
    <d v="2018-04-01T00:00:00"/>
    <s v="0701431929"/>
    <s v=""/>
    <s v=""/>
    <n v="103278"/>
    <s v="00100004579"/>
    <s v="Retail"/>
    <s v="General Merchandise Stores"/>
    <s v="General Stores"/>
    <n v="1010568.19"/>
    <n v="0"/>
    <n v="0"/>
    <n v="1"/>
    <n v="0"/>
    <n v="0"/>
  </r>
  <r>
    <s v="OBED TWINOMUGISHA"/>
    <x v="0"/>
    <n v="-7"/>
    <n v="3991423.86"/>
    <x v="29"/>
    <n v="131716.99"/>
    <n v="4942062.1900000004"/>
    <d v="2017-07-31T16:32:12"/>
    <d v="2018-08-01T00:00:00"/>
    <s v="0752526030"/>
    <s v=""/>
    <s v=""/>
    <n v="103279"/>
    <s v="00100004577"/>
    <s v="Agriculture, Forestry, Fishing and Hunting"/>
    <s v="Forestry"/>
    <s v="Timber Tract Operations"/>
    <n v="0"/>
    <n v="0"/>
    <n v="0"/>
    <n v="0"/>
    <n v="0"/>
    <n v="0"/>
  </r>
  <r>
    <s v="PATRICK SSEMAKULA"/>
    <x v="3"/>
    <n v="53"/>
    <n v="25509805.93"/>
    <x v="23"/>
    <n v="1845861.48"/>
    <n v="28650970.359999999"/>
    <d v="2017-07-31T16:12:47"/>
    <d v="2018-02-01T00:00:00"/>
    <s v="0772497267"/>
    <s v="0774666170"/>
    <s v=""/>
    <n v="103280"/>
    <s v="00100004549"/>
    <s v="Retail"/>
    <s v="General Merchandise Stores"/>
    <s v="General Stores"/>
    <n v="25509805.93"/>
    <n v="25509805.93"/>
    <n v="0"/>
    <n v="1"/>
    <n v="1"/>
    <n v="0"/>
  </r>
  <r>
    <s v="GODFREY NKALUBO"/>
    <x v="0"/>
    <n v="-9"/>
    <n v="3723563.01"/>
    <x v="23"/>
    <n v="111706.89"/>
    <n v="4423258.78"/>
    <d v="2017-08-03T16:52:58"/>
    <d v="2018-06-03T00:00:00"/>
    <s v="0754211976"/>
    <s v=""/>
    <s v=""/>
    <n v="103281"/>
    <s v="00100004603"/>
    <s v="Wholesale Trade"/>
    <s v="Nondurable Goods"/>
    <s v="Grocery"/>
    <n v="0"/>
    <n v="0"/>
    <n v="0"/>
    <n v="0"/>
    <n v="0"/>
    <n v="0"/>
  </r>
  <r>
    <s v="TEDDY NAKAWOOYA"/>
    <x v="7"/>
    <n v="20"/>
    <n v="1671318.49"/>
    <x v="25"/>
    <n v="40233"/>
    <n v="1800030.68"/>
    <d v="2017-08-04T13:34:09"/>
    <d v="2018-02-04T00:00:00"/>
    <s v="0701342228"/>
    <s v=""/>
    <s v=""/>
    <n v="103282"/>
    <s v="00100004083"/>
    <s v="Retail"/>
    <s v="General Merchandise Stores"/>
    <s v="General Stores"/>
    <n v="1671318.49"/>
    <n v="0"/>
    <n v="0"/>
    <n v="1"/>
    <n v="0"/>
    <n v="0"/>
  </r>
  <r>
    <s v="BASHIR KIZITO"/>
    <x v="0"/>
    <n v="-9"/>
    <n v="2789991.93"/>
    <x v="3"/>
    <n v="83699.759999999995"/>
    <n v="3454484.95"/>
    <d v="2017-08-03T15:32:02"/>
    <d v="2018-08-03T00:00:00"/>
    <s v="0704230831"/>
    <s v=""/>
    <s v=""/>
    <n v="103283"/>
    <s v="00100004554"/>
    <s v="Retail"/>
    <s v="General Merchandise Stores"/>
    <s v="General Stores"/>
    <n v="0"/>
    <n v="0"/>
    <n v="0"/>
    <n v="0"/>
    <n v="0"/>
    <n v="0"/>
  </r>
  <r>
    <s v="FAIMA DAGIRU"/>
    <x v="10"/>
    <n v="-27"/>
    <n v="789800.11"/>
    <x v="17"/>
    <n v="1096.94"/>
    <n v="814566.18"/>
    <d v="2017-08-07T15:12:11"/>
    <d v="2018-01-21T00:00:00"/>
    <s v="0702179568"/>
    <s v=""/>
    <s v=""/>
    <n v="103284"/>
    <s v="00100002240"/>
    <s v="Other Services"/>
    <s v="Others"/>
    <s v="Others"/>
    <n v="0"/>
    <n v="0"/>
    <n v="0"/>
    <n v="0"/>
    <n v="0"/>
    <n v="0"/>
  </r>
  <r>
    <s v="ANNET NAZZIWA"/>
    <x v="7"/>
    <n v="-14"/>
    <n v="1865376.7"/>
    <x v="28"/>
    <n v="41970.98"/>
    <n v="2035723.04"/>
    <d v="2017-08-08T13:38:54"/>
    <d v="2018-02-08T00:00:00"/>
    <s v="0701940980"/>
    <s v=""/>
    <s v=""/>
    <n v="103286"/>
    <s v="00100004627"/>
    <s v="Retail"/>
    <s v="Building Material and Garden Equipment"/>
    <s v="Hardware Stores"/>
    <n v="0"/>
    <n v="0"/>
    <n v="0"/>
    <n v="0"/>
    <n v="0"/>
    <n v="0"/>
  </r>
  <r>
    <s v="CHRISTOPHER MUKAAYA"/>
    <x v="0"/>
    <n v="-15"/>
    <n v="1996688.56"/>
    <x v="27"/>
    <n v="41930.46"/>
    <n v="2274144.8199999998"/>
    <d v="2017-08-09T12:58:22"/>
    <d v="2018-04-09T00:00:00"/>
    <s v="0772512725"/>
    <s v="0704648228"/>
    <s v=""/>
    <n v="103287"/>
    <s v="00100004640"/>
    <s v="Retail"/>
    <s v="General Merchandise Stores"/>
    <s v="General Stores"/>
    <n v="0"/>
    <n v="0"/>
    <n v="0"/>
    <n v="0"/>
    <n v="0"/>
    <n v="0"/>
  </r>
  <r>
    <s v="DOROTHY BENGO NAKALYOWA"/>
    <x v="9"/>
    <n v="-15"/>
    <n v="10506255.109999999"/>
    <x v="10"/>
    <n v="171602.17"/>
    <n v="11830140.449999999"/>
    <d v="2017-08-09T17:11:12"/>
    <d v="2018-05-09T00:00:00"/>
    <s v="0776681368"/>
    <s v="0702681368"/>
    <s v=""/>
    <n v="103288"/>
    <s v="00100003700"/>
    <s v="Educational Services"/>
    <s v="Educational Services"/>
    <s v="Schools"/>
    <n v="0"/>
    <n v="0"/>
    <n v="0"/>
    <n v="0"/>
    <n v="0"/>
    <n v="0"/>
  </r>
  <r>
    <s v="ANDREW MUGERWA"/>
    <x v="3"/>
    <n v="-20"/>
    <n v="26383875.649999999"/>
    <x v="22"/>
    <n v="277030.69"/>
    <n v="34431646.640000001"/>
    <d v="2017-08-09T16:30:32"/>
    <d v="2019-02-14T00:00:00"/>
    <s v="0750746598"/>
    <s v="0782023875"/>
    <s v=""/>
    <n v="103289"/>
    <s v="00100001904"/>
    <s v="Retail"/>
    <s v="General Merchandise Stores"/>
    <s v="General Stores"/>
    <n v="0"/>
    <n v="0"/>
    <n v="0"/>
    <n v="0"/>
    <n v="0"/>
    <n v="0"/>
  </r>
  <r>
    <s v="RUTH BUKENYA"/>
    <x v="3"/>
    <n v="-17"/>
    <n v="18458432.82"/>
    <x v="10"/>
    <n v="258418.06"/>
    <n v="22921818.300000001"/>
    <d v="2017-08-11T16:15:55"/>
    <d v="2018-11-11T00:00:00"/>
    <s v="0772441571"/>
    <s v="0701491640"/>
    <s v=""/>
    <n v="103290"/>
    <s v="00100003428"/>
    <s v="Retail"/>
    <s v="New-Clothing and  Accessories"/>
    <s v="Others"/>
    <n v="0"/>
    <n v="0"/>
    <n v="0"/>
    <n v="0"/>
    <n v="0"/>
    <n v="0"/>
  </r>
  <r>
    <s v="PAUL KYOBE LUKOMU"/>
    <x v="2"/>
    <n v="-18"/>
    <n v="27377305.899999999"/>
    <x v="11"/>
    <n v="301150.36"/>
    <n v="31645556.93"/>
    <d v="2017-08-12T10:41:40"/>
    <d v="2018-08-12T00:00:00"/>
    <s v="0772628722"/>
    <s v="0757757488"/>
    <s v=""/>
    <n v="103291"/>
    <s v="00100000113"/>
    <s v="Retail"/>
    <s v="General Merchandise Stores"/>
    <s v="General Stores"/>
    <n v="0"/>
    <n v="0"/>
    <n v="0"/>
    <n v="0"/>
    <n v="0"/>
    <n v="0"/>
  </r>
  <r>
    <s v="SAMUEL NANDHUBU"/>
    <x v="3"/>
    <n v="-20"/>
    <n v="15745468.880000001"/>
    <x v="12"/>
    <n v="165327.42000000001"/>
    <n v="18627110.84"/>
    <d v="2017-08-14T13:09:51"/>
    <d v="2018-08-14T00:00:00"/>
    <s v="0772497711"/>
    <s v="0703458269"/>
    <s v=""/>
    <n v="103292"/>
    <s v="00100003934"/>
    <s v="Retail"/>
    <s v="Building Material and Garden Equipment"/>
    <s v="Hardware Stores"/>
    <n v="0"/>
    <n v="0"/>
    <n v="0"/>
    <n v="0"/>
    <n v="0"/>
    <n v="0"/>
  </r>
  <r>
    <s v="HUSSEIN BABU LUBOWA"/>
    <x v="0"/>
    <n v="-20"/>
    <n v="11957108.24"/>
    <x v="29"/>
    <n v="161420.96"/>
    <n v="14804935.470000001"/>
    <d v="2017-08-14T16:56:14"/>
    <d v="2018-08-14T00:00:00"/>
    <s v="0752463322"/>
    <s v="0785988997"/>
    <s v=""/>
    <n v="103293"/>
    <s v="00100004632"/>
    <s v="Retail"/>
    <s v="General Merchandise Stores"/>
    <s v="General Stores"/>
    <n v="0"/>
    <n v="0"/>
    <n v="0"/>
    <n v="0"/>
    <n v="0"/>
    <n v="0"/>
  </r>
  <r>
    <s v="KALISA SULAIMAN"/>
    <x v="0"/>
    <n v="-21"/>
    <n v="4439993.91"/>
    <x v="4"/>
    <n v="47359.94"/>
    <n v="5178219.63"/>
    <d v="2017-08-15T11:12:28"/>
    <d v="2018-06-15T00:00:00"/>
    <s v="0782565172"/>
    <s v=""/>
    <s v=""/>
    <n v="103294"/>
    <s v="00100000880"/>
    <s v="Retail"/>
    <s v="General Merchandise Stores"/>
    <s v="General Stores"/>
    <n v="0"/>
    <n v="0"/>
    <n v="0"/>
    <n v="0"/>
    <n v="0"/>
    <n v="0"/>
  </r>
  <r>
    <s v="REHEMAH LWANGA NANYUNJA"/>
    <x v="7"/>
    <n v="10"/>
    <n v="641245.48"/>
    <x v="28"/>
    <n v="8634.0300000000007"/>
    <n v="699649.95"/>
    <d v="2017-08-14T14:43:08"/>
    <d v="2018-02-14T00:00:00"/>
    <s v="0701983111"/>
    <s v="077598311"/>
    <s v=""/>
    <n v="103295"/>
    <s v="00100004590"/>
    <s v="Retail"/>
    <s v="Food and Beverage Stores"/>
    <s v="Baked Goods Stores"/>
    <n v="641245.48"/>
    <n v="0"/>
    <n v="0"/>
    <n v="1"/>
    <n v="0"/>
    <n v="0"/>
  </r>
  <r>
    <s v="MUHAMMED WALONZE"/>
    <x v="3"/>
    <n v="10"/>
    <n v="17212703.260000002"/>
    <x v="20"/>
    <n v="767772.03"/>
    <n v="20696789.829999998"/>
    <d v="2017-08-14T15:33:12"/>
    <d v="2018-08-14T00:00:00"/>
    <s v="0774626310"/>
    <s v="0776892518"/>
    <s v="0772654165"/>
    <n v="103296"/>
    <s v="00100000560"/>
    <s v="Retail"/>
    <s v="General Merchandise Stores"/>
    <s v="General Stores"/>
    <n v="17212703.260000002"/>
    <n v="0"/>
    <n v="0"/>
    <n v="1"/>
    <n v="0"/>
    <n v="0"/>
  </r>
  <r>
    <s v="PAUL KATENDE"/>
    <x v="0"/>
    <n v="10"/>
    <n v="3765854.15"/>
    <x v="6"/>
    <n v="50268.1"/>
    <n v="4465549.92"/>
    <d v="2017-08-14T16:51:44"/>
    <d v="2018-06-14T00:00:00"/>
    <s v="0757484413"/>
    <s v="0703093841"/>
    <s v=""/>
    <n v="103297"/>
    <s v="00100004641"/>
    <s v="Retail"/>
    <s v="Building Material and Garden Equipment"/>
    <s v="Hardware Stores"/>
    <n v="3765854.15"/>
    <n v="0"/>
    <n v="0"/>
    <n v="1"/>
    <n v="0"/>
    <n v="0"/>
  </r>
  <r>
    <s v="NYANSIO KAGGWA"/>
    <x v="0"/>
    <n v="-21"/>
    <n v="3188562.22"/>
    <x v="30"/>
    <n v="38262.75"/>
    <n v="3947982.81"/>
    <d v="2017-08-15T15:14:45"/>
    <d v="2018-08-15T00:00:00"/>
    <s v="0752498823"/>
    <s v="0773746985"/>
    <s v=""/>
    <n v="103298"/>
    <s v="00100004625"/>
    <s v="Retail"/>
    <s v="General Merchandise Stores"/>
    <s v="General Stores"/>
    <n v="0"/>
    <n v="0"/>
    <n v="0"/>
    <n v="0"/>
    <n v="0"/>
    <n v="0"/>
  </r>
  <r>
    <s v="FARIDAH KALANZI"/>
    <x v="7"/>
    <n v="-21"/>
    <n v="2391421.63"/>
    <x v="2"/>
    <n v="28697.06"/>
    <n v="2960987.06"/>
    <d v="2017-08-15T16:31:46"/>
    <d v="2018-08-15T00:00:00"/>
    <s v="0782005750"/>
    <s v="0701986074"/>
    <s v=""/>
    <n v="103299"/>
    <s v="00100004650"/>
    <s v="Retail"/>
    <s v="General Merchandise Stores"/>
    <s v="General Stores"/>
    <n v="0"/>
    <n v="0"/>
    <n v="0"/>
    <n v="0"/>
    <n v="0"/>
    <n v="0"/>
  </r>
  <r>
    <s v="DENNIS MUSIITWA MUGWANYA"/>
    <x v="1"/>
    <n v="-21"/>
    <n v="10005754.5"/>
    <x v="10"/>
    <n v="80046.039999999994"/>
    <n v="12062387.57"/>
    <d v="2017-08-15T16:46:00"/>
    <d v="2018-11-15T00:00:00"/>
    <s v="0778256741"/>
    <s v="0705686621"/>
    <s v=""/>
    <n v="103300"/>
    <s v="00100000436"/>
    <s v="Restaurants and Hotels"/>
    <s v="Restaurant"/>
    <s v="Bar"/>
    <n v="0"/>
    <n v="0"/>
    <n v="0"/>
    <n v="0"/>
    <n v="0"/>
    <n v="0"/>
  </r>
  <r>
    <s v="FRED SSENTONGO MUGERWA"/>
    <x v="0"/>
    <n v="8"/>
    <n v="3320345.89"/>
    <x v="25"/>
    <n v="160440.47"/>
    <n v="3945310.21"/>
    <d v="2017-08-16T14:57:06"/>
    <d v="2018-06-16T00:00:00"/>
    <s v="0702079335"/>
    <s v="0775233495"/>
    <s v=""/>
    <n v="103302"/>
    <s v="00100004387"/>
    <s v="Real Estate and Rental"/>
    <s v="Rental"/>
    <s v="General Rental Centers"/>
    <n v="3320345.89"/>
    <n v="0"/>
    <n v="0"/>
    <n v="1"/>
    <n v="0"/>
    <n v="0"/>
  </r>
  <r>
    <s v="EDWARD GYAGENDA"/>
    <x v="0"/>
    <n v="-25"/>
    <n v="2664823.87"/>
    <x v="27"/>
    <n v="114117.11"/>
    <n v="2908175.8"/>
    <d v="2017-08-19T12:01:36"/>
    <d v="2018-02-19T00:00:00"/>
    <s v="0779682840"/>
    <s v=""/>
    <s v=""/>
    <n v="103303"/>
    <s v="00100004658"/>
    <s v="Manufacturing"/>
    <s v="Fabricated Metal Product Manufacturing"/>
    <s v="Others"/>
    <n v="0"/>
    <n v="0"/>
    <n v="0"/>
    <n v="0"/>
    <n v="0"/>
    <n v="0"/>
  </r>
  <r>
    <s v="HENRY KYALEMA LUTAAKOME"/>
    <x v="0"/>
    <n v="5"/>
    <n v="5546549.6200000001"/>
    <x v="9"/>
    <n v="29577.360000000001"/>
    <n v="6713581.3399999999"/>
    <d v="2017-08-19T13:07:58"/>
    <d v="2018-08-19T00:00:00"/>
    <s v="0772411470"/>
    <s v="0704119110"/>
    <s v=""/>
    <n v="103304"/>
    <s v="00100000659"/>
    <s v="Retail"/>
    <s v="General Merchandise Stores"/>
    <s v="General Stores"/>
    <n v="5546549.6200000001"/>
    <n v="0"/>
    <n v="0"/>
    <n v="1"/>
    <n v="0"/>
    <n v="0"/>
  </r>
  <r>
    <s v="HOSEA SSEWANYANA"/>
    <x v="0"/>
    <n v="-27"/>
    <n v="1996688.56"/>
    <x v="2"/>
    <n v="5990.07"/>
    <n v="2274144.8199999998"/>
    <d v="2017-08-21T17:13:00"/>
    <d v="2018-04-21T00:00:00"/>
    <s v="0704636301"/>
    <s v="0774636301"/>
    <s v=""/>
    <n v="103305"/>
    <s v="00100004653"/>
    <s v="Retail"/>
    <s v="General Merchandise Stores"/>
    <s v="General Stores"/>
    <n v="0"/>
    <n v="0"/>
    <n v="0"/>
    <n v="0"/>
    <n v="0"/>
    <n v="0"/>
  </r>
  <r>
    <s v="MOSES SSEWANYANA"/>
    <x v="0"/>
    <n v="-27"/>
    <n v="6330057.1299999999"/>
    <x v="3"/>
    <n v="18990.169999999998"/>
    <n v="7519539.9199999999"/>
    <d v="2017-08-21T14:38:06"/>
    <d v="2018-06-21T00:00:00"/>
    <s v="0706476418"/>
    <s v=""/>
    <s v=""/>
    <n v="103306"/>
    <s v="00100004645"/>
    <s v="Transportation and Warehousing"/>
    <s v="Truck Transportation"/>
    <s v="General Freight Trucking, Local"/>
    <n v="0"/>
    <n v="0"/>
    <n v="0"/>
    <n v="0"/>
    <n v="0"/>
    <n v="0"/>
  </r>
  <r>
    <s v="PATRICK LUYOMBO"/>
    <x v="0"/>
    <n v="-27"/>
    <n v="2664823.87"/>
    <x v="3"/>
    <n v="150729.60000000001"/>
    <n v="2908175.8"/>
    <d v="2017-08-21T17:47:04"/>
    <d v="2018-02-21T00:00:00"/>
    <s v="0774494757"/>
    <s v=""/>
    <s v=""/>
    <n v="103307"/>
    <s v="00100004657"/>
    <s v="Restaurants and Hotels"/>
    <s v="Restaurant"/>
    <s v="Bar"/>
    <n v="0"/>
    <n v="0"/>
    <n v="0"/>
    <n v="0"/>
    <n v="0"/>
    <n v="0"/>
  </r>
  <r>
    <s v="ROBERT MUGOLO"/>
    <x v="0"/>
    <n v="2"/>
    <n v="6913868.54"/>
    <x v="10"/>
    <n v="227933.22"/>
    <n v="8467101.6199999992"/>
    <d v="2017-08-22T10:50:34"/>
    <d v="2018-08-22T00:00:00"/>
    <s v="0701760634"/>
    <s v=""/>
    <s v=""/>
    <n v="103308"/>
    <s v="00100003335"/>
    <s v="Retail"/>
    <s v="General Merchandise Stores"/>
    <s v="General Stores"/>
    <n v="6913868.54"/>
    <n v="0"/>
    <n v="0"/>
    <n v="1"/>
    <n v="0"/>
    <n v="0"/>
  </r>
  <r>
    <s v="JOSEPH MUWANGUZI"/>
    <x v="0"/>
    <n v="1"/>
    <n v="2169394.11"/>
    <x v="14"/>
    <n v="97622.73"/>
    <n v="2684632.66"/>
    <d v="2017-08-23T16:47:29"/>
    <d v="2018-08-23T00:00:00"/>
    <s v="0706631368"/>
    <s v=""/>
    <s v=""/>
    <n v="103310"/>
    <s v="00100004651"/>
    <s v="Retail"/>
    <s v="General Merchandise Stores"/>
    <s v="General Stores"/>
    <n v="2169394.11"/>
    <n v="0"/>
    <n v="0"/>
    <n v="1"/>
    <n v="0"/>
    <n v="0"/>
  </r>
  <r>
    <s v="DOROTHY NAKIMERA KIZIRI"/>
    <x v="8"/>
    <n v="0"/>
    <n v="8312576.0700000003"/>
    <x v="28"/>
    <n v="334812.09000000003"/>
    <n v="9945280.1600000001"/>
    <d v="2017-08-24T16:56:53"/>
    <d v="2018-06-24T00:00:00"/>
    <s v="0752400045"/>
    <s v="07764000045"/>
    <s v=""/>
    <n v="103311"/>
    <s v="00100004668"/>
    <s v="Retail"/>
    <s v="General Merchandise Stores"/>
    <s v="General Stores"/>
    <n v="0"/>
    <n v="0"/>
    <n v="0"/>
    <n v="0"/>
    <n v="0"/>
    <n v="0"/>
  </r>
  <r>
    <s v="JANET NAKINTU"/>
    <x v="3"/>
    <n v="-1"/>
    <n v="23255400.719999999"/>
    <x v="23"/>
    <n v="759676.42"/>
    <n v="26185796.370000001"/>
    <d v="2017-08-25T10:26:07"/>
    <d v="2018-04-25T00:00:00"/>
    <s v="0772393018"/>
    <s v="0759393018"/>
    <s v=""/>
    <n v="103312"/>
    <s v="00100001551"/>
    <s v="Wholesale Trade"/>
    <s v="Durable Goods"/>
    <s v="Others"/>
    <n v="0"/>
    <n v="0"/>
    <n v="0"/>
    <n v="0"/>
    <n v="0"/>
    <n v="0"/>
  </r>
  <r>
    <s v="SAMUEL WALUSIMBI"/>
    <x v="0"/>
    <n v="-1"/>
    <n v="6228825.7699999996"/>
    <x v="13"/>
    <n v="232542.83"/>
    <n v="7129335.9299999997"/>
    <d v="2017-08-25T11:56:45"/>
    <d v="2018-04-25T00:00:00"/>
    <s v="0772982624"/>
    <s v="0756134248"/>
    <s v=""/>
    <n v="103313"/>
    <s v="00100000912"/>
    <s v="Other Services"/>
    <s v="Others"/>
    <s v="Others"/>
    <n v="0"/>
    <n v="0"/>
    <n v="0"/>
    <n v="0"/>
    <n v="0"/>
    <n v="0"/>
  </r>
  <r>
    <s v="DAVID MAGUMBA"/>
    <x v="0"/>
    <n v="-7"/>
    <n v="4311644.3"/>
    <x v="5"/>
    <n v="142284.26"/>
    <n v="4829252.8899999997"/>
    <d v="2017-08-25T16:16:46"/>
    <d v="2018-03-01T00:00:00"/>
    <s v="0752145146"/>
    <s v="0783774472"/>
    <s v=""/>
    <n v="103314"/>
    <s v="00100004639"/>
    <s v="Retail"/>
    <s v="General Merchandise Stores"/>
    <s v="General Stores"/>
    <n v="0"/>
    <n v="0"/>
    <n v="0"/>
    <n v="0"/>
    <n v="0"/>
    <n v="0"/>
  </r>
  <r>
    <s v="MALON SEGAWA"/>
    <x v="0"/>
    <n v="-7"/>
    <n v="9543132.9600000009"/>
    <x v="12"/>
    <n v="279931.90000000002"/>
    <n v="11765818.75"/>
    <d v="2017-08-28T13:20:22"/>
    <d v="2018-09-01T00:00:00"/>
    <s v="0712247048"/>
    <s v="0783881181"/>
    <s v=""/>
    <n v="103315"/>
    <s v="00100000776"/>
    <s v="Retail"/>
    <s v="General Merchandise Stores"/>
    <s v="General Stores"/>
    <n v="0"/>
    <n v="0"/>
    <n v="0"/>
    <n v="0"/>
    <n v="0"/>
    <n v="0"/>
  </r>
  <r>
    <s v="VIOLAR NAMATA"/>
    <x v="8"/>
    <n v="-7"/>
    <n v="4177532.16"/>
    <x v="28"/>
    <n v="127646.82"/>
    <n v="4621569.6100000003"/>
    <d v="2017-08-28T12:57:02"/>
    <d v="2018-03-01T00:00:00"/>
    <s v="0772568605"/>
    <s v="0704608540"/>
    <s v=""/>
    <n v="103316"/>
    <s v="00100004631"/>
    <s v="Retail"/>
    <s v="General Merchandise Stores"/>
    <s v="General Stores"/>
    <n v="0"/>
    <n v="0"/>
    <n v="0"/>
    <n v="0"/>
    <n v="0"/>
    <n v="0"/>
  </r>
  <r>
    <s v="ELIAS NAKANA"/>
    <x v="0"/>
    <n v="53"/>
    <n v="5692511.4699999997"/>
    <x v="6"/>
    <n v="248327.12"/>
    <n v="7010893.6699999999"/>
    <d v="2017-08-28T15:36:54"/>
    <d v="2018-07-01T00:00:00"/>
    <s v="0788595824"/>
    <s v="0703364355"/>
    <s v=""/>
    <n v="103317"/>
    <s v="00100004655"/>
    <s v="Retail"/>
    <s v="General Merchandise Stores"/>
    <s v="General Stores"/>
    <n v="5692511.4699999997"/>
    <n v="5692511.4699999997"/>
    <n v="0"/>
    <n v="1"/>
    <n v="1"/>
    <n v="0"/>
  </r>
  <r>
    <s v="CAROLYN NAKISANZE KIWANUKA"/>
    <x v="7"/>
    <n v="-7"/>
    <n v="838246.64"/>
    <x v="31"/>
    <n v="27662.14"/>
    <n v="934623.71"/>
    <d v="2017-08-28T15:51:42"/>
    <d v="2018-03-01T00:00:00"/>
    <s v="0753178509"/>
    <s v=""/>
    <s v=""/>
    <n v="103318"/>
    <s v="00100004671"/>
    <s v="Retail"/>
    <s v="General Merchandise Stores"/>
    <s v="General Stores"/>
    <n v="0"/>
    <n v="0"/>
    <n v="0"/>
    <n v="0"/>
    <n v="0"/>
    <n v="0"/>
  </r>
  <r>
    <s v="CHARLES HABALUREMA"/>
    <x v="0"/>
    <n v="-7"/>
    <n v="11720378.470000001"/>
    <x v="5"/>
    <n v="386772.49"/>
    <n v="14215380.130000001"/>
    <d v="2017-08-28T17:11:02"/>
    <d v="2018-07-01T00:00:00"/>
    <s v="0772408575"/>
    <s v="0702408575"/>
    <s v=""/>
    <n v="103319"/>
    <s v="00100004681"/>
    <s v="Transportation and Warehousing"/>
    <s v=" Passenger Transportation"/>
    <s v="Taxi service"/>
    <n v="0"/>
    <n v="0"/>
    <n v="0"/>
    <n v="0"/>
    <n v="0"/>
    <n v="0"/>
  </r>
  <r>
    <s v="DALAUSI ALI BUKENYA"/>
    <x v="0"/>
    <n v="-7"/>
    <n v="4351244.07"/>
    <x v="31"/>
    <n v="143591.04999999999"/>
    <n v="5499050.9800000004"/>
    <d v="2017-08-29T12:30:32"/>
    <d v="2018-09-01T00:00:00"/>
    <s v="0702280217"/>
    <s v=""/>
    <s v=""/>
    <n v="103320"/>
    <s v="00100004663"/>
    <s v="Retail"/>
    <s v="General Merchandise Stores"/>
    <s v="General Stores"/>
    <n v="0"/>
    <n v="0"/>
    <n v="0"/>
    <n v="0"/>
    <n v="0"/>
    <n v="0"/>
  </r>
  <r>
    <s v="GEOFREY SSEBAGERE"/>
    <x v="0"/>
    <n v="-7"/>
    <n v="2092621.42"/>
    <x v="30"/>
    <n v="69056.509999999995"/>
    <n v="2333219.7000000002"/>
    <d v="2017-08-29T12:58:47"/>
    <d v="2018-03-01T00:00:00"/>
    <s v="0706222239"/>
    <s v="0758565105"/>
    <s v=""/>
    <n v="103321"/>
    <s v="00100004676"/>
    <s v="Retail"/>
    <s v="Second Hand -Clothing and  Accessories"/>
    <s v="Clothing Stores"/>
    <n v="0"/>
    <n v="0"/>
    <n v="0"/>
    <n v="0"/>
    <n v="0"/>
    <n v="0"/>
  </r>
  <r>
    <s v="MARIAM SSERWANGA"/>
    <x v="8"/>
    <n v="-7"/>
    <n v="4684646.0199999996"/>
    <x v="28"/>
    <n v="143141.96"/>
    <n v="5392238.29"/>
    <d v="2017-08-30T11:51:10"/>
    <d v="2018-05-02T00:00:00"/>
    <s v="0755866711"/>
    <s v=""/>
    <s v=""/>
    <n v="103322"/>
    <s v="00100004673"/>
    <s v="Retail"/>
    <s v="General Merchandise Stores"/>
    <s v="General Stores"/>
    <n v="0"/>
    <n v="0"/>
    <n v="0"/>
    <n v="0"/>
    <n v="0"/>
    <n v="0"/>
  </r>
  <r>
    <s v="SAMUEL SSEBUGGWAWO"/>
    <x v="3"/>
    <n v="-7"/>
    <n v="13785684.529999999"/>
    <x v="1"/>
    <n v="353832.57"/>
    <n v="16576095.66"/>
    <d v="2017-08-30T12:44:26"/>
    <d v="2018-09-01T00:00:00"/>
    <s v="0782410306"/>
    <s v="0704275435"/>
    <s v=""/>
    <n v="103323"/>
    <s v="00100003306"/>
    <s v="Retail"/>
    <s v="General Merchandise Stores"/>
    <s v="General Stores"/>
    <n v="0"/>
    <n v="0"/>
    <n v="0"/>
    <n v="0"/>
    <n v="0"/>
    <n v="0"/>
  </r>
  <r>
    <s v="TEOPISTA NAMAGEMBE"/>
    <x v="0"/>
    <n v="23"/>
    <n v="5140545.05"/>
    <x v="3"/>
    <n v="288430.24"/>
    <n v="6397871.0700000003"/>
    <d v="2017-08-30T16:54:03"/>
    <d v="2018-09-01T00:00:00"/>
    <s v="0702118549"/>
    <s v=""/>
    <s v=""/>
    <n v="103324"/>
    <s v="00100004187"/>
    <s v="Retail"/>
    <s v="General Merchandise Stores"/>
    <s v="General Stores"/>
    <n v="5140545.05"/>
    <n v="0"/>
    <n v="0"/>
    <n v="1"/>
    <n v="0"/>
    <n v="0"/>
  </r>
  <r>
    <s v="FLORENCE NABAKIIBI"/>
    <x v="1"/>
    <n v="23"/>
    <n v="25871959.25"/>
    <x v="9"/>
    <n v="1012027.18"/>
    <n v="33098533.329999998"/>
    <d v="2017-08-31T12:21:06"/>
    <d v="2019-03-01T00:00:00"/>
    <s v="0772414054"/>
    <s v="0752414054"/>
    <s v=""/>
    <n v="103325"/>
    <s v="00100002635"/>
    <s v="Retail"/>
    <s v="General Merchandise Stores"/>
    <s v="General Stores"/>
    <n v="25871959.25"/>
    <n v="0"/>
    <n v="0"/>
    <n v="1"/>
    <n v="0"/>
    <n v="0"/>
  </r>
  <r>
    <s v="AMBROSE KATAMBA"/>
    <x v="0"/>
    <n v="23"/>
    <n v="4599698.87"/>
    <x v="5"/>
    <n v="344724.63"/>
    <n v="5695210.21"/>
    <d v="2017-08-31T15:54:44"/>
    <d v="2018-07-01T00:00:00"/>
    <s v="0702351081"/>
    <s v=""/>
    <s v=""/>
    <n v="103326"/>
    <s v="00100004662"/>
    <s v="Wholesale Trade"/>
    <s v="Durable Goods"/>
    <s v="Recyclable Materials"/>
    <n v="4599698.87"/>
    <n v="0"/>
    <n v="0"/>
    <n v="1"/>
    <n v="0"/>
    <n v="0"/>
  </r>
  <r>
    <s v="ANDREW KASOLE"/>
    <x v="0"/>
    <n v="-7"/>
    <n v="4173884.19"/>
    <x v="30"/>
    <n v="137738.18"/>
    <n v="5062409.08"/>
    <d v="2017-08-31T17:47:22"/>
    <d v="2018-07-01T00:00:00"/>
    <s v="0752202526"/>
    <s v="0776202526"/>
    <s v=""/>
    <n v="103327"/>
    <s v="00100004683"/>
    <s v="Retail"/>
    <s v="General Merchandise Stores"/>
    <s v="General Stores"/>
    <n v="0"/>
    <n v="0"/>
    <n v="0"/>
    <n v="0"/>
    <n v="0"/>
    <n v="0"/>
  </r>
  <r>
    <s v="UMAR BUKENYA"/>
    <x v="0"/>
    <n v="-7"/>
    <n v="9055047.1199999992"/>
    <x v="23"/>
    <n v="298816.55"/>
    <n v="10096147.460000001"/>
    <d v="2017-08-31T17:33:18"/>
    <d v="2018-03-01T00:00:00"/>
    <s v="0773047899"/>
    <s v="0703804224"/>
    <s v=""/>
    <n v="103328"/>
    <s v="00100004637"/>
    <s v="Retail"/>
    <s v="General Merchandise Stores"/>
    <s v="General Stores"/>
    <n v="0"/>
    <n v="0"/>
    <n v="0"/>
    <n v="0"/>
    <n v="0"/>
    <n v="0"/>
  </r>
  <r>
    <s v="SEASONZ HARVEST LIMITED"/>
    <x v="3"/>
    <n v="-10"/>
    <n v="14111470.060000001"/>
    <x v="23"/>
    <n v="357490.57"/>
    <n v="16767568.43"/>
    <d v="2017-09-04T16:18:15"/>
    <d v="2018-07-04T00:00:00"/>
    <s v="0782034035"/>
    <s v="0751112113"/>
    <s v=""/>
    <n v="103329"/>
    <s v="00100004679"/>
    <s v="Retail"/>
    <s v="General Merchandise Stores"/>
    <s v="General Stores"/>
    <n v="0"/>
    <n v="0"/>
    <n v="0"/>
    <n v="0"/>
    <n v="0"/>
    <n v="0"/>
  </r>
  <r>
    <s v="ZAAKE SSEBANDEKE"/>
    <x v="1"/>
    <n v="-12"/>
    <n v="31965547.149999999"/>
    <x v="13"/>
    <n v="543414.30000000005"/>
    <n v="40716869.659999996"/>
    <d v="2017-09-06T15:16:33"/>
    <d v="2019-03-06T00:00:00"/>
    <s v="0772431161"/>
    <s v="0703431161"/>
    <s v=""/>
    <n v="103330"/>
    <s v="00100000258"/>
    <s v="Real Estate and Rental"/>
    <s v="Rental"/>
    <s v="General Rental Centers"/>
    <n v="0"/>
    <n v="0"/>
    <n v="0"/>
    <n v="0"/>
    <n v="0"/>
    <n v="0"/>
  </r>
  <r>
    <s v="VANETA KISUULE"/>
    <x v="8"/>
    <n v="43"/>
    <n v="9831925.9800000004"/>
    <x v="5"/>
    <n v="340934.38"/>
    <n v="12005447.34"/>
    <d v="2017-09-11T14:46:49"/>
    <d v="2018-09-11T00:00:00"/>
    <s v="0775368699"/>
    <s v="0756368699"/>
    <s v=""/>
    <n v="103331"/>
    <s v="00100004215"/>
    <s v="Retail"/>
    <s v="General Merchandise Stores"/>
    <s v="General Stores"/>
    <n v="9831925.9800000004"/>
    <n v="9831925.9800000004"/>
    <n v="0"/>
    <n v="1"/>
    <n v="1"/>
    <n v="0"/>
  </r>
  <r>
    <s v="VEVICAH NAKATO"/>
    <x v="1"/>
    <n v="2"/>
    <n v="18950683.91"/>
    <x v="24"/>
    <n v="638116.49"/>
    <n v="24010334.09"/>
    <d v="2017-09-22T13:14:01"/>
    <d v="2018-12-22T00:00:00"/>
    <s v="0772424483"/>
    <s v=""/>
    <s v=""/>
    <n v="103332"/>
    <s v="00100004465"/>
    <s v="Real Estate and Rental"/>
    <s v="Rental"/>
    <s v="Machinery &amp; Equipment"/>
    <n v="18950683.91"/>
    <n v="0"/>
    <n v="0"/>
    <n v="1"/>
    <n v="0"/>
    <n v="0"/>
  </r>
  <r>
    <s v="CELESTINE WAKABU"/>
    <x v="0"/>
    <n v="-18"/>
    <n v="2083950.78"/>
    <x v="23"/>
    <n v="34385.19"/>
    <n v="2527576.4700000002"/>
    <d v="2017-09-12T12:03:31"/>
    <d v="2018-07-12T00:00:00"/>
    <s v="0772366055"/>
    <s v="0752366055"/>
    <s v=""/>
    <n v="103333"/>
    <s v="00100004690"/>
    <s v="Retail"/>
    <s v="General Merchandise Stores"/>
    <s v="General Stores"/>
    <n v="0"/>
    <n v="0"/>
    <n v="0"/>
    <n v="0"/>
    <n v="0"/>
    <n v="0"/>
  </r>
  <r>
    <s v="ALOYSIUS KITYAMUWEESI"/>
    <x v="0"/>
    <n v="-18"/>
    <n v="5001481.8600000003"/>
    <x v="28"/>
    <n v="82524.45"/>
    <n v="6066183.4400000004"/>
    <d v="2017-09-12T14:21:16"/>
    <d v="2018-07-12T00:00:00"/>
    <s v="0701804111"/>
    <s v="0704804111"/>
    <s v=""/>
    <n v="103334"/>
    <s v="00100004689"/>
    <s v="Retail"/>
    <s v="General Merchandise Stores"/>
    <s v="General Stores"/>
    <n v="0"/>
    <n v="0"/>
    <n v="0"/>
    <n v="0"/>
    <n v="0"/>
    <n v="0"/>
  </r>
  <r>
    <s v="FRANCIS KAJUMBA"/>
    <x v="3"/>
    <n v="-19"/>
    <n v="26836079.52"/>
    <x v="12"/>
    <n v="313087.59000000003"/>
    <n v="33861777.060000002"/>
    <d v="2017-09-13T16:13:40"/>
    <d v="2018-12-13T00:00:00"/>
    <s v="0701155056"/>
    <s v=""/>
    <s v=""/>
    <n v="103335"/>
    <s v="00100001705"/>
    <s v="Health Care"/>
    <s v="Health Care"/>
    <s v=" Medical &amp; Diagnostic Laboratories"/>
    <n v="0"/>
    <n v="0"/>
    <n v="0"/>
    <n v="0"/>
    <n v="0"/>
    <n v="0"/>
  </r>
  <r>
    <s v="HARRIET NALWADDA"/>
    <x v="8"/>
    <n v="-19"/>
    <n v="6650060.8399999999"/>
    <x v="28"/>
    <n v="92361.96"/>
    <n v="7956224.0999999996"/>
    <d v="2017-09-13T15:22:40"/>
    <d v="2018-07-13T00:00:00"/>
    <s v="0700870379"/>
    <s v="0783721138"/>
    <s v=""/>
    <n v="103336"/>
    <s v="00100004686"/>
    <s v="Retail"/>
    <s v="General Merchandise Stores"/>
    <s v="General Stores"/>
    <n v="0"/>
    <n v="0"/>
    <n v="0"/>
    <n v="0"/>
    <n v="0"/>
    <n v="0"/>
  </r>
  <r>
    <s v="THOMAS GENZA"/>
    <x v="3"/>
    <n v="9"/>
    <n v="19183663.18"/>
    <x v="10"/>
    <n v="333852.73"/>
    <n v="25268988.66"/>
    <d v="2017-09-15T17:14:24"/>
    <d v="2019-03-15T00:00:00"/>
    <s v="0772675106"/>
    <s v=""/>
    <s v="075675106"/>
    <n v="103337"/>
    <s v="00100003442"/>
    <s v="Transportation and Warehousing"/>
    <s v=" Passenger Transportation"/>
    <s v="Taxi service"/>
    <n v="19183663.18"/>
    <n v="0"/>
    <n v="0"/>
    <n v="1"/>
    <n v="0"/>
    <n v="0"/>
  </r>
  <r>
    <s v="GRACE KIMERA"/>
    <x v="0"/>
    <n v="-20"/>
    <n v="4150432.37"/>
    <x v="16"/>
    <n v="49805.19"/>
    <n v="4931637.78"/>
    <d v="2017-09-14T11:24:45"/>
    <d v="2018-07-14T00:00:00"/>
    <s v="0758669671"/>
    <s v="0772669671"/>
    <s v=""/>
    <n v="103338"/>
    <s v="00100004220"/>
    <s v="Real Estate and Rental"/>
    <s v="Rental"/>
    <s v="Video Tape &amp; Disc Rental"/>
    <n v="0"/>
    <n v="0"/>
    <n v="0"/>
    <n v="0"/>
    <n v="0"/>
    <n v="0"/>
  </r>
  <r>
    <s v="MANDE CONSTANT"/>
    <x v="3"/>
    <n v="-20"/>
    <n v="15491432.93"/>
    <x v="13"/>
    <n v="162660.04999999999"/>
    <n v="18627110.850000001"/>
    <d v="2017-09-14T12:46:59"/>
    <d v="2018-09-14T00:00:00"/>
    <s v="0753915556"/>
    <s v=""/>
    <s v="0775372087"/>
    <n v="103339"/>
    <s v="00100003499"/>
    <s v="Wholesale Trade"/>
    <s v="Nondurable Goods"/>
    <s v="Grocery"/>
    <n v="0"/>
    <n v="0"/>
    <n v="0"/>
    <n v="0"/>
    <n v="0"/>
    <n v="0"/>
  </r>
  <r>
    <s v="GODFREY MAYANJA"/>
    <x v="1"/>
    <n v="10"/>
    <n v="11170342.210000001"/>
    <x v="1"/>
    <n v="436172.25"/>
    <n v="13486932.970000001"/>
    <d v="2017-09-14T15:38:34"/>
    <d v="2018-09-14T00:00:00"/>
    <s v="0772405637"/>
    <s v="0754405637"/>
    <s v=""/>
    <n v="103340"/>
    <s v="00100004665"/>
    <s v="Real Estate and Rental"/>
    <s v="Real Estate"/>
    <s v="Real Estate"/>
    <n v="11170342.210000001"/>
    <n v="0"/>
    <n v="0"/>
    <n v="1"/>
    <n v="0"/>
    <n v="0"/>
  </r>
  <r>
    <s v="MARY NAKANWAGI"/>
    <x v="9"/>
    <n v="10"/>
    <n v="10359551.869999999"/>
    <x v="12"/>
    <n v="108567.93"/>
    <n v="11279841.460000001"/>
    <d v="2017-09-14T17:25:11"/>
    <d v="2018-03-14T00:00:00"/>
    <s v="0777800362"/>
    <s v=""/>
    <s v=""/>
    <n v="103341"/>
    <s v="00100004351"/>
    <s v="Retail"/>
    <s v="General Merchandise Stores"/>
    <s v="General Stores"/>
    <n v="10359551.869999999"/>
    <n v="0"/>
    <n v="0"/>
    <n v="1"/>
    <n v="0"/>
    <n v="0"/>
  </r>
  <r>
    <s v="HASIFA NAMBI"/>
    <x v="9"/>
    <n v="-21"/>
    <n v="12963503.52"/>
    <x v="3"/>
    <n v="138277.37"/>
    <n v="15982825.91"/>
    <d v="2017-09-15T16:45:56"/>
    <d v="2018-09-15T00:00:00"/>
    <s v="0772421046"/>
    <s v="0756421046"/>
    <s v=""/>
    <n v="103342"/>
    <s v="00100002326"/>
    <s v="Retail"/>
    <s v="Second Hand -Clothing and  Accessories"/>
    <s v="Others"/>
    <n v="0"/>
    <n v="0"/>
    <n v="0"/>
    <n v="0"/>
    <n v="0"/>
    <n v="0"/>
  </r>
  <r>
    <s v="BOB BIREESE BOGEERE"/>
    <x v="3"/>
    <n v="-21"/>
    <n v="15556204.220000001"/>
    <x v="23"/>
    <n v="165932.85"/>
    <n v="19179391.09"/>
    <d v="2017-09-15T18:34:21"/>
    <d v="2018-09-15T00:00:00"/>
    <s v="0782611697"/>
    <s v=""/>
    <s v=""/>
    <n v="103343"/>
    <s v="00100004704"/>
    <s v="Retail"/>
    <s v="General Merchandise Stores"/>
    <s v="General Stores"/>
    <n v="0"/>
    <n v="0"/>
    <n v="0"/>
    <n v="0"/>
    <n v="0"/>
    <n v="0"/>
  </r>
  <r>
    <s v="CHRISTOPHER YIGA"/>
    <x v="2"/>
    <n v="-21"/>
    <n v="26994301.949999999"/>
    <x v="11"/>
    <n v="215954.42"/>
    <n v="31645556.940000001"/>
    <d v="2017-09-15T18:51:01"/>
    <d v="2018-09-15T00:00:00"/>
    <s v="0772484524"/>
    <s v=""/>
    <s v="0701484524"/>
    <n v="103344"/>
    <s v="00100003917"/>
    <s v="Retail"/>
    <s v="General Merchandise Stores"/>
    <s v="General Stores"/>
    <n v="0"/>
    <n v="0"/>
    <n v="0"/>
    <n v="0"/>
    <n v="0"/>
    <n v="0"/>
  </r>
  <r>
    <s v="GERALD MUTESASIRA"/>
    <x v="0"/>
    <n v="-22"/>
    <n v="4338788.2300000004"/>
    <x v="32"/>
    <n v="45557.279999999999"/>
    <n v="5483309.4400000004"/>
    <d v="2017-09-16T12:47:33"/>
    <d v="2018-09-16T00:00:00"/>
    <s v="0757116003"/>
    <s v="0712739485"/>
    <s v=""/>
    <n v="103345"/>
    <s v="00100004700"/>
    <s v="Retail"/>
    <s v="General Merchandise Stores"/>
    <s v="General Stores"/>
    <n v="0"/>
    <n v="0"/>
    <n v="0"/>
    <n v="0"/>
    <n v="0"/>
    <n v="0"/>
  </r>
  <r>
    <s v="SARAH KIRIGWAJO"/>
    <x v="1"/>
    <n v="-24"/>
    <n v="18266026.940000001"/>
    <x v="13"/>
    <n v="91330.13"/>
    <n v="23266782.66"/>
    <d v="2017-09-18T12:17:27"/>
    <d v="2019-03-18T00:00:00"/>
    <s v="0772676468"/>
    <s v="0751676468"/>
    <s v=""/>
    <n v="103346"/>
    <s v="00100001822"/>
    <s v="Real Estate and Rental"/>
    <s v="Rental"/>
    <s v="General Rental Centers"/>
    <n v="0"/>
    <n v="0"/>
    <n v="0"/>
    <n v="0"/>
    <n v="0"/>
    <n v="0"/>
  </r>
  <r>
    <s v="ROBERT MALE"/>
    <x v="0"/>
    <n v="-24"/>
    <n v="2083950.78"/>
    <x v="14"/>
    <n v="15629.63"/>
    <n v="2527576.4700000002"/>
    <d v="2017-09-18T16:01:42"/>
    <d v="2018-07-18T00:00:00"/>
    <s v="0774001852"/>
    <s v="0704219103"/>
    <s v=""/>
    <n v="103347"/>
    <s v="00100004694"/>
    <s v="Retail"/>
    <s v="Building Material and Garden Equipment"/>
    <s v="Hardware Stores"/>
    <n v="0"/>
    <n v="0"/>
    <n v="0"/>
    <n v="0"/>
    <n v="0"/>
    <n v="0"/>
  </r>
  <r>
    <s v="PAUL NSUBUGA"/>
    <x v="3"/>
    <n v="4"/>
    <n v="18963498.609999999"/>
    <x v="23"/>
    <n v="147230"/>
    <n v="23731909.440000001"/>
    <d v="2017-09-20T12:03:51"/>
    <d v="2018-12-20T00:00:00"/>
    <s v="0772623844"/>
    <s v="0705900658"/>
    <s v=""/>
    <n v="103348"/>
    <s v="00100001752"/>
    <s v="Retail"/>
    <s v="General Merchandise Stores"/>
    <s v="General Stores"/>
    <n v="18963498.609999999"/>
    <n v="0"/>
    <n v="0"/>
    <n v="1"/>
    <n v="0"/>
    <n v="0"/>
  </r>
  <r>
    <s v="AIDA NAKALEMBE"/>
    <x v="1"/>
    <n v="-26"/>
    <n v="17139239.329999998"/>
    <x v="1"/>
    <n v="51417.72"/>
    <n v="20092417.079999998"/>
    <d v="2017-09-20T13:47:09"/>
    <d v="2018-09-20T00:00:00"/>
    <s v="0772455242"/>
    <s v="0701455242"/>
    <s v=""/>
    <n v="103349"/>
    <s v="00100000950"/>
    <s v="Real Estate and Rental"/>
    <s v="Rental"/>
    <s v="General Rental Centers"/>
    <n v="0"/>
    <n v="0"/>
    <n v="0"/>
    <n v="0"/>
    <n v="0"/>
    <n v="0"/>
  </r>
  <r>
    <s v="DOREEN NAKIWU SSENYONJO"/>
    <x v="7"/>
    <n v="-25"/>
    <n v="2083950.78"/>
    <x v="10"/>
    <n v="12503.7"/>
    <n v="2527576.4700000002"/>
    <d v="2017-09-19T13:07:57"/>
    <d v="2018-07-19T00:00:00"/>
    <s v="0703597866"/>
    <s v=""/>
    <s v=""/>
    <n v="103350"/>
    <s v="00100004687"/>
    <s v="Retail"/>
    <s v="Second Hand -Clothing and  Accessories"/>
    <s v="Luggage &amp; Leather Goods Stores"/>
    <n v="0"/>
    <n v="0"/>
    <n v="0"/>
    <n v="0"/>
    <n v="0"/>
    <n v="0"/>
  </r>
  <r>
    <s v="JOSEPH SSEMPIJJA"/>
    <x v="0"/>
    <n v="5"/>
    <n v="9334478.2699999996"/>
    <x v="26"/>
    <n v="414471.52"/>
    <n v="11715738.92"/>
    <d v="2017-09-19T14:29:41"/>
    <d v="2018-09-19T00:00:00"/>
    <s v="0704574185"/>
    <s v=""/>
    <s v=""/>
    <n v="103351"/>
    <s v="00100004486"/>
    <s v="Real Estate and Rental"/>
    <s v="Real Estate"/>
    <s v="Real Estate"/>
    <n v="9334478.2699999996"/>
    <n v="0"/>
    <n v="0"/>
    <n v="1"/>
    <n v="0"/>
    <n v="0"/>
  </r>
  <r>
    <s v="JULIET NABANJA"/>
    <x v="1"/>
    <n v="5"/>
    <n v="12828956.289999999"/>
    <x v="24"/>
    <n v="144506.17000000001"/>
    <n v="16204466.439999999"/>
    <d v="2017-09-19T14:45:47"/>
    <d v="2019-03-19T00:00:00"/>
    <s v="0772537150"/>
    <s v="0700537150"/>
    <s v=""/>
    <n v="103352"/>
    <s v="00100003397"/>
    <s v="Real Estate and Rental"/>
    <s v="Rental"/>
    <s v="Others"/>
    <n v="12828956.289999999"/>
    <n v="0"/>
    <n v="0"/>
    <n v="1"/>
    <n v="0"/>
    <n v="0"/>
  </r>
  <r>
    <s v="EXPEDITO KAMULI"/>
    <x v="0"/>
    <n v="-25"/>
    <n v="2345949.7799999998"/>
    <x v="23"/>
    <n v="14075.7"/>
    <n v="2728973.78"/>
    <d v="2017-09-19T15:48:10"/>
    <d v="2018-05-19T00:00:00"/>
    <s v="0752958785"/>
    <s v=""/>
    <s v=""/>
    <n v="103353"/>
    <s v="00100004638"/>
    <s v="Retail"/>
    <s v="General Merchandise Stores"/>
    <s v="General Stores"/>
    <n v="0"/>
    <n v="0"/>
    <n v="0"/>
    <n v="0"/>
    <n v="0"/>
    <n v="0"/>
  </r>
  <r>
    <s v="DEBORAH NAMULI"/>
    <x v="7"/>
    <n v="4"/>
    <n v="1566317.77"/>
    <x v="25"/>
    <n v="6228.83"/>
    <n v="1791445.32"/>
    <d v="2017-09-20T16:11:54"/>
    <d v="2018-05-20T00:00:00"/>
    <s v="078855594"/>
    <s v=""/>
    <s v=""/>
    <n v="103354"/>
    <s v="00100004072"/>
    <s v="Retail"/>
    <s v="General Merchandise Stores"/>
    <s v="General Stores"/>
    <n v="1566317.77"/>
    <n v="0"/>
    <n v="0"/>
    <n v="1"/>
    <n v="0"/>
    <n v="0"/>
  </r>
  <r>
    <s v="MARGARET BIRABWA"/>
    <x v="7"/>
    <n v="34"/>
    <n v="3457790.7"/>
    <x v="2"/>
    <n v="144236.37"/>
    <n v="4223549.4400000004"/>
    <d v="2017-09-20T13:19:16"/>
    <d v="2018-07-20T00:00:00"/>
    <s v="0752191256"/>
    <s v=""/>
    <s v=""/>
    <n v="103355"/>
    <s v="00100004708"/>
    <s v="Real Estate and Rental"/>
    <s v="Real Estate"/>
    <s v="Real Estate"/>
    <n v="3457790.7"/>
    <n v="3457790.7"/>
    <n v="0"/>
    <n v="1"/>
    <n v="1"/>
    <n v="0"/>
  </r>
  <r>
    <s v="UMAR TAMALE"/>
    <x v="3"/>
    <n v="4"/>
    <n v="20650434.34"/>
    <x v="3"/>
    <n v="104558.74"/>
    <n v="27165332.25"/>
    <d v="2017-09-20T15:04:00"/>
    <d v="2019-03-20T00:00:00"/>
    <s v="0784165221"/>
    <s v=""/>
    <s v=""/>
    <n v="103356"/>
    <s v="00100004424"/>
    <s v="Retail"/>
    <s v="General Merchandise Stores"/>
    <s v="Others"/>
    <n v="20650434.34"/>
    <n v="0"/>
    <n v="0"/>
    <n v="1"/>
    <n v="0"/>
    <n v="0"/>
  </r>
  <r>
    <s v="WILLIAM BOSA MUTUNZI"/>
    <x v="0"/>
    <n v="4"/>
    <n v="9334478.2699999996"/>
    <x v="25"/>
    <n v="315771.19"/>
    <n v="11628561.710000001"/>
    <d v="2017-09-20T16:46:41"/>
    <d v="2018-09-20T00:00:00"/>
    <s v="0753856759"/>
    <s v=""/>
    <s v=""/>
    <n v="103357"/>
    <s v="00100004146"/>
    <s v="Retail"/>
    <s v="Electronics Stores"/>
    <s v="Computer &amp; Software"/>
    <n v="9334478.2699999996"/>
    <n v="0"/>
    <n v="0"/>
    <n v="1"/>
    <n v="0"/>
    <n v="0"/>
  </r>
  <r>
    <s v="GRACE MUKASA"/>
    <x v="7"/>
    <n v="3"/>
    <n v="3126866.21"/>
    <x v="33"/>
    <n v="145053.59"/>
    <n v="3710570.28"/>
    <d v="2017-09-21T17:22:37"/>
    <d v="2018-05-21T00:00:00"/>
    <s v="0772859254"/>
    <s v=""/>
    <s v=""/>
    <n v="103358"/>
    <s v="00100004709"/>
    <s v="Retail"/>
    <s v="Food and Beverage Stores"/>
    <s v="Beverage Stores"/>
    <n v="3126866.21"/>
    <n v="0"/>
    <n v="0"/>
    <n v="1"/>
    <n v="0"/>
    <n v="0"/>
  </r>
  <r>
    <s v="BRUCE RUTARO"/>
    <x v="0"/>
    <n v="2"/>
    <n v="2755863.53"/>
    <x v="14"/>
    <n v="127764.97"/>
    <n v="3412228.18"/>
    <d v="2017-09-22T10:09:41"/>
    <d v="2018-07-22T00:00:00"/>
    <s v="0773008072"/>
    <s v="0759130101"/>
    <s v=""/>
    <n v="103359"/>
    <s v="00100004706"/>
    <s v="Retail"/>
    <s v="Building Material and Garden Equipment"/>
    <s v="Hardware Stores"/>
    <n v="2755863.53"/>
    <n v="0"/>
    <n v="0"/>
    <n v="1"/>
    <n v="0"/>
    <n v="0"/>
  </r>
  <r>
    <s v="PASCAL WALUKU"/>
    <x v="0"/>
    <n v="2"/>
    <n v="4200515.22"/>
    <x v="10"/>
    <n v="172506.94"/>
    <n v="5273633.46"/>
    <d v="2017-09-22T13:39:51"/>
    <d v="2018-09-22T00:00:00"/>
    <s v="0752956199"/>
    <s v="0784220376"/>
    <s v=""/>
    <n v="103360"/>
    <s v="00100002722"/>
    <s v="Real Estate and Rental"/>
    <s v="Rental"/>
    <s v="Others"/>
    <n v="4200515.22"/>
    <n v="0"/>
    <n v="0"/>
    <n v="1"/>
    <n v="0"/>
    <n v="0"/>
  </r>
  <r>
    <s v="STELLAH NAMUNAPA"/>
    <x v="6"/>
    <n v="-27"/>
    <n v="9037977.4499999993"/>
    <x v="17"/>
    <n v="11046.42"/>
    <n v="10510273.24"/>
    <d v="2017-09-22T15:38:06"/>
    <d v="2019-03-21T00:00:00"/>
    <s v="0782061214"/>
    <s v=""/>
    <s v=""/>
    <n v="103361"/>
    <s v="00100001687"/>
    <s v="Finance and Insurance"/>
    <s v="Finance"/>
    <s v="Microfinance Institutions"/>
    <n v="0"/>
    <n v="0"/>
    <n v="0"/>
    <n v="0"/>
    <n v="0"/>
    <n v="0"/>
  </r>
  <r>
    <s v="MARGRET NAMAZZI"/>
    <x v="7"/>
    <n v="2"/>
    <n v="1377931.77"/>
    <x v="28"/>
    <n v="57498.559999999998"/>
    <n v="1699730.19"/>
    <d v="2017-09-22T17:27:32"/>
    <d v="2018-07-22T00:00:00"/>
    <s v="0752534266"/>
    <s v=""/>
    <s v=""/>
    <n v="103363"/>
    <s v="00100004605"/>
    <s v="Retail"/>
    <s v="New-Clothing and  Accessories"/>
    <s v="Others"/>
    <n v="1377931.77"/>
    <n v="0"/>
    <n v="0"/>
    <n v="1"/>
    <n v="0"/>
    <n v="0"/>
  </r>
  <r>
    <s v="HARUNA LUYOMBYA"/>
    <x v="0"/>
    <n v="1"/>
    <n v="12685999.300000001"/>
    <x v="34"/>
    <n v="620069.30000000005"/>
    <n v="15347753.27"/>
    <d v="2017-09-23T10:30:26"/>
    <d v="2018-07-23T00:00:00"/>
    <s v="0702853726"/>
    <s v="0772853726"/>
    <s v=""/>
    <n v="103364"/>
    <s v="00100004430"/>
    <s v="Restaurants and Hotels"/>
    <s v="Restaurant"/>
    <s v="Food  service contractors &amp; caterers"/>
    <n v="12685999.300000001"/>
    <n v="0"/>
    <n v="0"/>
    <n v="1"/>
    <n v="0"/>
    <n v="0"/>
  </r>
  <r>
    <s v="GERALD MUKASA"/>
    <x v="0"/>
    <n v="1"/>
    <n v="12044374.609999999"/>
    <x v="23"/>
    <n v="485392.87"/>
    <n v="14661120.689999999"/>
    <d v="2017-09-23T11:05:56"/>
    <d v="2018-09-23T00:00:00"/>
    <s v="0700854300"/>
    <s v=""/>
    <s v=""/>
    <n v="103365"/>
    <s v="00100003006"/>
    <s v="Retail"/>
    <s v="Building Material and Garden Equipment"/>
    <s v="Hardware Stores"/>
    <n v="12044374.609999999"/>
    <n v="0"/>
    <n v="0"/>
    <n v="1"/>
    <n v="0"/>
    <n v="0"/>
  </r>
  <r>
    <s v="FRANCIS KYEYUNE"/>
    <x v="0"/>
    <n v="-1"/>
    <n v="9353338.1099999994"/>
    <x v="34"/>
    <n v="392840.2"/>
    <n v="12063280.74"/>
    <d v="2017-09-25T13:35:06"/>
    <d v="2018-09-25T00:00:00"/>
    <s v="0772933140"/>
    <s v="0701933140"/>
    <s v=""/>
    <n v="103366"/>
    <s v="00100003734"/>
    <s v="Transportation and Warehousing"/>
    <s v=" Passenger Transportation"/>
    <s v="Taxi service"/>
    <n v="0"/>
    <n v="0"/>
    <n v="0"/>
    <n v="0"/>
    <n v="0"/>
    <n v="0"/>
  </r>
  <r>
    <s v="MICHEAL BALWANA KISAKYE"/>
    <x v="0"/>
    <n v="-1"/>
    <n v="5612002.8700000001"/>
    <x v="3"/>
    <n v="235704.12"/>
    <n v="7237968.46"/>
    <d v="2017-09-25T15:38:38"/>
    <d v="2018-09-25T00:00:00"/>
    <s v="0772688500"/>
    <s v="0754688500"/>
    <s v=""/>
    <n v="103367"/>
    <s v="00100004675"/>
    <s v="Real Estate and Rental"/>
    <s v="Real Estate"/>
    <s v="Real Estate"/>
    <n v="0"/>
    <n v="0"/>
    <n v="0"/>
    <n v="0"/>
    <n v="0"/>
    <n v="0"/>
  </r>
  <r>
    <s v="EMMANUEL MUHIRE"/>
    <x v="0"/>
    <n v="-1"/>
    <n v="9334478.2699999996"/>
    <x v="5"/>
    <n v="348487.19"/>
    <n v="11720738.99"/>
    <d v="2017-09-25T15:51:31"/>
    <d v="2018-09-25T00:00:00"/>
    <s v="0772331589"/>
    <s v="0704293545"/>
    <s v=""/>
    <n v="103368"/>
    <s v="00100001526"/>
    <s v="Real Estate and Rental"/>
    <s v="Rental"/>
    <s v="Others"/>
    <n v="0"/>
    <n v="0"/>
    <n v="0"/>
    <n v="0"/>
    <n v="0"/>
    <n v="0"/>
  </r>
  <r>
    <s v="CHARLES NAKIBINGE"/>
    <x v="0"/>
    <n v="22"/>
    <n v="5000000"/>
    <x v="5"/>
    <n v="357876.6"/>
    <n v="6199444.8600000003"/>
    <d v="2017-09-27T12:41:36"/>
    <d v="2018-08-02T00:00:00"/>
    <s v="0772494785"/>
    <s v="0753494785"/>
    <s v=""/>
    <n v="103369"/>
    <s v="00100001357"/>
    <s v="Retail"/>
    <s v="General Merchandise Stores"/>
    <s v="General Stores"/>
    <n v="5000000"/>
    <n v="0"/>
    <n v="0"/>
    <n v="1"/>
    <n v="0"/>
    <n v="0"/>
  </r>
  <r>
    <s v="PENINAH NDAGIRE"/>
    <x v="7"/>
    <n v="-8"/>
    <n v="926532.75"/>
    <x v="33"/>
    <n v="29185.78"/>
    <n v="1147205.26"/>
    <d v="2017-09-26T14:36:12"/>
    <d v="2018-08-02T00:00:00"/>
    <s v="0752900281"/>
    <s v="0728900281"/>
    <s v=""/>
    <n v="103370"/>
    <s v="00100004685"/>
    <s v="Retail"/>
    <s v="General Merchandise Stores"/>
    <s v="General Stores"/>
    <n v="0"/>
    <n v="0"/>
    <n v="0"/>
    <n v="0"/>
    <n v="0"/>
    <n v="0"/>
  </r>
  <r>
    <s v="LYDIA NAMUJJU"/>
    <x v="7"/>
    <n v="-8"/>
    <n v="4703140.9800000004"/>
    <x v="14"/>
    <n v="131687.95000000001"/>
    <n v="5905449.2800000003"/>
    <d v="2017-09-26T16:00:21"/>
    <d v="2018-10-02T00:00:00"/>
    <s v="0781692121"/>
    <s v=""/>
    <s v=""/>
    <n v="103371"/>
    <s v="00100004393"/>
    <s v="Real Estate and Rental"/>
    <s v="Rental"/>
    <s v="Machinery &amp; Equipment"/>
    <n v="0"/>
    <n v="0"/>
    <n v="0"/>
    <n v="0"/>
    <n v="0"/>
    <n v="0"/>
  </r>
  <r>
    <s v="HINDU NANGONZI KAZIBWE"/>
    <x v="7"/>
    <n v="-8"/>
    <n v="3700856.61"/>
    <x v="28"/>
    <n v="116576.98"/>
    <n v="4582290.4800000004"/>
    <d v="2017-09-27T16:50:47"/>
    <d v="2018-08-02T00:00:00"/>
    <s v="0753792636"/>
    <s v=""/>
    <s v=""/>
    <n v="103372"/>
    <s v="00100004701"/>
    <s v="Retail"/>
    <s v="General Merchandise Stores"/>
    <s v="General Stores"/>
    <n v="0"/>
    <n v="0"/>
    <n v="0"/>
    <n v="0"/>
    <n v="0"/>
    <n v="0"/>
  </r>
  <r>
    <s v="MILLY NAKAWOOYA NKALUBO"/>
    <x v="7"/>
    <n v="-8"/>
    <n v="3700856.61"/>
    <x v="30"/>
    <n v="116576.98"/>
    <n v="4582290.4800000004"/>
    <d v="2017-09-27T17:07:05"/>
    <d v="2018-08-02T00:00:00"/>
    <s v="0778336002"/>
    <s v="0701433753"/>
    <s v=""/>
    <n v="103373"/>
    <s v="00100004721"/>
    <s v="Retail"/>
    <s v="Health and Personal Care Stores"/>
    <s v="Cosmetics, Beauty Supplies, &amp; Perfume Stores"/>
    <n v="0"/>
    <n v="0"/>
    <n v="0"/>
    <n v="0"/>
    <n v="0"/>
    <n v="0"/>
  </r>
  <r>
    <s v="HALIMA NAMUGENYI"/>
    <x v="7"/>
    <n v="22"/>
    <n v="3500000"/>
    <x v="3"/>
    <n v="246243.1"/>
    <n v="4493770.38"/>
    <d v="2017-09-28T16:25:28"/>
    <d v="2018-10-02T00:00:00"/>
    <s v="0782590609"/>
    <s v="0753130058"/>
    <s v=""/>
    <n v="103374"/>
    <s v="00100004249"/>
    <s v="Real Estate and Rental"/>
    <s v="Rental"/>
    <s v="General Rental Centers"/>
    <n v="3500000"/>
    <n v="0"/>
    <n v="0"/>
    <n v="1"/>
    <n v="0"/>
    <n v="0"/>
  </r>
  <r>
    <s v="CLEO BOGERE"/>
    <x v="1"/>
    <n v="-8"/>
    <n v="23328694.260000002"/>
    <x v="19"/>
    <n v="489902.58"/>
    <n v="27734363.109999999"/>
    <d v="2017-09-28T17:23:36"/>
    <d v="2018-10-02T00:00:00"/>
    <s v="0772634508"/>
    <s v="0752888441"/>
    <s v=""/>
    <n v="103375"/>
    <s v="00100000031"/>
    <s v="Transportation and Warehousing"/>
    <s v="Warehousing and Storage"/>
    <s v="Warehousing and Storage"/>
    <n v="0"/>
    <n v="0"/>
    <n v="0"/>
    <n v="0"/>
    <n v="0"/>
    <n v="0"/>
  </r>
  <r>
    <s v="BADRU LUBEGA"/>
    <x v="0"/>
    <n v="-8"/>
    <n v="2771686.67"/>
    <x v="28"/>
    <n v="87308.13"/>
    <n v="3431819.92"/>
    <d v="2017-09-28T17:08:51"/>
    <d v="2018-08-02T00:00:00"/>
    <s v="0782007426"/>
    <s v="0704613062"/>
    <s v=""/>
    <n v="103376"/>
    <s v="00100004623"/>
    <s v="Retail"/>
    <s v="General Merchandise Stores"/>
    <s v="General Stores"/>
    <n v="0"/>
    <n v="0"/>
    <n v="0"/>
    <n v="0"/>
    <n v="0"/>
    <n v="0"/>
  </r>
  <r>
    <s v="JALIA MEEME"/>
    <x v="7"/>
    <n v="-8"/>
    <n v="4703520.75"/>
    <x v="4"/>
    <n v="148160.9"/>
    <n v="6066271.8300000001"/>
    <d v="2017-09-28T16:34:29"/>
    <d v="2018-10-02T00:00:00"/>
    <s v="0700194885"/>
    <s v="0772482822"/>
    <s v=""/>
    <n v="103377"/>
    <s v="00100004726"/>
    <s v="Retail"/>
    <s v="General Merchandise Stores"/>
    <s v="General Stores"/>
    <n v="0"/>
    <n v="0"/>
    <n v="0"/>
    <n v="0"/>
    <n v="0"/>
    <n v="0"/>
  </r>
  <r>
    <s v="JOHN SENGABI"/>
    <x v="0"/>
    <n v="-8"/>
    <n v="2822112.45"/>
    <x v="14"/>
    <n v="88896.54"/>
    <n v="3639763.08"/>
    <d v="2017-09-28T17:37:13"/>
    <d v="2018-10-02T00:00:00"/>
    <s v="0753848619"/>
    <s v=""/>
    <s v=""/>
    <n v="103378"/>
    <s v="00100001452"/>
    <s v="Real Estate and Rental"/>
    <s v="Rental"/>
    <s v="General Rental Centers"/>
    <n v="0"/>
    <n v="0"/>
    <n v="0"/>
    <n v="0"/>
    <n v="0"/>
    <n v="0"/>
  </r>
  <r>
    <s v="PAUL WAMALA"/>
    <x v="0"/>
    <n v="-8"/>
    <n v="13132265.720000001"/>
    <x v="31"/>
    <n v="413666.37"/>
    <n v="16937077.02"/>
    <d v="2017-09-30T12:02:41"/>
    <d v="2018-10-02T00:00:00"/>
    <s v="0752690278"/>
    <s v="0776690278"/>
    <s v=""/>
    <n v="103379"/>
    <s v="00100004648"/>
    <s v="Retail"/>
    <s v="General Merchandise Stores"/>
    <s v="General Stores"/>
    <n v="0"/>
    <n v="0"/>
    <n v="0"/>
    <n v="0"/>
    <n v="0"/>
    <n v="0"/>
  </r>
  <r>
    <s v="HENRY SSENTAMU"/>
    <x v="0"/>
    <n v="-12"/>
    <n v="9418249.2300000004"/>
    <x v="12"/>
    <n v="213480.32000000001"/>
    <n v="11825925.119999999"/>
    <d v="2017-09-29T14:29:27"/>
    <d v="2018-10-06T00:00:00"/>
    <s v="0704791117"/>
    <s v="0752848125"/>
    <s v="073008783"/>
    <n v="103380"/>
    <s v="00100001504"/>
    <s v="Retail"/>
    <s v="General Merchandise Stores"/>
    <s v="General Stores"/>
    <n v="0"/>
    <n v="0"/>
    <n v="0"/>
    <n v="0"/>
    <n v="0"/>
    <n v="0"/>
  </r>
  <r>
    <s v="ASHRAF SSEMANDA"/>
    <x v="0"/>
    <n v="-8"/>
    <n v="7380615.71"/>
    <x v="26"/>
    <n v="232489.39"/>
    <n v="9138458.6799999997"/>
    <d v="2017-09-29T16:04:00"/>
    <d v="2018-08-02T00:00:00"/>
    <s v="0701673720"/>
    <s v=""/>
    <s v=""/>
    <n v="103381"/>
    <s v="00100004646"/>
    <s v="Retail"/>
    <s v="Second Hand -Clothing and  Accessories"/>
    <s v="Luggage &amp; Leather Goods Stores"/>
    <n v="0"/>
    <n v="0"/>
    <n v="0"/>
    <n v="0"/>
    <n v="0"/>
    <n v="0"/>
  </r>
  <r>
    <s v="CHARLES LWANGA"/>
    <x v="3"/>
    <n v="-8"/>
    <n v="17323681.93"/>
    <x v="5"/>
    <n v="424430.21"/>
    <n v="23278407.260000002"/>
    <d v="2017-09-29T14:34:38"/>
    <d v="2019-04-02T00:00:00"/>
    <s v="0772425948"/>
    <s v="0702425948"/>
    <s v=""/>
    <n v="103382"/>
    <s v="00100001208"/>
    <s v="Retail"/>
    <s v="General Merchandise Stores"/>
    <s v="General Stores"/>
    <n v="0"/>
    <n v="0"/>
    <n v="0"/>
    <n v="0"/>
    <n v="0"/>
    <n v="0"/>
  </r>
  <r>
    <s v="PROSSY KIGUNDU"/>
    <x v="7"/>
    <n v="-8"/>
    <n v="3757446.26"/>
    <x v="33"/>
    <n v="118359.56"/>
    <n v="4846091.1500000004"/>
    <d v="2017-09-29T16:14:13"/>
    <d v="2018-10-02T00:00:00"/>
    <s v="0752653960"/>
    <s v="0702653960"/>
    <s v=""/>
    <n v="103383"/>
    <s v="00100001506"/>
    <s v="Retail"/>
    <s v="New-Clothing and  Accessories"/>
    <s v="Jewelry Stores"/>
    <n v="0"/>
    <n v="0"/>
    <n v="0"/>
    <n v="0"/>
    <n v="0"/>
    <n v="0"/>
  </r>
  <r>
    <s v="EDWARD MULIIKA"/>
    <x v="3"/>
    <n v="-8"/>
    <n v="23396032.09"/>
    <x v="3"/>
    <n v="655088.9"/>
    <n v="29376980.449999999"/>
    <d v="2017-09-30T13:01:05"/>
    <d v="2018-10-02T00:00:00"/>
    <s v="0772440427"/>
    <s v="0754743105"/>
    <s v=""/>
    <n v="103384"/>
    <s v="00100004736"/>
    <s v="Transportation and Warehousing"/>
    <s v=" Passenger Transportation"/>
    <s v="Bus transportation"/>
    <n v="0"/>
    <n v="0"/>
    <n v="0"/>
    <n v="0"/>
    <n v="0"/>
    <n v="0"/>
  </r>
  <r>
    <s v="STELLA ALICE KIRUNGI"/>
    <x v="7"/>
    <n v="-8"/>
    <n v="4103637.2"/>
    <x v="3"/>
    <n v="129264.57"/>
    <n v="4575451.2"/>
    <d v="2017-09-29T19:03:38"/>
    <d v="2018-03-02T00:00:00"/>
    <s v="0775692424"/>
    <s v="0701283212"/>
    <s v=""/>
    <n v="103385"/>
    <s v="00100004705"/>
    <s v="Retail"/>
    <s v="General Merchandise Stores"/>
    <s v="General Stores"/>
    <n v="0"/>
    <n v="0"/>
    <n v="0"/>
    <n v="0"/>
    <n v="0"/>
    <n v="0"/>
  </r>
  <r>
    <s v="ANDREW WASSWA NSUBUGA"/>
    <x v="0"/>
    <n v="-8"/>
    <n v="4612884.82"/>
    <x v="33"/>
    <n v="145305.87"/>
    <n v="5711536.6799999997"/>
    <d v="2017-09-29T18:13:44"/>
    <d v="2018-08-02T00:00:00"/>
    <s v="0703931089"/>
    <s v="0779906022"/>
    <s v=""/>
    <n v="103386"/>
    <s v="00100004734"/>
    <s v="Wholesale Trade"/>
    <s v="Durable Goods"/>
    <s v="Professional &amp; Commercial Equipment"/>
    <n v="0"/>
    <n v="0"/>
    <n v="0"/>
    <n v="0"/>
    <n v="0"/>
    <n v="0"/>
  </r>
  <r>
    <s v="HASSAN SSEKABIRA"/>
    <x v="3"/>
    <n v="-8"/>
    <n v="22488912.27"/>
    <x v="28"/>
    <n v="629689.54"/>
    <n v="28237965.030000001"/>
    <d v="2017-09-29T17:17:23"/>
    <d v="2018-10-02T00:00:00"/>
    <s v="0754955754"/>
    <s v=""/>
    <s v=""/>
    <n v="103387"/>
    <s v="00100004711"/>
    <s v="Real Estate and Rental"/>
    <s v="Rental"/>
    <s v="General Rental Centers"/>
    <n v="0"/>
    <n v="0"/>
    <n v="0"/>
    <n v="0"/>
    <n v="0"/>
    <n v="0"/>
  </r>
  <r>
    <s v="KASIM MUTEBI KULABAKO"/>
    <x v="0"/>
    <n v="-8"/>
    <n v="3690307.85"/>
    <x v="3"/>
    <n v="116244.7"/>
    <n v="4569229.3099999996"/>
    <d v="2017-09-29T19:54:47"/>
    <d v="2018-08-02T00:00:00"/>
    <s v="0782915304"/>
    <s v="0757416998"/>
    <s v=""/>
    <n v="103388"/>
    <s v="00100004718"/>
    <s v="Retail"/>
    <s v="General Merchandise Stores"/>
    <s v="General Stores"/>
    <n v="0"/>
    <n v="0"/>
    <n v="0"/>
    <n v="0"/>
    <n v="0"/>
    <n v="0"/>
  </r>
  <r>
    <s v="TOM EDDIE MUGOYA ISABIRYE"/>
    <x v="0"/>
    <n v="-8"/>
    <n v="6744295.54"/>
    <x v="15"/>
    <n v="188840.28"/>
    <n v="9424309.0999999996"/>
    <d v="2017-09-30T12:13:57"/>
    <d v="2019-04-02T00:00:00"/>
    <s v="07823192011"/>
    <s v=""/>
    <s v=""/>
    <n v="103389"/>
    <s v="00100003186"/>
    <s v="Retail"/>
    <s v="General Merchandise Stores"/>
    <s v="General Stores"/>
    <n v="0"/>
    <n v="0"/>
    <n v="0"/>
    <n v="0"/>
    <n v="0"/>
    <n v="0"/>
  </r>
  <r>
    <s v="BEN KIWANUKA MATOVU"/>
    <x v="1"/>
    <n v="-8"/>
    <n v="5588057.0599999996"/>
    <x v="11"/>
    <n v="117349.2"/>
    <n v="6643372.4100000001"/>
    <d v="2017-09-30T12:53:28"/>
    <d v="2018-10-02T00:00:00"/>
    <s v="0700831537"/>
    <s v=""/>
    <s v="0783183518"/>
    <n v="103390"/>
    <s v="00100003546"/>
    <s v="Retail"/>
    <s v="Second Hand -Clothing and  Accessories"/>
    <s v="Luggage &amp; Leather Goods Stores"/>
    <n v="0"/>
    <n v="0"/>
    <n v="0"/>
    <n v="0"/>
    <n v="0"/>
    <n v="0"/>
  </r>
  <r>
    <s v="REGINA NAKIBAKKE"/>
    <x v="7"/>
    <n v="-8"/>
    <n v="3283066.43"/>
    <x v="30"/>
    <n v="103416.59"/>
    <n v="4234269.2699999996"/>
    <d v="2017-09-30T13:57:32"/>
    <d v="2018-10-02T00:00:00"/>
    <s v="0782817783"/>
    <s v="0702190479"/>
    <s v=""/>
    <n v="103391"/>
    <s v="00100004730"/>
    <s v="Retail"/>
    <s v="General Merchandise Stores"/>
    <s v="General Stores"/>
    <n v="0"/>
    <n v="0"/>
    <n v="0"/>
    <n v="0"/>
    <n v="0"/>
    <n v="0"/>
  </r>
  <r>
    <s v="GORRETH MILLY NAMIREMBE"/>
    <x v="8"/>
    <n v="-8"/>
    <n v="5366963.54"/>
    <x v="30"/>
    <n v="156536.44"/>
    <n v="6297921.8700000001"/>
    <d v="2017-09-30T14:54:49"/>
    <d v="2018-06-02T00:00:00"/>
    <s v="0786202510"/>
    <s v=""/>
    <s v=""/>
    <n v="103392"/>
    <s v="00100004732"/>
    <s v="Retail"/>
    <s v="General Merchandise Stores"/>
    <s v="General Stores"/>
    <n v="0"/>
    <n v="0"/>
    <n v="0"/>
    <n v="0"/>
    <n v="0"/>
    <n v="0"/>
  </r>
  <r>
    <s v="MEGA KYOMUHANGI"/>
    <x v="7"/>
    <n v="-8"/>
    <n v="1658265.06"/>
    <x v="29"/>
    <n v="52235.35"/>
    <n v="2053214.43"/>
    <d v="2017-09-30T17:23:07"/>
    <d v="2018-08-02T00:00:00"/>
    <s v="0755029302"/>
    <s v=""/>
    <s v=""/>
    <n v="103393"/>
    <s v="00100004715"/>
    <s v="Retail"/>
    <s v="General Merchandise Stores"/>
    <s v="General Stores"/>
    <n v="0"/>
    <n v="0"/>
    <n v="0"/>
    <n v="0"/>
    <n v="0"/>
    <n v="0"/>
  </r>
  <r>
    <s v="ANNET NANVULE"/>
    <x v="8"/>
    <n v="22"/>
    <n v="6594714.0300000003"/>
    <x v="12"/>
    <n v="167873.91"/>
    <n v="8119766.5800000001"/>
    <d v="2017-09-30T17:16:47"/>
    <d v="2018-10-02T00:00:00"/>
    <s v="0772662946"/>
    <s v=""/>
    <s v=""/>
    <n v="103394"/>
    <s v="00100001329"/>
    <s v="Educational Services"/>
    <s v="Educational Services"/>
    <s v="Colleges"/>
    <n v="6594714.0300000003"/>
    <n v="0"/>
    <n v="0"/>
    <n v="1"/>
    <n v="0"/>
    <n v="0"/>
  </r>
  <r>
    <s v="JOYCE NAMUKASA"/>
    <x v="8"/>
    <n v="-8"/>
    <n v="7358375.4699999997"/>
    <x v="34"/>
    <n v="214619.28"/>
    <n v="8974620.8300000001"/>
    <d v="2017-09-30T18:41:44"/>
    <d v="2018-08-02T00:00:00"/>
    <s v="0772413726"/>
    <s v=""/>
    <s v=""/>
    <n v="103395"/>
    <s v="00100004745"/>
    <s v="Retail"/>
    <s v="Building Material and Garden Equipment"/>
    <s v="Hardware Stores"/>
    <n v="0"/>
    <n v="0"/>
    <n v="0"/>
    <n v="0"/>
    <n v="0"/>
    <n v="0"/>
  </r>
  <r>
    <s v="HASIFA ZZIWA NAMATOVU"/>
    <x v="7"/>
    <n v="-8"/>
    <n v="3215174.12"/>
    <x v="32"/>
    <n v="101277.98"/>
    <n v="3980932.86"/>
    <d v="2017-10-02T16:51:05"/>
    <d v="2018-08-02T00:00:00"/>
    <s v="0752954897"/>
    <s v=""/>
    <s v=""/>
    <n v="103396"/>
    <s v="00100004722"/>
    <s v="Retail"/>
    <s v="General Merchandise Stores"/>
    <s v="General Stores"/>
    <n v="0"/>
    <n v="0"/>
    <n v="0"/>
    <n v="0"/>
    <n v="0"/>
    <n v="0"/>
  </r>
  <r>
    <s v="SUSAN TENDO NASSOLO &amp;SAMUEL WASSWA MUTESASIRA"/>
    <x v="1"/>
    <n v="-10"/>
    <n v="23688354.879999999"/>
    <x v="2"/>
    <n v="500087.49"/>
    <n v="30029698.27"/>
    <d v="2017-10-04T18:05:19"/>
    <d v="2019-01-04T00:00:00"/>
    <s v="0712643314"/>
    <s v="0702643314"/>
    <s v=""/>
    <n v="103397"/>
    <s v="00100004714"/>
    <s v="Real Estate and Rental"/>
    <s v="Real Estate"/>
    <s v="Real Estate"/>
    <n v="0"/>
    <n v="0"/>
    <n v="0"/>
    <n v="0"/>
    <n v="0"/>
    <n v="0"/>
  </r>
  <r>
    <s v="IBRAHIM SSEBUTINDE"/>
    <x v="0"/>
    <n v="-12"/>
    <n v="8401030.4499999993"/>
    <x v="9"/>
    <n v="190423.36"/>
    <n v="10548665.109999999"/>
    <d v="2017-10-06T14:06:40"/>
    <d v="2018-10-06T00:00:00"/>
    <s v="0758363024"/>
    <s v=""/>
    <s v=""/>
    <n v="103398"/>
    <s v="00100000388"/>
    <s v="Retail"/>
    <s v="General Merchandise Stores"/>
    <s v="General Stores"/>
    <n v="0"/>
    <n v="0"/>
    <n v="0"/>
    <n v="0"/>
    <n v="0"/>
    <n v="0"/>
  </r>
  <r>
    <s v="LYDIA NAMAWEJJE"/>
    <x v="8"/>
    <n v="-12"/>
    <n v="5604489.29"/>
    <x v="6"/>
    <n v="132328.22"/>
    <n v="7100617.8300000001"/>
    <d v="2017-10-06T14:07:05"/>
    <d v="2018-10-06T00:00:00"/>
    <s v="0776737934"/>
    <s v=""/>
    <s v=""/>
    <n v="103399"/>
    <s v="00100004729"/>
    <s v="Retail"/>
    <s v="New-Clothing and  Accessories"/>
    <s v="Luggage &amp; Leather Goods Stores"/>
    <n v="0"/>
    <n v="0"/>
    <n v="0"/>
    <n v="0"/>
    <n v="0"/>
    <n v="0"/>
  </r>
  <r>
    <s v="TOM KAVUMA"/>
    <x v="0"/>
    <n v="-16"/>
    <n v="5360342.08"/>
    <x v="33"/>
    <n v="104526.67"/>
    <n v="6367605.4299999997"/>
    <d v="2017-10-10T17:35:11"/>
    <d v="2018-06-10T00:00:00"/>
    <s v="0701433573"/>
    <s v=""/>
    <s v=""/>
    <n v="103400"/>
    <s v="00100004742"/>
    <s v="Retail"/>
    <s v="General Merchandise Stores"/>
    <s v="General Stores"/>
    <n v="0"/>
    <n v="0"/>
    <n v="0"/>
    <n v="0"/>
    <n v="0"/>
    <n v="0"/>
  </r>
  <r>
    <s v="FRANK SSEGABWE"/>
    <x v="3"/>
    <n v="-12"/>
    <n v="23336195.68"/>
    <x v="15"/>
    <n v="528953.77"/>
    <n v="29301847.48"/>
    <d v="2017-10-06T17:26:48"/>
    <d v="2018-10-06T00:00:00"/>
    <s v="0772411601"/>
    <s v="0755338970"/>
    <s v=""/>
    <n v="103401"/>
    <s v="00100004654"/>
    <s v="Real Estate and Rental"/>
    <s v="Rental"/>
    <s v="Others"/>
    <n v="0"/>
    <n v="0"/>
    <n v="0"/>
    <n v="0"/>
    <n v="0"/>
    <n v="0"/>
  </r>
  <r>
    <s v="FRANCIS MUYINGO"/>
    <x v="0"/>
    <n v="-16"/>
    <n v="4200515.22"/>
    <x v="3"/>
    <n v="72808.929999999993"/>
    <n v="5274332.53"/>
    <d v="2017-10-10T14:45:55"/>
    <d v="2018-10-10T00:00:00"/>
    <s v="0776830137"/>
    <s v=""/>
    <s v="0753347113"/>
    <n v="103403"/>
    <s v="00100003650"/>
    <s v="Retail"/>
    <s v="General Merchandise Stores"/>
    <s v="General Stores"/>
    <n v="0"/>
    <n v="0"/>
    <n v="0"/>
    <n v="0"/>
    <n v="0"/>
    <n v="0"/>
  </r>
  <r>
    <s v="CATHERINE NABAYIWA"/>
    <x v="8"/>
    <n v="14"/>
    <n v="6000000"/>
    <x v="4"/>
    <n v="96175.02"/>
    <n v="7064122.3499999996"/>
    <d v="2017-10-10T17:22:08"/>
    <d v="2018-08-10T00:00:00"/>
    <s v="0773121308"/>
    <s v=""/>
    <s v=""/>
    <n v="103404"/>
    <s v="00100001175"/>
    <s v="Transportation and Warehousing"/>
    <s v=" Passenger Transportation"/>
    <s v="Taxi service"/>
    <n v="6000000"/>
    <n v="0"/>
    <n v="0"/>
    <n v="1"/>
    <n v="0"/>
    <n v="0"/>
  </r>
  <r>
    <s v="MARGRET BUKIRWA"/>
    <x v="7"/>
    <n v="13"/>
    <n v="3992273.24"/>
    <x v="3"/>
    <n v="67344.03"/>
    <n v="5076250.3"/>
    <d v="2017-10-11T13:13:25"/>
    <d v="2018-10-11T00:00:00"/>
    <s v="0775312703"/>
    <s v=""/>
    <s v=""/>
    <n v="103405"/>
    <s v="00100004358"/>
    <s v="Retail"/>
    <s v="General Merchandise Stores"/>
    <s v="General Stores"/>
    <n v="3992273.24"/>
    <n v="0"/>
    <n v="0"/>
    <n v="1"/>
    <n v="0"/>
    <n v="0"/>
  </r>
  <r>
    <s v="HADAADI SSEBUUMA"/>
    <x v="0"/>
    <n v="-17"/>
    <n v="11023454.140000001"/>
    <x v="4"/>
    <n v="198422.17"/>
    <n v="13648912.76"/>
    <d v="2017-10-11T15:36:13"/>
    <d v="2018-08-11T00:00:00"/>
    <s v="0777872987"/>
    <s v="0701954358"/>
    <s v=""/>
    <n v="103406"/>
    <s v="00100004727"/>
    <s v="Retail"/>
    <s v="Second Hand -Clothing and  Accessories"/>
    <s v="Clothing Stores"/>
    <n v="0"/>
    <n v="0"/>
    <n v="0"/>
    <n v="0"/>
    <n v="0"/>
    <n v="0"/>
  </r>
  <r>
    <s v="NOAH MUSISI"/>
    <x v="0"/>
    <n v="-17"/>
    <n v="1837242.36"/>
    <x v="28"/>
    <n v="33070.36"/>
    <n v="2274818.81"/>
    <d v="2017-10-11T16:43:17"/>
    <d v="2018-08-11T00:00:00"/>
    <s v="0782222908"/>
    <s v=""/>
    <s v=""/>
    <n v="103407"/>
    <s v="00100004743"/>
    <s v="Retail"/>
    <s v="General Merchandise Stores"/>
    <s v="General Stores"/>
    <n v="0"/>
    <n v="0"/>
    <n v="0"/>
    <n v="0"/>
    <n v="0"/>
    <n v="0"/>
  </r>
  <r>
    <s v="CISSY MUTEBI NALUMANSI"/>
    <x v="0"/>
    <n v="-18"/>
    <n v="4676669.0599999996"/>
    <x v="28"/>
    <n v="77165.039999999994"/>
    <n v="6031640.3799999999"/>
    <d v="2017-10-12T12:54:37"/>
    <d v="2018-10-12T00:00:00"/>
    <s v="0772253863"/>
    <s v=""/>
    <s v=""/>
    <n v="103409"/>
    <s v="00100004760"/>
    <s v="Retail"/>
    <s v="Second Hand -Clothing and  Accessories"/>
    <s v="Clothing Stores"/>
    <n v="0"/>
    <n v="0"/>
    <n v="0"/>
    <n v="0"/>
    <n v="0"/>
    <n v="0"/>
  </r>
  <r>
    <s v="ESAU MUSOGA"/>
    <x v="0"/>
    <n v="-18"/>
    <n v="5360342.08"/>
    <x v="3"/>
    <n v="88445.64"/>
    <n v="6367605.4299999997"/>
    <d v="2017-10-12T15:40:14"/>
    <d v="2018-06-12T00:00:00"/>
    <s v="0772682233"/>
    <s v="0758682233"/>
    <s v=""/>
    <n v="103410"/>
    <s v="00100004751"/>
    <s v="Retail"/>
    <s v="General Merchandise Stores"/>
    <s v="General Stores"/>
    <n v="0"/>
    <n v="0"/>
    <n v="0"/>
    <n v="0"/>
    <n v="0"/>
    <n v="0"/>
  </r>
  <r>
    <s v="ISMAIL MIIRO"/>
    <x v="0"/>
    <n v="-19"/>
    <n v="6430348.25"/>
    <x v="34"/>
    <n v="96455.22"/>
    <n v="7961865.7800000003"/>
    <d v="2017-10-13T17:00:35"/>
    <d v="2018-08-13T00:00:00"/>
    <s v="0705467611"/>
    <s v=""/>
    <s v=""/>
    <n v="103411"/>
    <s v="00100004757"/>
    <s v="Retail"/>
    <s v="General Merchandise Stores"/>
    <s v="General Stores"/>
    <n v="0"/>
    <n v="0"/>
    <n v="0"/>
    <n v="0"/>
    <n v="0"/>
    <n v="0"/>
  </r>
  <r>
    <s v="MARGRET TUGUME"/>
    <x v="9"/>
    <n v="-19"/>
    <n v="11201373.93"/>
    <x v="23"/>
    <n v="149351.65"/>
    <n v="14064886.789999999"/>
    <d v="2017-10-13T16:50:30"/>
    <d v="2018-10-13T00:00:00"/>
    <s v="0772031021"/>
    <s v="0704192138"/>
    <s v=""/>
    <n v="103412"/>
    <s v="00100004733"/>
    <s v="Retail"/>
    <s v="General Merchandise Stores"/>
    <s v="General Stores"/>
    <n v="0"/>
    <n v="0"/>
    <n v="0"/>
    <n v="0"/>
    <n v="0"/>
    <n v="0"/>
  </r>
  <r>
    <s v="EDRISA SSEMATIMBA"/>
    <x v="0"/>
    <n v="-20"/>
    <n v="2680171.04"/>
    <x v="33"/>
    <n v="36182.31"/>
    <n v="3183802.74"/>
    <d v="2017-10-14T12:35:38"/>
    <d v="2018-06-14T00:00:00"/>
    <s v="077944715"/>
    <s v="0756442885"/>
    <s v=""/>
    <n v="103413"/>
    <s v="00100004744"/>
    <s v="Retail"/>
    <s v="General Merchandise Stores"/>
    <s v="General Stores"/>
    <n v="0"/>
    <n v="0"/>
    <n v="0"/>
    <n v="0"/>
    <n v="0"/>
    <n v="0"/>
  </r>
  <r>
    <s v="ROBERT KASULE"/>
    <x v="0"/>
    <n v="-23"/>
    <n v="14250883.49"/>
    <x v="12"/>
    <n v="114007.07"/>
    <n v="18887631.050000001"/>
    <d v="2017-10-17T16:11:05"/>
    <d v="2019-01-17T00:00:00"/>
    <s v="0782531350"/>
    <s v=""/>
    <s v=""/>
    <n v="103414"/>
    <s v="00100000294"/>
    <s v="Retail"/>
    <s v="General Merchandise Stores"/>
    <s v="General Stores"/>
    <n v="0"/>
    <n v="0"/>
    <n v="0"/>
    <n v="0"/>
    <n v="0"/>
    <n v="0"/>
  </r>
  <r>
    <s v="GRACE AGABA"/>
    <x v="8"/>
    <n v="-22"/>
    <n v="8389485.9000000004"/>
    <x v="13"/>
    <n v="71776.710000000006"/>
    <n v="10345655.109999999"/>
    <d v="2017-10-16T16:10:43"/>
    <d v="2018-10-16T00:00:00"/>
    <s v="0772515736"/>
    <s v=""/>
    <s v=""/>
    <n v="103416"/>
    <s v="00100002517"/>
    <s v="Retail"/>
    <s v="General Merchandise Stores"/>
    <s v="General Stores"/>
    <n v="0"/>
    <n v="0"/>
    <n v="0"/>
    <n v="0"/>
    <n v="0"/>
    <n v="0"/>
  </r>
  <r>
    <s v="HADIJJAH NALWEYISO"/>
    <x v="0"/>
    <n v="8"/>
    <n v="6932269.5499999998"/>
    <x v="26"/>
    <n v="67518.66"/>
    <n v="8463787.0800000001"/>
    <d v="2017-10-16T16:23:30"/>
    <d v="2018-08-16T00:00:00"/>
    <s v="0752171365"/>
    <s v=""/>
    <s v=""/>
    <n v="103417"/>
    <s v="00100004763"/>
    <s v="Retail"/>
    <s v="Second Hand -Clothing and  Accessories"/>
    <s v="Clothing Stores"/>
    <n v="6932269.5499999998"/>
    <n v="0"/>
    <n v="0"/>
    <n v="1"/>
    <n v="0"/>
    <n v="0"/>
  </r>
  <r>
    <s v="HENRY NDEGE"/>
    <x v="0"/>
    <n v="-22"/>
    <n v="6534134.79"/>
    <x v="2"/>
    <n v="60985.26"/>
    <n v="8204517.2999999998"/>
    <d v="2017-10-16T17:23:51"/>
    <d v="2018-10-16T00:00:00"/>
    <s v="0772424350"/>
    <s v="0751136097"/>
    <s v=""/>
    <n v="103418"/>
    <s v="00100004386"/>
    <s v="Retail"/>
    <s v="General Merchandise Stores"/>
    <s v="General Stores"/>
    <n v="0"/>
    <n v="0"/>
    <n v="0"/>
    <n v="0"/>
    <n v="0"/>
    <n v="0"/>
  </r>
  <r>
    <s v="NORAH NSUBUGA"/>
    <x v="1"/>
    <n v="-23"/>
    <n v="25881125.25"/>
    <x v="3"/>
    <n v="172540.84"/>
    <n v="34320870.619999997"/>
    <d v="2017-10-17T14:10:08"/>
    <d v="2019-04-17T00:00:00"/>
    <s v="0776744562"/>
    <s v="0751906491"/>
    <s v=""/>
    <n v="103419"/>
    <s v="00100004748"/>
    <s v="Real Estate and Rental"/>
    <s v="Rental"/>
    <s v="General Rental Centers"/>
    <n v="0"/>
    <n v="0"/>
    <n v="0"/>
    <n v="0"/>
    <n v="0"/>
    <n v="0"/>
  </r>
  <r>
    <s v="GERTRUDE NAGADYA"/>
    <x v="1"/>
    <n v="-23"/>
    <n v="18950683.91"/>
    <x v="9"/>
    <n v="126337.89"/>
    <n v="24023758.609999999"/>
    <d v="2017-10-17T13:13:14"/>
    <d v="2019-01-17T00:00:00"/>
    <s v="0702080436"/>
    <s v=""/>
    <s v=""/>
    <n v="103420"/>
    <s v="00100004677"/>
    <s v="Retail"/>
    <s v="General Merchandise Stores"/>
    <s v="General Stores"/>
    <n v="0"/>
    <n v="0"/>
    <n v="0"/>
    <n v="0"/>
    <n v="0"/>
    <n v="0"/>
  </r>
  <r>
    <s v="JULIET MUGISHA"/>
    <x v="9"/>
    <n v="-8"/>
    <n v="13000000"/>
    <x v="1"/>
    <n v="450666.67"/>
    <n v="1613056.52"/>
    <d v="2017-10-27T15:30:06"/>
    <d v="2018-09-02T00:00:00"/>
    <s v="0702223471"/>
    <s v=""/>
    <s v=""/>
    <n v="103421"/>
    <s v="00100003718"/>
    <s v="Retail"/>
    <s v="Building Material and Garden Equipment"/>
    <s v="Hardware Stores"/>
    <n v="0"/>
    <n v="0"/>
    <n v="0"/>
    <n v="0"/>
    <n v="0"/>
    <n v="0"/>
  </r>
  <r>
    <s v="SAIDI KAYONDO"/>
    <x v="0"/>
    <n v="-24"/>
    <n v="2806001.43"/>
    <x v="26"/>
    <n v="21045.01"/>
    <n v="3618984.2"/>
    <d v="2017-10-18T17:25:17"/>
    <d v="2018-10-18T00:00:00"/>
    <s v="0756640294"/>
    <s v="0777514145"/>
    <s v=""/>
    <n v="103422"/>
    <s v="00100004756"/>
    <s v="Retail"/>
    <s v="General Merchandise Stores"/>
    <s v="General Stores"/>
    <n v="0"/>
    <n v="0"/>
    <n v="0"/>
    <n v="0"/>
    <n v="0"/>
    <n v="0"/>
  </r>
  <r>
    <s v="LIVINGSTONE BAKOJJA"/>
    <x v="0"/>
    <n v="-25"/>
    <n v="4667239.1399999997"/>
    <x v="2"/>
    <n v="24891.94"/>
    <n v="5860369.5199999996"/>
    <d v="2017-10-19T12:52:35"/>
    <d v="2018-10-19T00:00:00"/>
    <s v="0773294641"/>
    <s v=""/>
    <s v=""/>
    <n v="103423"/>
    <s v="00100004489"/>
    <s v="Retail"/>
    <s v="General Merchandise Stores"/>
    <s v="General Stores"/>
    <n v="0"/>
    <n v="0"/>
    <n v="0"/>
    <n v="0"/>
    <n v="0"/>
    <n v="0"/>
  </r>
  <r>
    <s v="SALAMAH NANKYA"/>
    <x v="7"/>
    <n v="-25"/>
    <n v="3573561.39"/>
    <x v="30"/>
    <n v="21441.37"/>
    <n v="4245070.3"/>
    <d v="2017-10-19T13:10:43"/>
    <d v="2018-06-19T00:00:00"/>
    <s v="0701121149"/>
    <s v="0783121349"/>
    <s v=""/>
    <n v="103424"/>
    <s v="00100004762"/>
    <s v="Retail"/>
    <s v="General Merchandise Stores"/>
    <s v="General Stores"/>
    <n v="0"/>
    <n v="0"/>
    <n v="0"/>
    <n v="0"/>
    <n v="0"/>
    <n v="0"/>
  </r>
  <r>
    <s v="JALIYA NAYIGA"/>
    <x v="8"/>
    <n v="-26"/>
    <n v="6525155.7000000002"/>
    <x v="24"/>
    <n v="23925.57"/>
    <n v="8046620.6600000001"/>
    <d v="2017-10-20T17:27:10"/>
    <d v="2018-10-20T00:00:00"/>
    <s v="0782311883"/>
    <s v="0701121464"/>
    <s v=""/>
    <n v="103425"/>
    <s v="00100000792"/>
    <s v="Retail"/>
    <s v="General Merchandise Stores"/>
    <s v="General Stores"/>
    <n v="0"/>
    <n v="0"/>
    <n v="0"/>
    <n v="0"/>
    <n v="0"/>
    <n v="0"/>
  </r>
  <r>
    <s v="FRED MATOVU"/>
    <x v="6"/>
    <n v="-27"/>
    <n v="5945443.5300000003"/>
    <x v="17"/>
    <n v="7266.65"/>
    <n v="6973891.6200000001"/>
    <d v="2017-10-19T17:20:03"/>
    <d v="2019-04-21T00:00:00"/>
    <s v="0703240857"/>
    <s v=""/>
    <s v=""/>
    <n v="103426"/>
    <s v="00100002300"/>
    <s v="Retail"/>
    <s v="General Merchandise Stores"/>
    <s v="General Stores"/>
    <n v="0"/>
    <n v="0"/>
    <n v="0"/>
    <n v="0"/>
    <n v="0"/>
    <n v="0"/>
  </r>
  <r>
    <s v="MADINA NAKIYIMBA"/>
    <x v="7"/>
    <n v="4"/>
    <n v="1900391.41"/>
    <x v="3"/>
    <n v="7131.78"/>
    <n v="2196836.73"/>
    <d v="2017-10-20T15:28:19"/>
    <d v="2018-06-20T00:00:00"/>
    <s v="0703201685"/>
    <s v=""/>
    <s v=""/>
    <n v="103427"/>
    <s v="00100004491"/>
    <s v="Retail"/>
    <s v="General Merchandise Stores"/>
    <s v="General Stores"/>
    <n v="1900391.41"/>
    <n v="0"/>
    <n v="0"/>
    <n v="1"/>
    <n v="0"/>
    <n v="0"/>
  </r>
  <r>
    <s v="YUSITINA NYIRARUKUNDO"/>
    <x v="7"/>
    <n v="-26"/>
    <n v="2755863.53"/>
    <x v="33"/>
    <n v="12401.39"/>
    <n v="3412228.18"/>
    <d v="2017-10-20T15:03:24"/>
    <d v="2018-08-20T00:00:00"/>
    <s v="0783165990"/>
    <s v=""/>
    <s v=""/>
    <n v="103428"/>
    <s v="00100004769"/>
    <s v="Retail"/>
    <s v="General Merchandise Stores"/>
    <s v="General Stores"/>
    <n v="0"/>
    <n v="0"/>
    <n v="0"/>
    <n v="0"/>
    <n v="0"/>
    <n v="0"/>
  </r>
  <r>
    <s v="PEAK PARTNERS LIMITED"/>
    <x v="0"/>
    <n v="-26"/>
    <n v="9806193.8499999996"/>
    <x v="13"/>
    <n v="39224.78"/>
    <n v="11436643.07"/>
    <d v="2017-10-20T17:06:01"/>
    <d v="2018-06-20T00:00:00"/>
    <s v="0701315111"/>
    <s v="0773155117"/>
    <s v="0782315111"/>
    <n v="103429"/>
    <s v="00100003609"/>
    <s v="Real Estate and Rental"/>
    <s v="Real Estate"/>
    <s v="Real Estate"/>
    <n v="0"/>
    <n v="0"/>
    <n v="0"/>
    <n v="0"/>
    <n v="0"/>
    <n v="0"/>
  </r>
  <r>
    <s v="HAMISI MUWANGA"/>
    <x v="0"/>
    <n v="3"/>
    <n v="6500000"/>
    <x v="24"/>
    <n v="267065.71000000002"/>
    <n v="8301955.4500000002"/>
    <d v="2017-10-21T13:45:05"/>
    <d v="2018-10-21T00:00:00"/>
    <s v="0774316467"/>
    <s v="0705316467"/>
    <s v=""/>
    <n v="103430"/>
    <s v="00100000872"/>
    <s v="Retail"/>
    <s v="General Merchandise Stores"/>
    <s v="Others"/>
    <n v="6500000"/>
    <n v="0"/>
    <n v="0"/>
    <n v="1"/>
    <n v="0"/>
    <n v="0"/>
  </r>
  <r>
    <s v="MOHAMMED KAWEESA WALUSIMBI"/>
    <x v="0"/>
    <n v="3"/>
    <n v="3500000"/>
    <x v="5"/>
    <n v="139701.76000000001"/>
    <n v="4466180.84"/>
    <d v="2017-10-21T13:35:45"/>
    <d v="2018-10-21T00:00:00"/>
    <s v="0701310179"/>
    <s v="0772310179"/>
    <s v=""/>
    <n v="103431"/>
    <s v="00100004490"/>
    <s v="Retail"/>
    <s v="General Merchandise Stores"/>
    <s v="General Stores"/>
    <n v="3500000"/>
    <n v="0"/>
    <n v="0"/>
    <n v="1"/>
    <n v="0"/>
    <n v="0"/>
  </r>
  <r>
    <s v="ALEX SALAINE"/>
    <x v="0"/>
    <n v="-29"/>
    <n v="2296552.9500000002"/>
    <x v="6"/>
    <n v="112500"/>
    <n v="2843523.52"/>
    <d v="2017-10-23T11:03:11"/>
    <d v="2018-08-23T00:00:00"/>
    <s v="075075859"/>
    <s v="0772151603"/>
    <s v=""/>
    <n v="103432"/>
    <s v="00100004770"/>
    <s v="Restaurants and Hotels"/>
    <s v="Restaurant"/>
    <s v="Food  service contractors &amp; caterers"/>
    <n v="0"/>
    <n v="0"/>
    <n v="0"/>
    <n v="0"/>
    <n v="0"/>
    <n v="0"/>
  </r>
  <r>
    <s v="JOSEPH KIWENDO LUBWAMA"/>
    <x v="0"/>
    <n v="1"/>
    <n v="2500000"/>
    <x v="28"/>
    <n v="112500"/>
    <n v="3159470.57"/>
    <d v="2017-10-23T14:00:47"/>
    <d v="2018-08-23T00:00:00"/>
    <s v="0701419632"/>
    <s v=""/>
    <s v=""/>
    <n v="103433"/>
    <s v="00100004746"/>
    <s v="Retail"/>
    <s v="General Merchandise Stores"/>
    <s v="General Stores"/>
    <n v="2500000"/>
    <n v="0"/>
    <n v="0"/>
    <n v="1"/>
    <n v="0"/>
    <n v="0"/>
  </r>
  <r>
    <s v="RUKIA NAKANWAGI"/>
    <x v="8"/>
    <n v="-29"/>
    <n v="6071530.0599999996"/>
    <x v="24"/>
    <n v="270833.33"/>
    <n v="7692335.9699999997"/>
    <d v="2017-10-23T15:17:16"/>
    <d v="2018-10-23T00:00:00"/>
    <s v="075801852"/>
    <s v=""/>
    <s v=""/>
    <n v="103434"/>
    <s v="00100004771"/>
    <s v="Retail"/>
    <s v="General Merchandise Stores"/>
    <s v="General Stores"/>
    <n v="0"/>
    <n v="0"/>
    <n v="0"/>
    <n v="0"/>
    <n v="0"/>
    <n v="0"/>
  </r>
  <r>
    <s v="ALICE NYIRAMAHORO"/>
    <x v="3"/>
    <n v="-29"/>
    <n v="23778666.73"/>
    <x v="19"/>
    <n v="1120000"/>
    <n v="26706666.359999999"/>
    <d v="2017-10-23T16:04:24"/>
    <d v="2018-04-23T00:00:00"/>
    <s v="0704960502"/>
    <s v=""/>
    <s v=""/>
    <n v="103435"/>
    <s v="00100004776"/>
    <s v="Retail"/>
    <s v="General Merchandise Stores"/>
    <s v="General Stores"/>
    <n v="0"/>
    <n v="0"/>
    <n v="0"/>
    <n v="0"/>
    <n v="0"/>
    <n v="0"/>
  </r>
  <r>
    <s v="MICHAEL KAKANDE"/>
    <x v="3"/>
    <n v="1"/>
    <n v="18000000"/>
    <x v="4"/>
    <n v="630000"/>
    <n v="22343001.030000001"/>
    <d v="2017-10-23T12:48:58"/>
    <d v="2018-10-23T00:00:00"/>
    <s v="0772539291"/>
    <s v="0704568413"/>
    <s v=""/>
    <n v="103436"/>
    <s v="00100002035"/>
    <s v="Retail"/>
    <s v="Building Material and Garden Equipment"/>
    <s v="Hardware Stores"/>
    <n v="18000000"/>
    <n v="0"/>
    <n v="0"/>
    <n v="1"/>
    <n v="0"/>
    <n v="0"/>
  </r>
  <r>
    <s v="JULIET NABIRYO"/>
    <x v="7"/>
    <n v="0"/>
    <n v="4000000"/>
    <x v="9"/>
    <n v="154666.67000000001"/>
    <n v="493163.78"/>
    <d v="2017-10-24T17:08:37"/>
    <d v="2018-08-24T00:00:00"/>
    <s v="0779868668"/>
    <s v="0752615208"/>
    <s v=""/>
    <n v="103437"/>
    <s v="00100000982"/>
    <s v="Retail"/>
    <s v="General Merchandise Stores"/>
    <s v="General Stores"/>
    <n v="0"/>
    <n v="0"/>
    <n v="0"/>
    <n v="0"/>
    <n v="0"/>
    <n v="0"/>
  </r>
  <r>
    <s v="IBRA HOODS TEBUSWEKE"/>
    <x v="1"/>
    <n v="1"/>
    <n v="10000000"/>
    <x v="9"/>
    <n v="300000"/>
    <n v="12055450.27"/>
    <d v="2017-10-23T16:49:39"/>
    <d v="2018-10-23T00:00:00"/>
    <s v="0703350251"/>
    <s v="0786482991"/>
    <s v=""/>
    <n v="103438"/>
    <s v="00100002747"/>
    <s v="Retail"/>
    <s v="General Merchandise Stores"/>
    <s v="General Stores"/>
    <n v="10000000"/>
    <n v="0"/>
    <n v="0"/>
    <n v="1"/>
    <n v="0"/>
    <n v="0"/>
  </r>
  <r>
    <s v="JOSEPH KATABIRA"/>
    <x v="0"/>
    <n v="-8"/>
    <n v="2500000"/>
    <x v="5"/>
    <n v="86666.67"/>
    <n v="268088"/>
    <d v="2017-10-27T17:10:17"/>
    <d v="2018-11-02T00:00:00"/>
    <s v="0772314307"/>
    <s v=""/>
    <s v=""/>
    <n v="103439"/>
    <s v="00100002823"/>
    <s v="Retail"/>
    <s v="General Merchandise Stores"/>
    <s v="General Stores"/>
    <n v="0"/>
    <n v="0"/>
    <n v="0"/>
    <n v="0"/>
    <n v="0"/>
    <n v="0"/>
  </r>
  <r>
    <s v="GEORGE WILLIAM MUKASA"/>
    <x v="0"/>
    <n v="0"/>
    <n v="3500000"/>
    <x v="4"/>
    <n v="152250"/>
    <n v="530633.79"/>
    <d v="2017-10-24T15:15:31"/>
    <d v="2018-06-24T00:00:00"/>
    <s v="0772502712"/>
    <s v="0701502712"/>
    <s v=""/>
    <n v="103440"/>
    <s v="00100004055"/>
    <s v="Retail"/>
    <s v="General Merchandise Stores"/>
    <s v="General Stores"/>
    <n v="0"/>
    <n v="0"/>
    <n v="0"/>
    <n v="0"/>
    <n v="0"/>
    <n v="0"/>
  </r>
  <r>
    <s v="WINFRED NAKIJOBA"/>
    <x v="7"/>
    <n v="0"/>
    <n v="1800000"/>
    <x v="33"/>
    <n v="78300"/>
    <n v="272897.38"/>
    <d v="2017-10-24T17:56:40"/>
    <d v="2018-06-24T00:00:00"/>
    <s v="0753181801"/>
    <s v=""/>
    <s v=""/>
    <n v="103441"/>
    <s v="00100004753"/>
    <s v="Retail"/>
    <s v="Second Hand -Clothing and  Accessories"/>
    <s v="Jewelry Stores"/>
    <n v="0"/>
    <n v="0"/>
    <n v="0"/>
    <n v="0"/>
    <n v="0"/>
    <n v="0"/>
  </r>
  <r>
    <s v="ISAAC MUWANGUZI"/>
    <x v="3"/>
    <n v="-1"/>
    <n v="16000000"/>
    <x v="3"/>
    <n v="522666.67"/>
    <n v="1923861.89"/>
    <d v="2017-10-25T14:04:20"/>
    <d v="2018-08-25T00:00:00"/>
    <s v="0753888187"/>
    <s v="0794277330"/>
    <s v=""/>
    <n v="103442"/>
    <s v="00100003684"/>
    <s v="Retail"/>
    <s v="General Merchandise Stores"/>
    <s v="General Stores"/>
    <n v="0"/>
    <n v="0"/>
    <n v="0"/>
    <n v="0"/>
    <n v="0"/>
    <n v="0"/>
  </r>
  <r>
    <s v="MEBLE PAMBA"/>
    <x v="7"/>
    <n v="-1"/>
    <n v="1500000"/>
    <x v="24"/>
    <n v="54000"/>
    <n v="285776"/>
    <d v="2017-10-26T12:07:07"/>
    <d v="2018-04-25T00:00:00"/>
    <s v="0777729919"/>
    <s v=""/>
    <s v=""/>
    <n v="103443"/>
    <s v="00100004432"/>
    <s v="Retail"/>
    <s v="General Merchandise Stores"/>
    <s v="General Stores"/>
    <n v="0"/>
    <n v="0"/>
    <n v="0"/>
    <n v="0"/>
    <n v="0"/>
    <n v="0"/>
  </r>
  <r>
    <s v="ANDREW SEBULIBA"/>
    <x v="10"/>
    <n v="-27"/>
    <n v="3358058"/>
    <x v="17"/>
    <n v="4663.97"/>
    <n v="3570821.13"/>
    <d v="2017-10-25T16:56:54"/>
    <d v="2018-04-21T00:00:00"/>
    <s v="0773559221"/>
    <s v=""/>
    <s v=""/>
    <n v="103444"/>
    <s v="00100003068"/>
    <s v="Other Services"/>
    <s v="Others"/>
    <s v="Others"/>
    <n v="0"/>
    <n v="0"/>
    <n v="0"/>
    <n v="0"/>
    <n v="0"/>
    <n v="0"/>
  </r>
  <r>
    <s v="GEORGE WILLIAM ANGEE"/>
    <x v="0"/>
    <n v="-8"/>
    <n v="9000000"/>
    <x v="4"/>
    <n v="351000"/>
    <n v="994079.4"/>
    <d v="2017-10-27T13:28:45"/>
    <d v="2018-11-02T00:00:00"/>
    <s v="0758001678"/>
    <s v="0392887052"/>
    <s v=""/>
    <n v="103445"/>
    <s v="00100004784"/>
    <s v="Restaurants and Hotels"/>
    <s v="Restaurant"/>
    <s v="Bar"/>
    <n v="0"/>
    <n v="0"/>
    <n v="0"/>
    <n v="0"/>
    <n v="0"/>
    <n v="0"/>
  </r>
  <r>
    <s v="HENRY LUTAAYA KALEGGA"/>
    <x v="0"/>
    <n v="-8"/>
    <n v="3000000"/>
    <x v="32"/>
    <n v="117000"/>
    <n v="381857.54"/>
    <d v="2017-10-27T16:42:38"/>
    <d v="2018-09-02T00:00:00"/>
    <s v="0779917143"/>
    <s v=""/>
    <s v=""/>
    <n v="103446"/>
    <s v="00100004775"/>
    <s v="Real Estate and Rental"/>
    <s v="Rental"/>
    <s v="General Rental Centers"/>
    <n v="0"/>
    <n v="0"/>
    <n v="0"/>
    <n v="0"/>
    <n v="0"/>
    <n v="0"/>
  </r>
  <r>
    <s v="ABDALAH SALONGO SENYONDO"/>
    <x v="0"/>
    <n v="-8"/>
    <n v="6000000"/>
    <x v="30"/>
    <n v="207000"/>
    <n v="760449.79"/>
    <d v="2017-10-31T14:49:52"/>
    <d v="2018-09-02T00:00:00"/>
    <s v="0784010053"/>
    <s v=""/>
    <s v=""/>
    <n v="103447"/>
    <s v="00100004773"/>
    <s v="Retail"/>
    <s v="General Merchandise Stores"/>
    <s v="General Stores"/>
    <n v="0"/>
    <n v="0"/>
    <n v="0"/>
    <n v="0"/>
    <n v="0"/>
    <n v="0"/>
  </r>
  <r>
    <s v="ERON BUKIRWA KIGOZI"/>
    <x v="7"/>
    <n v="-8"/>
    <n v="2000000"/>
    <x v="28"/>
    <n v="61333.33"/>
    <n v="247214.15"/>
    <d v="2017-10-31T12:57:51"/>
    <d v="2018-09-02T00:00:00"/>
    <s v="0706090518"/>
    <s v=""/>
    <s v=""/>
    <n v="103449"/>
    <s v="00100004447"/>
    <s v="Retail"/>
    <s v="General Merchandise Stores"/>
    <s v="Others"/>
    <n v="0"/>
    <n v="0"/>
    <n v="0"/>
    <n v="0"/>
    <n v="0"/>
    <n v="0"/>
  </r>
  <r>
    <s v="BENSON KAJJIMU"/>
    <x v="0"/>
    <n v="-8"/>
    <n v="1200000"/>
    <x v="28"/>
    <n v="41400"/>
    <n v="233321.97"/>
    <d v="2017-10-31T13:06:39"/>
    <d v="2018-05-02T00:00:00"/>
    <s v="0782777631"/>
    <s v="075777631"/>
    <s v=""/>
    <n v="103450"/>
    <s v="00100004758"/>
    <s v="Retail"/>
    <s v="General Merchandise Stores"/>
    <s v="General Stores"/>
    <n v="0"/>
    <n v="0"/>
    <n v="0"/>
    <n v="0"/>
    <n v="0"/>
    <n v="0"/>
  </r>
  <r>
    <s v="DERRICK KINTU"/>
    <x v="10"/>
    <n v="-27"/>
    <n v="753039.43"/>
    <x v="17"/>
    <n v="1045.8900000000001"/>
    <n v="784631.71"/>
    <d v="2017-10-31T15:44:05"/>
    <d v="2018-02-21T00:00:00"/>
    <s v="0777697310"/>
    <s v="0701866568"/>
    <s v=""/>
    <n v="103451"/>
    <s v="00100002194"/>
    <s v="Other Services"/>
    <s v="Others"/>
    <s v="Others"/>
    <n v="0"/>
    <n v="0"/>
    <n v="0"/>
    <n v="0"/>
    <n v="0"/>
    <n v="0"/>
  </r>
  <r>
    <s v="RICHARD KALIBBALA"/>
    <x v="0"/>
    <n v="-8"/>
    <n v="6800000"/>
    <x v="15"/>
    <n v="190400"/>
    <n v="724554.77"/>
    <d v="2017-11-02T10:23:17"/>
    <d v="2018-11-02T00:00:00"/>
    <s v="0701815833"/>
    <s v="0712815833"/>
    <s v=""/>
    <n v="103452"/>
    <s v="00100004319"/>
    <s v="Retail"/>
    <s v="General Merchandise Stores"/>
    <s v="General Stores"/>
    <n v="0"/>
    <n v="0"/>
    <n v="0"/>
    <n v="0"/>
    <n v="0"/>
    <n v="0"/>
  </r>
  <r>
    <s v="RONALD KAYIMA"/>
    <x v="0"/>
    <n v="-8"/>
    <n v="8000000"/>
    <x v="13"/>
    <n v="224000"/>
    <n v="852417.38"/>
    <d v="2017-11-02T14:02:54"/>
    <d v="2018-11-02T00:00:00"/>
    <s v="0701990478"/>
    <s v="0774990478"/>
    <s v=""/>
    <n v="103453"/>
    <s v="00100000955"/>
    <s v="Retail"/>
    <s v="General Merchandise Stores"/>
    <s v="General Stores"/>
    <n v="0"/>
    <n v="0"/>
    <n v="0"/>
    <n v="0"/>
    <n v="0"/>
    <n v="0"/>
  </r>
  <r>
    <s v="JOSEPH KIGGUNDU WASSWA"/>
    <x v="0"/>
    <n v="-8"/>
    <n v="5000000"/>
    <x v="4"/>
    <n v="140000"/>
    <n v="532760.86"/>
    <d v="2017-11-02T17:18:52"/>
    <d v="2018-11-02T00:00:00"/>
    <s v="0704921608"/>
    <s v="0782000136"/>
    <s v=""/>
    <n v="103454"/>
    <s v="00100004270"/>
    <s v="Retail"/>
    <s v="General Merchandise Stores"/>
    <s v="General Stores"/>
    <n v="0"/>
    <n v="0"/>
    <n v="0"/>
    <n v="0"/>
    <n v="0"/>
    <n v="0"/>
  </r>
  <r>
    <s v="JOSHUA SENKUMBA"/>
    <x v="3"/>
    <n v="-12"/>
    <n v="17000000"/>
    <x v="10"/>
    <n v="337166.67"/>
    <n v="1288886.29"/>
    <d v="2017-11-06T11:43:59"/>
    <d v="2019-05-06T00:00:00"/>
    <s v="0772429298"/>
    <s v="0701429299"/>
    <s v=""/>
    <n v="103455"/>
    <s v="00100003033"/>
    <s v="Real Estate and Rental"/>
    <s v="Rental"/>
    <s v="General Rental Centers"/>
    <n v="0"/>
    <n v="0"/>
    <n v="0"/>
    <n v="0"/>
    <n v="0"/>
    <n v="0"/>
  </r>
  <r>
    <s v="GEOFREY BAGONZA"/>
    <x v="1"/>
    <n v="-9"/>
    <n v="23000000"/>
    <x v="3"/>
    <n v="460000"/>
    <n v="1358090.57"/>
    <d v="2017-11-03T13:29:58"/>
    <d v="2019-11-03T00:00:00"/>
    <s v="0702944537"/>
    <s v=""/>
    <s v=""/>
    <n v="103456"/>
    <s v="00100003032"/>
    <s v="Real Estate and Rental"/>
    <s v="Real Estate"/>
    <s v="Real Estate"/>
    <n v="0"/>
    <n v="0"/>
    <n v="0"/>
    <n v="0"/>
    <n v="0"/>
    <n v="0"/>
  </r>
  <r>
    <s v="ABDULLAH SSEMBATYA"/>
    <x v="0"/>
    <n v="-15"/>
    <n v="4000000"/>
    <x v="14"/>
    <n v="84000"/>
    <n v="505515.29"/>
    <d v="2017-11-09T11:05:09"/>
    <d v="2018-09-09T00:00:00"/>
    <s v="0702664119"/>
    <s v=""/>
    <s v="0782664116"/>
    <n v="103457"/>
    <s v="00100004052"/>
    <s v="Real Estate and Rental"/>
    <s v="Rental"/>
    <s v="General Rental Centers"/>
    <n v="0"/>
    <n v="0"/>
    <n v="0"/>
    <n v="0"/>
    <n v="0"/>
    <n v="0"/>
  </r>
  <r>
    <s v="HERBERT TUMUHAIRWE"/>
    <x v="0"/>
    <n v="32"/>
    <n v="2751142.53"/>
    <x v="10"/>
    <n v="143552.12"/>
    <n v="2934046.37"/>
    <d v="2015-12-16T12:22:24"/>
    <d v="2017-12-22T00:00:00"/>
    <s v="0703544400"/>
    <s v="0712385136"/>
    <s v=""/>
    <n v="200008"/>
    <s v="00200000085"/>
    <s v="Transportation and Warehousing"/>
    <s v=" Passenger Transportation"/>
    <s v="Bus transportation"/>
    <n v="2751142.53"/>
    <n v="2751142.53"/>
    <n v="0"/>
    <n v="1"/>
    <n v="1"/>
    <n v="0"/>
  </r>
  <r>
    <s v="MABLE KOBUYONJO KAMANYI"/>
    <x v="1"/>
    <n v="19"/>
    <n v="10950711.75"/>
    <x v="11"/>
    <n v="196103.46"/>
    <n v="13745172.08"/>
    <d v="2016-01-28T12:17:48"/>
    <d v="2019-02-05T00:00:00"/>
    <s v="0782341332"/>
    <s v="0704936287"/>
    <s v=""/>
    <n v="200035"/>
    <s v="00200000115"/>
    <s v="Real Estate and Rental"/>
    <s v="Real Estate"/>
    <s v="Others"/>
    <n v="10950711.75"/>
    <n v="0"/>
    <n v="0"/>
    <n v="1"/>
    <n v="0"/>
    <n v="0"/>
  </r>
  <r>
    <s v="THERESE TINKASIIMIRE"/>
    <x v="2"/>
    <n v="-1"/>
    <n v="20137114.530000001"/>
    <x v="13"/>
    <n v="563839.21"/>
    <n v="25650124.579999998"/>
    <d v="2016-02-25T16:22:36"/>
    <d v="2019-02-25T00:00:00"/>
    <s v="0772459455"/>
    <s v=""/>
    <s v=""/>
    <n v="200058"/>
    <s v="00200000290"/>
    <s v="Educational Services"/>
    <s v="Educational Services"/>
    <s v="Others"/>
    <n v="0"/>
    <n v="0"/>
    <n v="0"/>
    <n v="0"/>
    <n v="0"/>
    <n v="0"/>
  </r>
  <r>
    <s v="APOLLO KIRUNDA"/>
    <x v="1"/>
    <n v="12"/>
    <n v="13267280.039999999"/>
    <x v="1"/>
    <n v="537252.16"/>
    <n v="17130619.140000001"/>
    <d v="2016-03-12T11:16:15"/>
    <d v="2019-03-12T00:00:00"/>
    <s v="0772405261"/>
    <s v=""/>
    <s v=""/>
    <n v="200071"/>
    <s v="00200000345"/>
    <s v="Real Estate and Rental"/>
    <s v="Rental"/>
    <s v="Others"/>
    <n v="13267280.039999999"/>
    <n v="0"/>
    <n v="0"/>
    <n v="1"/>
    <n v="0"/>
    <n v="0"/>
  </r>
  <r>
    <s v="TONNY KALEJA"/>
    <x v="1"/>
    <n v="-7"/>
    <n v="29018508.73"/>
    <x v="2"/>
    <n v="709341.32"/>
    <n v="38481344.130000003"/>
    <d v="2016-03-30T17:03:35"/>
    <d v="2019-04-01T00:00:00"/>
    <s v="0701717171"/>
    <s v=""/>
    <s v=""/>
    <n v="200081"/>
    <s v="00200000315"/>
    <s v="Wholesale Trade"/>
    <s v="Nondurable Goods"/>
    <s v="Drugs &amp; Druggists' Sundries"/>
    <n v="0"/>
    <n v="0"/>
    <n v="0"/>
    <n v="0"/>
    <n v="0"/>
    <n v="0"/>
  </r>
  <r>
    <s v="CHRISTINE BIRABWA KAATE"/>
    <x v="1"/>
    <n v="-11"/>
    <n v="3330896.48"/>
    <x v="11"/>
    <n v="66617.929999999993"/>
    <n v="3671264.03"/>
    <d v="2016-04-05T09:56:21"/>
    <d v="2018-04-05T00:00:00"/>
    <s v="0774717148"/>
    <s v=""/>
    <s v=""/>
    <n v="200089"/>
    <s v="00200000451"/>
    <s v="Real Estate and Rental"/>
    <s v="Rental"/>
    <s v="Others"/>
    <n v="0"/>
    <n v="0"/>
    <n v="0"/>
    <n v="0"/>
    <n v="0"/>
    <n v="0"/>
  </r>
  <r>
    <s v="SULAIMAN BUKENYA"/>
    <x v="3"/>
    <n v="16"/>
    <n v="4816026.9000000004"/>
    <x v="27"/>
    <n v="90514.08"/>
    <n v="5373302.0499999998"/>
    <d v="2016-04-08T16:00:04"/>
    <d v="2018-04-08T00:00:00"/>
    <s v="0772412904"/>
    <s v=""/>
    <s v="0702412904"/>
    <n v="200091"/>
    <s v="00200000368"/>
    <s v="Transportation and Warehousing"/>
    <s v="Warehousing and Storage"/>
    <s v="Warehousing and Storage"/>
    <n v="4816026.9000000004"/>
    <n v="0"/>
    <n v="0"/>
    <n v="1"/>
    <n v="0"/>
    <n v="0"/>
  </r>
  <r>
    <s v="AGNES NAMUSOKE"/>
    <x v="3"/>
    <n v="-1"/>
    <n v="16845060.75"/>
    <x v="12"/>
    <n v="628882.27"/>
    <n v="23951653.420000002"/>
    <d v="2016-04-20T16:25:10"/>
    <d v="2019-04-25T00:00:00"/>
    <s v="0703796475"/>
    <s v=""/>
    <s v=""/>
    <n v="200098"/>
    <s v="00200000509"/>
    <s v="Retail"/>
    <s v="Health and Personal Care Stores"/>
    <s v="Others"/>
    <n v="0"/>
    <n v="0"/>
    <n v="0"/>
    <n v="0"/>
    <n v="0"/>
    <n v="0"/>
  </r>
  <r>
    <s v="HENRY BYARUHANGA"/>
    <x v="1"/>
    <n v="0"/>
    <n v="12909808.369999999"/>
    <x v="19"/>
    <n v="415982.71"/>
    <n v="17375524.010000002"/>
    <d v="2016-04-21T13:10:18"/>
    <d v="2019-04-24T00:00:00"/>
    <s v="0772675513"/>
    <s v=""/>
    <s v=""/>
    <n v="200099"/>
    <s v="00200000493"/>
    <s v="Retail"/>
    <s v="General Merchandise Stores"/>
    <s v="Others"/>
    <n v="0"/>
    <n v="0"/>
    <n v="0"/>
    <n v="0"/>
    <n v="0"/>
    <n v="0"/>
  </r>
  <r>
    <s v="JOHN MUSISI"/>
    <x v="3"/>
    <n v="-1"/>
    <n v="16737767.310000001"/>
    <x v="14"/>
    <n v="624876.65"/>
    <n v="23799094.969999999"/>
    <d v="2016-04-25T17:17:51"/>
    <d v="2019-04-25T00:00:00"/>
    <s v="0701479721"/>
    <s v=""/>
    <s v="0782479721"/>
    <n v="200105"/>
    <s v="00200000510"/>
    <s v="Real Estate and Rental"/>
    <s v="Real Estate"/>
    <s v="Real Estate"/>
    <n v="0"/>
    <n v="0"/>
    <n v="0"/>
    <n v="0"/>
    <n v="0"/>
    <n v="0"/>
  </r>
  <r>
    <s v="ERON MATEGA"/>
    <x v="6"/>
    <n v="-27"/>
    <n v="4442839.51"/>
    <x v="17"/>
    <n v="6170.61"/>
    <n v="5321582.1500000004"/>
    <d v="2016-04-26T15:13:34"/>
    <d v="2019-04-21T00:00:00"/>
    <s v="07722549932"/>
    <s v=""/>
    <s v="0757737534"/>
    <n v="200107"/>
    <s v="00200000148"/>
    <s v="Real Estate and Rental"/>
    <s v="Others"/>
    <s v="Others"/>
    <n v="0"/>
    <n v="0"/>
    <n v="0"/>
    <n v="0"/>
    <n v="0"/>
    <n v="0"/>
  </r>
  <r>
    <s v="CONVENANT HARDWARE  LIMITED"/>
    <x v="2"/>
    <n v="19"/>
    <n v="18519114.02"/>
    <x v="13"/>
    <n v="845413.96"/>
    <n v="20807048.27"/>
    <d v="2016-04-28T13:04:23"/>
    <d v="2018-05-05T00:00:00"/>
    <s v="0777140674"/>
    <s v=""/>
    <s v=""/>
    <n v="200111"/>
    <s v="00200000566"/>
    <s v="Wholesale Trade"/>
    <s v="Durable Goods"/>
    <s v="Hardware, &amp; Plumbing &amp; Heating Equipment"/>
    <n v="18519114.02"/>
    <n v="0"/>
    <n v="0"/>
    <n v="1"/>
    <n v="0"/>
    <n v="0"/>
  </r>
  <r>
    <s v="DAVID MUSISI"/>
    <x v="2"/>
    <n v="143"/>
    <n v="38300691.909999996"/>
    <x v="20"/>
    <n v="1435362.7"/>
    <n v="54370912.640000001"/>
    <d v="2016-04-29T19:20:55"/>
    <d v="2019-05-01T00:00:00"/>
    <s v="0772474723"/>
    <s v=""/>
    <s v=""/>
    <n v="200119"/>
    <s v="00200000529"/>
    <s v="Retail"/>
    <s v="General Merchandise Stores"/>
    <s v="General Stores"/>
    <n v="38300691.909999996"/>
    <n v="38300691.909999996"/>
    <n v="38300691.909999996"/>
    <n v="1"/>
    <n v="1"/>
    <n v="1"/>
  </r>
  <r>
    <s v="ALLEN SSEKINDI"/>
    <x v="2"/>
    <n v="-26"/>
    <n v="38284314.530000001"/>
    <x v="16"/>
    <n v="127614.38"/>
    <n v="60312323.920000002"/>
    <d v="2016-04-30T17:54:22"/>
    <d v="2020-04-20T00:00:00"/>
    <s v="0772468937"/>
    <s v=""/>
    <s v=""/>
    <n v="200122"/>
    <s v="00200000567"/>
    <s v="Educational Services"/>
    <s v="Educational Services"/>
    <s v="Schools"/>
    <n v="0"/>
    <n v="0"/>
    <n v="0"/>
    <n v="0"/>
    <n v="0"/>
    <n v="0"/>
  </r>
  <r>
    <s v="GRACIOUS MAYAMBALA"/>
    <x v="0"/>
    <n v="109"/>
    <n v="5259874.79"/>
    <x v="0"/>
    <n v="225072.98"/>
    <n v="6462756.4299999997"/>
    <d v="2016-04-30T18:36:59"/>
    <d v="2018-05-05T00:00:00"/>
    <s v="0772562128"/>
    <s v=""/>
    <s v=""/>
    <n v="200123"/>
    <s v="00200000560"/>
    <s v="Real Estate and Rental"/>
    <s v="Others"/>
    <s v="Others"/>
    <n v="5259874.79"/>
    <n v="5259874.79"/>
    <n v="5259874.79"/>
    <n v="1"/>
    <n v="1"/>
    <n v="1"/>
  </r>
  <r>
    <s v="PETER SSEBBIRI"/>
    <x v="1"/>
    <n v="-16"/>
    <n v="32802582.32"/>
    <x v="2"/>
    <n v="426433.57"/>
    <n v="50206903.479999997"/>
    <d v="2016-05-03T16:30:35"/>
    <d v="2020-05-10T00:00:00"/>
    <s v="0772659786"/>
    <s v=""/>
    <s v=""/>
    <n v="200126"/>
    <s v="00200000086"/>
    <s v="Real Estate and Rental"/>
    <s v="Rental"/>
    <s v="Others"/>
    <n v="0"/>
    <n v="0"/>
    <n v="0"/>
    <n v="0"/>
    <n v="0"/>
    <n v="0"/>
  </r>
  <r>
    <s v="SIMON KIIRYA WAISWA"/>
    <x v="3"/>
    <n v="-15"/>
    <n v="13869438.57"/>
    <x v="20"/>
    <n v="258896.19"/>
    <n v="24062130.149999999"/>
    <d v="2016-05-09T17:19:11"/>
    <d v="2020-05-09T00:00:00"/>
    <s v="0753635303"/>
    <s v=""/>
    <s v=""/>
    <n v="200130"/>
    <s v="00200000537"/>
    <s v="Retail"/>
    <s v="General Merchandise Stores"/>
    <s v="General Stores"/>
    <n v="0"/>
    <n v="0"/>
    <n v="0"/>
    <n v="0"/>
    <n v="0"/>
    <n v="0"/>
  </r>
  <r>
    <s v="TOM NDAWULA"/>
    <x v="1"/>
    <n v="9"/>
    <n v="17944519.829999998"/>
    <x v="11"/>
    <n v="146330.96"/>
    <n v="19917558.93"/>
    <d v="2016-05-11T15:21:38"/>
    <d v="2018-05-15T00:00:00"/>
    <s v="0772574628"/>
    <s v=""/>
    <s v=""/>
    <n v="200137"/>
    <s v="00200000582"/>
    <s v="Construction"/>
    <s v="Construction of Buildings"/>
    <s v="Residential Construction"/>
    <n v="17944519.829999998"/>
    <n v="0"/>
    <n v="0"/>
    <n v="1"/>
    <n v="0"/>
    <n v="0"/>
  </r>
  <r>
    <s v="NOAH NKATA BWOGI"/>
    <x v="3"/>
    <n v="39"/>
    <n v="8427538.2899999991"/>
    <x v="12"/>
    <n v="315203.7"/>
    <n v="9743292.7799999993"/>
    <d v="2016-05-11T16:05:47"/>
    <d v="2018-05-15T00:00:00"/>
    <s v="0772587942"/>
    <s v=""/>
    <s v="0758018445"/>
    <n v="200138"/>
    <s v="00200000579"/>
    <s v="Retail"/>
    <s v="Others"/>
    <s v="Others"/>
    <n v="8427538.2899999991"/>
    <n v="8427538.2899999991"/>
    <n v="0"/>
    <n v="1"/>
    <n v="1"/>
    <n v="0"/>
  </r>
  <r>
    <s v="MARGARET NAGGINGO"/>
    <x v="1"/>
    <n v="40"/>
    <n v="8339217.0599999996"/>
    <x v="3"/>
    <n v="545604.43999999994"/>
    <n v="11558851.560000001"/>
    <d v="2016-05-13T17:13:46"/>
    <d v="2019-05-14T00:00:00"/>
    <s v="0774094183"/>
    <s v=""/>
    <s v=""/>
    <n v="200140"/>
    <s v="00200000594"/>
    <s v="Retail"/>
    <s v="General Merchandise Stores"/>
    <s v="General Stores"/>
    <n v="8339217.0599999996"/>
    <n v="8339217.0599999996"/>
    <n v="0"/>
    <n v="1"/>
    <n v="1"/>
    <n v="0"/>
  </r>
  <r>
    <s v="MUSTAPHA LWANGA"/>
    <x v="1"/>
    <n v="1"/>
    <n v="23649292.989999998"/>
    <x v="2"/>
    <n v="788309.77"/>
    <n v="32253180.84"/>
    <d v="2016-05-14T10:25:28"/>
    <d v="2019-05-23T00:00:00"/>
    <s v="0782009877"/>
    <s v=""/>
    <s v=""/>
    <n v="200141"/>
    <s v="00200000621"/>
    <s v="Real Estate and Rental"/>
    <s v="Rental"/>
    <s v="Others"/>
    <n v="23649292.989999998"/>
    <n v="0"/>
    <n v="0"/>
    <n v="1"/>
    <n v="0"/>
    <n v="0"/>
  </r>
  <r>
    <s v="GEOFREY MUSIITWA"/>
    <x v="3"/>
    <n v="8"/>
    <n v="11113808.76"/>
    <x v="22"/>
    <n v="469417.86"/>
    <n v="16002496.02"/>
    <d v="2016-05-16T17:39:56"/>
    <d v="2019-05-16T00:00:00"/>
    <s v="0781968926"/>
    <s v=""/>
    <s v=""/>
    <n v="200142"/>
    <s v="00200000574"/>
    <s v="Educational Services"/>
    <s v="Educational Services"/>
    <s v="Schools"/>
    <n v="11113808.76"/>
    <n v="0"/>
    <n v="0"/>
    <n v="1"/>
    <n v="0"/>
    <n v="0"/>
  </r>
  <r>
    <s v="JOSEPH WALAKIRA"/>
    <x v="2"/>
    <n v="-1"/>
    <n v="20564774.699999999"/>
    <x v="26"/>
    <n v="639792.99"/>
    <n v="28089680.829999998"/>
    <d v="2016-05-18T17:10:53"/>
    <d v="2019-05-25T00:00:00"/>
    <s v="0772121834"/>
    <s v=""/>
    <s v=""/>
    <n v="200149"/>
    <s v="00200000647"/>
    <s v="Retail"/>
    <s v="Furniture and Home Furnishings Stores"/>
    <s v="Others"/>
    <n v="0"/>
    <n v="0"/>
    <n v="0"/>
    <n v="0"/>
    <n v="0"/>
    <n v="0"/>
  </r>
  <r>
    <s v="HENRY WAMUWAYA"/>
    <x v="3"/>
    <n v="-27"/>
    <n v="23223436.140000001"/>
    <x v="17"/>
    <n v="32254.77"/>
    <n v="31465315.210000001"/>
    <d v="2016-05-20T13:18:15"/>
    <d v="2020-05-21T00:00:00"/>
    <s v="0704306494"/>
    <s v=""/>
    <s v=""/>
    <n v="200154"/>
    <s v="00200000239"/>
    <s v="Finance and Insurance"/>
    <s v="Finance"/>
    <s v="Others"/>
    <n v="0"/>
    <n v="0"/>
    <n v="0"/>
    <n v="0"/>
    <n v="0"/>
    <n v="0"/>
  </r>
  <r>
    <s v="FRANK KATOOLA KAZENGURE"/>
    <x v="3"/>
    <n v="4"/>
    <n v="1153762.44"/>
    <x v="22"/>
    <n v="47092.17"/>
    <n v="1153762.44"/>
    <d v="2016-05-20T15:10:32"/>
    <d v="2017-11-20T00:00:00"/>
    <s v="0772420453"/>
    <s v="0782731563"/>
    <s v=""/>
    <n v="200156"/>
    <s v="00200000536"/>
    <s v="Educational Services"/>
    <s v="Educational Services"/>
    <s v="Others"/>
    <n v="1153762.44"/>
    <n v="0"/>
    <n v="0"/>
    <n v="1"/>
    <n v="0"/>
    <n v="0"/>
  </r>
  <r>
    <s v="MOSES KAGIMU GAVA"/>
    <x v="2"/>
    <n v="4"/>
    <n v="28964323.84"/>
    <x v="22"/>
    <n v="1100338.8999999999"/>
    <n v="38979875.920000002"/>
    <d v="2016-05-20T16:40:35"/>
    <d v="2019-05-20T00:00:00"/>
    <s v="0772720374"/>
    <s v=""/>
    <s v=""/>
    <n v="200158"/>
    <s v="00200000665"/>
    <s v="Real Estate and Rental"/>
    <s v="Real Estate"/>
    <s v="Real Estate"/>
    <n v="28964323.84"/>
    <n v="0"/>
    <n v="0"/>
    <n v="1"/>
    <n v="0"/>
    <n v="0"/>
  </r>
  <r>
    <s v="SERUKWAYA CONSTRUCTION AND PROPERTY DEVELOPERS LTD"/>
    <x v="1"/>
    <n v="9"/>
    <n v="35619244.359999999"/>
    <x v="2"/>
    <n v="1408938.92"/>
    <n v="57589302.270000003"/>
    <d v="2016-05-21T11:05:01"/>
    <d v="2020-05-15T00:00:00"/>
    <s v="0700670943"/>
    <s v="0772659786"/>
    <s v=""/>
    <n v="200160"/>
    <s v="00200000635"/>
    <s v="Construction"/>
    <s v="Construction of Buildings"/>
    <s v="Nonresidential Construction"/>
    <n v="35619244.359999999"/>
    <n v="0"/>
    <n v="0"/>
    <n v="1"/>
    <n v="0"/>
    <n v="0"/>
  </r>
  <r>
    <s v="EMMANUEL KISOLO"/>
    <x v="3"/>
    <n v="89"/>
    <n v="13494346.41"/>
    <x v="27"/>
    <n v="1031529.39"/>
    <n v="18507819.920000002"/>
    <d v="2016-05-24T18:28:59"/>
    <d v="2018-11-25T00:00:00"/>
    <s v="0775812637"/>
    <s v=""/>
    <s v=""/>
    <n v="200166"/>
    <s v="00200000633"/>
    <s v="Health Care"/>
    <s v="Health Care"/>
    <s v="Others"/>
    <n v="13494346.41"/>
    <n v="13494346.41"/>
    <n v="0"/>
    <n v="1"/>
    <n v="1"/>
    <n v="0"/>
  </r>
  <r>
    <s v="MOSES MATOVU"/>
    <x v="3"/>
    <n v="23"/>
    <n v="15389135.51"/>
    <x v="27"/>
    <n v="972646.62"/>
    <n v="20326576.129999999"/>
    <d v="2016-05-25T16:37:40"/>
    <d v="2018-12-01T00:00:00"/>
    <s v="0754401496"/>
    <s v="0774401496"/>
    <s v=""/>
    <n v="200168"/>
    <s v="00200000498"/>
    <s v="Wholesale Trade"/>
    <s v="Nondurable Goods"/>
    <s v="Drugs &amp; Druggists' Sundries"/>
    <n v="15389135.51"/>
    <n v="0"/>
    <n v="0"/>
    <n v="1"/>
    <n v="0"/>
    <n v="0"/>
  </r>
  <r>
    <s v="NGAMBWA SABASTIAN RUTA"/>
    <x v="2"/>
    <n v="21"/>
    <n v="34933347.789999999"/>
    <x v="20"/>
    <n v="1810300.91"/>
    <n v="48318022.259999998"/>
    <d v="2016-05-27T18:26:52"/>
    <d v="2019-06-03T00:00:00"/>
    <s v="0701945174"/>
    <s v=""/>
    <s v=""/>
    <n v="200172"/>
    <s v="00200000704"/>
    <s v="Real Estate and Rental"/>
    <s v="Real Estate"/>
    <s v="Real Estate"/>
    <n v="34933347.789999999"/>
    <n v="0"/>
    <n v="0"/>
    <n v="1"/>
    <n v="0"/>
    <n v="0"/>
  </r>
  <r>
    <s v="ROBERT SSENTAMU"/>
    <x v="1"/>
    <n v="-7"/>
    <n v="3768780.6"/>
    <x v="23"/>
    <n v="92125.75"/>
    <n v="4287746.95"/>
    <d v="2016-05-30T17:07:12"/>
    <d v="2018-06-01T00:00:00"/>
    <s v="0782806207"/>
    <s v=""/>
    <s v=""/>
    <n v="200174"/>
    <s v="00200000710"/>
    <s v="Wholesale Trade"/>
    <s v="Durable Goods"/>
    <s v="Others"/>
    <n v="0"/>
    <n v="0"/>
    <n v="0"/>
    <n v="0"/>
    <n v="0"/>
    <n v="0"/>
  </r>
  <r>
    <s v="IKIRIZA ASSUMPTA TIBAMWENDA"/>
    <x v="1"/>
    <n v="23"/>
    <n v="32219659.550000001"/>
    <x v="1"/>
    <n v="769005.89"/>
    <n v="47620307.869999997"/>
    <d v="2016-05-31T15:40:47"/>
    <d v="2019-12-01T00:00:00"/>
    <s v="0772412139"/>
    <s v=""/>
    <s v=""/>
    <n v="200177"/>
    <s v="00200000065"/>
    <s v="Real Estate and Rental"/>
    <s v="Real Estate"/>
    <s v="Real Estate"/>
    <n v="32219659.550000001"/>
    <n v="0"/>
    <n v="0"/>
    <n v="1"/>
    <n v="0"/>
    <n v="0"/>
  </r>
  <r>
    <s v="PROSSY NAMALA"/>
    <x v="3"/>
    <n v="23"/>
    <n v="2252616.69"/>
    <x v="26"/>
    <n v="123790.86"/>
    <n v="2388657.08"/>
    <d v="2016-05-31T17:13:14"/>
    <d v="2017-12-01T00:00:00"/>
    <s v="0772362957"/>
    <s v=""/>
    <s v=""/>
    <n v="200178"/>
    <s v="00200000636"/>
    <s v="Retail"/>
    <s v="Others"/>
    <s v="Others"/>
    <n v="2252616.69"/>
    <n v="0"/>
    <n v="0"/>
    <n v="1"/>
    <n v="0"/>
    <n v="0"/>
  </r>
  <r>
    <s v="JACQUELYNN DIPIO MAMAWI"/>
    <x v="2"/>
    <n v="-16"/>
    <n v="11796162.1"/>
    <x v="5"/>
    <n v="170389.01"/>
    <n v="13420510.109999999"/>
    <d v="2016-05-31T16:13:26"/>
    <d v="2018-06-10T00:00:00"/>
    <s v="0772366755"/>
    <s v=""/>
    <s v="0791828764"/>
    <n v="200180"/>
    <s v="00200000724"/>
    <s v="Agriculture, Forestry, Fishing and Hunting"/>
    <s v="Animal Production"/>
    <s v="Other Animal Production"/>
    <n v="0"/>
    <n v="0"/>
    <n v="0"/>
    <n v="0"/>
    <n v="0"/>
    <n v="0"/>
  </r>
  <r>
    <s v="RUTH MATOVU"/>
    <x v="7"/>
    <n v="198"/>
    <n v="544003.85"/>
    <x v="27"/>
    <n v="13695.15"/>
    <n v="558171.25"/>
    <d v="2016-06-06T14:45:42"/>
    <d v="2017-06-06T00:00:00"/>
    <s v="0772364030"/>
    <s v=""/>
    <s v=""/>
    <n v="200187"/>
    <s v="00200000727"/>
    <s v="Retail"/>
    <s v="General Merchandise Stores"/>
    <s v="Others"/>
    <n v="544003.85"/>
    <n v="544003.85"/>
    <n v="544003.85"/>
    <n v="1"/>
    <n v="1"/>
    <n v="1"/>
  </r>
  <r>
    <s v="PRONNER NAKIRIJJA"/>
    <x v="8"/>
    <n v="162"/>
    <n v="622995.24"/>
    <x v="18"/>
    <n v="25958.14"/>
    <n v="648953.38"/>
    <d v="2016-06-08T12:07:49"/>
    <d v="2017-06-12T00:00:00"/>
    <s v="0750587018"/>
    <s v=""/>
    <s v=""/>
    <n v="200189"/>
    <s v="00200000678"/>
    <s v="Construction"/>
    <s v="Construction of Buildings"/>
    <s v="Others"/>
    <n v="622995.24"/>
    <n v="622995.24"/>
    <n v="622995.24"/>
    <n v="1"/>
    <n v="1"/>
    <n v="1"/>
  </r>
  <r>
    <s v="IBRAHIM MUKASA"/>
    <x v="2"/>
    <n v="-16"/>
    <n v="3625835.83"/>
    <x v="27"/>
    <n v="52373.18"/>
    <n v="3746697.02"/>
    <d v="2016-06-08T16:29:55"/>
    <d v="2017-12-10T00:00:00"/>
    <s v="0772459893"/>
    <s v=""/>
    <s v=""/>
    <n v="200190"/>
    <s v="00200000740"/>
    <s v="Retail"/>
    <s v="General Merchandise Stores"/>
    <s v="General Stores"/>
    <n v="0"/>
    <n v="0"/>
    <n v="0"/>
    <n v="0"/>
    <n v="0"/>
    <n v="0"/>
  </r>
  <r>
    <s v="KABIITO BAKER MUSOKE KIWANUKA"/>
    <x v="2"/>
    <n v="43"/>
    <n v="33044254.620000001"/>
    <x v="27"/>
    <n v="2000676.4"/>
    <n v="46310461.18"/>
    <d v="2016-06-11T12:05:46"/>
    <d v="2019-06-11T00:00:00"/>
    <s v="0701225224"/>
    <s v=""/>
    <s v=""/>
    <n v="200194"/>
    <s v="00200000755"/>
    <s v="Wholesale Trade"/>
    <s v="Durable Goods"/>
    <s v="Hardware, &amp; Plumbing &amp; Heating Equipment"/>
    <n v="33044254.620000001"/>
    <n v="33044254.620000001"/>
    <n v="0"/>
    <n v="1"/>
    <n v="1"/>
    <n v="0"/>
  </r>
  <r>
    <s v="EDRINE MAYANJA"/>
    <x v="0"/>
    <n v="-21"/>
    <n v="3252159.47"/>
    <x v="20"/>
    <n v="39025.910000000003"/>
    <n v="3863273.66"/>
    <d v="2016-06-15T12:56:45"/>
    <d v="2018-06-15T00:00:00"/>
    <s v="0757748304"/>
    <s v=""/>
    <s v=""/>
    <n v="200199"/>
    <s v="00200000758"/>
    <s v="Real Estate and Rental"/>
    <s v="Rental"/>
    <s v="Others"/>
    <n v="0"/>
    <n v="0"/>
    <n v="0"/>
    <n v="0"/>
    <n v="0"/>
    <n v="0"/>
  </r>
  <r>
    <s v="UGANDA OIL SEEDS PRODUCERS AND PROCESSORS ASSOCIATION LTD"/>
    <x v="2"/>
    <n v="39"/>
    <n v="21578331.32"/>
    <x v="10"/>
    <n v="1366304.36"/>
    <n v="25331722.579999998"/>
    <d v="2016-06-15T16:20:30"/>
    <d v="2018-06-15T00:00:00"/>
    <s v="0312264126"/>
    <s v=""/>
    <s v=""/>
    <n v="200201"/>
    <s v="00200000769"/>
    <s v="Manufacturing"/>
    <s v="Food Manufacturing"/>
    <s v="Others"/>
    <n v="21578331.32"/>
    <n v="21578331.32"/>
    <n v="0"/>
    <n v="1"/>
    <n v="1"/>
    <n v="0"/>
  </r>
  <r>
    <s v="DAVID ARINAITWE"/>
    <x v="3"/>
    <n v="9"/>
    <n v="2249732.4500000002"/>
    <x v="5"/>
    <n v="102223.14"/>
    <n v="2385598.65"/>
    <d v="2016-06-15T16:38:39"/>
    <d v="2017-12-15T00:00:00"/>
    <s v="0772953870"/>
    <s v=""/>
    <s v=""/>
    <n v="200202"/>
    <s v="00200000752"/>
    <s v="Retail"/>
    <s v="General Merchandise Stores"/>
    <s v="General Stores"/>
    <n v="2249732.4500000002"/>
    <n v="0"/>
    <n v="0"/>
    <n v="1"/>
    <n v="0"/>
    <n v="0"/>
  </r>
  <r>
    <s v="ALICE AYIKORU"/>
    <x v="7"/>
    <n v="150"/>
    <n v="826253.68"/>
    <x v="0"/>
    <n v="34427.24"/>
    <n v="860680.92"/>
    <d v="2016-06-24T18:45:51"/>
    <d v="2017-06-24T00:00:00"/>
    <s v="0782636866"/>
    <s v=""/>
    <s v=""/>
    <n v="200223"/>
    <s v="00200000781"/>
    <s v="Retail"/>
    <s v="Food and Beverage Stores"/>
    <s v="Fruit &amp; Vegetable Markets"/>
    <n v="826253.68"/>
    <n v="826253.68"/>
    <n v="826253.68"/>
    <n v="1"/>
    <n v="1"/>
    <n v="1"/>
  </r>
  <r>
    <s v="PATRICK JOLLY BAGUMA KANDOLE"/>
    <x v="2"/>
    <n v="23"/>
    <n v="28736718.07"/>
    <x v="27"/>
    <n v="683141.02"/>
    <n v="39526470.899999999"/>
    <d v="2016-06-25T13:21:12"/>
    <d v="2019-07-01T00:00:00"/>
    <s v="0703963213"/>
    <s v="0772509685"/>
    <s v=""/>
    <n v="200225"/>
    <s v="00200000734"/>
    <s v="Educational Services"/>
    <s v="Educational Services"/>
    <s v="Schools"/>
    <n v="28736718.07"/>
    <n v="0"/>
    <n v="0"/>
    <n v="1"/>
    <n v="0"/>
    <n v="0"/>
  </r>
  <r>
    <s v="SAMUEL MUGABI"/>
    <x v="2"/>
    <n v="22"/>
    <n v="33221911.890000001"/>
    <x v="1"/>
    <n v="1572672.49"/>
    <n v="46440442.189999998"/>
    <d v="2016-06-27T13:18:40"/>
    <d v="2019-07-02T00:00:00"/>
    <s v="0700829242"/>
    <s v=""/>
    <s v="0751192421"/>
    <n v="200226"/>
    <s v="00200000794"/>
    <s v="Restaurants and Hotels"/>
    <s v="Hotel"/>
    <s v="Hotel"/>
    <n v="33221911.890000001"/>
    <n v="0"/>
    <n v="0"/>
    <n v="1"/>
    <n v="0"/>
    <n v="0"/>
  </r>
  <r>
    <s v="PETER SSEKAJJA"/>
    <x v="0"/>
    <n v="-11"/>
    <n v="2336562.5299999998"/>
    <x v="12"/>
    <n v="63087.19"/>
    <n v="2495437.35"/>
    <d v="2016-06-27T18:45:03"/>
    <d v="2018-01-05T00:00:00"/>
    <s v="0782093140"/>
    <s v=""/>
    <s v=""/>
    <n v="200228"/>
    <s v="00200000795"/>
    <s v="Transportation and Warehousing"/>
    <s v="Truck Transportation"/>
    <s v="Others"/>
    <n v="0"/>
    <n v="0"/>
    <n v="0"/>
    <n v="0"/>
    <n v="0"/>
    <n v="0"/>
  </r>
  <r>
    <s v="FREDRICK MITALA"/>
    <x v="2"/>
    <n v="19"/>
    <n v="15076885.18"/>
    <x v="22"/>
    <n v="298711.59999999998"/>
    <n v="17402826.129999999"/>
    <d v="2016-06-28T14:10:41"/>
    <d v="2018-07-05T00:00:00"/>
    <s v="0702443734"/>
    <s v=""/>
    <s v="0772443734"/>
    <n v="200230"/>
    <s v="00200000839"/>
    <s v="Transportation and Warehousing"/>
    <s v=" Passenger Transportation"/>
    <s v="Others"/>
    <n v="15076885.18"/>
    <n v="0"/>
    <n v="0"/>
    <n v="1"/>
    <n v="0"/>
    <n v="0"/>
  </r>
  <r>
    <s v="LAURIEN NAKIGULI"/>
    <x v="0"/>
    <n v="-11"/>
    <n v="5499556.2400000002"/>
    <x v="16"/>
    <n v="148488.01999999999"/>
    <n v="6670286.5"/>
    <d v="2016-06-30T17:01:12"/>
    <d v="2018-07-05T00:00:00"/>
    <s v="0701634009"/>
    <s v=""/>
    <s v=""/>
    <n v="200245"/>
    <s v="00200000836"/>
    <s v="Retail"/>
    <s v="Food and Beverage Stores"/>
    <s v="Confectionery &amp; Nut Stores"/>
    <n v="0"/>
    <n v="0"/>
    <n v="0"/>
    <n v="0"/>
    <n v="0"/>
    <n v="0"/>
  </r>
  <r>
    <s v="ANNE LUTARA"/>
    <x v="2"/>
    <n v="23"/>
    <n v="14134916.619999999"/>
    <x v="13"/>
    <n v="783132.43"/>
    <n v="16593580.869999999"/>
    <d v="2016-06-30T17:13:15"/>
    <d v="2018-07-01T00:00:00"/>
    <s v="0772628000"/>
    <s v=""/>
    <s v=""/>
    <n v="200246"/>
    <s v="00200000775"/>
    <s v="Retail"/>
    <s v="General Merchandise Stores"/>
    <s v="Others"/>
    <n v="14134916.619999999"/>
    <n v="0"/>
    <n v="0"/>
    <n v="1"/>
    <n v="0"/>
    <n v="0"/>
  </r>
  <r>
    <s v="MAIMUNAH NAKABUYE"/>
    <x v="1"/>
    <n v="43"/>
    <n v="7697640.4299999997"/>
    <x v="13"/>
    <n v="490375.9"/>
    <n v="9178160.4000000004"/>
    <d v="2016-07-11T11:25:33"/>
    <d v="2018-07-11T00:00:00"/>
    <s v="0752660299"/>
    <s v=""/>
    <s v=""/>
    <n v="200261"/>
    <s v="00200000893"/>
    <s v="Real Estate and Rental"/>
    <s v="Rental"/>
    <s v="Others"/>
    <n v="7697640.4299999997"/>
    <n v="7697640.4299999997"/>
    <n v="0"/>
    <n v="1"/>
    <n v="1"/>
    <n v="0"/>
  </r>
  <r>
    <s v="JROBTA ENTERPRISES LIMITED"/>
    <x v="3"/>
    <n v="43"/>
    <n v="13409280.34"/>
    <x v="19"/>
    <n v="513525.67"/>
    <n v="17898761.219999999"/>
    <d v="2016-07-11T15:25:14"/>
    <d v="2019-01-11T00:00:00"/>
    <s v="0782849651"/>
    <s v=""/>
    <s v=""/>
    <n v="200263"/>
    <s v="00200000865"/>
    <s v="Retail"/>
    <s v="Furniture and Home Furnishings Stores"/>
    <s v="Others"/>
    <n v="13409280.34"/>
    <n v="13409280.34"/>
    <n v="0"/>
    <n v="1"/>
    <n v="1"/>
    <n v="0"/>
  </r>
  <r>
    <s v="WILBERFORCE TWINOMUJUNI"/>
    <x v="3"/>
    <n v="98"/>
    <n v="15447617.51"/>
    <x v="19"/>
    <n v="1186213.57"/>
    <n v="19747703.68"/>
    <d v="2016-07-13T09:52:37"/>
    <d v="2018-07-16T00:00:00"/>
    <s v="0777154162"/>
    <s v=""/>
    <s v="0756154162"/>
    <n v="200266"/>
    <s v="00200000924"/>
    <s v="Retail"/>
    <s v="Others"/>
    <s v="Others"/>
    <n v="15447617.51"/>
    <n v="15447617.51"/>
    <n v="15447617.51"/>
    <n v="1"/>
    <n v="1"/>
    <n v="1"/>
  </r>
  <r>
    <s v="PAUL SSEBUKULU"/>
    <x v="0"/>
    <n v="70"/>
    <n v="4944804.82"/>
    <x v="12"/>
    <n v="202608.27"/>
    <n v="5453613.9400000004"/>
    <d v="2016-07-14T11:17:56"/>
    <d v="2018-01-14T00:00:00"/>
    <s v="0754822414"/>
    <s v=""/>
    <s v=""/>
    <n v="200271"/>
    <s v="00200000702"/>
    <s v="Retail"/>
    <s v="Motor Vehicle and Parts Dealers"/>
    <s v="Automotive Parts, Accessories, &amp; Tire Stores"/>
    <n v="4944804.82"/>
    <n v="4944804.82"/>
    <n v="0"/>
    <n v="1"/>
    <n v="1"/>
    <n v="0"/>
  </r>
  <r>
    <s v="ISSA KASADAKAAWO"/>
    <x v="6"/>
    <n v="-27"/>
    <n v="1201566.93"/>
    <x v="17"/>
    <n v="1668.84"/>
    <n v="1356919.91"/>
    <d v="2016-07-16T13:23:23"/>
    <d v="2018-10-21T00:00:00"/>
    <s v="0755166785"/>
    <s v=""/>
    <s v=""/>
    <n v="200276"/>
    <s v="00200000009"/>
    <s v="Finance and Insurance"/>
    <s v="Finance"/>
    <s v="Others"/>
    <n v="0"/>
    <n v="0"/>
    <n v="0"/>
    <n v="0"/>
    <n v="0"/>
    <n v="0"/>
  </r>
  <r>
    <s v="ZEED KAYONDO"/>
    <x v="0"/>
    <n v="5"/>
    <n v="1249144.06"/>
    <x v="16"/>
    <n v="88775.98"/>
    <n v="1332915.3400000001"/>
    <d v="2016-07-19T15:58:11"/>
    <d v="2018-01-19T00:00:00"/>
    <s v="0774591990"/>
    <s v=""/>
    <s v=""/>
    <n v="200284"/>
    <s v="00200000947"/>
    <s v="Transportation and Warehousing"/>
    <s v="Truck Transportation"/>
    <s v="General Freight Trucking, Long-distance"/>
    <n v="1249144.06"/>
    <n v="0"/>
    <n v="0"/>
    <n v="1"/>
    <n v="0"/>
    <n v="0"/>
  </r>
  <r>
    <s v="LUTAAYA ALI KABOGOZA"/>
    <x v="0"/>
    <n v="-28"/>
    <n v="1540023.76"/>
    <x v="18"/>
    <n v="2310.04"/>
    <n v="1644737.84"/>
    <d v="2016-07-22T12:58:25"/>
    <d v="2018-01-22T00:00:00"/>
    <s v="0783676535"/>
    <s v=""/>
    <s v="0703974628"/>
    <n v="200290"/>
    <s v="00200000363"/>
    <s v="Transportation and Warehousing"/>
    <s v=" Passenger Transportation"/>
    <s v="Taxi service"/>
    <n v="0"/>
    <n v="0"/>
    <n v="0"/>
    <n v="0"/>
    <n v="0"/>
    <n v="0"/>
  </r>
  <r>
    <s v="ALOZIUS TENYWA"/>
    <x v="0"/>
    <n v="181"/>
    <n v="1265329.6499999999"/>
    <x v="23"/>
    <n v="44667.61"/>
    <n v="1335149.8700000001"/>
    <d v="2016-07-23T13:18:17"/>
    <d v="2017-07-23T00:00:00"/>
    <s v="0782675290"/>
    <s v=""/>
    <s v=""/>
    <n v="200295"/>
    <s v="00200000982"/>
    <s v="Wholesale Trade"/>
    <s v="Nondurable Goods"/>
    <s v="Others"/>
    <n v="1265329.6499999999"/>
    <n v="1265329.6499999999"/>
    <n v="1265329.6499999999"/>
    <n v="1"/>
    <n v="1"/>
    <n v="1"/>
  </r>
  <r>
    <s v="JAMES WANIALA"/>
    <x v="3"/>
    <n v="23"/>
    <n v="8566048"/>
    <x v="18"/>
    <n v="572984.07999999996"/>
    <n v="10561161.43"/>
    <d v="2016-07-26T13:31:43"/>
    <d v="2018-08-01T00:00:00"/>
    <s v="0782081703"/>
    <s v=""/>
    <s v=""/>
    <n v="200299"/>
    <s v="00200000964"/>
    <s v="Real Estate and Rental"/>
    <s v="Rental"/>
    <s v="Others"/>
    <n v="8566048"/>
    <n v="0"/>
    <n v="0"/>
    <n v="1"/>
    <n v="0"/>
    <n v="0"/>
  </r>
  <r>
    <s v="MAWAZI MUGOYA"/>
    <x v="3"/>
    <n v="53"/>
    <n v="17027218.030000001"/>
    <x v="15"/>
    <n v="639853.77"/>
    <n v="20763290.43"/>
    <d v="2016-07-27T14:11:16"/>
    <d v="2018-08-01T00:00:00"/>
    <s v="0701508295"/>
    <s v="0772508295"/>
    <s v=""/>
    <n v="200300"/>
    <s v="00200000109"/>
    <s v="Transportation and Warehousing"/>
    <s v="Truck Transportation"/>
    <s v="Others"/>
    <n v="17027218.030000001"/>
    <n v="17027218.030000001"/>
    <n v="0"/>
    <n v="1"/>
    <n v="1"/>
    <n v="0"/>
  </r>
  <r>
    <s v="GEOFREY MUYANJA"/>
    <x v="3"/>
    <n v="23"/>
    <n v="15363874.67"/>
    <x v="22"/>
    <n v="445700.42"/>
    <n v="22783191.969999999"/>
    <d v="2016-07-27T11:13:10"/>
    <d v="2019-08-01T00:00:00"/>
    <s v="0752542146"/>
    <s v="0782542146"/>
    <s v=""/>
    <n v="200303"/>
    <s v="00200000961"/>
    <s v="Retail"/>
    <s v="General Merchandise Stores"/>
    <s v="General Stores"/>
    <n v="15363874.67"/>
    <n v="0"/>
    <n v="0"/>
    <n v="1"/>
    <n v="0"/>
    <n v="0"/>
  </r>
  <r>
    <s v="ASUMAN DDAMBA"/>
    <x v="3"/>
    <n v="23"/>
    <n v="5756806.8799999999"/>
    <x v="24"/>
    <n v="359372.27"/>
    <n v="6343771.9699999997"/>
    <d v="2016-07-28T15:43:47"/>
    <d v="2018-02-01T00:00:00"/>
    <s v="0776502681"/>
    <s v=""/>
    <s v=""/>
    <n v="200309"/>
    <s v="00200000088"/>
    <s v="Transportation and Warehousing"/>
    <s v=" Passenger Transportation"/>
    <s v="Taxi service"/>
    <n v="5756806.8799999999"/>
    <n v="0"/>
    <n v="0"/>
    <n v="1"/>
    <n v="0"/>
    <n v="0"/>
  </r>
  <r>
    <s v="MAX ASABA"/>
    <x v="2"/>
    <n v="-1"/>
    <n v="7323820.7699999996"/>
    <x v="5"/>
    <n v="227852.2"/>
    <n v="7817411.1399999997"/>
    <d v="2016-07-29T10:25:37"/>
    <d v="2018-01-25T00:00:00"/>
    <s v="0752633940"/>
    <s v=""/>
    <s v=""/>
    <n v="200310"/>
    <s v="00200000935"/>
    <s v="Transportation and Warehousing"/>
    <s v=" Passenger Transportation"/>
    <s v="Taxi service"/>
    <n v="0"/>
    <n v="0"/>
    <n v="0"/>
    <n v="0"/>
    <n v="0"/>
    <n v="0"/>
  </r>
  <r>
    <s v="FRANCIS MAZINGA"/>
    <x v="3"/>
    <n v="50"/>
    <n v="14456376.6"/>
    <x v="10"/>
    <n v="1079999.8799999999"/>
    <n v="18119849.739999998"/>
    <d v="2016-07-29T12:10:55"/>
    <d v="2018-08-04T00:00:00"/>
    <s v="0752568131"/>
    <s v=""/>
    <s v=""/>
    <n v="200313"/>
    <s v="00200000908"/>
    <s v="Manufacturing"/>
    <s v="Plastics and Rubber"/>
    <s v="Plastics Product"/>
    <n v="14456376.6"/>
    <n v="14456376.6"/>
    <n v="0"/>
    <n v="1"/>
    <n v="1"/>
    <n v="0"/>
  </r>
  <r>
    <s v="ISAIH KIBUDDE"/>
    <x v="1"/>
    <n v="142"/>
    <n v="1016516.93"/>
    <x v="23"/>
    <n v="24042.41"/>
    <n v="1041388.39"/>
    <d v="2016-07-29T15:26:14"/>
    <d v="2017-08-02T00:00:00"/>
    <s v="0752469361"/>
    <s v=""/>
    <s v=""/>
    <n v="200315"/>
    <s v="00200001022"/>
    <s v="Wholesale Trade"/>
    <s v="Nondurable Goods"/>
    <s v="Others"/>
    <n v="1016516.93"/>
    <n v="1016516.93"/>
    <n v="1016516.93"/>
    <n v="1"/>
    <n v="1"/>
    <n v="1"/>
  </r>
  <r>
    <s v="JOSEPH TUMWESIGYE"/>
    <x v="3"/>
    <n v="83"/>
    <n v="12342311.060000001"/>
    <x v="7"/>
    <n v="967566.19"/>
    <n v="15781200.74"/>
    <d v="2016-07-29T16:23:48"/>
    <d v="2018-08-01T00:00:00"/>
    <s v="0702960376"/>
    <s v=""/>
    <s v=""/>
    <n v="200318"/>
    <s v="00200000776"/>
    <s v="Wholesale Trade"/>
    <s v="Nondurable Goods"/>
    <s v="Others"/>
    <n v="12342311.060000001"/>
    <n v="12342311.060000001"/>
    <n v="0"/>
    <n v="1"/>
    <n v="1"/>
    <n v="0"/>
  </r>
  <r>
    <s v="HARRIET WAMALA NANSEERA"/>
    <x v="3"/>
    <n v="53"/>
    <n v="9116685.1999999993"/>
    <x v="19"/>
    <n v="340384.81"/>
    <n v="11104174.09"/>
    <d v="2016-07-29T17:19:59"/>
    <d v="2018-08-01T00:00:00"/>
    <s v="0754977077"/>
    <s v=""/>
    <s v=""/>
    <n v="200319"/>
    <s v="00200000860"/>
    <s v="Wholesale Trade"/>
    <s v="Durable Goods"/>
    <s v="Others"/>
    <n v="9116685.1999999993"/>
    <n v="9116685.1999999993"/>
    <n v="0"/>
    <n v="1"/>
    <n v="1"/>
    <n v="0"/>
  </r>
  <r>
    <s v="SYLIVIA NAKABUBI"/>
    <x v="3"/>
    <n v="-7"/>
    <n v="3511915.43"/>
    <x v="27"/>
    <n v="103016.19"/>
    <n v="3796540.79"/>
    <d v="2016-07-30T12:40:45"/>
    <d v="2018-02-01T00:00:00"/>
    <s v="0782396351"/>
    <s v=""/>
    <s v=""/>
    <n v="200322"/>
    <s v="00200001040"/>
    <s v="Retail"/>
    <s v="Motor Vehicle and Parts Dealers"/>
    <s v="Others"/>
    <n v="0"/>
    <n v="0"/>
    <n v="0"/>
    <n v="0"/>
    <n v="0"/>
    <n v="0"/>
  </r>
  <r>
    <s v="ISMA NYENJE"/>
    <x v="3"/>
    <n v="53"/>
    <n v="14382713.42"/>
    <x v="7"/>
    <n v="1106479.67"/>
    <n v="18059502.079999998"/>
    <d v="2016-07-30T13:28:49"/>
    <d v="2018-08-01T00:00:00"/>
    <s v="0755992087"/>
    <s v=""/>
    <s v=""/>
    <n v="200331"/>
    <s v="00200000993"/>
    <s v="Agriculture, Forestry, Fishing and Hunting"/>
    <s v="Animal Production"/>
    <s v="Other Animal Production"/>
    <n v="14382713.42"/>
    <n v="14382713.42"/>
    <n v="0"/>
    <n v="1"/>
    <n v="1"/>
    <n v="0"/>
  </r>
  <r>
    <s v="ROBERT MIKE MUKEDE"/>
    <x v="3"/>
    <n v="-15"/>
    <n v="4935021.6500000004"/>
    <x v="18"/>
    <n v="80605.350000000006"/>
    <n v="5284433.72"/>
    <d v="2016-07-30T16:03:28"/>
    <d v="2018-02-09T00:00:00"/>
    <s v="0772463698"/>
    <s v=""/>
    <s v="0793993394"/>
    <n v="200334"/>
    <s v="00200000103"/>
    <s v="Transportation and Warehousing"/>
    <s v=" Passenger Transportation"/>
    <s v="Taxi service"/>
    <n v="0"/>
    <n v="0"/>
    <n v="0"/>
    <n v="0"/>
    <n v="0"/>
    <n v="0"/>
  </r>
  <r>
    <s v="DOUGLAS KIKOOLE"/>
    <x v="3"/>
    <n v="22"/>
    <n v="8511487.2599999998"/>
    <x v="27"/>
    <n v="556659.73"/>
    <n v="10491621.65"/>
    <d v="2016-08-02T08:29:33"/>
    <d v="2018-08-02T00:00:00"/>
    <s v="0774414273"/>
    <s v=""/>
    <s v=""/>
    <n v="200335"/>
    <s v="00200001039"/>
    <s v="Restaurants and Hotels"/>
    <s v="Restaurant"/>
    <s v="Restaurant"/>
    <n v="8511487.2599999998"/>
    <n v="0"/>
    <n v="0"/>
    <n v="1"/>
    <n v="0"/>
    <n v="0"/>
  </r>
  <r>
    <s v="ASUMAN MUGEGERE MAYIRO"/>
    <x v="2"/>
    <n v="-9"/>
    <n v="24450276.539999999"/>
    <x v="2"/>
    <n v="543339.48"/>
    <n v="34387583.670000002"/>
    <d v="2016-08-02T16:36:56"/>
    <d v="2019-08-03T00:00:00"/>
    <s v="0774771983"/>
    <s v=""/>
    <s v="0701771983"/>
    <n v="200337"/>
    <s v="00200001027"/>
    <s v="Real Estate and Rental"/>
    <s v="Rental"/>
    <s v="Others"/>
    <n v="0"/>
    <n v="0"/>
    <n v="0"/>
    <n v="0"/>
    <n v="0"/>
    <n v="0"/>
  </r>
  <r>
    <s v="JACINTA DUSABE"/>
    <x v="8"/>
    <n v="192"/>
    <n v="2361969.35"/>
    <x v="25"/>
    <n v="171202.49"/>
    <n v="2613027.35"/>
    <d v="2016-08-03T17:11:41"/>
    <d v="2017-08-12T00:00:00"/>
    <s v="0787297242"/>
    <s v=""/>
    <s v=""/>
    <n v="200339"/>
    <s v="00200001035"/>
    <s v="Wholesale Trade"/>
    <s v="Nondurable Goods"/>
    <s v="Others"/>
    <n v="2361969.35"/>
    <n v="2361969.35"/>
    <n v="2361969.35"/>
    <n v="1"/>
    <n v="1"/>
    <n v="1"/>
  </r>
  <r>
    <s v="ABDU NAFI MUSIITWA"/>
    <x v="0"/>
    <n v="44"/>
    <n v="4638567.24"/>
    <x v="16"/>
    <n v="199009.72"/>
    <n v="5151028.08"/>
    <d v="2016-08-05T15:45:35"/>
    <d v="2018-02-10T00:00:00"/>
    <s v="0781241334"/>
    <s v=""/>
    <s v=""/>
    <n v="200342"/>
    <s v="00200000938"/>
    <s v="Real Estate and Rental"/>
    <s v="Rental"/>
    <s v="Others"/>
    <n v="4638567.24"/>
    <n v="4638567.24"/>
    <n v="0"/>
    <n v="1"/>
    <n v="1"/>
    <n v="0"/>
  </r>
  <r>
    <s v="ANDREW MUGARURA KAYEENDA"/>
    <x v="3"/>
    <n v="138"/>
    <n v="14359731.98"/>
    <x v="10"/>
    <n v="752940.7"/>
    <n v="16738234.949999999"/>
    <d v="2016-08-06T12:50:40"/>
    <d v="2018-02-06T00:00:00"/>
    <s v="0775264993"/>
    <s v="0702264993"/>
    <s v=""/>
    <n v="200343"/>
    <s v="00200000967"/>
    <s v="Real Estate and Rental"/>
    <s v="Rental"/>
    <s v="Others"/>
    <n v="14359731.98"/>
    <n v="14359731.98"/>
    <n v="14359731.98"/>
    <n v="1"/>
    <n v="1"/>
    <n v="1"/>
  </r>
  <r>
    <s v="WILSON MUHIMBURA"/>
    <x v="1"/>
    <n v="-25"/>
    <n v="18568528.07"/>
    <x v="11"/>
    <n v="74274.11"/>
    <n v="21463449.129999999"/>
    <d v="2016-08-09T16:22:19"/>
    <d v="2018-08-19T00:00:00"/>
    <s v="0772503793"/>
    <s v=""/>
    <s v=""/>
    <n v="200345"/>
    <s v="00200000867"/>
    <s v="Wholesale Trade"/>
    <s v="Durable Goods"/>
    <s v="Others"/>
    <n v="0"/>
    <n v="0"/>
    <n v="0"/>
    <n v="0"/>
    <n v="0"/>
    <n v="0"/>
  </r>
  <r>
    <s v="MUSA KAWALYA"/>
    <x v="0"/>
    <n v="-18"/>
    <n v="2943080.4"/>
    <x v="16"/>
    <n v="48560.83"/>
    <n v="3211842.75"/>
    <d v="2016-08-11T13:08:52"/>
    <d v="2018-02-12T00:00:00"/>
    <s v="0772026616"/>
    <s v=""/>
    <s v="0703632539"/>
    <n v="200346"/>
    <s v="00200001145"/>
    <s v="Retail"/>
    <s v="Motor Vehicle and Parts Dealers"/>
    <s v="Automotive Parts, Accessories, &amp; Tire Stores"/>
    <n v="0"/>
    <n v="0"/>
    <n v="0"/>
    <n v="0"/>
    <n v="0"/>
    <n v="0"/>
  </r>
  <r>
    <s v="HENRY KADDU"/>
    <x v="0"/>
    <n v="102"/>
    <n v="284904.05"/>
    <x v="23"/>
    <n v="0"/>
    <n v="284904.05"/>
    <d v="2016-08-12T13:55:12"/>
    <d v="2017-08-12T00:00:00"/>
    <s v="0782937629"/>
    <s v="0752937629"/>
    <s v=""/>
    <n v="200348"/>
    <s v="00200001092"/>
    <s v="Wholesale Trade"/>
    <s v="Nondurable Goods"/>
    <s v="Others"/>
    <n v="284904.05"/>
    <n v="284904.05"/>
    <n v="284904.05"/>
    <n v="1"/>
    <n v="1"/>
    <n v="1"/>
  </r>
  <r>
    <s v="ROBERT KIBERU"/>
    <x v="1"/>
    <n v="-18"/>
    <n v="18294672.07"/>
    <x v="1"/>
    <n v="223601.55"/>
    <n v="21476895.030000001"/>
    <d v="2016-08-12T17:06:58"/>
    <d v="2018-08-12T00:00:00"/>
    <s v="077294539"/>
    <s v=""/>
    <s v=""/>
    <n v="200352"/>
    <s v="00200001120"/>
    <s v="Agriculture, Forestry, Fishing and Hunting"/>
    <s v="Animal Production"/>
    <s v="Cattle Feedlots"/>
    <n v="0"/>
    <n v="0"/>
    <n v="0"/>
    <n v="0"/>
    <n v="0"/>
    <n v="0"/>
  </r>
  <r>
    <s v="JOSEPH SSENTONGO"/>
    <x v="3"/>
    <n v="92"/>
    <n v="1956822.75"/>
    <x v="27"/>
    <n v="0"/>
    <n v="1956822.75"/>
    <d v="2016-08-22T16:18:18"/>
    <d v="2017-08-22T00:00:00"/>
    <s v="077279443"/>
    <s v="0752694243"/>
    <s v=""/>
    <n v="200374"/>
    <s v="00200001179"/>
    <s v="Retail"/>
    <s v="Building Material and Garden Equipment"/>
    <s v="Hardware Stores"/>
    <n v="1956822.75"/>
    <n v="1956822.75"/>
    <n v="1956822.75"/>
    <n v="1"/>
    <n v="1"/>
    <n v="1"/>
  </r>
  <r>
    <s v="EVE SSALI"/>
    <x v="7"/>
    <n v="180"/>
    <n v="1782658.94"/>
    <x v="23"/>
    <n v="65569.39"/>
    <n v="1920309.56"/>
    <d v="2016-08-24T12:55:21"/>
    <d v="2017-08-24T00:00:00"/>
    <s v="0701669785"/>
    <s v="0772669785"/>
    <s v=""/>
    <n v="200389"/>
    <s v="00200001204"/>
    <s v="Retail"/>
    <s v="General Merchandise Stores"/>
    <s v="General Stores"/>
    <n v="1782658.94"/>
    <n v="1782658.94"/>
    <n v="1782658.94"/>
    <n v="1"/>
    <n v="1"/>
    <n v="1"/>
  </r>
  <r>
    <s v="DAISY LUNKUSE"/>
    <x v="3"/>
    <n v="-10"/>
    <n v="4640736.29"/>
    <x v="27"/>
    <n v="117565.32"/>
    <n v="5113906.5999999996"/>
    <d v="2016-08-25T14:12:19"/>
    <d v="2018-03-04T00:00:00"/>
    <s v="0772631516"/>
    <s v="0705491214"/>
    <s v=""/>
    <n v="200390"/>
    <s v="00200001201"/>
    <s v="Agriculture, Forestry, Fishing and Hunting"/>
    <s v="Animal Production"/>
    <s v="Poultry &amp; Egg Production"/>
    <n v="0"/>
    <n v="0"/>
    <n v="0"/>
    <n v="0"/>
    <n v="0"/>
    <n v="0"/>
  </r>
  <r>
    <s v="SWAIBU MUBIRU"/>
    <x v="0"/>
    <n v="-7"/>
    <n v="2525727.4500000002"/>
    <x v="16"/>
    <n v="83349.009999999995"/>
    <n v="2816121.93"/>
    <d v="2016-08-26T10:59:32"/>
    <d v="2018-03-01T00:00:00"/>
    <s v="0702668378"/>
    <s v=""/>
    <s v=""/>
    <n v="200392"/>
    <s v="00200001174"/>
    <s v="Transportation and Warehousing"/>
    <s v=" Passenger Transportation"/>
    <s v="Taxi service"/>
    <n v="0"/>
    <n v="0"/>
    <n v="0"/>
    <n v="0"/>
    <n v="0"/>
    <n v="0"/>
  </r>
  <r>
    <s v="SARAH KASOZI NAMATOVU"/>
    <x v="8"/>
    <n v="81"/>
    <n v="2480657.65"/>
    <x v="10"/>
    <n v="140010.87"/>
    <n v="2700985.94"/>
    <d v="2016-08-29T16:27:00"/>
    <d v="2017-12-03T00:00:00"/>
    <s v="0774856464"/>
    <s v=""/>
    <s v="0704398932"/>
    <n v="200398"/>
    <s v="00200000847"/>
    <s v="Retail"/>
    <s v="Miscellaneous Store Retailers"/>
    <s v="Others"/>
    <n v="2480657.65"/>
    <n v="2480657.65"/>
    <n v="0"/>
    <n v="1"/>
    <n v="1"/>
    <n v="0"/>
  </r>
  <r>
    <s v="JOEL MUGISA MWESIGE"/>
    <x v="3"/>
    <n v="21"/>
    <n v="5767749.8499999996"/>
    <x v="16"/>
    <n v="153514.85"/>
    <n v="6354714.9400000004"/>
    <d v="2016-08-30T09:41:10"/>
    <d v="2018-03-03T00:00:00"/>
    <s v="0782364793"/>
    <s v=""/>
    <s v=""/>
    <n v="200400"/>
    <s v="00200000998"/>
    <s v="Retail"/>
    <s v="Food and Beverage Stores"/>
    <s v="Convenience Stores (minimart)"/>
    <n v="5767749.8499999996"/>
    <n v="0"/>
    <n v="0"/>
    <n v="1"/>
    <n v="0"/>
    <n v="0"/>
  </r>
  <r>
    <s v="MUHAMED MATOVU"/>
    <x v="1"/>
    <n v="21"/>
    <n v="11431392.869999999"/>
    <x v="16"/>
    <n v="615580.75"/>
    <n v="13842343.619999999"/>
    <d v="2016-08-30T12:52:14"/>
    <d v="2018-09-03T00:00:00"/>
    <s v="0772523376"/>
    <s v=""/>
    <s v=""/>
    <n v="200401"/>
    <s v="00200001200"/>
    <s v="Real Estate and Rental"/>
    <s v="Rental"/>
    <s v="General Rental Centers"/>
    <n v="11431392.869999999"/>
    <n v="0"/>
    <n v="0"/>
    <n v="1"/>
    <n v="0"/>
    <n v="0"/>
  </r>
  <r>
    <s v="SSAKA KADDU"/>
    <x v="0"/>
    <n v="81"/>
    <n v="392896.1"/>
    <x v="6"/>
    <n v="0"/>
    <n v="392896.1"/>
    <d v="2016-08-31T17:28:09"/>
    <d v="2017-09-03T00:00:00"/>
    <s v="0754530280"/>
    <s v=""/>
    <s v=""/>
    <n v="200408"/>
    <s v="00200001026"/>
    <s v="Real Estate and Rental"/>
    <s v="Rental"/>
    <s v="Others"/>
    <n v="392896.1"/>
    <n v="392896.1"/>
    <n v="0"/>
    <n v="1"/>
    <n v="1"/>
    <n v="0"/>
  </r>
  <r>
    <s v="GEOFREY BAGANZI"/>
    <x v="0"/>
    <n v="171"/>
    <n v="1108528.8899999999"/>
    <x v="7"/>
    <n v="40873.49"/>
    <n v="1191474.8999999999"/>
    <d v="2016-08-31T19:22:22"/>
    <d v="2017-09-03T00:00:00"/>
    <s v="0706339800"/>
    <s v=""/>
    <s v=""/>
    <n v="200410"/>
    <s v="00200001235"/>
    <s v="Retail"/>
    <s v="Others"/>
    <s v="Others"/>
    <n v="1108528.8899999999"/>
    <n v="1108528.8899999999"/>
    <n v="1108528.8899999999"/>
    <n v="1"/>
    <n v="1"/>
    <n v="1"/>
  </r>
  <r>
    <s v="IVAN SSEMWOGERERE"/>
    <x v="3"/>
    <n v="18"/>
    <n v="5978292.4400000004"/>
    <x v="22"/>
    <n v="280922.98"/>
    <n v="6645734.6299999999"/>
    <d v="2016-09-06T12:13:59"/>
    <d v="2018-03-06T00:00:00"/>
    <s v="078048196"/>
    <s v="0701228373"/>
    <s v=""/>
    <n v="200415"/>
    <s v="00200001259"/>
    <s v="Retail"/>
    <s v="Furniture and Home Furnishings Stores"/>
    <s v="Furniture Stores"/>
    <n v="5978292.4400000004"/>
    <n v="0"/>
    <n v="0"/>
    <n v="1"/>
    <n v="0"/>
    <n v="0"/>
  </r>
  <r>
    <s v="EMMANUEL LUTAAYA"/>
    <x v="3"/>
    <n v="39"/>
    <n v="3807535.71"/>
    <x v="22"/>
    <n v="219992.2"/>
    <n v="4081990.05"/>
    <d v="2016-09-07T17:47:32"/>
    <d v="2017-12-15T00:00:00"/>
    <s v="0776341342"/>
    <s v=""/>
    <s v=""/>
    <n v="200418"/>
    <s v="00200001183"/>
    <s v="Transportation and Warehousing"/>
    <s v="Truck Transportation"/>
    <s v="General Freight Trucking, Long-distance"/>
    <n v="3807535.71"/>
    <n v="3807535.71"/>
    <n v="0"/>
    <n v="1"/>
    <n v="1"/>
    <n v="0"/>
  </r>
  <r>
    <s v="PAUL NYANGABYAKI"/>
    <x v="1"/>
    <n v="-16"/>
    <n v="28186077.59"/>
    <x v="11"/>
    <n v="407132.23"/>
    <n v="40220086.299999997"/>
    <d v="2016-09-10T11:22:09"/>
    <d v="2019-09-10T00:00:00"/>
    <s v="0752585000"/>
    <s v=""/>
    <s v=""/>
    <n v="200424"/>
    <s v="00200001226"/>
    <s v="Restaurants and Hotels"/>
    <s v="Restaurant"/>
    <s v="Restaurant"/>
    <n v="0"/>
    <n v="0"/>
    <n v="0"/>
    <n v="0"/>
    <n v="0"/>
    <n v="0"/>
  </r>
  <r>
    <s v="JULIANA CONCEPTA TASULE"/>
    <x v="1"/>
    <n v="-16"/>
    <n v="9780727.4199999999"/>
    <x v="27"/>
    <n v="141277.17000000001"/>
    <n v="12778062.49"/>
    <d v="2016-09-10T14:06:33"/>
    <d v="2019-03-10T00:00:00"/>
    <s v="0772444307"/>
    <s v=""/>
    <s v=""/>
    <n v="200427"/>
    <s v="00200001268"/>
    <s v="Retail"/>
    <s v="New-Clothing and  Accessories"/>
    <s v="Others"/>
    <n v="0"/>
    <n v="0"/>
    <n v="0"/>
    <n v="0"/>
    <n v="0"/>
    <n v="0"/>
  </r>
  <r>
    <s v="GLADYS UNIYA NAJJUKA JOAN"/>
    <x v="1"/>
    <n v="11"/>
    <n v="22587078.539999999"/>
    <x v="22"/>
    <n v="247246.29"/>
    <n v="32087611.550000001"/>
    <d v="2016-09-13T12:46:47"/>
    <d v="2019-09-13T00:00:00"/>
    <s v="0772862314"/>
    <s v="0701133500"/>
    <s v=""/>
    <n v="200428"/>
    <s v="00200001236"/>
    <s v="Wholesale Trade"/>
    <s v="Durable Goods"/>
    <s v="Furniture &amp; Home Furnishings"/>
    <n v="22587078.539999999"/>
    <n v="0"/>
    <n v="0"/>
    <n v="1"/>
    <n v="0"/>
    <n v="0"/>
  </r>
  <r>
    <s v="SUSAN MWOGEZA"/>
    <x v="1"/>
    <n v="-20"/>
    <n v="14093038.710000001"/>
    <x v="1"/>
    <n v="140930.39000000001"/>
    <n v="20110042.940000001"/>
    <d v="2016-09-14T17:28:50"/>
    <d v="2019-09-14T00:00:00"/>
    <s v="0772505588"/>
    <s v=""/>
    <s v=""/>
    <n v="200430"/>
    <s v="00200001088"/>
    <s v="Real Estate and Rental"/>
    <s v="Rental"/>
    <s v="General Rental Centers"/>
    <n v="0"/>
    <n v="0"/>
    <n v="0"/>
    <n v="0"/>
    <n v="0"/>
    <n v="0"/>
  </r>
  <r>
    <s v="SIMON PETER WAKOOLI"/>
    <x v="0"/>
    <n v="39"/>
    <n v="2519867.0299999998"/>
    <x v="25"/>
    <n v="219199.85"/>
    <n v="3316130.55"/>
    <d v="2016-09-14T18:05:07"/>
    <d v="2018-09-15T00:00:00"/>
    <s v="0772384611"/>
    <s v=""/>
    <s v=""/>
    <n v="200431"/>
    <s v="00200001290"/>
    <s v="Real Estate and Rental"/>
    <s v="Rental"/>
    <s v="Others"/>
    <n v="2519867.0299999998"/>
    <n v="2519867.0299999998"/>
    <n v="0"/>
    <n v="1"/>
    <n v="1"/>
    <n v="0"/>
  </r>
  <r>
    <s v="NASSER MUTEBI LUKYAMUZI"/>
    <x v="1"/>
    <n v="8"/>
    <n v="21121764.120000001"/>
    <x v="27"/>
    <n v="855508.71"/>
    <n v="25576251.32"/>
    <d v="2016-09-16T08:12:33"/>
    <d v="2018-09-16T00:00:00"/>
    <s v="00702108395"/>
    <s v=""/>
    <s v=""/>
    <n v="200435"/>
    <s v="00200001313"/>
    <s v="Wholesale Trade"/>
    <s v="Durable Goods"/>
    <s v="Others"/>
    <n v="21121764.120000001"/>
    <n v="0"/>
    <n v="0"/>
    <n v="1"/>
    <n v="0"/>
    <n v="0"/>
  </r>
  <r>
    <s v="GEOFREY BIRYOMUMISHO"/>
    <x v="1"/>
    <n v="0"/>
    <n v="28084094.899999999"/>
    <x v="10"/>
    <n v="814438.75"/>
    <n v="39281778.450000003"/>
    <d v="2016-09-16T16:11:04"/>
    <d v="2019-09-24T00:00:00"/>
    <s v="0753713492"/>
    <s v="0782713492"/>
    <s v=""/>
    <n v="200436"/>
    <s v="00200001168"/>
    <s v="Mining"/>
    <s v="Mining and Extraction"/>
    <s v="Oil &amp; Gas Extraction"/>
    <n v="0"/>
    <n v="0"/>
    <n v="0"/>
    <n v="0"/>
    <n v="0"/>
    <n v="0"/>
  </r>
  <r>
    <s v="JULIET ASIIMWE"/>
    <x v="1"/>
    <n v="-25"/>
    <n v="14834777.609999999"/>
    <x v="22"/>
    <n v="65932.34"/>
    <n v="21168466.27"/>
    <d v="2016-09-19T16:51:15"/>
    <d v="2019-09-19T00:00:00"/>
    <s v="0702682906"/>
    <s v="0782798875"/>
    <s v=""/>
    <n v="200439"/>
    <s v="00200001275"/>
    <s v="Real Estate and Rental"/>
    <s v="Rental"/>
    <s v="General Rental Centers"/>
    <n v="0"/>
    <n v="0"/>
    <n v="0"/>
    <n v="0"/>
    <n v="0"/>
    <n v="0"/>
  </r>
  <r>
    <s v="BADIRU KIBERU KATO"/>
    <x v="0"/>
    <n v="122"/>
    <n v="1748204.29"/>
    <x v="7"/>
    <n v="53601.13"/>
    <n v="1831988.55"/>
    <d v="2016-09-22T11:26:36"/>
    <d v="2017-09-22T00:00:00"/>
    <s v="0772907011"/>
    <s v=""/>
    <s v=""/>
    <n v="200444"/>
    <s v="00200000153"/>
    <s v="Real Estate and Rental"/>
    <s v="Rental"/>
    <s v="General Rental Centers"/>
    <n v="1748204.29"/>
    <n v="1748204.29"/>
    <n v="1748204.29"/>
    <n v="1"/>
    <n v="1"/>
    <n v="1"/>
  </r>
  <r>
    <s v="DOROTHY SENTAMU"/>
    <x v="7"/>
    <n v="61"/>
    <n v="314831.09999999998"/>
    <x v="27"/>
    <n v="14167.4"/>
    <n v="328998.5"/>
    <d v="2016-09-23T16:48:23"/>
    <d v="2017-09-23T00:00:00"/>
    <s v="0751228266"/>
    <s v=""/>
    <s v=""/>
    <n v="200446"/>
    <s v="00200001373"/>
    <s v="Agriculture, Forestry, Fishing and Hunting"/>
    <s v="Animal Production"/>
    <s v="Poultry &amp; Egg Production"/>
    <n v="314831.09999999998"/>
    <n v="314831.09999999998"/>
    <n v="0"/>
    <n v="1"/>
    <n v="1"/>
    <n v="0"/>
  </r>
  <r>
    <s v="JESSY KIDDE"/>
    <x v="1"/>
    <n v="-7"/>
    <n v="5588242.6100000003"/>
    <x v="23"/>
    <n v="136601.49"/>
    <n v="6766837.1699999999"/>
    <d v="2016-09-26T16:07:15"/>
    <d v="2018-10-01T00:00:00"/>
    <s v="0775579049"/>
    <s v="0752636369"/>
    <s v=""/>
    <n v="200453"/>
    <s v="00200000992"/>
    <s v="Retail"/>
    <s v="Food and Beverage Stores"/>
    <s v="Others"/>
    <n v="0"/>
    <n v="0"/>
    <n v="0"/>
    <n v="0"/>
    <n v="0"/>
    <n v="0"/>
  </r>
  <r>
    <s v="ELIJAH SEBALAMU"/>
    <x v="1"/>
    <n v="-9"/>
    <n v="14216871.66"/>
    <x v="35"/>
    <n v="315930.48"/>
    <n v="20580927.629999999"/>
    <d v="2016-09-28T13:15:33"/>
    <d v="2019-10-03T00:00:00"/>
    <s v="0782803815"/>
    <s v=""/>
    <s v=""/>
    <n v="200456"/>
    <s v="00200001299"/>
    <s v="Agriculture, Forestry, Fishing and Hunting"/>
    <s v="Crop Production"/>
    <s v="Market Gardening"/>
    <n v="0"/>
    <n v="0"/>
    <n v="0"/>
    <n v="0"/>
    <n v="0"/>
    <n v="0"/>
  </r>
  <r>
    <s v="GODFREY SSEKYERU"/>
    <x v="0"/>
    <n v="143"/>
    <n v="916443.16"/>
    <x v="7"/>
    <n v="32878.81"/>
    <n v="985466.04"/>
    <d v="2016-09-29T09:03:36"/>
    <d v="2017-10-01T00:00:00"/>
    <s v="0782741067"/>
    <s v=""/>
    <s v=""/>
    <n v="200458"/>
    <s v="00200001390"/>
    <s v="Real Estate and Rental"/>
    <s v="Rental"/>
    <s v="Others"/>
    <n v="916443.16"/>
    <n v="916443.16"/>
    <n v="916443.16"/>
    <n v="1"/>
    <n v="1"/>
    <n v="1"/>
  </r>
  <r>
    <s v="BADRU KAZIBWE"/>
    <x v="0"/>
    <n v="81"/>
    <n v="603008.68000000005"/>
    <x v="35"/>
    <n v="18971.21"/>
    <n v="621979.89"/>
    <d v="2016-09-30T17:28:09"/>
    <d v="2017-10-03T00:00:00"/>
    <s v="0752323974"/>
    <s v=""/>
    <s v=""/>
    <n v="200465"/>
    <s v="00200001347"/>
    <s v="Retail"/>
    <s v="General Merchandise Stores"/>
    <s v="Others"/>
    <n v="603008.68000000005"/>
    <n v="603008.68000000005"/>
    <n v="0"/>
    <n v="1"/>
    <n v="1"/>
    <n v="0"/>
  </r>
  <r>
    <s v="ROBERT NJAKAASI"/>
    <x v="1"/>
    <n v="-7"/>
    <n v="21144475.760000002"/>
    <x v="11"/>
    <n v="516864.96"/>
    <n v="25603975.140000001"/>
    <d v="2016-09-30T12:45:37"/>
    <d v="2018-10-01T00:00:00"/>
    <s v="0776181629"/>
    <s v=""/>
    <s v=""/>
    <n v="200470"/>
    <s v="00200001374"/>
    <s v="Wholesale Trade"/>
    <s v="Durable Goods"/>
    <s v="Others"/>
    <n v="0"/>
    <n v="0"/>
    <n v="0"/>
    <n v="0"/>
    <n v="0"/>
    <n v="0"/>
  </r>
  <r>
    <s v="SHABAN LUYOMBYA MASEMBE"/>
    <x v="3"/>
    <n v="20"/>
    <n v="17762757.68"/>
    <x v="4"/>
    <n v="900761.47"/>
    <n v="27711846.82"/>
    <d v="2016-10-03T15:44:08"/>
    <d v="2019-10-04T00:00:00"/>
    <s v="0700208070"/>
    <s v=""/>
    <s v="0786663350"/>
    <n v="200473"/>
    <s v="00200001410"/>
    <s v="Retail"/>
    <s v="Others"/>
    <s v="Others"/>
    <n v="17762757.68"/>
    <n v="0"/>
    <n v="0"/>
    <n v="1"/>
    <n v="0"/>
    <n v="0"/>
  </r>
  <r>
    <s v="NAOMI KANKUNDA"/>
    <x v="2"/>
    <n v="-11"/>
    <n v="21144475.760000002"/>
    <x v="19"/>
    <n v="422889.52"/>
    <n v="25603975.140000001"/>
    <d v="2016-10-04T17:18:57"/>
    <d v="2018-10-05T00:00:00"/>
    <s v="0782712019"/>
    <s v=""/>
    <s v="0703712019"/>
    <n v="200474"/>
    <s v="00200001417"/>
    <s v="Wholesale Trade"/>
    <s v="Durable Goods"/>
    <s v="Motor Vehicle &amp; Parts"/>
    <n v="0"/>
    <n v="0"/>
    <n v="0"/>
    <n v="0"/>
    <n v="0"/>
    <n v="0"/>
  </r>
  <r>
    <s v="FREDRICK MUKASA"/>
    <x v="3"/>
    <n v="48"/>
    <n v="9269205.2300000004"/>
    <x v="25"/>
    <n v="330032.86"/>
    <n v="10468062.91"/>
    <d v="2016-10-05T14:54:20"/>
    <d v="2018-04-06T00:00:00"/>
    <s v="0772888782"/>
    <s v=""/>
    <s v=""/>
    <n v="200475"/>
    <s v="00200001371"/>
    <s v="Real Estate and Rental"/>
    <s v="Real Estate"/>
    <s v="Others"/>
    <n v="9269205.2300000004"/>
    <n v="9269205.2300000004"/>
    <n v="0"/>
    <n v="1"/>
    <n v="1"/>
    <n v="0"/>
  </r>
  <r>
    <s v="MARY VERONICA LUSWATA"/>
    <x v="2"/>
    <n v="-12"/>
    <n v="36129333.369999997"/>
    <x v="19"/>
    <n v="682442.96"/>
    <n v="43749230.869999997"/>
    <d v="2016-10-06T13:36:26"/>
    <d v="2018-10-06T00:00:00"/>
    <s v="0751415796"/>
    <s v="0702415796"/>
    <s v=""/>
    <n v="200477"/>
    <s v="00200001274"/>
    <s v="Wholesale Trade"/>
    <s v="Durable Goods"/>
    <s v="Others"/>
    <n v="0"/>
    <n v="0"/>
    <n v="0"/>
    <n v="0"/>
    <n v="0"/>
    <n v="0"/>
  </r>
  <r>
    <s v="BEN KAVUMA MWANJE"/>
    <x v="0"/>
    <n v="-12"/>
    <n v="3610180.6"/>
    <x v="35"/>
    <n v="92059.61"/>
    <n v="4111844.78"/>
    <d v="2016-10-06T18:01:58"/>
    <d v="2018-04-06T00:00:00"/>
    <s v="774534164"/>
    <s v=""/>
    <s v=""/>
    <n v="200478"/>
    <s v="00200001332"/>
    <s v="Retail"/>
    <s v="General Merchandise Stores"/>
    <s v="General Stores"/>
    <n v="0"/>
    <n v="0"/>
    <n v="0"/>
    <n v="0"/>
    <n v="0"/>
    <n v="0"/>
  </r>
  <r>
    <s v="LAMVIC PROPERTY CONSULTANTS (U) LIMITED"/>
    <x v="2"/>
    <n v="14"/>
    <n v="50421285.609999999"/>
    <x v="2"/>
    <n v="2149075.38"/>
    <n v="70217440.069999993"/>
    <d v="2016-10-10T14:22:22"/>
    <d v="2019-10-10T00:00:00"/>
    <s v="0782032770"/>
    <s v="0759414141"/>
    <s v="0702280646"/>
    <n v="200481"/>
    <s v="00200000887"/>
    <s v="Real Estate and Rental"/>
    <s v="Real Estate"/>
    <s v="Real Estate"/>
    <n v="50421285.609999999"/>
    <n v="0"/>
    <n v="0"/>
    <n v="1"/>
    <n v="0"/>
    <n v="0"/>
  </r>
  <r>
    <s v="RAJAB MUSISI"/>
    <x v="0"/>
    <n v="-16"/>
    <n v="1083054.24"/>
    <x v="16"/>
    <n v="21119.56"/>
    <n v="1233553.5"/>
    <d v="2016-10-10T14:43:01"/>
    <d v="2018-04-10T00:00:00"/>
    <s v="0772593881"/>
    <s v=""/>
    <s v=""/>
    <n v="200482"/>
    <s v="00200001398"/>
    <s v="Wholesale Trade"/>
    <s v="Durable Goods"/>
    <s v="Others"/>
    <n v="0"/>
    <n v="0"/>
    <n v="0"/>
    <n v="0"/>
    <n v="0"/>
    <n v="0"/>
  </r>
  <r>
    <s v="FRANK SSEMPIJJA"/>
    <x v="3"/>
    <n v="-8"/>
    <n v="15829658.77"/>
    <x v="4"/>
    <n v="387826.64"/>
    <n v="23308104.09"/>
    <d v="2016-10-13T11:53:49"/>
    <d v="2019-10-02T00:00:00"/>
    <s v="0772967109"/>
    <s v=""/>
    <s v=""/>
    <n v="200491"/>
    <s v="00200000176"/>
    <s v="Retail"/>
    <s v="Others"/>
    <s v="Others"/>
    <n v="0"/>
    <n v="0"/>
    <n v="0"/>
    <n v="0"/>
    <n v="0"/>
    <n v="0"/>
  </r>
  <r>
    <s v="NICHOLAS ALFRED KEBBA"/>
    <x v="1"/>
    <n v="-20"/>
    <n v="3890851.26"/>
    <x v="1"/>
    <n v="38908.51"/>
    <n v="4711455.58"/>
    <d v="2016-10-14T10:03:48"/>
    <d v="2018-10-14T00:00:00"/>
    <s v="0774518029"/>
    <s v="0712557044"/>
    <s v=""/>
    <n v="200493"/>
    <s v="00200001025"/>
    <s v="Real Estate and Rental"/>
    <s v="Rental"/>
    <s v="Others"/>
    <n v="0"/>
    <n v="0"/>
    <n v="0"/>
    <n v="0"/>
    <n v="0"/>
    <n v="0"/>
  </r>
  <r>
    <s v="RAPHEAL LUFUNYA"/>
    <x v="0"/>
    <n v="129"/>
    <n v="3875006.66"/>
    <x v="26"/>
    <n v="339931.63"/>
    <n v="5518962.4199999999"/>
    <d v="2016-10-15T14:20:57"/>
    <d v="2018-10-15T00:00:00"/>
    <s v="0703604020"/>
    <s v="0781776048"/>
    <s v=""/>
    <n v="200496"/>
    <s v="00200001257"/>
    <s v="Retail"/>
    <s v="Furniture and Home Furnishings Stores"/>
    <s v="Others"/>
    <n v="3875006.66"/>
    <n v="3875006.66"/>
    <n v="3875006.66"/>
    <n v="1"/>
    <n v="1"/>
    <n v="1"/>
  </r>
  <r>
    <s v="JOHN BOSCO MAGARA"/>
    <x v="2"/>
    <n v="-21"/>
    <n v="27791794.84"/>
    <x v="22"/>
    <n v="247038.18"/>
    <n v="33653254.409999996"/>
    <d v="2016-10-15T14:09:43"/>
    <d v="2018-10-15T00:00:00"/>
    <s v="0782676898"/>
    <s v=""/>
    <s v=""/>
    <n v="200497"/>
    <s v="00200001450"/>
    <s v="Manufacturing"/>
    <s v="Chemical Manufacturing"/>
    <s v="Others"/>
    <n v="0"/>
    <n v="0"/>
    <n v="0"/>
    <n v="0"/>
    <n v="0"/>
    <n v="0"/>
  </r>
  <r>
    <s v="ANGELIC PATRICK KAREKYEZI"/>
    <x v="0"/>
    <n v="67"/>
    <n v="849961.51"/>
    <x v="7"/>
    <n v="23612.34"/>
    <n v="873573.85"/>
    <d v="2016-10-17T17:08:50"/>
    <d v="2017-10-17T00:00:00"/>
    <s v="0751967414"/>
    <s v=""/>
    <s v=""/>
    <n v="200500"/>
    <s v="00200001382"/>
    <s v="Retail"/>
    <s v="Others"/>
    <s v="Others"/>
    <n v="849961.51"/>
    <n v="849961.51"/>
    <n v="0"/>
    <n v="1"/>
    <n v="1"/>
    <n v="0"/>
  </r>
  <r>
    <s v="FRANCIS KIWANUKA"/>
    <x v="1"/>
    <n v="-24"/>
    <n v="21121764.120000001"/>
    <x v="16"/>
    <n v="117343.13"/>
    <n v="25576473.440000001"/>
    <d v="2016-10-18T12:01:49"/>
    <d v="2018-10-18T00:00:00"/>
    <s v="0752888272"/>
    <s v="0752985565"/>
    <s v=""/>
    <n v="200501"/>
    <s v="00200001375"/>
    <s v="Restaurants and Hotels"/>
    <s v="Hotel"/>
    <s v="Hotel"/>
    <n v="0"/>
    <n v="0"/>
    <n v="0"/>
    <n v="0"/>
    <n v="0"/>
    <n v="0"/>
  </r>
  <r>
    <s v="HUSSEIN KYAMBADDE"/>
    <x v="1"/>
    <n v="5"/>
    <n v="40886099.460000001"/>
    <x v="1"/>
    <n v="1539524.39"/>
    <n v="60041468.060000002"/>
    <d v="2016-10-19T16:45:46"/>
    <d v="2019-10-19T00:00:00"/>
    <s v="0701467086"/>
    <s v="0772467086"/>
    <s v=""/>
    <n v="200502"/>
    <s v="00200001319"/>
    <s v="Real Estate and Rental"/>
    <s v="Rental"/>
    <s v="Others"/>
    <n v="40886099.460000001"/>
    <n v="0"/>
    <n v="0"/>
    <n v="1"/>
    <n v="0"/>
    <n v="0"/>
  </r>
  <r>
    <s v="WILSON KAIMUTSYA"/>
    <x v="2"/>
    <n v="-26"/>
    <n v="34396651.450000003"/>
    <x v="22"/>
    <n v="114655.5"/>
    <n v="49794006.090000004"/>
    <d v="2016-10-20T12:01:07"/>
    <d v="2019-10-20T00:00:00"/>
    <s v="0782451065"/>
    <s v=""/>
    <s v="0701451065"/>
    <n v="200503"/>
    <s v="00200001497"/>
    <s v="Real Estate and Rental"/>
    <s v="Rental"/>
    <s v="Others"/>
    <n v="0"/>
    <n v="0"/>
    <n v="0"/>
    <n v="0"/>
    <n v="0"/>
    <n v="0"/>
  </r>
  <r>
    <s v="FLORENCE NALUKUSA"/>
    <x v="7"/>
    <n v="63"/>
    <n v="450795.7"/>
    <x v="19"/>
    <n v="11806.17"/>
    <n v="462601.87"/>
    <d v="2016-10-21T12:20:58"/>
    <d v="2017-10-21T00:00:00"/>
    <s v="0782388078"/>
    <s v=""/>
    <s v="0701239748"/>
    <n v="200506"/>
    <s v="00200001516"/>
    <s v="Retail"/>
    <s v="General Merchandise Stores"/>
    <s v="General Stores"/>
    <n v="450795.7"/>
    <n v="450795.7"/>
    <n v="0"/>
    <n v="1"/>
    <n v="1"/>
    <n v="0"/>
  </r>
  <r>
    <s v="RICHARD TUMUTEGYEREIZE"/>
    <x v="1"/>
    <n v="29"/>
    <n v="51893568.420000002"/>
    <x v="7"/>
    <n v="2574883.85"/>
    <n v="73852909.420000002"/>
    <d v="2016-10-24T13:45:42"/>
    <d v="2019-10-25T00:00:00"/>
    <s v="0772301976"/>
    <s v=""/>
    <s v=""/>
    <n v="200512"/>
    <s v="00200000159"/>
    <s v="Real Estate and Rental"/>
    <s v="Real Estate"/>
    <s v="Real Estate"/>
    <n v="51893568.420000002"/>
    <n v="0"/>
    <n v="0"/>
    <n v="1"/>
    <n v="0"/>
    <n v="0"/>
  </r>
  <r>
    <s v="SYLVIA NABAGEREKA"/>
    <x v="7"/>
    <n v="120"/>
    <n v="393430.25"/>
    <x v="6"/>
    <n v="30818.240000000002"/>
    <n v="438664.73"/>
    <d v="2016-10-24T15:27:49"/>
    <d v="2017-10-24T00:00:00"/>
    <s v="0782743888"/>
    <s v=""/>
    <s v="0751348903"/>
    <n v="200513"/>
    <s v="00200001526"/>
    <s v="Retail"/>
    <s v="Food and Beverage Stores"/>
    <s v="Grocery"/>
    <n v="393430.25"/>
    <n v="393430.25"/>
    <n v="393430.25"/>
    <n v="1"/>
    <n v="1"/>
    <n v="1"/>
  </r>
  <r>
    <s v="JOHN KIYEGGA"/>
    <x v="1"/>
    <n v="83"/>
    <n v="10754776.17"/>
    <x v="3"/>
    <n v="402342.74"/>
    <n v="13535418.6"/>
    <d v="2016-10-26T12:14:35"/>
    <d v="2018-11-01T00:00:00"/>
    <s v="0782754854"/>
    <s v=""/>
    <s v="0752754854"/>
    <n v="200521"/>
    <s v="00200001494"/>
    <s v="Real Estate and Rental"/>
    <s v="Rental"/>
    <s v="Others"/>
    <n v="10754776.17"/>
    <n v="10754776.17"/>
    <n v="0"/>
    <n v="1"/>
    <n v="1"/>
    <n v="0"/>
  </r>
  <r>
    <s v="JULIET NAKIYAGA"/>
    <x v="8"/>
    <n v="23"/>
    <n v="3361180.19"/>
    <x v="14"/>
    <n v="130256.5"/>
    <n v="3844655.68"/>
    <d v="2016-10-27T16:31:43"/>
    <d v="2018-05-01T00:00:00"/>
    <s v="0701502540"/>
    <s v=""/>
    <s v="0787844127"/>
    <n v="200527"/>
    <s v="00200001547"/>
    <s v="Retail"/>
    <s v="Electronics Stores"/>
    <s v="Radio, Television, &amp; Other Electronics Stores"/>
    <n v="3361180.19"/>
    <n v="0"/>
    <n v="0"/>
    <n v="1"/>
    <n v="0"/>
    <n v="0"/>
  </r>
  <r>
    <s v="JANE NANSOVE"/>
    <x v="7"/>
    <n v="23"/>
    <n v="147614.32"/>
    <x v="10"/>
    <n v="0"/>
    <n v="147614.32"/>
    <d v="2016-10-28T16:19:17"/>
    <d v="2017-11-01T00:00:00"/>
    <s v="0703617156"/>
    <s v=""/>
    <s v=""/>
    <n v="200532"/>
    <s v="00200001544"/>
    <s v="Real Estate and Rental"/>
    <s v="Rental"/>
    <s v="Others"/>
    <n v="147614.32"/>
    <n v="0"/>
    <n v="0"/>
    <n v="1"/>
    <n v="0"/>
    <n v="0"/>
  </r>
  <r>
    <s v="SILASI KAZUNGU"/>
    <x v="0"/>
    <n v="23"/>
    <n v="138423.26"/>
    <x v="16"/>
    <n v="0"/>
    <n v="138423.26"/>
    <d v="2016-10-31T11:23:23"/>
    <d v="2017-11-01T00:00:00"/>
    <s v="0752107106"/>
    <s v=""/>
    <s v="0772107106"/>
    <n v="200535"/>
    <s v="00200001562"/>
    <s v="Retail"/>
    <s v="Others"/>
    <s v="Others"/>
    <n v="138423.26"/>
    <n v="0"/>
    <n v="0"/>
    <n v="1"/>
    <n v="0"/>
    <n v="0"/>
  </r>
  <r>
    <s v="SAMUEL WAMALA"/>
    <x v="1"/>
    <n v="83"/>
    <n v="10708766.49"/>
    <x v="11"/>
    <n v="699659.36"/>
    <n v="13776551.07"/>
    <d v="2016-10-31T21:07:30"/>
    <d v="2018-11-01T00:00:00"/>
    <s v="0772371996"/>
    <s v=""/>
    <s v=""/>
    <n v="200541"/>
    <s v="00200000558"/>
    <s v="Real Estate and Rental"/>
    <s v="Rental"/>
    <s v="Others"/>
    <n v="10708766.49"/>
    <n v="10708766.49"/>
    <n v="0"/>
    <n v="1"/>
    <n v="1"/>
    <n v="0"/>
  </r>
  <r>
    <s v="HASSAN NSAMBA"/>
    <x v="0"/>
    <n v="53"/>
    <n v="635562.06999999995"/>
    <x v="12"/>
    <n v="22858.02"/>
    <n v="659208.30000000005"/>
    <d v="2016-10-31T22:25:34"/>
    <d v="2017-11-01T00:00:00"/>
    <s v="0755819021"/>
    <s v=""/>
    <s v="0701819021"/>
    <n v="200545"/>
    <s v="00200001536"/>
    <s v="Real Estate and Rental"/>
    <s v="Rental"/>
    <s v="Others"/>
    <n v="635562.06999999995"/>
    <n v="635562.06999999995"/>
    <n v="0"/>
    <n v="1"/>
    <n v="1"/>
    <n v="0"/>
  </r>
  <r>
    <s v="ANDREW MPANGA"/>
    <x v="0"/>
    <n v="202"/>
    <n v="1250308.6100000001"/>
    <x v="6"/>
    <n v="75740.41"/>
    <n v="1346912.58"/>
    <d v="2016-11-02T15:46:54"/>
    <d v="2017-07-02T00:00:00"/>
    <s v="0781455712"/>
    <s v=""/>
    <s v="0700345631"/>
    <n v="200551"/>
    <s v="00200001569"/>
    <s v="Health Care"/>
    <s v="Health Care"/>
    <s v="Offices of Dentists"/>
    <n v="1250308.6100000001"/>
    <n v="1250308.6100000001"/>
    <n v="1250308.6100000001"/>
    <n v="1"/>
    <n v="1"/>
    <n v="1"/>
  </r>
  <r>
    <s v="AUGUSTINE MUYOMBA"/>
    <x v="0"/>
    <n v="21"/>
    <n v="1490362.83"/>
    <x v="22"/>
    <n v="0"/>
    <n v="1490362.83"/>
    <d v="2016-11-03T16:17:35"/>
    <d v="2017-11-03T00:00:00"/>
    <s v="0772605104"/>
    <s v=""/>
    <s v="0700140141"/>
    <n v="200553"/>
    <s v="00200001514"/>
    <s v="Retail"/>
    <s v="Miscellaneous Store Retailers"/>
    <s v="Printing Stores"/>
    <n v="1490362.83"/>
    <n v="0"/>
    <n v="0"/>
    <n v="1"/>
    <n v="0"/>
    <n v="0"/>
  </r>
  <r>
    <s v="SALUWA LUNKUSE"/>
    <x v="7"/>
    <n v="139"/>
    <n v="1689849.42"/>
    <x v="11"/>
    <n v="136114.94"/>
    <n v="1924667.85"/>
    <d v="2016-11-03T18:00:20"/>
    <d v="2017-11-05T00:00:00"/>
    <s v="0702011310"/>
    <s v=""/>
    <s v="0702891749"/>
    <n v="200555"/>
    <s v="00200001510"/>
    <s v="Real Estate and Rental"/>
    <s v="Rental"/>
    <s v="General Rental Centers"/>
    <n v="1689849.42"/>
    <n v="1689849.42"/>
    <n v="1689849.42"/>
    <n v="1"/>
    <n v="1"/>
    <n v="1"/>
  </r>
  <r>
    <s v="GODWIN KABENGWA"/>
    <x v="0"/>
    <n v="139"/>
    <n v="1444296.02"/>
    <x v="3"/>
    <n v="116335.97"/>
    <n v="1644992.78"/>
    <d v="2016-11-05T10:18:08"/>
    <d v="2017-11-05T00:00:00"/>
    <s v="0776973018"/>
    <s v=""/>
    <s v=""/>
    <n v="200557"/>
    <s v="00200001512"/>
    <s v="Retail"/>
    <s v="Electronics Stores"/>
    <s v="Radio, Television, &amp; Other Electronics Stores"/>
    <n v="1444296.02"/>
    <n v="1444296.02"/>
    <n v="1444296.02"/>
    <n v="1"/>
    <n v="1"/>
    <n v="1"/>
  </r>
  <r>
    <s v="ROSE NANSUBUGA"/>
    <x v="1"/>
    <n v="-16"/>
    <n v="50421285.609999999"/>
    <x v="2"/>
    <n v="655476.71"/>
    <n v="71453919.040000007"/>
    <d v="2016-11-10T12:49:59"/>
    <d v="2019-11-10T00:00:00"/>
    <s v="0772407831"/>
    <s v=""/>
    <s v=""/>
    <n v="200563"/>
    <s v="00200001383"/>
    <s v="Real Estate and Rental"/>
    <s v="Rental"/>
    <s v="Others"/>
    <n v="0"/>
    <n v="0"/>
    <n v="0"/>
    <n v="0"/>
    <n v="0"/>
    <n v="0"/>
  </r>
  <r>
    <s v="BEATRICE NAMBUYA"/>
    <x v="1"/>
    <n v="-16"/>
    <n v="20571537.48"/>
    <x v="18"/>
    <n v="267429.99"/>
    <n v="24799914.670000002"/>
    <d v="2016-11-10T15:11:33"/>
    <d v="2018-11-10T00:00:00"/>
    <s v="0704847922"/>
    <s v=""/>
    <s v=""/>
    <n v="200564"/>
    <s v="00200000620"/>
    <s v="Real Estate and Rental"/>
    <s v="Rental"/>
    <s v="Others"/>
    <n v="0"/>
    <n v="0"/>
    <n v="0"/>
    <n v="0"/>
    <n v="0"/>
    <n v="0"/>
  </r>
  <r>
    <s v="RONALD KAYIWA"/>
    <x v="3"/>
    <n v="-16"/>
    <n v="12422815.15"/>
    <x v="4"/>
    <n v="215328.8"/>
    <n v="14218799.130000001"/>
    <d v="2016-11-10T16:08:25"/>
    <d v="2018-05-10T00:00:00"/>
    <s v="0782575891"/>
    <s v=""/>
    <s v="0704903182"/>
    <n v="200567"/>
    <s v="00200001498"/>
    <s v="Educational Services"/>
    <s v="Educational Services"/>
    <s v="Schools"/>
    <n v="0"/>
    <n v="0"/>
    <n v="0"/>
    <n v="0"/>
    <n v="0"/>
    <n v="0"/>
  </r>
  <r>
    <s v="MONICA NABAKOOZA"/>
    <x v="8"/>
    <n v="13"/>
    <n v="691035.23"/>
    <x v="27"/>
    <n v="0"/>
    <n v="691035.23"/>
    <d v="2016-11-11T15:06:20"/>
    <d v="2017-11-11T00:00:00"/>
    <s v="0779501212"/>
    <s v=""/>
    <s v="0701912067"/>
    <n v="200570"/>
    <s v="00200001601"/>
    <s v="Agriculture, Forestry, Fishing and Hunting"/>
    <s v="Animal Production"/>
    <s v="Poultry &amp; Egg Production"/>
    <n v="691035.23"/>
    <n v="0"/>
    <n v="0"/>
    <n v="1"/>
    <n v="0"/>
    <n v="0"/>
  </r>
  <r>
    <s v="ROBERT MARONKO"/>
    <x v="1"/>
    <n v="162"/>
    <n v="6432897.4900000002"/>
    <x v="6"/>
    <n v="214481.34"/>
    <n v="8479221.2599999998"/>
    <d v="2016-11-12T12:16:51"/>
    <d v="2018-11-12T00:00:00"/>
    <s v="0784570461"/>
    <s v=""/>
    <s v="0751570461"/>
    <n v="200572"/>
    <s v="00200001582"/>
    <s v="Real Estate and Rental"/>
    <s v="Rental"/>
    <s v="General Rental Centers"/>
    <n v="6432897.4900000002"/>
    <n v="6432897.4900000002"/>
    <n v="6432897.4900000002"/>
    <n v="1"/>
    <n v="1"/>
    <n v="1"/>
  </r>
  <r>
    <s v="MUHAMAD NSUBUGA"/>
    <x v="3"/>
    <n v="-18"/>
    <n v="6463904.96"/>
    <x v="18"/>
    <n v="82953.45"/>
    <n v="7278416.7999999998"/>
    <d v="2016-11-12T12:46:05"/>
    <d v="2018-05-12T00:00:00"/>
    <s v="0772987001"/>
    <s v="0701917001"/>
    <s v=""/>
    <n v="200573"/>
    <s v="00200000216"/>
    <s v="Retail"/>
    <s v="Others"/>
    <s v="Others"/>
    <n v="0"/>
    <n v="0"/>
    <n v="0"/>
    <n v="0"/>
    <n v="0"/>
    <n v="0"/>
  </r>
  <r>
    <s v="GEORGE WILLIAM MUTEMA"/>
    <x v="1"/>
    <n v="-18"/>
    <n v="5696369.46"/>
    <x v="23"/>
    <n v="69622.289999999994"/>
    <n v="7666837.6299999999"/>
    <d v="2016-11-12T13:24:34"/>
    <d v="2019-05-12T00:00:00"/>
    <s v="0774996883"/>
    <s v=""/>
    <s v="0702807493"/>
    <n v="200574"/>
    <s v="00200001513"/>
    <s v="Real Estate and Rental"/>
    <s v="Rental"/>
    <s v="General Rental Centers"/>
    <n v="0"/>
    <n v="0"/>
    <n v="0"/>
    <n v="0"/>
    <n v="0"/>
    <n v="0"/>
  </r>
  <r>
    <s v="RASHIDA NASSUNA"/>
    <x v="7"/>
    <n v="42"/>
    <n v="591415.88"/>
    <x v="19"/>
    <n v="22825.26"/>
    <n v="615028.22"/>
    <d v="2016-11-12T14:05:36"/>
    <d v="2017-11-12T00:00:00"/>
    <s v="0772207607"/>
    <s v=""/>
    <s v="0705203987"/>
    <n v="200576"/>
    <s v="00200001521"/>
    <s v="Retail"/>
    <s v="Others"/>
    <s v="Others"/>
    <n v="591415.88"/>
    <n v="591415.88"/>
    <n v="0"/>
    <n v="1"/>
    <n v="1"/>
    <n v="0"/>
  </r>
  <r>
    <s v="EDWARD ISANGA MUGULUSI"/>
    <x v="1"/>
    <n v="7"/>
    <n v="52485275.039999999"/>
    <x v="14"/>
    <n v="2090226.67"/>
    <n v="78178995.060000002"/>
    <d v="2016-11-17T15:25:08"/>
    <d v="2019-11-17T00:00:00"/>
    <s v="0776220243"/>
    <s v=""/>
    <s v="0701655555"/>
    <n v="200584"/>
    <s v="00200001599"/>
    <s v="Manufacturing"/>
    <s v="Machinery Manufacturing"/>
    <s v="Other General Purpose Machinery"/>
    <n v="52485275.039999999"/>
    <n v="0"/>
    <n v="0"/>
    <n v="1"/>
    <n v="0"/>
    <n v="0"/>
  </r>
  <r>
    <s v="MAJORINE NABUKALU"/>
    <x v="7"/>
    <n v="187"/>
    <n v="391007.09"/>
    <x v="10"/>
    <n v="12350.28"/>
    <n v="410311.89"/>
    <d v="2016-11-17T16:56:36"/>
    <d v="2017-07-17T00:00:00"/>
    <s v="0754713135"/>
    <s v=""/>
    <s v=""/>
    <n v="200585"/>
    <s v="00200001629"/>
    <s v="Retail"/>
    <s v="General Merchandise Stores"/>
    <s v="General Stores"/>
    <n v="391007.09"/>
    <n v="391007.09"/>
    <n v="391007.09"/>
    <n v="1"/>
    <n v="1"/>
    <n v="1"/>
  </r>
  <r>
    <s v="KIDAADA ZEBLON MULERO"/>
    <x v="0"/>
    <n v="7"/>
    <n v="629662.35"/>
    <x v="19"/>
    <n v="6184.81"/>
    <n v="635847.16"/>
    <d v="2016-11-17T16:49:16"/>
    <d v="2017-11-17T00:00:00"/>
    <s v="0702148868"/>
    <s v=""/>
    <s v=""/>
    <n v="200589"/>
    <s v="00200001650"/>
    <s v="Health Care"/>
    <s v="Health Care"/>
    <s v="Hospital"/>
    <n v="629662.35"/>
    <n v="0"/>
    <n v="0"/>
    <n v="1"/>
    <n v="0"/>
    <n v="0"/>
  </r>
  <r>
    <s v="FRED KIZITO MUBIRU"/>
    <x v="3"/>
    <n v="-24"/>
    <n v="9848596"/>
    <x v="25"/>
    <n v="65657.31"/>
    <n v="12592671.619999999"/>
    <d v="2016-11-18T09:42:01"/>
    <d v="2018-11-18T00:00:00"/>
    <s v="0772421020"/>
    <s v=""/>
    <s v=""/>
    <n v="200593"/>
    <s v="00200001277"/>
    <s v="Agriculture, Forestry, Fishing and Hunting"/>
    <s v="Others"/>
    <s v="Others"/>
    <n v="0"/>
    <n v="0"/>
    <n v="0"/>
    <n v="0"/>
    <n v="0"/>
    <n v="0"/>
  </r>
  <r>
    <s v="CHRIS NGABIRANO"/>
    <x v="2"/>
    <n v="-25"/>
    <n v="35827178.759999998"/>
    <x v="22"/>
    <n v="159231.91"/>
    <n v="44055169.630000003"/>
    <d v="2016-11-19T12:56:30"/>
    <d v="2018-11-19T00:00:00"/>
    <s v="0752220198"/>
    <s v=""/>
    <s v="0772431991"/>
    <n v="200598"/>
    <s v="00200001663"/>
    <s v="Real Estate and Rental"/>
    <s v="Rental"/>
    <s v="General Rental Centers"/>
    <n v="0"/>
    <n v="0"/>
    <n v="0"/>
    <n v="0"/>
    <n v="0"/>
    <n v="0"/>
  </r>
  <r>
    <s v="JUSTINE MUTALYA"/>
    <x v="8"/>
    <n v="3"/>
    <n v="653787.15"/>
    <x v="18"/>
    <n v="0"/>
    <n v="653787.15"/>
    <d v="2016-11-21T16:30:56"/>
    <d v="2017-11-21T00:00:00"/>
    <s v="0772851616"/>
    <s v=""/>
    <s v=""/>
    <n v="200601"/>
    <s v="00200000523"/>
    <s v="Real Estate and Rental"/>
    <s v="Rental"/>
    <s v="Others"/>
    <n v="653787.15"/>
    <n v="0"/>
    <n v="0"/>
    <n v="1"/>
    <n v="0"/>
    <n v="0"/>
  </r>
  <r>
    <s v="FRED NTEGE"/>
    <x v="0"/>
    <n v="181"/>
    <n v="3231150.28"/>
    <x v="11"/>
    <n v="264404.07"/>
    <n v="3833504.23"/>
    <d v="2016-11-23T11:18:59"/>
    <d v="2017-11-23T00:00:00"/>
    <s v="0755919945"/>
    <s v=""/>
    <s v=""/>
    <n v="200603"/>
    <s v="00200001647"/>
    <s v="Real Estate and Rental"/>
    <s v="Rental"/>
    <s v="General Rental Centers"/>
    <n v="3231150.28"/>
    <n v="3231150.28"/>
    <n v="3231150.28"/>
    <n v="1"/>
    <n v="1"/>
    <n v="1"/>
  </r>
  <r>
    <s v="AGNES NDYAJUNWA KIIZA"/>
    <x v="7"/>
    <n v="-1"/>
    <n v="263112.48"/>
    <x v="26"/>
    <n v="11050.72"/>
    <n v="274952.53999999998"/>
    <d v="2016-11-23T17:00:38"/>
    <d v="2017-11-25T00:00:00"/>
    <s v="0775541009"/>
    <s v=""/>
    <s v=""/>
    <n v="200607"/>
    <s v="00200000500"/>
    <s v="Retail"/>
    <s v="Food and Beverage Stores"/>
    <s v="Others"/>
    <n v="0"/>
    <n v="0"/>
    <n v="0"/>
    <n v="0"/>
    <n v="0"/>
    <n v="0"/>
  </r>
  <r>
    <s v="MAIMUNAH MARIAM NASSANGA"/>
    <x v="7"/>
    <n v="0"/>
    <n v="314831.09999999998"/>
    <x v="19"/>
    <n v="13695.15"/>
    <n v="328998.5"/>
    <d v="2016-11-24T16:16:57"/>
    <d v="2017-11-24T00:00:00"/>
    <s v="0776385810"/>
    <s v=""/>
    <s v="0701385801"/>
    <n v="200611"/>
    <s v="00200001710"/>
    <s v="Real Estate and Rental"/>
    <s v="Rental"/>
    <s v="Others"/>
    <n v="0"/>
    <n v="0"/>
    <n v="0"/>
    <n v="0"/>
    <n v="0"/>
    <n v="0"/>
  </r>
  <r>
    <s v="CAROL NAMUBIRU"/>
    <x v="6"/>
    <n v="-27"/>
    <n v="31593451.030000001"/>
    <x v="17"/>
    <n v="43879.79"/>
    <n v="45157077.799999997"/>
    <d v="2016-11-24T16:32:50"/>
    <d v="2020-11-21T00:00:00"/>
    <s v="0784109757"/>
    <s v=""/>
    <s v=""/>
    <n v="200612"/>
    <s v="00200000105"/>
    <s v="Finance and Insurance"/>
    <s v="Finance"/>
    <s v="Microfinance Institutions"/>
    <n v="0"/>
    <n v="0"/>
    <n v="0"/>
    <n v="0"/>
    <n v="0"/>
    <n v="0"/>
  </r>
  <r>
    <s v="KENNETH SSEKITTO"/>
    <x v="0"/>
    <n v="-1"/>
    <n v="525471.80000000005"/>
    <x v="26"/>
    <n v="22069.82"/>
    <n v="549118.03"/>
    <d v="2016-11-24T12:20:27"/>
    <d v="2017-11-25T00:00:00"/>
    <s v="0703495582"/>
    <s v=""/>
    <s v=""/>
    <n v="200613"/>
    <s v="00200000771"/>
    <s v="Educational Services"/>
    <s v="Educational Services"/>
    <s v="Schools"/>
    <n v="0"/>
    <n v="0"/>
    <n v="0"/>
    <n v="0"/>
    <n v="0"/>
    <n v="0"/>
  </r>
  <r>
    <s v="ALLAN EUTYCHUS MAHOLO"/>
    <x v="0"/>
    <n v="53"/>
    <n v="3411565.76"/>
    <x v="3"/>
    <n v="110187.39"/>
    <n v="3580817.98"/>
    <d v="2016-11-24T16:32:22"/>
    <d v="2017-12-01T00:00:00"/>
    <s v="0703818293"/>
    <s v=""/>
    <s v="0784280015"/>
    <n v="200616"/>
    <s v="00200001704"/>
    <s v="Agriculture, Forestry, Fishing and Hunting"/>
    <s v="Animal Production"/>
    <s v="Poultry &amp; Egg Production"/>
    <n v="3411565.76"/>
    <n v="3411565.76"/>
    <n v="0"/>
    <n v="1"/>
    <n v="1"/>
    <n v="0"/>
  </r>
  <r>
    <s v="PAMELA KANZIRA"/>
    <x v="1"/>
    <n v="-7"/>
    <n v="1498685.47"/>
    <x v="26"/>
    <n v="36634.53"/>
    <n v="1548641.65"/>
    <d v="2016-11-24T17:58:57"/>
    <d v="2017-12-01T00:00:00"/>
    <s v="0704475073"/>
    <s v=""/>
    <s v="0772630323"/>
    <n v="200618"/>
    <s v="00200001643"/>
    <s v="Transportation and Warehousing"/>
    <s v=" Passenger Transportation"/>
    <s v="Bus transportation"/>
    <n v="0"/>
    <n v="0"/>
    <n v="0"/>
    <n v="0"/>
    <n v="0"/>
    <n v="0"/>
  </r>
  <r>
    <s v="PETER BIIZA MULOGO"/>
    <x v="1"/>
    <n v="20"/>
    <n v="17056856.73"/>
    <x v="27"/>
    <n v="819048.02"/>
    <n v="21533956.289999999"/>
    <d v="2016-11-25T17:13:53"/>
    <d v="2018-12-04T00:00:00"/>
    <s v="0772483666"/>
    <s v=""/>
    <s v="0704881542"/>
    <n v="200624"/>
    <s v="00200001693"/>
    <s v="Real Estate and Rental"/>
    <s v="Rental"/>
    <s v="General Rental Centers"/>
    <n v="17056856.73"/>
    <n v="0"/>
    <n v="0"/>
    <n v="1"/>
    <n v="0"/>
    <n v="0"/>
  </r>
  <r>
    <s v="ATANAZIUS TUKAHEBWA"/>
    <x v="1"/>
    <n v="52"/>
    <n v="1069238.57"/>
    <x v="25"/>
    <n v="32195.4"/>
    <n v="1118604.8500000001"/>
    <d v="2016-11-26T12:58:03"/>
    <d v="2017-12-02T00:00:00"/>
    <s v="0772586253"/>
    <s v=""/>
    <s v="0753586253"/>
    <n v="200625"/>
    <s v="00200001679"/>
    <s v="Real Estate and Rental"/>
    <s v="Rental"/>
    <s v="Others"/>
    <n v="1069238.57"/>
    <n v="1069238.57"/>
    <n v="0"/>
    <n v="1"/>
    <n v="1"/>
    <n v="0"/>
  </r>
  <r>
    <s v="SAMUEL KIRWANA KAMYA"/>
    <x v="0"/>
    <n v="173"/>
    <n v="3254340.35"/>
    <x v="3"/>
    <n v="275421.42"/>
    <n v="3865864.36"/>
    <d v="2016-11-26T12:11:03"/>
    <d v="2017-12-01T00:00:00"/>
    <s v="0772412654"/>
    <s v=""/>
    <s v="0701999592"/>
    <n v="200627"/>
    <s v="00200001690"/>
    <s v="Real Estate and Rental"/>
    <s v="Rental"/>
    <s v="General Rental Centers"/>
    <n v="3254340.35"/>
    <n v="3254340.35"/>
    <n v="3254340.35"/>
    <n v="1"/>
    <n v="1"/>
    <n v="1"/>
  </r>
  <r>
    <s v="SAUDA NANTALE"/>
    <x v="1"/>
    <n v="-8"/>
    <n v="16218774.91"/>
    <x v="14"/>
    <n v="378438.08"/>
    <n v="24158538.390000001"/>
    <d v="2016-11-28T15:06:47"/>
    <d v="2019-12-02T00:00:00"/>
    <s v="0782190572"/>
    <s v=""/>
    <s v=""/>
    <n v="200630"/>
    <s v="00200001625"/>
    <s v="Real Estate and Rental"/>
    <s v="Rental"/>
    <s v="Others"/>
    <n v="0"/>
    <n v="0"/>
    <n v="0"/>
    <n v="0"/>
    <n v="0"/>
    <n v="0"/>
  </r>
  <r>
    <s v="PETER LUYIMBAZI BWOGI"/>
    <x v="0"/>
    <n v="-7"/>
    <n v="514240.38"/>
    <x v="18"/>
    <n v="15084.38"/>
    <n v="534810"/>
    <d v="2016-11-28T16:21:22"/>
    <d v="2017-12-01T00:00:00"/>
    <s v="0782161830"/>
    <s v="0736161830"/>
    <s v=""/>
    <n v="200633"/>
    <s v="00200000136"/>
    <s v="Construction"/>
    <s v="Others"/>
    <s v="Others"/>
    <n v="0"/>
    <n v="0"/>
    <n v="0"/>
    <n v="0"/>
    <n v="0"/>
    <n v="0"/>
  </r>
  <r>
    <s v="STELLA NABAWANDA"/>
    <x v="8"/>
    <n v="142"/>
    <n v="2927238.19"/>
    <x v="23"/>
    <n v="116531.22"/>
    <n v="3295967.16"/>
    <d v="2016-11-29T16:55:56"/>
    <d v="2017-12-02T00:00:00"/>
    <s v="0701758138"/>
    <s v=""/>
    <s v=""/>
    <n v="200635"/>
    <s v="00200001703"/>
    <s v="Retail"/>
    <s v="General Merchandise Stores"/>
    <s v="Others"/>
    <n v="2927238.19"/>
    <n v="2927238.19"/>
    <n v="2927238.19"/>
    <n v="1"/>
    <n v="1"/>
    <n v="1"/>
  </r>
  <r>
    <s v="ANTHONY SSETTUMBA"/>
    <x v="2"/>
    <n v="-8"/>
    <n v="27802012.670000002"/>
    <x v="5"/>
    <n v="648713.63"/>
    <n v="34713282.649999999"/>
    <d v="2016-11-29T14:57:10"/>
    <d v="2018-12-02T00:00:00"/>
    <s v="0782965967"/>
    <s v=""/>
    <s v="0753804753"/>
    <n v="200636"/>
    <s v="00200001699"/>
    <s v="Real Estate and Rental"/>
    <s v="Rental"/>
    <s v="Others"/>
    <n v="0"/>
    <n v="0"/>
    <n v="0"/>
    <n v="0"/>
    <n v="0"/>
    <n v="0"/>
  </r>
  <r>
    <s v="DEO MBOGGA"/>
    <x v="2"/>
    <n v="-8"/>
    <n v="41543237.329999998"/>
    <x v="25"/>
    <n v="969342.2"/>
    <n v="51870422.369999997"/>
    <d v="2016-11-29T18:24:52"/>
    <d v="2018-12-02T00:00:00"/>
    <s v="0772887993"/>
    <s v=""/>
    <s v="0758457259"/>
    <n v="200638"/>
    <s v="00200001671"/>
    <s v="Agriculture, Forestry, Fishing and Hunting"/>
    <s v="Animal Production"/>
    <s v="Poultry &amp; Egg Production"/>
    <n v="0"/>
    <n v="0"/>
    <n v="0"/>
    <n v="0"/>
    <n v="0"/>
    <n v="0"/>
  </r>
  <r>
    <s v="KARAVERI NVUYEKURE"/>
    <x v="0"/>
    <n v="-8"/>
    <n v="263112.48"/>
    <x v="16"/>
    <n v="8288.0400000000009"/>
    <n v="274952.53999999998"/>
    <d v="2016-11-30T12:52:39"/>
    <d v="2017-12-02T00:00:00"/>
    <s v="0773836234"/>
    <s v=""/>
    <s v="0701128193"/>
    <n v="200640"/>
    <s v="00200001751"/>
    <s v="Retail"/>
    <s v="General Merchandise Stores"/>
    <s v="General Stores"/>
    <n v="0"/>
    <n v="0"/>
    <n v="0"/>
    <n v="0"/>
    <n v="0"/>
    <n v="0"/>
  </r>
  <r>
    <s v="NUHU KASUMBA"/>
    <x v="2"/>
    <n v="-29"/>
    <n v="37944643.210000001"/>
    <x v="12"/>
    <n v="1216212.8500000001"/>
    <n v="45743975.899999999"/>
    <d v="2016-11-30T15:34:35"/>
    <d v="2018-11-23T00:00:00"/>
    <s v="0772304067"/>
    <s v=""/>
    <s v=""/>
    <n v="200641"/>
    <s v="00200000387"/>
    <s v="Wholesale Trade"/>
    <s v="Durable Goods"/>
    <s v="Others"/>
    <n v="0"/>
    <n v="0"/>
    <n v="0"/>
    <n v="0"/>
    <n v="0"/>
    <n v="0"/>
  </r>
  <r>
    <s v="BARBRA TIBASAGA"/>
    <x v="7"/>
    <n v="-8"/>
    <n v="526224.96"/>
    <x v="19"/>
    <n v="16576.09"/>
    <n v="549905.07999999996"/>
    <d v="2016-11-30T18:46:27"/>
    <d v="2017-12-02T00:00:00"/>
    <s v="0782921165"/>
    <s v=""/>
    <s v=""/>
    <n v="200644"/>
    <s v="00200001670"/>
    <s v="Wholesale Trade"/>
    <s v="Others"/>
    <s v="Others"/>
    <n v="0"/>
    <n v="0"/>
    <n v="0"/>
    <n v="0"/>
    <n v="0"/>
    <n v="0"/>
  </r>
  <r>
    <s v="ARTHUR KWARIZHA"/>
    <x v="1"/>
    <n v="52"/>
    <n v="10720268.91"/>
    <x v="11"/>
    <n v="695290.58"/>
    <n v="13796847.49"/>
    <d v="2016-11-30T19:29:46"/>
    <d v="2018-12-02T00:00:00"/>
    <s v="0783440994"/>
    <s v=""/>
    <s v="0704597252"/>
    <n v="200645"/>
    <s v="00200001698"/>
    <s v="Real Estate and Rental"/>
    <s v="Rental"/>
    <s v="General Rental Centers"/>
    <n v="10720268.91"/>
    <n v="10720268.91"/>
    <n v="0"/>
    <n v="1"/>
    <n v="1"/>
    <n v="0"/>
  </r>
  <r>
    <s v="KAIRU IBANDA"/>
    <x v="3"/>
    <n v="-15"/>
    <n v="13912160.91"/>
    <x v="27"/>
    <n v="259693.67"/>
    <n v="18111803.539999999"/>
    <d v="2016-11-30T20:09:22"/>
    <d v="2018-12-09T00:00:00"/>
    <s v="0757893253"/>
    <s v=""/>
    <s v=""/>
    <n v="200646"/>
    <s v="00200001517"/>
    <s v="Retail"/>
    <s v="General Merchandise Stores"/>
    <s v="General Stores"/>
    <n v="0"/>
    <n v="0"/>
    <n v="0"/>
    <n v="0"/>
    <n v="0"/>
    <n v="0"/>
  </r>
  <r>
    <s v="STEPHEN MUSINGUZI"/>
    <x v="1"/>
    <n v="19"/>
    <n v="54107832.090000004"/>
    <x v="12"/>
    <n v="2858943.48"/>
    <n v="81743284.939999998"/>
    <d v="2016-11-30T20:02:46"/>
    <d v="2019-12-05T00:00:00"/>
    <s v="0772694359"/>
    <s v=""/>
    <s v=""/>
    <n v="200647"/>
    <s v="00200001722"/>
    <s v="Real Estate and Rental"/>
    <s v="Rental"/>
    <s v="General Rental Centers"/>
    <n v="54107832.090000004"/>
    <n v="0"/>
    <n v="0"/>
    <n v="1"/>
    <n v="0"/>
    <n v="0"/>
  </r>
  <r>
    <s v="JOHN MARY AGABA"/>
    <x v="2"/>
    <n v="-8"/>
    <n v="48242615.479999997"/>
    <x v="12"/>
    <n v="1125661.03"/>
    <n v="65895186.659999996"/>
    <d v="2016-11-30T21:47:00"/>
    <d v="2019-06-02T00:00:00"/>
    <s v="0772869780"/>
    <s v=""/>
    <s v=""/>
    <n v="200648"/>
    <s v="00200001723"/>
    <s v="Educational Services"/>
    <s v="Educational Services"/>
    <s v="Schools"/>
    <n v="0"/>
    <n v="0"/>
    <n v="0"/>
    <n v="0"/>
    <n v="0"/>
    <n v="0"/>
  </r>
  <r>
    <s v="GEOFREY BATURAINE"/>
    <x v="1"/>
    <n v="-8"/>
    <n v="51943901.670000002"/>
    <x v="1"/>
    <n v="1090821.94"/>
    <n v="74575692.25"/>
    <d v="2016-11-30T22:10:42"/>
    <d v="2019-12-02T00:00:00"/>
    <s v="0755382670"/>
    <s v=""/>
    <s v=""/>
    <n v="200650"/>
    <s v="00200001050"/>
    <s v="Real Estate and Rental"/>
    <s v="Rental"/>
    <s v="General Rental Centers"/>
    <n v="0"/>
    <n v="0"/>
    <n v="0"/>
    <n v="0"/>
    <n v="0"/>
    <n v="0"/>
  </r>
  <r>
    <s v="ROBERT BYAKUTAGA"/>
    <x v="3"/>
    <n v="79"/>
    <n v="23015295.629999999"/>
    <x v="16"/>
    <n v="1825339.06"/>
    <n v="31602762.460000001"/>
    <d v="2016-12-02T13:53:19"/>
    <d v="2018-12-05T00:00:00"/>
    <s v="0772873106"/>
    <s v=""/>
    <s v=""/>
    <n v="200653"/>
    <s v="00200001255"/>
    <s v="Transportation and Warehousing"/>
    <s v=" Passenger Transportation"/>
    <s v="Others"/>
    <n v="23015295.629999999"/>
    <n v="23015295.629999999"/>
    <n v="0"/>
    <n v="1"/>
    <n v="1"/>
    <n v="0"/>
  </r>
  <r>
    <s v="ANDREW LUTIMBA"/>
    <x v="0"/>
    <n v="19"/>
    <n v="797363.29"/>
    <x v="18"/>
    <n v="14167.4"/>
    <n v="820975.63"/>
    <d v="2016-12-05T15:14:24"/>
    <d v="2017-12-05T00:00:00"/>
    <s v="0752070304"/>
    <s v=""/>
    <s v="0774070304"/>
    <n v="200654"/>
    <s v="00200001728"/>
    <s v="Retail"/>
    <s v="Motor Vehicle and Parts Dealers"/>
    <s v="Used Car Dealers"/>
    <n v="797363.29"/>
    <n v="0"/>
    <n v="0"/>
    <n v="1"/>
    <n v="0"/>
    <n v="0"/>
  </r>
  <r>
    <s v="JOSEPH NAHABWE RWAKINWA"/>
    <x v="2"/>
    <n v="-11"/>
    <n v="40817830.979999997"/>
    <x v="27"/>
    <n v="734720.96"/>
    <n v="49895066.399999999"/>
    <d v="2016-12-05T16:50:32"/>
    <d v="2018-12-05T00:00:00"/>
    <s v="0772431811"/>
    <s v="0704431811"/>
    <s v=""/>
    <n v="200655"/>
    <s v="00200001072"/>
    <s v="Wholesale Trade"/>
    <s v="Nondurable Goods"/>
    <s v="Others"/>
    <n v="0"/>
    <n v="0"/>
    <n v="0"/>
    <n v="0"/>
    <n v="0"/>
    <n v="0"/>
  </r>
  <r>
    <s v="MOSES KAWENJA SENSONGA"/>
    <x v="0"/>
    <n v="138"/>
    <n v="2262576.9"/>
    <x v="26"/>
    <n v="144809.96"/>
    <n v="2590583.73"/>
    <d v="2016-12-06T13:00:38"/>
    <d v="2017-12-06T00:00:00"/>
    <s v="0702571046"/>
    <s v=""/>
    <s v="0774747693"/>
    <n v="200659"/>
    <s v="00200001706"/>
    <s v="Agriculture, Forestry, Fishing and Hunting"/>
    <s v="Animal Production"/>
    <s v="Poultry &amp; Egg Production"/>
    <n v="2262576.9"/>
    <n v="2262576.9"/>
    <n v="2262576.9"/>
    <n v="1"/>
    <n v="1"/>
    <n v="1"/>
  </r>
  <r>
    <s v="ALEX MUKISA"/>
    <x v="0"/>
    <n v="-12"/>
    <n v="419774.94"/>
    <x v="26"/>
    <n v="10704.26"/>
    <n v="438664.81"/>
    <d v="2016-12-06T13:43:54"/>
    <d v="2017-12-06T00:00:00"/>
    <s v="0784482457"/>
    <s v=""/>
    <s v=""/>
    <n v="200660"/>
    <s v="00200001752"/>
    <s v="Real Estate and Rental"/>
    <s v="Rental"/>
    <s v="General Rental Centers"/>
    <n v="0"/>
    <n v="0"/>
    <n v="0"/>
    <n v="0"/>
    <n v="0"/>
    <n v="0"/>
  </r>
  <r>
    <s v="MARGRET NALWANGA"/>
    <x v="7"/>
    <n v="46"/>
    <n v="1229239.23"/>
    <x v="19"/>
    <n v="45519.94"/>
    <n v="1299159.6599999999"/>
    <d v="2016-12-07T16:48:51"/>
    <d v="2017-12-08T00:00:00"/>
    <s v="0772447102"/>
    <s v=""/>
    <s v=""/>
    <n v="200663"/>
    <s v="00200001755"/>
    <s v="Retail"/>
    <s v="Miscellaneous Store Retailers"/>
    <s v="Others"/>
    <n v="1229239.23"/>
    <n v="1229239.23"/>
    <n v="0"/>
    <n v="1"/>
    <n v="1"/>
    <n v="0"/>
  </r>
  <r>
    <s v="AHIMBISIBWE JOHN BOSCO TAMWESIGIRE"/>
    <x v="3"/>
    <n v="-15"/>
    <n v="9482445.5199999996"/>
    <x v="16"/>
    <n v="177005.65"/>
    <n v="11059065.99"/>
    <d v="2016-12-09T16:26:16"/>
    <d v="2018-06-09T00:00:00"/>
    <s v="0772507959"/>
    <s v=""/>
    <s v="0701507959"/>
    <n v="200665"/>
    <s v="00200001773"/>
    <s v="Information"/>
    <s v="Publishing Industries"/>
    <s v="Others"/>
    <n v="0"/>
    <n v="0"/>
    <n v="0"/>
    <n v="0"/>
    <n v="0"/>
    <n v="0"/>
  </r>
  <r>
    <s v="WILLIAMS GUMISIRIZA"/>
    <x v="3"/>
    <n v="-15"/>
    <n v="9482445.5199999996"/>
    <x v="16"/>
    <n v="177005.65"/>
    <n v="11059065.99"/>
    <d v="2016-12-09T15:22:13"/>
    <d v="2018-06-09T00:00:00"/>
    <s v="0782392758"/>
    <s v=""/>
    <s v="0704426983"/>
    <n v="200666"/>
    <s v="00200001711"/>
    <s v="Retail"/>
    <s v="Building Material and Garden Equipment"/>
    <s v="Hardware Stores"/>
    <n v="0"/>
    <n v="0"/>
    <n v="0"/>
    <n v="0"/>
    <n v="0"/>
    <n v="0"/>
  </r>
  <r>
    <s v="HARRIET NAKIBUUKA"/>
    <x v="7"/>
    <n v="-16"/>
    <n v="262359.31"/>
    <x v="6"/>
    <n v="5116.01"/>
    <n v="274165.48"/>
    <d v="2016-12-10T11:33:54"/>
    <d v="2017-12-10T00:00:00"/>
    <s v="0782236081"/>
    <s v=""/>
    <s v="0705796461"/>
    <n v="200668"/>
    <s v="00200001758"/>
    <s v="Retail"/>
    <s v="General Merchandise Stores"/>
    <s v="General Stores"/>
    <n v="0"/>
    <n v="0"/>
    <n v="0"/>
    <n v="0"/>
    <n v="0"/>
    <n v="0"/>
  </r>
  <r>
    <s v="MUSA MUGERWA"/>
    <x v="3"/>
    <n v="14"/>
    <n v="10636838.539999999"/>
    <x v="22"/>
    <n v="589835.93000000005"/>
    <n v="12638932.550000001"/>
    <d v="2016-12-10T13:05:05"/>
    <d v="2018-06-10T00:00:00"/>
    <s v="0774440968"/>
    <s v=""/>
    <s v="0754440968"/>
    <n v="200669"/>
    <s v="00200001781"/>
    <s v="Retail"/>
    <s v="General Merchandise Stores"/>
    <s v="Others"/>
    <n v="10636838.539999999"/>
    <n v="0"/>
    <n v="0"/>
    <n v="1"/>
    <n v="0"/>
    <n v="0"/>
  </r>
  <r>
    <s v="PAULO WAMALA"/>
    <x v="0"/>
    <n v="98"/>
    <n v="2166444.0699999998"/>
    <x v="11"/>
    <n v="175212.32"/>
    <n v="2467489.23"/>
    <d v="2016-12-16T15:20:27"/>
    <d v="2017-12-16T00:00:00"/>
    <s v="0756517615"/>
    <s v=""/>
    <s v=""/>
    <n v="200671"/>
    <s v="00200001792"/>
    <s v="Real Estate and Rental"/>
    <s v="Rental"/>
    <s v="Others"/>
    <n v="2166444.0699999998"/>
    <n v="2166444.0699999998"/>
    <n v="2166444.0699999998"/>
    <n v="1"/>
    <n v="1"/>
    <n v="1"/>
  </r>
  <r>
    <s v="BEATRICE KISITU KOMUGISHA"/>
    <x v="8"/>
    <n v="42"/>
    <n v="1433967.43"/>
    <x v="10"/>
    <n v="49781.79"/>
    <n v="1510395.9"/>
    <d v="2016-12-12T11:44:20"/>
    <d v="2017-12-12T00:00:00"/>
    <s v="0754289724"/>
    <s v=""/>
    <s v=""/>
    <n v="200672"/>
    <s v="00200001786"/>
    <s v="Restaurants and Hotels"/>
    <s v="Restaurant"/>
    <s v="Food  service contractors &amp; caterers"/>
    <n v="1433967.43"/>
    <n v="1433967.43"/>
    <n v="0"/>
    <n v="1"/>
    <n v="1"/>
    <n v="0"/>
  </r>
  <r>
    <s v="JANE NAMUJJU"/>
    <x v="7"/>
    <n v="192"/>
    <n v="363069.79"/>
    <x v="13"/>
    <n v="24408.67"/>
    <n v="387756.76"/>
    <d v="2016-12-12T12:23:24"/>
    <d v="2017-06-12T00:00:00"/>
    <s v="0774494691"/>
    <s v=""/>
    <s v="0752360721"/>
    <n v="200673"/>
    <s v="00200001778"/>
    <s v="Real Estate and Rental"/>
    <s v="Rental"/>
    <s v="Others"/>
    <n v="363069.79"/>
    <n v="363069.79"/>
    <n v="363069.79"/>
    <n v="1"/>
    <n v="1"/>
    <n v="1"/>
  </r>
  <r>
    <s v="ALICE LILIAN KATENGEKE"/>
    <x v="8"/>
    <n v="-19"/>
    <n v="3289996.94"/>
    <x v="11"/>
    <n v="45694.400000000001"/>
    <n v="3639696.68"/>
    <d v="2016-12-13T14:08:31"/>
    <d v="2018-03-13T00:00:00"/>
    <s v="0782615599"/>
    <s v=""/>
    <s v=""/>
    <n v="200675"/>
    <s v="00200000715"/>
    <s v="Restaurants and Hotels"/>
    <s v="Restaurant"/>
    <s v="Restaurant"/>
    <n v="0"/>
    <n v="0"/>
    <n v="0"/>
    <n v="0"/>
    <n v="0"/>
    <n v="0"/>
  </r>
  <r>
    <s v="MEDI KAYONDO"/>
    <x v="1"/>
    <n v="8"/>
    <n v="26680157.149999999"/>
    <x v="23"/>
    <n v="909164.56"/>
    <n v="32999482.09"/>
    <d v="2016-12-16T17:46:02"/>
    <d v="2018-12-16T00:00:00"/>
    <s v="0782471240"/>
    <s v=""/>
    <s v="0702471240"/>
    <n v="200676"/>
    <s v="00200000722"/>
    <s v="Retail"/>
    <s v="Building Material and Garden Equipment"/>
    <s v="Hardware Stores"/>
    <n v="26680157.149999999"/>
    <n v="0"/>
    <n v="0"/>
    <n v="1"/>
    <n v="0"/>
    <n v="0"/>
  </r>
  <r>
    <s v="GEORGE WILLIAM KIMBUGWE KIZZA"/>
    <x v="1"/>
    <n v="-20"/>
    <n v="41409657.829999998"/>
    <x v="1"/>
    <n v="414096.58"/>
    <n v="51703636.490000002"/>
    <d v="2016-12-14T14:32:26"/>
    <d v="2018-12-14T00:00:00"/>
    <s v="0752411894"/>
    <s v=""/>
    <s v="0772411894"/>
    <n v="200681"/>
    <s v="00200001766"/>
    <s v="Real Estate and Rental"/>
    <s v="Rental"/>
    <s v="General Rental Centers"/>
    <n v="0"/>
    <n v="0"/>
    <n v="0"/>
    <n v="0"/>
    <n v="0"/>
    <n v="0"/>
  </r>
  <r>
    <s v="ABDUL SABATA KADDU"/>
    <x v="3"/>
    <n v="99"/>
    <n v="23635006.18"/>
    <x v="0"/>
    <n v="1614112.45"/>
    <n v="31759143.420000002"/>
    <d v="2016-12-15T18:20:35"/>
    <d v="2018-12-15T00:00:00"/>
    <s v="0772320297"/>
    <s v=""/>
    <s v="0754209804"/>
    <n v="200689"/>
    <s v="00200000100"/>
    <s v="Retail"/>
    <s v="Motor Vehicle and Parts Dealers"/>
    <s v="Others"/>
    <n v="23635006.18"/>
    <n v="23635006.18"/>
    <n v="23635006.18"/>
    <n v="1"/>
    <n v="1"/>
    <n v="1"/>
  </r>
  <r>
    <s v="GITTA DDEMBE"/>
    <x v="0"/>
    <n v="-22"/>
    <n v="524718.64"/>
    <x v="35"/>
    <n v="5509.55"/>
    <n v="548330.98"/>
    <d v="2016-12-16T17:26:05"/>
    <d v="2017-12-16T00:00:00"/>
    <s v="0712181554"/>
    <s v=""/>
    <s v=""/>
    <n v="200692"/>
    <s v="00200001552"/>
    <s v="Real Estate and Rental"/>
    <s v="Rental"/>
    <s v="General Rental Centers"/>
    <n v="0"/>
    <n v="0"/>
    <n v="0"/>
    <n v="0"/>
    <n v="0"/>
    <n v="0"/>
  </r>
  <r>
    <s v="ISAAC MALIAMUNGU"/>
    <x v="0"/>
    <n v="8"/>
    <n v="1086520.73"/>
    <x v="22"/>
    <n v="8264.32"/>
    <n v="1121939.24"/>
    <d v="2016-12-16T15:22:59"/>
    <d v="2017-12-16T00:00:00"/>
    <s v="0758844424"/>
    <s v=""/>
    <s v="0785653324"/>
    <n v="200694"/>
    <s v="00200001717"/>
    <s v="Retail"/>
    <s v="Food and Beverage Stores"/>
    <s v="Fruit &amp; Vegetable Markets"/>
    <n v="1086520.73"/>
    <n v="0"/>
    <n v="0"/>
    <n v="1"/>
    <n v="0"/>
    <n v="0"/>
  </r>
  <r>
    <s v="JOHN SSEWANYANA"/>
    <x v="0"/>
    <n v="4"/>
    <n v="1032737.48"/>
    <x v="10"/>
    <n v="45827.23"/>
    <n v="1099937.83"/>
    <d v="2016-12-16T17:39:54"/>
    <d v="2017-12-20T00:00:00"/>
    <s v="0772371821"/>
    <s v=""/>
    <s v="0704371821"/>
    <n v="200695"/>
    <s v="00200001791"/>
    <s v="Retail"/>
    <s v="Miscellaneous Store Retailers"/>
    <s v="Printing Stores"/>
    <n v="1032737.48"/>
    <n v="0"/>
    <n v="0"/>
    <n v="1"/>
    <n v="0"/>
    <n v="0"/>
  </r>
  <r>
    <s v="MOSES TWIMUKYE"/>
    <x v="3"/>
    <n v="5"/>
    <n v="2342643.98"/>
    <x v="10"/>
    <n v="12021.27"/>
    <n v="2432803.5099999998"/>
    <d v="2016-12-19T15:52:49"/>
    <d v="2017-12-19T00:00:00"/>
    <s v="0704819710"/>
    <s v=""/>
    <s v="0774381951"/>
    <n v="200698"/>
    <s v="00200001829"/>
    <s v="Health Care"/>
    <s v="Health Care"/>
    <s v=" Medical &amp; Diagnostic Laboratories"/>
    <n v="2342643.98"/>
    <n v="0"/>
    <n v="0"/>
    <n v="1"/>
    <n v="0"/>
    <n v="0"/>
  </r>
  <r>
    <s v="ANNET NABUUFU"/>
    <x v="2"/>
    <n v="4"/>
    <n v="27029395.91"/>
    <x v="19"/>
    <n v="985922.75"/>
    <n v="34265131.899999999"/>
    <d v="2016-12-20T15:32:44"/>
    <d v="2018-12-20T00:00:00"/>
    <s v="0701445774"/>
    <s v=""/>
    <s v="0782190607"/>
    <n v="200701"/>
    <s v="00200001817"/>
    <s v="Retail"/>
    <s v="Building Material and Garden Equipment"/>
    <s v="Hardware Stores"/>
    <n v="27029395.91"/>
    <n v="0"/>
    <n v="0"/>
    <n v="1"/>
    <n v="0"/>
    <n v="0"/>
  </r>
  <r>
    <s v="DAMALIE ZAWEDDE"/>
    <x v="1"/>
    <n v="-27"/>
    <n v="6327958.2699999996"/>
    <x v="25"/>
    <n v="14062.13"/>
    <n v="6863931.0099999998"/>
    <d v="2016-12-21T16:46:02"/>
    <d v="2018-03-21T00:00:00"/>
    <s v="0782673155"/>
    <s v=""/>
    <s v="0702673155"/>
    <n v="200706"/>
    <s v="00200001837"/>
    <s v="Restaurants and Hotels"/>
    <s v="Restaurant"/>
    <s v="Restaurant"/>
    <n v="0"/>
    <n v="0"/>
    <n v="0"/>
    <n v="0"/>
    <n v="0"/>
    <n v="0"/>
  </r>
  <r>
    <s v="GEORGE WILLIAM KALYESUBULA"/>
    <x v="2"/>
    <n v="-27"/>
    <n v="31398331.530000001"/>
    <x v="25"/>
    <n v="62796.66"/>
    <n v="38380820.329999998"/>
    <d v="2016-12-21T15:48:14"/>
    <d v="2018-12-21T00:00:00"/>
    <s v="0774060980"/>
    <s v="0754060980"/>
    <s v=""/>
    <n v="200708"/>
    <s v="00200000963"/>
    <s v="Construction"/>
    <s v="Construction of Buildings"/>
    <s v="Residential Construction"/>
    <n v="0"/>
    <n v="0"/>
    <n v="0"/>
    <n v="0"/>
    <n v="0"/>
    <n v="0"/>
  </r>
  <r>
    <s v="ABASI MATOVU"/>
    <x v="1"/>
    <n v="3"/>
    <n v="3902659.98"/>
    <x v="11"/>
    <n v="134496.04999999999"/>
    <n v="4098859.28"/>
    <d v="2016-12-21T16:33:07"/>
    <d v="2017-12-21T00:00:00"/>
    <s v="0772336523"/>
    <s v=""/>
    <s v="0759646354"/>
    <n v="200711"/>
    <s v="00200001857"/>
    <s v="Wholesale Trade"/>
    <s v="Nondurable Goods"/>
    <s v="Others"/>
    <n v="3902659.98"/>
    <n v="0"/>
    <n v="0"/>
    <n v="1"/>
    <n v="0"/>
    <n v="0"/>
  </r>
  <r>
    <s v="SARAH KASUJJA NABUNYA"/>
    <x v="7"/>
    <n v="123"/>
    <n v="1130901.96"/>
    <x v="25"/>
    <n v="31555.119999999999"/>
    <n v="1163545.19"/>
    <d v="2016-12-21T16:52:02"/>
    <d v="2017-08-21T00:00:00"/>
    <s v="0774402810"/>
    <s v=""/>
    <s v=""/>
    <n v="200712"/>
    <s v="00200001852"/>
    <s v="Retail"/>
    <s v="Second Hand -Clothing and  Accessories"/>
    <s v="Others"/>
    <n v="1130901.96"/>
    <n v="1130901.96"/>
    <n v="1130901.96"/>
    <n v="1"/>
    <n v="1"/>
    <n v="1"/>
  </r>
  <r>
    <s v="STEVEN MWENDA"/>
    <x v="3"/>
    <n v="123"/>
    <n v="13374838.109999999"/>
    <x v="26"/>
    <n v="1011991.93"/>
    <n v="16189398.01"/>
    <d v="2016-12-21T18:17:15"/>
    <d v="2018-03-21T00:00:00"/>
    <s v="0772454305"/>
    <s v=""/>
    <s v=""/>
    <n v="200715"/>
    <s v="00200000994"/>
    <s v="Transportation and Warehousing"/>
    <s v=" Passenger Transportation"/>
    <s v="Others"/>
    <n v="13374838.109999999"/>
    <n v="13374838.109999999"/>
    <n v="13374838.109999999"/>
    <n v="1"/>
    <n v="1"/>
    <n v="1"/>
  </r>
  <r>
    <s v="HENRY FRANCIS TUGUME"/>
    <x v="0"/>
    <n v="32"/>
    <n v="2701112.61"/>
    <x v="22"/>
    <n v="272274.48"/>
    <n v="2868921.65"/>
    <d v="2016-12-21T18:24:50"/>
    <d v="2017-12-22T00:00:00"/>
    <s v="0772443132"/>
    <s v=""/>
    <s v="0703882477"/>
    <n v="200716"/>
    <s v="00200001828"/>
    <s v="Agriculture, Forestry, Fishing and Hunting"/>
    <s v="Animal Production"/>
    <s v="Other Animal Production"/>
    <n v="2701112.61"/>
    <n v="2701112.61"/>
    <n v="0"/>
    <n v="1"/>
    <n v="1"/>
    <n v="0"/>
  </r>
  <r>
    <s v="GERALD MUKASA BUTAYI"/>
    <x v="1"/>
    <n v="0"/>
    <n v="13353030.109999999"/>
    <x v="19"/>
    <n v="387237.87"/>
    <n v="16549328.17"/>
    <d v="2016-12-23T16:07:05"/>
    <d v="2018-12-24T00:00:00"/>
    <s v="0772503190"/>
    <s v=""/>
    <s v="0701503190"/>
    <n v="200719"/>
    <s v="00200000263"/>
    <s v="Retail"/>
    <s v="Furniture and Home Furnishings Stores"/>
    <s v="Kitchen Ware"/>
    <n v="0"/>
    <n v="0"/>
    <n v="0"/>
    <n v="0"/>
    <n v="0"/>
    <n v="0"/>
  </r>
  <r>
    <s v="JOHN TEZANO LUBEGA"/>
    <x v="1"/>
    <n v="0"/>
    <n v="16893372.43"/>
    <x v="1"/>
    <n v="544342"/>
    <n v="21415707.390000001"/>
    <d v="2016-12-24T12:03:30"/>
    <d v="2018-12-24T00:00:00"/>
    <s v="0772455644"/>
    <s v=""/>
    <s v="0702435343"/>
    <n v="200721"/>
    <s v="00200001825"/>
    <s v="Educational Services"/>
    <s v="Educational Services"/>
    <s v="Schools"/>
    <n v="0"/>
    <n v="0"/>
    <n v="0"/>
    <n v="0"/>
    <n v="0"/>
    <n v="0"/>
  </r>
  <r>
    <s v="DEOGRATIUS SSEBUWUFU"/>
    <x v="0"/>
    <n v="30"/>
    <n v="709552.93"/>
    <x v="3"/>
    <n v="22333.81"/>
    <n v="744463.04"/>
    <d v="2016-12-24T12:50:34"/>
    <d v="2017-12-24T00:00:00"/>
    <s v="0701162927"/>
    <s v=""/>
    <s v=""/>
    <n v="200722"/>
    <s v="00200001840"/>
    <s v="Retail"/>
    <s v="Others"/>
    <s v="Others"/>
    <n v="709552.93"/>
    <n v="0"/>
    <n v="0"/>
    <n v="1"/>
    <n v="0"/>
    <n v="0"/>
  </r>
  <r>
    <s v="NYIKA JAMIL SEKAJUGO"/>
    <x v="0"/>
    <n v="0"/>
    <n v="1642946.68"/>
    <x v="22"/>
    <n v="71468.179999999993"/>
    <n v="1754659.02"/>
    <d v="2016-12-24T13:10:05"/>
    <d v="2017-12-24T00:00:00"/>
    <s v="0777000888"/>
    <s v=""/>
    <s v="0758880888"/>
    <n v="200723"/>
    <s v="00200001742"/>
    <s v="Retail"/>
    <s v="Others"/>
    <s v="Others"/>
    <n v="0"/>
    <n v="0"/>
    <n v="0"/>
    <n v="0"/>
    <n v="0"/>
    <n v="0"/>
  </r>
  <r>
    <s v="NATHAN BUSUULWA"/>
    <x v="3"/>
    <n v="112"/>
    <n v="9970307.7200000007"/>
    <x v="13"/>
    <n v="638937.1"/>
    <n v="11226658.74"/>
    <d v="2016-12-28T15:48:11"/>
    <d v="2018-01-02T00:00:00"/>
    <s v="0702111250"/>
    <s v=""/>
    <s v="0776111250"/>
    <n v="200724"/>
    <s v="00200001520"/>
    <s v="Real Estate and Rental"/>
    <s v="Real Estate"/>
    <s v="Others"/>
    <n v="9970307.7200000007"/>
    <n v="9970307.7200000007"/>
    <n v="9970307.7200000007"/>
    <n v="1"/>
    <n v="1"/>
    <n v="1"/>
  </r>
  <r>
    <s v="JAMES SSEWAGUDE"/>
    <x v="0"/>
    <n v="-7"/>
    <n v="2268779.64"/>
    <x v="19"/>
    <n v="74869.73"/>
    <n v="2423045.56"/>
    <d v="2016-12-28T16:42:53"/>
    <d v="2018-01-01T00:00:00"/>
    <s v="0772919379"/>
    <s v=""/>
    <s v=""/>
    <n v="200725"/>
    <s v="00200001855"/>
    <s v="Transportation and Warehousing"/>
    <s v=" Passenger Transportation"/>
    <s v="Taxi service"/>
    <n v="0"/>
    <n v="0"/>
    <n v="0"/>
    <n v="0"/>
    <n v="0"/>
    <n v="0"/>
  </r>
  <r>
    <s v="MARY KYENDIBAZA"/>
    <x v="1"/>
    <n v="-8"/>
    <n v="13558293.689999999"/>
    <x v="22"/>
    <n v="316360.19"/>
    <n v="17187832.16"/>
    <d v="2016-12-29T16:49:02"/>
    <d v="2019-01-02T00:00:00"/>
    <s v="0700322991"/>
    <s v=""/>
    <s v="0782074268"/>
    <n v="200729"/>
    <s v="00200001843"/>
    <s v="Retail"/>
    <s v="Others"/>
    <s v="Others"/>
    <n v="0"/>
    <n v="0"/>
    <n v="0"/>
    <n v="0"/>
    <n v="0"/>
    <n v="0"/>
  </r>
  <r>
    <s v="ROGERS KIBERU KALYAMAGWA"/>
    <x v="1"/>
    <n v="19"/>
    <n v="9670721.5199999996"/>
    <x v="1"/>
    <n v="446034.78"/>
    <n v="11177407.42"/>
    <d v="2016-12-31T13:18:38"/>
    <d v="2018-07-05T00:00:00"/>
    <s v="0701700606"/>
    <s v="0772455582"/>
    <s v=""/>
    <n v="200731"/>
    <s v="00200000289"/>
    <s v="Information"/>
    <s v="Others"/>
    <s v="Others"/>
    <n v="9670721.5199999996"/>
    <n v="0"/>
    <n v="0"/>
    <n v="1"/>
    <n v="0"/>
    <n v="0"/>
  </r>
  <r>
    <s v="BILL TIBINGANA"/>
    <x v="3"/>
    <n v="23"/>
    <n v="8289990.04"/>
    <x v="23"/>
    <n v="441060.24"/>
    <n v="8906045.1300000008"/>
    <d v="2016-12-31T15:58:26"/>
    <d v="2018-01-01T00:00:00"/>
    <s v="0757836088"/>
    <s v=""/>
    <s v=""/>
    <n v="200733"/>
    <s v="00200001812"/>
    <s v="Transportation and Warehousing"/>
    <s v="Truck Transportation"/>
    <s v="General Freight Trucking, Local"/>
    <n v="8289990.04"/>
    <n v="0"/>
    <n v="0"/>
    <n v="1"/>
    <n v="0"/>
    <n v="0"/>
  </r>
  <r>
    <s v="OJOK CHRISTOPHER"/>
    <x v="0"/>
    <n v="-11"/>
    <n v="3102634.04"/>
    <x v="20"/>
    <n v="83771.12"/>
    <n v="3313597.98"/>
    <d v="2016-12-31T12:31:42"/>
    <d v="2018-01-05T00:00:00"/>
    <s v="0785605397"/>
    <s v=""/>
    <s v="0705229434"/>
    <n v="200736"/>
    <s v="00200001859"/>
    <s v="Health Care"/>
    <s v="Health Care"/>
    <s v="Offices of Doctor"/>
    <n v="0"/>
    <n v="0"/>
    <n v="0"/>
    <n v="0"/>
    <n v="0"/>
    <n v="0"/>
  </r>
  <r>
    <s v="KASIMU KUUNYA"/>
    <x v="2"/>
    <n v="23"/>
    <n v="33610502.960000001"/>
    <x v="16"/>
    <n v="886281.37"/>
    <n v="48672823.560000002"/>
    <d v="2016-12-31T19:30:23"/>
    <d v="2020-01-01T00:00:00"/>
    <s v="0752484566"/>
    <s v="0782890608"/>
    <s v=""/>
    <n v="200738"/>
    <s v="00200000933"/>
    <s v="Real Estate and Rental"/>
    <s v="Rental"/>
    <s v="General Rental Centers"/>
    <n v="33610502.960000001"/>
    <n v="0"/>
    <n v="0"/>
    <n v="1"/>
    <n v="0"/>
    <n v="0"/>
  </r>
  <r>
    <s v="BIN SEIFFU AHMED"/>
    <x v="1"/>
    <n v="50"/>
    <n v="13005524.529999999"/>
    <x v="18"/>
    <n v="857099.65"/>
    <n v="20206263.440000001"/>
    <d v="2017-01-04T14:28:48"/>
    <d v="2020-01-04T00:00:00"/>
    <s v="0702898080"/>
    <s v=""/>
    <s v=""/>
    <n v="200739"/>
    <s v="00200001746"/>
    <s v="Real Estate and Rental"/>
    <s v="Rental"/>
    <s v="General Rental Centers"/>
    <n v="13005524.529999999"/>
    <n v="13005524.529999999"/>
    <n v="0"/>
    <n v="1"/>
    <n v="1"/>
    <n v="0"/>
  </r>
  <r>
    <s v="NASSER NASIB KIKOMEKO"/>
    <x v="0"/>
    <n v="50"/>
    <n v="2360581.64"/>
    <x v="12"/>
    <n v="146457.32"/>
    <n v="2591688.12"/>
    <d v="2017-01-04T16:14:35"/>
    <d v="2018-01-04T00:00:00"/>
    <s v="0752638165"/>
    <s v=""/>
    <s v="0702638165"/>
    <n v="200740"/>
    <s v="00200001882"/>
    <s v="Manufacturing"/>
    <s v="Fabricated Metal Product Manufacturing"/>
    <s v="Others"/>
    <n v="2360581.64"/>
    <n v="2360581.64"/>
    <n v="0"/>
    <n v="1"/>
    <n v="1"/>
    <n v="0"/>
  </r>
  <r>
    <s v="JAMES MITI"/>
    <x v="0"/>
    <n v="-12"/>
    <n v="1607739.89"/>
    <x v="27"/>
    <n v="36442.1"/>
    <n v="1704834.77"/>
    <d v="2017-01-06T17:14:21"/>
    <d v="2018-01-06T00:00:00"/>
    <s v="0772903368"/>
    <s v=""/>
    <s v=""/>
    <n v="200742"/>
    <s v="00200000655"/>
    <s v="Real Estate and Rental"/>
    <s v="Rental"/>
    <s v="General Rental Centers"/>
    <n v="0"/>
    <n v="0"/>
    <n v="0"/>
    <n v="0"/>
    <n v="0"/>
    <n v="0"/>
  </r>
  <r>
    <s v="EMMANUEL SSEKITOLEKO"/>
    <x v="1"/>
    <n v="14"/>
    <n v="16478968.02"/>
    <x v="10"/>
    <n v="213515.16"/>
    <n v="23942070.760000002"/>
    <d v="2017-01-07T12:31:47"/>
    <d v="2020-01-10T00:00:00"/>
    <s v="0772524454"/>
    <s v=""/>
    <s v=""/>
    <n v="200744"/>
    <s v="00200000039"/>
    <s v="Educational Services"/>
    <s v="Educational Services"/>
    <s v="Schools"/>
    <n v="16478968.02"/>
    <n v="0"/>
    <n v="0"/>
    <n v="1"/>
    <n v="0"/>
    <n v="0"/>
  </r>
  <r>
    <s v="RICHARD MUGISHA"/>
    <x v="1"/>
    <n v="9"/>
    <n v="36567289.109999999"/>
    <x v="5"/>
    <n v="1539772.68"/>
    <n v="65875164.060000002"/>
    <d v="2017-01-11T11:48:27"/>
    <d v="2021-01-15T00:00:00"/>
    <s v="0772503518"/>
    <s v=""/>
    <s v=""/>
    <n v="200745"/>
    <s v="00200001897"/>
    <s v="Real Estate and Rental"/>
    <s v="Rental"/>
    <s v="Others"/>
    <n v="36567289.109999999"/>
    <n v="0"/>
    <n v="0"/>
    <n v="1"/>
    <n v="0"/>
    <n v="0"/>
  </r>
  <r>
    <s v="DEBORAH NAYEBARE"/>
    <x v="8"/>
    <n v="-17"/>
    <n v="2024321.56"/>
    <x v="11"/>
    <n v="33738.69"/>
    <n v="2151702.34"/>
    <d v="2017-01-11T13:23:38"/>
    <d v="2018-01-11T00:00:00"/>
    <s v="0782229696"/>
    <s v=""/>
    <s v=""/>
    <n v="200746"/>
    <s v="00200001901"/>
    <s v="Retail"/>
    <s v="General Merchandise Stores"/>
    <s v="General Stores"/>
    <n v="0"/>
    <n v="0"/>
    <n v="0"/>
    <n v="0"/>
    <n v="0"/>
    <n v="0"/>
  </r>
  <r>
    <s v="SALIM SSEKITOOLEKO"/>
    <x v="0"/>
    <n v="-17"/>
    <n v="1232210.03"/>
    <x v="19"/>
    <n v="22179.78"/>
    <n v="1315994.29"/>
    <d v="2017-01-11T17:24:29"/>
    <d v="2018-01-11T00:00:00"/>
    <s v="0755258489"/>
    <s v=""/>
    <s v=""/>
    <n v="200748"/>
    <s v="00200001902"/>
    <s v="Retail"/>
    <s v="Others"/>
    <s v="Others"/>
    <n v="0"/>
    <n v="0"/>
    <n v="0"/>
    <n v="0"/>
    <n v="0"/>
    <n v="0"/>
  </r>
  <r>
    <s v="SILAJE DAMULIRA"/>
    <x v="1"/>
    <n v="19"/>
    <n v="35005680.399999999"/>
    <x v="18"/>
    <n v="1646394.21"/>
    <n v="43984592.189999998"/>
    <d v="2017-01-12T16:34:43"/>
    <d v="2019-01-05T00:00:00"/>
    <s v="0774576277"/>
    <s v=""/>
    <s v=""/>
    <n v="200750"/>
    <s v="00200000264"/>
    <s v="Real Estate and Rental"/>
    <s v="Rental"/>
    <s v="General Rental Centers"/>
    <n v="35005680.399999999"/>
    <n v="0"/>
    <n v="0"/>
    <n v="1"/>
    <n v="0"/>
    <n v="0"/>
  </r>
  <r>
    <s v="PATRICIA MANDY MUGERWA"/>
    <x v="3"/>
    <n v="39"/>
    <n v="12690609.689999999"/>
    <x v="19"/>
    <n v="905683.52"/>
    <n v="15168915.35"/>
    <d v="2017-01-13T15:47:59"/>
    <d v="2018-07-15T00:00:00"/>
    <s v="0704183183"/>
    <s v=""/>
    <s v="0712653430"/>
    <n v="200751"/>
    <s v="00200001898"/>
    <s v="Real Estate and Rental"/>
    <s v="Real Estate"/>
    <s v="Others"/>
    <n v="12690609.689999999"/>
    <n v="12690609.689999999"/>
    <n v="0"/>
    <n v="1"/>
    <n v="1"/>
    <n v="0"/>
  </r>
  <r>
    <s v="FELIX NGABIRANO"/>
    <x v="0"/>
    <n v="-22"/>
    <n v="1232210.03"/>
    <x v="3"/>
    <n v="12938.21"/>
    <n v="1315994.29"/>
    <d v="2017-01-16T13:00:33"/>
    <d v="2018-01-16T00:00:00"/>
    <s v="0772419311"/>
    <s v=""/>
    <s v="0755700350"/>
    <n v="200754"/>
    <s v="00200001903"/>
    <s v="Agriculture, Forestry, Fishing and Hunting"/>
    <s v="Forestry"/>
    <s v="Timber Tract Operations"/>
    <n v="0"/>
    <n v="0"/>
    <n v="0"/>
    <n v="0"/>
    <n v="0"/>
    <n v="0"/>
  </r>
  <r>
    <s v="JULIANA KAYAGA"/>
    <x v="6"/>
    <n v="-27"/>
    <n v="38596808.380000003"/>
    <x v="17"/>
    <n v="47173.88"/>
    <n v="59281817.25"/>
    <d v="2017-01-16T17:11:25"/>
    <d v="2022-01-21T00:00:00"/>
    <s v="0794850808"/>
    <s v=""/>
    <s v=""/>
    <n v="200755"/>
    <s v="00200000012"/>
    <s v="Finance and Insurance"/>
    <s v="Finance"/>
    <s v="Microfinance Institutions"/>
    <n v="0"/>
    <n v="0"/>
    <n v="0"/>
    <n v="0"/>
    <n v="0"/>
    <n v="0"/>
  </r>
  <r>
    <s v="JOYCE NK GALIWANGO"/>
    <x v="9"/>
    <n v="-23"/>
    <n v="3014512.29"/>
    <x v="35"/>
    <n v="24116.1"/>
    <n v="3196565.19"/>
    <d v="2017-01-17T13:30:45"/>
    <d v="2018-01-17T00:00:00"/>
    <s v="0772443483"/>
    <s v=""/>
    <s v=""/>
    <n v="200757"/>
    <s v="00200001891"/>
    <s v="Educational Services"/>
    <s v="Educational Services"/>
    <s v="Schools"/>
    <n v="0"/>
    <n v="0"/>
    <n v="0"/>
    <n v="0"/>
    <n v="0"/>
    <n v="0"/>
  </r>
  <r>
    <s v="PENNINA MUHWEZI"/>
    <x v="3"/>
    <n v="-23"/>
    <n v="20784052.870000001"/>
    <x v="13"/>
    <n v="166272.42000000001"/>
    <n v="27546469.16"/>
    <d v="2017-01-17T13:34:19"/>
    <d v="2019-01-17T00:00:00"/>
    <s v="0772566130"/>
    <s v=""/>
    <s v="0702795488"/>
    <n v="200758"/>
    <s v="00200001861"/>
    <s v="Educational Services"/>
    <s v="Educational Services"/>
    <s v="Schools"/>
    <n v="0"/>
    <n v="0"/>
    <n v="0"/>
    <n v="0"/>
    <n v="0"/>
    <n v="0"/>
  </r>
  <r>
    <s v="ERIC KAMANZI"/>
    <x v="1"/>
    <n v="-23"/>
    <n v="49337453.549999997"/>
    <x v="1"/>
    <n v="296024.71999999997"/>
    <n v="66325036.969999999"/>
    <d v="2017-01-17T14:59:58"/>
    <d v="2019-07-17T00:00:00"/>
    <s v="0772867692"/>
    <s v="0703570000"/>
    <s v=""/>
    <n v="200759"/>
    <s v="00200000083"/>
    <s v="Real Estate and Rental"/>
    <s v="Rental"/>
    <s v="General Rental Centers"/>
    <n v="0"/>
    <n v="0"/>
    <n v="0"/>
    <n v="0"/>
    <n v="0"/>
    <n v="0"/>
  </r>
  <r>
    <s v="MAJID CHANDIGA"/>
    <x v="1"/>
    <n v="-26"/>
    <n v="13558293.689999999"/>
    <x v="13"/>
    <n v="45194.31"/>
    <n v="17187832.16"/>
    <d v="2017-01-17T15:44:52"/>
    <d v="2019-01-20T00:00:00"/>
    <s v="0772312696"/>
    <s v=""/>
    <s v="0776312696"/>
    <n v="200760"/>
    <s v="00200001914"/>
    <s v="Real Estate and Rental"/>
    <s v="Real Estate"/>
    <s v="Others"/>
    <n v="0"/>
    <n v="0"/>
    <n v="0"/>
    <n v="0"/>
    <n v="0"/>
    <n v="0"/>
  </r>
  <r>
    <s v="JOHN BIZIMANA"/>
    <x v="0"/>
    <n v="67"/>
    <n v="6329044.9100000001"/>
    <x v="11"/>
    <n v="270186.21999999997"/>
    <n v="7007562.1799999997"/>
    <d v="2017-01-17T17:33:33"/>
    <d v="2018-01-17T00:00:00"/>
    <s v="0784226481"/>
    <s v=""/>
    <s v="0789888265"/>
    <n v="200761"/>
    <s v="00200001912"/>
    <s v="Retail"/>
    <s v="Food and Beverage Stores"/>
    <s v="Beverage Stores"/>
    <n v="6329044.9100000001"/>
    <n v="6329044.9100000001"/>
    <n v="0"/>
    <n v="1"/>
    <n v="1"/>
    <n v="0"/>
  </r>
  <r>
    <s v="LAMECH NSUBUGA"/>
    <x v="1"/>
    <n v="-24"/>
    <n v="24839300.879999999"/>
    <x v="22"/>
    <n v="137996.12"/>
    <n v="37525917.530000001"/>
    <d v="2017-01-18T16:51:29"/>
    <d v="2020-01-18T00:00:00"/>
    <s v="0755754074"/>
    <s v=""/>
    <s v=""/>
    <n v="200762"/>
    <s v="00200000637"/>
    <s v="Retail"/>
    <s v="Gasoline Stations"/>
    <s v="Gas station"/>
    <n v="0"/>
    <n v="0"/>
    <n v="0"/>
    <n v="0"/>
    <n v="0"/>
    <n v="0"/>
  </r>
  <r>
    <s v="ANDREW LEOPOLD MUGAMBE"/>
    <x v="0"/>
    <n v="35"/>
    <n v="1967151.37"/>
    <x v="26"/>
    <n v="84674.81"/>
    <n v="2122367.15"/>
    <d v="2017-01-19T16:58:29"/>
    <d v="2018-01-19T00:00:00"/>
    <s v="0700352627"/>
    <s v=""/>
    <s v="0392902105"/>
    <n v="200763"/>
    <s v="00200001893"/>
    <s v="Health Care"/>
    <s v="Health Care"/>
    <s v="Others"/>
    <n v="1967151.37"/>
    <n v="1967151.37"/>
    <n v="0"/>
    <n v="1"/>
    <n v="1"/>
    <n v="0"/>
  </r>
  <r>
    <s v="EDIRISA KASUJJA"/>
    <x v="0"/>
    <n v="34"/>
    <n v="2360581.64"/>
    <x v="4"/>
    <n v="167741.06"/>
    <n v="2612971.86"/>
    <d v="2017-01-20T14:25:35"/>
    <d v="2018-01-20T00:00:00"/>
    <s v="0753948471"/>
    <s v=""/>
    <s v="0700948471"/>
    <n v="200765"/>
    <s v="00200001884"/>
    <s v="Retail"/>
    <s v="Furniture and Home Furnishings Stores"/>
    <s v="Others"/>
    <n v="2360581.64"/>
    <n v="2360581.64"/>
    <n v="0"/>
    <n v="1"/>
    <n v="1"/>
    <n v="0"/>
  </r>
  <r>
    <s v="DAUDA BYAKULEKA"/>
    <x v="1"/>
    <n v="-26"/>
    <n v="8281301.7999999998"/>
    <x v="19"/>
    <n v="27604.34"/>
    <n v="9570961.7300000004"/>
    <d v="2017-01-20T14:29:02"/>
    <d v="2018-07-20T00:00:00"/>
    <s v="0782300418"/>
    <s v=""/>
    <s v=""/>
    <n v="200767"/>
    <s v="00200001128"/>
    <s v="Real Estate and Rental"/>
    <s v="Rental"/>
    <s v="General Rental Centers"/>
    <n v="0"/>
    <n v="0"/>
    <n v="0"/>
    <n v="0"/>
    <n v="0"/>
    <n v="0"/>
  </r>
  <r>
    <s v="MARIAM NAKANJAKO"/>
    <x v="0"/>
    <n v="-26"/>
    <n v="1232210.03"/>
    <x v="26"/>
    <n v="5544.95"/>
    <n v="1315994.29"/>
    <d v="2017-01-20T14:59:03"/>
    <d v="2018-01-20T00:00:00"/>
    <s v="0705311351"/>
    <s v=""/>
    <s v="0776299897"/>
    <n v="200768"/>
    <s v="00200001910"/>
    <s v="Retail"/>
    <s v="Second Hand -Clothing and  Accessories"/>
    <s v="Shoes Stores"/>
    <n v="0"/>
    <n v="0"/>
    <n v="0"/>
    <n v="0"/>
    <n v="0"/>
    <n v="0"/>
  </r>
  <r>
    <s v="CMT REALTORS LIMITED"/>
    <x v="2"/>
    <n v="-16"/>
    <n v="39476271.409999996"/>
    <x v="5"/>
    <n v="513191.53"/>
    <n v="48925657"/>
    <d v="2017-01-24T12:15:18"/>
    <d v="2019-01-10T00:00:00"/>
    <s v="0776737908"/>
    <s v="0414346344"/>
    <s v=""/>
    <n v="200770"/>
    <s v="00200000222"/>
    <s v="Retail"/>
    <s v="General Merchandise Stores"/>
    <s v="Others"/>
    <n v="0"/>
    <n v="0"/>
    <n v="0"/>
    <n v="0"/>
    <n v="0"/>
    <n v="0"/>
  </r>
  <r>
    <s v="ALICE STELLA NAMAZZI"/>
    <x v="8"/>
    <n v="-27"/>
    <n v="1214592.97"/>
    <x v="16"/>
    <n v="3373.87"/>
    <n v="1291021.44"/>
    <d v="2017-01-21T12:22:19"/>
    <d v="2018-01-21T00:00:00"/>
    <s v="0782938897"/>
    <s v=""/>
    <s v=""/>
    <n v="200772"/>
    <s v="00200001938"/>
    <s v="Agriculture, Forestry, Fishing and Hunting"/>
    <s v="Animal Production"/>
    <s v="Sheep &amp; Goat Farming"/>
    <n v="0"/>
    <n v="0"/>
    <n v="0"/>
    <n v="0"/>
    <n v="0"/>
    <n v="0"/>
  </r>
  <r>
    <s v="SAMSON MUKIIBI"/>
    <x v="0"/>
    <n v="-7"/>
    <n v="1522487.75"/>
    <x v="22"/>
    <n v="50242.1"/>
    <n v="1661521.45"/>
    <d v="2017-01-24T13:04:52"/>
    <d v="2018-02-01T00:00:00"/>
    <s v="0751823986"/>
    <s v=""/>
    <s v="0789860726"/>
    <n v="200778"/>
    <s v="00200001939"/>
    <s v="Agriculture, Forestry, Fishing and Hunting"/>
    <s v="Animal Production"/>
    <s v="Poultry &amp; Egg Production"/>
    <n v="0"/>
    <n v="0"/>
    <n v="0"/>
    <n v="0"/>
    <n v="0"/>
    <n v="0"/>
  </r>
  <r>
    <s v="BOSCO SSENDIJJA"/>
    <x v="0"/>
    <n v="-1"/>
    <n v="1182767.92"/>
    <x v="27"/>
    <n v="44156.67"/>
    <n v="1278626.08"/>
    <d v="2017-01-25T15:46:28"/>
    <d v="2018-01-25T00:00:00"/>
    <s v="0774125873"/>
    <s v="0754125873"/>
    <s v=""/>
    <n v="200779"/>
    <s v="00200000880"/>
    <s v="Real Estate and Rental"/>
    <s v="Rental"/>
    <s v="Others"/>
    <n v="0"/>
    <n v="0"/>
    <n v="0"/>
    <n v="0"/>
    <n v="0"/>
    <n v="0"/>
  </r>
  <r>
    <s v="MARY AKETCH"/>
    <x v="7"/>
    <n v="59"/>
    <n v="290162"/>
    <x v="19"/>
    <n v="13057.29"/>
    <n v="303219.28999999998"/>
    <d v="2017-01-25T16:33:47"/>
    <d v="2017-09-25T00:00:00"/>
    <s v="0776939927"/>
    <s v=""/>
    <s v="0752939927"/>
    <n v="200780"/>
    <s v="00200001957"/>
    <s v="Transportation and Warehousing"/>
    <s v=" Passenger Transportation"/>
    <s v="Taxi service"/>
    <n v="290162"/>
    <n v="290162"/>
    <n v="0"/>
    <n v="1"/>
    <n v="1"/>
    <n v="0"/>
  </r>
  <r>
    <s v="LORENCE NABAMBA"/>
    <x v="2"/>
    <n v="23"/>
    <n v="20712135.02"/>
    <x v="3"/>
    <n v="492026.13"/>
    <n v="24216134.41"/>
    <d v="2017-01-28T14:04:59"/>
    <d v="2018-08-02T00:00:00"/>
    <s v="0772063019"/>
    <s v=""/>
    <s v="0706881690"/>
    <n v="200782"/>
    <s v="00200001858"/>
    <s v="Transportation and Warehousing"/>
    <s v="Truck Transportation"/>
    <s v="Others"/>
    <n v="20712135.02"/>
    <n v="0"/>
    <n v="0"/>
    <n v="1"/>
    <n v="0"/>
    <n v="0"/>
  </r>
  <r>
    <s v="ROBERT MUGISHA"/>
    <x v="0"/>
    <n v="-9"/>
    <n v="8519345.1799999997"/>
    <x v="1"/>
    <n v="227182.54"/>
    <n v="9755166.0600000005"/>
    <d v="2017-01-30T12:10:23"/>
    <d v="2018-05-05T00:00:00"/>
    <s v="0782740208"/>
    <s v=""/>
    <s v="0752740208"/>
    <n v="200783"/>
    <s v="00200001941"/>
    <s v="Transportation and Warehousing"/>
    <s v=" Passenger Transportation"/>
    <s v="Others"/>
    <n v="0"/>
    <n v="0"/>
    <n v="0"/>
    <n v="0"/>
    <n v="0"/>
    <n v="0"/>
  </r>
  <r>
    <s v="MARTIN EBAU"/>
    <x v="0"/>
    <n v="23"/>
    <n v="3153912.72"/>
    <x v="25"/>
    <n v="87069.91"/>
    <n v="3395851.12"/>
    <d v="2017-01-28T12:38:52"/>
    <d v="2018-02-02T00:00:00"/>
    <s v="0756427632"/>
    <s v=""/>
    <s v=""/>
    <n v="200784"/>
    <s v="00200001244"/>
    <s v="Retail"/>
    <s v="Electronics Stores"/>
    <s v="Others"/>
    <n v="3153912.72"/>
    <n v="0"/>
    <n v="0"/>
    <n v="1"/>
    <n v="0"/>
    <n v="0"/>
  </r>
  <r>
    <s v="JUSTINE SSEMAKULA"/>
    <x v="2"/>
    <n v="14"/>
    <n v="24881055.620000001"/>
    <x v="23"/>
    <n v="1041670.36"/>
    <n v="29168187.579999998"/>
    <d v="2017-02-07T16:31:34"/>
    <d v="2018-08-10T00:00:00"/>
    <s v="0782520462"/>
    <s v=""/>
    <s v=""/>
    <n v="200785"/>
    <s v="00200000825"/>
    <s v="Wholesale Trade"/>
    <s v="Others"/>
    <s v="Others"/>
    <n v="24881055.620000001"/>
    <n v="0"/>
    <n v="0"/>
    <n v="1"/>
    <n v="0"/>
    <n v="0"/>
  </r>
  <r>
    <s v="ALEX SSEBUUMA"/>
    <x v="2"/>
    <n v="-16"/>
    <n v="18720282"/>
    <x v="20"/>
    <n v="270404.07"/>
    <n v="19981939.129999999"/>
    <d v="2017-02-10T14:00:09"/>
    <d v="2018-02-10T00:00:00"/>
    <s v="0774474912"/>
    <s v=""/>
    <s v="0701474912"/>
    <n v="200790"/>
    <s v="00200001958"/>
    <s v="Wholesale Trade"/>
    <s v="Others"/>
    <s v="Others"/>
    <n v="0"/>
    <n v="0"/>
    <n v="0"/>
    <n v="0"/>
    <n v="0"/>
    <n v="0"/>
  </r>
  <r>
    <s v="JOSEPH KABANDA"/>
    <x v="0"/>
    <n v="23"/>
    <n v="2363969.98"/>
    <x v="16"/>
    <n v="166155.07999999999"/>
    <n v="2637658.16"/>
    <d v="2017-01-31T18:03:06"/>
    <d v="2018-02-03T00:00:00"/>
    <s v="0756839859"/>
    <s v=""/>
    <s v=""/>
    <n v="200793"/>
    <s v="00200001929"/>
    <s v="Agriculture, Forestry, Fishing and Hunting"/>
    <s v="Animal Production"/>
    <s v="Poultry &amp; Egg Production"/>
    <n v="2363969.98"/>
    <n v="0"/>
    <n v="0"/>
    <n v="1"/>
    <n v="0"/>
    <n v="0"/>
  </r>
  <r>
    <s v="DENNIS DDAMULIRA"/>
    <x v="0"/>
    <n v="-7"/>
    <n v="4441066.08"/>
    <x v="25"/>
    <n v="130271.27"/>
    <n v="4805098.43"/>
    <d v="2017-01-31T14:51:11"/>
    <d v="2018-02-03T00:00:00"/>
    <s v="0700114282"/>
    <s v=""/>
    <s v="0786064666"/>
    <n v="200795"/>
    <s v="00200001127"/>
    <s v="Wholesale Trade"/>
    <s v="Nondurable Goods"/>
    <s v="Others"/>
    <n v="0"/>
    <n v="0"/>
    <n v="0"/>
    <n v="0"/>
    <n v="0"/>
    <n v="0"/>
  </r>
  <r>
    <s v="AISHA NAMULINDWA"/>
    <x v="7"/>
    <n v="23"/>
    <n v="1194903.3799999999"/>
    <x v="23"/>
    <n v="34869.589999999997"/>
    <n v="1292500.6100000001"/>
    <d v="2017-01-31T17:15:08"/>
    <d v="2018-02-03T00:00:00"/>
    <s v="0782231053"/>
    <s v=""/>
    <s v="0752231053"/>
    <n v="200796"/>
    <s v="00200001978"/>
    <s v="Retail"/>
    <s v="Others"/>
    <s v="Others"/>
    <n v="1194903.3799999999"/>
    <n v="0"/>
    <n v="0"/>
    <n v="1"/>
    <n v="0"/>
    <n v="0"/>
  </r>
  <r>
    <s v="HENRY MUBIRU"/>
    <x v="3"/>
    <n v="23"/>
    <n v="16038201.77"/>
    <x v="7"/>
    <n v="1019743.04"/>
    <n v="19725666.18"/>
    <d v="2017-01-31T20:31:38"/>
    <d v="2018-08-03T00:00:00"/>
    <s v="0702349934"/>
    <s v=""/>
    <s v=""/>
    <n v="200798"/>
    <s v="00200001946"/>
    <s v="Transportation and Warehousing"/>
    <s v=" Passenger Transportation"/>
    <s v="Others"/>
    <n v="16038201.77"/>
    <n v="0"/>
    <n v="0"/>
    <n v="1"/>
    <n v="0"/>
    <n v="0"/>
  </r>
  <r>
    <s v="ALLEN TUSHABE"/>
    <x v="8"/>
    <n v="23"/>
    <n v="1776573.94"/>
    <x v="26"/>
    <n v="47139.97"/>
    <n v="1908160.6"/>
    <d v="2017-01-31T21:09:14"/>
    <d v="2018-02-03T00:00:00"/>
    <s v="0701694605"/>
    <s v=""/>
    <s v=""/>
    <n v="200800"/>
    <s v="00200000824"/>
    <s v="Restaurants and Hotels"/>
    <s v="Restaurant"/>
    <s v="Others"/>
    <n v="1776573.94"/>
    <n v="0"/>
    <n v="0"/>
    <n v="1"/>
    <n v="0"/>
    <n v="0"/>
  </r>
  <r>
    <s v="RICHARD KAZIBWE SEMAKULA"/>
    <x v="1"/>
    <n v="-7"/>
    <n v="35279429.539999999"/>
    <x v="25"/>
    <n v="776147.45"/>
    <n v="44334295.899999999"/>
    <d v="2017-01-31T21:55:55"/>
    <d v="2019-02-03T00:00:00"/>
    <s v="0702506447"/>
    <s v=""/>
    <s v="0772506447"/>
    <n v="200802"/>
    <s v="00200001469"/>
    <s v="Real Estate and Rental"/>
    <s v="Rental"/>
    <s v="General Rental Centers"/>
    <n v="0"/>
    <n v="0"/>
    <n v="0"/>
    <n v="0"/>
    <n v="0"/>
    <n v="0"/>
  </r>
  <r>
    <s v="DAVID BUSULWA"/>
    <x v="0"/>
    <n v="23"/>
    <n v="899790.91"/>
    <x v="25"/>
    <n v="24871.15"/>
    <n v="968616.22"/>
    <d v="2017-02-01T16:41:20"/>
    <d v="2018-02-01T00:00:00"/>
    <s v="0772603466"/>
    <s v=""/>
    <s v="0702603466"/>
    <n v="200803"/>
    <s v="00200001961"/>
    <s v="Retail"/>
    <s v="Others"/>
    <s v="Others"/>
    <n v="899790.91"/>
    <n v="0"/>
    <n v="0"/>
    <n v="1"/>
    <n v="0"/>
    <n v="0"/>
  </r>
  <r>
    <s v="MICHEAL ISABIRYE"/>
    <x v="0"/>
    <n v="-8"/>
    <n v="2365535.84"/>
    <x v="20"/>
    <n v="66235"/>
    <n v="2557252.15"/>
    <d v="2017-02-02T14:47:44"/>
    <d v="2018-02-02T00:00:00"/>
    <s v="0752116677"/>
    <s v=""/>
    <s v="0777116677"/>
    <n v="200804"/>
    <s v="00200000505"/>
    <s v="Agriculture, Forestry, Fishing and Hunting"/>
    <s v="Crop Production"/>
    <s v="Maize"/>
    <n v="0"/>
    <n v="0"/>
    <n v="0"/>
    <n v="0"/>
    <n v="0"/>
    <n v="0"/>
  </r>
  <r>
    <s v="TIMOTHY SENVEWO KIZITO"/>
    <x v="3"/>
    <n v="21"/>
    <n v="22594046.489999998"/>
    <x v="9"/>
    <n v="1135879.1299999999"/>
    <n v="29733990.77"/>
    <d v="2017-02-03T17:43:58"/>
    <d v="2019-02-03T00:00:00"/>
    <s v="0772639131"/>
    <s v=""/>
    <s v=""/>
    <n v="200805"/>
    <s v="00200000275"/>
    <s v="Restaurants and Hotels"/>
    <s v="Restaurant"/>
    <s v="Others"/>
    <n v="22594046.489999998"/>
    <n v="0"/>
    <n v="0"/>
    <n v="1"/>
    <n v="0"/>
    <n v="0"/>
  </r>
  <r>
    <s v="FLORENCE JOY LUBWAMA"/>
    <x v="1"/>
    <n v="-12"/>
    <n v="4596987.9800000004"/>
    <x v="11"/>
    <n v="86832"/>
    <n v="5147948.26"/>
    <d v="2017-02-06T15:59:28"/>
    <d v="2018-05-06T00:00:00"/>
    <s v="0773410814"/>
    <s v="0414531814"/>
    <s v=""/>
    <n v="200808"/>
    <s v="00200001952"/>
    <s v="Real Estate and Rental"/>
    <s v="Real Estate"/>
    <s v="Others"/>
    <n v="0"/>
    <n v="0"/>
    <n v="0"/>
    <n v="0"/>
    <n v="0"/>
    <n v="0"/>
  </r>
  <r>
    <s v="RESTY KOMWAKA"/>
    <x v="7"/>
    <n v="-16"/>
    <n v="739229.96"/>
    <x v="20"/>
    <n v="12813.32"/>
    <n v="799141.31"/>
    <d v="2017-02-10T12:19:53"/>
    <d v="2018-02-10T00:00:00"/>
    <s v="0700967387"/>
    <s v=""/>
    <s v=""/>
    <n v="200815"/>
    <s v="00200000952"/>
    <s v="Retail"/>
    <s v="General Merchandise Stores"/>
    <s v="Others"/>
    <n v="0"/>
    <n v="0"/>
    <n v="0"/>
    <n v="0"/>
    <n v="0"/>
    <n v="0"/>
  </r>
  <r>
    <s v="ESTER NAGAWA"/>
    <x v="8"/>
    <n v="14"/>
    <n v="2149518.33"/>
    <x v="4"/>
    <n v="32241.8"/>
    <n v="2300350.9500000002"/>
    <d v="2017-02-10T14:32:49"/>
    <d v="2018-02-10T00:00:00"/>
    <s v="0756696701"/>
    <s v=""/>
    <s v="0786330846"/>
    <n v="200816"/>
    <s v="00200002019"/>
    <s v="Retail"/>
    <s v="Others"/>
    <s v="Others"/>
    <n v="2149518.33"/>
    <n v="0"/>
    <n v="0"/>
    <n v="1"/>
    <n v="0"/>
    <n v="0"/>
  </r>
  <r>
    <s v="AGNES NAKATE SSERWADDA"/>
    <x v="8"/>
    <n v="14"/>
    <n v="1787720.95"/>
    <x v="5"/>
    <n v="32241.8"/>
    <n v="1938553.57"/>
    <d v="2017-02-10T16:47:53"/>
    <d v="2018-02-10T00:00:00"/>
    <s v="0772892971"/>
    <s v=""/>
    <s v="0704139752"/>
    <n v="200817"/>
    <s v="00200001993"/>
    <s v="Real Estate and Rental"/>
    <s v="Rental"/>
    <s v="Others"/>
    <n v="1787720.95"/>
    <n v="0"/>
    <n v="0"/>
    <n v="1"/>
    <n v="0"/>
    <n v="0"/>
  </r>
  <r>
    <s v="MARTIN WABWOBA"/>
    <x v="0"/>
    <n v="13"/>
    <n v="3019008.18"/>
    <x v="16"/>
    <n v="54264.32"/>
    <n v="3294309.4"/>
    <d v="2017-02-11T13:47:26"/>
    <d v="2018-02-11T00:00:00"/>
    <s v="0789880206"/>
    <s v=""/>
    <s v="0712808597"/>
    <n v="200818"/>
    <s v="00200002025"/>
    <s v="Wholesale Trade"/>
    <s v="Durable Goods"/>
    <s v="Others"/>
    <n v="3019008.18"/>
    <n v="0"/>
    <n v="0"/>
    <n v="1"/>
    <n v="0"/>
    <n v="0"/>
  </r>
  <r>
    <s v="GEOFERY SSENFUMA"/>
    <x v="0"/>
    <n v="-19"/>
    <n v="1774151.84"/>
    <x v="19"/>
    <n v="23655.360000000001"/>
    <n v="1917939.06"/>
    <d v="2017-02-13T13:02:46"/>
    <d v="2018-02-13T00:00:00"/>
    <s v="0752645466"/>
    <s v=""/>
    <s v=""/>
    <n v="200820"/>
    <s v="00200001368"/>
    <s v="Agriculture, Forestry, Fishing and Hunting"/>
    <s v="Animal Production"/>
    <s v="Poultry &amp; Egg Production"/>
    <n v="0"/>
    <n v="0"/>
    <n v="0"/>
    <n v="0"/>
    <n v="0"/>
    <n v="0"/>
  </r>
  <r>
    <s v="SIMON PETER KIYAGA"/>
    <x v="0"/>
    <n v="11"/>
    <n v="1819804.94"/>
    <x v="19"/>
    <n v="27132.16"/>
    <n v="1984985.68"/>
    <d v="2017-02-13T17:03:59"/>
    <d v="2018-02-13T00:00:00"/>
    <s v="0702208945"/>
    <s v=""/>
    <s v="0779183551"/>
    <n v="200823"/>
    <s v="00200002006"/>
    <s v="Agriculture, Forestry, Fishing and Hunting"/>
    <s v="Crop Production"/>
    <s v="Others"/>
    <n v="1819804.94"/>
    <n v="0"/>
    <n v="0"/>
    <n v="1"/>
    <n v="0"/>
    <n v="0"/>
  </r>
  <r>
    <s v="BENEZEL BASAIJA"/>
    <x v="0"/>
    <n v="11"/>
    <n v="1772220.8"/>
    <x v="27"/>
    <n v="19712.8"/>
    <n v="1892043.5"/>
    <d v="2017-02-13T17:18:22"/>
    <d v="2018-02-13T00:00:00"/>
    <s v="0773179701"/>
    <s v="0773179708"/>
    <s v=""/>
    <n v="200824"/>
    <s v="00200001010"/>
    <s v="Retail"/>
    <s v="General Merchandise Stores"/>
    <s v="General Stores"/>
    <n v="1772220.8"/>
    <n v="0"/>
    <n v="0"/>
    <n v="1"/>
    <n v="0"/>
    <n v="0"/>
  </r>
  <r>
    <s v="JOAB NUWASASIRA"/>
    <x v="3"/>
    <n v="-21"/>
    <n v="4493829.1500000004"/>
    <x v="35"/>
    <n v="41942.410000000003"/>
    <n v="4812003.68"/>
    <d v="2017-02-15T13:52:29"/>
    <d v="2018-02-15T00:00:00"/>
    <s v="0701829877"/>
    <s v=""/>
    <s v=""/>
    <n v="200827"/>
    <s v="00200001184"/>
    <s v="Real Estate and Rental"/>
    <s v="Rental"/>
    <s v="General Rental Centers"/>
    <n v="0"/>
    <n v="0"/>
    <n v="0"/>
    <n v="0"/>
    <n v="0"/>
    <n v="0"/>
  </r>
  <r>
    <s v="MARGRET NANSAMBA"/>
    <x v="7"/>
    <n v="39"/>
    <n v="2441763.02"/>
    <x v="3"/>
    <n v="96486.94"/>
    <n v="2689844.05"/>
    <d v="2017-02-15T15:21:14"/>
    <d v="2018-02-15T00:00:00"/>
    <s v="0782535577"/>
    <s v=""/>
    <s v="0704888859"/>
    <n v="200828"/>
    <s v="00200001949"/>
    <s v="Health Care"/>
    <s v="Health Care"/>
    <s v="Others"/>
    <n v="2441763.02"/>
    <n v="2441763.02"/>
    <n v="0"/>
    <n v="1"/>
    <n v="1"/>
    <n v="0"/>
  </r>
  <r>
    <s v="WYCLIFFE AHABWE"/>
    <x v="0"/>
    <n v="39"/>
    <n v="8601773.2799999993"/>
    <x v="11"/>
    <n v="379637.06"/>
    <n v="10833243.789999999"/>
    <d v="2017-02-15T16:17:40"/>
    <d v="2018-08-15T00:00:00"/>
    <s v="0704770536"/>
    <s v=""/>
    <s v="0788074514"/>
    <n v="200829"/>
    <s v="00200002029"/>
    <s v="Transportation and Warehousing"/>
    <s v=" Passenger Transportation"/>
    <s v="Taxi service"/>
    <n v="8601773.2799999993"/>
    <n v="8601773.2799999993"/>
    <n v="0"/>
    <n v="1"/>
    <n v="1"/>
    <n v="0"/>
  </r>
  <r>
    <s v="HAMUZA KITANDA"/>
    <x v="0"/>
    <n v="6"/>
    <n v="983575.67"/>
    <x v="27"/>
    <n v="49913.440000000002"/>
    <n v="1096661.8899999999"/>
    <d v="2017-02-18T11:17:31"/>
    <d v="2018-02-18T00:00:00"/>
    <s v="0753647851"/>
    <s v=""/>
    <s v="0772647751"/>
    <n v="200833"/>
    <s v="00200002016"/>
    <s v="Real Estate and Rental"/>
    <s v="Rental"/>
    <s v="Others"/>
    <n v="983575.67"/>
    <n v="0"/>
    <n v="0"/>
    <n v="1"/>
    <n v="0"/>
    <n v="0"/>
  </r>
  <r>
    <s v="PAULINE NAMAKULA NAMUKASA"/>
    <x v="7"/>
    <n v="126"/>
    <n v="1303691.71"/>
    <x v="6"/>
    <n v="107296.55"/>
    <n v="1516545.89"/>
    <d v="2017-02-18T11:33:37"/>
    <d v="2017-12-18T00:00:00"/>
    <s v="0755605040"/>
    <s v=""/>
    <s v=""/>
    <n v="200834"/>
    <s v="00200002013"/>
    <s v="Real Estate and Rental"/>
    <s v="Rental"/>
    <s v="Others"/>
    <n v="1303691.71"/>
    <n v="1303691.71"/>
    <n v="1303691.71"/>
    <n v="1"/>
    <n v="1"/>
    <n v="1"/>
  </r>
  <r>
    <s v="ANNET CELINE MUKALAZI"/>
    <x v="3"/>
    <n v="-24"/>
    <n v="5798489.1399999997"/>
    <x v="20"/>
    <n v="33824.519999999997"/>
    <n v="6209036.9000000004"/>
    <d v="2017-02-18T12:29:19"/>
    <d v="2018-02-18T00:00:00"/>
    <s v="0772410950"/>
    <s v=""/>
    <s v=""/>
    <n v="200835"/>
    <s v="00200000527"/>
    <s v="Retail"/>
    <s v="Second Hand -Clothing and  Accessories"/>
    <s v="Clothing Stores"/>
    <n v="0"/>
    <n v="0"/>
    <n v="0"/>
    <n v="0"/>
    <n v="0"/>
    <n v="0"/>
  </r>
  <r>
    <s v="BETTY AMPURIRE"/>
    <x v="8"/>
    <n v="-24"/>
    <n v="1785699.53"/>
    <x v="23"/>
    <n v="12400.69"/>
    <n v="1936532.15"/>
    <d v="2017-02-18T13:08:23"/>
    <d v="2018-02-18T00:00:00"/>
    <s v="0776492048"/>
    <s v=""/>
    <s v="0703979705"/>
    <n v="200836"/>
    <s v="00200002011"/>
    <s v="Educational Services"/>
    <s v="Educational Services"/>
    <s v="Schools"/>
    <n v="0"/>
    <n v="0"/>
    <n v="0"/>
    <n v="0"/>
    <n v="0"/>
    <n v="0"/>
  </r>
  <r>
    <s v="HADAD MAZZI LWAMBA"/>
    <x v="0"/>
    <n v="4"/>
    <n v="1967151.37"/>
    <x v="22"/>
    <n v="95304.85"/>
    <n v="2193323.7999999998"/>
    <d v="2017-02-20T14:06:33"/>
    <d v="2018-02-20T00:00:00"/>
    <s v="0752570848"/>
    <s v=""/>
    <s v="0773432496"/>
    <n v="200838"/>
    <s v="00200002038"/>
    <s v="Real Estate and Rental"/>
    <s v="Rental"/>
    <s v="General Rental Centers"/>
    <n v="1967151.37"/>
    <n v="0"/>
    <n v="0"/>
    <n v="1"/>
    <n v="0"/>
    <n v="0"/>
  </r>
  <r>
    <s v="HENRY EMMANUEL LWETABE NDIFUNA"/>
    <x v="1"/>
    <n v="34"/>
    <n v="23532031.129999999"/>
    <x v="2"/>
    <n v="1512967.84"/>
    <n v="31186158.82"/>
    <d v="2017-02-20T14:32:58"/>
    <d v="2019-02-20T00:00:00"/>
    <s v="0772504991"/>
    <s v=""/>
    <s v="0700504991"/>
    <n v="200839"/>
    <s v="00200002000"/>
    <s v="Real Estate and Rental"/>
    <s v="Rental"/>
    <s v="General Rental Centers"/>
    <n v="23532031.129999999"/>
    <n v="23532031.129999999"/>
    <n v="0"/>
    <n v="1"/>
    <n v="1"/>
    <n v="0"/>
  </r>
  <r>
    <s v="DANIEL SSEMBATYA"/>
    <x v="0"/>
    <n v="4"/>
    <n v="1449145.01"/>
    <x v="25"/>
    <n v="4731.07"/>
    <n v="1545003.17"/>
    <d v="2017-02-20T17:44:04"/>
    <d v="2018-02-20T00:00:00"/>
    <s v="0704738038"/>
    <s v=""/>
    <s v=""/>
    <n v="200840"/>
    <s v="00200000792"/>
    <s v="Retail"/>
    <s v="Others"/>
    <s v="Others"/>
    <n v="1449145.01"/>
    <n v="0"/>
    <n v="0"/>
    <n v="1"/>
    <n v="0"/>
    <n v="0"/>
  </r>
  <r>
    <s v="RONALD MAGEZI"/>
    <x v="0"/>
    <n v="33"/>
    <n v="4192131.1"/>
    <x v="25"/>
    <n v="175664.19"/>
    <n v="4644475.9400000004"/>
    <d v="2017-02-21T18:10:54"/>
    <d v="2018-02-21T00:00:00"/>
    <s v="0701877147"/>
    <s v=""/>
    <s v="0792877417"/>
    <n v="200842"/>
    <s v="00200001975"/>
    <s v="Retail"/>
    <s v="General Merchandise Stores"/>
    <s v="Others"/>
    <n v="4192131.1"/>
    <n v="4192131.1"/>
    <n v="0"/>
    <n v="1"/>
    <n v="1"/>
    <n v="0"/>
  </r>
  <r>
    <s v="JOHN WABYETA"/>
    <x v="0"/>
    <n v="-27"/>
    <n v="3014684.4"/>
    <x v="23"/>
    <n v="9044.0499999999993"/>
    <n v="3289985.62"/>
    <d v="2017-02-21T18:29:40"/>
    <d v="2018-02-21T00:00:00"/>
    <s v="0753284563"/>
    <s v=""/>
    <s v=""/>
    <n v="200846"/>
    <s v="00200002008"/>
    <s v="Retail"/>
    <s v="Others"/>
    <s v="Others"/>
    <n v="0"/>
    <n v="0"/>
    <n v="0"/>
    <n v="0"/>
    <n v="0"/>
    <n v="0"/>
  </r>
  <r>
    <s v="FRED KATONGOLE"/>
    <x v="0"/>
    <n v="2"/>
    <n v="1573721.12"/>
    <x v="1"/>
    <n v="72626.259999999995"/>
    <n v="1754659.06"/>
    <d v="2017-02-22T16:00:25"/>
    <d v="2018-02-22T00:00:00"/>
    <s v="0705360329"/>
    <s v=""/>
    <s v=""/>
    <n v="200847"/>
    <s v="00200002028"/>
    <s v="Real Estate and Rental"/>
    <s v="Rental"/>
    <s v="Others"/>
    <n v="1573721.12"/>
    <n v="0"/>
    <n v="0"/>
    <n v="1"/>
    <n v="0"/>
    <n v="0"/>
  </r>
  <r>
    <s v="JOSEPH ROBERTS SSERWADDA"/>
    <x v="2"/>
    <n v="2"/>
    <n v="40001249.369999997"/>
    <x v="22"/>
    <n v="38769.730000000003"/>
    <n v="49945635.490000002"/>
    <d v="2017-02-22T15:32:02"/>
    <d v="2019-02-22T00:00:00"/>
    <s v="0772864477"/>
    <s v=""/>
    <s v=""/>
    <n v="200849"/>
    <s v="00200000699"/>
    <s v="Transportation and Warehousing"/>
    <s v=" Passenger Transportation"/>
    <s v="Bus transportation"/>
    <n v="40001249.369999997"/>
    <n v="0"/>
    <n v="0"/>
    <n v="1"/>
    <n v="0"/>
    <n v="0"/>
  </r>
  <r>
    <s v="MORGAN BUGEMBE"/>
    <x v="2"/>
    <n v="2"/>
    <n v="31010996.25"/>
    <x v="27"/>
    <n v="958635.78"/>
    <n v="36354348.030000001"/>
    <d v="2017-02-22T15:30:50"/>
    <d v="2018-08-22T00:00:00"/>
    <s v="0753570911"/>
    <s v=""/>
    <s v="0775053434"/>
    <n v="200850"/>
    <s v="00200000511"/>
    <s v="Retail"/>
    <s v="Building Material and Garden Equipment"/>
    <s v="Hardware Stores"/>
    <n v="31010996.25"/>
    <n v="0"/>
    <n v="0"/>
    <n v="1"/>
    <n v="0"/>
    <n v="0"/>
  </r>
  <r>
    <s v="JANET NABALIIKA KASULE"/>
    <x v="2"/>
    <n v="23"/>
    <n v="27690200.07"/>
    <x v="26"/>
    <n v="1458782.65"/>
    <n v="36609020.359999999"/>
    <d v="2017-02-23T10:33:39"/>
    <d v="2019-03-01T00:00:00"/>
    <s v="0772354360"/>
    <s v=""/>
    <s v="0704354360"/>
    <n v="200851"/>
    <s v="00200002012"/>
    <s v="Agriculture, Forestry, Fishing and Hunting"/>
    <s v="Others"/>
    <s v="Others"/>
    <n v="27690200.07"/>
    <n v="0"/>
    <n v="0"/>
    <n v="1"/>
    <n v="0"/>
    <n v="0"/>
  </r>
  <r>
    <s v="RUTH LUBEGA"/>
    <x v="7"/>
    <n v="18"/>
    <n v="1977321.52"/>
    <x v="19"/>
    <n v="50162.36"/>
    <n v="2203493.9500000002"/>
    <d v="2017-03-06T11:11:44"/>
    <d v="2018-03-06T00:00:00"/>
    <s v="0704805980"/>
    <s v=""/>
    <s v="0782328423"/>
    <n v="200853"/>
    <s v="00200001985"/>
    <s v="Retail"/>
    <s v="General Merchandise Stores"/>
    <s v="Others"/>
    <n v="1977321.52"/>
    <n v="0"/>
    <n v="0"/>
    <n v="1"/>
    <n v="0"/>
    <n v="0"/>
  </r>
  <r>
    <s v="KENNETH KABANDA"/>
    <x v="0"/>
    <n v="1"/>
    <n v="1180290.77"/>
    <x v="3"/>
    <n v="53113.08"/>
    <n v="1313017.67"/>
    <d v="2017-02-23T16:08:18"/>
    <d v="2018-02-23T00:00:00"/>
    <s v="0706877955"/>
    <s v=""/>
    <s v="0732877955"/>
    <n v="200854"/>
    <s v="00200001904"/>
    <s v="Real Estate and Rental"/>
    <s v="Rental"/>
    <s v="General Rental Centers"/>
    <n v="1180290.77"/>
    <n v="0"/>
    <n v="0"/>
    <n v="1"/>
    <n v="0"/>
    <n v="0"/>
  </r>
  <r>
    <s v="SIMON LUGOLOBI"/>
    <x v="0"/>
    <n v="1"/>
    <n v="3867732.21"/>
    <x v="18"/>
    <n v="154709.29"/>
    <n v="4262086.88"/>
    <d v="2017-02-23T16:12:41"/>
    <d v="2018-02-23T00:00:00"/>
    <s v="0772436643"/>
    <s v=""/>
    <s v=""/>
    <n v="200855"/>
    <s v="00200000814"/>
    <s v="Real Estate and Rental"/>
    <s v="Rental"/>
    <s v="General Rental Centers"/>
    <n v="3867732.21"/>
    <n v="0"/>
    <n v="0"/>
    <n v="1"/>
    <n v="0"/>
    <n v="0"/>
  </r>
  <r>
    <s v="TOM LULE"/>
    <x v="0"/>
    <n v="60"/>
    <n v="709786.29"/>
    <x v="2"/>
    <n v="48261.99"/>
    <n v="758048.28"/>
    <d v="2017-02-24T15:13:20"/>
    <d v="2017-10-24T00:00:00"/>
    <s v="0754858669"/>
    <s v=""/>
    <s v=""/>
    <n v="200857"/>
    <s v="00200001683"/>
    <s v="Retail"/>
    <s v="General Merchandise Stores"/>
    <s v="General Stores"/>
    <n v="709786.29"/>
    <n v="709786.29"/>
    <n v="0"/>
    <n v="1"/>
    <n v="1"/>
    <n v="0"/>
  </r>
  <r>
    <s v="SAMUEL NTAMBI"/>
    <x v="0"/>
    <n v="-7"/>
    <n v="2338490.4"/>
    <x v="14"/>
    <n v="68595.72"/>
    <n v="2576923.31"/>
    <d v="2017-02-25T13:08:57"/>
    <d v="2018-03-01T00:00:00"/>
    <s v="0792430741"/>
    <s v=""/>
    <s v="0782796769"/>
    <n v="200859"/>
    <s v="00200000805"/>
    <s v="Retail"/>
    <s v="Food and Beverage Stores"/>
    <s v="Butchery"/>
    <n v="0"/>
    <n v="0"/>
    <n v="0"/>
    <n v="0"/>
    <n v="0"/>
    <n v="0"/>
  </r>
  <r>
    <s v="ROBERT GALIWANGO SSEMPILI"/>
    <x v="0"/>
    <n v="-7"/>
    <n v="992046.62"/>
    <x v="25"/>
    <n v="32737.54"/>
    <n v="1106106.78"/>
    <d v="2017-02-25T13:04:01"/>
    <d v="2018-03-01T00:00:00"/>
    <s v="0774770519"/>
    <s v=""/>
    <s v="0756236974"/>
    <n v="200861"/>
    <s v="00200002070"/>
    <s v="Real Estate and Rental"/>
    <s v="Rental"/>
    <s v="General Rental Centers"/>
    <n v="0"/>
    <n v="0"/>
    <n v="0"/>
    <n v="0"/>
    <n v="0"/>
    <n v="0"/>
  </r>
  <r>
    <s v="JULIUS SSENSAMBA"/>
    <x v="0"/>
    <n v="143"/>
    <n v="4462763.1399999997"/>
    <x v="25"/>
    <n v="264135.77"/>
    <n v="5137817.6399999997"/>
    <d v="2017-02-27T16:51:55"/>
    <d v="2018-01-01T00:00:00"/>
    <s v="0774460361"/>
    <s v=""/>
    <s v=""/>
    <n v="200863"/>
    <s v="00200000842"/>
    <s v="Wholesale Trade"/>
    <s v="Others"/>
    <s v="Others"/>
    <n v="4462763.1399999997"/>
    <n v="4462763.1399999997"/>
    <n v="4462763.1399999997"/>
    <n v="1"/>
    <n v="1"/>
    <n v="1"/>
  </r>
  <r>
    <s v="JOHN WASSWA"/>
    <x v="0"/>
    <n v="23"/>
    <n v="3967809.01"/>
    <x v="16"/>
    <n v="130577.44"/>
    <n v="4422751.05"/>
    <d v="2017-02-27T18:15:27"/>
    <d v="2018-03-01T00:00:00"/>
    <s v="0752585272"/>
    <s v=""/>
    <s v="0777095415"/>
    <n v="200864"/>
    <s v="00200002045"/>
    <s v="Real Estate and Rental"/>
    <s v="Rental"/>
    <s v="General Rental Centers"/>
    <n v="3967809.01"/>
    <n v="0"/>
    <n v="0"/>
    <n v="1"/>
    <n v="0"/>
    <n v="0"/>
  </r>
  <r>
    <s v="JOSEPH KAMBUGU"/>
    <x v="0"/>
    <n v="-7"/>
    <n v="1185373.3700000001"/>
    <x v="27"/>
    <n v="39117.32"/>
    <n v="1321661.18"/>
    <d v="2017-02-28T15:11:03"/>
    <d v="2018-03-01T00:00:00"/>
    <s v="0752180240"/>
    <s v=""/>
    <s v="0773180240"/>
    <n v="200867"/>
    <s v="00200002091"/>
    <s v="Real Estate and Rental"/>
    <s v="Rental"/>
    <s v="Others"/>
    <n v="0"/>
    <n v="0"/>
    <n v="0"/>
    <n v="0"/>
    <n v="0"/>
    <n v="0"/>
  </r>
  <r>
    <s v="VINCENT KIBUUDE"/>
    <x v="0"/>
    <n v="-7"/>
    <n v="2765871.25"/>
    <x v="6"/>
    <n v="91273.75"/>
    <n v="3083876.17"/>
    <d v="2017-02-28T18:00:17"/>
    <d v="2018-03-01T00:00:00"/>
    <s v="0782359584"/>
    <s v=""/>
    <s v="0706955438"/>
    <n v="200868"/>
    <s v="00200002057"/>
    <s v="Real Estate and Rental"/>
    <s v="Rental"/>
    <s v="Others"/>
    <n v="0"/>
    <n v="0"/>
    <n v="0"/>
    <n v="0"/>
    <n v="0"/>
    <n v="0"/>
  </r>
  <r>
    <s v="MAAI ISAAC OLINYA"/>
    <x v="2"/>
    <n v="-8"/>
    <n v="14995106.439999999"/>
    <x v="22"/>
    <n v="314897.24"/>
    <n v="16136356.699999999"/>
    <d v="2017-02-28T19:07:17"/>
    <d v="2018-03-02T00:00:00"/>
    <s v="0753860192"/>
    <s v=""/>
    <s v=""/>
    <n v="200870"/>
    <s v="00200000712"/>
    <s v="Retail"/>
    <s v="Others"/>
    <s v="Others"/>
    <n v="0"/>
    <n v="0"/>
    <n v="0"/>
    <n v="0"/>
    <n v="0"/>
    <n v="0"/>
  </r>
  <r>
    <s v="MATHIUS NKUUWE KAWONAWO"/>
    <x v="0"/>
    <n v="-7"/>
    <n v="1358912.85"/>
    <x v="20"/>
    <n v="39861.440000000002"/>
    <n v="1497467.85"/>
    <d v="2017-02-28T20:52:41"/>
    <d v="2018-03-01T00:00:00"/>
    <s v="0772876526"/>
    <s v="0701826225"/>
    <s v=""/>
    <n v="200871"/>
    <s v="00200000962"/>
    <s v="Construction"/>
    <s v="Construction of Buildings"/>
    <s v="Others"/>
    <n v="0"/>
    <n v="0"/>
    <n v="0"/>
    <n v="0"/>
    <n v="0"/>
    <n v="0"/>
  </r>
  <r>
    <s v="HENRY MUGARURA"/>
    <x v="2"/>
    <n v="-7"/>
    <n v="26312205.27"/>
    <x v="26"/>
    <n v="643187.24"/>
    <n v="34375664.490000002"/>
    <d v="2017-02-28T20:14:09"/>
    <d v="2019-03-01T00:00:00"/>
    <s v="0772451357"/>
    <s v=""/>
    <s v="0702451357"/>
    <n v="200872"/>
    <s v="00200002023"/>
    <s v="Real Estate and Rental"/>
    <s v="Rental"/>
    <s v="Others"/>
    <n v="0"/>
    <n v="0"/>
    <n v="0"/>
    <n v="0"/>
    <n v="0"/>
    <n v="0"/>
  </r>
  <r>
    <s v="ANNET SSEMBATYA NANTEZA"/>
    <x v="3"/>
    <n v="-8"/>
    <n v="10796627.99"/>
    <x v="25"/>
    <n v="302305.58"/>
    <n v="12591753.99"/>
    <d v="2017-03-02T15:58:33"/>
    <d v="2018-06-02T00:00:00"/>
    <s v="0772503142"/>
    <s v=""/>
    <s v="0705503123"/>
    <n v="200875"/>
    <s v="00200001608"/>
    <s v="Wholesale Trade"/>
    <s v="Durable Goods"/>
    <s v="Others"/>
    <n v="0"/>
    <n v="0"/>
    <n v="0"/>
    <n v="0"/>
    <n v="0"/>
    <n v="0"/>
  </r>
  <r>
    <s v="BONNIE KAMUKAMA"/>
    <x v="3"/>
    <n v="17"/>
    <n v="7589621.4900000002"/>
    <x v="16"/>
    <n v="146843.25"/>
    <n v="8235413.6399999997"/>
    <d v="2017-03-07T12:43:32"/>
    <d v="2018-03-07T00:00:00"/>
    <s v="0772651018"/>
    <s v=""/>
    <s v="0704292195"/>
    <n v="200878"/>
    <s v="00200002084"/>
    <s v="Educational Services"/>
    <s v="Educational Services"/>
    <s v="Others"/>
    <n v="7589621.4900000002"/>
    <n v="0"/>
    <n v="0"/>
    <n v="1"/>
    <n v="0"/>
    <n v="0"/>
  </r>
  <r>
    <s v="PATIENCE KAYAGA"/>
    <x v="8"/>
    <n v="17"/>
    <n v="3065182.74"/>
    <x v="27"/>
    <n v="59813.2"/>
    <n v="3350603.44"/>
    <d v="2017-03-07T15:38:51"/>
    <d v="2018-03-07T00:00:00"/>
    <s v="0783731037"/>
    <s v=""/>
    <s v=""/>
    <n v="200879"/>
    <s v="00200000903"/>
    <s v="Retail"/>
    <s v="Electronics Stores"/>
    <s v="Others"/>
    <n v="3065182.74"/>
    <n v="0"/>
    <n v="0"/>
    <n v="1"/>
    <n v="0"/>
    <n v="0"/>
  </r>
  <r>
    <s v="ROBERT PAUL SEBUGWAWO"/>
    <x v="0"/>
    <n v="9"/>
    <n v="1027270.28"/>
    <x v="16"/>
    <n v="11802.91"/>
    <n v="1140356.5"/>
    <d v="2017-03-15T15:43:47"/>
    <d v="2018-03-15T00:00:00"/>
    <s v="0776417525"/>
    <s v=""/>
    <s v="0701417525"/>
    <n v="200883"/>
    <s v="00200002143"/>
    <s v="Real Estate and Rental"/>
    <s v="Rental"/>
    <s v="General Rental Centers"/>
    <n v="1027270.28"/>
    <n v="0"/>
    <n v="0"/>
    <n v="1"/>
    <n v="0"/>
    <n v="0"/>
  </r>
  <r>
    <s v="MUZAMIRU KISUYI"/>
    <x v="1"/>
    <n v="-22"/>
    <n v="13225793.949999999"/>
    <x v="22"/>
    <n v="102867.29"/>
    <n v="14346007.59"/>
    <d v="2017-03-16T15:32:47"/>
    <d v="2018-03-16T00:00:00"/>
    <s v="0701381122"/>
    <s v=""/>
    <s v="0775619225"/>
    <n v="200884"/>
    <s v="00200002095"/>
    <s v="Retail"/>
    <s v="General Merchandise Stores"/>
    <s v="General Stores"/>
    <n v="0"/>
    <n v="0"/>
    <n v="0"/>
    <n v="0"/>
    <n v="0"/>
    <n v="0"/>
  </r>
  <r>
    <s v="SULAIMAN KIBERU"/>
    <x v="0"/>
    <n v="-22"/>
    <n v="3867732.21"/>
    <x v="20"/>
    <n v="36098.83"/>
    <n v="4262086.88"/>
    <d v="2017-03-16T17:52:40"/>
    <d v="2018-03-16T00:00:00"/>
    <s v="0772476180"/>
    <s v=""/>
    <s v="0702476180"/>
    <n v="200886"/>
    <s v="00200000723"/>
    <s v="Educational Services"/>
    <s v="Educational Services"/>
    <s v="Schools"/>
    <n v="0"/>
    <n v="0"/>
    <n v="0"/>
    <n v="0"/>
    <n v="0"/>
    <n v="0"/>
  </r>
  <r>
    <s v="JOHN SSIIMWE"/>
    <x v="0"/>
    <n v="7"/>
    <n v="4936424.45"/>
    <x v="14"/>
    <n v="37130.230000000003"/>
    <n v="5409650.0700000003"/>
    <d v="2017-03-17T10:45:57"/>
    <d v="2018-03-17T00:00:00"/>
    <s v="0772667634"/>
    <s v="0752667634"/>
    <s v=""/>
    <n v="200887"/>
    <s v="00200000504"/>
    <s v="Real Estate and Rental"/>
    <s v="Rental"/>
    <s v="General Rental Centers"/>
    <n v="4936424.45"/>
    <n v="0"/>
    <n v="0"/>
    <n v="1"/>
    <n v="0"/>
    <n v="0"/>
  </r>
  <r>
    <s v="DOVIC MUTESAIRA"/>
    <x v="0"/>
    <n v="-23"/>
    <n v="1933866.15"/>
    <x v="22"/>
    <n v="15470.93"/>
    <n v="2131043.5"/>
    <d v="2017-03-17T13:04:33"/>
    <d v="2018-03-17T00:00:00"/>
    <s v="0752635216"/>
    <s v=""/>
    <s v=""/>
    <n v="200888"/>
    <s v="00200000599"/>
    <s v="Real Estate and Rental"/>
    <s v="Rental"/>
    <s v="General Rental Centers"/>
    <n v="0"/>
    <n v="0"/>
    <n v="0"/>
    <n v="0"/>
    <n v="0"/>
    <n v="0"/>
  </r>
  <r>
    <s v="ERIC ERIMA DRANIMVA HILLARY"/>
    <x v="0"/>
    <n v="7"/>
    <n v="2134581.0099999998"/>
    <x v="20"/>
    <n v="99307.08"/>
    <n v="2397423.85"/>
    <d v="2017-03-17T15:41:55"/>
    <d v="2018-03-17T00:00:00"/>
    <s v="0773132205"/>
    <s v=""/>
    <s v=""/>
    <n v="200889"/>
    <s v="00200001408"/>
    <s v="Retail"/>
    <s v="General Merchandise Stores"/>
    <s v="Others"/>
    <n v="2134581.0099999998"/>
    <n v="0"/>
    <n v="0"/>
    <n v="1"/>
    <n v="0"/>
    <n v="0"/>
  </r>
  <r>
    <s v="JOHN NYAMOKA OCHIENG"/>
    <x v="1"/>
    <n v="7"/>
    <n v="7957020.1600000001"/>
    <x v="13"/>
    <n v="52790.12"/>
    <n v="9047411.2200000007"/>
    <d v="2017-03-17T18:13:20"/>
    <d v="2018-06-17T00:00:00"/>
    <s v="0772436471"/>
    <s v=""/>
    <s v="0758436471"/>
    <n v="200891"/>
    <s v="00200001994"/>
    <s v="Real Estate and Rental"/>
    <s v="Rental"/>
    <s v="General Rental Centers"/>
    <n v="7957020.1600000001"/>
    <n v="0"/>
    <n v="0"/>
    <n v="1"/>
    <n v="0"/>
    <n v="0"/>
  </r>
  <r>
    <s v="STELLA NAMUTEBI"/>
    <x v="7"/>
    <n v="6"/>
    <n v="2134581.0099999998"/>
    <x v="24"/>
    <n v="36121.78"/>
    <n v="2336559.19"/>
    <d v="2017-03-18T10:39:42"/>
    <d v="2018-03-18T00:00:00"/>
    <s v="0752943408"/>
    <s v="0783060308"/>
    <s v=""/>
    <n v="200892"/>
    <s v="00200001042"/>
    <s v="Retail"/>
    <s v="Others"/>
    <s v="Others"/>
    <n v="2134581.0099999998"/>
    <n v="0"/>
    <n v="0"/>
    <n v="1"/>
    <n v="0"/>
    <n v="0"/>
  </r>
  <r>
    <s v="AMINA NAKISINDE"/>
    <x v="7"/>
    <n v="-24"/>
    <n v="1180290.77"/>
    <x v="35"/>
    <n v="8852.18"/>
    <n v="1315994.21"/>
    <d v="2017-03-18T12:46:09"/>
    <d v="2018-03-18T00:00:00"/>
    <s v="0785676072"/>
    <s v=""/>
    <s v=""/>
    <n v="200893"/>
    <s v="00200002139"/>
    <s v="Retail"/>
    <s v="General Merchandise Stores"/>
    <s v="Others"/>
    <n v="0"/>
    <n v="0"/>
    <n v="0"/>
    <n v="0"/>
    <n v="0"/>
    <n v="0"/>
  </r>
  <r>
    <s v="DAN KAYE KIWANUKA KIZITO"/>
    <x v="0"/>
    <n v="0"/>
    <n v="2846108.03"/>
    <x v="19"/>
    <n v="110049.51"/>
    <n v="3196565.14"/>
    <d v="2017-03-24T11:07:20"/>
    <d v="2018-03-24T00:00:00"/>
    <s v="0772971749"/>
    <s v=""/>
    <s v=""/>
    <n v="200894"/>
    <s v="00200000845"/>
    <s v="Retail"/>
    <s v="General Merchandise Stores"/>
    <s v="General Stores"/>
    <n v="0"/>
    <n v="0"/>
    <n v="0"/>
    <n v="0"/>
    <n v="0"/>
    <n v="0"/>
  </r>
  <r>
    <s v="MOSES KASUJJA"/>
    <x v="0"/>
    <n v="123"/>
    <n v="3723563.01"/>
    <x v="26"/>
    <n v="175716.22"/>
    <n v="4287863.2"/>
    <d v="2017-03-21T16:31:28"/>
    <d v="2018-01-21T00:00:00"/>
    <s v="0782196431"/>
    <s v=""/>
    <s v=""/>
    <n v="200896"/>
    <s v="00200002173"/>
    <s v="Retail"/>
    <s v="Others"/>
    <s v="Others"/>
    <n v="3723563.01"/>
    <n v="3723563.01"/>
    <n v="3723563.01"/>
    <n v="1"/>
    <n v="1"/>
    <n v="1"/>
  </r>
  <r>
    <s v="MUZAMIRU KIRUNDA BWIRE"/>
    <x v="0"/>
    <n v="3"/>
    <n v="1586437.27"/>
    <x v="10"/>
    <n v="91378.92"/>
    <n v="1767375.21"/>
    <d v="2017-03-21T13:52:57"/>
    <d v="2018-03-21T00:00:00"/>
    <s v="0774058570"/>
    <s v=""/>
    <s v="0750609468"/>
    <n v="200897"/>
    <s v="00200002157"/>
    <s v="Retail"/>
    <s v="Electronics Stores"/>
    <s v="Computer &amp; Software"/>
    <n v="1586437.27"/>
    <n v="0"/>
    <n v="0"/>
    <n v="1"/>
    <n v="0"/>
    <n v="0"/>
  </r>
  <r>
    <s v="FRED KATENDE"/>
    <x v="2"/>
    <n v="3"/>
    <n v="37358593.020000003"/>
    <x v="1"/>
    <n v="1321933.8899999999"/>
    <n v="45237748.920000002"/>
    <d v="2017-03-21T14:46:31"/>
    <d v="2018-09-21T00:00:00"/>
    <s v="0782914782"/>
    <s v=""/>
    <s v="0758696171"/>
    <n v="200899"/>
    <s v="00200002156"/>
    <s v="Agriculture, Forestry, Fishing and Hunting"/>
    <s v="Crop Production"/>
    <s v="Maize"/>
    <n v="37358593.020000003"/>
    <n v="0"/>
    <n v="0"/>
    <n v="1"/>
    <n v="0"/>
    <n v="0"/>
  </r>
  <r>
    <s v="NANGOBI JESCA WABITEREZA"/>
    <x v="7"/>
    <n v="93"/>
    <n v="982297.53"/>
    <x v="6"/>
    <n v="36258.949999999997"/>
    <n v="1058416.3899999999"/>
    <d v="2017-03-21T17:29:05"/>
    <d v="2017-11-21T00:00:00"/>
    <s v="0755634213"/>
    <s v=""/>
    <s v=""/>
    <n v="200901"/>
    <s v="00200002130"/>
    <s v="Agriculture, Forestry, Fishing and Hunting"/>
    <s v="Animal Production"/>
    <s v="Poultry &amp; Egg Production"/>
    <n v="982297.53"/>
    <n v="982297.53"/>
    <n v="982297.53"/>
    <n v="1"/>
    <n v="1"/>
    <n v="1"/>
  </r>
  <r>
    <s v="KABONGE SAMUEL MUKASA"/>
    <x v="0"/>
    <n v="2"/>
    <n v="2407160.11"/>
    <x v="16"/>
    <n v="111272.93"/>
    <n v="2741654.74"/>
    <d v="2017-03-22T11:52:53"/>
    <d v="2018-03-22T00:00:00"/>
    <s v="0782489074"/>
    <s v=""/>
    <s v="0751489971"/>
    <n v="200902"/>
    <s v="00200002160"/>
    <s v="Real Estate and Rental"/>
    <s v="Rental"/>
    <s v="General Rental Centers"/>
    <n v="2407160.11"/>
    <n v="0"/>
    <n v="0"/>
    <n v="1"/>
    <n v="0"/>
    <n v="0"/>
  </r>
  <r>
    <s v="PAUL NYONYINTONO"/>
    <x v="0"/>
    <n v="2"/>
    <n v="2888592.12"/>
    <x v="16"/>
    <n v="133527.51999999999"/>
    <n v="3289985.68"/>
    <d v="2017-03-22T16:42:55"/>
    <d v="2018-03-22T00:00:00"/>
    <s v="0785360577"/>
    <s v=""/>
    <s v="0757934987"/>
    <n v="200905"/>
    <s v="00200002153"/>
    <s v="Retail"/>
    <s v="Others"/>
    <s v="Others"/>
    <n v="2888592.12"/>
    <n v="0"/>
    <n v="0"/>
    <n v="1"/>
    <n v="0"/>
    <n v="0"/>
  </r>
  <r>
    <s v="LAWRENCE NSAMBA"/>
    <x v="0"/>
    <n v="1"/>
    <n v="2846108.03"/>
    <x v="11"/>
    <n v="113844.32"/>
    <n v="3196565.14"/>
    <d v="2017-03-23T10:26:28"/>
    <d v="2018-03-23T00:00:00"/>
    <s v="0782144436"/>
    <s v=""/>
    <s v=""/>
    <n v="200906"/>
    <s v="00200000742"/>
    <s v="Real Estate and Rental"/>
    <s v="Rental"/>
    <s v="Others"/>
    <n v="2846108.03"/>
    <n v="0"/>
    <n v="0"/>
    <n v="1"/>
    <n v="0"/>
    <n v="0"/>
  </r>
  <r>
    <s v="RICHARD LUYIIMA"/>
    <x v="0"/>
    <n v="0"/>
    <n v="4743513.4000000004"/>
    <x v="25"/>
    <n v="183415.85"/>
    <n v="5327608.6100000003"/>
    <d v="2017-03-24T17:01:35"/>
    <d v="2018-03-24T00:00:00"/>
    <s v="0703152970"/>
    <s v=""/>
    <s v=""/>
    <n v="200910"/>
    <s v="00200000995"/>
    <s v="Manufacturing"/>
    <s v="Apparel Manufacturing"/>
    <s v="Others"/>
    <n v="0"/>
    <n v="0"/>
    <n v="0"/>
    <n v="0"/>
    <n v="0"/>
    <n v="0"/>
  </r>
  <r>
    <s v="REGINA MIREMBE NAMBI"/>
    <x v="8"/>
    <n v="0"/>
    <n v="2063399.01"/>
    <x v="13"/>
    <n v="83109.13"/>
    <n v="2237688.06"/>
    <d v="2017-03-24T17:55:22"/>
    <d v="2018-01-24T00:00:00"/>
    <s v="0752656275"/>
    <s v=""/>
    <s v="0704604289"/>
    <n v="200913"/>
    <s v="00200002189"/>
    <s v="Educational Services"/>
    <s v="Educational Services"/>
    <s v="Others"/>
    <n v="0"/>
    <n v="0"/>
    <n v="0"/>
    <n v="0"/>
    <n v="0"/>
    <n v="0"/>
  </r>
  <r>
    <s v="GLADES NUWAHEREZA"/>
    <x v="0"/>
    <n v="90"/>
    <n v="5063419.8"/>
    <x v="26"/>
    <n v="429685.98"/>
    <n v="6141306.5800000001"/>
    <d v="2017-03-24T19:14:34"/>
    <d v="2018-03-24T00:00:00"/>
    <s v="0778386033"/>
    <s v=""/>
    <s v="0701908222"/>
    <n v="200916"/>
    <s v="00200002186"/>
    <s v="Retail"/>
    <s v="General Merchandise Stores"/>
    <s v="Others"/>
    <n v="5063419.8"/>
    <n v="5063419.8"/>
    <n v="0"/>
    <n v="1"/>
    <n v="1"/>
    <n v="0"/>
  </r>
  <r>
    <s v="LAWRENCE SSABUULA"/>
    <x v="0"/>
    <n v="29"/>
    <n v="2143629.7200000002"/>
    <x v="22"/>
    <n v="79691.02"/>
    <n v="2406472.56"/>
    <d v="2017-03-25T13:00:26"/>
    <d v="2018-03-25T00:00:00"/>
    <s v="0772545719"/>
    <s v=""/>
    <s v="0704545719"/>
    <n v="200921"/>
    <s v="00200000796"/>
    <s v="Retail"/>
    <s v="Others"/>
    <s v="Others"/>
    <n v="2143629.7200000002"/>
    <n v="0"/>
    <n v="0"/>
    <n v="1"/>
    <n v="0"/>
    <n v="0"/>
  </r>
  <r>
    <s v="RONALD KAKANDE"/>
    <x v="0"/>
    <n v="-7"/>
    <n v="1936784.93"/>
    <x v="23"/>
    <n v="63913.9"/>
    <n v="2205917.08"/>
    <d v="2017-03-27T17:18:23"/>
    <d v="2018-04-01T00:00:00"/>
    <s v="0704320284"/>
    <s v=""/>
    <s v="0782009594"/>
    <n v="200924"/>
    <s v="00200002132"/>
    <s v="Retail"/>
    <s v="Others"/>
    <s v="Others"/>
    <n v="0"/>
    <n v="0"/>
    <n v="0"/>
    <n v="0"/>
    <n v="0"/>
    <n v="0"/>
  </r>
  <r>
    <s v="PETER ORANGI"/>
    <x v="0"/>
    <n v="-7"/>
    <n v="4767839.12"/>
    <x v="27"/>
    <n v="139856.60999999999"/>
    <n v="5354929.6900000004"/>
    <d v="2017-03-27T16:54:22"/>
    <d v="2018-04-01T00:00:00"/>
    <s v="0772412225"/>
    <s v=""/>
    <s v=""/>
    <n v="200925"/>
    <s v="00200000417"/>
    <s v="Wholesale Trade"/>
    <s v="Durable Goods"/>
    <s v="Others"/>
    <n v="0"/>
    <n v="0"/>
    <n v="0"/>
    <n v="0"/>
    <n v="0"/>
    <n v="0"/>
  </r>
  <r>
    <s v="JOSHUA MATOVU"/>
    <x v="0"/>
    <n v="19"/>
    <n v="3795487.41"/>
    <x v="6"/>
    <n v="91075.46"/>
    <n v="4262763.58"/>
    <d v="2017-04-05T09:59:10"/>
    <d v="2018-04-05T00:00:00"/>
    <s v="0702094087"/>
    <s v="078200963"/>
    <s v=""/>
    <n v="200932"/>
    <s v="00200001037"/>
    <s v="Retail"/>
    <s v="Electronics Stores"/>
    <s v="Computer &amp; Software"/>
    <n v="3795487.41"/>
    <n v="0"/>
    <n v="0"/>
    <n v="1"/>
    <n v="0"/>
    <n v="0"/>
  </r>
  <r>
    <s v="ARTHUR MUYINZA"/>
    <x v="0"/>
    <n v="-7"/>
    <n v="2414070.58"/>
    <x v="35"/>
    <n v="79664.33"/>
    <n v="2749525.48"/>
    <d v="2017-03-29T16:21:25"/>
    <d v="2018-04-01T00:00:00"/>
    <s v="0756104800"/>
    <s v=""/>
    <s v="0771066992"/>
    <n v="200933"/>
    <s v="00200002196"/>
    <s v="Retail"/>
    <s v="Electronics Stores"/>
    <s v="Mobile"/>
    <n v="0"/>
    <n v="0"/>
    <n v="0"/>
    <n v="0"/>
    <n v="0"/>
    <n v="0"/>
  </r>
  <r>
    <s v="SOPHIA KHAINZA"/>
    <x v="8"/>
    <n v="-7"/>
    <n v="4707185.05"/>
    <x v="19"/>
    <n v="126570.98"/>
    <n v="5237399"/>
    <d v="2017-03-29T18:36:24"/>
    <d v="2018-04-01T00:00:00"/>
    <s v="0704288857"/>
    <s v=""/>
    <s v=""/>
    <n v="200934"/>
    <s v="00200001414"/>
    <s v="Retail"/>
    <s v="Second Hand -Clothing and  Accessories"/>
    <s v="Clothing Stores"/>
    <n v="0"/>
    <n v="0"/>
    <n v="0"/>
    <n v="0"/>
    <n v="0"/>
    <n v="0"/>
  </r>
  <r>
    <s v="ANGELLA BIYINZIKA"/>
    <x v="7"/>
    <n v="-7"/>
    <n v="1393632.9"/>
    <x v="25"/>
    <n v="45989.89"/>
    <n v="1520899.56"/>
    <d v="2017-03-29T16:03:28"/>
    <d v="2018-02-01T00:00:00"/>
    <s v="0753811130"/>
    <s v=""/>
    <s v="0782811130"/>
    <n v="200936"/>
    <s v="00200002201"/>
    <s v="Real Estate and Rental"/>
    <s v="Rental"/>
    <s v="General Rental Centers"/>
    <n v="0"/>
    <n v="0"/>
    <n v="0"/>
    <n v="0"/>
    <n v="0"/>
    <n v="0"/>
  </r>
  <r>
    <s v="WILSON KAYIMA"/>
    <x v="0"/>
    <n v="-7"/>
    <n v="3091189.58"/>
    <x v="18"/>
    <n v="90674.89"/>
    <n v="3471824.96"/>
    <d v="2017-03-29T17:11:38"/>
    <d v="2018-04-01T00:00:00"/>
    <s v="0882659248"/>
    <s v=""/>
    <s v=""/>
    <n v="200937"/>
    <s v="00200000703"/>
    <s v="Real Estate and Rental"/>
    <s v="Rental"/>
    <s v="General Rental Centers"/>
    <n v="0"/>
    <n v="0"/>
    <n v="0"/>
    <n v="0"/>
    <n v="0"/>
    <n v="0"/>
  </r>
  <r>
    <s v="CHARLES NSUBUGA"/>
    <x v="0"/>
    <n v="83"/>
    <n v="908977.4"/>
    <x v="35"/>
    <n v="61806.02"/>
    <n v="970783.42"/>
    <d v="2017-03-30T10:23:00"/>
    <d v="2017-10-01T00:00:00"/>
    <s v="0782906651"/>
    <s v=""/>
    <s v="0756714239"/>
    <n v="200938"/>
    <s v="00200002137"/>
    <s v="Retail"/>
    <s v="Others"/>
    <s v="Others"/>
    <n v="908977.4"/>
    <n v="908977.4"/>
    <n v="0"/>
    <n v="1"/>
    <n v="1"/>
    <n v="0"/>
  </r>
  <r>
    <s v="JAMILAH NAMATOVU"/>
    <x v="8"/>
    <n v="23"/>
    <n v="2454623.6"/>
    <x v="16"/>
    <n v="73654.429999999993"/>
    <n v="2658231.94"/>
    <d v="2017-03-30T10:44:17"/>
    <d v="2018-02-01T00:00:00"/>
    <s v="0774659965"/>
    <s v=""/>
    <s v="0705350168"/>
    <n v="200939"/>
    <s v="00200002176"/>
    <s v="Retail"/>
    <s v="General Merchandise Stores"/>
    <s v="General Stores"/>
    <n v="2454623.6"/>
    <n v="0"/>
    <n v="0"/>
    <n v="1"/>
    <n v="0"/>
    <n v="0"/>
  </r>
  <r>
    <s v="PAUL JOASH KAGAWA"/>
    <x v="0"/>
    <n v="-7"/>
    <n v="2783276.43"/>
    <x v="20"/>
    <n v="91848.12"/>
    <n v="3037445.46"/>
    <d v="2017-03-30T15:58:36"/>
    <d v="2018-02-01T00:00:00"/>
    <s v="0782496909"/>
    <s v=""/>
    <s v="0759345548"/>
    <n v="200941"/>
    <s v="00200002007"/>
    <s v="Retail"/>
    <s v="Others"/>
    <s v="Others"/>
    <n v="0"/>
    <n v="0"/>
    <n v="0"/>
    <n v="0"/>
    <n v="0"/>
    <n v="0"/>
  </r>
  <r>
    <s v="JUSTINE NABATANZI MUKIBI"/>
    <x v="8"/>
    <n v="23"/>
    <n v="2878975.82"/>
    <x v="19"/>
    <n v="75853.259999999995"/>
    <n v="3196730"/>
    <d v="2017-03-30T17:00:26"/>
    <d v="2018-04-01T00:00:00"/>
    <s v="0782676908"/>
    <s v=""/>
    <s v=""/>
    <n v="200942"/>
    <s v="00200000950"/>
    <s v="Wholesale Trade"/>
    <s v="Others"/>
    <s v="Others"/>
    <n v="2878975.82"/>
    <n v="0"/>
    <n v="0"/>
    <n v="1"/>
    <n v="0"/>
    <n v="0"/>
  </r>
  <r>
    <s v="PATRICK KIWANUKA"/>
    <x v="1"/>
    <n v="-7"/>
    <n v="17014996.030000001"/>
    <x v="11"/>
    <n v="415922.13"/>
    <n v="20611117.949999999"/>
    <d v="2017-03-31T13:25:25"/>
    <d v="2018-10-01T00:00:00"/>
    <s v="0757616453"/>
    <s v=""/>
    <s v="0783970639"/>
    <n v="200943"/>
    <s v="00200002168"/>
    <s v="Retail"/>
    <s v="General Merchandise Stores"/>
    <s v="General Stores"/>
    <n v="0"/>
    <n v="0"/>
    <n v="0"/>
    <n v="0"/>
    <n v="0"/>
    <n v="0"/>
  </r>
  <r>
    <s v="FRANCIS SSENTAMBULE"/>
    <x v="0"/>
    <n v="-11"/>
    <n v="3341744.36"/>
    <x v="24"/>
    <n v="80201.86"/>
    <n v="3753231.93"/>
    <d v="2017-03-31T16:59:12"/>
    <d v="2018-04-05T00:00:00"/>
    <s v="0772656427"/>
    <s v=""/>
    <s v="0702258749"/>
    <n v="200944"/>
    <s v="00200000930"/>
    <s v="Real Estate and Rental"/>
    <s v="Rental"/>
    <s v="General Rental Centers"/>
    <n v="0"/>
    <n v="0"/>
    <n v="0"/>
    <n v="0"/>
    <n v="0"/>
    <n v="0"/>
  </r>
  <r>
    <s v="STEVEN SSEBAGGALA"/>
    <x v="0"/>
    <n v="-7"/>
    <n v="4749594.84"/>
    <x v="18"/>
    <n v="139321.45000000001"/>
    <n v="5334438.88"/>
    <d v="2017-03-31T18:12:48"/>
    <d v="2018-04-01T00:00:00"/>
    <s v="0755958040"/>
    <s v=""/>
    <s v="0773453254"/>
    <n v="200947"/>
    <s v="00200000089"/>
    <s v="Wholesale Trade"/>
    <s v="Durable Goods"/>
    <s v="Others"/>
    <n v="0"/>
    <n v="0"/>
    <n v="0"/>
    <n v="0"/>
    <n v="0"/>
    <n v="0"/>
  </r>
  <r>
    <s v="JOAN BWIRE NANTONGO"/>
    <x v="8"/>
    <n v="-7"/>
    <n v="2864107.38"/>
    <x v="19"/>
    <n v="87514.39"/>
    <n v="3231857"/>
    <d v="2017-03-31T18:27:59"/>
    <d v="2018-04-01T00:00:00"/>
    <s v="0703558100"/>
    <s v=""/>
    <s v="0775974524"/>
    <n v="200948"/>
    <s v="00200002234"/>
    <s v="Retail"/>
    <s v="Others"/>
    <s v="Others"/>
    <n v="0"/>
    <n v="0"/>
    <n v="0"/>
    <n v="0"/>
    <n v="0"/>
    <n v="0"/>
  </r>
  <r>
    <s v="FLORENCE WANIRWOTH"/>
    <x v="7"/>
    <n v="23"/>
    <n v="1362114.19"/>
    <x v="11"/>
    <n v="95738.19"/>
    <n v="1518722.72"/>
    <d v="2017-03-31T18:55:51"/>
    <d v="2018-02-01T00:00:00"/>
    <s v="0704586472"/>
    <s v=""/>
    <s v=""/>
    <n v="200949"/>
    <s v="00200002193"/>
    <s v="Manufacturing"/>
    <s v="Textiles"/>
    <s v="Others"/>
    <n v="1362114.19"/>
    <n v="0"/>
    <n v="0"/>
    <n v="1"/>
    <n v="0"/>
    <n v="0"/>
  </r>
  <r>
    <s v="GLORIA ATUHAIRE"/>
    <x v="8"/>
    <n v="0"/>
    <n v="4729018.76"/>
    <x v="35"/>
    <n v="190474.37"/>
    <n v="5336221.82"/>
    <d v="2017-03-31T18:04:43"/>
    <d v="2018-03-24T00:00:00"/>
    <s v="0775287704"/>
    <s v=""/>
    <s v="0751202425"/>
    <n v="200951"/>
    <s v="00200002068"/>
    <s v="Wholesale Trade"/>
    <s v="Others"/>
    <s v="Others"/>
    <n v="0"/>
    <n v="0"/>
    <n v="0"/>
    <n v="0"/>
    <n v="0"/>
    <n v="0"/>
  </r>
  <r>
    <s v="FELIX MUTEBI KIYEGGA"/>
    <x v="1"/>
    <n v="-9"/>
    <n v="4457052.66"/>
    <x v="18"/>
    <n v="99045.61"/>
    <n v="5070795.03"/>
    <d v="2017-03-31T13:17:39"/>
    <d v="2018-06-03T00:00:00"/>
    <s v="0784637766"/>
    <s v=""/>
    <s v="0759328701"/>
    <n v="200952"/>
    <s v="00200002198"/>
    <s v="Wholesale Trade"/>
    <s v="Others"/>
    <s v="Others"/>
    <n v="0"/>
    <n v="0"/>
    <n v="0"/>
    <n v="0"/>
    <n v="0"/>
    <n v="0"/>
  </r>
  <r>
    <s v="ANNETTE KAZIBWE"/>
    <x v="8"/>
    <n v="-9"/>
    <n v="4767156.04"/>
    <x v="20"/>
    <n v="132421"/>
    <n v="5379255.9100000001"/>
    <d v="2017-04-03T11:36:55"/>
    <d v="2018-04-03T00:00:00"/>
    <s v="0772607426"/>
    <s v="0772607456"/>
    <s v=""/>
    <n v="200954"/>
    <s v="00200002188"/>
    <s v="Wholesale Trade"/>
    <s v="Others"/>
    <s v="Others"/>
    <n v="0"/>
    <n v="0"/>
    <n v="0"/>
    <n v="0"/>
    <n v="0"/>
    <n v="0"/>
  </r>
  <r>
    <s v="ALEX NABAASA"/>
    <x v="3"/>
    <n v="171"/>
    <n v="23336195.68"/>
    <x v="1"/>
    <n v="1459297.43"/>
    <n v="28947651.800000001"/>
    <d v="2017-04-03T15:48:54"/>
    <d v="2018-04-03T00:00:00"/>
    <s v="0782940200"/>
    <s v=""/>
    <s v="0702960703"/>
    <n v="200955"/>
    <s v="00200002078"/>
    <s v="Agriculture, Forestry, Fishing and Hunting"/>
    <s v="Crop Production"/>
    <s v="Maize"/>
    <n v="23336195.68"/>
    <n v="23336195.68"/>
    <n v="23336195.68"/>
    <n v="1"/>
    <n v="1"/>
    <n v="1"/>
  </r>
  <r>
    <s v="RONALD KAZIBWE"/>
    <x v="3"/>
    <n v="-9"/>
    <n v="20760576.370000001"/>
    <x v="16"/>
    <n v="553615.37"/>
    <n v="26067798.329999998"/>
    <d v="2017-04-03T16:14:30"/>
    <d v="2018-10-03T00:00:00"/>
    <s v="0701620862"/>
    <s v=""/>
    <s v="0776620862"/>
    <n v="200956"/>
    <s v="00200002124"/>
    <s v="Retail"/>
    <s v="Others"/>
    <s v="Others"/>
    <n v="0"/>
    <n v="0"/>
    <n v="0"/>
    <n v="0"/>
    <n v="0"/>
    <n v="0"/>
  </r>
  <r>
    <s v="NORAH SEMUTOOKE KAWALYA"/>
    <x v="1"/>
    <n v="-10"/>
    <n v="19610025.949999999"/>
    <x v="16"/>
    <n v="413989.44"/>
    <n v="26004787.559999999"/>
    <d v="2017-04-04T10:26:17"/>
    <d v="2019-04-04T00:00:00"/>
    <s v="0772309500"/>
    <s v=""/>
    <s v="0702005944"/>
    <n v="200958"/>
    <s v="00200002183"/>
    <s v="Agriculture, Forestry, Fishing and Hunting"/>
    <s v="Animal Production"/>
    <s v="Poultry &amp; Egg Production"/>
    <n v="0"/>
    <n v="0"/>
    <n v="0"/>
    <n v="0"/>
    <n v="0"/>
    <n v="0"/>
  </r>
  <r>
    <s v="HUSSEIN KALIIKA"/>
    <x v="0"/>
    <n v="-10"/>
    <n v="868527.23"/>
    <x v="20"/>
    <n v="24753.03"/>
    <n v="947841.22"/>
    <d v="2017-04-04T14:12:37"/>
    <d v="2018-02-04T00:00:00"/>
    <s v="0776992234"/>
    <s v=""/>
    <s v="0702821021"/>
    <n v="200960"/>
    <s v="00200002221"/>
    <s v="Real Estate and Rental"/>
    <s v="Rental"/>
    <s v="Others"/>
    <n v="0"/>
    <n v="0"/>
    <n v="0"/>
    <n v="0"/>
    <n v="0"/>
    <n v="0"/>
  </r>
  <r>
    <s v="WILLIAM MUTUMBA"/>
    <x v="0"/>
    <n v="-11"/>
    <n v="4743513.4000000004"/>
    <x v="18"/>
    <n v="113844.32"/>
    <n v="5327608.6100000003"/>
    <d v="2017-04-05T16:43:29"/>
    <d v="2018-04-05T00:00:00"/>
    <s v="0775164368"/>
    <s v=""/>
    <s v=""/>
    <n v="200961"/>
    <s v="00200000905"/>
    <s v="Retail"/>
    <s v="Health and Personal Care Stores"/>
    <s v="Pharmacies &amp; Drug Stores"/>
    <n v="0"/>
    <n v="0"/>
    <n v="0"/>
    <n v="0"/>
    <n v="0"/>
    <n v="0"/>
  </r>
  <r>
    <s v="RONALD SSEMBUUSI"/>
    <x v="0"/>
    <n v="-12"/>
    <n v="4814320.1500000004"/>
    <x v="27"/>
    <n v="122765.16"/>
    <n v="5483309.4000000004"/>
    <d v="2017-04-06T16:48:17"/>
    <d v="2018-04-06T00:00:00"/>
    <s v="0701843601"/>
    <s v=""/>
    <s v="07792877013"/>
    <n v="200962"/>
    <s v="00200002245"/>
    <s v="Retail"/>
    <s v="General Merchandise Stores"/>
    <s v="General Stores"/>
    <n v="0"/>
    <n v="0"/>
    <n v="0"/>
    <n v="0"/>
    <n v="0"/>
    <n v="0"/>
  </r>
  <r>
    <s v="MOSES SSENKAYA"/>
    <x v="0"/>
    <n v="16"/>
    <n v="3959509.52"/>
    <x v="1"/>
    <n v="249888.27"/>
    <n v="4601864.74"/>
    <d v="2017-04-08T10:42:41"/>
    <d v="2018-04-08T00:00:00"/>
    <s v="0705374962"/>
    <s v=""/>
    <s v=""/>
    <n v="200963"/>
    <s v="00200002243"/>
    <s v="Wholesale Trade"/>
    <s v="Durable Goods"/>
    <s v="Others"/>
    <n v="3959509.52"/>
    <n v="0"/>
    <n v="0"/>
    <n v="1"/>
    <n v="0"/>
    <n v="0"/>
  </r>
  <r>
    <s v="ABUDUR MUGISHA MUYANJA"/>
    <x v="0"/>
    <n v="166"/>
    <n v="4440190.3099999996"/>
    <x v="19"/>
    <n v="177034.33"/>
    <n v="5078563.5999999996"/>
    <d v="2017-04-08T11:51:24"/>
    <d v="2017-12-08T00:00:00"/>
    <s v="0759982286"/>
    <s v=""/>
    <s v="0775339356"/>
    <n v="200964"/>
    <s v="00200002185"/>
    <s v="Retail"/>
    <s v="Furniture and Home Furnishings Stores"/>
    <s v="Furniture Stores"/>
    <n v="4440190.3099999996"/>
    <n v="4440190.3099999996"/>
    <n v="4440190.3099999996"/>
    <n v="1"/>
    <n v="1"/>
    <n v="1"/>
  </r>
  <r>
    <s v="DIANA NAMARA"/>
    <x v="1"/>
    <n v="-16"/>
    <n v="13216229.67"/>
    <x v="11"/>
    <n v="171810.99"/>
    <n v="17064703.23"/>
    <d v="2017-04-10T16:27:18"/>
    <d v="2019-04-10T00:00:00"/>
    <s v="0772019615"/>
    <s v=""/>
    <s v=""/>
    <n v="200966"/>
    <s v="00200000531"/>
    <s v="Retail"/>
    <s v="General Merchandise Stores"/>
    <s v="General Stores"/>
    <n v="0"/>
    <n v="0"/>
    <n v="0"/>
    <n v="0"/>
    <n v="0"/>
    <n v="0"/>
  </r>
  <r>
    <s v="DUNCAN MALUME"/>
    <x v="0"/>
    <n v="-16"/>
    <n v="7115270.1299999999"/>
    <x v="9"/>
    <n v="123331.35"/>
    <n v="7991412.96"/>
    <d v="2017-04-10T18:34:17"/>
    <d v="2018-04-10T00:00:00"/>
    <s v="0776852206"/>
    <s v=""/>
    <s v=""/>
    <n v="200967"/>
    <s v="00200000813"/>
    <s v="Retail"/>
    <s v="General Merchandise Stores"/>
    <s v="General Stores"/>
    <n v="0"/>
    <n v="0"/>
    <n v="0"/>
    <n v="0"/>
    <n v="0"/>
    <n v="0"/>
  </r>
  <r>
    <s v="EUNICE ACHIEN"/>
    <x v="7"/>
    <n v="-17"/>
    <n v="1042232.59"/>
    <x v="20"/>
    <n v="18760.189999999999"/>
    <n v="1137409.3600000001"/>
    <d v="2017-04-11T14:59:17"/>
    <d v="2018-02-11T00:00:00"/>
    <s v="0702129994"/>
    <s v=""/>
    <s v="0785668657"/>
    <n v="200970"/>
    <s v="00200002253"/>
    <s v="Real Estate and Rental"/>
    <s v="Rental"/>
    <s v="General Rental Centers"/>
    <n v="0"/>
    <n v="0"/>
    <n v="0"/>
    <n v="0"/>
    <n v="0"/>
    <n v="0"/>
  </r>
  <r>
    <s v="CHARLES KAIZIRE"/>
    <x v="2"/>
    <n v="9"/>
    <n v="22031910.149999999"/>
    <x v="19"/>
    <n v="411212.35"/>
    <n v="24183488.66"/>
    <d v="2017-04-12T10:48:40"/>
    <d v="2018-04-15T00:00:00"/>
    <s v="0772488338"/>
    <s v=""/>
    <s v="0705288338"/>
    <n v="200971"/>
    <s v="00200002181"/>
    <s v="Agriculture, Forestry, Fishing and Hunting"/>
    <s v="Animal Production"/>
    <s v="Poultry &amp; Egg Production"/>
    <n v="22031910.149999999"/>
    <n v="0"/>
    <n v="0"/>
    <n v="1"/>
    <n v="0"/>
    <n v="0"/>
  </r>
  <r>
    <s v="LAWRENCE OPIO"/>
    <x v="0"/>
    <n v="-19"/>
    <n v="2371756.7400000002"/>
    <x v="4"/>
    <n v="31623.42"/>
    <n v="2663804.36"/>
    <d v="2017-04-13T17:04:16"/>
    <d v="2018-04-13T00:00:00"/>
    <s v="0775323450"/>
    <s v=""/>
    <s v=""/>
    <n v="200972"/>
    <s v="00200000907"/>
    <s v="Construction"/>
    <s v="Construction of Buildings"/>
    <s v="Others"/>
    <n v="0"/>
    <n v="0"/>
    <n v="0"/>
    <n v="0"/>
    <n v="0"/>
    <n v="0"/>
  </r>
  <r>
    <s v="KEZIAH NAMBAZIIRA ZZIWA"/>
    <x v="8"/>
    <n v="-18"/>
    <n v="3337009.24"/>
    <x v="16"/>
    <n v="50982.09"/>
    <n v="3765479.15"/>
    <d v="2017-04-12T14:38:09"/>
    <d v="2018-04-12T00:00:00"/>
    <s v="0776292201"/>
    <s v=""/>
    <s v="0701292201"/>
    <n v="200974"/>
    <s v="00200002252"/>
    <s v="Wholesale Trade"/>
    <s v="Durable Goods"/>
    <s v="Others"/>
    <n v="0"/>
    <n v="0"/>
    <n v="0"/>
    <n v="0"/>
    <n v="0"/>
    <n v="0"/>
  </r>
  <r>
    <s v="REGINA NAKATO"/>
    <x v="7"/>
    <n v="72"/>
    <n v="544604.71"/>
    <x v="11"/>
    <n v="36470.68"/>
    <n v="581075.39"/>
    <d v="2017-04-12T13:18:51"/>
    <d v="2017-10-12T00:00:00"/>
    <s v="0779903569"/>
    <s v=""/>
    <s v=""/>
    <n v="200975"/>
    <s v="00200002254"/>
    <s v="Real Estate and Rental"/>
    <s v="Rental"/>
    <s v="Others"/>
    <n v="544604.71"/>
    <n v="544604.71"/>
    <n v="0"/>
    <n v="1"/>
    <n v="1"/>
    <n v="0"/>
  </r>
  <r>
    <s v="JESSICA NALWANGA"/>
    <x v="3"/>
    <n v="-19"/>
    <n v="11680886.279999999"/>
    <x v="23"/>
    <n v="13627.7"/>
    <n v="12935493.66"/>
    <d v="2017-04-13T16:20:18"/>
    <d v="2018-04-13T00:00:00"/>
    <s v="07824490788"/>
    <s v=""/>
    <s v=""/>
    <n v="200977"/>
    <s v="00200001367"/>
    <s v="Retail"/>
    <s v="Others"/>
    <s v="Others"/>
    <n v="0"/>
    <n v="0"/>
    <n v="0"/>
    <n v="0"/>
    <n v="0"/>
    <n v="0"/>
  </r>
  <r>
    <s v="ELIZABETH MUGIMBA"/>
    <x v="1"/>
    <n v="4"/>
    <n v="21114844.629999999"/>
    <x v="25"/>
    <n v="271361.45"/>
    <n v="27211467.690000001"/>
    <d v="2017-04-20T16:59:33"/>
    <d v="2019-04-20T00:00:00"/>
    <s v="0772898992"/>
    <s v=""/>
    <s v=""/>
    <n v="200980"/>
    <s v="00200000810"/>
    <s v="Real Estate and Rental"/>
    <s v="Rental"/>
    <s v="General Rental Centers"/>
    <n v="21114844.629999999"/>
    <n v="0"/>
    <n v="0"/>
    <n v="1"/>
    <n v="0"/>
    <n v="0"/>
  </r>
  <r>
    <s v="ANNET NAKIBONEKA"/>
    <x v="7"/>
    <n v="4"/>
    <n v="1342599.66"/>
    <x v="13"/>
    <n v="57809.71"/>
    <n v="1479491.37"/>
    <d v="2017-04-20T17:30:58"/>
    <d v="2018-02-20T00:00:00"/>
    <s v="0782401157"/>
    <s v=""/>
    <s v="0702401157"/>
    <n v="200981"/>
    <s v="00200001135"/>
    <s v="Wholesale Trade"/>
    <s v="Others"/>
    <s v="Others"/>
    <n v="1342599.66"/>
    <n v="0"/>
    <n v="0"/>
    <n v="1"/>
    <n v="0"/>
    <n v="0"/>
  </r>
  <r>
    <s v="KAISHO IDA KWESIGA MAY"/>
    <x v="2"/>
    <n v="59"/>
    <n v="16624184.17"/>
    <x v="15"/>
    <n v="302654.08000000002"/>
    <n v="16926838.25"/>
    <d v="2017-04-20T18:37:13"/>
    <d v="2017-10-25T00:00:00"/>
    <s v="0772673244"/>
    <s v=""/>
    <s v=""/>
    <n v="200982"/>
    <s v="00200002280"/>
    <s v="Real Estate and Rental"/>
    <s v="Rental"/>
    <s v="General Rental Centers"/>
    <n v="16624184.17"/>
    <n v="16624184.17"/>
    <n v="0"/>
    <n v="1"/>
    <n v="1"/>
    <n v="0"/>
  </r>
  <r>
    <s v="EMMANUEL SSENYONDO"/>
    <x v="0"/>
    <n v="-27"/>
    <n v="1203580.04"/>
    <x v="18"/>
    <n v="67245.710000000006"/>
    <n v="1370827.36"/>
    <d v="2017-04-21T14:03:06"/>
    <d v="2018-04-21T00:00:00"/>
    <s v="0773956782"/>
    <s v=""/>
    <s v="0703944793"/>
    <n v="200985"/>
    <s v="00200002272"/>
    <s v="Real Estate and Rental"/>
    <s v="Rental"/>
    <s v="General Rental Centers"/>
    <n v="0"/>
    <n v="0"/>
    <n v="0"/>
    <n v="0"/>
    <n v="0"/>
    <n v="0"/>
  </r>
  <r>
    <s v="CHRISTOPHER MAKAYAGA"/>
    <x v="1"/>
    <n v="-27"/>
    <n v="16818655.809999999"/>
    <x v="2"/>
    <n v="33637.31"/>
    <n v="19994891.329999998"/>
    <d v="2017-04-21T15:56:59"/>
    <d v="2018-10-21T00:00:00"/>
    <s v="0756570818"/>
    <s v=""/>
    <s v=""/>
    <n v="200987"/>
    <s v="00200000745"/>
    <s v="Wholesale Trade"/>
    <s v="Others"/>
    <s v="Others"/>
    <n v="0"/>
    <n v="0"/>
    <n v="0"/>
    <n v="0"/>
    <n v="0"/>
    <n v="0"/>
  </r>
  <r>
    <s v="HARRIET KIBIRIGE"/>
    <x v="3"/>
    <n v="2"/>
    <n v="13964026.779999999"/>
    <x v="16"/>
    <n v="568419.56000000006"/>
    <n v="15976872.66"/>
    <d v="2017-04-22T13:02:11"/>
    <d v="2018-04-22T00:00:00"/>
    <s v="0753474307"/>
    <s v=""/>
    <s v="0772474507"/>
    <n v="200989"/>
    <s v="00200002274"/>
    <s v="Retail"/>
    <s v="Others"/>
    <s v="Others"/>
    <n v="13964026.779999999"/>
    <n v="0"/>
    <n v="0"/>
    <n v="1"/>
    <n v="0"/>
    <n v="0"/>
  </r>
  <r>
    <s v="JUSTINE MUTESI"/>
    <x v="2"/>
    <n v="-1"/>
    <n v="10493496.77"/>
    <x v="16"/>
    <n v="293817.90999999997"/>
    <n v="3033516.67"/>
    <d v="2017-04-22T13:26:38"/>
    <d v="2018-12-25T00:00:00"/>
    <s v="0772656824"/>
    <s v=""/>
    <s v="0701081464"/>
    <n v="200991"/>
    <s v="00200001864"/>
    <s v="Transportation and Warehousing"/>
    <s v=" Passenger Transportation"/>
    <s v="Taxi service"/>
    <n v="0"/>
    <n v="0"/>
    <n v="0"/>
    <n v="0"/>
    <n v="0"/>
    <n v="0"/>
  </r>
  <r>
    <s v="RICHARD SERUNYIGO MUTEBI"/>
    <x v="0"/>
    <n v="-1"/>
    <n v="4525153.7300000004"/>
    <x v="1"/>
    <n v="190056.46"/>
    <n v="5263977.0599999996"/>
    <d v="2017-04-25T19:04:28"/>
    <d v="2018-04-25T00:00:00"/>
    <s v="0752845076"/>
    <s v=""/>
    <s v="0712845076"/>
    <n v="200995"/>
    <s v="00200002282"/>
    <s v="Wholesale Trade"/>
    <s v="Durable Goods"/>
    <s v="Others"/>
    <n v="0"/>
    <n v="0"/>
    <n v="0"/>
    <n v="0"/>
    <n v="0"/>
    <n v="0"/>
  </r>
  <r>
    <s v="HENRY JOE KIBUUKA"/>
    <x v="0"/>
    <n v="59"/>
    <n v="2246894.4300000002"/>
    <x v="19"/>
    <n v="102584.34"/>
    <n v="2555270.52"/>
    <d v="2017-04-25T18:08:19"/>
    <d v="2018-02-25T00:00:00"/>
    <s v="0701773270"/>
    <s v=""/>
    <s v="0772932243"/>
    <n v="200997"/>
    <s v="00200002275"/>
    <s v="Retail"/>
    <s v="General Merchandise Stores"/>
    <s v="General Stores"/>
    <n v="2246894.4300000002"/>
    <n v="2246894.4300000002"/>
    <n v="0"/>
    <n v="1"/>
    <n v="1"/>
    <n v="0"/>
  </r>
  <r>
    <s v="MARTIN DHIKUSOKA"/>
    <x v="0"/>
    <n v="-7"/>
    <n v="3580265.71"/>
    <x v="11"/>
    <n v="105021.13"/>
    <n v="3945310.26"/>
    <d v="2017-04-28T11:06:48"/>
    <d v="2018-03-01T00:00:00"/>
    <s v="0772409603"/>
    <s v=""/>
    <s v="0757409603"/>
    <n v="200998"/>
    <s v="00200001668"/>
    <s v="Real Estate and Rental"/>
    <s v="Rental"/>
    <s v="Others"/>
    <n v="0"/>
    <n v="0"/>
    <n v="0"/>
    <n v="0"/>
    <n v="0"/>
    <n v="0"/>
  </r>
  <r>
    <s v="MOSES EDIOMU"/>
    <x v="2"/>
    <n v="53"/>
    <n v="32644595.890000001"/>
    <x v="5"/>
    <n v="1041425.28"/>
    <n v="40427466.200000003"/>
    <d v="2017-04-26T14:14:59"/>
    <d v="2018-11-01T00:00:00"/>
    <s v="0775357251"/>
    <s v=""/>
    <s v=""/>
    <n v="200999"/>
    <s v="00200002089"/>
    <s v="Wholesale Trade"/>
    <s v="Durable Goods"/>
    <s v="Others"/>
    <n v="32644595.890000001"/>
    <n v="32644595.890000001"/>
    <n v="0"/>
    <n v="1"/>
    <n v="1"/>
    <n v="0"/>
  </r>
  <r>
    <s v="AISHA NALWEYISO"/>
    <x v="8"/>
    <n v="-7"/>
    <n v="5557652.9699999997"/>
    <x v="12"/>
    <n v="149439.10999999999"/>
    <n v="6292271.1699999999"/>
    <d v="2017-04-28T15:41:23"/>
    <d v="2018-05-01T00:00:00"/>
    <s v="0782438149"/>
    <s v=""/>
    <s v=""/>
    <n v="201000"/>
    <s v="00200000192"/>
    <s v="Retail"/>
    <s v="Others"/>
    <s v="Others"/>
    <n v="0"/>
    <n v="0"/>
    <n v="0"/>
    <n v="0"/>
    <n v="0"/>
    <n v="0"/>
  </r>
  <r>
    <s v="SLVIA NALUKYAMUZI"/>
    <x v="7"/>
    <n v="-7"/>
    <n v="571904.35"/>
    <x v="18"/>
    <n v="18872.84"/>
    <n v="610791.05000000005"/>
    <d v="2017-04-26T14:46:21"/>
    <d v="2018-01-01T00:00:00"/>
    <s v="0703607171"/>
    <s v=""/>
    <s v="0775307366"/>
    <n v="201001"/>
    <s v="00200002303"/>
    <s v="Real Estate and Rental"/>
    <s v="Rental"/>
    <s v="Others"/>
    <n v="0"/>
    <n v="0"/>
    <n v="0"/>
    <n v="0"/>
    <n v="0"/>
    <n v="0"/>
  </r>
  <r>
    <s v="HANAH KATUNGULU"/>
    <x v="1"/>
    <n v="23"/>
    <n v="47063745.420000002"/>
    <x v="1"/>
    <n v="2674881.0699999998"/>
    <n v="64284953.450000003"/>
    <d v="2017-04-26T13:13:33"/>
    <d v="2019-05-01T00:00:00"/>
    <s v="0774195026"/>
    <s v=""/>
    <s v="0700956447"/>
    <n v="201002"/>
    <s v="00200002258"/>
    <s v="Retail"/>
    <s v="Miscellaneous Store Retailers"/>
    <s v="Others"/>
    <n v="47063745.420000002"/>
    <n v="0"/>
    <n v="0"/>
    <n v="1"/>
    <n v="0"/>
    <n v="0"/>
  </r>
  <r>
    <s v="RAMADHAN BYARUBASIKA"/>
    <x v="0"/>
    <n v="-7"/>
    <n v="5697038.6100000003"/>
    <x v="27"/>
    <n v="188002.27"/>
    <n v="6627195.96"/>
    <d v="2017-04-26T18:47:45"/>
    <d v="2018-05-01T00:00:00"/>
    <s v="0758000010"/>
    <s v=""/>
    <s v="0785037355"/>
    <n v="201003"/>
    <s v="00200002288"/>
    <s v="Real Estate and Rental"/>
    <s v="Rental"/>
    <s v="Others"/>
    <n v="0"/>
    <n v="0"/>
    <n v="0"/>
    <n v="0"/>
    <n v="0"/>
    <n v="0"/>
  </r>
  <r>
    <s v="BADIRU KIMBUGWE"/>
    <x v="0"/>
    <n v="-7"/>
    <n v="1715713.01"/>
    <x v="27"/>
    <n v="75177.86"/>
    <n v="1832373.11"/>
    <d v="2017-04-26T17:39:15"/>
    <d v="2018-01-01T00:00:00"/>
    <s v="0752646643"/>
    <s v="0783251566"/>
    <s v=""/>
    <n v="201004"/>
    <s v="00200002281"/>
    <s v="Wholesale Trade"/>
    <s v="Durable Goods"/>
    <s v="Others"/>
    <n v="0"/>
    <n v="0"/>
    <n v="0"/>
    <n v="0"/>
    <n v="0"/>
    <n v="0"/>
  </r>
  <r>
    <s v="SARAH NABUKENYA"/>
    <x v="8"/>
    <n v="0"/>
    <n v="3356597.31"/>
    <x v="18"/>
    <n v="135196.28"/>
    <n v="3862736.1"/>
    <d v="2017-04-26T19:31:58"/>
    <d v="2018-04-24T00:00:00"/>
    <s v="0703476859"/>
    <s v=""/>
    <s v=""/>
    <n v="201008"/>
    <s v="00200002273"/>
    <s v="Retail"/>
    <s v="General Merchandise Stores"/>
    <s v="General Stores"/>
    <n v="0"/>
    <n v="0"/>
    <n v="0"/>
    <n v="0"/>
    <n v="0"/>
    <n v="0"/>
  </r>
  <r>
    <s v="EDWARD NSUBUGA MUSISI"/>
    <x v="1"/>
    <n v="-7"/>
    <n v="16305264.58"/>
    <x v="27"/>
    <n v="358715.82"/>
    <n v="21339621.41"/>
    <d v="2017-04-27T15:18:38"/>
    <d v="2019-05-01T00:00:00"/>
    <s v="0705919022"/>
    <s v="0785296529"/>
    <s v=""/>
    <n v="201009"/>
    <s v="00200001121"/>
    <s v="Real Estate and Rental"/>
    <s v="Rental"/>
    <s v="Others"/>
    <n v="0"/>
    <n v="0"/>
    <n v="0"/>
    <n v="0"/>
    <n v="0"/>
    <n v="0"/>
  </r>
  <r>
    <s v="PROSSY MUKASA"/>
    <x v="7"/>
    <n v="-7"/>
    <n v="2279952.2400000002"/>
    <x v="11"/>
    <n v="75238.42"/>
    <n v="2542088.81"/>
    <d v="2017-04-27T14:00:29"/>
    <d v="2018-03-01T00:00:00"/>
    <s v="0782079082"/>
    <s v=""/>
    <s v=""/>
    <n v="201010"/>
    <s v="00200002268"/>
    <s v="Retail"/>
    <s v="General Merchandise Stores"/>
    <s v="General Stores"/>
    <n v="0"/>
    <n v="0"/>
    <n v="0"/>
    <n v="0"/>
    <n v="0"/>
    <n v="0"/>
  </r>
  <r>
    <s v="JAGGWE RONALD MUYINGO"/>
    <x v="1"/>
    <n v="-7"/>
    <n v="18908178.629999999"/>
    <x v="11"/>
    <n v="415979.93"/>
    <n v="28941374.620000001"/>
    <d v="2017-04-28T09:14:55"/>
    <d v="2020-05-02T00:00:00"/>
    <s v="0772328759"/>
    <s v=""/>
    <s v=""/>
    <n v="201011"/>
    <s v="00200000609"/>
    <s v="Real Estate and Rental"/>
    <s v="Rental"/>
    <s v="General Rental Centers"/>
    <n v="0"/>
    <n v="0"/>
    <n v="0"/>
    <n v="0"/>
    <n v="0"/>
    <n v="0"/>
  </r>
  <r>
    <s v="RICHARD JINGO"/>
    <x v="0"/>
    <n v="-7"/>
    <n v="4485675.05"/>
    <x v="6"/>
    <n v="131579.79999999999"/>
    <n v="5134175.4400000004"/>
    <d v="2017-04-28T13:16:40"/>
    <d v="2018-05-01T00:00:00"/>
    <s v="0704314746"/>
    <s v=""/>
    <s v=""/>
    <n v="201014"/>
    <s v="00200001115"/>
    <s v="Retail"/>
    <s v="Others"/>
    <s v="Others"/>
    <n v="0"/>
    <n v="0"/>
    <n v="0"/>
    <n v="0"/>
    <n v="0"/>
    <n v="0"/>
  </r>
  <r>
    <s v="ESEREDA NYAMUKAMA"/>
    <x v="7"/>
    <n v="-7"/>
    <n v="2840400"/>
    <x v="20"/>
    <n v="93733.2"/>
    <n v="3304153.01"/>
    <d v="2017-04-28T18:46:42"/>
    <d v="2018-05-01T00:00:00"/>
    <s v="0702900240"/>
    <s v=""/>
    <s v="0782238854"/>
    <n v="201017"/>
    <s v="00200002174"/>
    <s v="Restaurants and Hotels"/>
    <s v="Hotel"/>
    <s v="Others"/>
    <n v="0"/>
    <n v="0"/>
    <n v="0"/>
    <n v="0"/>
    <n v="0"/>
    <n v="0"/>
  </r>
  <r>
    <s v="BONIFACE OKANGA"/>
    <x v="1"/>
    <n v="22"/>
    <n v="46518082.789999999"/>
    <x v="2"/>
    <n v="2333528.85"/>
    <n v="61704549.630000003"/>
    <d v="2017-05-02T13:28:27"/>
    <d v="2019-05-02T00:00:00"/>
    <s v="0789572744"/>
    <s v="0789570744"/>
    <s v=""/>
    <n v="201020"/>
    <s v="00200001034"/>
    <s v="Real Estate and Rental"/>
    <s v="Rental"/>
    <s v="Others"/>
    <n v="46518082.789999999"/>
    <n v="0"/>
    <n v="0"/>
    <n v="1"/>
    <n v="0"/>
    <n v="0"/>
  </r>
  <r>
    <s v="DAVID LUBWAMA"/>
    <x v="0"/>
    <n v="23"/>
    <n v="465155.45"/>
    <x v="27"/>
    <n v="2205.0500000000002"/>
    <n v="467360.5"/>
    <d v="2017-04-29T13:20:07"/>
    <d v="2017-11-01T00:00:00"/>
    <s v="0756619362"/>
    <s v=""/>
    <s v="0774619362"/>
    <n v="201021"/>
    <s v="00200002304"/>
    <s v="Real Estate and Rental"/>
    <s v="Rental"/>
    <s v="Others"/>
    <n v="465155.45"/>
    <n v="0"/>
    <n v="0"/>
    <n v="1"/>
    <n v="0"/>
    <n v="0"/>
  </r>
  <r>
    <s v="ALOZIO KASOZI"/>
    <x v="3"/>
    <n v="-7"/>
    <n v="11199865.57"/>
    <x v="16"/>
    <n v="328529.39"/>
    <n v="12819045.98"/>
    <d v="2017-04-29T15:29:49"/>
    <d v="2018-05-01T00:00:00"/>
    <s v="0772574219"/>
    <s v=""/>
    <s v=""/>
    <n v="201023"/>
    <s v="00200002228"/>
    <s v="Retail"/>
    <s v="Others"/>
    <s v="Others"/>
    <n v="0"/>
    <n v="0"/>
    <n v="0"/>
    <n v="0"/>
    <n v="0"/>
    <n v="0"/>
  </r>
  <r>
    <s v="SIRAJE KAKANDE"/>
    <x v="1"/>
    <n v="23"/>
    <n v="9737928.7699999996"/>
    <x v="12"/>
    <n v="215192.23"/>
    <n v="10793028.08"/>
    <d v="2017-04-29T17:59:11"/>
    <d v="2018-05-01T00:00:00"/>
    <s v="0772302826"/>
    <s v=""/>
    <s v="0702302826"/>
    <n v="201025"/>
    <s v="00200002292"/>
    <s v="Real Estate and Rental"/>
    <s v="Rental"/>
    <s v="Others"/>
    <n v="9737928.7699999996"/>
    <n v="0"/>
    <n v="0"/>
    <n v="1"/>
    <n v="0"/>
    <n v="0"/>
  </r>
  <r>
    <s v="SARAH WABLEMBO MUKISA"/>
    <x v="8"/>
    <n v="-8"/>
    <n v="5048358.24"/>
    <x v="20"/>
    <n v="147243.78"/>
    <n v="5809596.3799999999"/>
    <d v="2017-05-02T17:10:51"/>
    <d v="2018-05-02T00:00:00"/>
    <s v="0776383630"/>
    <s v=""/>
    <s v=""/>
    <n v="201026"/>
    <s v="00200002310"/>
    <s v="Retail"/>
    <s v="General Merchandise Stores"/>
    <s v="General Stores"/>
    <n v="0"/>
    <n v="0"/>
    <n v="0"/>
    <n v="0"/>
    <n v="0"/>
    <n v="0"/>
  </r>
  <r>
    <s v="SWAIB KYANDA WALUGEMBE"/>
    <x v="0"/>
    <n v="21"/>
    <n v="2386642.44"/>
    <x v="12"/>
    <n v="68008.09"/>
    <n v="2647282.5299999998"/>
    <d v="2017-05-03T11:56:32"/>
    <d v="2018-03-03T00:00:00"/>
    <s v="0772564979"/>
    <s v=""/>
    <s v="0704564979"/>
    <n v="201027"/>
    <s v="00200002285"/>
    <s v="Retail"/>
    <s v="Miscellaneous Store Retailers"/>
    <s v="Others"/>
    <n v="2386642.44"/>
    <n v="0"/>
    <n v="0"/>
    <n v="1"/>
    <n v="0"/>
    <n v="0"/>
  </r>
  <r>
    <s v="JOSEPH KIVUMBI"/>
    <x v="0"/>
    <n v="16"/>
    <n v="5169840.42"/>
    <x v="10"/>
    <n v="334458.78000000003"/>
    <n v="6141306.5700000003"/>
    <d v="2017-05-08T15:56:39"/>
    <d v="2018-05-08T00:00:00"/>
    <s v="0701586462"/>
    <s v=""/>
    <s v="0772586462"/>
    <n v="201029"/>
    <s v="00200002322"/>
    <s v="Retail"/>
    <s v="Others"/>
    <s v="Others"/>
    <n v="5169840.42"/>
    <n v="0"/>
    <n v="0"/>
    <n v="1"/>
    <n v="0"/>
    <n v="0"/>
  </r>
  <r>
    <s v="JOSEPH BUKENYA"/>
    <x v="0"/>
    <n v="-14"/>
    <n v="2828221.1"/>
    <x v="19"/>
    <n v="63634.97"/>
    <n v="3289985.68"/>
    <d v="2017-05-08T16:25:46"/>
    <d v="2018-05-08T00:00:00"/>
    <s v="0754633549"/>
    <s v=""/>
    <s v=""/>
    <n v="201031"/>
    <s v="00200002328"/>
    <s v="Retail"/>
    <s v="Others"/>
    <s v="Others"/>
    <n v="0"/>
    <n v="0"/>
    <n v="0"/>
    <n v="0"/>
    <n v="0"/>
    <n v="0"/>
  </r>
  <r>
    <s v="BABRA NAMALE MERCY"/>
    <x v="7"/>
    <n v="16"/>
    <n v="371059.08"/>
    <x v="25"/>
    <n v="16697.66"/>
    <n v="387756.74"/>
    <d v="2017-05-08T12:56:55"/>
    <d v="2017-11-08T00:00:00"/>
    <s v="0704090011"/>
    <s v=""/>
    <s v=""/>
    <n v="201032"/>
    <s v="00200002287"/>
    <s v="Retail"/>
    <s v="General Merchandise Stores"/>
    <s v="General Stores"/>
    <n v="371059.08"/>
    <n v="0"/>
    <n v="0"/>
    <n v="1"/>
    <n v="0"/>
    <n v="0"/>
  </r>
  <r>
    <s v="MARGARET NABUKALU"/>
    <x v="7"/>
    <n v="16"/>
    <n v="577999.81000000006"/>
    <x v="16"/>
    <n v="12776.15"/>
    <n v="616609.41"/>
    <d v="2017-05-08T17:14:24"/>
    <d v="2018-01-08T00:00:00"/>
    <s v="0776406521"/>
    <s v=""/>
    <s v="0756406521"/>
    <n v="201033"/>
    <s v="00200002321"/>
    <s v="Retail"/>
    <s v="General Merchandise Stores"/>
    <s v="General Stores"/>
    <n v="577999.81000000006"/>
    <n v="0"/>
    <n v="0"/>
    <n v="1"/>
    <n v="0"/>
    <n v="0"/>
  </r>
  <r>
    <s v="JULIUS KIIZA"/>
    <x v="0"/>
    <n v="15"/>
    <n v="6462300.5099999998"/>
    <x v="27"/>
    <n v="409588.8"/>
    <n v="7676633.1799999997"/>
    <d v="2017-05-09T12:37:32"/>
    <d v="2018-05-09T00:00:00"/>
    <s v="0772458656"/>
    <s v=""/>
    <s v="0701243863"/>
    <n v="201034"/>
    <s v="00200002332"/>
    <s v="Real Estate and Rental"/>
    <s v="Rental"/>
    <s v="Others"/>
    <n v="6462300.5099999998"/>
    <n v="0"/>
    <n v="0"/>
    <n v="1"/>
    <n v="0"/>
    <n v="0"/>
  </r>
  <r>
    <s v="ZAMULAH NAKUYA"/>
    <x v="6"/>
    <n v="-27"/>
    <n v="30210790.350000001"/>
    <x v="17"/>
    <n v="36924.300000000003"/>
    <n v="42894142.229999997"/>
    <d v="2017-05-10T11:44:40"/>
    <d v="2021-03-21T00:00:00"/>
    <s v="0701450050"/>
    <s v=""/>
    <s v=""/>
    <n v="201037"/>
    <s v="00200000302"/>
    <s v="Finance and Insurance"/>
    <s v="Finance"/>
    <s v="Others"/>
    <n v="0"/>
    <n v="0"/>
    <n v="0"/>
    <n v="0"/>
    <n v="0"/>
    <n v="0"/>
  </r>
  <r>
    <s v="BRENDA NAKIMBUGWE"/>
    <x v="1"/>
    <n v="14"/>
    <n v="7195896.4100000001"/>
    <x v="1"/>
    <n v="317919.03000000003"/>
    <n v="8562957.3900000006"/>
    <d v="2017-05-10T18:37:10"/>
    <d v="2018-08-10T00:00:00"/>
    <s v="0772322624"/>
    <s v=""/>
    <s v="0706416771"/>
    <n v="201039"/>
    <s v="00200001485"/>
    <s v="Real Estate and Rental"/>
    <s v="Rental"/>
    <s v="General Rental Centers"/>
    <n v="7195896.4100000001"/>
    <n v="0"/>
    <n v="0"/>
    <n v="1"/>
    <n v="0"/>
    <n v="0"/>
  </r>
  <r>
    <s v="NOBERT KOYESIGA"/>
    <x v="3"/>
    <n v="-17"/>
    <n v="11171221.449999999"/>
    <x v="1"/>
    <n v="690365.11"/>
    <n v="12786260.74"/>
    <d v="2017-05-11T17:27:47"/>
    <d v="2018-05-11T00:00:00"/>
    <s v="0702614209"/>
    <s v=""/>
    <s v="0717812388"/>
    <n v="201041"/>
    <s v="00200002333"/>
    <s v="Retail"/>
    <s v="Others"/>
    <s v="Others"/>
    <n v="0"/>
    <n v="0"/>
    <n v="0"/>
    <n v="0"/>
    <n v="0"/>
    <n v="0"/>
  </r>
  <r>
    <s v="SUZAN GONZA"/>
    <x v="7"/>
    <n v="-18"/>
    <n v="2792805.38"/>
    <x v="25"/>
    <n v="40961.15"/>
    <n v="3196565.22"/>
    <d v="2017-05-12T17:49:09"/>
    <d v="2018-05-12T00:00:00"/>
    <s v="0750459253"/>
    <s v=""/>
    <s v=""/>
    <n v="201044"/>
    <s v="00200001667"/>
    <s v="Retail"/>
    <s v="Others"/>
    <s v="Others"/>
    <n v="0"/>
    <n v="0"/>
    <n v="0"/>
    <n v="0"/>
    <n v="0"/>
    <n v="0"/>
  </r>
  <r>
    <s v="BETTY NAKYAGABA"/>
    <x v="7"/>
    <n v="-19"/>
    <n v="1360161.78"/>
    <x v="10"/>
    <n v="20402.43"/>
    <n v="1516545.83"/>
    <d v="2017-05-13T11:43:20"/>
    <d v="2018-03-13T00:00:00"/>
    <s v="0751175603"/>
    <s v=""/>
    <s v=""/>
    <n v="201045"/>
    <s v="00200002334"/>
    <s v="Retail"/>
    <s v="Others"/>
    <s v="Others"/>
    <n v="0"/>
    <n v="0"/>
    <n v="0"/>
    <n v="0"/>
    <n v="0"/>
    <n v="0"/>
  </r>
  <r>
    <s v="PEACE BUHAMIZO KAMUGISHA"/>
    <x v="0"/>
    <n v="-21"/>
    <n v="3393865.31"/>
    <x v="19"/>
    <n v="40726.379999999997"/>
    <n v="3947982.81"/>
    <d v="2017-05-15T13:26:58"/>
    <d v="2018-05-15T00:00:00"/>
    <s v="0704543803"/>
    <s v=""/>
    <s v="0779557798"/>
    <n v="201046"/>
    <s v="00200002339"/>
    <s v="Retail"/>
    <s v="Others"/>
    <s v="Others"/>
    <n v="0"/>
    <n v="0"/>
    <n v="0"/>
    <n v="0"/>
    <n v="0"/>
    <n v="0"/>
  </r>
  <r>
    <s v="JEAN KASOZI"/>
    <x v="8"/>
    <n v="-22"/>
    <n v="2696923.22"/>
    <x v="29"/>
    <n v="26220.09"/>
    <n v="2983584.07"/>
    <d v="2017-05-16T11:33:08"/>
    <d v="2018-03-16T00:00:00"/>
    <s v="0752961670"/>
    <s v=""/>
    <s v="0751990631"/>
    <n v="201047"/>
    <s v="00200002343"/>
    <s v="Retail"/>
    <s v="Others"/>
    <s v="Others"/>
    <n v="0"/>
    <n v="0"/>
    <n v="0"/>
    <n v="0"/>
    <n v="0"/>
    <n v="0"/>
  </r>
  <r>
    <s v="SULAIMAN NTALE"/>
    <x v="3"/>
    <n v="-23"/>
    <n v="13785492.76"/>
    <x v="22"/>
    <n v="96498.45"/>
    <n v="15522592.390000001"/>
    <d v="2017-05-17T09:50:09"/>
    <d v="2018-05-17T00:00:00"/>
    <s v="0782246233"/>
    <s v="0700246233"/>
    <s v=""/>
    <n v="201049"/>
    <s v="00200000821"/>
    <s v="Wholesale Trade"/>
    <s v="Others"/>
    <s v="Others"/>
    <n v="0"/>
    <n v="0"/>
    <n v="0"/>
    <n v="0"/>
    <n v="0"/>
    <n v="0"/>
  </r>
  <r>
    <s v="BBALE UMARU SSEREMBA"/>
    <x v="0"/>
    <n v="37"/>
    <n v="2175614.12"/>
    <x v="20"/>
    <n v="172124.02"/>
    <n v="2425754.4700000002"/>
    <d v="2017-05-17T17:09:30"/>
    <d v="2018-01-17T00:00:00"/>
    <s v="0772422417"/>
    <s v=""/>
    <s v="0752077400"/>
    <n v="201052"/>
    <s v="00200002347"/>
    <s v="Construction"/>
    <s v="Others"/>
    <s v="Others"/>
    <n v="2175614.12"/>
    <n v="2175614.12"/>
    <n v="0"/>
    <n v="1"/>
    <n v="1"/>
    <n v="0"/>
  </r>
  <r>
    <s v="MALUSI KOBUSINGYE"/>
    <x v="7"/>
    <n v="-23"/>
    <n v="1135658.06"/>
    <x v="20"/>
    <n v="10220.92"/>
    <n v="1212877.25"/>
    <d v="2017-05-17T17:24:15"/>
    <d v="2018-01-17T00:00:00"/>
    <s v="0703463338"/>
    <s v=""/>
    <s v="0782463338"/>
    <n v="201053"/>
    <s v="00200002357"/>
    <s v="Real Estate and Rental"/>
    <s v="Others"/>
    <s v="Others"/>
    <n v="0"/>
    <n v="0"/>
    <n v="0"/>
    <n v="0"/>
    <n v="0"/>
    <n v="0"/>
  </r>
  <r>
    <s v="STEPHEN BYAKATONDA"/>
    <x v="0"/>
    <n v="-24"/>
    <n v="3351366.41"/>
    <x v="22"/>
    <n v="22342.44"/>
    <n v="3835878.18"/>
    <d v="2017-05-18T13:27:44"/>
    <d v="2018-05-18T00:00:00"/>
    <s v="0752449392"/>
    <s v=""/>
    <s v=""/>
    <n v="201055"/>
    <s v="00200002075"/>
    <s v="Retail"/>
    <s v="Others"/>
    <s v="Others"/>
    <n v="0"/>
    <n v="0"/>
    <n v="0"/>
    <n v="0"/>
    <n v="0"/>
    <n v="0"/>
  </r>
  <r>
    <s v="SILVESTER SSERUNJOGI"/>
    <x v="0"/>
    <n v="-24"/>
    <n v="1360161.78"/>
    <x v="25"/>
    <n v="10201.209999999999"/>
    <n v="1516545.83"/>
    <d v="2017-05-18T14:44:24"/>
    <d v="2018-03-18T00:00:00"/>
    <s v="0782392202"/>
    <s v=""/>
    <s v="0700308490"/>
    <n v="201056"/>
    <s v="00200002354"/>
    <s v="Real Estate and Rental"/>
    <s v="Others"/>
    <s v="Others"/>
    <n v="0"/>
    <n v="0"/>
    <n v="0"/>
    <n v="0"/>
    <n v="0"/>
    <n v="0"/>
  </r>
  <r>
    <s v="WILSON MUBIRU NDIWALANA"/>
    <x v="2"/>
    <n v="-26"/>
    <n v="16903651.859999999"/>
    <x v="16"/>
    <n v="50710.96"/>
    <n v="18722231.300000001"/>
    <d v="2017-05-18T11:31:18"/>
    <d v="2018-05-20T00:00:00"/>
    <s v="0772422322"/>
    <s v=""/>
    <s v=""/>
    <n v="201058"/>
    <s v="00200000640"/>
    <s v="Retail"/>
    <s v="Others"/>
    <s v="Others"/>
    <n v="0"/>
    <n v="0"/>
    <n v="0"/>
    <n v="0"/>
    <n v="0"/>
    <n v="0"/>
  </r>
  <r>
    <s v="ROBERT MPONYE"/>
    <x v="0"/>
    <n v="6"/>
    <n v="1041923.85"/>
    <x v="13"/>
    <n v="52209.97"/>
    <n v="1137072.4099999999"/>
    <d v="2017-05-18T14:13:02"/>
    <d v="2018-01-18T00:00:00"/>
    <s v="0754031629"/>
    <s v=""/>
    <s v=""/>
    <n v="201060"/>
    <s v="00200002361"/>
    <s v="Retail"/>
    <s v="Others"/>
    <s v="Others"/>
    <n v="1041923.85"/>
    <n v="0"/>
    <n v="0"/>
    <n v="1"/>
    <n v="0"/>
    <n v="0"/>
  </r>
  <r>
    <s v="CISSY NAMBATYA KIVUMBI"/>
    <x v="7"/>
    <n v="5"/>
    <n v="1918595.89"/>
    <x v="26"/>
    <n v="85680.82"/>
    <n v="2237595.63"/>
    <d v="2017-05-19T13:56:40"/>
    <d v="2018-05-19T00:00:00"/>
    <s v="070077107"/>
    <s v=""/>
    <s v=""/>
    <n v="201062"/>
    <s v="00200001437"/>
    <s v="Real Estate and Rental"/>
    <s v="Rental"/>
    <s v="Others"/>
    <n v="1918595.89"/>
    <n v="0"/>
    <n v="0"/>
    <n v="1"/>
    <n v="0"/>
    <n v="0"/>
  </r>
  <r>
    <s v="BARBRA NALWADDA"/>
    <x v="0"/>
    <n v="-25"/>
    <n v="2839145.11"/>
    <x v="27"/>
    <n v="71097.19"/>
    <n v="3032193.09"/>
    <d v="2017-05-19T12:17:49"/>
    <d v="2018-01-19T00:00:00"/>
    <s v="0772866403"/>
    <s v=""/>
    <s v="0701254844"/>
    <n v="201064"/>
    <s v="00200002047"/>
    <s v="Retail"/>
    <s v="General Merchandise Stores"/>
    <s v="General Stores"/>
    <n v="0"/>
    <n v="0"/>
    <n v="0"/>
    <n v="0"/>
    <n v="0"/>
    <n v="0"/>
  </r>
  <r>
    <s v="UNICE ARINAITWE"/>
    <x v="6"/>
    <n v="3"/>
    <n v="36560150.299999997"/>
    <x v="17"/>
    <n v="714451.58"/>
    <n v="58346376.090000004"/>
    <d v="2017-05-19T16:45:06"/>
    <d v="2022-05-21T00:00:00"/>
    <s v="0774906709"/>
    <s v=""/>
    <s v=""/>
    <n v="201065"/>
    <s v="00200000023"/>
    <s v="Finance and Insurance"/>
    <s v="Finance"/>
    <s v="Microfinance Institutions"/>
    <n v="36560150.299999997"/>
    <n v="0"/>
    <n v="0"/>
    <n v="1"/>
    <n v="0"/>
    <n v="0"/>
  </r>
  <r>
    <s v="DENIS SSEBUNYA"/>
    <x v="0"/>
    <n v="-25"/>
    <n v="851743.54"/>
    <x v="20"/>
    <n v="5110.46"/>
    <n v="909657.94"/>
    <d v="2017-05-19T16:59:49"/>
    <d v="2018-01-19T00:00:00"/>
    <s v="0774721637"/>
    <s v=""/>
    <s v="0753021789"/>
    <n v="201066"/>
    <s v="00200002353"/>
    <s v="Retail"/>
    <s v="General Merchandise Stores"/>
    <s v="General Stores"/>
    <n v="0"/>
    <n v="0"/>
    <n v="0"/>
    <n v="0"/>
    <n v="0"/>
    <n v="0"/>
  </r>
  <r>
    <s v="JAMES KASOZI SSENYAMA"/>
    <x v="3"/>
    <n v="-26"/>
    <n v="11028394.18"/>
    <x v="20"/>
    <n v="38599.379999999997"/>
    <n v="12418073.869999999"/>
    <d v="2017-05-20T14:41:28"/>
    <d v="2018-05-20T00:00:00"/>
    <s v="0772422097"/>
    <s v=""/>
    <s v=""/>
    <n v="201067"/>
    <s v="00200000632"/>
    <s v="Wholesale Trade"/>
    <s v="Nondurable Goods"/>
    <s v="Others"/>
    <n v="0"/>
    <n v="0"/>
    <n v="0"/>
    <n v="0"/>
    <n v="0"/>
    <n v="0"/>
  </r>
  <r>
    <s v="ABUDALLAZIZ SSEMPIGA KIBERU"/>
    <x v="0"/>
    <n v="0"/>
    <n v="3837191.78"/>
    <x v="16"/>
    <n v="148371.42000000001"/>
    <n v="4475191.22"/>
    <d v="2017-05-24T11:22:08"/>
    <d v="2018-05-24T00:00:00"/>
    <s v="0702682222"/>
    <s v=""/>
    <s v="0772427658"/>
    <n v="201069"/>
    <s v="00200001535"/>
    <s v="Retail"/>
    <s v="Others"/>
    <s v="Others"/>
    <n v="0"/>
    <n v="0"/>
    <n v="0"/>
    <n v="0"/>
    <n v="0"/>
    <n v="0"/>
  </r>
  <r>
    <s v="PATIENCE KATUSHABE"/>
    <x v="7"/>
    <n v="2"/>
    <n v="2802990.9"/>
    <x v="13"/>
    <n v="3723.74"/>
    <n v="3206750.74"/>
    <d v="2017-05-22T16:06:44"/>
    <d v="2018-05-22T00:00:00"/>
    <s v="0776255335"/>
    <s v=""/>
    <s v=""/>
    <n v="201070"/>
    <s v="00200001628"/>
    <s v="Real Estate and Rental"/>
    <s v="Rental"/>
    <s v="Others"/>
    <n v="2802990.9"/>
    <n v="0"/>
    <n v="0"/>
    <n v="1"/>
    <n v="0"/>
    <n v="0"/>
  </r>
  <r>
    <s v="SARAH NABULYA"/>
    <x v="8"/>
    <n v="-28"/>
    <n v="3045935.73"/>
    <x v="25"/>
    <n v="3722.81"/>
    <n v="3448551.7"/>
    <d v="2017-05-22T16:07:13"/>
    <d v="2018-05-22T00:00:00"/>
    <s v="0775111235"/>
    <s v=""/>
    <s v=""/>
    <n v="201071"/>
    <s v="00200001626"/>
    <s v="Retail"/>
    <s v="Others"/>
    <s v="Others"/>
    <n v="0"/>
    <n v="0"/>
    <n v="0"/>
    <n v="0"/>
    <n v="0"/>
    <n v="0"/>
  </r>
  <r>
    <s v="HERBERT NDAGGA"/>
    <x v="0"/>
    <n v="-28"/>
    <n v="2792805.38"/>
    <x v="6"/>
    <n v="3723.74"/>
    <n v="3196565.22"/>
    <d v="2017-05-22T17:25:40"/>
    <d v="2018-05-22T00:00:00"/>
    <s v="0703559271"/>
    <s v=""/>
    <s v=""/>
    <n v="201072"/>
    <s v="00200001181"/>
    <s v="Retail"/>
    <s v="General Merchandise Stores"/>
    <s v="General Stores"/>
    <n v="0"/>
    <n v="0"/>
    <n v="0"/>
    <n v="0"/>
    <n v="0"/>
    <n v="0"/>
  </r>
  <r>
    <s v="DAVIS MUTENGA"/>
    <x v="0"/>
    <n v="-28"/>
    <n v="2828221.1"/>
    <x v="11"/>
    <n v="146047.62"/>
    <n v="3289985.68"/>
    <d v="2017-05-22T17:12:23"/>
    <d v="2018-05-22T00:00:00"/>
    <s v="0772407090"/>
    <s v=""/>
    <s v="0752383744"/>
    <n v="201073"/>
    <s v="00200002352"/>
    <s v="Retail"/>
    <s v="General Merchandise Stores"/>
    <s v="General Stores"/>
    <n v="0"/>
    <n v="0"/>
    <n v="0"/>
    <n v="0"/>
    <n v="0"/>
    <n v="0"/>
  </r>
  <r>
    <s v="EDWARD MBAZIIRA"/>
    <x v="1"/>
    <n v="1"/>
    <n v="16372341.48"/>
    <x v="2"/>
    <n v="567419"/>
    <n v="22033691.949999999"/>
    <d v="2017-05-23T15:53:44"/>
    <d v="2019-05-23T00:00:00"/>
    <s v="0702401445"/>
    <s v=""/>
    <s v=""/>
    <n v="201076"/>
    <s v="00200000919"/>
    <s v="Real Estate and Rental"/>
    <s v="Rental"/>
    <s v="Video Tape &amp; Disc Rental"/>
    <n v="16372341.48"/>
    <n v="0"/>
    <n v="0"/>
    <n v="1"/>
    <n v="0"/>
    <n v="0"/>
  </r>
  <r>
    <s v="ASAPH OLWENY"/>
    <x v="2"/>
    <n v="-29"/>
    <n v="21768893.989999998"/>
    <x v="9"/>
    <n v="751088.66"/>
    <n v="24110900.510000002"/>
    <d v="2017-05-23T14:16:08"/>
    <d v="2018-05-23T00:00:00"/>
    <s v="0752628685"/>
    <s v="0783437278"/>
    <s v=""/>
    <n v="201077"/>
    <s v="00200000848"/>
    <s v="Wholesale Trade"/>
    <s v="Nondurable Goods"/>
    <s v="Drugs &amp; Druggists' Sundries"/>
    <n v="0"/>
    <n v="0"/>
    <n v="0"/>
    <n v="0"/>
    <n v="0"/>
    <n v="0"/>
  </r>
  <r>
    <s v="EVELYN HARRIET NASSUNA"/>
    <x v="1"/>
    <n v="-7"/>
    <n v="21438371.149999999"/>
    <x v="16"/>
    <n v="524049.07"/>
    <n v="29282936.98"/>
    <d v="2017-05-24T11:58:18"/>
    <d v="2019-06-01T00:00:00"/>
    <s v="0772622671"/>
    <s v=""/>
    <s v=""/>
    <n v="201078"/>
    <s v="00200002051"/>
    <s v="Other Services"/>
    <s v="Others"/>
    <s v="Others"/>
    <n v="0"/>
    <n v="0"/>
    <n v="0"/>
    <n v="0"/>
    <n v="0"/>
    <n v="0"/>
  </r>
  <r>
    <s v="NULU NAMIRIMU BUSUULWA"/>
    <x v="8"/>
    <n v="0"/>
    <n v="3810143.15"/>
    <x v="27"/>
    <n v="135048.41"/>
    <n v="4389065.82"/>
    <d v="2017-05-24T16:49:40"/>
    <d v="2018-05-24T00:00:00"/>
    <s v="0705106727"/>
    <s v=""/>
    <s v=""/>
    <n v="201079"/>
    <s v="00200000791"/>
    <s v="Retail"/>
    <s v="General Merchandise Stores"/>
    <s v="Others"/>
    <n v="0"/>
    <n v="0"/>
    <n v="0"/>
    <n v="0"/>
    <n v="0"/>
    <n v="0"/>
  </r>
  <r>
    <s v="ZIPOLA ABBO"/>
    <x v="8"/>
    <n v="0"/>
    <n v="4434685.3499999996"/>
    <x v="10"/>
    <n v="157184.95999999999"/>
    <n v="5108502.53"/>
    <d v="2017-05-26T11:59:01"/>
    <d v="2018-05-24T00:00:00"/>
    <s v="0784462034"/>
    <s v=""/>
    <s v=""/>
    <n v="201080"/>
    <s v="00200001016"/>
    <s v="Retail"/>
    <s v="Others"/>
    <s v="Others"/>
    <n v="0"/>
    <n v="0"/>
    <n v="0"/>
    <n v="0"/>
    <n v="0"/>
    <n v="0"/>
  </r>
  <r>
    <s v="DENIS AMPEIRE"/>
    <x v="0"/>
    <n v="-7"/>
    <n v="3249702.35"/>
    <x v="36"/>
    <n v="107240.18"/>
    <n v="3860354.83"/>
    <d v="2017-05-27T10:59:13"/>
    <d v="2018-06-01T00:00:00"/>
    <s v="0752229612"/>
    <s v=""/>
    <s v="0773229612"/>
    <n v="201083"/>
    <s v="00200002370"/>
    <s v="Retail"/>
    <s v="Others"/>
    <s v="Others"/>
    <n v="0"/>
    <n v="0"/>
    <n v="0"/>
    <n v="0"/>
    <n v="0"/>
    <n v="0"/>
  </r>
  <r>
    <s v="SOLANTIS SOLAR LIMITED"/>
    <x v="2"/>
    <n v="23"/>
    <n v="34790329.420000002"/>
    <x v="1"/>
    <n v="849471.07"/>
    <n v="39575602.979999997"/>
    <d v="2017-05-29T14:11:00"/>
    <d v="2018-06-01T00:00:00"/>
    <s v="0782409152"/>
    <s v=""/>
    <s v=""/>
    <n v="201084"/>
    <s v="00200002301"/>
    <s v="Wholesale Trade"/>
    <s v="Durable Goods"/>
    <s v="Machinery &amp; Equipment"/>
    <n v="34790329.420000002"/>
    <n v="0"/>
    <n v="0"/>
    <n v="1"/>
    <n v="0"/>
    <n v="0"/>
  </r>
  <r>
    <s v="DEBORAH GRACE BAKIIKA KAGGWA"/>
    <x v="8"/>
    <n v="23"/>
    <n v="6370204.4500000002"/>
    <x v="27"/>
    <n v="170952.17"/>
    <n v="7336213.1500000004"/>
    <d v="2017-05-30T10:04:39"/>
    <d v="2018-06-01T00:00:00"/>
    <s v="0773212725"/>
    <s v=""/>
    <s v=""/>
    <n v="201085"/>
    <s v="00200001543"/>
    <s v="Retail"/>
    <s v="New-Clothing and  Accessories"/>
    <s v="Clothing Stores"/>
    <n v="6370204.4500000002"/>
    <n v="0"/>
    <n v="0"/>
    <n v="1"/>
    <n v="0"/>
    <n v="0"/>
  </r>
  <r>
    <s v="GEOFREY LWANGA"/>
    <x v="0"/>
    <n v="113"/>
    <n v="2557029.9500000002"/>
    <x v="25"/>
    <n v="203878.2"/>
    <n v="2909427.25"/>
    <d v="2017-05-30T15:24:23"/>
    <d v="2017-12-01T00:00:00"/>
    <s v="0772545033"/>
    <s v=""/>
    <s v="0706145033"/>
    <n v="201087"/>
    <s v="00200002300"/>
    <s v="Retail"/>
    <s v="Others"/>
    <s v="Others"/>
    <n v="2557029.9500000002"/>
    <n v="2557029.9500000002"/>
    <n v="2557029.9500000002"/>
    <n v="1"/>
    <n v="1"/>
    <n v="1"/>
  </r>
  <r>
    <s v="CHARLES OMAALI"/>
    <x v="0"/>
    <n v="23"/>
    <n v="4318653.4000000004"/>
    <x v="13"/>
    <n v="269594.64"/>
    <n v="4758984.09"/>
    <d v="2017-05-30T16:14:38"/>
    <d v="2018-02-01T00:00:00"/>
    <s v="0758860490"/>
    <s v=""/>
    <s v=""/>
    <n v="201088"/>
    <s v="00200000532"/>
    <s v="Health Care"/>
    <s v="Health Care"/>
    <s v=" Medical &amp; Diagnostic Laboratories"/>
    <n v="4318653.4000000004"/>
    <n v="0"/>
    <n v="0"/>
    <n v="1"/>
    <n v="0"/>
    <n v="0"/>
  </r>
  <r>
    <s v="GODFREY MUKASA"/>
    <x v="1"/>
    <n v="-7"/>
    <n v="8146093.7300000004"/>
    <x v="18"/>
    <n v="179214.06"/>
    <n v="9152647.4800000004"/>
    <d v="2017-05-31T11:33:54"/>
    <d v="2018-06-01T00:00:00"/>
    <s v="0782330009"/>
    <s v=""/>
    <s v=""/>
    <n v="201089"/>
    <s v="00200001317"/>
    <s v="Real Estate and Rental"/>
    <s v="Rental"/>
    <s v="General Rental Centers"/>
    <n v="0"/>
    <n v="0"/>
    <n v="0"/>
    <n v="0"/>
    <n v="0"/>
    <n v="0"/>
  </r>
  <r>
    <s v="JULIUS BAGUMA"/>
    <x v="1"/>
    <n v="-7"/>
    <n v="33864178.909999996"/>
    <x v="27"/>
    <n v="745011.94"/>
    <n v="44919605.109999999"/>
    <d v="2017-05-31T13:22:24"/>
    <d v="2019-06-01T00:00:00"/>
    <s v="0782845860"/>
    <s v=""/>
    <s v=""/>
    <n v="201091"/>
    <s v="00200000149"/>
    <s v="Real Estate and Rental"/>
    <s v="Rental"/>
    <s v="General Rental Centers"/>
    <n v="0"/>
    <n v="0"/>
    <n v="0"/>
    <n v="0"/>
    <n v="0"/>
    <n v="0"/>
  </r>
  <r>
    <s v="ISMAIL GALABUZI KIGAMBO"/>
    <x v="0"/>
    <n v="-8"/>
    <n v="2558127.87"/>
    <x v="22"/>
    <n v="71627.58"/>
    <n v="2983460.84"/>
    <d v="2017-06-02T14:59:13"/>
    <d v="2018-06-02T00:00:00"/>
    <s v="0701657928"/>
    <s v=""/>
    <s v=""/>
    <n v="201092"/>
    <s v="00200001112"/>
    <s v="Wholesale Trade"/>
    <s v="Durable Goods"/>
    <s v="Others"/>
    <n v="0"/>
    <n v="0"/>
    <n v="0"/>
    <n v="0"/>
    <n v="0"/>
    <n v="0"/>
  </r>
  <r>
    <s v="JESCA CAROLINE LUBULWA"/>
    <x v="2"/>
    <n v="-7"/>
    <n v="25219284.5"/>
    <x v="25"/>
    <n v="616471.4"/>
    <n v="28692015.23"/>
    <d v="2017-06-01T14:21:08"/>
    <d v="2018-06-01T00:00:00"/>
    <s v="0773112680"/>
    <s v=""/>
    <s v="0701290810"/>
    <n v="201093"/>
    <s v="00200002398"/>
    <s v="Health Care"/>
    <s v="Health Care"/>
    <s v=" Medical &amp; Diagnostic Laboratories"/>
    <n v="0"/>
    <n v="0"/>
    <n v="0"/>
    <n v="0"/>
    <n v="0"/>
    <n v="0"/>
  </r>
  <r>
    <s v="VINCENT TURYARUGAYO"/>
    <x v="0"/>
    <n v="-7"/>
    <n v="9605278.1799999997"/>
    <x v="19"/>
    <n v="281754.83"/>
    <n v="11202321.699999999"/>
    <d v="2017-05-31T18:32:59"/>
    <d v="2018-06-01T00:00:00"/>
    <s v="0751002564"/>
    <s v=""/>
    <s v="0773580064"/>
    <n v="201094"/>
    <s v="00200001649"/>
    <s v="Retail"/>
    <s v="Others"/>
    <s v="Others"/>
    <n v="0"/>
    <n v="0"/>
    <n v="0"/>
    <n v="0"/>
    <n v="0"/>
    <n v="0"/>
  </r>
  <r>
    <s v="KENNETH TURYOMURUWE"/>
    <x v="0"/>
    <n v="-7"/>
    <n v="7674383.5999999996"/>
    <x v="23"/>
    <n v="225115.25"/>
    <n v="8950382.5099999998"/>
    <d v="2017-06-01T09:52:52"/>
    <d v="2018-06-01T00:00:00"/>
    <s v="0774704333"/>
    <s v="0752532728"/>
    <s v=""/>
    <n v="201095"/>
    <s v="00200000826"/>
    <s v="Wholesale Trade"/>
    <s v="Nondurable Goods"/>
    <s v="Others"/>
    <n v="0"/>
    <n v="0"/>
    <n v="0"/>
    <n v="0"/>
    <n v="0"/>
    <n v="0"/>
  </r>
  <r>
    <s v="ISAAC JULIUS HABYARIMANA"/>
    <x v="6"/>
    <n v="-27"/>
    <n v="3408168.64"/>
    <x v="17"/>
    <n v="4165.54"/>
    <n v="3970641.33"/>
    <d v="2017-06-06T14:48:29"/>
    <d v="2019-03-21T00:00:00"/>
    <s v="0772514709"/>
    <s v=""/>
    <s v=""/>
    <n v="201096"/>
    <s v="00200000008"/>
    <s v="Finance and Insurance"/>
    <s v="Finance"/>
    <s v="Microfinance Institutions"/>
    <n v="0"/>
    <n v="0"/>
    <n v="0"/>
    <n v="0"/>
    <n v="0"/>
    <n v="0"/>
  </r>
  <r>
    <s v="BARNABAS SSEMPA"/>
    <x v="1"/>
    <n v="-14"/>
    <n v="19331343.32"/>
    <x v="2"/>
    <n v="289970.15000000002"/>
    <n v="23630326.129999999"/>
    <d v="2017-06-08T18:10:07"/>
    <d v="2018-12-08T00:00:00"/>
    <s v="0704790731"/>
    <s v=""/>
    <s v=""/>
    <n v="201100"/>
    <s v="00200001637"/>
    <s v="Real Estate and Rental"/>
    <s v="Rental"/>
    <s v="General Rental Centers"/>
    <n v="0"/>
    <n v="0"/>
    <n v="0"/>
    <n v="0"/>
    <n v="0"/>
    <n v="0"/>
  </r>
  <r>
    <s v="BAKER KAVUMA"/>
    <x v="0"/>
    <n v="-18"/>
    <n v="1387000.25"/>
    <x v="6"/>
    <n v="22885.5"/>
    <n v="1579735.32"/>
    <d v="2017-06-12T11:39:05"/>
    <d v="2018-04-12T00:00:00"/>
    <s v="0785731479"/>
    <s v=""/>
    <s v="0755708633"/>
    <n v="201101"/>
    <s v="00200002385"/>
    <s v="Retail"/>
    <s v="Others"/>
    <s v="Others"/>
    <n v="0"/>
    <n v="0"/>
    <n v="0"/>
    <n v="0"/>
    <n v="0"/>
    <n v="0"/>
  </r>
  <r>
    <s v="MUSA MUTABAALI MUKOSE"/>
    <x v="0"/>
    <n v="-18"/>
    <n v="9693450.7899999991"/>
    <x v="18"/>
    <n v="159941.94"/>
    <n v="11514949.810000001"/>
    <d v="2017-06-12T17:20:09"/>
    <d v="2018-06-12T00:00:00"/>
    <s v="0772664997"/>
    <s v=""/>
    <s v="0701664997"/>
    <n v="201104"/>
    <s v="00200002314"/>
    <s v="Transportation and Warehousing"/>
    <s v=" Passenger Transportation"/>
    <s v="Taxi service"/>
    <n v="0"/>
    <n v="0"/>
    <n v="0"/>
    <n v="0"/>
    <n v="0"/>
    <n v="0"/>
  </r>
  <r>
    <s v="JULIET NAKIBUUKA"/>
    <x v="7"/>
    <n v="-19"/>
    <n v="2558127.87"/>
    <x v="19"/>
    <n v="34108.370000000003"/>
    <n v="2983460.84"/>
    <d v="2017-06-13T11:15:01"/>
    <d v="2018-06-13T00:00:00"/>
    <s v="0759913717"/>
    <s v=""/>
    <s v="0788045052"/>
    <n v="201106"/>
    <s v="00200001627"/>
    <s v="Real Estate and Rental"/>
    <s v="Rental"/>
    <s v="General Rental Centers"/>
    <n v="0"/>
    <n v="0"/>
    <n v="0"/>
    <n v="0"/>
    <n v="0"/>
    <n v="0"/>
  </r>
  <r>
    <s v="GEOFFREY KIRONDE"/>
    <x v="1"/>
    <n v="-20"/>
    <n v="20029030.98"/>
    <x v="1"/>
    <n v="180261.28"/>
    <n v="22503507.129999999"/>
    <d v="2017-06-14T13:32:11"/>
    <d v="2018-06-14T00:00:00"/>
    <s v="0703805015"/>
    <s v=""/>
    <s v=""/>
    <n v="201107"/>
    <s v="00200000899"/>
    <s v="Educational Services"/>
    <s v="Educational Services"/>
    <s v="Schools"/>
    <n v="0"/>
    <n v="0"/>
    <n v="0"/>
    <n v="0"/>
    <n v="0"/>
    <n v="0"/>
  </r>
  <r>
    <s v="HASIFA NAMUBIRU"/>
    <x v="7"/>
    <n v="-21"/>
    <n v="3197659.85"/>
    <x v="23"/>
    <n v="34108.370000000003"/>
    <n v="3729326.0800000001"/>
    <d v="2017-06-15T16:13:16"/>
    <d v="2018-06-15T00:00:00"/>
    <s v="0704526920"/>
    <s v=""/>
    <s v="0776526920"/>
    <n v="201108"/>
    <s v="00200001595"/>
    <s v="Retail"/>
    <s v="Others"/>
    <s v="Others"/>
    <n v="0"/>
    <n v="0"/>
    <n v="0"/>
    <n v="0"/>
    <n v="0"/>
    <n v="0"/>
  </r>
  <r>
    <s v="DOROTHY HASHAKA"/>
    <x v="8"/>
    <n v="-21"/>
    <n v="4445166.99"/>
    <x v="20"/>
    <n v="43463.86"/>
    <n v="5120576.78"/>
    <d v="2017-06-15T16:04:42"/>
    <d v="2018-06-15T00:00:00"/>
    <s v="0781567699"/>
    <s v=""/>
    <s v=""/>
    <n v="201109"/>
    <s v="00200000534"/>
    <s v="Real Estate and Rental"/>
    <s v="Rental"/>
    <s v="Others"/>
    <n v="0"/>
    <n v="0"/>
    <n v="0"/>
    <n v="0"/>
    <n v="0"/>
    <n v="0"/>
  </r>
  <r>
    <s v="ABUD KAZIBWE"/>
    <x v="0"/>
    <n v="-21"/>
    <n v="1387000.25"/>
    <x v="22"/>
    <n v="16644"/>
    <n v="1579735.32"/>
    <d v="2017-06-15T16:20:41"/>
    <d v="2018-04-15T00:00:00"/>
    <s v="0785024939"/>
    <s v=""/>
    <s v=""/>
    <n v="201110"/>
    <s v="00200000911"/>
    <s v="Retail"/>
    <s v="Others"/>
    <s v="Others"/>
    <n v="0"/>
    <n v="0"/>
    <n v="0"/>
    <n v="0"/>
    <n v="0"/>
    <n v="0"/>
  </r>
  <r>
    <s v="SPIRE KALIBBALA"/>
    <x v="3"/>
    <n v="-27"/>
    <n v="19719988.949999999"/>
    <x v="36"/>
    <n v="52586.64"/>
    <n v="25672831.699999999"/>
    <d v="2017-06-21T12:13:37"/>
    <d v="2018-12-21T00:00:00"/>
    <s v="0785899545"/>
    <s v=""/>
    <s v="0704181207"/>
    <n v="201111"/>
    <s v="00200002368"/>
    <s v="Real Estate and Rental"/>
    <s v="Others"/>
    <s v="Others"/>
    <n v="0"/>
    <n v="0"/>
    <n v="0"/>
    <n v="0"/>
    <n v="0"/>
    <n v="0"/>
  </r>
  <r>
    <s v="VICENT KAKOOZA"/>
    <x v="1"/>
    <n v="-21"/>
    <n v="25373499.710000001"/>
    <x v="2"/>
    <n v="202988"/>
    <n v="33657027.100000001"/>
    <d v="2017-06-15T18:00:07"/>
    <d v="2019-06-15T00:00:00"/>
    <s v="0782670818"/>
    <s v=""/>
    <s v="0755023708"/>
    <n v="201112"/>
    <s v="00200001682"/>
    <s v="Real Estate and Rental"/>
    <s v="Rental"/>
    <s v="Others"/>
    <n v="0"/>
    <n v="0"/>
    <n v="0"/>
    <n v="0"/>
    <n v="0"/>
    <n v="0"/>
  </r>
  <r>
    <s v="RICHARD KATABAZI"/>
    <x v="1"/>
    <n v="8"/>
    <n v="28746296.120000001"/>
    <x v="2"/>
    <n v="1051836.04"/>
    <n v="35627260.939999998"/>
    <d v="2017-06-16T12:02:34"/>
    <d v="2018-12-16T00:00:00"/>
    <s v="0701779114"/>
    <s v=""/>
    <s v=""/>
    <n v="201113"/>
    <s v="00200001987"/>
    <s v="Real Estate and Rental"/>
    <s v="Rental"/>
    <s v="Others"/>
    <n v="28746296.120000001"/>
    <n v="0"/>
    <n v="0"/>
    <n v="1"/>
    <n v="0"/>
    <n v="0"/>
  </r>
  <r>
    <s v="CHRISTOPHER MUGULA KIGONYA"/>
    <x v="1"/>
    <n v="-22"/>
    <n v="23355586.120000001"/>
    <x v="20"/>
    <n v="181654.56"/>
    <n v="29161524.120000001"/>
    <d v="2017-06-16T13:45:14"/>
    <d v="2018-12-16T00:00:00"/>
    <s v="0772414275"/>
    <s v=""/>
    <s v="0702414275"/>
    <n v="201114"/>
    <s v="00200002413"/>
    <s v="Real Estate and Rental"/>
    <s v="Real Estate"/>
    <s v="Others"/>
    <n v="0"/>
    <n v="0"/>
    <n v="0"/>
    <n v="0"/>
    <n v="0"/>
    <n v="0"/>
  </r>
  <r>
    <s v="SIMON KABUYE"/>
    <x v="0"/>
    <n v="-23"/>
    <n v="1598829.92"/>
    <x v="35"/>
    <n v="12790.64"/>
    <n v="1864663.03"/>
    <d v="2017-06-17T12:32:30"/>
    <d v="2018-06-17T00:00:00"/>
    <s v="0753528509"/>
    <s v=""/>
    <s v=""/>
    <n v="201115"/>
    <s v="00200000984"/>
    <s v="Real Estate and Rental"/>
    <s v="Rental"/>
    <s v="General Rental Centers"/>
    <n v="0"/>
    <n v="0"/>
    <n v="0"/>
    <n v="0"/>
    <n v="0"/>
    <n v="0"/>
  </r>
  <r>
    <s v="DAMALI NALWANGA"/>
    <x v="8"/>
    <n v="-25"/>
    <n v="2939904.34"/>
    <x v="25"/>
    <n v="16332.8"/>
    <n v="3252392.09"/>
    <d v="2017-06-19T15:40:06"/>
    <d v="2018-03-19T00:00:00"/>
    <s v="0779352099"/>
    <s v=""/>
    <s v=""/>
    <n v="201116"/>
    <s v="00200002446"/>
    <s v="Retail"/>
    <s v="General Merchandise Stores"/>
    <s v="Others"/>
    <n v="0"/>
    <n v="0"/>
    <n v="0"/>
    <n v="0"/>
    <n v="0"/>
    <n v="0"/>
  </r>
  <r>
    <s v="MATEEGA MILLY NAKIBERU"/>
    <x v="7"/>
    <n v="5"/>
    <n v="3501447.84"/>
    <x v="31"/>
    <n v="182139.68"/>
    <n v="4108614.18"/>
    <d v="2017-06-19T16:58:42"/>
    <d v="2018-06-19T00:00:00"/>
    <s v="0704238852"/>
    <s v=""/>
    <s v=""/>
    <n v="201117"/>
    <s v="00200002435"/>
    <s v="Retail"/>
    <s v="Others"/>
    <s v="Others"/>
    <n v="3501447.84"/>
    <n v="0"/>
    <n v="0"/>
    <n v="1"/>
    <n v="0"/>
    <n v="0"/>
  </r>
  <r>
    <s v="KENNETH KIBERU"/>
    <x v="0"/>
    <n v="-26"/>
    <n v="2744346.9"/>
    <x v="29"/>
    <n v="10977.39"/>
    <n v="3082273.62"/>
    <d v="2017-06-20T09:10:06"/>
    <d v="2018-04-20T00:00:00"/>
    <s v="0703773699"/>
    <s v=""/>
    <s v=""/>
    <n v="201118"/>
    <s v="00200001692"/>
    <s v="Retail"/>
    <s v="Others"/>
    <s v="Others"/>
    <n v="0"/>
    <n v="0"/>
    <n v="0"/>
    <n v="0"/>
    <n v="0"/>
    <n v="0"/>
  </r>
  <r>
    <s v="JOSEPH MUTEBI"/>
    <x v="0"/>
    <n v="4"/>
    <n v="907674.51"/>
    <x v="37"/>
    <n v="42932.56"/>
    <n v="969391.94"/>
    <d v="2017-06-20T12:50:39"/>
    <d v="2017-12-20T00:00:00"/>
    <s v="0753954112"/>
    <s v=""/>
    <s v="0782090712"/>
    <n v="201119"/>
    <s v="00200002412"/>
    <s v="Retail"/>
    <s v="Others"/>
    <s v="Others"/>
    <n v="907674.51"/>
    <n v="0"/>
    <n v="0"/>
    <n v="1"/>
    <n v="0"/>
    <n v="0"/>
  </r>
  <r>
    <s v="DANIEL KAYANJA"/>
    <x v="0"/>
    <n v="-26"/>
    <n v="1615575.13"/>
    <x v="25"/>
    <n v="7270.09"/>
    <n v="1919158.3"/>
    <d v="2017-06-20T12:27:49"/>
    <d v="2018-06-20T00:00:00"/>
    <s v="0706825559"/>
    <s v=""/>
    <s v=""/>
    <n v="201120"/>
    <s v="00200002403"/>
    <s v="Retail"/>
    <s v="Others"/>
    <s v="Others"/>
    <n v="0"/>
    <n v="0"/>
    <n v="0"/>
    <n v="0"/>
    <n v="0"/>
    <n v="0"/>
  </r>
  <r>
    <s v="GRACE NAMULI"/>
    <x v="8"/>
    <n v="4"/>
    <n v="4280211.46"/>
    <x v="22"/>
    <n v="170911.61"/>
    <n v="5016075.22"/>
    <d v="2017-06-20T16:58:05"/>
    <d v="2018-06-20T00:00:00"/>
    <s v="0775250416"/>
    <s v=""/>
    <s v=""/>
    <n v="201121"/>
    <s v="00200000739"/>
    <s v="Retail"/>
    <s v="General Merchandise Stores"/>
    <s v="General Stores"/>
    <n v="4280211.46"/>
    <n v="0"/>
    <n v="0"/>
    <n v="1"/>
    <n v="0"/>
    <n v="0"/>
  </r>
  <r>
    <s v="HABERT BAKENGA"/>
    <x v="2"/>
    <n v="-26"/>
    <n v="25219284.5"/>
    <x v="20"/>
    <n v="84064.28"/>
    <n v="28692015.23"/>
    <d v="2017-06-20T13:57:20"/>
    <d v="2018-06-20T00:00:00"/>
    <s v="0782776543"/>
    <s v=""/>
    <s v=""/>
    <n v="201123"/>
    <s v="00200002423"/>
    <s v="Wholesale Trade"/>
    <s v="Nondurable Goods"/>
    <s v="Others"/>
    <n v="0"/>
    <n v="0"/>
    <n v="0"/>
    <n v="0"/>
    <n v="0"/>
    <n v="0"/>
  </r>
  <r>
    <s v="ADAM KAYEMBA BBALE"/>
    <x v="6"/>
    <n v="-27"/>
    <n v="9953772.6699999999"/>
    <x v="17"/>
    <n v="12165.72"/>
    <n v="13137375.1"/>
    <d v="2017-06-20T17:15:44"/>
    <d v="2020-06-21T00:00:00"/>
    <s v="0701778777"/>
    <s v=""/>
    <s v=""/>
    <n v="201124"/>
    <s v="00200000047"/>
    <s v="Finance and Insurance"/>
    <s v="Finance"/>
    <s v="Microfinance Institutions"/>
    <n v="0"/>
    <n v="0"/>
    <n v="0"/>
    <n v="0"/>
    <n v="0"/>
    <n v="0"/>
  </r>
  <r>
    <s v="FELIX ISABIRYE MUBAGA"/>
    <x v="1"/>
    <n v="-28"/>
    <n v="9457231.7100000009"/>
    <x v="25"/>
    <n v="10508.04"/>
    <n v="10759505.74"/>
    <d v="2017-06-22T10:47:47"/>
    <d v="2018-06-22T00:00:00"/>
    <s v="0702834095"/>
    <s v=""/>
    <s v="0773259276"/>
    <n v="201125"/>
    <s v="00200000578"/>
    <s v="Real Estate and Rental"/>
    <s v="Others"/>
    <s v="Others"/>
    <n v="0"/>
    <n v="0"/>
    <n v="0"/>
    <n v="0"/>
    <n v="0"/>
    <n v="0"/>
  </r>
  <r>
    <s v="ROBERT JACKSON NKUKE"/>
    <x v="2"/>
    <n v="30"/>
    <n v="31423796.66"/>
    <x v="1"/>
    <n v="1961681.58"/>
    <n v="36889733.850000001"/>
    <d v="2017-06-24T12:01:14"/>
    <d v="2018-06-24T00:00:00"/>
    <s v="0712220390"/>
    <s v=""/>
    <s v=""/>
    <n v="201126"/>
    <s v="00200002425"/>
    <s v="Retail"/>
    <s v="Others"/>
    <s v="Others"/>
    <n v="31423796.66"/>
    <n v="0"/>
    <n v="0"/>
    <n v="1"/>
    <n v="0"/>
    <n v="0"/>
  </r>
  <r>
    <s v="GODFREY SENDI"/>
    <x v="0"/>
    <n v="3"/>
    <n v="1928908.93"/>
    <x v="14"/>
    <n v="5116.26"/>
    <n v="2247908.67"/>
    <d v="2017-06-21T12:19:21"/>
    <d v="2018-06-21T00:00:00"/>
    <s v="0772538205"/>
    <s v="0704556713"/>
    <s v=""/>
    <n v="201127"/>
    <s v="00200001220"/>
    <s v="Retail"/>
    <s v="General Merchandise Stores"/>
    <s v="General Stores"/>
    <n v="1928908.93"/>
    <n v="0"/>
    <n v="0"/>
    <n v="1"/>
    <n v="0"/>
    <n v="0"/>
  </r>
  <r>
    <s v="RUTH NYETURIZE"/>
    <x v="1"/>
    <n v="1"/>
    <n v="29936502.710000001"/>
    <x v="27"/>
    <n v="1030034.46"/>
    <n v="40836849.310000002"/>
    <d v="2017-06-23T13:20:17"/>
    <d v="2019-06-23T00:00:00"/>
    <s v="0775115950"/>
    <s v=""/>
    <s v=""/>
    <n v="201131"/>
    <s v="00200002439"/>
    <s v="Wholesale Trade"/>
    <s v="Nondurable Goods"/>
    <s v="Apparel, Piece Goods, &amp; Notions"/>
    <n v="29936502.710000001"/>
    <n v="0"/>
    <n v="0"/>
    <n v="1"/>
    <n v="0"/>
    <n v="0"/>
  </r>
  <r>
    <s v="PROSSY SSENTAMU"/>
    <x v="7"/>
    <n v="-29"/>
    <n v="1918595.89"/>
    <x v="26"/>
    <n v="86086.63"/>
    <n v="2237595.63"/>
    <d v="2017-06-23T17:09:41"/>
    <d v="2018-06-23T00:00:00"/>
    <s v="0701881674"/>
    <s v=""/>
    <s v=""/>
    <n v="201132"/>
    <s v="00200001795"/>
    <s v="Retail"/>
    <s v="General Merchandise Stores"/>
    <s v="General Stores"/>
    <n v="0"/>
    <n v="0"/>
    <n v="0"/>
    <n v="0"/>
    <n v="0"/>
    <n v="0"/>
  </r>
  <r>
    <s v="VINCENT YIGA LUBEGA"/>
    <x v="3"/>
    <n v="1"/>
    <n v="14226881.300000001"/>
    <x v="23"/>
    <n v="497940.85"/>
    <n v="16545930.09"/>
    <d v="2017-06-23T16:45:54"/>
    <d v="2018-06-23T00:00:00"/>
    <s v="0772441689"/>
    <s v=""/>
    <s v=""/>
    <n v="201134"/>
    <s v="00200000780"/>
    <s v="Real Estate and Rental"/>
    <s v="Rental"/>
    <s v="General Rental Centers"/>
    <n v="14226881.300000001"/>
    <n v="0"/>
    <n v="0"/>
    <n v="1"/>
    <n v="0"/>
    <n v="0"/>
  </r>
  <r>
    <s v="YOWERI BYABASHAIJA"/>
    <x v="2"/>
    <n v="23"/>
    <n v="29531050.489999998"/>
    <x v="27"/>
    <n v="697276.24"/>
    <n v="33973283.049999997"/>
    <d v="2017-06-26T14:57:56"/>
    <d v="2018-07-01T00:00:00"/>
    <s v="0783178668"/>
    <s v="0774097744"/>
    <s v="0702215175"/>
    <n v="201136"/>
    <s v="00200002360"/>
    <s v="Wholesale Trade"/>
    <s v="Others"/>
    <s v="Others"/>
    <n v="29531050.489999998"/>
    <n v="0"/>
    <n v="0"/>
    <n v="1"/>
    <n v="0"/>
    <n v="0"/>
  </r>
  <r>
    <s v="GLADYS NATUKUNDA"/>
    <x v="7"/>
    <n v="-7"/>
    <n v="1462702.26"/>
    <x v="37"/>
    <n v="48269.17"/>
    <n v="1562158.86"/>
    <d v="2017-06-26T17:10:18"/>
    <d v="2018-01-01T00:00:00"/>
    <s v="0757216773"/>
    <s v="0788852807"/>
    <s v=""/>
    <n v="201137"/>
    <s v="00200002455"/>
    <s v="Retail"/>
    <s v="Others"/>
    <s v="Others"/>
    <n v="0"/>
    <n v="0"/>
    <n v="0"/>
    <n v="0"/>
    <n v="0"/>
    <n v="0"/>
  </r>
  <r>
    <s v="MARGARET NANONO"/>
    <x v="7"/>
    <n v="-1"/>
    <n v="1627275.47"/>
    <x v="13"/>
    <n v="68345.570000000007"/>
    <n v="1892961.27"/>
    <d v="2017-06-26T16:45:38"/>
    <d v="2018-04-25T00:00:00"/>
    <s v="0772070491"/>
    <s v="0774582466"/>
    <s v=""/>
    <n v="201138"/>
    <s v="00200002453"/>
    <s v="Retail"/>
    <s v="General Merchandise Stores"/>
    <s v="General Stores"/>
    <n v="0"/>
    <n v="0"/>
    <n v="0"/>
    <n v="0"/>
    <n v="0"/>
    <n v="0"/>
  </r>
  <r>
    <s v="MARGRET KISEMBO"/>
    <x v="7"/>
    <n v="53"/>
    <n v="1551997.65"/>
    <x v="29"/>
    <n v="59877.51"/>
    <n v="1738030.51"/>
    <d v="2017-06-27T16:23:40"/>
    <d v="2018-03-01T00:00:00"/>
    <s v="0757705844"/>
    <s v=""/>
    <s v=""/>
    <n v="201139"/>
    <s v="00200002432"/>
    <s v="Retail"/>
    <s v="General Merchandise Stores"/>
    <s v="General Stores"/>
    <n v="1551997.65"/>
    <n v="1551997.65"/>
    <n v="0"/>
    <n v="1"/>
    <n v="1"/>
    <n v="0"/>
  </r>
  <r>
    <s v="SOWEDI KATAMBA"/>
    <x v="0"/>
    <n v="23"/>
    <n v="3045844.52"/>
    <x v="38"/>
    <n v="90130.54"/>
    <n v="3359866.4"/>
    <d v="2017-06-28T16:12:49"/>
    <d v="2018-03-01T00:00:00"/>
    <s v="0701480919"/>
    <s v=""/>
    <s v=""/>
    <n v="201142"/>
    <s v="00200002390"/>
    <s v="Retail"/>
    <s v="Others"/>
    <s v="Others"/>
    <n v="3045844.52"/>
    <n v="0"/>
    <n v="0"/>
    <n v="1"/>
    <n v="0"/>
    <n v="0"/>
  </r>
  <r>
    <s v="SAMUEL SSALONGO SSEMANDA"/>
    <x v="0"/>
    <n v="23"/>
    <n v="3367164.5"/>
    <x v="13"/>
    <n v="108002.06"/>
    <n v="3743452.17"/>
    <d v="2017-06-29T11:29:43"/>
    <d v="2018-03-01T00:00:00"/>
    <s v="0772829301"/>
    <s v=""/>
    <s v=""/>
    <n v="201144"/>
    <s v="00200002456"/>
    <s v="Retail"/>
    <s v="Others"/>
    <s v="Others"/>
    <n v="3367164.5"/>
    <n v="0"/>
    <n v="0"/>
    <n v="1"/>
    <n v="0"/>
    <n v="0"/>
  </r>
  <r>
    <s v="PAUL BALIRAINE MUKISA"/>
    <x v="1"/>
    <n v="0"/>
    <n v="12995773.16"/>
    <x v="11"/>
    <n v="376877.42"/>
    <n v="14810647.300000001"/>
    <d v="2017-06-28T16:08:24"/>
    <d v="2018-06-24T00:00:00"/>
    <s v="0772507686"/>
    <s v=""/>
    <s v=""/>
    <n v="201145"/>
    <s v="00200000482"/>
    <s v="Retail"/>
    <s v="General Merchandise Stores"/>
    <s v="General Stores"/>
    <n v="0"/>
    <n v="0"/>
    <n v="0"/>
    <n v="0"/>
    <n v="0"/>
    <n v="0"/>
  </r>
  <r>
    <s v="GHADAFI LUBOWA"/>
    <x v="0"/>
    <n v="0"/>
    <n v="2696095.97"/>
    <x v="20"/>
    <n v="117280.17"/>
    <n v="3006078.51"/>
    <d v="2017-06-30T10:50:04"/>
    <d v="2018-02-24T00:00:00"/>
    <s v="0755233356"/>
    <s v=""/>
    <s v="0705345571"/>
    <n v="201147"/>
    <s v="00200001983"/>
    <s v="Retail"/>
    <s v="General Merchandise Stores"/>
    <s v="General Stores"/>
    <n v="0"/>
    <n v="0"/>
    <n v="0"/>
    <n v="0"/>
    <n v="0"/>
    <n v="0"/>
  </r>
  <r>
    <s v="CHARLES MAGALA"/>
    <x v="0"/>
    <n v="23"/>
    <n v="1371846.99"/>
    <x v="31"/>
    <n v="44936.45"/>
    <n v="1528409.11"/>
    <d v="2017-06-30T13:20:17"/>
    <d v="2018-03-01T00:00:00"/>
    <s v="0772616036"/>
    <s v=""/>
    <s v=""/>
    <n v="201148"/>
    <s v="00200002479"/>
    <s v="Retail"/>
    <s v="Others"/>
    <s v="Others"/>
    <n v="1371846.99"/>
    <n v="0"/>
    <n v="0"/>
    <n v="1"/>
    <n v="0"/>
    <n v="0"/>
  </r>
  <r>
    <s v="STEVEN LUKODA KIWANUKA"/>
    <x v="1"/>
    <n v="-10"/>
    <n v="8511719.1899999995"/>
    <x v="13"/>
    <n v="179691.85"/>
    <n v="9837262.3800000008"/>
    <d v="2017-07-04T16:55:39"/>
    <d v="2018-07-04T00:00:00"/>
    <s v="0772497663"/>
    <s v="0756176904"/>
    <s v=""/>
    <n v="201151"/>
    <s v="00200002471"/>
    <s v="Real Estate and Rental"/>
    <s v="Others"/>
    <s v="Others"/>
    <n v="0"/>
    <n v="0"/>
    <n v="0"/>
    <n v="0"/>
    <n v="0"/>
    <n v="0"/>
  </r>
  <r>
    <s v="MAXENSIA KIZZA NAGAWA"/>
    <x v="7"/>
    <n v="-14"/>
    <n v="3616728.44"/>
    <x v="19"/>
    <n v="81376.39"/>
    <n v="4386647.5599999996"/>
    <d v="2017-07-08T10:46:59"/>
    <d v="2018-07-08T00:00:00"/>
    <s v="0752639088"/>
    <s v="0776639088"/>
    <s v=""/>
    <n v="201155"/>
    <s v="00200002421"/>
    <s v="Retail"/>
    <s v="General Merchandise Stores"/>
    <s v="General Stores"/>
    <n v="0"/>
    <n v="0"/>
    <n v="0"/>
    <n v="0"/>
    <n v="0"/>
    <n v="0"/>
  </r>
  <r>
    <s v="ESTHER MBABAZI"/>
    <x v="1"/>
    <n v="0"/>
    <n v="27852486.829999998"/>
    <x v="35"/>
    <n v="807722.12"/>
    <n v="31742117.530000001"/>
    <d v="2017-07-07T13:18:12"/>
    <d v="2018-06-24T00:00:00"/>
    <s v="0787535370"/>
    <s v=""/>
    <s v=""/>
    <n v="201156"/>
    <s v="00200000979"/>
    <s v="Retail"/>
    <s v="General Merchandise Stores"/>
    <s v="Others"/>
    <n v="0"/>
    <n v="0"/>
    <n v="0"/>
    <n v="0"/>
    <n v="0"/>
    <n v="0"/>
  </r>
  <r>
    <s v="DENIS MUGISA"/>
    <x v="1"/>
    <n v="-13"/>
    <n v="5110677.21"/>
    <x v="25"/>
    <n v="90856.48"/>
    <n v="5723204.4199999999"/>
    <d v="2017-07-07T12:56:00"/>
    <d v="2018-05-07T00:00:00"/>
    <s v="0782517097"/>
    <s v=""/>
    <s v="0704517097"/>
    <n v="201157"/>
    <s v="00200002458"/>
    <s v="Retail"/>
    <s v="General Merchandise Stores"/>
    <s v="General Stores"/>
    <n v="0"/>
    <n v="0"/>
    <n v="0"/>
    <n v="0"/>
    <n v="0"/>
    <n v="0"/>
  </r>
  <r>
    <s v="ENOTH MUGWERI"/>
    <x v="0"/>
    <n v="-13"/>
    <n v="3616728.44"/>
    <x v="20"/>
    <n v="86801.48"/>
    <n v="4386647.5599999996"/>
    <d v="2017-07-07T16:20:36"/>
    <d v="2018-07-07T00:00:00"/>
    <s v="0755242267"/>
    <s v=""/>
    <s v=""/>
    <n v="201158"/>
    <s v="00200002494"/>
    <s v="Retail"/>
    <s v="General Merchandise Stores"/>
    <s v="General Stores"/>
    <n v="0"/>
    <n v="0"/>
    <n v="0"/>
    <n v="0"/>
    <n v="0"/>
    <n v="0"/>
  </r>
  <r>
    <s v="JULIET SSEBALAMU NAMUBIRU"/>
    <x v="7"/>
    <n v="-14"/>
    <n v="1089209.43"/>
    <x v="37"/>
    <n v="24507.21"/>
    <n v="1163270.3400000001"/>
    <d v="2017-07-08T12:56:27"/>
    <d v="2018-01-08T00:00:00"/>
    <s v="0782004982"/>
    <s v=""/>
    <s v=""/>
    <n v="201159"/>
    <s v="00200002468"/>
    <s v="Retail"/>
    <s v="General Merchandise Stores"/>
    <s v="General Stores"/>
    <n v="0"/>
    <n v="0"/>
    <n v="0"/>
    <n v="0"/>
    <n v="0"/>
    <n v="0"/>
  </r>
  <r>
    <s v="EDWARD SSEMPALA"/>
    <x v="0"/>
    <n v="-16"/>
    <n v="1629614.64"/>
    <x v="37"/>
    <n v="31777.49"/>
    <n v="1895682.37"/>
    <d v="2017-07-10T14:21:52"/>
    <d v="2018-05-10T00:00:00"/>
    <s v="0754773122"/>
    <s v=""/>
    <s v=""/>
    <n v="201160"/>
    <s v="00200002501"/>
    <s v="Retail"/>
    <s v="Others"/>
    <s v="Others"/>
    <n v="0"/>
    <n v="0"/>
    <n v="0"/>
    <n v="0"/>
    <n v="0"/>
    <n v="0"/>
  </r>
  <r>
    <s v="JULIUS KATAMBA"/>
    <x v="0"/>
    <n v="-16"/>
    <n v="2170037.0299999998"/>
    <x v="22"/>
    <n v="42315.72"/>
    <n v="2631988.4900000002"/>
    <d v="2017-07-10T17:25:26"/>
    <d v="2018-07-10T00:00:00"/>
    <s v="0704773081"/>
    <s v=""/>
    <s v=""/>
    <n v="201161"/>
    <s v="00200002443"/>
    <s v="Retail"/>
    <s v="General Merchandise Stores"/>
    <s v="General Stores"/>
    <n v="0"/>
    <n v="0"/>
    <n v="0"/>
    <n v="0"/>
    <n v="0"/>
    <n v="0"/>
  </r>
  <r>
    <s v="LAWRENCE KAWUMA"/>
    <x v="0"/>
    <n v="43"/>
    <n v="1906529.37"/>
    <x v="36"/>
    <n v="114404.56"/>
    <n v="2137742.9"/>
    <d v="2017-07-11T12:03:45"/>
    <d v="2018-03-11T00:00:00"/>
    <s v="0705587780"/>
    <s v="0773120561"/>
    <s v=""/>
    <n v="201162"/>
    <s v="00200002426"/>
    <s v="Retail"/>
    <s v="Others"/>
    <s v="Others"/>
    <n v="1906529.37"/>
    <n v="1906529.37"/>
    <n v="0"/>
    <n v="1"/>
    <n v="1"/>
    <n v="0"/>
  </r>
  <r>
    <s v="MARY FRANCES MUSOKE"/>
    <x v="3"/>
    <n v="-25"/>
    <n v="24838780.449999999"/>
    <x v="19"/>
    <n v="115914.31"/>
    <n v="31843073.199999999"/>
    <d v="2017-07-19T11:35:56"/>
    <d v="2019-01-19T00:00:00"/>
    <s v="0701424337"/>
    <s v=""/>
    <s v=""/>
    <n v="201164"/>
    <s v="00200000325"/>
    <s v="Wholesale Trade"/>
    <s v="Others"/>
    <s v="Others"/>
    <n v="0"/>
    <n v="0"/>
    <n v="0"/>
    <n v="0"/>
    <n v="0"/>
    <n v="0"/>
  </r>
  <r>
    <s v="CHARLES EDWARD SEMAKULA"/>
    <x v="0"/>
    <n v="-17"/>
    <n v="8344162.3600000003"/>
    <x v="16"/>
    <n v="133506.6"/>
    <n v="11059065.92"/>
    <d v="2017-07-11T15:55:06"/>
    <d v="2019-01-11T00:00:00"/>
    <s v="0772372787"/>
    <s v=""/>
    <s v=""/>
    <n v="201165"/>
    <s v="00200000720"/>
    <s v="Wholesale Trade"/>
    <s v="Others"/>
    <s v="Others"/>
    <n v="0"/>
    <n v="0"/>
    <n v="0"/>
    <n v="0"/>
    <n v="0"/>
    <n v="0"/>
  </r>
  <r>
    <s v="DOMINIC OPI"/>
    <x v="0"/>
    <n v="-18"/>
    <n v="3807324.71"/>
    <x v="19"/>
    <n v="62820.86"/>
    <n v="4245070.3099999996"/>
    <d v="2017-07-12T14:28:28"/>
    <d v="2018-03-12T00:00:00"/>
    <s v="0700999494"/>
    <s v="0782494999"/>
    <s v=""/>
    <n v="201166"/>
    <s v="00200002517"/>
    <s v="Retail"/>
    <s v="General Merchandise Stores"/>
    <s v="General Stores"/>
    <n v="0"/>
    <n v="0"/>
    <n v="0"/>
    <n v="0"/>
    <n v="0"/>
    <n v="0"/>
  </r>
  <r>
    <s v="DAVID SSERUGUMBA"/>
    <x v="3"/>
    <n v="10"/>
    <n v="12272472.66"/>
    <x v="13"/>
    <n v="142772.35999999999"/>
    <n v="15313993.02"/>
    <d v="2017-07-14T13:26:16"/>
    <d v="2018-10-14T00:00:00"/>
    <s v="0772457838"/>
    <s v=""/>
    <s v=""/>
    <n v="201167"/>
    <s v="00200002487"/>
    <s v="Wholesale Trade"/>
    <s v="Others"/>
    <s v="Others"/>
    <n v="12272472.66"/>
    <n v="0"/>
    <n v="0"/>
    <n v="1"/>
    <n v="0"/>
    <n v="0"/>
  </r>
  <r>
    <s v="OLIVER KIZZA"/>
    <x v="8"/>
    <n v="-21"/>
    <n v="3888962.37"/>
    <x v="20"/>
    <n v="43210.69"/>
    <n v="4475376.09"/>
    <d v="2017-07-15T12:45:05"/>
    <d v="2018-05-15T00:00:00"/>
    <s v="0773079646"/>
    <s v="0703348659"/>
    <s v=""/>
    <n v="201168"/>
    <s v="00200002504"/>
    <s v="Retail"/>
    <s v="General Merchandise Stores"/>
    <s v="General Stores"/>
    <n v="0"/>
    <n v="0"/>
    <n v="0"/>
    <n v="0"/>
    <n v="0"/>
    <n v="0"/>
  </r>
  <r>
    <s v="TEDDY NAMUBIRU"/>
    <x v="7"/>
    <n v="-25"/>
    <n v="1087807.04"/>
    <x v="39"/>
    <n v="6526.84"/>
    <n v="1212877.22"/>
    <d v="2017-07-19T15:47:39"/>
    <d v="2018-03-19T00:00:00"/>
    <s v="0777094106"/>
    <s v=""/>
    <s v="0752772703"/>
    <n v="201171"/>
    <s v="00200002484"/>
    <s v="Retail"/>
    <s v="General Merchandise Stores"/>
    <s v="General Stores"/>
    <n v="0"/>
    <n v="0"/>
    <n v="0"/>
    <n v="0"/>
    <n v="0"/>
    <n v="0"/>
  </r>
  <r>
    <s v="ALLICE MUKAYIRANGA"/>
    <x v="7"/>
    <n v="4"/>
    <n v="1332411.94"/>
    <x v="29"/>
    <n v="64043.08"/>
    <n v="1454087.91"/>
    <d v="2017-07-20T18:12:52"/>
    <d v="2018-01-20T00:00:00"/>
    <s v="0700486648"/>
    <s v=""/>
    <s v="0780501863"/>
    <n v="201172"/>
    <s v="00200002499"/>
    <s v="Retail"/>
    <s v="General Merchandise Stores"/>
    <s v="General Stores"/>
    <n v="1332411.94"/>
    <n v="0"/>
    <n v="0"/>
    <n v="1"/>
    <n v="0"/>
    <n v="0"/>
  </r>
  <r>
    <s v="CATHERINE MUGERWA"/>
    <x v="7"/>
    <n v="-27"/>
    <n v="3228248.66"/>
    <x v="26"/>
    <n v="8608.66"/>
    <n v="3835878.19"/>
    <d v="2017-07-21T09:08:19"/>
    <d v="2018-07-21T00:00:00"/>
    <s v="0773318312"/>
    <s v=""/>
    <s v=""/>
    <n v="201173"/>
    <s v="00200001430"/>
    <s v="Retail"/>
    <s v="Others"/>
    <s v="Others"/>
    <n v="0"/>
    <n v="0"/>
    <n v="0"/>
    <n v="0"/>
    <n v="0"/>
    <n v="0"/>
  </r>
  <r>
    <s v="TUUFA GALABUZI"/>
    <x v="0"/>
    <n v="-26"/>
    <n v="3586942.99"/>
    <x v="18"/>
    <n v="14347.77"/>
    <n v="4262086.9400000004"/>
    <d v="2017-07-20T18:15:28"/>
    <d v="2018-07-20T00:00:00"/>
    <s v="0701521382"/>
    <s v=""/>
    <s v=""/>
    <n v="201174"/>
    <s v="00200001364"/>
    <s v="Retail"/>
    <s v="Others"/>
    <s v="Others"/>
    <n v="0"/>
    <n v="0"/>
    <n v="0"/>
    <n v="0"/>
    <n v="0"/>
    <n v="0"/>
  </r>
  <r>
    <s v="PROSSY NANYANZI KAKEETO"/>
    <x v="7"/>
    <n v="3"/>
    <n v="661603.49"/>
    <x v="31"/>
    <n v="1955.54"/>
    <n v="768030.57"/>
    <d v="2017-07-21T16:21:45"/>
    <d v="2018-05-21T00:00:00"/>
    <s v="0782808597"/>
    <s v="0755786858"/>
    <s v=""/>
    <n v="201175"/>
    <s v="00200002418"/>
    <s v="Retail"/>
    <s v="Others"/>
    <s v="Others"/>
    <n v="661603.49"/>
    <n v="0"/>
    <n v="0"/>
    <n v="1"/>
    <n v="0"/>
    <n v="0"/>
  </r>
  <r>
    <s v="SARAH MUYAKA"/>
    <x v="7"/>
    <n v="-27"/>
    <n v="539692.53"/>
    <x v="25"/>
    <n v="1439.18"/>
    <n v="572285.73"/>
    <d v="2017-07-21T16:58:07"/>
    <d v="2018-01-21T00:00:00"/>
    <s v="0752866691"/>
    <s v=""/>
    <s v=""/>
    <n v="201176"/>
    <s v="00200001930"/>
    <s v="Retail"/>
    <s v="General Merchandise Stores"/>
    <s v="General Stores"/>
    <n v="0"/>
    <n v="0"/>
    <n v="0"/>
    <n v="0"/>
    <n v="0"/>
    <n v="0"/>
  </r>
  <r>
    <s v="GODFREY KABUYE SENFUKA"/>
    <x v="3"/>
    <n v="-28"/>
    <n v="14226881.300000001"/>
    <x v="23"/>
    <n v="16598.03"/>
    <n v="16557431.85"/>
    <d v="2017-07-22T10:34:38"/>
    <d v="2018-07-22T00:00:00"/>
    <s v="0772634457"/>
    <s v=""/>
    <s v="0700109857"/>
    <n v="201177"/>
    <s v="00200001835"/>
    <s v="Retail"/>
    <s v="General Merchandise Stores"/>
    <s v="General Stores"/>
    <n v="0"/>
    <n v="0"/>
    <n v="0"/>
    <n v="0"/>
    <n v="0"/>
    <n v="0"/>
  </r>
  <r>
    <s v="KALIRO JOSHUA"/>
    <x v="1"/>
    <n v="3"/>
    <n v="7097642.4400000004"/>
    <x v="16"/>
    <n v="14196.33"/>
    <n v="7863301.4400000004"/>
    <d v="2017-07-21T17:22:02"/>
    <d v="2018-05-21T00:00:00"/>
    <s v="0772668387"/>
    <s v=""/>
    <s v=""/>
    <n v="201178"/>
    <s v="00200002444"/>
    <s v="Retail"/>
    <s v="Others"/>
    <s v="Others"/>
    <n v="7097642.4400000004"/>
    <n v="0"/>
    <n v="0"/>
    <n v="1"/>
    <n v="0"/>
    <n v="0"/>
  </r>
  <r>
    <s v="LWANYAGA SIMON MAKUMBI"/>
    <x v="0"/>
    <n v="30"/>
    <n v="5001481.8600000003"/>
    <x v="1"/>
    <n v="362472.6"/>
    <n v="6009219.3700000001"/>
    <d v="2017-07-24T16:21:28"/>
    <d v="2018-05-24T00:00:00"/>
    <s v="0772371894"/>
    <s v="0752371894"/>
    <s v=""/>
    <n v="201179"/>
    <s v="00200002543"/>
    <s v="Retail"/>
    <s v="General Merchandise Stores"/>
    <s v="General Stores"/>
    <n v="5001481.8600000003"/>
    <n v="0"/>
    <n v="0"/>
    <n v="1"/>
    <n v="0"/>
    <n v="0"/>
  </r>
  <r>
    <s v="NAKATE SUSAN HELLEN"/>
    <x v="7"/>
    <n v="-1"/>
    <n v="1332411.94"/>
    <x v="39"/>
    <n v="55961.3"/>
    <n v="1454087.91"/>
    <d v="2017-07-25T12:03:44"/>
    <d v="2018-01-25T00:00:00"/>
    <s v="0774236672"/>
    <s v=""/>
    <s v=""/>
    <n v="201180"/>
    <s v="00200002511"/>
    <s v="Retail"/>
    <s v="General Merchandise Stores"/>
    <s v="General Stores"/>
    <n v="0"/>
    <n v="0"/>
    <n v="0"/>
    <n v="0"/>
    <n v="0"/>
    <n v="0"/>
  </r>
  <r>
    <s v="BADRU MUBIRU"/>
    <x v="0"/>
    <n v="-1"/>
    <n v="3699994.94"/>
    <x v="27"/>
    <n v="138133.14000000001"/>
    <n v="4315183.0599999996"/>
    <d v="2017-07-25T12:39:50"/>
    <d v="2018-05-25T00:00:00"/>
    <s v="0772615441"/>
    <s v=""/>
    <s v="0700137922"/>
    <n v="201181"/>
    <s v="00200001550"/>
    <s v="Real Estate and Rental"/>
    <s v="Rental"/>
    <s v="Others"/>
    <n v="0"/>
    <n v="0"/>
    <n v="0"/>
    <n v="0"/>
    <n v="0"/>
    <n v="0"/>
  </r>
  <r>
    <s v="REVIN KIWANUKA"/>
    <x v="8"/>
    <n v="-1"/>
    <n v="4638703.45"/>
    <x v="12"/>
    <n v="180394.02"/>
    <n v="5234310.08"/>
    <d v="2017-07-25T14:11:57"/>
    <d v="2018-03-25T00:00:00"/>
    <s v="0752634762"/>
    <s v="0773391090"/>
    <s v=""/>
    <n v="201182"/>
    <s v="00200002569"/>
    <s v="Retail"/>
    <s v="Second Hand -Clothing and  Accessories"/>
    <s v="Others"/>
    <n v="0"/>
    <n v="0"/>
    <n v="0"/>
    <n v="0"/>
    <n v="0"/>
    <n v="0"/>
  </r>
  <r>
    <s v="FRANCIS WASWA"/>
    <x v="0"/>
    <n v="-1"/>
    <n v="4439993.91"/>
    <x v="27"/>
    <n v="165759.76999999999"/>
    <n v="5178219.63"/>
    <d v="2017-07-25T14:02:17"/>
    <d v="2018-05-25T00:00:00"/>
    <s v="0772425713"/>
    <s v="0754425713"/>
    <s v=""/>
    <n v="201183"/>
    <s v="00200001237"/>
    <s v="Retail"/>
    <s v="General Merchandise Stores"/>
    <s v="General Stores"/>
    <n v="0"/>
    <n v="0"/>
    <n v="0"/>
    <n v="0"/>
    <n v="0"/>
    <n v="0"/>
  </r>
  <r>
    <s v="PATRICK MULWANA"/>
    <x v="0"/>
    <n v="-1"/>
    <n v="4753504.42"/>
    <x v="26"/>
    <n v="177464.17"/>
    <n v="5753817.2999999998"/>
    <d v="2017-07-25T16:41:28"/>
    <d v="2018-07-25T00:00:00"/>
    <s v="0753669250"/>
    <s v="0772669250"/>
    <s v=""/>
    <n v="201184"/>
    <s v="00200001215"/>
    <s v="Real Estate and Rental"/>
    <s v="Rental"/>
    <s v="Video Tape &amp; Disc Rental"/>
    <n v="0"/>
    <n v="0"/>
    <n v="0"/>
    <n v="0"/>
    <n v="0"/>
    <n v="0"/>
  </r>
  <r>
    <s v="JAMES KIGGUNDU"/>
    <x v="0"/>
    <n v="-1"/>
    <n v="9681263.8300000001"/>
    <x v="11"/>
    <n v="406613.08"/>
    <n v="11500472.77"/>
    <d v="2017-07-25T15:07:04"/>
    <d v="2018-05-25T00:00:00"/>
    <s v="0702618312"/>
    <s v="0772618312"/>
    <s v=""/>
    <n v="201185"/>
    <s v="00200002563"/>
    <s v="Retail"/>
    <s v="General Merchandise Stores"/>
    <s v="General Stores"/>
    <n v="0"/>
    <n v="0"/>
    <n v="0"/>
    <n v="0"/>
    <n v="0"/>
    <n v="0"/>
  </r>
  <r>
    <s v="TWAGIRAYESU ISRAEL"/>
    <x v="0"/>
    <n v="-1"/>
    <n v="2131859.11"/>
    <x v="37"/>
    <n v="89538.08"/>
    <n v="2326540.65"/>
    <d v="2017-07-25T15:43:26"/>
    <d v="2018-01-25T00:00:00"/>
    <s v="0772666526"/>
    <s v="0703833030"/>
    <s v=""/>
    <n v="201186"/>
    <s v="00200002562"/>
    <s v="Retail"/>
    <s v="General Merchandise Stores"/>
    <s v="General Stores"/>
    <n v="0"/>
    <n v="0"/>
    <n v="0"/>
    <n v="0"/>
    <n v="0"/>
    <n v="0"/>
  </r>
  <r>
    <s v="MAGRET NAMUSISI TURYAZAYO"/>
    <x v="7"/>
    <n v="-1"/>
    <n v="1331125.69"/>
    <x v="10"/>
    <n v="55907.28"/>
    <n v="1516096.53"/>
    <d v="2017-07-25T16:31:41"/>
    <d v="2018-03-25T00:00:00"/>
    <s v="0772357603"/>
    <s v=""/>
    <s v="0704667263"/>
    <n v="201188"/>
    <s v="00200002454"/>
    <s v="Real Estate and Rental"/>
    <s v="Rental"/>
    <s v="Others"/>
    <n v="0"/>
    <n v="0"/>
    <n v="0"/>
    <n v="0"/>
    <n v="0"/>
    <n v="0"/>
  </r>
  <r>
    <s v="NIGHT ROSE NAKAFERO"/>
    <x v="7"/>
    <n v="-7"/>
    <n v="1852369.27"/>
    <x v="26"/>
    <n v="54336.17"/>
    <n v="2160357.69"/>
    <d v="2017-07-31T12:07:28"/>
    <d v="2018-06-01T00:00:00"/>
    <s v="0787014181"/>
    <s v="0754293552"/>
    <s v=""/>
    <n v="201189"/>
    <s v="00200001225"/>
    <s v="Retail"/>
    <s v="General Merchandise Stores"/>
    <s v="Others"/>
    <n v="0"/>
    <n v="0"/>
    <n v="0"/>
    <n v="0"/>
    <n v="0"/>
    <n v="0"/>
  </r>
  <r>
    <s v="AMOSI JORAM MUBAZI"/>
    <x v="0"/>
    <n v="-7"/>
    <n v="1675849.05"/>
    <x v="38"/>
    <n v="55303.02"/>
    <n v="1908722.01"/>
    <d v="2017-07-26T12:31:48"/>
    <d v="2018-04-01T00:00:00"/>
    <s v="0756376860"/>
    <s v="0776376860"/>
    <s v=""/>
    <n v="201190"/>
    <s v="00200002548"/>
    <s v="Agriculture, Forestry, Fishing and Hunting"/>
    <s v="Forestry"/>
    <s v="Timber Tract Operations"/>
    <n v="0"/>
    <n v="0"/>
    <n v="0"/>
    <n v="0"/>
    <n v="0"/>
    <n v="0"/>
  </r>
  <r>
    <s v="DAVID BALIDAWA"/>
    <x v="0"/>
    <n v="-7"/>
    <n v="11043692.17"/>
    <x v="16"/>
    <n v="323948.3"/>
    <n v="14120752.75"/>
    <d v="2017-07-26T11:25:46"/>
    <d v="2018-11-01T00:00:00"/>
    <s v="0752803661"/>
    <s v="0785280307"/>
    <s v=""/>
    <n v="201191"/>
    <s v="00200001232"/>
    <s v="Retail"/>
    <s v="General Merchandise Stores"/>
    <s v="General Stores"/>
    <n v="0"/>
    <n v="0"/>
    <n v="0"/>
    <n v="0"/>
    <n v="0"/>
    <n v="0"/>
  </r>
  <r>
    <s v="JIMMY RICHARD MWEBE"/>
    <x v="0"/>
    <n v="-7"/>
    <n v="3207175.14"/>
    <x v="20"/>
    <n v="105836.78"/>
    <n v="826178.87"/>
    <d v="2017-07-27T13:30:32"/>
    <d v="2018-06-01T00:00:00"/>
    <s v="0705773611"/>
    <s v=""/>
    <s v=""/>
    <n v="201193"/>
    <s v="00200002586"/>
    <s v="Retail"/>
    <s v="Food and Beverage Stores"/>
    <s v="Beverage Stores"/>
    <n v="0"/>
    <n v="0"/>
    <n v="0"/>
    <n v="0"/>
    <n v="0"/>
    <n v="0"/>
  </r>
  <r>
    <s v="JULIUS TAMALE"/>
    <x v="0"/>
    <n v="-7"/>
    <n v="5964733.9000000004"/>
    <x v="26"/>
    <n v="174965.53"/>
    <n v="7219934.2000000002"/>
    <d v="2017-07-28T15:50:56"/>
    <d v="2018-08-01T00:00:00"/>
    <s v="0774178916"/>
    <s v=""/>
    <s v="0704178916"/>
    <n v="201194"/>
    <s v="00200001529"/>
    <s v="Retail"/>
    <s v="General Merchandise Stores"/>
    <s v="General Stores"/>
    <n v="0"/>
    <n v="0"/>
    <n v="0"/>
    <n v="0"/>
    <n v="0"/>
    <n v="0"/>
  </r>
  <r>
    <s v="ROBERT SSERUNJOGI"/>
    <x v="1"/>
    <n v="-7"/>
    <n v="13928317.18"/>
    <x v="10"/>
    <n v="306422.98"/>
    <n v="17500912.559999999"/>
    <d v="2017-07-28T13:47:19"/>
    <d v="2019-02-01T00:00:00"/>
    <s v="077258804"/>
    <s v="0752588804"/>
    <s v=""/>
    <n v="201195"/>
    <s v="00200000347"/>
    <s v="Agriculture, Forestry, Fishing and Hunting"/>
    <s v="Animal Production"/>
    <s v="Poultry &amp; Egg Production"/>
    <n v="0"/>
    <n v="0"/>
    <n v="0"/>
    <n v="0"/>
    <n v="0"/>
    <n v="0"/>
  </r>
  <r>
    <s v="MOSES SEKIMWANYI MUGERWA"/>
    <x v="0"/>
    <n v="23"/>
    <n v="5704867.8099999996"/>
    <x v="39"/>
    <n v="172769.4"/>
    <n v="6688660.0999999996"/>
    <d v="2017-07-28T12:47:14"/>
    <d v="2018-06-01T00:00:00"/>
    <s v="0752699676"/>
    <s v=""/>
    <s v="0776699676"/>
    <n v="201196"/>
    <s v="00200002559"/>
    <s v="Real Estate and Rental"/>
    <s v="Real Estate"/>
    <s v="Real Estate"/>
    <n v="5704867.8099999996"/>
    <n v="0"/>
    <n v="0"/>
    <n v="1"/>
    <n v="0"/>
    <n v="0"/>
  </r>
  <r>
    <s v="HAMIDA NASANGA"/>
    <x v="7"/>
    <n v="-7"/>
    <n v="3817429.7"/>
    <x v="26"/>
    <n v="111977.94"/>
    <n v="4620757.9000000004"/>
    <d v="2017-07-28T13:23:00"/>
    <d v="2018-08-01T00:00:00"/>
    <s v="0774981435"/>
    <s v=""/>
    <s v="0704793050"/>
    <n v="201197"/>
    <s v="00200001697"/>
    <s v="Retail"/>
    <s v="General Merchandise Stores"/>
    <s v="General Stores"/>
    <n v="0"/>
    <n v="0"/>
    <n v="0"/>
    <n v="0"/>
    <n v="0"/>
    <n v="0"/>
  </r>
  <r>
    <s v="GERALD KYOBE"/>
    <x v="0"/>
    <n v="-7"/>
    <n v="3188506.38"/>
    <x v="23"/>
    <n v="93529.52"/>
    <n v="3446920.85"/>
    <d v="2017-07-28T13:07:59"/>
    <d v="2018-02-01T00:00:00"/>
    <s v="0773136418"/>
    <s v=""/>
    <s v="0752136418"/>
    <n v="201198"/>
    <s v="00200001646"/>
    <s v="Retail"/>
    <s v="Miscellaneous Store Retailers"/>
    <s v="Printing Stores"/>
    <n v="0"/>
    <n v="0"/>
    <n v="0"/>
    <n v="0"/>
    <n v="0"/>
    <n v="0"/>
  </r>
  <r>
    <s v="LAWRENCE MUGISHA"/>
    <x v="0"/>
    <n v="53"/>
    <n v="5113650.09"/>
    <x v="26"/>
    <n v="186640.8"/>
    <n v="5791630.3200000003"/>
    <d v="2017-07-28T16:03:49"/>
    <d v="2018-04-01T00:00:00"/>
    <s v="0772424651"/>
    <s v=""/>
    <s v=""/>
    <n v="201199"/>
    <s v="00200000793"/>
    <s v="Manufacturing"/>
    <s v="Wood Product Manufacturing"/>
    <s v="Sawmills &amp; Wood Preservation"/>
    <n v="5113650.09"/>
    <n v="5113650.09"/>
    <n v="0"/>
    <n v="1"/>
    <n v="1"/>
    <n v="0"/>
  </r>
  <r>
    <s v="ANDREW LWERE"/>
    <x v="7"/>
    <n v="-7"/>
    <n v="1857112.85"/>
    <x v="26"/>
    <n v="54475.31"/>
    <n v="2165889.9500000002"/>
    <d v="2017-07-28T17:09:21"/>
    <d v="2018-06-01T00:00:00"/>
    <s v="0755601134"/>
    <s v=""/>
    <s v=""/>
    <n v="201200"/>
    <s v="00200000942"/>
    <s v="Real Estate and Rental"/>
    <s v="Real Estate"/>
    <s v="Real Estate"/>
    <n v="0"/>
    <n v="0"/>
    <n v="0"/>
    <n v="0"/>
    <n v="0"/>
    <n v="0"/>
  </r>
  <r>
    <s v="JULIUS TWINOMUJUNI"/>
    <x v="6"/>
    <n v="-27"/>
    <n v="3782209.81"/>
    <x v="17"/>
    <n v="4622.7"/>
    <n v="4100853.33"/>
    <d v="2017-07-28T16:49:21"/>
    <d v="2018-07-21T00:00:00"/>
    <s v="0774316650"/>
    <s v=""/>
    <s v=""/>
    <n v="201201"/>
    <s v="00200000520"/>
    <s v="Finance and Insurance"/>
    <s v="Finance"/>
    <s v="Microfinance Institutions"/>
    <n v="0"/>
    <n v="0"/>
    <n v="0"/>
    <n v="0"/>
    <n v="0"/>
    <n v="0"/>
  </r>
  <r>
    <s v="FARIDAH BABIRYE"/>
    <x v="8"/>
    <n v="-7"/>
    <n v="4744815.45"/>
    <x v="26"/>
    <n v="127582.82"/>
    <n v="5656390.9400000004"/>
    <d v="2017-07-29T10:37:22"/>
    <d v="2018-08-01T00:00:00"/>
    <s v="0774317650"/>
    <s v=""/>
    <s v=""/>
    <n v="201202"/>
    <s v="00200001725"/>
    <s v="Agriculture, Forestry, Fishing and Hunting"/>
    <s v="Animal Production"/>
    <s v="Poultry &amp; Egg Production"/>
    <n v="0"/>
    <n v="0"/>
    <n v="0"/>
    <n v="0"/>
    <n v="0"/>
    <n v="0"/>
  </r>
  <r>
    <s v="RACHEL LUKWAGO AMWATOK"/>
    <x v="8"/>
    <n v="-7"/>
    <n v="4455396.6500000004"/>
    <x v="38"/>
    <n v="136137.12"/>
    <n v="5228233.78"/>
    <d v="2017-07-31T17:50:50"/>
    <d v="2018-06-01T00:00:00"/>
    <s v="0772879109"/>
    <s v="0701879109"/>
    <s v=""/>
    <n v="201203"/>
    <s v="00200002551"/>
    <s v="Educational Services"/>
    <s v="Educational Services"/>
    <s v="Schools"/>
    <n v="0"/>
    <n v="0"/>
    <n v="0"/>
    <n v="0"/>
    <n v="0"/>
    <n v="0"/>
  </r>
  <r>
    <s v="WILLIAM KKONDE"/>
    <x v="1"/>
    <n v="-12"/>
    <n v="4395039.2699999996"/>
    <x v="1"/>
    <n v="74715.67"/>
    <n v="4938022.09"/>
    <d v="2017-08-03T17:18:21"/>
    <d v="2018-06-06T00:00:00"/>
    <s v="0772408535"/>
    <s v=""/>
    <s v=""/>
    <n v="201204"/>
    <s v="00200001359"/>
    <s v="Retail"/>
    <s v="General Merchandise Stores"/>
    <s v="General Stores"/>
    <n v="0"/>
    <n v="0"/>
    <n v="0"/>
    <n v="0"/>
    <n v="0"/>
    <n v="0"/>
  </r>
  <r>
    <s v="SAM KUTEESA"/>
    <x v="0"/>
    <n v="-8"/>
    <n v="5919991.9199999999"/>
    <x v="16"/>
    <n v="165759.76999999999"/>
    <n v="6904292.9100000001"/>
    <d v="2017-08-02T15:41:52"/>
    <d v="2018-06-02T00:00:00"/>
    <s v="0754624944"/>
    <s v=""/>
    <s v=""/>
    <n v="201205"/>
    <s v="00200001282"/>
    <s v="Agriculture, Forestry, Fishing and Hunting"/>
    <s v="Crop Production"/>
    <s v="Maize"/>
    <n v="0"/>
    <n v="0"/>
    <n v="0"/>
    <n v="0"/>
    <n v="0"/>
    <n v="0"/>
  </r>
  <r>
    <s v="HERBERT SSEMPAKA"/>
    <x v="0"/>
    <n v="-13"/>
    <n v="3961253.7"/>
    <x v="20"/>
    <n v="155935.19"/>
    <n v="4794847.8"/>
    <d v="2017-08-07T12:17:57"/>
    <d v="2018-08-07T00:00:00"/>
    <s v="0752401260"/>
    <s v=""/>
    <s v="0772401260"/>
    <n v="201208"/>
    <s v="00200002071"/>
    <s v="Retail"/>
    <s v="General Merchandise Stores"/>
    <s v="General Stores"/>
    <n v="0"/>
    <n v="0"/>
    <n v="0"/>
    <n v="0"/>
    <n v="0"/>
    <n v="0"/>
  </r>
  <r>
    <s v="JAMES SSEKUBWA"/>
    <x v="0"/>
    <n v="-13"/>
    <n v="2978850.4"/>
    <x v="38"/>
    <n v="71492.41"/>
    <n v="3538607.01"/>
    <d v="2017-08-07T16:16:58"/>
    <d v="2018-06-07T00:00:00"/>
    <s v="0782119766"/>
    <s v=""/>
    <s v="0704119766"/>
    <n v="201210"/>
    <s v="00200002560"/>
    <s v="Agriculture, Forestry, Fishing and Hunting"/>
    <s v="Crop Production"/>
    <s v="Market Gardening"/>
    <n v="0"/>
    <n v="0"/>
    <n v="0"/>
    <n v="0"/>
    <n v="0"/>
    <n v="0"/>
  </r>
  <r>
    <s v="SYDAT NDIRANGWA NAKITTO"/>
    <x v="7"/>
    <n v="-13"/>
    <n v="2959995.95"/>
    <x v="1"/>
    <n v="63146.58"/>
    <n v="3452146.43"/>
    <d v="2017-08-07T16:56:07"/>
    <d v="2018-06-07T00:00:00"/>
    <s v="0752986990"/>
    <s v=""/>
    <s v="0772033983"/>
    <n v="201211"/>
    <s v="00200001776"/>
    <s v="Educational Services"/>
    <s v="Educational Services"/>
    <s v="Schools"/>
    <n v="0"/>
    <n v="0"/>
    <n v="0"/>
    <n v="0"/>
    <n v="0"/>
    <n v="0"/>
  </r>
  <r>
    <s v="EVERLYN NILLY KENYANGI"/>
    <x v="8"/>
    <n v="-16"/>
    <n v="4431349.74"/>
    <x v="23"/>
    <n v="70409.22"/>
    <n v="5104660.09"/>
    <d v="2017-08-08T10:37:44"/>
    <d v="2018-06-10T00:00:00"/>
    <s v="0772687936"/>
    <s v=""/>
    <s v=""/>
    <n v="201212"/>
    <s v="00200001202"/>
    <s v="Retail"/>
    <s v="General Merchandise Stores"/>
    <s v="General Stores"/>
    <n v="0"/>
    <n v="0"/>
    <n v="0"/>
    <n v="0"/>
    <n v="0"/>
    <n v="0"/>
  </r>
  <r>
    <s v="JAMADA MUTIN WALIGO"/>
    <x v="0"/>
    <n v="-15"/>
    <n v="3169002.95"/>
    <x v="11"/>
    <n v="59154.720000000001"/>
    <n v="3835878.22"/>
    <d v="2017-08-09T12:00:52"/>
    <d v="2018-08-09T00:00:00"/>
    <s v="0702060143"/>
    <s v=""/>
    <s v=""/>
    <n v="201213"/>
    <s v="00200001312"/>
    <s v="Retail"/>
    <s v="Motor Vehicle and Parts Dealers"/>
    <s v="Automotive Parts, Accessories, &amp; Tire Stores"/>
    <n v="0"/>
    <n v="0"/>
    <n v="0"/>
    <n v="0"/>
    <n v="0"/>
    <n v="0"/>
  </r>
  <r>
    <s v="FRANCIS JJUMBA"/>
    <x v="0"/>
    <n v="-15"/>
    <n v="7922507.3700000001"/>
    <x v="14"/>
    <n v="147886.79999999999"/>
    <n v="9589695.5299999993"/>
    <d v="2017-08-09T13:24:13"/>
    <d v="2018-08-09T00:00:00"/>
    <s v="0774389330"/>
    <s v=""/>
    <s v=""/>
    <n v="201214"/>
    <s v="00200000892"/>
    <s v="Wholesale Trade"/>
    <s v="Durable Goods"/>
    <s v="Jewelry, Watch, Precious Stone, &amp; Precious Metals"/>
    <n v="0"/>
    <n v="0"/>
    <n v="0"/>
    <n v="0"/>
    <n v="0"/>
    <n v="0"/>
  </r>
  <r>
    <s v="GRACE NANGOBI"/>
    <x v="7"/>
    <n v="15"/>
    <n v="3334321.23"/>
    <x v="15"/>
    <n v="155800.32000000001"/>
    <n v="3987322.3"/>
    <d v="2017-08-09T14:00:17"/>
    <d v="2018-06-09T00:00:00"/>
    <s v="0754480344"/>
    <s v=""/>
    <s v=""/>
    <n v="201215"/>
    <s v="00200002603"/>
    <s v="Retail"/>
    <s v="General Merchandise Stores"/>
    <s v="General Stores"/>
    <n v="3334321.23"/>
    <n v="0"/>
    <n v="0"/>
    <n v="1"/>
    <n v="0"/>
    <n v="0"/>
  </r>
  <r>
    <s v="KENNETH KATONGOLE"/>
    <x v="0"/>
    <n v="-15"/>
    <n v="1849997.48"/>
    <x v="6"/>
    <n v="34533.29"/>
    <n v="2157591.54"/>
    <d v="2017-08-09T14:12:08"/>
    <d v="2018-06-09T00:00:00"/>
    <s v="0772438550"/>
    <s v=""/>
    <s v=""/>
    <n v="201216"/>
    <s v="00200001630"/>
    <s v="Real Estate and Rental"/>
    <s v="Real Estate"/>
    <s v="Real Estate"/>
    <n v="0"/>
    <n v="0"/>
    <n v="0"/>
    <n v="0"/>
    <n v="0"/>
    <n v="0"/>
  </r>
  <r>
    <s v="CHRISTINE NAKIMERA SSENDAWULA"/>
    <x v="7"/>
    <n v="14"/>
    <n v="2379976.25"/>
    <x v="15"/>
    <n v="41571.25"/>
    <n v="2574657.79"/>
    <d v="2017-08-10T12:39:54"/>
    <d v="2018-02-10T00:00:00"/>
    <s v="0775192005"/>
    <s v=""/>
    <s v="0759882302"/>
    <n v="201217"/>
    <s v="00200002592"/>
    <s v="Retail"/>
    <s v="General Merchandise Stores"/>
    <s v="General Stores"/>
    <n v="2379976.25"/>
    <n v="0"/>
    <n v="0"/>
    <n v="1"/>
    <n v="0"/>
    <n v="0"/>
  </r>
  <r>
    <s v="KATHERINE NAKITENDE NABAKIBI"/>
    <x v="8"/>
    <n v="-24"/>
    <n v="6645099.4500000002"/>
    <x v="19"/>
    <n v="40608.94"/>
    <n v="7393598.6900000004"/>
    <d v="2017-08-10T15:27:13"/>
    <d v="2018-04-18T00:00:00"/>
    <s v="0782952419"/>
    <s v=""/>
    <s v="0701952419"/>
    <n v="201218"/>
    <s v="00200000519"/>
    <s v="Retail"/>
    <s v="General Merchandise Stores"/>
    <s v="General Stores"/>
    <n v="0"/>
    <n v="0"/>
    <n v="0"/>
    <n v="0"/>
    <n v="0"/>
    <n v="0"/>
  </r>
  <r>
    <s v="MILLY OBBO NABITEEKO"/>
    <x v="3"/>
    <n v="-16"/>
    <n v="19681836.120000001"/>
    <x v="19"/>
    <n v="298507.84999999998"/>
    <n v="23283888.579999998"/>
    <d v="2017-08-10T14:40:21"/>
    <d v="2018-08-10T00:00:00"/>
    <s v="0772434755"/>
    <s v=""/>
    <s v=""/>
    <n v="201219"/>
    <s v="00200000749"/>
    <s v="Retail"/>
    <s v="General Merchandise Stores"/>
    <s v="General Stores"/>
    <n v="0"/>
    <n v="0"/>
    <n v="0"/>
    <n v="0"/>
    <n v="0"/>
    <n v="0"/>
  </r>
  <r>
    <s v="PROSSY NAMUWAYA"/>
    <x v="7"/>
    <n v="14"/>
    <n v="1391087.38"/>
    <x v="15"/>
    <n v="25979.24"/>
    <n v="1493621.76"/>
    <d v="2017-08-10T15:43:39"/>
    <d v="2018-02-10T00:00:00"/>
    <s v="0759195126"/>
    <s v=""/>
    <s v=""/>
    <n v="201220"/>
    <s v="00200002571"/>
    <s v="Agriculture, Forestry, Fishing and Hunting"/>
    <s v="Forestry"/>
    <s v="Timber Tract Operations"/>
    <n v="1391087.38"/>
    <n v="0"/>
    <n v="0"/>
    <n v="1"/>
    <n v="0"/>
    <n v="0"/>
  </r>
  <r>
    <s v="GERTRUDE NABATANZI"/>
    <x v="7"/>
    <n v="-17"/>
    <n v="2219996.98"/>
    <x v="18"/>
    <n v="35519.949999999997"/>
    <n v="2589109.86"/>
    <d v="2017-08-11T15:33:41"/>
    <d v="2018-06-11T00:00:00"/>
    <s v="0782466593"/>
    <s v="0701915309"/>
    <s v=""/>
    <n v="201222"/>
    <s v="00200001180"/>
    <s v="Real Estate and Rental"/>
    <s v="Real Estate"/>
    <s v="Real Estate"/>
    <n v="0"/>
    <n v="0"/>
    <n v="0"/>
    <n v="0"/>
    <n v="0"/>
    <n v="0"/>
  </r>
  <r>
    <s v="AHUMADAH GANANTAWA"/>
    <x v="7"/>
    <n v="-17"/>
    <n v="2772877.6"/>
    <x v="4"/>
    <n v="44366.04"/>
    <n v="3356393.46"/>
    <d v="2017-08-11T14:46:22"/>
    <d v="2018-08-11T00:00:00"/>
    <s v="0753184972"/>
    <s v=""/>
    <s v="0782460696"/>
    <n v="201223"/>
    <s v="00200001553"/>
    <s v="Real Estate and Rental"/>
    <s v="Real Estate"/>
    <s v="Real Estate"/>
    <n v="0"/>
    <n v="0"/>
    <n v="0"/>
    <n v="0"/>
    <n v="0"/>
    <n v="0"/>
  </r>
  <r>
    <s v="RICHARD BALIRUNO"/>
    <x v="0"/>
    <n v="-20"/>
    <n v="3699994.94"/>
    <x v="16"/>
    <n v="44399.94"/>
    <n v="4315183.0599999996"/>
    <d v="2017-08-14T17:09:41"/>
    <d v="2018-06-14T00:00:00"/>
    <s v="0704144344"/>
    <s v=""/>
    <s v=""/>
    <n v="201225"/>
    <s v="00200001967"/>
    <s v="Real Estate and Rental"/>
    <s v="Rental"/>
    <s v="General Rental Centers"/>
    <n v="0"/>
    <n v="0"/>
    <n v="0"/>
    <n v="0"/>
    <n v="0"/>
    <n v="0"/>
  </r>
  <r>
    <s v="MAGRETE NANNYONJA"/>
    <x v="7"/>
    <n v="13"/>
    <n v="2894261.73"/>
    <x v="6"/>
    <n v="42318.05"/>
    <n v="3219940.29"/>
    <d v="2017-08-11T16:47:52"/>
    <d v="2018-04-11T00:00:00"/>
    <s v="0706518002"/>
    <s v=""/>
    <s v="0703597822"/>
    <n v="201226"/>
    <s v="00200001139"/>
    <s v="Retail"/>
    <s v="Building Material and Garden Equipment"/>
    <s v="Hardware Stores"/>
    <n v="2894261.73"/>
    <n v="0"/>
    <n v="0"/>
    <n v="1"/>
    <n v="0"/>
    <n v="0"/>
  </r>
  <r>
    <s v="SYLVESTER KATAVA NTABAAZI"/>
    <x v="0"/>
    <n v="-20"/>
    <n v="2131859.11"/>
    <x v="1"/>
    <n v="28780.1"/>
    <n v="2326540.65"/>
    <d v="2017-08-14T16:36:08"/>
    <d v="2018-02-14T00:00:00"/>
    <s v="0782321704"/>
    <s v=""/>
    <s v=""/>
    <n v="201227"/>
    <s v="00200002579"/>
    <s v="Retail"/>
    <s v="General Merchandise Stores"/>
    <s v="General Stores"/>
    <n v="0"/>
    <n v="0"/>
    <n v="0"/>
    <n v="0"/>
    <n v="0"/>
    <n v="0"/>
  </r>
  <r>
    <s v="BEATRICE KICONCO"/>
    <x v="8"/>
    <n v="-20"/>
    <n v="5522595.8200000003"/>
    <x v="35"/>
    <n v="60748.55"/>
    <n v="6583598.7199999997"/>
    <d v="2017-08-14T18:12:55"/>
    <d v="2018-08-14T00:00:00"/>
    <s v="0772892934"/>
    <s v=""/>
    <s v=""/>
    <n v="201228"/>
    <s v="00200001114"/>
    <s v="Retail"/>
    <s v="General Merchandise Stores"/>
    <s v="General Stores"/>
    <n v="0"/>
    <n v="0"/>
    <n v="0"/>
    <n v="0"/>
    <n v="0"/>
    <n v="0"/>
  </r>
  <r>
    <s v="JOSEPH SSENTUME"/>
    <x v="0"/>
    <n v="-20"/>
    <n v="5179992.92"/>
    <x v="25"/>
    <n v="62159.92"/>
    <n v="6041256.29"/>
    <d v="2017-08-14T15:14:57"/>
    <d v="2018-06-14T00:00:00"/>
    <s v="0703664032"/>
    <s v=""/>
    <s v=""/>
    <n v="201229"/>
    <s v="00200001486"/>
    <s v="Manufacturing"/>
    <s v="Primary Metal Manufacturing"/>
    <s v="Alumina &amp; Aluminum"/>
    <n v="0"/>
    <n v="0"/>
    <n v="0"/>
    <n v="0"/>
    <n v="0"/>
    <n v="0"/>
  </r>
  <r>
    <s v="SALAAMA NABISOOLI"/>
    <x v="7"/>
    <n v="-20"/>
    <n v="2376752.21"/>
    <x v="14"/>
    <n v="28521.03"/>
    <n v="2876908.67"/>
    <d v="2017-08-14T16:37:26"/>
    <d v="2018-08-14T00:00:00"/>
    <s v="0753042914"/>
    <s v=""/>
    <s v=""/>
    <n v="201230"/>
    <s v="00200001768"/>
    <s v="Real Estate and Rental"/>
    <s v="Rental"/>
    <s v="Others"/>
    <n v="0"/>
    <n v="0"/>
    <n v="0"/>
    <n v="0"/>
    <n v="0"/>
    <n v="0"/>
  </r>
  <r>
    <s v="SANDE FRANCIS TWAGIRAMUNGU"/>
    <x v="0"/>
    <n v="-21"/>
    <n v="1598894.34"/>
    <x v="36"/>
    <n v="19186.73"/>
    <n v="1744905.5"/>
    <d v="2017-08-15T16:47:29"/>
    <d v="2018-02-15T00:00:00"/>
    <s v="0783079531"/>
    <s v=""/>
    <s v="0758281369"/>
    <n v="201231"/>
    <s v="00200002600"/>
    <s v="Retail"/>
    <s v="General Merchandise Stores"/>
    <s v="General Stores"/>
    <n v="0"/>
    <n v="0"/>
    <n v="0"/>
    <n v="0"/>
    <n v="0"/>
    <n v="0"/>
  </r>
  <r>
    <s v="SALIFU TABINGWA KAKUSU"/>
    <x v="0"/>
    <n v="-22"/>
    <n v="1332411.94"/>
    <x v="36"/>
    <n v="13990.33"/>
    <n v="1454087.91"/>
    <d v="2017-08-16T16:38:04"/>
    <d v="2018-02-16T00:00:00"/>
    <s v="0758874403"/>
    <s v=""/>
    <s v="0788727533"/>
    <n v="201232"/>
    <s v="00200002598"/>
    <s v="Retail"/>
    <s v="Building Material and Garden Equipment"/>
    <s v="Hardware Stores"/>
    <n v="0"/>
    <n v="0"/>
    <n v="0"/>
    <n v="0"/>
    <n v="0"/>
    <n v="0"/>
  </r>
  <r>
    <s v="IBRAHIM KISUMBI KITENDA"/>
    <x v="0"/>
    <n v="-22"/>
    <n v="2131859.11"/>
    <x v="38"/>
    <n v="22384.52"/>
    <n v="2326540.65"/>
    <d v="2017-08-16T16:12:15"/>
    <d v="2018-02-16T00:00:00"/>
    <s v="0757526520"/>
    <s v=""/>
    <s v="0775201505"/>
    <n v="201233"/>
    <s v="00200002621"/>
    <s v="Retail"/>
    <s v="Building Material and Garden Equipment"/>
    <s v="Hardware Stores"/>
    <n v="0"/>
    <n v="0"/>
    <n v="0"/>
    <n v="0"/>
    <n v="0"/>
    <n v="0"/>
  </r>
  <r>
    <s v="MICHAEL LUGONVU"/>
    <x v="0"/>
    <n v="-22"/>
    <n v="4439993.91"/>
    <x v="15"/>
    <n v="41439.94"/>
    <n v="5178219.63"/>
    <d v="2017-08-16T12:27:08"/>
    <d v="2018-06-16T00:00:00"/>
    <s v="0774829576"/>
    <s v=""/>
    <s v=""/>
    <n v="201234"/>
    <s v="00200001880"/>
    <s v="Retail"/>
    <s v="General Merchandise Stores"/>
    <s v="General Stores"/>
    <n v="0"/>
    <n v="0"/>
    <n v="0"/>
    <n v="0"/>
    <n v="0"/>
    <n v="0"/>
  </r>
  <r>
    <s v="JIMMY SSEMPESWA"/>
    <x v="0"/>
    <n v="-22"/>
    <n v="6338005.9000000004"/>
    <x v="22"/>
    <n v="59154.720000000001"/>
    <n v="7671756.4299999997"/>
    <d v="2017-08-16T16:34:55"/>
    <d v="2018-08-16T00:00:00"/>
    <s v="0779533141"/>
    <s v=""/>
    <s v="075748158"/>
    <n v="201235"/>
    <s v="00200001888"/>
    <s v="Retail"/>
    <s v="General Merchandise Stores"/>
    <s v="General Stores"/>
    <n v="0"/>
    <n v="0"/>
    <n v="0"/>
    <n v="0"/>
    <n v="0"/>
    <n v="0"/>
  </r>
  <r>
    <s v="CHRISTINE KABAJAASI"/>
    <x v="7"/>
    <n v="8"/>
    <n v="2448249.4"/>
    <x v="23"/>
    <n v="20719.97"/>
    <n v="2817362.28"/>
    <d v="2017-08-16T16:16:15"/>
    <d v="2018-06-16T00:00:00"/>
    <s v="0782406596"/>
    <s v=""/>
    <s v="0701406596"/>
    <n v="201236"/>
    <s v="00200000799"/>
    <s v="Retail"/>
    <s v="General Merchandise Stores"/>
    <s v="General Stores"/>
    <n v="2448249.4"/>
    <n v="0"/>
    <n v="0"/>
    <n v="1"/>
    <n v="0"/>
    <n v="0"/>
  </r>
  <r>
    <s v="CHARLES NKOOTO"/>
    <x v="0"/>
    <n v="8"/>
    <n v="4150432.37"/>
    <x v="1"/>
    <n v="132480.18"/>
    <n v="4863567.38"/>
    <d v="2017-08-16T17:09:05"/>
    <d v="2018-06-16T00:00:00"/>
    <s v="0759485183"/>
    <s v=""/>
    <s v=""/>
    <n v="201237"/>
    <s v="00200002088"/>
    <s v="Retail"/>
    <s v="General Merchandise Stores"/>
    <s v="Others"/>
    <n v="4150432.37"/>
    <n v="0"/>
    <n v="0"/>
    <n v="1"/>
    <n v="0"/>
    <n v="0"/>
  </r>
  <r>
    <s v="BOSCO MWEBESA"/>
    <x v="1"/>
    <n v="-23"/>
    <n v="21911376.800000001"/>
    <x v="16"/>
    <n v="131468.26"/>
    <n v="24618406.370000001"/>
    <d v="2017-08-17T16:22:28"/>
    <d v="2018-06-17T00:00:00"/>
    <s v="0703876288"/>
    <s v=""/>
    <s v=""/>
    <n v="201238"/>
    <s v="00200000225"/>
    <s v="Wholesale Trade"/>
    <s v="Durable Goods"/>
    <s v="Hardware, &amp; Plumbing &amp; Heating Equipment"/>
    <n v="0"/>
    <n v="0"/>
    <n v="0"/>
    <n v="0"/>
    <n v="0"/>
    <n v="0"/>
  </r>
  <r>
    <s v="HALUNAH KITENDA"/>
    <x v="3"/>
    <n v="-23"/>
    <n v="26196411.280000001"/>
    <x v="4"/>
    <n v="183374.88"/>
    <n v="34117578.420000002"/>
    <d v="2017-08-17T13:12:33"/>
    <d v="2019-02-17T00:00:00"/>
    <s v="0772518352"/>
    <s v=""/>
    <s v=""/>
    <n v="201240"/>
    <s v="00200000360"/>
    <s v="Transportation and Warehousing"/>
    <s v="Truck Transportation"/>
    <s v="General Freight Trucking, Long-distance"/>
    <n v="0"/>
    <n v="0"/>
    <n v="0"/>
    <n v="0"/>
    <n v="0"/>
    <n v="0"/>
  </r>
  <r>
    <s v="HENRY WANDAMA"/>
    <x v="0"/>
    <n v="-25"/>
    <n v="10299259.609999999"/>
    <x v="16"/>
    <n v="54929.38"/>
    <n v="12466604.23"/>
    <d v="2017-08-19T12:13:02"/>
    <d v="2018-08-19T00:00:00"/>
    <s v="0774582276"/>
    <s v="0757867957"/>
    <s v=""/>
    <n v="201241"/>
    <s v="00200000835"/>
    <s v="Educational Services"/>
    <s v="Educational Services"/>
    <s v="Schools"/>
    <n v="0"/>
    <n v="0"/>
    <n v="0"/>
    <n v="0"/>
    <n v="0"/>
    <n v="0"/>
  </r>
  <r>
    <s v="IGA TOMUSANGE"/>
    <x v="0"/>
    <n v="-24"/>
    <n v="3327814.25"/>
    <x v="39"/>
    <n v="24958.61"/>
    <n v="3790241.31"/>
    <d v="2017-08-18T15:53:09"/>
    <d v="2018-04-18T00:00:00"/>
    <s v="0782683511"/>
    <s v="0703326436"/>
    <s v=""/>
    <n v="201243"/>
    <s v="00200002564"/>
    <s v="Retail"/>
    <s v="General Merchandise Stores"/>
    <s v="General Stores"/>
    <n v="0"/>
    <n v="0"/>
    <n v="0"/>
    <n v="0"/>
    <n v="0"/>
    <n v="0"/>
  </r>
  <r>
    <s v="ROBERT KAWEESA"/>
    <x v="0"/>
    <n v="-25"/>
    <n v="2234137.79"/>
    <x v="40"/>
    <n v="13404.83"/>
    <n v="2653955.2400000002"/>
    <d v="2017-08-19T11:45:37"/>
    <d v="2018-06-19T00:00:00"/>
    <s v="0776455362"/>
    <s v=""/>
    <s v="0752455362"/>
    <n v="201244"/>
    <s v="00200002623"/>
    <s v="Agriculture, Forestry, Fishing and Hunting"/>
    <s v="Animal Production"/>
    <s v="Poultry &amp; Egg Production"/>
    <n v="0"/>
    <n v="0"/>
    <n v="0"/>
    <n v="0"/>
    <n v="0"/>
    <n v="0"/>
  </r>
  <r>
    <s v="MWANJE MARK MICHEAL"/>
    <x v="0"/>
    <n v="1"/>
    <n v="2917531.08"/>
    <x v="39"/>
    <n v="131288.9"/>
    <n v="3481647"/>
    <d v="2017-08-23T14:52:19"/>
    <d v="2018-06-23T00:00:00"/>
    <s v="0758378103"/>
    <s v=""/>
    <s v=""/>
    <n v="201245"/>
    <s v="00200002518"/>
    <s v="Retail"/>
    <s v="General Merchandise Stores"/>
    <s v="General Stores"/>
    <n v="2917531.08"/>
    <n v="0"/>
    <n v="0"/>
    <n v="1"/>
    <n v="0"/>
    <n v="0"/>
  </r>
  <r>
    <s v="JOHN SELUYINZA KAYOMBYA"/>
    <x v="0"/>
    <n v="-24"/>
    <n v="1992851.37"/>
    <x v="37"/>
    <n v="14946.39"/>
    <n v="2467489.2400000002"/>
    <d v="2017-08-18T16:31:04"/>
    <d v="2018-08-18T00:00:00"/>
    <s v="0785783612"/>
    <s v=""/>
    <s v=""/>
    <n v="201246"/>
    <s v="00200002609"/>
    <s v="Agriculture, Forestry, Fishing and Hunting"/>
    <s v="Animal Production"/>
    <s v="Dairy Cattle &amp; Milk Production"/>
    <n v="0"/>
    <n v="0"/>
    <n v="0"/>
    <n v="0"/>
    <n v="0"/>
    <n v="0"/>
  </r>
  <r>
    <s v="PETER SOZI"/>
    <x v="1"/>
    <n v="5"/>
    <n v="17679498.629999999"/>
    <x v="11"/>
    <n v="66705.03"/>
    <n v="21107220.420000002"/>
    <d v="2017-08-19T12:14:19"/>
    <d v="2018-11-19T00:00:00"/>
    <s v="0772417637"/>
    <s v=""/>
    <s v=""/>
    <n v="201247"/>
    <s v="00200000169"/>
    <s v="Real Estate and Rental"/>
    <s v="Rental"/>
    <s v="General Rental Centers"/>
    <n v="17679498.629999999"/>
    <n v="0"/>
    <n v="0"/>
    <n v="1"/>
    <n v="0"/>
    <n v="0"/>
  </r>
  <r>
    <s v="ALICE KIKU"/>
    <x v="7"/>
    <n v="-25"/>
    <n v="1584501.47"/>
    <x v="10"/>
    <n v="8450.67"/>
    <n v="1917939.12"/>
    <d v="2017-08-19T12:35:36"/>
    <d v="2018-08-19T00:00:00"/>
    <s v="0772995337"/>
    <s v=""/>
    <s v=""/>
    <n v="201248"/>
    <s v="00200000550"/>
    <s v="Retail"/>
    <s v="General Merchandise Stores"/>
    <s v="General Stores"/>
    <n v="0"/>
    <n v="0"/>
    <n v="0"/>
    <n v="0"/>
    <n v="0"/>
    <n v="0"/>
  </r>
  <r>
    <s v="RACHEAL TEFFE TUSUBIRA"/>
    <x v="7"/>
    <n v="3"/>
    <n v="2736941.4"/>
    <x v="6"/>
    <n v="72618.350000000006"/>
    <n v="3126270.28"/>
    <d v="2017-08-21T15:55:21"/>
    <d v="2018-04-21T00:00:00"/>
    <s v="0703719484"/>
    <s v=""/>
    <s v=""/>
    <n v="201249"/>
    <s v="00200002612"/>
    <s v="Retail"/>
    <s v="General Merchandise Stores"/>
    <s v="General Stores"/>
    <n v="2736941.4"/>
    <n v="0"/>
    <n v="0"/>
    <n v="1"/>
    <n v="0"/>
    <n v="0"/>
  </r>
  <r>
    <s v="JAMADA KAYIMA"/>
    <x v="0"/>
    <n v="-27"/>
    <n v="7922507.3700000001"/>
    <x v="22"/>
    <n v="21126.69"/>
    <n v="9589695.5299999993"/>
    <d v="2017-08-21T16:42:36"/>
    <d v="2018-08-21T00:00:00"/>
    <s v="0752054068"/>
    <s v=""/>
    <s v=""/>
    <n v="201250"/>
    <s v="00200000556"/>
    <s v="Retail"/>
    <s v="General Merchandise Stores"/>
    <s v="General Stores"/>
    <n v="0"/>
    <n v="0"/>
    <n v="0"/>
    <n v="0"/>
    <n v="0"/>
    <n v="0"/>
  </r>
  <r>
    <s v="AFUWA SALLY SSENDAGALA"/>
    <x v="7"/>
    <n v="-27"/>
    <n v="1331125.69"/>
    <x v="29"/>
    <n v="3993.38"/>
    <n v="1516096.53"/>
    <d v="2017-08-21T17:10:28"/>
    <d v="2018-04-21T00:00:00"/>
    <s v="0757839006"/>
    <s v=""/>
    <s v="0781711086"/>
    <n v="201251"/>
    <s v="00200002619"/>
    <s v="Real Estate and Rental"/>
    <s v="Rental"/>
    <s v="Others"/>
    <n v="0"/>
    <n v="0"/>
    <n v="0"/>
    <n v="0"/>
    <n v="0"/>
    <n v="0"/>
  </r>
  <r>
    <s v="FRIDA MUKWABA"/>
    <x v="7"/>
    <n v="2"/>
    <n v="1127164.3600000001"/>
    <x v="29"/>
    <n v="1675.6"/>
    <n v="1337073.1100000001"/>
    <d v="2017-08-22T09:29:29"/>
    <d v="2018-06-22T00:00:00"/>
    <s v="0782742807"/>
    <s v=""/>
    <s v="0755918868"/>
    <n v="201252"/>
    <s v="00200002620"/>
    <s v="Real Estate and Rental"/>
    <s v="Real Estate"/>
    <s v="Real Estate"/>
    <n v="1127164.3600000001"/>
    <n v="0"/>
    <n v="0"/>
    <n v="1"/>
    <n v="0"/>
    <n v="0"/>
  </r>
  <r>
    <s v="GERTRUDE KATUNDU"/>
    <x v="8"/>
    <n v="-28"/>
    <n v="7100480.3399999999"/>
    <x v="35"/>
    <n v="8678.36"/>
    <n v="8464626.9100000001"/>
    <d v="2017-08-22T13:03:57"/>
    <d v="2018-08-22T00:00:00"/>
    <s v="0703570177"/>
    <s v=""/>
    <s v=""/>
    <n v="201254"/>
    <s v="00200002027"/>
    <s v="Retail"/>
    <s v="General Merchandise Stores"/>
    <s v="General Stores"/>
    <n v="0"/>
    <n v="0"/>
    <n v="0"/>
    <n v="0"/>
    <n v="0"/>
    <n v="0"/>
  </r>
  <r>
    <s v="ALLEN NAKYANZI KALONGO"/>
    <x v="3"/>
    <n v="-28"/>
    <n v="13383648.550000001"/>
    <x v="35"/>
    <n v="15614.26"/>
    <n v="15833044.220000001"/>
    <d v="2017-08-22T15:19:49"/>
    <d v="2018-08-22T00:00:00"/>
    <s v="0772687618"/>
    <s v=""/>
    <s v=""/>
    <n v="201255"/>
    <s v="00200001095"/>
    <s v="Retail"/>
    <s v="General Merchandise Stores"/>
    <s v="General Stores"/>
    <n v="0"/>
    <n v="0"/>
    <n v="0"/>
    <n v="0"/>
    <n v="0"/>
    <n v="0"/>
  </r>
  <r>
    <s v="ADI MADADA"/>
    <x v="0"/>
    <n v="-28"/>
    <n v="2234137.79"/>
    <x v="38"/>
    <n v="3351.21"/>
    <n v="2653955.2400000002"/>
    <d v="2017-08-22T14:27:40"/>
    <d v="2018-06-22T00:00:00"/>
    <s v="0782200175"/>
    <s v=""/>
    <s v=""/>
    <n v="201256"/>
    <s v="00200002647"/>
    <s v="Retail"/>
    <s v="General Merchandise Stores"/>
    <s v="General Stores"/>
    <n v="0"/>
    <n v="0"/>
    <n v="0"/>
    <n v="0"/>
    <n v="0"/>
    <n v="0"/>
  </r>
  <r>
    <s v="AUGUSTINE KYOOBE"/>
    <x v="10"/>
    <n v="-27"/>
    <n v="757210.05"/>
    <x v="17"/>
    <n v="1051.68"/>
    <n v="788977.3"/>
    <d v="2017-08-22T15:11:01"/>
    <d v="2018-02-21T00:00:00"/>
    <s v="0701936301"/>
    <s v=""/>
    <s v=""/>
    <n v="201257"/>
    <s v="00200000175"/>
    <s v="Other Services"/>
    <s v="Others"/>
    <s v="Others"/>
    <n v="0"/>
    <n v="0"/>
    <n v="0"/>
    <n v="0"/>
    <n v="0"/>
    <n v="0"/>
  </r>
  <r>
    <s v="TEDDY NAKISEKKA"/>
    <x v="7"/>
    <n v="2"/>
    <n v="2728654.36"/>
    <x v="38"/>
    <n v="3494.2"/>
    <n v="3052353.3"/>
    <d v="2017-08-22T17:31:34"/>
    <d v="2018-04-22T00:00:00"/>
    <s v="0772439183"/>
    <s v=""/>
    <s v="0704533632"/>
    <n v="201258"/>
    <s v="00200002634"/>
    <s v="Retail"/>
    <s v="General Merchandise Stores"/>
    <s v="General Stores"/>
    <n v="2728654.36"/>
    <n v="0"/>
    <n v="0"/>
    <n v="1"/>
    <n v="0"/>
    <n v="0"/>
  </r>
  <r>
    <s v="SYLIVIA NABAWESI"/>
    <x v="10"/>
    <n v="-27"/>
    <n v="1783071.03"/>
    <x v="17"/>
    <n v="2476.4899999999998"/>
    <n v="1857876.25"/>
    <d v="2017-08-23T14:44:12"/>
    <d v="2018-02-21T00:00:00"/>
    <s v="0779909371"/>
    <s v=""/>
    <s v=""/>
    <n v="201259"/>
    <s v="00200001611"/>
    <s v="Other Services"/>
    <s v="Others"/>
    <s v="Others"/>
    <n v="0"/>
    <n v="0"/>
    <n v="0"/>
    <n v="0"/>
    <n v="0"/>
    <n v="0"/>
  </r>
  <r>
    <s v="RASHIDAH KAKANDE KAJUMBA"/>
    <x v="9"/>
    <n v="1"/>
    <n v="9343238.6799999997"/>
    <x v="1"/>
    <n v="373729.55"/>
    <n v="10669831.890000001"/>
    <d v="2017-08-23T16:35:23"/>
    <d v="2018-04-23T00:00:00"/>
    <s v="0758946436"/>
    <s v="0772599946"/>
    <s v=""/>
    <n v="201260"/>
    <s v="00200002631"/>
    <s v="Retail"/>
    <s v="General Merchandise Stores"/>
    <s v="General Stores"/>
    <n v="9343238.6799999997"/>
    <n v="0"/>
    <n v="0"/>
    <n v="1"/>
    <n v="0"/>
    <n v="0"/>
  </r>
  <r>
    <s v="EDWARD KIYINGI KIPUYA"/>
    <x v="0"/>
    <n v="0"/>
    <n v="1954958.15"/>
    <x v="16"/>
    <n v="85040.68"/>
    <n v="2274144.7999999998"/>
    <d v="2017-08-24T13:31:32"/>
    <d v="2018-04-24T00:00:00"/>
    <s v="0752055801"/>
    <s v=""/>
    <s v=""/>
    <n v="201261"/>
    <s v="00200002599"/>
    <s v="Real Estate and Rental"/>
    <s v="Rental"/>
    <s v="Others"/>
    <n v="0"/>
    <n v="0"/>
    <n v="0"/>
    <n v="0"/>
    <n v="0"/>
    <n v="0"/>
  </r>
  <r>
    <s v="KISINGIRI EDDIE KANOONYA"/>
    <x v="0"/>
    <n v="0"/>
    <n v="3334321.23"/>
    <x v="15"/>
    <n v="145042.97"/>
    <n v="4044122.3"/>
    <d v="2017-08-24T15:43:54"/>
    <d v="2018-06-24T00:00:00"/>
    <s v="0700721051"/>
    <s v="0772426295"/>
    <s v=""/>
    <n v="201262"/>
    <s v="00200002625"/>
    <s v="Retail"/>
    <s v="General Merchandise Stores"/>
    <s v="General Stores"/>
    <n v="0"/>
    <n v="0"/>
    <n v="0"/>
    <n v="0"/>
    <n v="0"/>
    <n v="0"/>
  </r>
  <r>
    <s v="MWESIGWA MATHIAS"/>
    <x v="0"/>
    <n v="-1"/>
    <n v="5001481.8600000003"/>
    <x v="31"/>
    <n v="210062.24"/>
    <n v="6066183.4400000004"/>
    <d v="2017-08-25T15:52:07"/>
    <d v="2018-06-25T00:00:00"/>
    <s v="0775154857"/>
    <s v=""/>
    <s v=""/>
    <n v="201263"/>
    <s v="00200002646"/>
    <s v="Retail"/>
    <s v="General Merchandise Stores"/>
    <s v="General Stores"/>
    <n v="0"/>
    <n v="0"/>
    <n v="0"/>
    <n v="0"/>
    <n v="0"/>
    <n v="0"/>
  </r>
  <r>
    <s v="RICHARD SSALONGO MAYENGO"/>
    <x v="0"/>
    <n v="-1"/>
    <n v="8642335.6699999999"/>
    <x v="26"/>
    <n v="322647.2"/>
    <n v="10655217.26"/>
    <d v="2017-08-25T12:05:30"/>
    <d v="2018-08-25T00:00:00"/>
    <s v="0772980556"/>
    <s v=""/>
    <s v="0702980556"/>
    <n v="201265"/>
    <s v="00200002061"/>
    <s v="Agriculture, Forestry, Fishing and Hunting"/>
    <s v="Crop Production"/>
    <s v="Others"/>
    <n v="0"/>
    <n v="0"/>
    <n v="0"/>
    <n v="0"/>
    <n v="0"/>
    <n v="0"/>
  </r>
  <r>
    <s v="MARIAM NASSUNA"/>
    <x v="1"/>
    <n v="-7"/>
    <n v="8640396.2799999993"/>
    <x v="25"/>
    <n v="211209.69"/>
    <n v="10302240.470000001"/>
    <d v="2017-08-26T11:21:06"/>
    <d v="2018-09-01T00:00:00"/>
    <s v="0702116757"/>
    <s v=""/>
    <s v=""/>
    <n v="201267"/>
    <s v="00200002632"/>
    <s v="Real Estate and Rental"/>
    <s v="Rental"/>
    <s v="Others"/>
    <n v="0"/>
    <n v="0"/>
    <n v="0"/>
    <n v="0"/>
    <n v="0"/>
    <n v="0"/>
  </r>
  <r>
    <s v="MOHAMED SSEBULIME"/>
    <x v="3"/>
    <n v="23"/>
    <n v="23705861.850000001"/>
    <x v="20"/>
    <n v="679326.23"/>
    <n v="32346891.260000002"/>
    <d v="2017-08-26T12:07:06"/>
    <d v="2019-03-01T00:00:00"/>
    <s v="0702210122"/>
    <s v="0701901333"/>
    <s v=""/>
    <n v="201268"/>
    <s v="00200002577"/>
    <s v="Retail"/>
    <s v="General Merchandise Stores"/>
    <s v="General Stores"/>
    <n v="23705861.850000001"/>
    <n v="0"/>
    <n v="0"/>
    <n v="1"/>
    <n v="0"/>
    <n v="0"/>
  </r>
  <r>
    <s v="SSENFUMA ISMA"/>
    <x v="0"/>
    <n v="-7"/>
    <n v="13109783.550000001"/>
    <x v="25"/>
    <n v="432622.86"/>
    <n v="16567989.98"/>
    <d v="2017-08-26T12:36:33"/>
    <d v="2018-09-01T00:00:00"/>
    <s v="0752955627"/>
    <s v=""/>
    <s v=""/>
    <n v="201269"/>
    <s v="00200002540"/>
    <s v="Retail"/>
    <s v="Building Material and Garden Equipment"/>
    <s v="Hardware Stores"/>
    <n v="0"/>
    <n v="0"/>
    <n v="0"/>
    <n v="0"/>
    <n v="0"/>
    <n v="0"/>
  </r>
  <r>
    <s v="PATRICK NAHABWE MUGAMBAGYE"/>
    <x v="1"/>
    <n v="-7"/>
    <n v="15519445.48"/>
    <x v="41"/>
    <n v="379364.22"/>
    <n v="18504366.510000002"/>
    <d v="2017-08-28T11:38:23"/>
    <d v="2018-09-01T00:00:00"/>
    <s v="0772591776"/>
    <s v=""/>
    <s v=""/>
    <n v="201270"/>
    <s v="00200002611"/>
    <s v="Real Estate and Rental"/>
    <s v="Rental"/>
    <s v="Others"/>
    <n v="0"/>
    <n v="0"/>
    <n v="0"/>
    <n v="0"/>
    <n v="0"/>
    <n v="0"/>
  </r>
  <r>
    <s v="HARRIET NAMATTA"/>
    <x v="8"/>
    <n v="23"/>
    <n v="6351849.1299999999"/>
    <x v="12"/>
    <n v="328138.06"/>
    <n v="7387073.5800000001"/>
    <d v="2017-08-28T17:04:06"/>
    <d v="2018-06-01T00:00:00"/>
    <s v="0772378465"/>
    <s v=""/>
    <s v=""/>
    <n v="201271"/>
    <s v="00200002363"/>
    <s v="Retail"/>
    <s v="General Merchandise Stores"/>
    <s v="General Stores"/>
    <n v="6351849.1299999999"/>
    <n v="0"/>
    <n v="0"/>
    <n v="1"/>
    <n v="0"/>
    <n v="0"/>
  </r>
  <r>
    <s v="JOSEPHINE KIMBOWA NNANSUMBA"/>
    <x v="7"/>
    <n v="-7"/>
    <n v="3348679.55"/>
    <x v="13"/>
    <n v="110506.43"/>
    <n v="4061537.16"/>
    <d v="2017-08-28T16:46:37"/>
    <d v="2018-07-01T00:00:00"/>
    <s v="0772403776"/>
    <s v=""/>
    <s v=""/>
    <n v="201272"/>
    <s v="00200002628"/>
    <s v="Retail"/>
    <s v="Food and Beverage Stores"/>
    <s v="Fruit &amp; Vegetable Markets"/>
    <n v="0"/>
    <n v="0"/>
    <n v="0"/>
    <n v="0"/>
    <n v="0"/>
    <n v="0"/>
  </r>
  <r>
    <s v="JOSEPH WAMUKANGU MUTSONGO"/>
    <x v="3"/>
    <n v="-7"/>
    <n v="21515879.079999998"/>
    <x v="11"/>
    <n v="627546.47"/>
    <n v="5174197.46"/>
    <d v="2017-08-28T16:15:14"/>
    <d v="2018-09-01T00:00:00"/>
    <s v="0752487173"/>
    <s v=""/>
    <s v="078502311"/>
    <n v="201273"/>
    <s v="00200002158"/>
    <s v="Real Estate and Rental"/>
    <s v="Rental"/>
    <s v="Others"/>
    <n v="0"/>
    <n v="0"/>
    <n v="0"/>
    <n v="0"/>
    <n v="0"/>
    <n v="0"/>
  </r>
  <r>
    <s v="ESEZA NAKAYENZE"/>
    <x v="0"/>
    <n v="-7"/>
    <n v="2925906.77"/>
    <x v="37"/>
    <n v="96554.92"/>
    <n v="3548765.69"/>
    <d v="2017-08-29T17:07:01"/>
    <d v="2018-07-01T00:00:00"/>
    <s v="0776318409"/>
    <s v=""/>
    <s v="0755318409"/>
    <n v="201275"/>
    <s v="00200002649"/>
    <s v="Transportation and Warehousing"/>
    <s v=" Passenger Transportation"/>
    <s v="Taxi service"/>
    <n v="0"/>
    <n v="0"/>
    <n v="0"/>
    <n v="0"/>
    <n v="0"/>
    <n v="0"/>
  </r>
  <r>
    <s v="ROBERT LUGOLOBI GGITA"/>
    <x v="0"/>
    <n v="-7"/>
    <n v="2507920.08"/>
    <x v="38"/>
    <n v="82761.36"/>
    <n v="3041799.14"/>
    <d v="2017-08-29T16:53:52"/>
    <d v="2018-07-01T00:00:00"/>
    <s v="0785312994"/>
    <s v=""/>
    <s v="0712358643"/>
    <n v="201276"/>
    <s v="00200002615"/>
    <s v="Retail"/>
    <s v="General Merchandise Stores"/>
    <s v="Others"/>
    <n v="0"/>
    <n v="0"/>
    <n v="0"/>
    <n v="0"/>
    <n v="0"/>
    <n v="0"/>
  </r>
  <r>
    <s v="LILLIAN LISSA"/>
    <x v="3"/>
    <n v="23"/>
    <n v="19006250.460000001"/>
    <x v="35"/>
    <n v="1075106.75"/>
    <n v="24315484.489999998"/>
    <d v="2017-08-29T16:55:23"/>
    <d v="2018-12-01T00:00:00"/>
    <s v="0786951322"/>
    <s v=""/>
    <s v=""/>
    <n v="201277"/>
    <s v="00200001134"/>
    <s v="Retail"/>
    <s v="General Merchandise Stores"/>
    <s v="General Stores"/>
    <n v="19006250.460000001"/>
    <n v="0"/>
    <n v="0"/>
    <n v="1"/>
    <n v="0"/>
    <n v="0"/>
  </r>
  <r>
    <s v="DOROTHY KIMBUGWE"/>
    <x v="1"/>
    <n v="-7"/>
    <n v="13375781.220000001"/>
    <x v="35"/>
    <n v="294267.19"/>
    <n v="16350341.890000001"/>
    <d v="2017-08-30T12:10:08"/>
    <d v="2018-12-01T00:00:00"/>
    <s v="0776306038"/>
    <s v=""/>
    <s v=""/>
    <n v="201278"/>
    <s v="00200001218"/>
    <s v="Retail"/>
    <s v="General Merchandise Stores"/>
    <s v="General Stores"/>
    <n v="0"/>
    <n v="0"/>
    <n v="0"/>
    <n v="0"/>
    <n v="0"/>
    <n v="0"/>
  </r>
  <r>
    <s v="BENON KAYEMBA"/>
    <x v="1"/>
    <n v="-7"/>
    <n v="21444849.199999999"/>
    <x v="1"/>
    <n v="471786.68"/>
    <n v="25139905.350000001"/>
    <d v="2017-08-31T12:01:35"/>
    <d v="2018-09-01T00:00:00"/>
    <s v="0751022144"/>
    <s v=""/>
    <s v="0782884933"/>
    <n v="201279"/>
    <s v="00200001428"/>
    <s v="Real Estate and Rental"/>
    <s v="Real Estate"/>
    <s v="Real Estate"/>
    <n v="0"/>
    <n v="0"/>
    <n v="0"/>
    <n v="0"/>
    <n v="0"/>
    <n v="0"/>
  </r>
  <r>
    <s v="MUKISA ESTHER NAMUTEBI LISCHA"/>
    <x v="9"/>
    <n v="-7"/>
    <n v="10339263.41"/>
    <x v="14"/>
    <n v="265374.43"/>
    <n v="12432071.76"/>
    <d v="2017-08-31T17:07:01"/>
    <d v="2018-09-01T00:00:00"/>
    <s v="0772484968"/>
    <s v=""/>
    <s v=""/>
    <n v="201280"/>
    <s v="00200001561"/>
    <s v="Retail"/>
    <s v="General Merchandise Stores"/>
    <s v="General Stores"/>
    <n v="0"/>
    <n v="0"/>
    <n v="0"/>
    <n v="0"/>
    <n v="0"/>
    <n v="0"/>
  </r>
  <r>
    <s v="ALEX MPALANYI GWAVU"/>
    <x v="0"/>
    <n v="-7"/>
    <n v="7788074.04"/>
    <x v="35"/>
    <n v="228450.17"/>
    <n v="9601990.0399999991"/>
    <d v="2017-08-31T15:20:25"/>
    <d v="2018-09-01T00:00:00"/>
    <s v="0753507608"/>
    <s v=""/>
    <s v=""/>
    <n v="201281"/>
    <s v="00200001478"/>
    <s v="Retail"/>
    <s v="General Merchandise Stores"/>
    <s v="General Stores"/>
    <n v="0"/>
    <n v="0"/>
    <n v="0"/>
    <n v="0"/>
    <n v="0"/>
    <n v="0"/>
  </r>
  <r>
    <s v="JOHN MWESIGYE"/>
    <x v="0"/>
    <n v="-10"/>
    <n v="3320345.89"/>
    <x v="25"/>
    <n v="84115.43"/>
    <n v="3945310.21"/>
    <d v="2017-09-04T13:23:04"/>
    <d v="2018-07-04T00:00:00"/>
    <s v="0754237826"/>
    <s v=""/>
    <s v="0781623030"/>
    <n v="201282"/>
    <s v="00200002246"/>
    <s v="Retail"/>
    <s v="General Merchandise Stores"/>
    <s v="Others"/>
    <n v="0"/>
    <n v="0"/>
    <n v="0"/>
    <n v="0"/>
    <n v="0"/>
    <n v="0"/>
  </r>
  <r>
    <s v="REBECCA BABIRYE KIZITO"/>
    <x v="7"/>
    <n v="-11"/>
    <n v="4321167.8499999996"/>
    <x v="14"/>
    <n v="103708.03"/>
    <n v="5327608.66"/>
    <d v="2017-09-05T11:18:11"/>
    <d v="2018-09-05T00:00:00"/>
    <s v="0781459149"/>
    <s v=""/>
    <s v="0700665298"/>
    <n v="201283"/>
    <s v="00200001474"/>
    <s v="Retail"/>
    <s v="General Merchandise Stores"/>
    <s v="General Stores"/>
    <n v="0"/>
    <n v="0"/>
    <n v="0"/>
    <n v="0"/>
    <n v="0"/>
    <n v="0"/>
  </r>
  <r>
    <s v="PURITY ACOLA"/>
    <x v="7"/>
    <n v="-10"/>
    <n v="781983.27"/>
    <x v="25"/>
    <n v="22286.52"/>
    <n v="909657.94"/>
    <d v="2017-09-04T15:09:40"/>
    <d v="2018-05-04T00:00:00"/>
    <s v="0759956701"/>
    <s v=""/>
    <s v=""/>
    <n v="201284"/>
    <s v="00200002648"/>
    <s v="Manufacturing"/>
    <s v="Leather and Allied Product Manufacturing"/>
    <s v="Footwear"/>
    <n v="0"/>
    <n v="0"/>
    <n v="0"/>
    <n v="0"/>
    <n v="0"/>
    <n v="0"/>
  </r>
  <r>
    <s v="PERUSI KISUULE MUGWANGA"/>
    <x v="7"/>
    <n v="-12"/>
    <n v="781983.27"/>
    <x v="16"/>
    <n v="19940.57"/>
    <n v="909657.94"/>
    <d v="2017-09-06T12:53:19"/>
    <d v="2018-05-06T00:00:00"/>
    <s v="0781465482"/>
    <s v=""/>
    <s v="0702976861"/>
    <n v="201285"/>
    <s v="00200002093"/>
    <s v="Retail"/>
    <s v="General Merchandise Stores"/>
    <s v="General Stores"/>
    <n v="0"/>
    <n v="0"/>
    <n v="0"/>
    <n v="0"/>
    <n v="0"/>
    <n v="0"/>
  </r>
  <r>
    <s v="ISMAHIRA KABANDA"/>
    <x v="0"/>
    <n v="-13"/>
    <n v="2345949.7799999998"/>
    <x v="13"/>
    <n v="56302.79"/>
    <n v="2728973.78"/>
    <d v="2017-09-07T14:14:18"/>
    <d v="2018-05-07T00:00:00"/>
    <s v="0752026731"/>
    <s v="0782026731"/>
    <s v=""/>
    <n v="201286"/>
    <s v="00200002506"/>
    <s v="Manufacturing"/>
    <s v="Wood Product Manufacturing"/>
    <s v="Sawmills &amp; Wood Preservation"/>
    <n v="0"/>
    <n v="0"/>
    <n v="0"/>
    <n v="0"/>
    <n v="0"/>
    <n v="0"/>
  </r>
  <r>
    <s v="NAJJUMA JOSEPHINE"/>
    <x v="3"/>
    <n v="-13"/>
    <n v="17962403.100000001"/>
    <x v="12"/>
    <n v="383197.93"/>
    <n v="23384686.050000001"/>
    <d v="2017-09-07T14:27:32"/>
    <d v="2018-12-07T00:00:00"/>
    <s v="0774976235"/>
    <s v="0701728964"/>
    <s v=""/>
    <n v="201288"/>
    <s v="00200002627"/>
    <s v="Transportation and Warehousing"/>
    <s v="Truck Transportation"/>
    <s v="Others"/>
    <n v="0"/>
    <n v="0"/>
    <n v="0"/>
    <n v="0"/>
    <n v="0"/>
    <n v="0"/>
  </r>
  <r>
    <s v="NATURINDA CATHERINE"/>
    <x v="8"/>
    <n v="-14"/>
    <n v="4987545.6500000004"/>
    <x v="27"/>
    <n v="103907.2"/>
    <n v="5967168.1100000003"/>
    <d v="2017-09-08T16:47:24"/>
    <d v="2018-07-08T00:00:00"/>
    <s v="0702230690"/>
    <s v=""/>
    <s v=""/>
    <n v="201289"/>
    <s v="00200002654"/>
    <s v="Retail"/>
    <s v="General Merchandise Stores"/>
    <s v="General Stores"/>
    <n v="0"/>
    <n v="0"/>
    <n v="0"/>
    <n v="0"/>
    <n v="0"/>
    <n v="0"/>
  </r>
  <r>
    <s v="SIMON PETER MAGALA"/>
    <x v="0"/>
    <n v="-14"/>
    <n v="11235036.390000001"/>
    <x v="25"/>
    <n v="224700.73"/>
    <n v="13851782.470000001"/>
    <d v="2017-09-08T16:47:25"/>
    <d v="2018-09-08T00:00:00"/>
    <s v="0772338564"/>
    <s v=""/>
    <s v="0700488655"/>
    <n v="201290"/>
    <s v="00200002247"/>
    <s v="Retail"/>
    <s v="General Merchandise Stores"/>
    <s v="General Stores"/>
    <n v="0"/>
    <n v="0"/>
    <n v="0"/>
    <n v="0"/>
    <n v="0"/>
    <n v="0"/>
  </r>
  <r>
    <s v="LILLIAN NANTEZA"/>
    <x v="7"/>
    <n v="-17"/>
    <n v="1667160.63"/>
    <x v="37"/>
    <n v="30008.89"/>
    <n v="2022061.17"/>
    <d v="2017-09-11T15:28:58"/>
    <d v="2018-07-11T00:00:00"/>
    <s v="0756711396"/>
    <s v=""/>
    <s v=""/>
    <n v="201291"/>
    <s v="00200002610"/>
    <s v="Retail"/>
    <s v="Food and Beverage Stores"/>
    <s v="Beverage Stores"/>
    <n v="0"/>
    <n v="0"/>
    <n v="0"/>
    <n v="0"/>
    <n v="0"/>
    <n v="0"/>
  </r>
  <r>
    <s v="ROBINAH BISIRIKIRWA"/>
    <x v="7"/>
    <n v="-17"/>
    <n v="2160583.92"/>
    <x v="14"/>
    <n v="34569.339999999997"/>
    <n v="2663804.3199999998"/>
    <d v="2017-09-11T15:53:51"/>
    <d v="2018-09-11T00:00:00"/>
    <s v="0772323326"/>
    <s v=""/>
    <s v="0754602807"/>
    <n v="201292"/>
    <s v="00200001788"/>
    <s v="Retail"/>
    <s v="Electronics Stores"/>
    <s v="Computer &amp; Software"/>
    <n v="0"/>
    <n v="0"/>
    <n v="0"/>
    <n v="0"/>
    <n v="0"/>
    <n v="0"/>
  </r>
  <r>
    <s v="GERALD KABUYE"/>
    <x v="0"/>
    <n v="-17"/>
    <n v="1954958.15"/>
    <x v="29"/>
    <n v="35189.25"/>
    <n v="2274144.7999999998"/>
    <d v="2017-09-11T16:26:04"/>
    <d v="2018-05-11T00:00:00"/>
    <s v="0772830828"/>
    <s v=""/>
    <s v=""/>
    <n v="201294"/>
    <s v="00200002393"/>
    <s v="Retail"/>
    <s v="Building Material and Garden Equipment"/>
    <s v="Hardware Stores"/>
    <n v="0"/>
    <n v="0"/>
    <n v="0"/>
    <n v="0"/>
    <n v="0"/>
    <n v="0"/>
  </r>
  <r>
    <s v="AISHA NANTUME"/>
    <x v="7"/>
    <n v="-18"/>
    <n v="3471030.59"/>
    <x v="38"/>
    <n v="57272"/>
    <n v="4386647.5599999996"/>
    <d v="2017-09-12T16:35:08"/>
    <d v="2018-09-12T00:00:00"/>
    <s v="0706445849"/>
    <s v=""/>
    <s v="0705104505"/>
    <n v="201295"/>
    <s v="00200002659"/>
    <s v="Retail"/>
    <s v="General Merchandise Stores"/>
    <s v="General Stores"/>
    <n v="0"/>
    <n v="0"/>
    <n v="0"/>
    <n v="0"/>
    <n v="0"/>
    <n v="0"/>
  </r>
  <r>
    <s v="MOSES KYAMBADDE"/>
    <x v="7"/>
    <n v="-19"/>
    <n v="4338788.2300000004"/>
    <x v="37"/>
    <n v="65081.82"/>
    <n v="5483309.4400000004"/>
    <d v="2017-09-13T13:14:34"/>
    <d v="2018-09-13T00:00:00"/>
    <s v="0786395615"/>
    <s v=""/>
    <s v=""/>
    <n v="201296"/>
    <s v="00200002666"/>
    <s v="Restaurants and Hotels"/>
    <s v="Restaurant"/>
    <s v="Bar"/>
    <n v="0"/>
    <n v="0"/>
    <n v="0"/>
    <n v="0"/>
    <n v="0"/>
    <n v="0"/>
  </r>
  <r>
    <s v="PETER WARUGARU BYAMUGISHA"/>
    <x v="0"/>
    <n v="-19"/>
    <n v="2592700.7000000002"/>
    <x v="1"/>
    <n v="34569.339999999997"/>
    <n v="3196565.19"/>
    <d v="2017-09-13T16:57:19"/>
    <d v="2018-09-13T00:00:00"/>
    <s v="0774470489"/>
    <s v=""/>
    <s v="0754470489"/>
    <n v="201297"/>
    <s v="00200001833"/>
    <s v="Retail"/>
    <s v="General Merchandise Stores"/>
    <s v="General Stores"/>
    <n v="0"/>
    <n v="0"/>
    <n v="0"/>
    <n v="0"/>
    <n v="0"/>
    <n v="0"/>
  </r>
  <r>
    <s v="VICTOR KABANZA"/>
    <x v="0"/>
    <n v="-20"/>
    <n v="5185401.4000000004"/>
    <x v="6"/>
    <n v="62224.82"/>
    <n v="6393130.3399999999"/>
    <d v="2017-09-14T15:12:53"/>
    <d v="2018-09-14T00:00:00"/>
    <s v="0752321211"/>
    <s v=""/>
    <s v="0773186357"/>
    <n v="201298"/>
    <s v="00200001103"/>
    <s v="Retail"/>
    <s v="General Merchandise Stores"/>
    <s v="General Stores"/>
    <n v="0"/>
    <n v="0"/>
    <n v="0"/>
    <n v="0"/>
    <n v="0"/>
    <n v="0"/>
  </r>
  <r>
    <s v="INNOCENT MAYANJA"/>
    <x v="0"/>
    <n v="-20"/>
    <n v="2083950.78"/>
    <x v="41"/>
    <n v="28133.34"/>
    <n v="2527576.4700000002"/>
    <d v="2017-09-14T16:52:07"/>
    <d v="2018-07-14T00:00:00"/>
    <s v="0772429878"/>
    <s v=""/>
    <s v=""/>
    <n v="201299"/>
    <s v="00200002520"/>
    <s v="Retail"/>
    <s v="General Merchandise Stores"/>
    <s v="General Stores"/>
    <n v="0"/>
    <n v="0"/>
    <n v="0"/>
    <n v="0"/>
    <n v="0"/>
    <n v="0"/>
  </r>
  <r>
    <s v="KAYE SAMUEL"/>
    <x v="0"/>
    <n v="-20"/>
    <n v="5206545.87"/>
    <x v="6"/>
    <n v="70288.37"/>
    <n v="6579971.3300000001"/>
    <d v="2017-09-14T16:53:44"/>
    <d v="2018-09-14T00:00:00"/>
    <s v="0704114760"/>
    <s v=""/>
    <s v=""/>
    <n v="201300"/>
    <s v="00200002672"/>
    <s v="Real Estate and Rental"/>
    <s v="Real Estate"/>
    <s v="Real Estate"/>
    <n v="0"/>
    <n v="0"/>
    <n v="0"/>
    <n v="0"/>
    <n v="0"/>
    <n v="0"/>
  </r>
  <r>
    <s v="MICHEAL MASWERE WATAKA"/>
    <x v="0"/>
    <n v="-20"/>
    <n v="5206545.87"/>
    <x v="29"/>
    <n v="70288.37"/>
    <n v="6579971.3300000001"/>
    <d v="2017-09-14T17:49:30"/>
    <d v="2018-09-14T00:00:00"/>
    <s v="0782563527"/>
    <s v=""/>
    <s v=""/>
    <n v="201301"/>
    <s v="00200002671"/>
    <s v="Retail"/>
    <s v="General Merchandise Stores"/>
    <s v="General Stores"/>
    <n v="0"/>
    <n v="0"/>
    <n v="0"/>
    <n v="0"/>
    <n v="0"/>
    <n v="0"/>
  </r>
  <r>
    <s v="GEORGE LUGANDA MATOVU"/>
    <x v="1"/>
    <n v="9"/>
    <n v="15824651.460000001"/>
    <x v="11"/>
    <n v="657356.15"/>
    <n v="18641506.780000001"/>
    <d v="2017-09-15T15:39:16"/>
    <d v="2018-09-15T00:00:00"/>
    <s v="0776192012"/>
    <s v=""/>
    <s v="0704192012"/>
    <n v="201302"/>
    <s v="00200002113"/>
    <s v="Real Estate and Rental"/>
    <s v="Rental"/>
    <s v="General Rental Centers"/>
    <n v="15824651.460000001"/>
    <n v="0"/>
    <n v="0"/>
    <n v="1"/>
    <n v="0"/>
    <n v="0"/>
  </r>
  <r>
    <s v="LEONARD NYUNGANKIRE"/>
    <x v="3"/>
    <n v="-21"/>
    <n v="25819054.890000001"/>
    <x v="26"/>
    <n v="240977.85"/>
    <n v="31045184.780000001"/>
    <d v="2017-09-15T17:54:21"/>
    <d v="2018-09-15T00:00:00"/>
    <s v="0785943456"/>
    <s v=""/>
    <s v=""/>
    <n v="201303"/>
    <s v="00200001607"/>
    <s v="Retail"/>
    <s v="General Merchandise Stores"/>
    <s v="General Stores"/>
    <n v="0"/>
    <n v="0"/>
    <n v="0"/>
    <n v="0"/>
    <n v="0"/>
    <n v="0"/>
  </r>
  <r>
    <s v="AHIMBISIBWE BENJAMIN"/>
    <x v="0"/>
    <n v="6"/>
    <n v="4318687.12"/>
    <x v="29"/>
    <n v="237949.03"/>
    <n v="5205938.46"/>
    <d v="2017-09-18T12:55:41"/>
    <d v="2018-07-18T00:00:00"/>
    <s v="0788709403"/>
    <s v=""/>
    <s v=""/>
    <n v="201304"/>
    <s v="00200002689"/>
    <s v="Retail"/>
    <s v="General Merchandise Stores"/>
    <s v="General Stores"/>
    <n v="4318687.12"/>
    <n v="0"/>
    <n v="0"/>
    <n v="1"/>
    <n v="0"/>
    <n v="0"/>
  </r>
  <r>
    <s v="RUTH KYOMUGISHA"/>
    <x v="0"/>
    <n v="-24"/>
    <n v="6205269.0300000003"/>
    <x v="35"/>
    <n v="37921.089999999997"/>
    <n v="7524112.8300000001"/>
    <d v="2017-09-18T14:41:03"/>
    <d v="2018-09-18T00:00:00"/>
    <s v="0782161660"/>
    <s v="0703161660"/>
    <s v=""/>
    <n v="201305"/>
    <s v="00200001107"/>
    <s v="Retail"/>
    <s v="General Merchandise Stores"/>
    <s v="General Stores"/>
    <n v="0"/>
    <n v="0"/>
    <n v="0"/>
    <n v="0"/>
    <n v="0"/>
    <n v="0"/>
  </r>
  <r>
    <s v="BIRABWA REGINA NANSUBUGA"/>
    <x v="1"/>
    <n v="-24"/>
    <n v="16035369.15"/>
    <x v="2"/>
    <n v="80176.850000000006"/>
    <n v="19601379.829999998"/>
    <d v="2017-09-18T16:44:09"/>
    <d v="2018-12-18T00:00:00"/>
    <s v="0783100389"/>
    <s v=""/>
    <s v=""/>
    <n v="201306"/>
    <s v="00200001496"/>
    <s v="Real Estate and Rental"/>
    <s v="Real Estate"/>
    <s v="Real Estate"/>
    <n v="0"/>
    <n v="0"/>
    <n v="0"/>
    <n v="0"/>
    <n v="0"/>
    <n v="0"/>
  </r>
  <r>
    <s v="BRENDA NANYONJO"/>
    <x v="7"/>
    <n v="-25"/>
    <n v="2490259.4300000002"/>
    <x v="18"/>
    <n v="13281.38"/>
    <n v="2958982.69"/>
    <d v="2017-09-19T14:28:38"/>
    <d v="2018-07-19T00:00:00"/>
    <s v="0702667510"/>
    <s v=""/>
    <s v="0712667510"/>
    <n v="201307"/>
    <s v="00200002163"/>
    <s v="Retail"/>
    <s v="General Merchandise Stores"/>
    <s v="General Stores"/>
    <n v="0"/>
    <n v="0"/>
    <n v="0"/>
    <n v="0"/>
    <n v="0"/>
    <n v="0"/>
  </r>
  <r>
    <s v="BENARD ISIIKO"/>
    <x v="0"/>
    <n v="-25"/>
    <n v="3456934.27"/>
    <x v="22"/>
    <n v="18436.98"/>
    <n v="4262086.91"/>
    <d v="2017-09-19T16:41:08"/>
    <d v="2018-09-19T00:00:00"/>
    <s v="0782049968"/>
    <s v=""/>
    <s v=""/>
    <n v="201308"/>
    <s v="00200000787"/>
    <s v="Real Estate and Rental"/>
    <s v="Real Estate"/>
    <s v="Real Estate"/>
    <n v="0"/>
    <n v="0"/>
    <n v="0"/>
    <n v="0"/>
    <n v="0"/>
    <n v="0"/>
  </r>
  <r>
    <s v="LEONIDAS MUKAMA"/>
    <x v="0"/>
    <n v="-25"/>
    <n v="5206545.87"/>
    <x v="42"/>
    <n v="31239.279999999999"/>
    <n v="6579971.3300000001"/>
    <d v="2017-09-19T16:56:45"/>
    <d v="2018-09-19T00:00:00"/>
    <s v="0754900921"/>
    <s v=""/>
    <s v=""/>
    <n v="201309"/>
    <s v="00200002661"/>
    <s v="Real Estate and Rental"/>
    <s v="Real Estate"/>
    <s v="Real Estate"/>
    <n v="0"/>
    <n v="0"/>
    <n v="0"/>
    <n v="0"/>
    <n v="0"/>
    <n v="0"/>
  </r>
  <r>
    <s v="JULIUS KIZITO"/>
    <x v="0"/>
    <n v="4"/>
    <n v="4593105.8899999997"/>
    <x v="26"/>
    <n v="225445.33"/>
    <n v="5608091.8700000001"/>
    <d v="2017-09-20T15:39:46"/>
    <d v="2018-07-20T00:00:00"/>
    <s v="0755868328"/>
    <s v="0776868328"/>
    <s v=""/>
    <n v="201310"/>
    <s v="00200002653"/>
    <s v="Retail"/>
    <s v="General Merchandise Stores"/>
    <s v="General Stores"/>
    <n v="4593105.8899999997"/>
    <n v="0"/>
    <n v="0"/>
    <n v="1"/>
    <n v="0"/>
    <n v="0"/>
  </r>
  <r>
    <s v="BETTY NANYONJO"/>
    <x v="7"/>
    <n v="3"/>
    <n v="1734692.86"/>
    <x v="35"/>
    <n v="4616.3"/>
    <n v="1911197.58"/>
    <d v="2017-09-21T13:28:39"/>
    <d v="2018-03-21T00:00:00"/>
    <s v="0788710401"/>
    <s v=""/>
    <s v=""/>
    <n v="201311"/>
    <s v="00200001099"/>
    <s v="Retail"/>
    <s v="General Merchandise Stores"/>
    <s v="General Stores"/>
    <n v="1734692.86"/>
    <n v="0"/>
    <n v="0"/>
    <n v="1"/>
    <n v="0"/>
    <n v="0"/>
  </r>
  <r>
    <s v="NAMAYANJA VICTORIA"/>
    <x v="7"/>
    <n v="-26"/>
    <n v="2169394.11"/>
    <x v="16"/>
    <n v="9762.27"/>
    <n v="2741654.71"/>
    <d v="2017-09-20T15:38:35"/>
    <d v="2018-09-20T00:00:00"/>
    <s v="0788933673"/>
    <s v=""/>
    <s v=""/>
    <n v="201312"/>
    <s v="00200002680"/>
    <s v="Retail"/>
    <s v="Food and Beverage Stores"/>
    <s v="Confectionery &amp; Nut Stores"/>
    <n v="0"/>
    <n v="0"/>
    <n v="0"/>
    <n v="0"/>
    <n v="0"/>
    <n v="0"/>
  </r>
  <r>
    <s v="IRENE NAGUJJA"/>
    <x v="7"/>
    <n v="4"/>
    <n v="799402.57"/>
    <x v="14"/>
    <n v="3518.92"/>
    <n v="927077.24"/>
    <d v="2017-09-20T17:10:31"/>
    <d v="2018-05-20T00:00:00"/>
    <s v="0781005746"/>
    <s v="0754465543"/>
    <s v=""/>
    <n v="201313"/>
    <s v="00200002665"/>
    <s v="Retail"/>
    <s v="Food and Beverage Stores"/>
    <s v="Beverage Stores"/>
    <n v="799402.57"/>
    <n v="0"/>
    <n v="0"/>
    <n v="1"/>
    <n v="0"/>
    <n v="0"/>
  </r>
  <r>
    <s v="NKONGE KARIM"/>
    <x v="0"/>
    <n v="32"/>
    <n v="3786877.19"/>
    <x v="35"/>
    <n v="152268.42000000001"/>
    <n v="4259958.49"/>
    <d v="2017-09-22T11:27:36"/>
    <d v="2018-03-22T00:00:00"/>
    <s v="0772355703"/>
    <s v="0752355703"/>
    <s v=""/>
    <n v="201315"/>
    <s v="00200002697"/>
    <s v="Real Estate and Rental"/>
    <s v="Real Estate"/>
    <s v="Real Estate"/>
    <n v="3786877.19"/>
    <n v="3786877.19"/>
    <n v="0"/>
    <n v="1"/>
    <n v="1"/>
    <n v="0"/>
  </r>
  <r>
    <s v="ROBERT BARIHO"/>
    <x v="3"/>
    <n v="-28"/>
    <n v="21515879.079999998"/>
    <x v="25"/>
    <n v="25101.86"/>
    <n v="25870987.309999999"/>
    <d v="2017-09-22T14:34:35"/>
    <d v="2018-09-22T00:00:00"/>
    <s v="0752700744"/>
    <s v=""/>
    <s v=""/>
    <n v="201316"/>
    <s v="00200001361"/>
    <s v="Restaurants and Hotels"/>
    <s v="Hotel"/>
    <s v="Hotel"/>
    <n v="0"/>
    <n v="0"/>
    <n v="0"/>
    <n v="0"/>
    <n v="0"/>
    <n v="0"/>
  </r>
  <r>
    <s v="MONICA KATAMBA SSERUBIRI"/>
    <x v="1"/>
    <n v="2"/>
    <n v="18789731.27"/>
    <x v="35"/>
    <n v="555088.11"/>
    <n v="23790486.989999998"/>
    <d v="2017-09-22T16:36:59"/>
    <d v="2019-03-22T00:00:00"/>
    <s v="0704888939"/>
    <s v=""/>
    <s v=""/>
    <n v="201317"/>
    <s v="00200001924"/>
    <s v="Educational Services"/>
    <s v="Educational Services"/>
    <s v="Colleges"/>
    <n v="18789731.27"/>
    <n v="0"/>
    <n v="0"/>
    <n v="1"/>
    <n v="0"/>
    <n v="0"/>
  </r>
  <r>
    <s v="JOHN VIANNEY NSUBUGA"/>
    <x v="10"/>
    <n v="-27"/>
    <n v="5969098.1399999997"/>
    <x v="17"/>
    <n v="8290.41"/>
    <n v="6283193.4500000002"/>
    <d v="2017-09-22T18:06:01"/>
    <d v="2018-03-21T00:00:00"/>
    <s v="0794852814"/>
    <s v=""/>
    <s v=""/>
    <n v="201320"/>
    <s v="00200000125"/>
    <s v="Other Services"/>
    <s v="Personal Services"/>
    <s v="Others"/>
    <n v="0"/>
    <n v="0"/>
    <n v="0"/>
    <n v="0"/>
    <n v="0"/>
    <n v="0"/>
  </r>
  <r>
    <s v="GABRIEL LUTAGANIRA"/>
    <x v="0"/>
    <n v="1"/>
    <n v="1304462.43"/>
    <x v="36"/>
    <n v="68940.850000000006"/>
    <n v="1448408.16"/>
    <d v="2017-09-23T11:18:27"/>
    <d v="2018-03-23T00:00:00"/>
    <s v="0706424222"/>
    <s v=""/>
    <s v=""/>
    <n v="201321"/>
    <s v="00200002674"/>
    <s v="Real Estate and Rental"/>
    <s v="Rental"/>
    <s v="Others"/>
    <n v="1304462.43"/>
    <n v="0"/>
    <n v="0"/>
    <n v="1"/>
    <n v="0"/>
    <n v="0"/>
  </r>
  <r>
    <s v="JULIUS MUKASA"/>
    <x v="0"/>
    <n v="1"/>
    <n v="2755863.53"/>
    <x v="38"/>
    <n v="124013.86"/>
    <n v="3409775.27"/>
    <d v="2017-09-23T12:09:01"/>
    <d v="2018-07-23T00:00:00"/>
    <s v="0758318300"/>
    <s v=""/>
    <s v=""/>
    <n v="201322"/>
    <s v="00200002699"/>
    <s v="Retail"/>
    <s v="General Merchandise Stores"/>
    <s v="General Stores"/>
    <n v="2755863.53"/>
    <n v="0"/>
    <n v="0"/>
    <n v="1"/>
    <n v="0"/>
    <n v="0"/>
  </r>
  <r>
    <s v="REGINA NABAWANUKA"/>
    <x v="8"/>
    <n v="-1"/>
    <n v="5592990.5999999996"/>
    <x v="16"/>
    <n v="191404.57"/>
    <n v="6897103.4199999999"/>
    <d v="2017-09-25T11:40:18"/>
    <d v="2018-09-25T00:00:00"/>
    <s v="0774398708"/>
    <s v=""/>
    <s v=""/>
    <n v="201323"/>
    <s v="00200001454"/>
    <s v="Real Estate and Rental"/>
    <s v="Rental"/>
    <s v="Others"/>
    <n v="0"/>
    <n v="0"/>
    <n v="0"/>
    <n v="0"/>
    <n v="0"/>
    <n v="0"/>
  </r>
  <r>
    <s v="RITAH AMOIT"/>
    <x v="10"/>
    <n v="-27"/>
    <n v="1604784.23"/>
    <x v="17"/>
    <n v="2228.87"/>
    <n v="1689228.34"/>
    <d v="2017-09-25T11:49:29"/>
    <d v="2018-03-21T00:00:00"/>
    <s v="0706595418"/>
    <s v=""/>
    <s v=""/>
    <n v="201324"/>
    <s v="00200000017"/>
    <s v="Other Services"/>
    <s v="Personal Services"/>
    <s v="Others"/>
    <n v="0"/>
    <n v="0"/>
    <n v="0"/>
    <n v="0"/>
    <n v="0"/>
    <n v="0"/>
  </r>
  <r>
    <s v="ANNET NAMIRIMU"/>
    <x v="1"/>
    <n v="-1"/>
    <n v="9308618.5"/>
    <x v="20"/>
    <n v="289601.46000000002"/>
    <n v="11271863.09"/>
    <d v="2017-09-25T12:44:24"/>
    <d v="2018-09-25T00:00:00"/>
    <s v="0772408810"/>
    <s v="0753408810"/>
    <s v=""/>
    <n v="201325"/>
    <s v="00200002685"/>
    <s v="Real Estate and Rental"/>
    <s v="Rental"/>
    <s v="Others"/>
    <n v="0"/>
    <n v="0"/>
    <n v="0"/>
    <n v="0"/>
    <n v="0"/>
    <n v="0"/>
  </r>
  <r>
    <s v="MOSES KIBEDI"/>
    <x v="0"/>
    <n v="-1"/>
    <n v="5500254.3300000001"/>
    <x v="19"/>
    <n v="205342.83"/>
    <n v="6657710.9699999997"/>
    <d v="2017-09-25T13:48:54"/>
    <d v="2018-07-25T00:00:00"/>
    <s v="0702165769"/>
    <s v=""/>
    <s v=""/>
    <n v="201326"/>
    <s v="00200002067"/>
    <s v="Retail"/>
    <s v="General Merchandise Stores"/>
    <s v="General Stores"/>
    <n v="0"/>
    <n v="0"/>
    <n v="0"/>
    <n v="0"/>
    <n v="0"/>
    <n v="0"/>
  </r>
  <r>
    <s v="MOSES MATOVU"/>
    <x v="0"/>
    <n v="-1"/>
    <n v="5600686.96"/>
    <x v="35"/>
    <n v="209092.31"/>
    <n v="7032443.3799999999"/>
    <d v="2017-09-25T14:28:14"/>
    <d v="2018-09-25T00:00:00"/>
    <s v="0752956066"/>
    <s v=""/>
    <s v=""/>
    <n v="201327"/>
    <s v="00200001442"/>
    <s v="Real Estate and Rental"/>
    <s v="Real Estate"/>
    <s v="Real Estate"/>
    <n v="0"/>
    <n v="0"/>
    <n v="0"/>
    <n v="0"/>
    <n v="0"/>
    <n v="0"/>
  </r>
  <r>
    <s v="SHEILA LAKER"/>
    <x v="10"/>
    <n v="-27"/>
    <n v="2374621.64"/>
    <x v="17"/>
    <n v="3298.09"/>
    <n v="2499574.77"/>
    <d v="2017-09-25T16:35:18"/>
    <d v="2018-03-21T00:00:00"/>
    <s v="0773460348"/>
    <s v=""/>
    <s v=""/>
    <n v="201328"/>
    <s v="00200000095"/>
    <s v="Other Services"/>
    <s v="Personal Services"/>
    <s v="Others"/>
    <n v="0"/>
    <n v="0"/>
    <n v="0"/>
    <n v="0"/>
    <n v="0"/>
    <n v="0"/>
  </r>
  <r>
    <s v="SSENOGA MARTIN"/>
    <x v="0"/>
    <n v="22"/>
    <n v="5000000"/>
    <x v="6"/>
    <n v="187424.35"/>
    <n v="5648662.79"/>
    <d v="2017-09-26T11:29:15"/>
    <d v="2018-04-02T00:00:00"/>
    <s v="0753595662"/>
    <s v=""/>
    <s v=""/>
    <n v="201329"/>
    <s v="00200002688"/>
    <s v="Transportation and Warehousing"/>
    <s v="Warehousing and Storage"/>
    <s v="Warehousing and Storage"/>
    <n v="5000000"/>
    <n v="0"/>
    <n v="0"/>
    <n v="1"/>
    <n v="0"/>
    <n v="0"/>
  </r>
  <r>
    <s v="GASPAL MUSA MUSISI"/>
    <x v="3"/>
    <n v="-8"/>
    <n v="16931307.510000002"/>
    <x v="18"/>
    <n v="474076.61"/>
    <n v="21259617.329999998"/>
    <d v="2017-09-26T15:40:31"/>
    <d v="2018-10-02T00:00:00"/>
    <s v="0702519002"/>
    <s v=""/>
    <s v=""/>
    <n v="201330"/>
    <s v="00200002673"/>
    <s v="Transportation and Warehousing"/>
    <s v="Warehousing and Storage"/>
    <s v="Warehousing and Storage"/>
    <n v="0"/>
    <n v="0"/>
    <n v="0"/>
    <n v="0"/>
    <n v="0"/>
    <n v="0"/>
  </r>
  <r>
    <s v="ROBERT JUUKO"/>
    <x v="0"/>
    <n v="-8"/>
    <n v="1847521.33"/>
    <x v="16"/>
    <n v="51730.6"/>
    <n v="2236308.0499999998"/>
    <d v="2017-09-26T13:47:49"/>
    <d v="2018-08-02T00:00:00"/>
    <s v="0751980857"/>
    <s v=""/>
    <s v=""/>
    <n v="201331"/>
    <s v="00200001055"/>
    <s v="Real Estate and Rental"/>
    <s v="Rental"/>
    <s v="Others"/>
    <n v="0"/>
    <n v="0"/>
    <n v="0"/>
    <n v="0"/>
    <n v="0"/>
    <n v="0"/>
  </r>
  <r>
    <s v="REBECCA NANSEKO"/>
    <x v="7"/>
    <n v="-8"/>
    <n v="1387821.23"/>
    <x v="37"/>
    <n v="43716.37"/>
    <n v="1718358.94"/>
    <d v="2017-09-27T12:24:18"/>
    <d v="2018-08-02T00:00:00"/>
    <s v="0775189168"/>
    <s v=""/>
    <s v=""/>
    <n v="201332"/>
    <s v="00200002702"/>
    <s v="Retail"/>
    <s v="General Merchandise Stores"/>
    <s v="General Stores"/>
    <n v="0"/>
    <n v="0"/>
    <n v="0"/>
    <n v="0"/>
    <n v="0"/>
    <n v="0"/>
  </r>
  <r>
    <s v="MARIAM ABDU"/>
    <x v="7"/>
    <n v="-8"/>
    <n v="3149307.84"/>
    <x v="37"/>
    <n v="99203.199999999997"/>
    <n v="3741095.15"/>
    <d v="2017-09-27T12:21:22"/>
    <d v="2018-06-02T00:00:00"/>
    <s v="0702339112"/>
    <s v=""/>
    <s v=""/>
    <n v="201333"/>
    <s v="00200002703"/>
    <s v="Retail"/>
    <s v="General Merchandise Stores"/>
    <s v="General Stores"/>
    <n v="0"/>
    <n v="0"/>
    <n v="0"/>
    <n v="0"/>
    <n v="0"/>
    <n v="0"/>
  </r>
  <r>
    <s v="MOSES WEFAFA"/>
    <x v="0"/>
    <n v="22"/>
    <n v="3000000"/>
    <x v="25"/>
    <n v="202439.27"/>
    <n v="3707380.23"/>
    <d v="2017-09-27T12:09:45"/>
    <d v="2018-08-02T00:00:00"/>
    <s v="0755132237"/>
    <s v=""/>
    <s v="0783970105"/>
    <n v="201334"/>
    <s v="00200001678"/>
    <s v="Retail"/>
    <s v="Electronics Stores"/>
    <s v="Computer &amp; Software"/>
    <n v="3000000"/>
    <n v="0"/>
    <n v="0"/>
    <n v="1"/>
    <n v="0"/>
    <n v="0"/>
  </r>
  <r>
    <s v="JOHN MARK ASIIMWE"/>
    <x v="0"/>
    <n v="-8"/>
    <n v="13188654.27"/>
    <x v="40"/>
    <n v="415442.61"/>
    <n v="17009803.039999999"/>
    <d v="2017-09-27T14:08:37"/>
    <d v="2018-10-02T00:00:00"/>
    <s v="0752421572"/>
    <s v=""/>
    <s v=""/>
    <n v="201335"/>
    <s v="00200002676"/>
    <s v="Real Estate and Rental"/>
    <s v="Rental"/>
    <s v="General Rental Centers"/>
    <n v="0"/>
    <n v="0"/>
    <n v="0"/>
    <n v="0"/>
    <n v="0"/>
    <n v="0"/>
  </r>
  <r>
    <s v="CAROLINE NANTONGO"/>
    <x v="7"/>
    <n v="-8"/>
    <n v="4697157.33"/>
    <x v="27"/>
    <n v="131520.41"/>
    <n v="5897935.9500000002"/>
    <d v="2017-09-27T16:16:14"/>
    <d v="2018-10-02T00:00:00"/>
    <s v="0772497311"/>
    <s v=""/>
    <s v=""/>
    <n v="201336"/>
    <s v="00200000433"/>
    <s v="Real Estate and Rental"/>
    <s v="Rental"/>
    <s v="General Rental Centers"/>
    <n v="0"/>
    <n v="0"/>
    <n v="0"/>
    <n v="0"/>
    <n v="0"/>
    <n v="0"/>
  </r>
  <r>
    <s v="NSUBUGA LIVINGSTONE"/>
    <x v="0"/>
    <n v="-8"/>
    <n v="7188158.8899999997"/>
    <x v="16"/>
    <n v="226427.01"/>
    <n v="8538887.8100000005"/>
    <d v="2017-09-28T15:13:39"/>
    <d v="2018-06-02T00:00:00"/>
    <s v="0782821278"/>
    <s v=""/>
    <s v=""/>
    <n v="201337"/>
    <s v="00200002708"/>
    <s v="Retail"/>
    <s v="General Merchandise Stores"/>
    <s v="General Stores"/>
    <n v="0"/>
    <n v="0"/>
    <n v="0"/>
    <n v="0"/>
    <n v="0"/>
    <n v="0"/>
  </r>
  <r>
    <s v="AGNES NABAKOOZA"/>
    <x v="3"/>
    <n v="-8"/>
    <n v="21197175.530000001"/>
    <x v="35"/>
    <n v="519330.8"/>
    <n v="28483349.350000001"/>
    <d v="2017-09-28T17:02:23"/>
    <d v="2019-04-02T00:00:00"/>
    <s v="0706836929"/>
    <s v=""/>
    <s v=""/>
    <n v="201338"/>
    <s v="00200001661"/>
    <s v="Educational Services"/>
    <s v="Educational Services"/>
    <s v="Schools"/>
    <n v="0"/>
    <n v="0"/>
    <n v="0"/>
    <n v="0"/>
    <n v="0"/>
    <n v="0"/>
  </r>
  <r>
    <s v="MARTIN LUBOWA MWANJE"/>
    <x v="0"/>
    <n v="-8"/>
    <n v="12197051.609999999"/>
    <x v="4"/>
    <n v="341517.45"/>
    <n v="15315098.960000001"/>
    <d v="2017-09-28T11:45:19"/>
    <d v="2018-10-02T00:00:00"/>
    <s v="0752618945"/>
    <s v=""/>
    <s v=""/>
    <n v="201339"/>
    <s v="00200001465"/>
    <s v="Real Estate and Rental"/>
    <s v="Rental"/>
    <s v="General Rental Centers"/>
    <n v="0"/>
    <n v="0"/>
    <n v="0"/>
    <n v="0"/>
    <n v="0"/>
    <n v="0"/>
  </r>
  <r>
    <s v="IBRAHIM MWEBE SENTEZA"/>
    <x v="0"/>
    <n v="-8"/>
    <n v="4619477.79"/>
    <x v="43"/>
    <n v="145513.54999999999"/>
    <n v="5719699.8600000003"/>
    <d v="2017-09-28T15:43:49"/>
    <d v="2018-08-02T00:00:00"/>
    <s v="0702672178"/>
    <s v=""/>
    <s v="0786389917"/>
    <n v="201340"/>
    <s v="00200002705"/>
    <s v="Real Estate and Rental"/>
    <s v="Rental"/>
    <s v="General Rental Centers"/>
    <n v="0"/>
    <n v="0"/>
    <n v="0"/>
    <n v="0"/>
    <n v="0"/>
    <n v="0"/>
  </r>
  <r>
    <s v="HAMIDA NAMAGEMBE"/>
    <x v="8"/>
    <n v="22"/>
    <n v="7000000"/>
    <x v="3"/>
    <n v="377226.94"/>
    <n v="8737598.2599999998"/>
    <d v="2017-09-28T18:40:27"/>
    <d v="2018-10-02T00:00:00"/>
    <s v="0772318842"/>
    <s v=""/>
    <s v=""/>
    <n v="201341"/>
    <s v="00200001673"/>
    <s v="Retail"/>
    <s v="General Merchandise Stores"/>
    <s v="General Stores"/>
    <n v="7000000"/>
    <n v="0"/>
    <n v="0"/>
    <n v="1"/>
    <n v="0"/>
    <n v="0"/>
  </r>
  <r>
    <s v="SYLVIA NAKIGUDDE"/>
    <x v="7"/>
    <n v="-8"/>
    <n v="4703520.75"/>
    <x v="43"/>
    <n v="148160.9"/>
    <n v="6066271.8300000001"/>
    <d v="2017-09-28T12:51:04"/>
    <d v="2018-10-02T00:00:00"/>
    <s v="0755975499"/>
    <s v=""/>
    <s v=""/>
    <n v="201342"/>
    <s v="00200002711"/>
    <s v="Retail"/>
    <s v="General Merchandise Stores"/>
    <s v="General Stores"/>
    <n v="0"/>
    <n v="0"/>
    <n v="0"/>
    <n v="0"/>
    <n v="0"/>
    <n v="0"/>
  </r>
  <r>
    <s v="BARBRA NABUWEMBO"/>
    <x v="7"/>
    <n v="-8"/>
    <n v="856008.44"/>
    <x v="36"/>
    <n v="26964.27"/>
    <n v="974957.84"/>
    <d v="2017-09-28T15:15:17"/>
    <d v="2018-04-02T00:00:00"/>
    <s v="0759717516"/>
    <s v=""/>
    <s v="0778829288"/>
    <n v="201343"/>
    <s v="00200002712"/>
    <s v="Retail"/>
    <s v="General Merchandise Stores"/>
    <s v="General Stores"/>
    <n v="0"/>
    <n v="0"/>
    <n v="0"/>
    <n v="0"/>
    <n v="0"/>
    <n v="0"/>
  </r>
  <r>
    <s v="HADIJAH NASSANGA"/>
    <x v="7"/>
    <n v="-8"/>
    <n v="2764230.38"/>
    <x v="11"/>
    <n v="77398.45"/>
    <n v="3345926.55"/>
    <d v="2017-09-28T15:20:09"/>
    <d v="2018-08-02T00:00:00"/>
    <s v="0772648784"/>
    <s v=""/>
    <s v=""/>
    <n v="201344"/>
    <s v="00200000137"/>
    <s v="Real Estate and Rental"/>
    <s v="Rental"/>
    <s v="General Rental Centers"/>
    <n v="0"/>
    <n v="0"/>
    <n v="0"/>
    <n v="0"/>
    <n v="0"/>
    <n v="0"/>
  </r>
  <r>
    <s v="ESTHER SUUBI"/>
    <x v="3"/>
    <n v="-8"/>
    <n v="26014715.420000002"/>
    <x v="4"/>
    <n v="637360.53"/>
    <n v="34956837.829999998"/>
    <d v="2017-09-28T19:02:14"/>
    <d v="2019-04-02T00:00:00"/>
    <s v="0789556338"/>
    <s v=""/>
    <s v="0772891673"/>
    <n v="201345"/>
    <s v="00200000515"/>
    <s v="Retail"/>
    <s v="General Merchandise Stores"/>
    <s v="General Stores"/>
    <n v="0"/>
    <n v="0"/>
    <n v="0"/>
    <n v="0"/>
    <n v="0"/>
    <n v="0"/>
  </r>
  <r>
    <s v="RONALD KALYAMAGWA JJUUKO"/>
    <x v="1"/>
    <n v="-8"/>
    <n v="26908250.329999998"/>
    <x v="1"/>
    <n v="565073.26"/>
    <n v="34743744.469999999"/>
    <d v="2017-09-28T18:39:53"/>
    <d v="2019-04-02T00:00:00"/>
    <s v="0782336317"/>
    <s v=""/>
    <s v="0704907090"/>
    <n v="201346"/>
    <s v="00200002325"/>
    <s v="Retail"/>
    <s v="General Merchandise Stores"/>
    <s v="General Stores"/>
    <n v="0"/>
    <n v="0"/>
    <n v="0"/>
    <n v="0"/>
    <n v="0"/>
    <n v="0"/>
  </r>
  <r>
    <s v="JAMES EMMANUEL KIZITO"/>
    <x v="1"/>
    <n v="0"/>
    <n v="31000000"/>
    <x v="1"/>
    <n v="899000"/>
    <n v="3114324.65"/>
    <d v="2017-10-24T16:51:06"/>
    <d v="2018-10-24T00:00:00"/>
    <s v="0772620572"/>
    <s v=""/>
    <s v="0756620572"/>
    <n v="201347"/>
    <s v="00200001896"/>
    <s v="Retail"/>
    <s v="General Merchandise Stores"/>
    <s v="General Stores"/>
    <n v="0"/>
    <n v="0"/>
    <n v="0"/>
    <n v="0"/>
    <n v="0"/>
    <n v="0"/>
  </r>
  <r>
    <s v="ISSA YUSUF MUGERWA"/>
    <x v="0"/>
    <n v="-8"/>
    <n v="3220822.01"/>
    <x v="25"/>
    <n v="90183.02"/>
    <n v="3898601.92"/>
    <d v="2017-09-29T13:24:54"/>
    <d v="2018-08-02T00:00:00"/>
    <s v="0752984533"/>
    <s v=""/>
    <s v="0776984533"/>
    <n v="201348"/>
    <s v="00200002279"/>
    <s v="Retail"/>
    <s v="General Merchandise Stores"/>
    <s v="General Stores"/>
    <n v="0"/>
    <n v="0"/>
    <n v="0"/>
    <n v="0"/>
    <n v="0"/>
    <n v="0"/>
  </r>
  <r>
    <s v="FRED KATAMBA"/>
    <x v="1"/>
    <n v="-8"/>
    <n v="8404781.6799999997"/>
    <x v="19"/>
    <n v="196111.57"/>
    <n v="10177401.59"/>
    <d v="2017-09-29T13:32:57"/>
    <d v="2018-10-02T00:00:00"/>
    <s v="0706482101"/>
    <s v=""/>
    <s v=""/>
    <n v="201349"/>
    <s v="00200002658"/>
    <s v="Real Estate and Rental"/>
    <s v="Rental"/>
    <s v="General Rental Centers"/>
    <n v="0"/>
    <n v="0"/>
    <n v="0"/>
    <n v="0"/>
    <n v="0"/>
    <n v="0"/>
  </r>
  <r>
    <s v="GERALD MUBIRU"/>
    <x v="1"/>
    <n v="-8"/>
    <n v="28802385.940000001"/>
    <x v="1"/>
    <n v="604850.1"/>
    <n v="37189439.100000001"/>
    <d v="2017-09-29T13:40:17"/>
    <d v="2019-04-02T00:00:00"/>
    <s v="0772483998"/>
    <s v=""/>
    <s v=""/>
    <n v="201350"/>
    <s v="00200002230"/>
    <s v="Restaurants and Hotels"/>
    <s v="Hotel"/>
    <s v="Hotel"/>
    <n v="0"/>
    <n v="0"/>
    <n v="0"/>
    <n v="0"/>
    <n v="0"/>
    <n v="0"/>
  </r>
  <r>
    <s v="EDITH KUNIHIRA"/>
    <x v="1"/>
    <n v="-11"/>
    <n v="15894195.869999999"/>
    <x v="22"/>
    <n v="286095.53000000003"/>
    <n v="18895845.379999999"/>
    <d v="2017-09-29T18:57:56"/>
    <d v="2018-10-05T00:00:00"/>
    <s v="0772653093"/>
    <s v=""/>
    <s v="0704999726"/>
    <n v="201352"/>
    <s v="00200002165"/>
    <s v="Retail"/>
    <s v="Miscellaneous Store Retailers"/>
    <s v="Others"/>
    <n v="0"/>
    <n v="0"/>
    <n v="0"/>
    <n v="0"/>
    <n v="0"/>
    <n v="0"/>
  </r>
  <r>
    <s v="ISMAH SSERUUNKUMA"/>
    <x v="0"/>
    <n v="-8"/>
    <n v="3579603.63"/>
    <x v="26"/>
    <n v="100228.9"/>
    <n v="4174774.61"/>
    <d v="2017-09-29T18:23:18"/>
    <d v="2018-06-02T00:00:00"/>
    <s v="0702256039"/>
    <s v=""/>
    <s v=""/>
    <n v="201353"/>
    <s v="00200001425"/>
    <s v="Retail"/>
    <s v="General Merchandise Stores"/>
    <s v="General Stores"/>
    <n v="0"/>
    <n v="0"/>
    <n v="0"/>
    <n v="0"/>
    <n v="0"/>
    <n v="0"/>
  </r>
  <r>
    <s v="NAKABUGO NOELINE"/>
    <x v="8"/>
    <n v="-8"/>
    <n v="5374100.46"/>
    <x v="19"/>
    <n v="156744.6"/>
    <n v="6306296.7599999998"/>
    <d v="2017-09-29T18:53:56"/>
    <d v="2018-06-02T00:00:00"/>
    <s v="0700360712"/>
    <s v=""/>
    <s v=""/>
    <n v="201354"/>
    <s v="00200002618"/>
    <s v="Retail"/>
    <s v="General Merchandise Stores"/>
    <s v="General Stores"/>
    <n v="0"/>
    <n v="0"/>
    <n v="0"/>
    <n v="0"/>
    <n v="0"/>
    <n v="0"/>
  </r>
  <r>
    <s v="GEOFREY BUKENYA MWESIGE"/>
    <x v="0"/>
    <n v="-8"/>
    <n v="4612884.82"/>
    <x v="6"/>
    <n v="145305.87"/>
    <n v="5711536.6799999997"/>
    <d v="2017-09-29T18:40:13"/>
    <d v="2018-08-02T00:00:00"/>
    <s v="0704397090"/>
    <s v=""/>
    <s v=""/>
    <n v="201355"/>
    <s v="00200002724"/>
    <s v="Retail"/>
    <s v="General Merchandise Stores"/>
    <s v="General Stores"/>
    <n v="0"/>
    <n v="0"/>
    <n v="0"/>
    <n v="0"/>
    <n v="0"/>
    <n v="0"/>
  </r>
  <r>
    <s v="ANDREW KAYONDO KIYIMBA"/>
    <x v="0"/>
    <n v="-8"/>
    <n v="4679206.41"/>
    <x v="11"/>
    <n v="131017.78"/>
    <n v="5875396.0800000001"/>
    <d v="2017-09-30T14:28:44"/>
    <d v="2018-10-02T00:00:00"/>
    <s v="0752414105"/>
    <s v=""/>
    <s v="0782414105"/>
    <n v="201356"/>
    <s v="00200001925"/>
    <s v="Real Estate and Rental"/>
    <s v="Rental"/>
    <s v="Others"/>
    <n v="0"/>
    <n v="0"/>
    <n v="0"/>
    <n v="0"/>
    <n v="0"/>
    <n v="0"/>
  </r>
  <r>
    <s v="NSAMBA HASSAN"/>
    <x v="0"/>
    <n v="-9"/>
    <n v="3748152.05"/>
    <x v="6"/>
    <n v="99950.720000000001"/>
    <n v="4706327.51"/>
    <d v="2017-09-30T15:53:53"/>
    <d v="2018-10-03T00:00:00"/>
    <s v="0704307975"/>
    <s v=""/>
    <s v="0782503932"/>
    <n v="201357"/>
    <s v="00200002200"/>
    <s v="Agriculture, Forestry, Fishing and Hunting"/>
    <s v="Animal Production"/>
    <s v="Poultry &amp; Egg Production"/>
    <n v="0"/>
    <n v="0"/>
    <n v="0"/>
    <n v="0"/>
    <n v="0"/>
    <n v="0"/>
  </r>
  <r>
    <s v="ESTHER NAMAGEMBE"/>
    <x v="7"/>
    <n v="-8"/>
    <n v="4690094.9000000004"/>
    <x v="10"/>
    <n v="147737.99"/>
    <n v="6048956.0800000001"/>
    <d v="2017-09-30T15:31:37"/>
    <d v="2018-10-02T00:00:00"/>
    <s v="0774465034"/>
    <s v=""/>
    <s v="0754465034"/>
    <n v="201358"/>
    <s v="00200002394"/>
    <s v="Retail"/>
    <s v="General Merchandise Stores"/>
    <s v="General Stores"/>
    <n v="0"/>
    <n v="0"/>
    <n v="0"/>
    <n v="0"/>
    <n v="0"/>
    <n v="0"/>
  </r>
  <r>
    <s v="RICHARD AKORA"/>
    <x v="0"/>
    <n v="-8"/>
    <n v="1381887.55"/>
    <x v="22"/>
    <n v="43529.46"/>
    <n v="1711012.01"/>
    <d v="2017-09-30T17:43:59"/>
    <d v="2018-08-02T00:00:00"/>
    <s v="0702546125"/>
    <s v=""/>
    <s v=""/>
    <n v="201359"/>
    <s v="00200002739"/>
    <s v="Retail"/>
    <s v="General Merchandise Stores"/>
    <s v="General Stores"/>
    <n v="0"/>
    <n v="0"/>
    <n v="0"/>
    <n v="0"/>
    <n v="0"/>
    <n v="0"/>
  </r>
  <r>
    <s v="MUSA KASIRYE"/>
    <x v="0"/>
    <n v="-8"/>
    <n v="6448808.5800000001"/>
    <x v="35"/>
    <n v="203137.47"/>
    <n v="7984722.8200000003"/>
    <d v="2017-09-30T18:03:18"/>
    <d v="2018-08-02T00:00:00"/>
    <s v="0774996763"/>
    <s v="0701996763"/>
    <s v=""/>
    <n v="201360"/>
    <s v="00200002737"/>
    <s v="Retail"/>
    <s v="General Merchandise Stores"/>
    <s v="General Stores"/>
    <n v="0"/>
    <n v="0"/>
    <n v="0"/>
    <n v="0"/>
    <n v="0"/>
    <n v="0"/>
  </r>
  <r>
    <s v="ISMAIL ASNAT"/>
    <x v="8"/>
    <n v="-8"/>
    <n v="5619434.5999999996"/>
    <x v="4"/>
    <n v="163900.18"/>
    <n v="7119552.8399999999"/>
    <d v="2017-09-30T18:58:26"/>
    <d v="2018-10-02T00:00:00"/>
    <s v="0772924601"/>
    <s v=""/>
    <s v="0701438276"/>
    <n v="201361"/>
    <s v="00200000981"/>
    <s v="Retail"/>
    <s v="General Merchandise Stores"/>
    <s v="General Stores"/>
    <n v="0"/>
    <n v="0"/>
    <n v="0"/>
    <n v="0"/>
    <n v="0"/>
    <n v="0"/>
  </r>
  <r>
    <s v="VINCENT NORBERT OKUMU"/>
    <x v="0"/>
    <n v="22"/>
    <n v="7962980.6299999999"/>
    <x v="22"/>
    <n v="222730.23"/>
    <n v="9996503.0800000001"/>
    <d v="2017-09-30T19:12:15"/>
    <d v="2018-10-02T00:00:00"/>
    <s v="0785305380"/>
    <s v=""/>
    <s v="0704974362"/>
    <n v="201362"/>
    <s v="00200000685"/>
    <s v="Retail"/>
    <s v="General Merchandise Stores"/>
    <s v="General Stores"/>
    <n v="7962980.6299999999"/>
    <n v="0"/>
    <n v="0"/>
    <n v="1"/>
    <n v="0"/>
    <n v="0"/>
  </r>
  <r>
    <s v="SULAIMAN SEMBATYA"/>
    <x v="6"/>
    <n v="-27"/>
    <n v="5718054.1200000001"/>
    <x v="17"/>
    <n v="6988.73"/>
    <n v="7734748.1100000003"/>
    <d v="2017-10-03T17:17:49"/>
    <d v="2020-09-21T00:00:00"/>
    <s v="0753061582"/>
    <s v=""/>
    <s v=""/>
    <n v="201363"/>
    <s v="00200000081"/>
    <s v="Finance and Insurance"/>
    <s v="Finance"/>
    <s v="Microfinance Institutions"/>
    <n v="0"/>
    <n v="0"/>
    <n v="0"/>
    <n v="0"/>
    <n v="0"/>
    <n v="0"/>
  </r>
  <r>
    <s v="MARGRET NANZIRI"/>
    <x v="3"/>
    <n v="-10"/>
    <n v="28775494.780000001"/>
    <x v="5"/>
    <n v="637856.80000000005"/>
    <n v="38666588.859999999"/>
    <d v="2017-10-04T16:17:02"/>
    <d v="2019-04-04T00:00:00"/>
    <s v="0772372005"/>
    <s v=""/>
    <s v=""/>
    <n v="201364"/>
    <s v="00200000808"/>
    <s v="Agriculture, Forestry, Fishing and Hunting"/>
    <s v="Animal Production"/>
    <s v="Poultry &amp; Egg Production"/>
    <n v="0"/>
    <n v="0"/>
    <n v="0"/>
    <n v="0"/>
    <n v="0"/>
    <n v="0"/>
  </r>
  <r>
    <s v="HOPE SAUDA"/>
    <x v="3"/>
    <n v="-10"/>
    <n v="15170798.890000001"/>
    <x v="35"/>
    <n v="336286.04"/>
    <n v="19448815.52"/>
    <d v="2017-10-04T18:16:41"/>
    <d v="2019-01-04T00:00:00"/>
    <s v="0779311702"/>
    <s v=""/>
    <s v=""/>
    <n v="201365"/>
    <s v="00200001113"/>
    <s v="Wholesale Trade"/>
    <s v="Durable Goods"/>
    <s v="Others"/>
    <n v="0"/>
    <n v="0"/>
    <n v="0"/>
    <n v="0"/>
    <n v="0"/>
    <n v="0"/>
  </r>
  <r>
    <s v="MAGGIE BIRABWA"/>
    <x v="10"/>
    <n v="-27"/>
    <n v="1213736.6399999999"/>
    <x v="17"/>
    <n v="1685.75"/>
    <n v="1277603.74"/>
    <d v="2017-10-04T18:14:01"/>
    <d v="2018-03-21T00:00:00"/>
    <s v="0774125722"/>
    <s v=""/>
    <s v="0701125722"/>
    <n v="201366"/>
    <s v="00200000602"/>
    <s v="Other Services"/>
    <s v="Personal Services"/>
    <s v="Others"/>
    <n v="0"/>
    <n v="0"/>
    <n v="0"/>
    <n v="0"/>
    <n v="0"/>
    <n v="0"/>
  </r>
  <r>
    <s v="KAWOMBE AGNES NAMUTAMBA"/>
    <x v="3"/>
    <n v="-10"/>
    <n v="26136539.16"/>
    <x v="16"/>
    <n v="662125.66"/>
    <n v="32818069.190000001"/>
    <d v="2017-10-04T18:36:28"/>
    <d v="2018-10-04T00:00:00"/>
    <s v="0772920589"/>
    <s v=""/>
    <s v=""/>
    <n v="201367"/>
    <s v="00200002748"/>
    <s v="Retail"/>
    <s v="General Merchandise Stores"/>
    <s v="General Stores"/>
    <n v="0"/>
    <n v="0"/>
    <n v="0"/>
    <n v="0"/>
    <n v="0"/>
    <n v="0"/>
  </r>
  <r>
    <s v="JENINAH NATUHWERA"/>
    <x v="10"/>
    <n v="-27"/>
    <n v="303290.34999999998"/>
    <x v="17"/>
    <n v="421.24"/>
    <n v="309608.90000000002"/>
    <d v="2017-10-05T10:37:29"/>
    <d v="2017-12-21T00:00:00"/>
    <s v="0784349860"/>
    <s v=""/>
    <s v=""/>
    <n v="201368"/>
    <s v="00200000914"/>
    <s v="Other Services"/>
    <s v="Personal Services"/>
    <s v="Others"/>
    <n v="0"/>
    <n v="0"/>
    <n v="0"/>
    <n v="0"/>
    <n v="0"/>
    <n v="0"/>
  </r>
  <r>
    <s v="FLAVIA MUNAABA NABUGERE"/>
    <x v="3"/>
    <n v="-12"/>
    <n v="23336195.68"/>
    <x v="29"/>
    <n v="528953.77"/>
    <n v="29301847.48"/>
    <d v="2017-10-06T17:58:28"/>
    <d v="2018-10-06T00:00:00"/>
    <s v="0772933354"/>
    <s v="0759665964"/>
    <s v=""/>
    <n v="201370"/>
    <s v="00200002738"/>
    <s v="Retail"/>
    <s v="General Merchandise Stores"/>
    <s v="Others"/>
    <n v="0"/>
    <n v="0"/>
    <n v="0"/>
    <n v="0"/>
    <n v="0"/>
    <n v="0"/>
  </r>
  <r>
    <s v="EDWIG NASAKA"/>
    <x v="10"/>
    <n v="-27"/>
    <n v="2481377.81"/>
    <x v="17"/>
    <n v="3446.36"/>
    <n v="2611948.48"/>
    <d v="2017-10-06T18:23:42"/>
    <d v="2018-03-21T00:00:00"/>
    <s v="0788660011"/>
    <s v=""/>
    <s v="0703411443"/>
    <n v="201371"/>
    <s v="00200000333"/>
    <s v="Other Services"/>
    <s v="Personal Services"/>
    <s v="Others"/>
    <n v="0"/>
    <n v="0"/>
    <n v="0"/>
    <n v="0"/>
    <n v="0"/>
    <n v="0"/>
  </r>
  <r>
    <s v="NUUHU SSENYONGA"/>
    <x v="0"/>
    <n v="-16"/>
    <n v="7333672.4500000002"/>
    <x v="16"/>
    <n v="127116.99"/>
    <n v="8876948.0099999998"/>
    <d v="2017-10-10T13:37:04"/>
    <d v="2018-08-10T00:00:00"/>
    <s v="0772418736"/>
    <s v=""/>
    <s v="0702418736"/>
    <n v="201372"/>
    <s v="00200001632"/>
    <s v="Retail"/>
    <s v="General Merchandise Stores"/>
    <s v="General Stores"/>
    <n v="0"/>
    <n v="0"/>
    <n v="0"/>
    <n v="0"/>
    <n v="0"/>
    <n v="0"/>
  </r>
  <r>
    <s v="JEAN IRENE NAKIBERU"/>
    <x v="7"/>
    <n v="-16"/>
    <n v="1340085.52"/>
    <x v="6"/>
    <n v="26131.67"/>
    <n v="1591901.36"/>
    <d v="2017-10-10T17:01:02"/>
    <d v="2018-06-10T00:00:00"/>
    <s v="0779120463"/>
    <s v=""/>
    <s v="0705108017"/>
    <n v="201373"/>
    <s v="00200002733"/>
    <s v="Retail"/>
    <s v="General Merchandise Stores"/>
    <s v="General Stores"/>
    <n v="0"/>
    <n v="0"/>
    <n v="0"/>
    <n v="0"/>
    <n v="0"/>
    <n v="0"/>
  </r>
  <r>
    <s v="JOEL KASIRYE"/>
    <x v="0"/>
    <n v="-16"/>
    <n v="3404486.45"/>
    <x v="38"/>
    <n v="66387.490000000005"/>
    <n v="3877567.75"/>
    <d v="2017-10-10T16:11:14"/>
    <d v="2018-04-10T00:00:00"/>
    <s v="0702368819"/>
    <s v=""/>
    <s v="0783399918"/>
    <n v="201374"/>
    <s v="00200002744"/>
    <s v="Agriculture, Forestry, Fishing and Hunting"/>
    <s v="Animal Production"/>
    <s v="Other Animal Production"/>
    <n v="0"/>
    <n v="0"/>
    <n v="0"/>
    <n v="0"/>
    <n v="0"/>
    <n v="0"/>
  </r>
  <r>
    <s v="TEOPISTA NAKASI"/>
    <x v="7"/>
    <n v="-16"/>
    <n v="2020966.59"/>
    <x v="38"/>
    <n v="39408.85"/>
    <n v="2502300.6800000002"/>
    <d v="2017-10-10T16:22:34"/>
    <d v="2018-08-10T00:00:00"/>
    <s v="0781866896"/>
    <s v=""/>
    <s v=""/>
    <n v="201375"/>
    <s v="00200002742"/>
    <s v="Agriculture, Forestry, Fishing and Hunting"/>
    <s v="Animal Production"/>
    <s v="Poultry &amp; Egg Production"/>
    <n v="0"/>
    <n v="0"/>
    <n v="0"/>
    <n v="0"/>
    <n v="0"/>
    <n v="0"/>
  </r>
  <r>
    <s v="ABUBAKAR KASOZI"/>
    <x v="0"/>
    <n v="12"/>
    <n v="4883290.75"/>
    <x v="35"/>
    <n v="68452.84"/>
    <n v="6076421.1299999999"/>
    <d v="2017-10-12T15:19:58"/>
    <d v="2018-10-12T00:00:00"/>
    <s v="0752611200"/>
    <s v=""/>
    <s v=""/>
    <n v="201376"/>
    <s v="00200001567"/>
    <s v="Educational Services"/>
    <s v="Educational Services"/>
    <s v="Colleges"/>
    <n v="4883290.75"/>
    <n v="0"/>
    <n v="0"/>
    <n v="1"/>
    <n v="0"/>
    <n v="0"/>
  </r>
  <r>
    <s v="HANIFA KIKOMEKO NAKYEYUNE"/>
    <x v="7"/>
    <n v="-18"/>
    <n v="918621.18"/>
    <x v="13"/>
    <n v="15157.25"/>
    <n v="1137409.3899999999"/>
    <d v="2017-10-12T11:13:01"/>
    <d v="2018-08-12T00:00:00"/>
    <s v="0759139699"/>
    <s v=""/>
    <s v=""/>
    <n v="201377"/>
    <s v="00200002743"/>
    <s v="Retail"/>
    <s v="Second Hand -Clothing and  Accessories"/>
    <s v="Clothing Stores"/>
    <n v="0"/>
    <n v="0"/>
    <n v="0"/>
    <n v="0"/>
    <n v="0"/>
    <n v="0"/>
  </r>
  <r>
    <s v="SHAMINA NAMUKOSE"/>
    <x v="7"/>
    <n v="-18"/>
    <n v="3674484.71"/>
    <x v="38"/>
    <n v="60629"/>
    <n v="4549637.59"/>
    <d v="2017-10-12T14:17:41"/>
    <d v="2018-08-12T00:00:00"/>
    <s v="0706307996"/>
    <s v=""/>
    <s v=""/>
    <n v="201378"/>
    <s v="00200002759"/>
    <s v="Retail"/>
    <s v="General Merchandise Stores"/>
    <s v="General Stores"/>
    <n v="0"/>
    <n v="0"/>
    <n v="0"/>
    <n v="0"/>
    <n v="0"/>
    <n v="0"/>
  </r>
  <r>
    <s v="KAMADI SSEBADUKA WAMALA"/>
    <x v="0"/>
    <n v="-18"/>
    <n v="4593105.8899999997"/>
    <x v="10"/>
    <n v="75786.25"/>
    <n v="5687047"/>
    <d v="2017-10-12T13:23:55"/>
    <d v="2018-08-12T00:00:00"/>
    <s v="0772685062"/>
    <s v="0704143971"/>
    <s v=""/>
    <n v="201379"/>
    <s v="00200002734"/>
    <s v="Retail"/>
    <s v="General Merchandise Stores"/>
    <s v="General Stores"/>
    <n v="0"/>
    <n v="0"/>
    <n v="0"/>
    <n v="0"/>
    <n v="0"/>
    <n v="0"/>
  </r>
  <r>
    <s v="HAPPY BENJAMIN TURYAGYENDA"/>
    <x v="0"/>
    <n v="-18"/>
    <n v="2755863.53"/>
    <x v="26"/>
    <n v="45471.75"/>
    <n v="3412228.18"/>
    <d v="2017-10-12T13:59:28"/>
    <d v="2018-08-12T00:00:00"/>
    <s v="0770880182"/>
    <s v=""/>
    <s v=""/>
    <n v="201380"/>
    <s v="00200002762"/>
    <s v="Retail"/>
    <s v="General Merchandise Stores"/>
    <s v="General Stores"/>
    <n v="0"/>
    <n v="0"/>
    <n v="0"/>
    <n v="0"/>
    <n v="0"/>
    <n v="0"/>
  </r>
  <r>
    <s v="JULIET NAKAYIBA"/>
    <x v="7"/>
    <n v="-18"/>
    <n v="3267067.4"/>
    <x v="24"/>
    <n v="47916.99"/>
    <n v="4102258.66"/>
    <d v="2017-10-12T15:11:41"/>
    <d v="2018-10-12T00:00:00"/>
    <s v="0705224235"/>
    <s v="0788304031"/>
    <s v=""/>
    <n v="201381"/>
    <s v="00200000980"/>
    <s v="Retail"/>
    <s v="General Merchandise Stores"/>
    <s v="General Stores"/>
    <n v="0"/>
    <n v="0"/>
    <n v="0"/>
    <n v="0"/>
    <n v="0"/>
    <n v="0"/>
  </r>
  <r>
    <s v="SIMON NYUNGWE"/>
    <x v="10"/>
    <n v="-27"/>
    <n v="318265.31"/>
    <x v="17"/>
    <n v="442.04"/>
    <n v="324895.84000000003"/>
    <d v="2017-10-12T16:50:11"/>
    <d v="2017-12-21T00:00:00"/>
    <s v="0704789245"/>
    <s v=""/>
    <s v="0777253505"/>
    <n v="201382"/>
    <s v="00200001083"/>
    <s v="Other Services"/>
    <s v="Personal Services"/>
    <s v="Others"/>
    <n v="0"/>
    <n v="0"/>
    <n v="0"/>
    <n v="0"/>
    <n v="0"/>
    <n v="0"/>
  </r>
  <r>
    <s v="JONATHAN ABAINE BUREGYEYA"/>
    <x v="0"/>
    <n v="-20"/>
    <n v="8401030.4499999993"/>
    <x v="27"/>
    <n v="100812.37"/>
    <n v="10548665.109999999"/>
    <d v="2017-10-14T11:25:15"/>
    <d v="2018-10-14T00:00:00"/>
    <s v="0772427912"/>
    <s v=""/>
    <s v=""/>
    <n v="201383"/>
    <s v="00200000499"/>
    <s v="Retail"/>
    <s v="General Merchandise Stores"/>
    <s v="General Stores"/>
    <n v="0"/>
    <n v="0"/>
    <n v="0"/>
    <n v="0"/>
    <n v="0"/>
    <n v="0"/>
  </r>
  <r>
    <s v="ROSEMARY NALUYIMA"/>
    <x v="7"/>
    <n v="-19"/>
    <n v="1377931.77"/>
    <x v="13"/>
    <n v="20668.98"/>
    <n v="1706114.12"/>
    <d v="2017-10-13T12:23:58"/>
    <d v="2018-08-13T00:00:00"/>
    <s v="0755600971"/>
    <s v=""/>
    <s v=""/>
    <n v="201384"/>
    <s v="00200002752"/>
    <s v="Retail"/>
    <s v="Food and Beverage Stores"/>
    <s v="Others"/>
    <n v="0"/>
    <n v="0"/>
    <n v="0"/>
    <n v="0"/>
    <n v="0"/>
    <n v="0"/>
  </r>
  <r>
    <s v="EDWARD BALAMAZE"/>
    <x v="0"/>
    <n v="-19"/>
    <n v="875298.53"/>
    <x v="37"/>
    <n v="13129.48"/>
    <n v="1018208.81"/>
    <d v="2017-10-13T13:09:11"/>
    <d v="2018-05-13T00:00:00"/>
    <s v="0755296596"/>
    <s v=""/>
    <s v="0787766626"/>
    <n v="201385"/>
    <s v="00200002728"/>
    <s v="Retail"/>
    <s v="General Merchandise Stores"/>
    <s v="General Stores"/>
    <n v="0"/>
    <n v="0"/>
    <n v="0"/>
    <n v="0"/>
    <n v="0"/>
    <n v="0"/>
  </r>
  <r>
    <s v="MATHIAS KALEMBA"/>
    <x v="0"/>
    <n v="-19"/>
    <n v="9334478.2699999996"/>
    <x v="16"/>
    <n v="124459.71"/>
    <n v="11720738.99"/>
    <d v="2017-10-13T16:24:49"/>
    <d v="2018-10-13T00:00:00"/>
    <s v="0772590747"/>
    <s v=""/>
    <s v=""/>
    <n v="201386"/>
    <s v="00200001992"/>
    <s v="Retail"/>
    <s v="General Merchandise Stores"/>
    <s v="General Stores"/>
    <n v="0"/>
    <n v="0"/>
    <n v="0"/>
    <n v="0"/>
    <n v="0"/>
    <n v="0"/>
  </r>
  <r>
    <s v="FATUMAH NAKAWOOYA"/>
    <x v="7"/>
    <n v="-19"/>
    <n v="1698476.19"/>
    <x v="10"/>
    <n v="22646.35"/>
    <n v="1907619.02"/>
    <d v="2017-10-13T17:26:36"/>
    <d v="2018-04-13T00:00:00"/>
    <s v="0782157709"/>
    <s v=""/>
    <s v="0755472709"/>
    <n v="201387"/>
    <s v="00200001684"/>
    <s v="Real Estate and Rental"/>
    <s v="Rental"/>
    <s v="General Rental Centers"/>
    <n v="0"/>
    <n v="0"/>
    <n v="0"/>
    <n v="0"/>
    <n v="0"/>
    <n v="0"/>
  </r>
  <r>
    <s v="FRED TEBUSEEKE"/>
    <x v="3"/>
    <n v="2"/>
    <n v="19564351.399999999"/>
    <x v="37"/>
    <n v="85406.24"/>
    <n v="25863749.73"/>
    <d v="2017-10-16T13:56:14"/>
    <d v="2019-01-22T00:00:00"/>
    <s v="0772511288"/>
    <s v=""/>
    <s v="0702511288"/>
    <n v="201388"/>
    <s v="00200002677"/>
    <s v="Retail"/>
    <s v="General Merchandise Stores"/>
    <s v="General Stores"/>
    <n v="19564351.399999999"/>
    <n v="0"/>
    <n v="0"/>
    <n v="1"/>
    <n v="0"/>
    <n v="0"/>
  </r>
  <r>
    <s v="SHEILA FAITH NAKIMBUGWE"/>
    <x v="10"/>
    <n v="-27"/>
    <n v="1029856.2"/>
    <x v="17"/>
    <n v="1430.36"/>
    <n v="1084047.46"/>
    <d v="2017-10-16T16:53:11"/>
    <d v="2018-03-21T00:00:00"/>
    <s v="0783300737"/>
    <s v=""/>
    <s v=""/>
    <n v="201389"/>
    <s v="00200000269"/>
    <s v="Other Services"/>
    <s v="Others"/>
    <s v="Others"/>
    <n v="0"/>
    <n v="0"/>
    <n v="0"/>
    <n v="0"/>
    <n v="0"/>
    <n v="0"/>
  </r>
  <r>
    <s v="KAVUMA EID"/>
    <x v="3"/>
    <n v="-25"/>
    <n v="29232395.059999999"/>
    <x v="29"/>
    <n v="155906.10999999999"/>
    <n v="45254913.619999997"/>
    <d v="2017-10-19T11:48:48"/>
    <d v="2019-10-19T00:00:00"/>
    <s v="0752423206"/>
    <s v=""/>
    <s v=""/>
    <n v="201390"/>
    <s v="00200002695"/>
    <s v="Retail"/>
    <s v="General Merchandise Stores"/>
    <s v="General Stores"/>
    <n v="0"/>
    <n v="0"/>
    <n v="0"/>
    <n v="0"/>
    <n v="0"/>
    <n v="0"/>
  </r>
  <r>
    <s v="GRACE NABAKABYA"/>
    <x v="7"/>
    <n v="-23"/>
    <n v="1833418.11"/>
    <x v="16"/>
    <n v="14667.34"/>
    <n v="2219237"/>
    <d v="2017-10-17T15:40:31"/>
    <d v="2018-08-17T00:00:00"/>
    <s v="0777190566"/>
    <s v=""/>
    <s v=""/>
    <n v="201391"/>
    <s v="00200002220"/>
    <s v="Retail"/>
    <s v="General Merchandise Stores"/>
    <s v="General Stores"/>
    <n v="0"/>
    <n v="0"/>
    <n v="0"/>
    <n v="0"/>
    <n v="0"/>
    <n v="0"/>
  </r>
  <r>
    <s v="LWANGA CHARLES"/>
    <x v="0"/>
    <n v="7"/>
    <n v="8462910.6300000008"/>
    <x v="33"/>
    <n v="75762.039999999994"/>
    <n v="10901859"/>
    <d v="2017-10-17T15:23:55"/>
    <d v="2018-10-17T00:00:00"/>
    <s v="0774423734"/>
    <s v="0759359136"/>
    <s v=""/>
    <n v="201392"/>
    <s v="00200002727"/>
    <s v="Retail"/>
    <s v="General Merchandise Stores"/>
    <s v="General Stores"/>
    <n v="8462910.6300000008"/>
    <n v="0"/>
    <n v="0"/>
    <n v="1"/>
    <n v="0"/>
    <n v="0"/>
  </r>
  <r>
    <s v="JOSEPH NKUGWA"/>
    <x v="6"/>
    <n v="-27"/>
    <n v="18372668.670000002"/>
    <x v="17"/>
    <n v="22455.48"/>
    <n v="25055652.140000001"/>
    <d v="2017-10-17T15:12:06"/>
    <d v="2020-10-21T00:00:00"/>
    <s v="0773739955"/>
    <s v=""/>
    <s v=""/>
    <n v="201393"/>
    <s v="00200000090"/>
    <s v="Finance and Insurance"/>
    <s v="Finance"/>
    <s v="Microfinance Institutions"/>
    <n v="0"/>
    <n v="0"/>
    <n v="0"/>
    <n v="0"/>
    <n v="0"/>
    <n v="0"/>
  </r>
  <r>
    <s v="SOLOMON KASIBANTE"/>
    <x v="3"/>
    <n v="-24"/>
    <n v="26082449.420000002"/>
    <x v="11"/>
    <n v="152147.62"/>
    <n v="31873056.379999999"/>
    <d v="2017-10-18T15:56:38"/>
    <d v="2018-10-18T00:00:00"/>
    <s v="0752186821"/>
    <s v=""/>
    <s v="0782186821"/>
    <n v="201394"/>
    <s v="00200002109"/>
    <s v="Construction"/>
    <s v="Construction of Buildings"/>
    <s v="Others"/>
    <n v="0"/>
    <n v="0"/>
    <n v="0"/>
    <n v="0"/>
    <n v="0"/>
    <n v="0"/>
  </r>
  <r>
    <s v="FREDDIE FERDNAND MUSOKE"/>
    <x v="0"/>
    <n v="-25"/>
    <n v="5600686.96"/>
    <x v="3"/>
    <n v="29870.33"/>
    <n v="7032443.3799999999"/>
    <d v="2017-10-19T12:47:29"/>
    <d v="2018-10-19T00:00:00"/>
    <s v="0772418159"/>
    <s v=""/>
    <s v=""/>
    <n v="201395"/>
    <s v="00200001969"/>
    <s v="Agriculture, Forestry, Fishing and Hunting"/>
    <s v="Animal Production"/>
    <s v="Poultry &amp; Egg Production"/>
    <n v="0"/>
    <n v="0"/>
    <n v="0"/>
    <n v="0"/>
    <n v="0"/>
    <n v="0"/>
  </r>
  <r>
    <s v="WILLY KATAMA"/>
    <x v="0"/>
    <n v="4"/>
    <n v="6000000"/>
    <x v="25"/>
    <n v="252072.42"/>
    <n v="7120013.0099999998"/>
    <d v="2017-10-20T14:55:13"/>
    <d v="2018-06-20T00:00:00"/>
    <s v="0702850668"/>
    <s v=""/>
    <s v="0775610492"/>
    <n v="201396"/>
    <s v="00200002161"/>
    <s v="Retail"/>
    <s v="General Merchandise Stores"/>
    <s v="General Stores"/>
    <n v="6000000"/>
    <n v="0"/>
    <n v="0"/>
    <n v="1"/>
    <n v="0"/>
    <n v="0"/>
  </r>
  <r>
    <s v="VANESSA NAMUBIRU"/>
    <x v="7"/>
    <n v="-25"/>
    <n v="4593105.8899999997"/>
    <x v="29"/>
    <n v="27558.639999999999"/>
    <n v="5687047"/>
    <d v="2017-10-19T14:52:35"/>
    <d v="2018-08-19T00:00:00"/>
    <s v="0787336276"/>
    <s v=""/>
    <s v=""/>
    <n v="201397"/>
    <s v="00200002765"/>
    <s v="Retail"/>
    <s v="General Merchandise Stores"/>
    <s v="General Stores"/>
    <n v="0"/>
    <n v="0"/>
    <n v="0"/>
    <n v="0"/>
    <n v="0"/>
    <n v="0"/>
  </r>
  <r>
    <s v="RICHARD KIWALABYE"/>
    <x v="0"/>
    <n v="5"/>
    <n v="4999790.24"/>
    <x v="42"/>
    <n v="26801.71"/>
    <n v="5839176.3600000003"/>
    <d v="2017-10-19T15:27:16"/>
    <d v="2018-06-19T00:00:00"/>
    <s v="0702730077"/>
    <s v="0772950005"/>
    <s v=""/>
    <n v="201398"/>
    <s v="00200002718"/>
    <s v="Retail"/>
    <s v="General Merchandise Stores"/>
    <s v="General Stores"/>
    <n v="4999790.24"/>
    <n v="0"/>
    <n v="0"/>
    <n v="1"/>
    <n v="0"/>
    <n v="0"/>
  </r>
  <r>
    <s v="RICAHRD SSIMBWA KATEREGA"/>
    <x v="0"/>
    <n v="-25"/>
    <n v="7467582.6200000001"/>
    <x v="13"/>
    <n v="39827.11"/>
    <n v="9376591.1899999995"/>
    <d v="2017-10-19T15:15:53"/>
    <d v="2018-10-19T00:00:00"/>
    <s v="0703001529"/>
    <s v=""/>
    <s v=""/>
    <n v="201399"/>
    <s v="00200001019"/>
    <s v="Retail"/>
    <s v="Second Hand -Clothing and  Accessories"/>
    <s v="Clothing Stores"/>
    <n v="0"/>
    <n v="0"/>
    <n v="0"/>
    <n v="0"/>
    <n v="0"/>
    <n v="0"/>
  </r>
  <r>
    <s v="KATABILWA MIIRO"/>
    <x v="0"/>
    <n v="-25"/>
    <n v="4593105.8899999997"/>
    <x v="1"/>
    <n v="27558.639999999999"/>
    <n v="5687047"/>
    <d v="2017-10-19T15:47:31"/>
    <d v="2018-08-19T00:00:00"/>
    <s v="0777105784"/>
    <s v=""/>
    <s v=""/>
    <n v="201400"/>
    <s v="00200002749"/>
    <s v="Retail"/>
    <s v="General Merchandise Stores"/>
    <s v="General Stores"/>
    <n v="0"/>
    <n v="0"/>
    <n v="0"/>
    <n v="0"/>
    <n v="0"/>
    <n v="0"/>
  </r>
  <r>
    <s v="CATHY NABIKANDE"/>
    <x v="8"/>
    <n v="-25"/>
    <n v="7923403.3499999996"/>
    <x v="18"/>
    <n v="38736.639999999999"/>
    <n v="9770896.5099999998"/>
    <d v="2017-10-19T16:46:50"/>
    <d v="2018-10-19T00:00:00"/>
    <s v="0705463696"/>
    <s v=""/>
    <s v=""/>
    <n v="201401"/>
    <s v="00200001023"/>
    <s v="Real Estate and Rental"/>
    <s v="Rental"/>
    <s v="General Rental Centers"/>
    <n v="0"/>
    <n v="0"/>
    <n v="0"/>
    <n v="0"/>
    <n v="0"/>
    <n v="0"/>
  </r>
  <r>
    <s v="UMAR ZIRABAMUZALE BUKENYA"/>
    <x v="0"/>
    <n v="-25"/>
    <n v="7950337.4000000004"/>
    <x v="35"/>
    <n v="47702.02"/>
    <n v="10253788.66"/>
    <d v="2017-10-19T17:01:39"/>
    <d v="2018-10-19T00:00:00"/>
    <s v="0775412602"/>
    <s v="0755412602"/>
    <s v=""/>
    <n v="201402"/>
    <s v="00200001392"/>
    <s v="Retail"/>
    <s v="General Merchandise Stores"/>
    <s v="General Stores"/>
    <n v="0"/>
    <n v="0"/>
    <n v="0"/>
    <n v="0"/>
    <n v="0"/>
    <n v="0"/>
  </r>
  <r>
    <s v="GODFREY MUGUMYA"/>
    <x v="0"/>
    <n v="4"/>
    <n v="6000000"/>
    <x v="1"/>
    <n v="286254.01"/>
    <n v="7886965.5899999999"/>
    <d v="2017-10-20T12:54:11"/>
    <d v="2018-10-20T00:00:00"/>
    <s v="0782554333"/>
    <s v=""/>
    <s v=""/>
    <n v="201403"/>
    <s v="00200002769"/>
    <s v="Retail"/>
    <s v="General Merchandise Stores"/>
    <s v="General Stores"/>
    <n v="6000000"/>
    <n v="0"/>
    <n v="0"/>
    <n v="1"/>
    <n v="0"/>
    <n v="0"/>
  </r>
  <r>
    <s v="FRED KYABALEMA"/>
    <x v="0"/>
    <n v="4"/>
    <n v="2341823.39"/>
    <x v="25"/>
    <n v="9167.09"/>
    <n v="2824097.01"/>
    <d v="2017-10-20T13:24:32"/>
    <d v="2018-08-20T00:00:00"/>
    <s v="0759007329"/>
    <s v=""/>
    <s v="0782007329"/>
    <n v="201404"/>
    <s v="00200001807"/>
    <s v="Retail"/>
    <s v="General Merchandise Stores"/>
    <s v="General Stores"/>
    <n v="2341823.39"/>
    <n v="0"/>
    <n v="0"/>
    <n v="1"/>
    <n v="0"/>
    <n v="0"/>
  </r>
  <r>
    <s v="WASIKE AGNES &amp; GIDUDU BRIAN"/>
    <x v="7"/>
    <n v="-26"/>
    <n v="1469793.89"/>
    <x v="18"/>
    <n v="6614.07"/>
    <n v="1819855.06"/>
    <d v="2017-10-20T13:59:26"/>
    <d v="2018-08-20T00:00:00"/>
    <s v="0704614256"/>
    <s v="0704194987"/>
    <s v=""/>
    <n v="201405"/>
    <s v="00200002770"/>
    <s v="Retail"/>
    <s v="General Merchandise Stores"/>
    <s v="General Stores"/>
    <n v="0"/>
    <n v="0"/>
    <n v="0"/>
    <n v="0"/>
    <n v="0"/>
    <n v="0"/>
  </r>
  <r>
    <s v="TWESIGYE RICHARD"/>
    <x v="0"/>
    <n v="-26"/>
    <n v="3573561.39"/>
    <x v="43"/>
    <n v="16081.03"/>
    <n v="4245070.3"/>
    <d v="2017-10-20T15:41:33"/>
    <d v="2018-06-20T00:00:00"/>
    <s v="0759419610"/>
    <s v=""/>
    <s v=""/>
    <n v="201406"/>
    <s v="00200002786"/>
    <s v="Retail"/>
    <s v="General Merchandise Stores"/>
    <s v="General Stores"/>
    <n v="0"/>
    <n v="0"/>
    <n v="0"/>
    <n v="0"/>
    <n v="0"/>
    <n v="0"/>
  </r>
  <r>
    <s v="MARGRET KUGONZA"/>
    <x v="8"/>
    <n v="-26"/>
    <n v="5504103.9900000002"/>
    <x v="11"/>
    <n v="22933.77"/>
    <n v="6713064.1200000001"/>
    <d v="2017-10-20T14:29:28"/>
    <d v="2018-08-20T00:00:00"/>
    <s v="0702301400"/>
    <s v=""/>
    <s v=""/>
    <n v="201407"/>
    <s v="00200002760"/>
    <s v="Wholesale Trade"/>
    <s v="Durable Goods"/>
    <s v="Hardware, &amp; Plumbing &amp; Heating Equipment"/>
    <n v="0"/>
    <n v="0"/>
    <n v="0"/>
    <n v="0"/>
    <n v="0"/>
    <n v="0"/>
  </r>
  <r>
    <s v="MADRINE NAMUDDU"/>
    <x v="1"/>
    <n v="-26"/>
    <n v="19145826.079999998"/>
    <x v="27"/>
    <n v="57437.48"/>
    <n v="24720956.579999998"/>
    <d v="2017-10-20T16:41:08"/>
    <d v="2019-04-20T00:00:00"/>
    <s v="0772875238"/>
    <s v=""/>
    <s v="0701875238"/>
    <n v="201408"/>
    <s v="00200000786"/>
    <s v="Real Estate and Rental"/>
    <s v="Rental"/>
    <s v="General Rental Centers"/>
    <n v="0"/>
    <n v="0"/>
    <n v="0"/>
    <n v="0"/>
    <n v="0"/>
    <n v="0"/>
  </r>
  <r>
    <s v="ISSA KIRABIRA"/>
    <x v="0"/>
    <n v="-26"/>
    <n v="4593105.8899999997"/>
    <x v="38"/>
    <n v="20668.98"/>
    <n v="5687047"/>
    <d v="2017-10-20T16:23:29"/>
    <d v="2018-08-20T00:00:00"/>
    <s v="0758596900"/>
    <s v=""/>
    <s v=""/>
    <n v="201409"/>
    <s v="00200002775"/>
    <s v="Real Estate and Rental"/>
    <s v="Rental"/>
    <s v="General Rental Centers"/>
    <n v="0"/>
    <n v="0"/>
    <n v="0"/>
    <n v="0"/>
    <n v="0"/>
    <n v="0"/>
  </r>
  <r>
    <s v="SARAH KAKOOZA"/>
    <x v="1"/>
    <n v="-26"/>
    <n v="8516100.7799999993"/>
    <x v="23"/>
    <n v="25548.3"/>
    <n v="10554589.16"/>
    <d v="2017-10-20T17:11:23"/>
    <d v="2019-01-20T00:00:00"/>
    <s v="0777396282"/>
    <s v=""/>
    <s v="0702046006"/>
    <n v="201410"/>
    <s v="00200001596"/>
    <s v="Retail"/>
    <s v="General Merchandise Stores"/>
    <s v="General Stores"/>
    <n v="0"/>
    <n v="0"/>
    <n v="0"/>
    <n v="0"/>
    <n v="0"/>
    <n v="0"/>
  </r>
  <r>
    <s v="JUSTINE ASIIMWE"/>
    <x v="7"/>
    <n v="-27"/>
    <n v="2806001.43"/>
    <x v="26"/>
    <n v="8418"/>
    <n v="3618984.2"/>
    <d v="2017-10-21T13:25:11"/>
    <d v="2018-10-21T00:00:00"/>
    <s v="0755353513"/>
    <s v=""/>
    <s v=""/>
    <n v="201411"/>
    <s v="00200002788"/>
    <s v="Retail"/>
    <s v="Second Hand -Clothing and  Accessories"/>
    <s v="Clothing Stores"/>
    <n v="0"/>
    <n v="0"/>
    <n v="0"/>
    <n v="0"/>
    <n v="0"/>
    <n v="0"/>
  </r>
  <r>
    <s v="MOSES SSEGIRINYA"/>
    <x v="0"/>
    <n v="-29"/>
    <n v="3215174.12"/>
    <x v="43"/>
    <n v="157500"/>
    <n v="3980932.86"/>
    <d v="2017-10-23T14:38:19"/>
    <d v="2018-08-23T00:00:00"/>
    <s v="0755606487"/>
    <s v=""/>
    <s v=""/>
    <n v="201412"/>
    <s v="00200002777"/>
    <s v="Retail"/>
    <s v="General Merchandise Stores"/>
    <s v="General Stores"/>
    <n v="0"/>
    <n v="0"/>
    <n v="0"/>
    <n v="0"/>
    <n v="0"/>
    <n v="0"/>
  </r>
  <r>
    <s v="BYARUHANGA VEN NGOMAYONDI"/>
    <x v="3"/>
    <n v="-29"/>
    <n v="15868613.060000001"/>
    <x v="40"/>
    <n v="680000"/>
    <n v="19925256.280000001"/>
    <d v="2017-10-23T11:17:35"/>
    <d v="2018-10-23T00:00:00"/>
    <s v="0779146632"/>
    <s v="0701927162"/>
    <s v=""/>
    <n v="201413"/>
    <s v="00200002753"/>
    <s v="Retail"/>
    <s v="General Merchandise Stores"/>
    <s v="General Stores"/>
    <n v="0"/>
    <n v="0"/>
    <n v="0"/>
    <n v="0"/>
    <n v="0"/>
    <n v="0"/>
  </r>
  <r>
    <s v="PHINE NKULIYE"/>
    <x v="3"/>
    <n v="-29"/>
    <n v="23725290.16"/>
    <x v="19"/>
    <n v="980000"/>
    <n v="26273549.219999999"/>
    <d v="2017-10-23T14:49:00"/>
    <d v="2018-04-23T00:00:00"/>
    <s v="0772565899"/>
    <s v=""/>
    <s v=""/>
    <n v="201415"/>
    <s v="00200002369"/>
    <s v="Educational Services"/>
    <s v="Educational Services"/>
    <s v="Schools"/>
    <n v="0"/>
    <n v="0"/>
    <n v="0"/>
    <n v="0"/>
    <n v="0"/>
    <n v="0"/>
  </r>
  <r>
    <s v="MUGALU FRANK"/>
    <x v="1"/>
    <n v="-29"/>
    <n v="5585171.0999999996"/>
    <x v="19"/>
    <n v="200000"/>
    <n v="6763117.8600000003"/>
    <d v="2017-10-23T17:21:10"/>
    <d v="2018-10-23T00:00:00"/>
    <s v="0772988541"/>
    <s v=""/>
    <s v=""/>
    <n v="201416"/>
    <s v="00200002750"/>
    <s v="Real Estate and Rental"/>
    <s v="Real Estate"/>
    <s v="Real Estate"/>
    <n v="0"/>
    <n v="0"/>
    <n v="0"/>
    <n v="0"/>
    <n v="0"/>
    <n v="0"/>
  </r>
  <r>
    <s v="RACHEL NABUKALU NABITALO"/>
    <x v="7"/>
    <n v="0"/>
    <n v="2000000"/>
    <x v="18"/>
    <n v="87000"/>
    <n v="252757.64"/>
    <d v="2017-10-24T17:51:30"/>
    <d v="2018-08-24T00:00:00"/>
    <s v="0774216040"/>
    <s v=""/>
    <s v=""/>
    <n v="201418"/>
    <s v="00200002782"/>
    <s v="Retail"/>
    <s v="General Merchandise Stores"/>
    <s v="General Stores"/>
    <n v="0"/>
    <n v="0"/>
    <n v="0"/>
    <n v="0"/>
    <n v="0"/>
    <n v="0"/>
  </r>
  <r>
    <s v="SARAH NASSUUNA"/>
    <x v="7"/>
    <n v="0"/>
    <n v="4500000"/>
    <x v="39"/>
    <n v="195750"/>
    <n v="568704.69999999995"/>
    <d v="2017-10-24T17:36:42"/>
    <d v="2018-08-24T00:00:00"/>
    <s v="0700167454"/>
    <s v="0777738656"/>
    <s v=""/>
    <n v="201419"/>
    <s v="00200002776"/>
    <s v="Retail"/>
    <s v="General Merchandise Stores"/>
    <s v="General Stores"/>
    <n v="0"/>
    <n v="0"/>
    <n v="0"/>
    <n v="0"/>
    <n v="0"/>
    <n v="0"/>
  </r>
  <r>
    <s v="CHARLES SSEMBATYA"/>
    <x v="0"/>
    <n v="0"/>
    <n v="5000000"/>
    <x v="40"/>
    <n v="217500"/>
    <n v="631894.11"/>
    <d v="2017-10-24T15:36:52"/>
    <d v="2018-08-24T00:00:00"/>
    <s v="0782605644"/>
    <s v="0702614599"/>
    <s v=""/>
    <n v="201420"/>
    <s v="00200002781"/>
    <s v="Retail"/>
    <s v="Motor Vehicle and Parts Dealers"/>
    <s v="Automotive Parts, Accessories, &amp; Tire Stores"/>
    <n v="0"/>
    <n v="0"/>
    <n v="0"/>
    <n v="0"/>
    <n v="0"/>
    <n v="0"/>
  </r>
  <r>
    <s v="DAVID MUGOYA"/>
    <x v="0"/>
    <n v="0"/>
    <n v="2000000"/>
    <x v="35"/>
    <n v="87000"/>
    <n v="252757.64"/>
    <d v="2017-10-24T16:35:10"/>
    <d v="2018-08-24T00:00:00"/>
    <s v="077775209"/>
    <s v=""/>
    <s v=""/>
    <n v="201421"/>
    <s v="00200002784"/>
    <s v="Retail"/>
    <s v="General Merchandise Stores"/>
    <s v="General Stores"/>
    <n v="0"/>
    <n v="0"/>
    <n v="0"/>
    <n v="0"/>
    <n v="0"/>
    <n v="0"/>
  </r>
  <r>
    <s v="OLIVER SSENDEGE NAMAYANJA"/>
    <x v="8"/>
    <n v="-1"/>
    <n v="10000000"/>
    <x v="35"/>
    <n v="342222.23"/>
    <n v="1045015.67"/>
    <d v="2017-10-25T15:58:18"/>
    <d v="2018-10-25T00:00:00"/>
    <s v="0774700246"/>
    <s v=""/>
    <s v=""/>
    <n v="201422"/>
    <s v="00200001265"/>
    <s v="Retail"/>
    <s v="General Merchandise Stores"/>
    <s v="General Stores"/>
    <n v="0"/>
    <n v="0"/>
    <n v="0"/>
    <n v="0"/>
    <n v="0"/>
    <n v="0"/>
  </r>
  <r>
    <s v="BETTY BUKILWA"/>
    <x v="7"/>
    <n v="-1"/>
    <n v="4000000"/>
    <x v="36"/>
    <n v="168000"/>
    <n v="505515.29"/>
    <d v="2017-10-25T14:21:47"/>
    <d v="2018-08-25T00:00:00"/>
    <s v="0703462793"/>
    <s v=""/>
    <s v="0772550874"/>
    <n v="201423"/>
    <s v="00200002780"/>
    <s v="Retail"/>
    <s v="General Merchandise Stores"/>
    <s v="General Stores"/>
    <n v="0"/>
    <n v="0"/>
    <n v="0"/>
    <n v="0"/>
    <n v="0"/>
    <n v="0"/>
  </r>
  <r>
    <s v="OBWANGAMOI DAVID OPIO"/>
    <x v="3"/>
    <n v="-1"/>
    <n v="25000000"/>
    <x v="38"/>
    <n v="933333.33"/>
    <n v="3082273.61"/>
    <d v="2017-10-25T17:40:07"/>
    <d v="2018-08-25T00:00:00"/>
    <s v="0783689831"/>
    <s v=""/>
    <s v=""/>
    <n v="201424"/>
    <s v="00200002790"/>
    <s v="Real Estate and Rental"/>
    <s v="Rental"/>
    <s v="General Rental Centers"/>
    <n v="0"/>
    <n v="0"/>
    <n v="0"/>
    <n v="0"/>
    <n v="0"/>
    <n v="0"/>
  </r>
  <r>
    <s v="JAMES MUHUMUZA"/>
    <x v="0"/>
    <n v="-1"/>
    <n v="10000000"/>
    <x v="13"/>
    <n v="373333.33"/>
    <n v="1065521.73"/>
    <d v="2017-10-25T17:52:44"/>
    <d v="2018-10-25T00:00:00"/>
    <s v="0785693383"/>
    <s v=""/>
    <s v=""/>
    <n v="201425"/>
    <s v="00200001377"/>
    <s v="Retail"/>
    <s v="General Merchandise Stores"/>
    <s v="General Stores"/>
    <n v="0"/>
    <n v="0"/>
    <n v="0"/>
    <n v="0"/>
    <n v="0"/>
    <n v="0"/>
  </r>
  <r>
    <s v="NAKIWERE CISSY"/>
    <x v="7"/>
    <n v="-1"/>
    <n v="1800000"/>
    <x v="13"/>
    <n v="75600"/>
    <n v="227481.88"/>
    <d v="2017-10-25T17:59:27"/>
    <d v="2018-08-25T00:00:00"/>
    <s v="0789743757"/>
    <s v=""/>
    <s v=""/>
    <n v="201426"/>
    <s v="00200002746"/>
    <s v="Retail"/>
    <s v="General Merchandise Stores"/>
    <s v="General Stores"/>
    <n v="0"/>
    <n v="0"/>
    <n v="0"/>
    <n v="0"/>
    <n v="0"/>
    <n v="0"/>
  </r>
  <r>
    <s v="ROBINAH NALUMAGA"/>
    <x v="10"/>
    <n v="-27"/>
    <n v="3093610.93"/>
    <x v="17"/>
    <n v="4296.68"/>
    <n v="3289618.97"/>
    <d v="2017-10-25T17:04:58"/>
    <d v="2018-04-21T00:00:00"/>
    <s v="0772365306"/>
    <s v=""/>
    <s v=""/>
    <n v="201427"/>
    <s v="00200000082"/>
    <s v="Other Services"/>
    <s v="Personal Services"/>
    <s v="Others"/>
    <n v="0"/>
    <n v="0"/>
    <n v="0"/>
    <n v="0"/>
    <n v="0"/>
    <n v="0"/>
  </r>
  <r>
    <s v="FREEMAN CRISPUS"/>
    <x v="10"/>
    <n v="-27"/>
    <n v="1610825.38"/>
    <x v="17"/>
    <n v="2237.2600000000002"/>
    <n v="1695587.38"/>
    <d v="2017-10-26T09:51:18"/>
    <d v="2018-03-21T00:00:00"/>
    <s v="0788072315"/>
    <s v="0702789702"/>
    <s v=""/>
    <n v="201428"/>
    <s v="00200000037"/>
    <s v="Other Services"/>
    <s v="Personal Services"/>
    <s v="Others"/>
    <n v="0"/>
    <n v="0"/>
    <n v="0"/>
    <n v="0"/>
    <n v="0"/>
    <n v="0"/>
  </r>
  <r>
    <s v="MOSES ARINAITWE"/>
    <x v="1"/>
    <n v="-8"/>
    <n v="20000000"/>
    <x v="15"/>
    <n v="540000"/>
    <n v="1462644.83"/>
    <d v="2017-10-26T12:56:28"/>
    <d v="2019-05-02T00:00:00"/>
    <s v="0772416647"/>
    <s v=""/>
    <s v="0701414448"/>
    <n v="201429"/>
    <s v="00200001619"/>
    <s v="Real Estate and Rental"/>
    <s v="Rental"/>
    <s v="General Rental Centers"/>
    <n v="0"/>
    <n v="0"/>
    <n v="0"/>
    <n v="0"/>
    <n v="0"/>
    <n v="0"/>
  </r>
  <r>
    <s v="DAVID MPUNGU"/>
    <x v="1"/>
    <n v="-8"/>
    <n v="19500000"/>
    <x v="27"/>
    <n v="526500"/>
    <n v="1426078.71"/>
    <d v="2017-10-26T17:27:03"/>
    <d v="2019-05-02T00:00:00"/>
    <s v="0784475548"/>
    <s v="0702506653"/>
    <s v=""/>
    <n v="201430"/>
    <s v="00200001111"/>
    <s v="Agriculture, Forestry, Fishing and Hunting"/>
    <s v="Crop Production"/>
    <s v="Market Gardening"/>
    <n v="0"/>
    <n v="0"/>
    <n v="0"/>
    <n v="0"/>
    <n v="0"/>
    <n v="0"/>
  </r>
  <r>
    <s v="JUDE NDAADA MUYEGO"/>
    <x v="0"/>
    <n v="-8"/>
    <n v="5000000"/>
    <x v="35"/>
    <n v="153333.32999999999"/>
    <n v="534081.29"/>
    <d v="2017-10-31T11:20:21"/>
    <d v="2018-11-01T00:00:00"/>
    <s v="0750686044"/>
    <s v=""/>
    <s v=""/>
    <n v="201431"/>
    <s v="00200001549"/>
    <s v="Retail"/>
    <s v="General Merchandise Stores"/>
    <s v="General Stores"/>
    <n v="0"/>
    <n v="0"/>
    <n v="0"/>
    <n v="0"/>
    <n v="0"/>
    <n v="0"/>
  </r>
  <r>
    <s v="BARBRA NANTUME"/>
    <x v="1"/>
    <n v="-8"/>
    <n v="28000000"/>
    <x v="23"/>
    <n v="728000"/>
    <n v="2826593.43"/>
    <d v="2017-10-27T14:02:13"/>
    <d v="2018-11-02T00:00:00"/>
    <s v="0701511896"/>
    <s v=""/>
    <s v="0782151896"/>
    <n v="201432"/>
    <s v="00200000684"/>
    <s v="Restaurants and Hotels"/>
    <s v="Restaurant"/>
    <s v="Food  service contractors &amp; caterers"/>
    <n v="0"/>
    <n v="0"/>
    <n v="0"/>
    <n v="0"/>
    <n v="0"/>
    <n v="0"/>
  </r>
  <r>
    <s v="EDWARD LWANGA"/>
    <x v="0"/>
    <n v="-8"/>
    <n v="10000000"/>
    <x v="20"/>
    <n v="333333.33"/>
    <n v="1070985.94"/>
    <d v="2017-10-28T11:18:30"/>
    <d v="2018-11-02T00:00:00"/>
    <s v="0759255542"/>
    <s v=""/>
    <s v="0772333370"/>
    <n v="201434"/>
    <s v="00200002194"/>
    <s v="Finance and Insurance"/>
    <s v="Finance"/>
    <s v="Others"/>
    <n v="0"/>
    <n v="0"/>
    <n v="0"/>
    <n v="0"/>
    <n v="0"/>
    <n v="0"/>
  </r>
  <r>
    <s v="EDWARD MATOVU"/>
    <x v="0"/>
    <n v="-8"/>
    <n v="10000000"/>
    <x v="35"/>
    <n v="375000"/>
    <n v="1102958.51"/>
    <d v="2017-10-28T12:12:55"/>
    <d v="2018-11-02T00:00:00"/>
    <s v="0772311605"/>
    <s v=""/>
    <s v=""/>
    <n v="201435"/>
    <s v="00200002774"/>
    <s v="Retail"/>
    <s v="General Merchandise Stores"/>
    <s v="General Stores"/>
    <n v="0"/>
    <n v="0"/>
    <n v="0"/>
    <n v="0"/>
    <n v="0"/>
    <n v="0"/>
  </r>
  <r>
    <s v="JOHN SSENKUNGU"/>
    <x v="3"/>
    <n v="-8"/>
    <n v="22000000"/>
    <x v="26"/>
    <n v="641666.67000000004"/>
    <n v="2286911.96"/>
    <d v="2017-10-28T11:49:21"/>
    <d v="2018-11-02T00:00:00"/>
    <s v="0752814999"/>
    <s v=""/>
    <s v=""/>
    <n v="201436"/>
    <s v="00200001451"/>
    <s v="Retail"/>
    <s v="General Merchandise Stores"/>
    <s v="General Stores"/>
    <n v="0"/>
    <n v="0"/>
    <n v="0"/>
    <n v="0"/>
    <n v="0"/>
    <n v="0"/>
  </r>
  <r>
    <s v="DENNIS MWAMBALA"/>
    <x v="3"/>
    <n v="-8"/>
    <n v="17000000"/>
    <x v="6"/>
    <n v="456166.67"/>
    <n v="1763193.19"/>
    <d v="2017-10-31T17:38:01"/>
    <d v="2018-11-02T00:00:00"/>
    <s v="0785938169"/>
    <s v=""/>
    <s v="0791333112"/>
    <n v="201437"/>
    <s v="00200002107"/>
    <s v="Agriculture, Forestry, Fishing and Hunting"/>
    <s v="Forestry"/>
    <s v="Timber Tract Operations"/>
    <n v="0"/>
    <n v="0"/>
    <n v="0"/>
    <n v="0"/>
    <n v="0"/>
    <n v="0"/>
  </r>
  <r>
    <s v="FRANCIS KALIBBALA"/>
    <x v="3"/>
    <n v="-8"/>
    <n v="17000000"/>
    <x v="16"/>
    <n v="521333.33"/>
    <n v="1816031.52"/>
    <d v="2017-10-31T17:08:25"/>
    <d v="2018-11-02T00:00:00"/>
    <s v="0772367669"/>
    <s v="0704024449"/>
    <s v=""/>
    <n v="201438"/>
    <s v="00200002814"/>
    <s v="Transportation and Warehousing"/>
    <s v=" Passenger Transportation"/>
    <s v="Taxi service"/>
    <n v="0"/>
    <n v="0"/>
    <n v="0"/>
    <n v="0"/>
    <n v="0"/>
    <n v="0"/>
  </r>
  <r>
    <s v="DAVID BOGERE SSEBADDUKA"/>
    <x v="3"/>
    <n v="-8"/>
    <n v="20000000"/>
    <x v="20"/>
    <n v="613333.32999999996"/>
    <n v="1583917.5"/>
    <d v="2017-10-31T16:55:58"/>
    <d v="2019-05-02T00:00:00"/>
    <s v="0704221801"/>
    <s v=""/>
    <s v="0776221801"/>
    <n v="201439"/>
    <s v="00200002779"/>
    <s v="Retail"/>
    <s v="General Merchandise Stores"/>
    <s v="General Stores"/>
    <n v="0"/>
    <n v="0"/>
    <n v="0"/>
    <n v="0"/>
    <n v="0"/>
    <n v="0"/>
  </r>
  <r>
    <s v="FRANCIS NOLAN SEMATA"/>
    <x v="0"/>
    <n v="-8"/>
    <n v="2500000"/>
    <x v="29"/>
    <n v="86250"/>
    <n v="380112.24"/>
    <d v="2017-10-31T18:02:21"/>
    <d v="2018-07-02T00:00:00"/>
    <s v="0706761327"/>
    <s v=""/>
    <s v=""/>
    <n v="201440"/>
    <s v="00200002785"/>
    <s v="Retail"/>
    <s v="General Merchandise Stores"/>
    <s v="General Stores"/>
    <n v="0"/>
    <n v="0"/>
    <n v="0"/>
    <n v="0"/>
    <n v="0"/>
    <n v="0"/>
  </r>
  <r>
    <s v="HAPPY TRAILS COACHES LTD"/>
    <x v="3"/>
    <n v="-8"/>
    <n v="28000000"/>
    <x v="34"/>
    <n v="858666.67"/>
    <n v="5355029"/>
    <d v="2017-10-31T19:07:52"/>
    <d v="2018-05-02T00:00:00"/>
    <s v="0783597442"/>
    <s v=""/>
    <s v=""/>
    <n v="201441"/>
    <s v="00200002825"/>
    <s v="Retail"/>
    <s v="General Merchandise Stores"/>
    <s v="General Stores"/>
    <n v="0"/>
    <n v="0"/>
    <n v="0"/>
    <n v="0"/>
    <n v="0"/>
    <n v="0"/>
  </r>
  <r>
    <s v="ALEX NIONZIMA KWIZERA"/>
    <x v="3"/>
    <n v="-8"/>
    <n v="18000000"/>
    <x v="27"/>
    <n v="441000"/>
    <n v="1562851.25"/>
    <d v="2017-11-02T13:41:36"/>
    <d v="2019-02-02T00:00:00"/>
    <s v="0774347008"/>
    <s v=""/>
    <s v="0701074465"/>
    <n v="201442"/>
    <s v="00200001620"/>
    <s v="Retail"/>
    <s v="General Merchandise Stores"/>
    <s v="General Stores"/>
    <n v="0"/>
    <n v="0"/>
    <n v="0"/>
    <n v="0"/>
    <n v="0"/>
    <n v="0"/>
  </r>
  <r>
    <s v="ANTHONY ACUDA"/>
    <x v="10"/>
    <n v="-27"/>
    <n v="7336894.8300000001"/>
    <x v="17"/>
    <n v="10190.129999999999"/>
    <n v="7801753"/>
    <d v="2017-11-02T13:15:34"/>
    <d v="2018-04-21T00:00:00"/>
    <s v="0782168102"/>
    <s v=""/>
    <s v=""/>
    <n v="201443"/>
    <s v="00200000002"/>
    <s v="Other Services"/>
    <s v="Others"/>
    <s v="Others"/>
    <n v="0"/>
    <n v="0"/>
    <n v="0"/>
    <n v="0"/>
    <n v="0"/>
    <n v="0"/>
  </r>
  <r>
    <s v="JAFAL MUGISHA AJENA"/>
    <x v="10"/>
    <n v="-27"/>
    <n v="3337442.36"/>
    <x v="17"/>
    <n v="4635.34"/>
    <n v="3548899.3"/>
    <d v="2017-11-04T10:42:52"/>
    <d v="2018-04-21T00:00:00"/>
    <s v="0788340727"/>
    <s v=""/>
    <s v=""/>
    <n v="201445"/>
    <s v="00200000297"/>
    <s v="Other Services"/>
    <s v="Personal Services"/>
    <s v="Others"/>
    <n v="0"/>
    <n v="0"/>
    <n v="0"/>
    <n v="0"/>
    <n v="0"/>
    <n v="0"/>
  </r>
  <r>
    <s v="HANNAH KAHUMUZA"/>
    <x v="10"/>
    <n v="-27"/>
    <n v="3835466.65"/>
    <x v="17"/>
    <n v="5327.04"/>
    <n v="4078477.91"/>
    <d v="2017-11-07T09:52:38"/>
    <d v="2018-04-21T00:00:00"/>
    <s v="0783199394"/>
    <s v=""/>
    <s v=""/>
    <n v="201447"/>
    <s v="00200000006"/>
    <s v="Other Services"/>
    <s v="Personal Services"/>
    <s v="Others"/>
    <n v="0"/>
    <n v="0"/>
    <n v="0"/>
    <n v="0"/>
    <n v="0"/>
    <n v="0"/>
  </r>
  <r>
    <s v="ROBERT SONKO"/>
    <x v="0"/>
    <n v="-13"/>
    <n v="10000000"/>
    <x v="19"/>
    <n v="213333.33"/>
    <n v="1065521.73"/>
    <d v="2017-11-07T17:10:31"/>
    <d v="2018-11-07T00:00:00"/>
    <s v="0751018285"/>
    <s v=""/>
    <s v="0784947091"/>
    <n v="201448"/>
    <s v="00200002387"/>
    <s v="Health Care"/>
    <s v="Health Care"/>
    <s v=" Medical &amp; Diagnostic Laboratories"/>
    <n v="0"/>
    <n v="0"/>
    <n v="0"/>
    <n v="0"/>
    <n v="0"/>
    <n v="0"/>
  </r>
  <r>
    <s v="JORDAN AZEDH DHIKUSOKA"/>
    <x v="0"/>
    <n v="-15"/>
    <n v="3000000"/>
    <x v="19"/>
    <n v="56000"/>
    <n v="369872.83"/>
    <d v="2017-11-09T10:29:31"/>
    <d v="2018-09-09T00:00:00"/>
    <s v="0705600664"/>
    <s v=""/>
    <s v="0703995444"/>
    <n v="201449"/>
    <s v="00200002338"/>
    <s v="Real Estate and Rental"/>
    <s v="Rental"/>
    <s v="General Rental Centers"/>
    <n v="0"/>
    <n v="0"/>
    <n v="0"/>
    <n v="0"/>
    <n v="0"/>
    <n v="0"/>
  </r>
  <r>
    <s v="DAVID KASADHA"/>
    <x v="1"/>
    <n v="-13"/>
    <n v="6000000"/>
    <x v="41"/>
    <n v="106666.67"/>
    <n v="614828.9"/>
    <d v="2017-11-07T16:56:49"/>
    <d v="2018-11-07T00:00:00"/>
    <s v="0772497783"/>
    <s v=""/>
    <s v=""/>
    <n v="201450"/>
    <s v="00200002772"/>
    <s v="Retail"/>
    <s v="General Merchandise Stores"/>
    <s v="General Stores"/>
    <n v="0"/>
    <n v="0"/>
    <n v="0"/>
    <n v="0"/>
    <n v="0"/>
    <n v="0"/>
  </r>
  <r>
    <s v="ERIYOS BULYABA"/>
    <x v="8"/>
    <n v="-14"/>
    <n v="6500000"/>
    <x v="19"/>
    <n v="119166.67"/>
    <n v="952186.86"/>
    <d v="2017-11-08T11:40:57"/>
    <d v="2018-07-08T00:00:00"/>
    <s v="0775089677"/>
    <s v=""/>
    <s v="0704284059"/>
    <n v="201451"/>
    <s v="00200000891"/>
    <s v="Retail"/>
    <s v="General Merchandise Stores"/>
    <s v="General Stores"/>
    <n v="0"/>
    <n v="0"/>
    <n v="0"/>
    <n v="0"/>
    <n v="0"/>
    <n v="0"/>
  </r>
  <r>
    <s v="SARAH KAYAGA"/>
    <x v="7"/>
    <n v="-14"/>
    <n v="3000000"/>
    <x v="38"/>
    <n v="67500"/>
    <n v="379136.47"/>
    <d v="2017-11-08T11:58:38"/>
    <d v="2018-09-08T00:00:00"/>
    <s v="0756648345"/>
    <s v=""/>
    <s v=""/>
    <n v="201452"/>
    <s v="00200002803"/>
    <s v="Retail"/>
    <s v="General Merchandise Stores"/>
    <s v="General Stores"/>
    <n v="0"/>
    <n v="0"/>
    <n v="0"/>
    <n v="0"/>
    <n v="0"/>
    <n v="0"/>
  </r>
  <r>
    <s v="JOANITA NABUKEERA MUNINA"/>
    <x v="7"/>
    <n v="-14"/>
    <n v="4000000"/>
    <x v="42"/>
    <n v="90000"/>
    <n v="505515.29"/>
    <d v="2017-11-08T13:11:49"/>
    <d v="2018-09-08T00:00:00"/>
    <s v="0782559553"/>
    <s v="0706447145"/>
    <s v=""/>
    <n v="201453"/>
    <s v="00200002756"/>
    <s v="Retail"/>
    <s v="General Merchandise Stores"/>
    <s v="General Stores"/>
    <n v="0"/>
    <n v="0"/>
    <n v="0"/>
    <n v="0"/>
    <n v="0"/>
    <n v="0"/>
  </r>
  <r>
    <s v="JANE OPONDO NALUKWAGO"/>
    <x v="8"/>
    <n v="-14"/>
    <n v="6000000"/>
    <x v="38"/>
    <n v="125000"/>
    <n v="745896.01"/>
    <d v="2017-11-08T14:00:54"/>
    <d v="2018-09-08T00:00:00"/>
    <s v="0774892615"/>
    <s v=""/>
    <s v=""/>
    <n v="201454"/>
    <s v="00200002810"/>
    <s v="Retail"/>
    <s v="General Merchandise Stores"/>
    <s v="General Stores"/>
    <n v="0"/>
    <n v="0"/>
    <n v="0"/>
    <n v="0"/>
    <n v="0"/>
    <n v="0"/>
  </r>
  <r>
    <s v="VIVIAN BALYAMA"/>
    <x v="10"/>
    <n v="-27"/>
    <n v="831497.3"/>
    <x v="17"/>
    <n v="1154.8599999999999"/>
    <n v="884180.13"/>
    <d v="2017-11-09T11:40:22"/>
    <d v="2018-04-21T00:00:00"/>
    <s v="07017040081"/>
    <s v=""/>
    <s v=""/>
    <n v="201455"/>
    <s v="00200000223"/>
    <s v="Other Services"/>
    <s v="Personal Services"/>
    <s v="Others"/>
    <n v="0"/>
    <n v="0"/>
    <n v="0"/>
    <n v="0"/>
    <n v="0"/>
    <n v="0"/>
  </r>
  <r>
    <s v="MARY KAYE NAKAWUKA"/>
    <x v="7"/>
    <n v="-15"/>
    <n v="4000000"/>
    <x v="39"/>
    <n v="84000"/>
    <n v="505515.29"/>
    <d v="2017-11-09T13:07:08"/>
    <d v="2018-09-09T00:00:00"/>
    <s v="0705650188"/>
    <s v=""/>
    <s v=""/>
    <n v="201456"/>
    <s v="00200002767"/>
    <s v="Retail"/>
    <s v="General Merchandise Stores"/>
    <s v="Others"/>
    <n v="0"/>
    <n v="0"/>
    <n v="0"/>
    <n v="0"/>
    <n v="0"/>
    <n v="0"/>
  </r>
  <r>
    <s v="JOYCE SIFUNA"/>
    <x v="8"/>
    <n v="-16"/>
    <n v="10000000"/>
    <x v="10"/>
    <n v="158888.89000000001"/>
    <n v="1045015.67"/>
    <d v="2017-11-10T12:10:39"/>
    <d v="2018-11-10T00:00:00"/>
    <s v="0701096147"/>
    <s v=""/>
    <s v=""/>
    <n v="201457"/>
    <s v="00200000605"/>
    <s v="Real Estate and Rental"/>
    <s v="Rental"/>
    <s v="General Rental Centers"/>
    <n v="0"/>
    <n v="0"/>
    <n v="0"/>
    <n v="0"/>
    <n v="0"/>
    <n v="0"/>
  </r>
  <r>
    <s v="ANNETTE NZOKI"/>
    <x v="7"/>
    <n v="-17"/>
    <n v="2000000"/>
    <x v="38"/>
    <n v="36000"/>
    <n v="252757.64"/>
    <d v="2017-11-11T10:57:45"/>
    <d v="2018-09-11T00:00:00"/>
    <s v="0757205190"/>
    <s v=""/>
    <s v=""/>
    <n v="201458"/>
    <s v="00200002811"/>
    <s v="Retail"/>
    <s v="Health and Personal Care Stores"/>
    <s v="Cosmetics, Beauty Supplies, &amp; Perfume Stores"/>
    <n v="0"/>
    <n v="0"/>
    <n v="0"/>
    <n v="0"/>
    <n v="0"/>
    <n v="0"/>
  </r>
  <r>
    <s v="RUTH NABILONGO"/>
    <x v="7"/>
    <n v="-21"/>
    <n v="1500000"/>
    <x v="1"/>
    <n v="18000"/>
    <n v="189568.23"/>
    <d v="2017-11-15T15:51:25"/>
    <d v="2018-09-15T00:00:00"/>
    <s v="0782348730"/>
    <s v="0752348730"/>
    <s v=""/>
    <n v="201459"/>
    <s v="00200002808"/>
    <s v="Retail"/>
    <s v="Food and Beverage Stores"/>
    <s v="Fruit &amp; Vegetable Markets"/>
    <n v="0"/>
    <n v="0"/>
    <n v="0"/>
    <n v="0"/>
    <n v="0"/>
    <n v="0"/>
  </r>
  <r>
    <s v="ADOLF BOGERE"/>
    <x v="6"/>
    <n v="-27"/>
    <n v="8902000"/>
    <x v="17"/>
    <n v="38080.78"/>
    <n v="463205.04"/>
    <d v="2017-11-16T17:02:40"/>
    <d v="2019-11-21T00:00:00"/>
    <s v="0751297101"/>
    <s v=""/>
    <s v=""/>
    <n v="201460"/>
    <s v="00200000073"/>
    <s v="Finance and Insurance"/>
    <s v="Finance"/>
    <s v="Microfinance Institutions"/>
    <n v="0"/>
    <n v="0"/>
    <n v="0"/>
    <n v="0"/>
    <n v="0"/>
    <n v="0"/>
  </r>
  <r>
    <s v="CAROLINE NAKITENDE"/>
    <x v="6"/>
    <n v="-27"/>
    <n v="11880000"/>
    <x v="17"/>
    <n v="50820"/>
    <n v="618161.75"/>
    <d v="2017-11-16T17:17:56"/>
    <d v="2019-11-21T00:00:00"/>
    <s v="0772049914"/>
    <s v=""/>
    <s v="0701988739"/>
    <n v="201461"/>
    <s v="00200000134"/>
    <s v="Retail"/>
    <s v="General Merchandise Stores"/>
    <s v="General Stores"/>
    <n v="0"/>
    <n v="0"/>
    <n v="0"/>
    <n v="0"/>
    <n v="0"/>
    <n v="0"/>
  </r>
</pivotCacheRecords>
</file>

<file path=xl/pivotCache/pivotCacheRecords2.xml><?xml version="1.0" encoding="utf-8"?>
<pivotCacheRecords xmlns="http://schemas.openxmlformats.org/spreadsheetml/2006/main" xmlns:r="http://schemas.openxmlformats.org/officeDocument/2006/relationships" count="155">
  <r>
    <x v="0"/>
    <x v="0"/>
    <x v="0"/>
    <n v="23"/>
    <n v="272187967.13999999"/>
    <n v="1.643"/>
  </r>
  <r>
    <x v="0"/>
    <x v="0"/>
    <x v="1"/>
    <n v="7"/>
    <n v="66165077.079999998"/>
    <n v="0.39939999999999998"/>
  </r>
  <r>
    <x v="0"/>
    <x v="0"/>
    <x v="2"/>
    <n v="5"/>
    <n v="22306467.710000001"/>
    <n v="0.1346"/>
  </r>
  <r>
    <x v="0"/>
    <x v="0"/>
    <x v="3"/>
    <n v="3"/>
    <n v="9531388.5"/>
    <n v="5.7500000000000002E-2"/>
  </r>
  <r>
    <x v="0"/>
    <x v="1"/>
    <x v="0"/>
    <n v="8"/>
    <n v="85553210.870000005"/>
    <n v="0.51639999999999997"/>
  </r>
  <r>
    <x v="0"/>
    <x v="1"/>
    <x v="1"/>
    <n v="2"/>
    <n v="39178397.960000001"/>
    <n v="0.2364"/>
  </r>
  <r>
    <x v="0"/>
    <x v="1"/>
    <x v="2"/>
    <n v="1"/>
    <n v="1913905.56"/>
    <n v="1.15E-2"/>
  </r>
  <r>
    <x v="0"/>
    <x v="1"/>
    <x v="3"/>
    <n v="1"/>
    <n v="23336195.68"/>
    <n v="0.14080000000000001"/>
  </r>
  <r>
    <x v="0"/>
    <x v="2"/>
    <x v="0"/>
    <n v="1"/>
    <n v="43867352.810000002"/>
    <n v="0.26479999999999998"/>
  </r>
  <r>
    <x v="0"/>
    <x v="3"/>
    <x v="0"/>
    <n v="4"/>
    <n v="23899482.940000001"/>
    <n v="0.14419999999999999"/>
  </r>
  <r>
    <x v="0"/>
    <x v="3"/>
    <x v="1"/>
    <n v="3"/>
    <n v="6414445.9699999997"/>
    <n v="3.8699999999999998E-2"/>
  </r>
  <r>
    <x v="0"/>
    <x v="4"/>
    <x v="0"/>
    <n v="1"/>
    <n v="9848596"/>
    <n v="5.9400000000000001E-2"/>
  </r>
  <r>
    <x v="0"/>
    <x v="4"/>
    <x v="1"/>
    <n v="1"/>
    <n v="27690200.07"/>
    <n v="0.1671"/>
  </r>
  <r>
    <x v="1"/>
    <x v="5"/>
    <x v="0"/>
    <n v="7"/>
    <n v="145163012.13"/>
    <n v="0.87619999999999998"/>
  </r>
  <r>
    <x v="1"/>
    <x v="5"/>
    <x v="1"/>
    <n v="6"/>
    <n v="140743267.63999999"/>
    <n v="0.84950000000000003"/>
  </r>
  <r>
    <x v="1"/>
    <x v="5"/>
    <x v="2"/>
    <n v="2"/>
    <n v="87589734.430000007"/>
    <n v="0.52869999999999995"/>
  </r>
  <r>
    <x v="1"/>
    <x v="5"/>
    <x v="3"/>
    <n v="2"/>
    <n v="4747935.8"/>
    <n v="2.86E-2"/>
  </r>
  <r>
    <x v="1"/>
    <x v="4"/>
    <x v="0"/>
    <n v="3"/>
    <n v="46026651.880000003"/>
    <n v="0.27779999999999999"/>
  </r>
  <r>
    <x v="1"/>
    <x v="4"/>
    <x v="1"/>
    <n v="2"/>
    <n v="31319456.52"/>
    <n v="0.189"/>
  </r>
  <r>
    <x v="1"/>
    <x v="4"/>
    <x v="2"/>
    <n v="1"/>
    <n v="2175614.12"/>
    <n v="1.3100000000000001E-2"/>
  </r>
  <r>
    <x v="2"/>
    <x v="6"/>
    <x v="0"/>
    <n v="27"/>
    <n v="473434854.24000001"/>
    <n v="2.8578000000000001"/>
  </r>
  <r>
    <x v="2"/>
    <x v="6"/>
    <x v="1"/>
    <n v="9"/>
    <n v="96699396.030000001"/>
    <n v="0.5837"/>
  </r>
  <r>
    <x v="2"/>
    <x v="6"/>
    <x v="2"/>
    <n v="7"/>
    <n v="66874228.240000002"/>
    <n v="0.40360000000000001"/>
  </r>
  <r>
    <x v="2"/>
    <x v="6"/>
    <x v="3"/>
    <n v="5"/>
    <n v="83749628"/>
    <n v="0.50549999999999995"/>
  </r>
  <r>
    <x v="2"/>
    <x v="4"/>
    <x v="0"/>
    <n v="1"/>
    <n v="19299402.359999999"/>
    <n v="0.11650000000000001"/>
  </r>
  <r>
    <x v="3"/>
    <x v="7"/>
    <x v="0"/>
    <n v="21"/>
    <n v="279150756.5"/>
    <n v="1.6850000000000001"/>
  </r>
  <r>
    <x v="3"/>
    <x v="7"/>
    <x v="1"/>
    <n v="2"/>
    <n v="47599635.43"/>
    <n v="0.2873"/>
  </r>
  <r>
    <x v="3"/>
    <x v="7"/>
    <x v="3"/>
    <n v="1"/>
    <n v="8898075.0199999996"/>
    <n v="5.3699999999999998E-2"/>
  </r>
  <r>
    <x v="3"/>
    <x v="4"/>
    <x v="1"/>
    <n v="1"/>
    <n v="4626744.96"/>
    <n v="2.7900000000000001E-2"/>
  </r>
  <r>
    <x v="4"/>
    <x v="8"/>
    <x v="0"/>
    <n v="8"/>
    <n v="170683483.81"/>
    <n v="1.0303"/>
  </r>
  <r>
    <x v="4"/>
    <x v="8"/>
    <x v="1"/>
    <n v="5"/>
    <n v="34320702.530000001"/>
    <n v="0.20710000000000001"/>
  </r>
  <r>
    <x v="4"/>
    <x v="8"/>
    <x v="2"/>
    <n v="4"/>
    <n v="18369082"/>
    <n v="0.1108"/>
  </r>
  <r>
    <x v="4"/>
    <x v="8"/>
    <x v="4"/>
    <n v="1"/>
    <n v="1250308.6100000001"/>
    <n v="7.4999999999999997E-3"/>
  </r>
  <r>
    <x v="5"/>
    <x v="4"/>
    <x v="1"/>
    <n v="2"/>
    <n v="16869343.699999999"/>
    <n v="0.1018"/>
  </r>
  <r>
    <x v="5"/>
    <x v="4"/>
    <x v="2"/>
    <n v="1"/>
    <n v="20686130.359999999"/>
    <n v="0.12479999999999999"/>
  </r>
  <r>
    <x v="5"/>
    <x v="4"/>
    <x v="3"/>
    <n v="1"/>
    <n v="3623553.87"/>
    <n v="2.18E-2"/>
  </r>
  <r>
    <x v="5"/>
    <x v="9"/>
    <x v="0"/>
    <n v="3"/>
    <n v="55556900.240000002"/>
    <n v="0.33529999999999999"/>
  </r>
  <r>
    <x v="6"/>
    <x v="10"/>
    <x v="0"/>
    <n v="2"/>
    <n v="55164799.009999998"/>
    <n v="0.33300000000000002"/>
  </r>
  <r>
    <x v="6"/>
    <x v="11"/>
    <x v="0"/>
    <n v="1"/>
    <n v="27791794.84"/>
    <n v="0.16769999999999999"/>
  </r>
  <r>
    <x v="6"/>
    <x v="11"/>
    <x v="1"/>
    <n v="1"/>
    <n v="14805544.539999999"/>
    <n v="8.9300000000000004E-2"/>
  </r>
  <r>
    <x v="6"/>
    <x v="12"/>
    <x v="0"/>
    <n v="2"/>
    <n v="26009931.620000001"/>
    <n v="0.157"/>
  </r>
  <r>
    <x v="6"/>
    <x v="12"/>
    <x v="2"/>
    <n v="1"/>
    <n v="2360581.64"/>
    <n v="1.4200000000000001E-2"/>
  </r>
  <r>
    <x v="6"/>
    <x v="12"/>
    <x v="3"/>
    <n v="1"/>
    <n v="5400586.4299999997"/>
    <n v="3.2599999999999997E-2"/>
  </r>
  <r>
    <x v="6"/>
    <x v="13"/>
    <x v="0"/>
    <n v="1"/>
    <n v="28696864.579999998"/>
    <n v="0.17319999999999999"/>
  </r>
  <r>
    <x v="6"/>
    <x v="13"/>
    <x v="2"/>
    <n v="1"/>
    <n v="21578331.32"/>
    <n v="0.13020000000000001"/>
  </r>
  <r>
    <x v="6"/>
    <x v="14"/>
    <x v="0"/>
    <n v="1"/>
    <n v="781983.27"/>
    <n v="4.7000000000000002E-3"/>
  </r>
  <r>
    <x v="6"/>
    <x v="15"/>
    <x v="1"/>
    <n v="1"/>
    <n v="52485275.039999999"/>
    <n v="0.31680000000000003"/>
  </r>
  <r>
    <x v="6"/>
    <x v="15"/>
    <x v="2"/>
    <n v="1"/>
    <n v="21707697.300000001"/>
    <n v="0.13100000000000001"/>
  </r>
  <r>
    <x v="6"/>
    <x v="4"/>
    <x v="0"/>
    <n v="1"/>
    <n v="48956677.560000002"/>
    <n v="0.29549999999999998"/>
  </r>
  <r>
    <x v="6"/>
    <x v="4"/>
    <x v="1"/>
    <n v="1"/>
    <n v="619690.30000000005"/>
    <n v="3.7000000000000002E-3"/>
  </r>
  <r>
    <x v="6"/>
    <x v="16"/>
    <x v="2"/>
    <n v="1"/>
    <n v="14456376.6"/>
    <n v="8.72E-2"/>
  </r>
  <r>
    <x v="6"/>
    <x v="17"/>
    <x v="0"/>
    <n v="1"/>
    <n v="5179992.92"/>
    <n v="3.1199999999999999E-2"/>
  </r>
  <r>
    <x v="6"/>
    <x v="18"/>
    <x v="1"/>
    <n v="1"/>
    <n v="1362114.19"/>
    <n v="8.2000000000000007E-3"/>
  </r>
  <r>
    <x v="6"/>
    <x v="19"/>
    <x v="0"/>
    <n v="1"/>
    <n v="2345949.7799999998"/>
    <n v="1.41E-2"/>
  </r>
  <r>
    <x v="6"/>
    <x v="19"/>
    <x v="2"/>
    <n v="1"/>
    <n v="5113650.09"/>
    <n v="3.0800000000000001E-2"/>
  </r>
  <r>
    <x v="7"/>
    <x v="20"/>
    <x v="0"/>
    <n v="2"/>
    <n v="67208602.450000003"/>
    <n v="0.40570000000000001"/>
  </r>
  <r>
    <x v="8"/>
    <x v="4"/>
    <x v="0"/>
    <n v="11"/>
    <n v="56937868.289999999"/>
    <n v="0.34370000000000001"/>
  </r>
  <r>
    <x v="8"/>
    <x v="4"/>
    <x v="1"/>
    <n v="1"/>
    <n v="10667138.1"/>
    <n v="6.4299999999999996E-2"/>
  </r>
  <r>
    <x v="8"/>
    <x v="4"/>
    <x v="2"/>
    <n v="1"/>
    <n v="8344405.3499999996"/>
    <n v="5.0299999999999997E-2"/>
  </r>
  <r>
    <x v="8"/>
    <x v="21"/>
    <x v="0"/>
    <n v="12"/>
    <n v="26974016.739999998"/>
    <n v="0.1628"/>
  </r>
  <r>
    <x v="8"/>
    <x v="22"/>
    <x v="1"/>
    <n v="1"/>
    <n v="3431151.96"/>
    <n v="2.07E-2"/>
  </r>
  <r>
    <x v="9"/>
    <x v="4"/>
    <x v="0"/>
    <n v="7"/>
    <n v="58451033.57"/>
    <n v="0.3528"/>
  </r>
  <r>
    <x v="9"/>
    <x v="4"/>
    <x v="1"/>
    <n v="1"/>
    <n v="28100045.739999998"/>
    <n v="0.1696"/>
  </r>
  <r>
    <x v="9"/>
    <x v="4"/>
    <x v="3"/>
    <n v="1"/>
    <n v="5259874.79"/>
    <n v="3.1699999999999999E-2"/>
  </r>
  <r>
    <x v="9"/>
    <x v="23"/>
    <x v="0"/>
    <n v="41"/>
    <n v="658438652.54999995"/>
    <n v="3.9746000000000001"/>
  </r>
  <r>
    <x v="9"/>
    <x v="23"/>
    <x v="1"/>
    <n v="17"/>
    <n v="317872358.19"/>
    <n v="1.9188000000000001"/>
  </r>
  <r>
    <x v="9"/>
    <x v="23"/>
    <x v="2"/>
    <n v="13"/>
    <n v="127577969.04000001"/>
    <n v="0.77010000000000001"/>
  </r>
  <r>
    <x v="9"/>
    <x v="23"/>
    <x v="3"/>
    <n v="4"/>
    <n v="73302109.790000007"/>
    <n v="0.44240000000000002"/>
  </r>
  <r>
    <x v="9"/>
    <x v="23"/>
    <x v="4"/>
    <n v="2"/>
    <n v="1436657.76"/>
    <n v="8.6E-3"/>
  </r>
  <r>
    <x v="9"/>
    <x v="24"/>
    <x v="0"/>
    <n v="145"/>
    <n v="2089010806.1600001"/>
    <n v="12.610200000000001"/>
  </r>
  <r>
    <x v="9"/>
    <x v="24"/>
    <x v="1"/>
    <n v="91"/>
    <n v="1359882667.77"/>
    <n v="8.2088000000000001"/>
  </r>
  <r>
    <x v="9"/>
    <x v="24"/>
    <x v="2"/>
    <n v="26"/>
    <n v="224611545.22999999"/>
    <n v="1.3557999999999999"/>
  </r>
  <r>
    <x v="9"/>
    <x v="24"/>
    <x v="3"/>
    <n v="15"/>
    <n v="62063879.780000001"/>
    <n v="0.37459999999999999"/>
  </r>
  <r>
    <x v="9"/>
    <x v="24"/>
    <x v="4"/>
    <n v="5"/>
    <n v="28916580.699999999"/>
    <n v="0.17449999999999999"/>
  </r>
  <r>
    <x v="10"/>
    <x v="25"/>
    <x v="0"/>
    <n v="8"/>
    <n v="143337756.65000001"/>
    <n v="0.86519999999999997"/>
  </r>
  <r>
    <x v="10"/>
    <x v="25"/>
    <x v="1"/>
    <n v="1"/>
    <n v="33221911.890000001"/>
    <n v="0.20050000000000001"/>
  </r>
  <r>
    <x v="10"/>
    <x v="4"/>
    <x v="0"/>
    <n v="2"/>
    <n v="33207313.059999999"/>
    <n v="0.20039999999999999"/>
  </r>
  <r>
    <x v="10"/>
    <x v="26"/>
    <x v="0"/>
    <n v="10"/>
    <n v="105658770.84999999"/>
    <n v="0.63780000000000003"/>
  </r>
  <r>
    <x v="10"/>
    <x v="26"/>
    <x v="1"/>
    <n v="5"/>
    <n v="62108827.68"/>
    <n v="0.37490000000000001"/>
  </r>
  <r>
    <x v="10"/>
    <x v="26"/>
    <x v="2"/>
    <n v="1"/>
    <n v="1433967.43"/>
    <n v="8.6E-3"/>
  </r>
  <r>
    <x v="10"/>
    <x v="26"/>
    <x v="3"/>
    <n v="1"/>
    <n v="309379.08"/>
    <n v="1.8E-3"/>
  </r>
  <r>
    <x v="11"/>
    <x v="27"/>
    <x v="0"/>
    <n v="15"/>
    <n v="135601030.75"/>
    <n v="0.81850000000000001"/>
  </r>
  <r>
    <x v="11"/>
    <x v="27"/>
    <x v="1"/>
    <n v="14"/>
    <n v="177678486.83000001"/>
    <n v="1.0725"/>
  </r>
  <r>
    <x v="11"/>
    <x v="27"/>
    <x v="2"/>
    <n v="3"/>
    <n v="56102742.780000001"/>
    <n v="0.33860000000000001"/>
  </r>
  <r>
    <x v="11"/>
    <x v="27"/>
    <x v="3"/>
    <n v="1"/>
    <n v="1956822.75"/>
    <n v="1.18E-2"/>
  </r>
  <r>
    <x v="11"/>
    <x v="28"/>
    <x v="0"/>
    <n v="8"/>
    <n v="60889052.189999998"/>
    <n v="0.36749999999999999"/>
  </r>
  <r>
    <x v="11"/>
    <x v="28"/>
    <x v="1"/>
    <n v="7"/>
    <n v="27296678.600000001"/>
    <n v="0.16470000000000001"/>
  </r>
  <r>
    <x v="11"/>
    <x v="28"/>
    <x v="2"/>
    <n v="1"/>
    <n v="25109756.34"/>
    <n v="0.1515"/>
  </r>
  <r>
    <x v="11"/>
    <x v="28"/>
    <x v="3"/>
    <n v="2"/>
    <n v="14473335.84"/>
    <n v="8.7300000000000003E-2"/>
  </r>
  <r>
    <x v="11"/>
    <x v="29"/>
    <x v="0"/>
    <n v="11"/>
    <n v="34093428.689999998"/>
    <n v="0.20580000000000001"/>
  </r>
  <r>
    <x v="11"/>
    <x v="29"/>
    <x v="1"/>
    <n v="8"/>
    <n v="54084185.259999998"/>
    <n v="0.32640000000000002"/>
  </r>
  <r>
    <x v="11"/>
    <x v="29"/>
    <x v="2"/>
    <n v="1"/>
    <n v="6329044.9100000001"/>
    <n v="3.8199999999999998E-2"/>
  </r>
  <r>
    <x v="11"/>
    <x v="29"/>
    <x v="3"/>
    <n v="3"/>
    <n v="4087605.05"/>
    <n v="2.46E-2"/>
  </r>
  <r>
    <x v="11"/>
    <x v="29"/>
    <x v="4"/>
    <n v="1"/>
    <n v="10535979.98"/>
    <n v="6.3600000000000004E-2"/>
  </r>
  <r>
    <x v="11"/>
    <x v="30"/>
    <x v="0"/>
    <n v="5"/>
    <n v="50697647.020000003"/>
    <n v="0.30599999999999999"/>
  </r>
  <r>
    <x v="11"/>
    <x v="30"/>
    <x v="1"/>
    <n v="3"/>
    <n v="51182304.490000002"/>
    <n v="0.30890000000000001"/>
  </r>
  <r>
    <x v="11"/>
    <x v="30"/>
    <x v="2"/>
    <n v="3"/>
    <n v="22552425.129999999"/>
    <n v="0.1361"/>
  </r>
  <r>
    <x v="11"/>
    <x v="30"/>
    <x v="3"/>
    <n v="3"/>
    <n v="12065685.73"/>
    <n v="7.2800000000000004E-2"/>
  </r>
  <r>
    <x v="11"/>
    <x v="31"/>
    <x v="0"/>
    <n v="1"/>
    <n v="24839300.879999999"/>
    <n v="0.14990000000000001"/>
  </r>
  <r>
    <x v="11"/>
    <x v="32"/>
    <x v="0"/>
    <n v="242"/>
    <n v="1810652195.3399999"/>
    <n v="10.9299"/>
  </r>
  <r>
    <x v="11"/>
    <x v="32"/>
    <x v="1"/>
    <n v="80"/>
    <n v="704602205.42999995"/>
    <n v="4.2533000000000003"/>
  </r>
  <r>
    <x v="11"/>
    <x v="32"/>
    <x v="2"/>
    <n v="21"/>
    <n v="225142779.49000001"/>
    <n v="1.359"/>
  </r>
  <r>
    <x v="11"/>
    <x v="32"/>
    <x v="3"/>
    <n v="6"/>
    <n v="79589440.099999994"/>
    <n v="0.48039999999999999"/>
  </r>
  <r>
    <x v="11"/>
    <x v="32"/>
    <x v="4"/>
    <n v="3"/>
    <n v="7060024.71"/>
    <n v="4.2599999999999999E-2"/>
  </r>
  <r>
    <x v="11"/>
    <x v="33"/>
    <x v="0"/>
    <n v="6"/>
    <n v="41410020.189999998"/>
    <n v="0.24990000000000001"/>
  </r>
  <r>
    <x v="11"/>
    <x v="33"/>
    <x v="1"/>
    <n v="1"/>
    <n v="3837077.99"/>
    <n v="2.3099999999999999E-2"/>
  </r>
  <r>
    <x v="11"/>
    <x v="33"/>
    <x v="3"/>
    <n v="1"/>
    <n v="605533.28"/>
    <n v="3.5999999999999999E-3"/>
  </r>
  <r>
    <x v="11"/>
    <x v="34"/>
    <x v="0"/>
    <n v="5"/>
    <n v="102110650.45999999"/>
    <n v="0.61629999999999996"/>
  </r>
  <r>
    <x v="11"/>
    <x v="34"/>
    <x v="1"/>
    <n v="8"/>
    <n v="129675930.59999999"/>
    <n v="0.78269999999999995"/>
  </r>
  <r>
    <x v="11"/>
    <x v="34"/>
    <x v="2"/>
    <n v="3"/>
    <n v="6878899.8300000001"/>
    <n v="4.1500000000000002E-2"/>
  </r>
  <r>
    <x v="11"/>
    <x v="35"/>
    <x v="0"/>
    <n v="10"/>
    <n v="130961524.23"/>
    <n v="0.79049999999999998"/>
  </r>
  <r>
    <x v="11"/>
    <x v="35"/>
    <x v="1"/>
    <n v="6"/>
    <n v="66249642.149999999"/>
    <n v="0.39989999999999998"/>
  </r>
  <r>
    <x v="11"/>
    <x v="35"/>
    <x v="2"/>
    <n v="3"/>
    <n v="16426369.390000001"/>
    <n v="9.9099999999999994E-2"/>
  </r>
  <r>
    <x v="11"/>
    <x v="35"/>
    <x v="3"/>
    <n v="1"/>
    <n v="23635006.18"/>
    <n v="0.1426"/>
  </r>
  <r>
    <x v="11"/>
    <x v="36"/>
    <x v="0"/>
    <n v="7"/>
    <n v="80152359.890000001"/>
    <n v="0.48380000000000001"/>
  </r>
  <r>
    <x v="11"/>
    <x v="36"/>
    <x v="1"/>
    <n v="5"/>
    <n v="47618134.18"/>
    <n v="0.28739999999999999"/>
  </r>
  <r>
    <x v="11"/>
    <x v="36"/>
    <x v="2"/>
    <n v="1"/>
    <n v="12807037.58"/>
    <n v="7.7299999999999994E-2"/>
  </r>
  <r>
    <x v="11"/>
    <x v="4"/>
    <x v="0"/>
    <n v="54"/>
    <n v="370414633.47000003"/>
    <n v="2.2359"/>
  </r>
  <r>
    <x v="11"/>
    <x v="4"/>
    <x v="1"/>
    <n v="44"/>
    <n v="418247661.42000002"/>
    <n v="2.5247000000000002"/>
  </r>
  <r>
    <x v="11"/>
    <x v="4"/>
    <x v="2"/>
    <n v="18"/>
    <n v="195598609.78999999"/>
    <n v="1.1807000000000001"/>
  </r>
  <r>
    <x v="11"/>
    <x v="4"/>
    <x v="3"/>
    <n v="9"/>
    <n v="93076285.659999996"/>
    <n v="0.56179999999999997"/>
  </r>
  <r>
    <x v="11"/>
    <x v="4"/>
    <x v="4"/>
    <n v="1"/>
    <n v="48442901.219999999"/>
    <n v="0.29239999999999999"/>
  </r>
  <r>
    <x v="11"/>
    <x v="37"/>
    <x v="0"/>
    <n v="17"/>
    <n v="83035797.090000004"/>
    <n v="0.50119999999999998"/>
  </r>
  <r>
    <x v="11"/>
    <x v="37"/>
    <x v="1"/>
    <n v="4"/>
    <n v="39433383.829999998"/>
    <n v="0.23799999999999999"/>
  </r>
  <r>
    <x v="11"/>
    <x v="37"/>
    <x v="2"/>
    <n v="1"/>
    <n v="851743.54"/>
    <n v="5.1000000000000004E-3"/>
  </r>
  <r>
    <x v="11"/>
    <x v="37"/>
    <x v="3"/>
    <n v="2"/>
    <n v="1157304.01"/>
    <n v="6.8999999999999999E-3"/>
  </r>
  <r>
    <x v="12"/>
    <x v="38"/>
    <x v="0"/>
    <n v="19"/>
    <n v="165919687.66999999"/>
    <n v="1.0015000000000001"/>
  </r>
  <r>
    <x v="12"/>
    <x v="38"/>
    <x v="1"/>
    <n v="10"/>
    <n v="142427801.88999999"/>
    <n v="0.85970000000000002"/>
  </r>
  <r>
    <x v="12"/>
    <x v="38"/>
    <x v="2"/>
    <n v="6"/>
    <n v="43102744.560000002"/>
    <n v="0.2601"/>
  </r>
  <r>
    <x v="12"/>
    <x v="38"/>
    <x v="3"/>
    <n v="2"/>
    <n v="71730185.920000002"/>
    <n v="0.43290000000000001"/>
  </r>
  <r>
    <x v="12"/>
    <x v="39"/>
    <x v="1"/>
    <n v="1"/>
    <n v="4501411.18"/>
    <n v="2.7099999999999999E-2"/>
  </r>
  <r>
    <x v="12"/>
    <x v="4"/>
    <x v="0"/>
    <n v="1"/>
    <n v="1026841.7"/>
    <n v="6.1000000000000004E-3"/>
  </r>
  <r>
    <x v="12"/>
    <x v="4"/>
    <x v="1"/>
    <n v="1"/>
    <n v="11942392.939999999"/>
    <n v="7.1999999999999995E-2"/>
  </r>
  <r>
    <x v="12"/>
    <x v="4"/>
    <x v="2"/>
    <n v="1"/>
    <n v="15219031"/>
    <n v="9.1800000000000007E-2"/>
  </r>
  <r>
    <x v="12"/>
    <x v="40"/>
    <x v="0"/>
    <n v="9"/>
    <n v="157469908.18000001"/>
    <n v="0.95050000000000001"/>
  </r>
  <r>
    <x v="12"/>
    <x v="40"/>
    <x v="1"/>
    <n v="6"/>
    <n v="87850769.760000005"/>
    <n v="0.53029999999999999"/>
  </r>
  <r>
    <x v="12"/>
    <x v="40"/>
    <x v="2"/>
    <n v="5"/>
    <n v="126442761.20999999"/>
    <n v="0.76319999999999999"/>
  </r>
  <r>
    <x v="12"/>
    <x v="40"/>
    <x v="3"/>
    <n v="2"/>
    <n v="7487476.4199999999"/>
    <n v="4.5100000000000001E-2"/>
  </r>
  <r>
    <x v="12"/>
    <x v="40"/>
    <x v="4"/>
    <n v="1"/>
    <n v="33157684.32"/>
    <n v="0.2001"/>
  </r>
  <r>
    <x v="12"/>
    <x v="41"/>
    <x v="0"/>
    <n v="2"/>
    <n v="40260001.770000003"/>
    <n v="0.24299999999999999"/>
  </r>
  <r>
    <x v="12"/>
    <x v="41"/>
    <x v="1"/>
    <n v="3"/>
    <n v="42598946.880000003"/>
    <n v="0.2571"/>
  </r>
  <r>
    <x v="13"/>
    <x v="42"/>
    <x v="0"/>
    <n v="28"/>
    <n v="379013953.13"/>
    <n v="2.2879"/>
  </r>
  <r>
    <x v="13"/>
    <x v="42"/>
    <x v="1"/>
    <n v="13"/>
    <n v="215113523.83000001"/>
    <n v="1.2985"/>
  </r>
  <r>
    <x v="13"/>
    <x v="42"/>
    <x v="2"/>
    <n v="5"/>
    <n v="85346124.700000003"/>
    <n v="0.5151"/>
  </r>
  <r>
    <x v="13"/>
    <x v="42"/>
    <x v="3"/>
    <n v="2"/>
    <n v="25135498.239999998"/>
    <n v="0.1517"/>
  </r>
  <r>
    <x v="13"/>
    <x v="42"/>
    <x v="4"/>
    <n v="1"/>
    <n v="22352970.59"/>
    <n v="0.13489999999999999"/>
  </r>
  <r>
    <x v="13"/>
    <x v="43"/>
    <x v="0"/>
    <n v="14"/>
    <n v="246379357.81999999"/>
    <n v="1.4872000000000001"/>
  </r>
  <r>
    <x v="13"/>
    <x v="43"/>
    <x v="1"/>
    <n v="5"/>
    <n v="98499235.420000002"/>
    <n v="0.59450000000000003"/>
  </r>
  <r>
    <x v="13"/>
    <x v="43"/>
    <x v="2"/>
    <n v="2"/>
    <n v="47587521.969999999"/>
    <n v="0.28720000000000001"/>
  </r>
  <r>
    <x v="13"/>
    <x v="43"/>
    <x v="3"/>
    <n v="2"/>
    <n v="1301420.98"/>
    <n v="7.7999999999999996E-3"/>
  </r>
  <r>
    <x v="13"/>
    <x v="43"/>
    <x v="4"/>
    <n v="3"/>
    <n v="39881048.93"/>
    <n v="0.2407"/>
  </r>
  <r>
    <x v="13"/>
    <x v="4"/>
    <x v="0"/>
    <n v="16"/>
    <n v="216484950.66"/>
    <n v="1.3068"/>
  </r>
  <r>
    <x v="13"/>
    <x v="4"/>
    <x v="1"/>
    <n v="12"/>
    <n v="241771322.77000001"/>
    <n v="1.4594"/>
  </r>
  <r>
    <x v="13"/>
    <x v="4"/>
    <x v="2"/>
    <n v="3"/>
    <n v="68305668"/>
    <n v="0.4123"/>
  </r>
  <r>
    <x v="13"/>
    <x v="4"/>
    <x v="3"/>
    <n v="1"/>
    <n v="4462763.1399999997"/>
    <n v="2.69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A5:D230" firstHeaderRow="0" firstDataRow="1" firstDataCol="1"/>
  <pivotFields count="6">
    <pivotField axis="axisRow" showAll="0">
      <items count="15">
        <item x="0"/>
        <item x="1"/>
        <item x="2"/>
        <item x="3"/>
        <item x="4"/>
        <item x="5"/>
        <item x="6"/>
        <item x="8"/>
        <item x="9"/>
        <item x="10"/>
        <item x="11"/>
        <item x="12"/>
        <item x="13"/>
        <item x="7"/>
        <item t="default"/>
      </items>
    </pivotField>
    <pivotField axis="axisRow" showAll="0">
      <items count="45">
        <item x="0"/>
        <item x="5"/>
        <item x="3"/>
        <item x="4"/>
        <item x="1"/>
        <item x="6"/>
        <item x="7"/>
        <item x="8"/>
        <item x="12"/>
        <item x="13"/>
        <item x="15"/>
        <item x="22"/>
        <item x="23"/>
        <item x="24"/>
        <item x="25"/>
        <item x="26"/>
        <item x="27"/>
        <item x="28"/>
        <item x="29"/>
        <item x="30"/>
        <item x="32"/>
        <item x="33"/>
        <item x="34"/>
        <item x="35"/>
        <item x="36"/>
        <item x="37"/>
        <item x="38"/>
        <item x="40"/>
        <item x="41"/>
        <item x="42"/>
        <item x="43"/>
        <item x="20"/>
        <item x="9"/>
        <item x="39"/>
        <item x="16"/>
        <item x="10"/>
        <item x="11"/>
        <item x="2"/>
        <item x="31"/>
        <item x="18"/>
        <item x="21"/>
        <item x="19"/>
        <item x="17"/>
        <item x="14"/>
        <item t="default"/>
      </items>
    </pivotField>
    <pivotField axis="axisRow" showAll="0">
      <items count="6">
        <item x="0"/>
        <item x="1"/>
        <item x="2"/>
        <item x="3"/>
        <item x="4"/>
        <item t="default"/>
      </items>
    </pivotField>
    <pivotField dataField="1" showAll="0"/>
    <pivotField dataField="1" showAll="0"/>
    <pivotField dataField="1" showAll="0"/>
  </pivotFields>
  <rowFields count="3">
    <field x="0"/>
    <field x="1"/>
    <field x="2"/>
  </rowFields>
  <rowItems count="225">
    <i>
      <x/>
    </i>
    <i r="1">
      <x/>
    </i>
    <i r="2">
      <x/>
    </i>
    <i r="2">
      <x v="1"/>
    </i>
    <i r="2">
      <x v="2"/>
    </i>
    <i r="2">
      <x v="3"/>
    </i>
    <i r="1">
      <x v="2"/>
    </i>
    <i r="2">
      <x/>
    </i>
    <i r="2">
      <x v="1"/>
    </i>
    <i r="1">
      <x v="3"/>
    </i>
    <i r="2">
      <x/>
    </i>
    <i r="2">
      <x v="1"/>
    </i>
    <i r="1">
      <x v="4"/>
    </i>
    <i r="2">
      <x/>
    </i>
    <i r="2">
      <x v="1"/>
    </i>
    <i r="2">
      <x v="2"/>
    </i>
    <i r="2">
      <x v="3"/>
    </i>
    <i r="1">
      <x v="37"/>
    </i>
    <i r="2">
      <x/>
    </i>
    <i>
      <x v="1"/>
    </i>
    <i r="1">
      <x v="1"/>
    </i>
    <i r="2">
      <x/>
    </i>
    <i r="2">
      <x v="1"/>
    </i>
    <i r="2">
      <x v="2"/>
    </i>
    <i r="2">
      <x v="3"/>
    </i>
    <i r="1">
      <x v="3"/>
    </i>
    <i r="2">
      <x/>
    </i>
    <i r="2">
      <x v="1"/>
    </i>
    <i r="2">
      <x v="2"/>
    </i>
    <i>
      <x v="2"/>
    </i>
    <i r="1">
      <x v="3"/>
    </i>
    <i r="2">
      <x/>
    </i>
    <i r="1">
      <x v="5"/>
    </i>
    <i r="2">
      <x/>
    </i>
    <i r="2">
      <x v="1"/>
    </i>
    <i r="2">
      <x v="2"/>
    </i>
    <i r="2">
      <x v="3"/>
    </i>
    <i>
      <x v="3"/>
    </i>
    <i r="1">
      <x v="3"/>
    </i>
    <i r="2">
      <x v="1"/>
    </i>
    <i r="1">
      <x v="6"/>
    </i>
    <i r="2">
      <x/>
    </i>
    <i r="2">
      <x v="1"/>
    </i>
    <i r="2">
      <x v="3"/>
    </i>
    <i>
      <x v="4"/>
    </i>
    <i r="1">
      <x v="7"/>
    </i>
    <i r="2">
      <x/>
    </i>
    <i r="2">
      <x v="1"/>
    </i>
    <i r="2">
      <x v="2"/>
    </i>
    <i r="2">
      <x v="4"/>
    </i>
    <i>
      <x v="5"/>
    </i>
    <i r="1">
      <x v="3"/>
    </i>
    <i r="2">
      <x v="1"/>
    </i>
    <i r="2">
      <x v="2"/>
    </i>
    <i r="2">
      <x v="3"/>
    </i>
    <i r="1">
      <x v="32"/>
    </i>
    <i r="2">
      <x/>
    </i>
    <i>
      <x v="6"/>
    </i>
    <i r="1">
      <x v="3"/>
    </i>
    <i r="2">
      <x/>
    </i>
    <i r="2">
      <x v="1"/>
    </i>
    <i r="1">
      <x v="8"/>
    </i>
    <i r="2">
      <x/>
    </i>
    <i r="2">
      <x v="2"/>
    </i>
    <i r="2">
      <x v="3"/>
    </i>
    <i r="1">
      <x v="9"/>
    </i>
    <i r="2">
      <x/>
    </i>
    <i r="2">
      <x v="2"/>
    </i>
    <i r="1">
      <x v="10"/>
    </i>
    <i r="2">
      <x v="1"/>
    </i>
    <i r="2">
      <x v="2"/>
    </i>
    <i r="1">
      <x v="34"/>
    </i>
    <i r="2">
      <x v="2"/>
    </i>
    <i r="1">
      <x v="35"/>
    </i>
    <i r="2">
      <x/>
    </i>
    <i r="1">
      <x v="36"/>
    </i>
    <i r="2">
      <x/>
    </i>
    <i r="2">
      <x v="1"/>
    </i>
    <i r="1">
      <x v="39"/>
    </i>
    <i r="2">
      <x v="1"/>
    </i>
    <i r="1">
      <x v="41"/>
    </i>
    <i r="2">
      <x/>
    </i>
    <i r="2">
      <x v="2"/>
    </i>
    <i r="1">
      <x v="42"/>
    </i>
    <i r="2">
      <x/>
    </i>
    <i r="1">
      <x v="43"/>
    </i>
    <i r="2">
      <x/>
    </i>
    <i>
      <x v="7"/>
    </i>
    <i r="1">
      <x v="3"/>
    </i>
    <i r="2">
      <x/>
    </i>
    <i r="2">
      <x v="1"/>
    </i>
    <i r="2">
      <x v="2"/>
    </i>
    <i r="1">
      <x v="11"/>
    </i>
    <i r="2">
      <x v="1"/>
    </i>
    <i r="1">
      <x v="40"/>
    </i>
    <i r="2">
      <x/>
    </i>
    <i>
      <x v="8"/>
    </i>
    <i r="1">
      <x v="3"/>
    </i>
    <i r="2">
      <x/>
    </i>
    <i r="2">
      <x v="1"/>
    </i>
    <i r="2">
      <x v="3"/>
    </i>
    <i r="1">
      <x v="12"/>
    </i>
    <i r="2">
      <x/>
    </i>
    <i r="2">
      <x v="1"/>
    </i>
    <i r="2">
      <x v="2"/>
    </i>
    <i r="2">
      <x v="3"/>
    </i>
    <i r="2">
      <x v="4"/>
    </i>
    <i r="1">
      <x v="13"/>
    </i>
    <i r="2">
      <x/>
    </i>
    <i r="2">
      <x v="1"/>
    </i>
    <i r="2">
      <x v="2"/>
    </i>
    <i r="2">
      <x v="3"/>
    </i>
    <i r="2">
      <x v="4"/>
    </i>
    <i>
      <x v="9"/>
    </i>
    <i r="1">
      <x v="3"/>
    </i>
    <i r="2">
      <x/>
    </i>
    <i r="1">
      <x v="14"/>
    </i>
    <i r="2">
      <x/>
    </i>
    <i r="2">
      <x v="1"/>
    </i>
    <i r="1">
      <x v="15"/>
    </i>
    <i r="2">
      <x/>
    </i>
    <i r="2">
      <x v="1"/>
    </i>
    <i r="2">
      <x v="2"/>
    </i>
    <i r="2">
      <x v="3"/>
    </i>
    <i>
      <x v="10"/>
    </i>
    <i r="1">
      <x v="3"/>
    </i>
    <i r="2">
      <x/>
    </i>
    <i r="2">
      <x v="1"/>
    </i>
    <i r="2">
      <x v="2"/>
    </i>
    <i r="2">
      <x v="3"/>
    </i>
    <i r="2">
      <x v="4"/>
    </i>
    <i r="1">
      <x v="16"/>
    </i>
    <i r="2">
      <x/>
    </i>
    <i r="2">
      <x v="1"/>
    </i>
    <i r="2">
      <x v="2"/>
    </i>
    <i r="2">
      <x v="3"/>
    </i>
    <i r="1">
      <x v="17"/>
    </i>
    <i r="2">
      <x/>
    </i>
    <i r="2">
      <x v="1"/>
    </i>
    <i r="2">
      <x v="2"/>
    </i>
    <i r="2">
      <x v="3"/>
    </i>
    <i r="1">
      <x v="18"/>
    </i>
    <i r="2">
      <x/>
    </i>
    <i r="2">
      <x v="1"/>
    </i>
    <i r="2">
      <x v="2"/>
    </i>
    <i r="2">
      <x v="3"/>
    </i>
    <i r="2">
      <x v="4"/>
    </i>
    <i r="1">
      <x v="19"/>
    </i>
    <i r="2">
      <x/>
    </i>
    <i r="2">
      <x v="1"/>
    </i>
    <i r="2">
      <x v="2"/>
    </i>
    <i r="2">
      <x v="3"/>
    </i>
    <i r="1">
      <x v="20"/>
    </i>
    <i r="2">
      <x/>
    </i>
    <i r="2">
      <x v="1"/>
    </i>
    <i r="2">
      <x v="2"/>
    </i>
    <i r="2">
      <x v="3"/>
    </i>
    <i r="2">
      <x v="4"/>
    </i>
    <i r="1">
      <x v="21"/>
    </i>
    <i r="2">
      <x/>
    </i>
    <i r="2">
      <x v="1"/>
    </i>
    <i r="2">
      <x v="3"/>
    </i>
    <i r="1">
      <x v="22"/>
    </i>
    <i r="2">
      <x/>
    </i>
    <i r="2">
      <x v="1"/>
    </i>
    <i r="2">
      <x v="2"/>
    </i>
    <i r="1">
      <x v="23"/>
    </i>
    <i r="2">
      <x/>
    </i>
    <i r="2">
      <x v="1"/>
    </i>
    <i r="2">
      <x v="2"/>
    </i>
    <i r="2">
      <x v="3"/>
    </i>
    <i r="1">
      <x v="24"/>
    </i>
    <i r="2">
      <x/>
    </i>
    <i r="2">
      <x v="1"/>
    </i>
    <i r="2">
      <x v="2"/>
    </i>
    <i r="1">
      <x v="25"/>
    </i>
    <i r="2">
      <x/>
    </i>
    <i r="2">
      <x v="1"/>
    </i>
    <i r="2">
      <x v="2"/>
    </i>
    <i r="2">
      <x v="3"/>
    </i>
    <i r="1">
      <x v="38"/>
    </i>
    <i r="2">
      <x/>
    </i>
    <i>
      <x v="11"/>
    </i>
    <i r="1">
      <x v="3"/>
    </i>
    <i r="2">
      <x/>
    </i>
    <i r="2">
      <x v="1"/>
    </i>
    <i r="2">
      <x v="2"/>
    </i>
    <i r="1">
      <x v="26"/>
    </i>
    <i r="2">
      <x/>
    </i>
    <i r="2">
      <x v="1"/>
    </i>
    <i r="2">
      <x v="2"/>
    </i>
    <i r="2">
      <x v="3"/>
    </i>
    <i r="1">
      <x v="27"/>
    </i>
    <i r="2">
      <x/>
    </i>
    <i r="2">
      <x v="1"/>
    </i>
    <i r="2">
      <x v="2"/>
    </i>
    <i r="2">
      <x v="3"/>
    </i>
    <i r="2">
      <x v="4"/>
    </i>
    <i r="1">
      <x v="28"/>
    </i>
    <i r="2">
      <x/>
    </i>
    <i r="2">
      <x v="1"/>
    </i>
    <i r="1">
      <x v="33"/>
    </i>
    <i r="2">
      <x v="1"/>
    </i>
    <i>
      <x v="12"/>
    </i>
    <i r="1">
      <x v="3"/>
    </i>
    <i r="2">
      <x/>
    </i>
    <i r="2">
      <x v="1"/>
    </i>
    <i r="2">
      <x v="2"/>
    </i>
    <i r="2">
      <x v="3"/>
    </i>
    <i r="1">
      <x v="29"/>
    </i>
    <i r="2">
      <x/>
    </i>
    <i r="2">
      <x v="1"/>
    </i>
    <i r="2">
      <x v="2"/>
    </i>
    <i r="2">
      <x v="3"/>
    </i>
    <i r="2">
      <x v="4"/>
    </i>
    <i r="1">
      <x v="30"/>
    </i>
    <i r="2">
      <x/>
    </i>
    <i r="2">
      <x v="1"/>
    </i>
    <i r="2">
      <x v="2"/>
    </i>
    <i r="2">
      <x v="3"/>
    </i>
    <i r="2">
      <x v="4"/>
    </i>
    <i>
      <x v="13"/>
    </i>
    <i r="1">
      <x v="31"/>
    </i>
    <i r="2">
      <x/>
    </i>
    <i t="grand">
      <x/>
    </i>
  </rowItems>
  <colFields count="1">
    <field x="-2"/>
  </colFields>
  <colItems count="3">
    <i>
      <x/>
    </i>
    <i i="1">
      <x v="1"/>
    </i>
    <i i="2">
      <x v="2"/>
    </i>
  </colItems>
  <dataFields count="3">
    <dataField name="Sum of Nb" fld="3" baseField="1" baseItem="0"/>
    <dataField name="Sum of balance" fld="4" baseField="1" baseItem="0"/>
    <dataField name="Sum of %" fld="5" showDataAs="percentOfTotal" baseField="3" baseItem="0" numFmtId="10"/>
  </dataFields>
  <formats count="5">
    <format dxfId="54">
      <pivotArea outline="0" collapsedLevelsAreSubtotals="1" fieldPosition="0">
        <references count="1">
          <reference field="4294967294" count="1" selected="0">
            <x v="2"/>
          </reference>
        </references>
      </pivotArea>
    </format>
    <format dxfId="53">
      <pivotArea dataOnly="0" labelOnly="1" outline="0" fieldPosition="0">
        <references count="1">
          <reference field="4294967294" count="1">
            <x v="2"/>
          </reference>
        </references>
      </pivotArea>
    </format>
    <format dxfId="52">
      <pivotArea type="all" dataOnly="0" outline="0" fieldPosition="0"/>
    </format>
    <format dxfId="51">
      <pivotArea field="0" grandRow="1" outline="0" collapsedLevelsAreSubtotals="1" axis="axisRow" fieldPosition="0">
        <references count="1">
          <reference field="4294967294" count="1" selected="0">
            <x v="1"/>
          </reference>
        </references>
      </pivotArea>
    </format>
    <format dxfId="50">
      <pivotArea field="0" grandRow="1" outline="0" collapsedLevelsAreSubtotals="1" axis="axisRow" fieldPosition="0">
        <references count="1">
          <reference field="4294967294" count="1" selected="0">
            <x v="1"/>
          </reference>
        </references>
      </pivotArea>
    </format>
  </formats>
  <conditionalFormats count="1">
    <conditionalFormat priority="67">
      <pivotAreas count="1">
        <pivotArea type="data" outline="0" collapsedLevelsAreSubtotals="1" fieldPosition="0">
          <references count="1">
            <reference field="4294967294"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5" minRefreshableVersion="3" showDrill="0" useAutoFormatting="1" itemPrintTitles="1" createdVersion="4" indent="0" showHeaders="0" compact="0" compactData="0" gridDropZones="1" multipleFieldFilters="0">
  <location ref="A3:I49" firstHeaderRow="1" firstDataRow="2" firstDataCol="1" rowPageCount="1" colPageCount="1"/>
  <pivotFields count="23">
    <pivotField compact="0" outline="0" showAll="0"/>
    <pivotField axis="axisPage" compact="0" outline="0" showAll="0">
      <items count="13">
        <item x="6"/>
        <item x="0"/>
        <item x="3"/>
        <item x="2"/>
        <item x="1"/>
        <item x="10"/>
        <item x="7"/>
        <item m="1" x="11"/>
        <item x="4"/>
        <item x="5"/>
        <item x="8"/>
        <item x="9"/>
        <item t="default"/>
      </items>
    </pivotField>
    <pivotField compact="0" outline="0" showAll="0"/>
    <pivotField dataField="1" compact="0" outline="0" showAll="0"/>
    <pivotField axis="axisRow" dataField="1" compact="0" outline="0" showAll="0">
      <items count="128">
        <item m="1" x="56"/>
        <item x="5"/>
        <item m="1" x="58"/>
        <item m="1" x="100"/>
        <item m="1" x="103"/>
        <item m="1" x="71"/>
        <item m="1" x="72"/>
        <item m="1" x="102"/>
        <item x="3"/>
        <item m="1" x="75"/>
        <item m="1" x="66"/>
        <item m="1" x="90"/>
        <item x="9"/>
        <item x="2"/>
        <item m="1" x="83"/>
        <item m="1" x="114"/>
        <item x="12"/>
        <item m="1" x="57"/>
        <item m="1" x="78"/>
        <item x="10"/>
        <item x="1"/>
        <item m="1" x="63"/>
        <item m="1" x="54"/>
        <item x="4"/>
        <item m="1" x="95"/>
        <item m="1" x="92"/>
        <item m="1" x="65"/>
        <item m="1" x="94"/>
        <item m="1" x="126"/>
        <item m="1" x="107"/>
        <item m="1" x="59"/>
        <item m="1" x="88"/>
        <item m="1" x="98"/>
        <item m="1" x="123"/>
        <item x="17"/>
        <item m="1" x="89"/>
        <item m="1" x="84"/>
        <item m="1" x="86"/>
        <item m="1" x="77"/>
        <item m="1" x="97"/>
        <item m="1" x="91"/>
        <item m="1" x="81"/>
        <item m="1" x="61"/>
        <item m="1" x="106"/>
        <item m="1" x="49"/>
        <item x="11"/>
        <item m="1" x="111"/>
        <item m="1" x="124"/>
        <item m="1" x="45"/>
        <item m="1" x="115"/>
        <item m="1" x="101"/>
        <item m="1" x="112"/>
        <item x="16"/>
        <item x="22"/>
        <item m="1" x="74"/>
        <item m="1" x="110"/>
        <item m="1" x="60"/>
        <item m="1" x="69"/>
        <item x="18"/>
        <item m="1" x="87"/>
        <item m="1" x="44"/>
        <item m="1" x="117"/>
        <item m="1" x="116"/>
        <item m="1" x="47"/>
        <item m="1" x="99"/>
        <item m="1" x="70"/>
        <item m="1" x="48"/>
        <item x="27"/>
        <item x="20"/>
        <item m="1" x="46"/>
        <item x="26"/>
        <item m="1" x="96"/>
        <item m="1" x="50"/>
        <item m="1" x="53"/>
        <item x="23"/>
        <item m="1" x="118"/>
        <item m="1" x="79"/>
        <item m="1" x="55"/>
        <item m="1" x="119"/>
        <item x="21"/>
        <item m="1" x="80"/>
        <item m="1" x="105"/>
        <item m="1" x="62"/>
        <item m="1" x="108"/>
        <item x="24"/>
        <item x="25"/>
        <item x="35"/>
        <item m="1" x="109"/>
        <item m="1" x="85"/>
        <item m="1" x="51"/>
        <item m="1" x="113"/>
        <item m="1" x="67"/>
        <item x="13"/>
        <item m="1" x="64"/>
        <item m="1" x="125"/>
        <item x="19"/>
        <item m="1" x="82"/>
        <item x="6"/>
        <item m="1" x="104"/>
        <item m="1" x="73"/>
        <item m="1" x="122"/>
        <item m="1" x="68"/>
        <item m="1" x="76"/>
        <item m="1" x="120"/>
        <item x="29"/>
        <item x="14"/>
        <item x="36"/>
        <item x="37"/>
        <item x="38"/>
        <item x="31"/>
        <item m="1" x="93"/>
        <item x="39"/>
        <item x="28"/>
        <item x="15"/>
        <item m="1" x="52"/>
        <item x="41"/>
        <item x="30"/>
        <item m="1" x="121"/>
        <item x="40"/>
        <item x="32"/>
        <item x="42"/>
        <item x="33"/>
        <item x="34"/>
        <item x="43"/>
        <item x="0"/>
        <item x="7"/>
        <item x="8"/>
        <item t="default"/>
      </items>
    </pivotField>
    <pivotField compact="0" outline="0" showAll="0"/>
    <pivotField compact="0" outline="0" showAll="0"/>
    <pivotField compact="0" numFmtId="22"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dataField="1" compact="0" numFmtId="169" outline="0" showAll="0" defaultSubtotal="0"/>
    <pivotField dataField="1" compact="0" numFmtId="169" outline="0" showAll="0" defaultSubtotal="0"/>
    <pivotField dataField="1" compact="0" numFmtId="169" outline="0" showAll="0" defaultSubtotal="0"/>
  </pivotFields>
  <rowFields count="1">
    <field x="4"/>
  </rowFields>
  <rowItems count="45">
    <i>
      <x v="1"/>
    </i>
    <i>
      <x v="8"/>
    </i>
    <i>
      <x v="12"/>
    </i>
    <i>
      <x v="13"/>
    </i>
    <i>
      <x v="16"/>
    </i>
    <i>
      <x v="19"/>
    </i>
    <i>
      <x v="20"/>
    </i>
    <i>
      <x v="23"/>
    </i>
    <i>
      <x v="34"/>
    </i>
    <i>
      <x v="45"/>
    </i>
    <i>
      <x v="52"/>
    </i>
    <i>
      <x v="53"/>
    </i>
    <i>
      <x v="58"/>
    </i>
    <i>
      <x v="67"/>
    </i>
    <i>
      <x v="68"/>
    </i>
    <i>
      <x v="70"/>
    </i>
    <i>
      <x v="74"/>
    </i>
    <i>
      <x v="79"/>
    </i>
    <i>
      <x v="84"/>
    </i>
    <i>
      <x v="85"/>
    </i>
    <i>
      <x v="86"/>
    </i>
    <i>
      <x v="92"/>
    </i>
    <i>
      <x v="95"/>
    </i>
    <i>
      <x v="97"/>
    </i>
    <i>
      <x v="104"/>
    </i>
    <i>
      <x v="105"/>
    </i>
    <i>
      <x v="106"/>
    </i>
    <i>
      <x v="107"/>
    </i>
    <i>
      <x v="108"/>
    </i>
    <i>
      <x v="109"/>
    </i>
    <i>
      <x v="111"/>
    </i>
    <i>
      <x v="112"/>
    </i>
    <i>
      <x v="113"/>
    </i>
    <i>
      <x v="115"/>
    </i>
    <i>
      <x v="116"/>
    </i>
    <i>
      <x v="118"/>
    </i>
    <i>
      <x v="119"/>
    </i>
    <i>
      <x v="120"/>
    </i>
    <i>
      <x v="121"/>
    </i>
    <i>
      <x v="122"/>
    </i>
    <i>
      <x v="123"/>
    </i>
    <i>
      <x v="124"/>
    </i>
    <i>
      <x v="125"/>
    </i>
    <i>
      <x v="126"/>
    </i>
    <i t="grand">
      <x/>
    </i>
  </rowItems>
  <colFields count="1">
    <field x="-2"/>
  </colFields>
  <colItems count="8">
    <i>
      <x/>
    </i>
    <i i="1">
      <x v="1"/>
    </i>
    <i i="2">
      <x v="2"/>
    </i>
    <i i="3">
      <x v="3"/>
    </i>
    <i i="4">
      <x v="4"/>
    </i>
    <i i="5">
      <x v="5"/>
    </i>
    <i i="6">
      <x v="6"/>
    </i>
    <i i="7">
      <x v="7"/>
    </i>
  </colItems>
  <pageFields count="1">
    <pageField fld="1" hier="-1"/>
  </pageFields>
  <dataFields count="8">
    <dataField name="Sum of Outstanding Balance" fld="3" baseField="0" baseItem="0" numFmtId="169"/>
    <dataField name="Sum of PAR 1" fld="17" baseField="0" baseItem="0"/>
    <dataField name="Sum of PAR 30" fld="18" baseField="0" baseItem="0"/>
    <dataField name="Sum of PAR 90" fld="19" baseField="0" baseItem="0"/>
    <dataField name="Count of Loan Officer" fld="4" subtotal="count" baseField="0" baseItem="0"/>
    <dataField name="Sum of PAR 1 MARKED" fld="20" baseField="4" baseItem="0"/>
    <dataField name="Sum of PAR 30 MARKED" fld="21" baseField="0" baseItem="0"/>
    <dataField name="Sum of PAR 90 MARKED" fld="22" baseField="0" baseItem="0"/>
  </dataFields>
  <formats count="7">
    <format dxfId="34">
      <pivotArea outline="0" collapsedLevelsAreSubtotals="1" fieldPosition="0">
        <references count="1">
          <reference field="4294967294" count="1" selected="0">
            <x v="0"/>
          </reference>
        </references>
      </pivotArea>
    </format>
    <format dxfId="33">
      <pivotArea dataOnly="0" labelOnly="1" outline="0" fieldPosition="0">
        <references count="1">
          <reference field="1" count="0"/>
        </references>
      </pivotArea>
    </format>
    <format dxfId="32">
      <pivotArea dataOnly="0" outline="0" fieldPosition="0">
        <references count="1">
          <reference field="4294967294" count="1">
            <x v="3"/>
          </reference>
        </references>
      </pivotArea>
    </format>
    <format dxfId="31">
      <pivotArea dataOnly="0" outline="0" fieldPosition="0">
        <references count="1">
          <reference field="4294967294" count="1">
            <x v="2"/>
          </reference>
        </references>
      </pivotArea>
    </format>
    <format dxfId="30">
      <pivotArea dataOnly="0" outline="0" fieldPosition="0">
        <references count="1">
          <reference field="4294967294" count="1">
            <x v="1"/>
          </reference>
        </references>
      </pivotArea>
    </format>
    <format dxfId="29">
      <pivotArea dataOnly="0" outline="0" fieldPosition="0">
        <references count="1">
          <reference field="4294967294" count="1">
            <x v="0"/>
          </reference>
        </references>
      </pivotArea>
    </format>
    <format dxfId="28">
      <pivotArea dataOnly="0" outline="0" fieldPosition="0">
        <references count="1">
          <reference field="4294967294" count="1">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300-000000000000}" autoFormatId="16" applyNumberFormats="0" applyBorderFormats="0" applyFontFormats="0" applyPatternFormats="0" applyAlignmentFormats="0" applyWidthHeightFormats="0">
  <queryTableRefresh nextId="3">
    <queryTableFields count="2">
      <queryTableField id="1" name="Holiday" tableColumnId="1"/>
      <queryTableField id="2" name="D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900-000001000000}" autoFormatId="16" applyNumberFormats="0" applyBorderFormats="0" applyFontFormats="0" applyPatternFormats="0" applyAlignmentFormats="0" applyWidthHeightFormats="0">
  <queryTableRefresh nextId="22" unboundColumnsRight="4">
    <queryTableFields count="20">
      <queryTableField id="1" name="Activity" tableColumnId="1"/>
      <queryTableField id="2" name="Sub-Activity" tableColumnId="2"/>
      <queryTableField id="3" name="Subsubactivity" tableColumnId="3"/>
      <queryTableField id="11" dataBound="0" tableColumnId="12"/>
      <queryTableField id="10" dataBound="0" tableColumnId="11"/>
      <queryTableField id="17" dataBound="0" tableColumnId="17"/>
      <queryTableField id="9" dataBound="0" tableColumnId="10"/>
      <queryTableField id="8" dataBound="0" tableColumnId="9"/>
      <queryTableField id="18" dataBound="0" tableColumnId="19"/>
      <queryTableField id="7" dataBound="0" tableColumnId="8"/>
      <queryTableField id="6" dataBound="0" tableColumnId="7"/>
      <queryTableField id="20" dataBound="0" tableColumnId="22"/>
      <queryTableField id="5" dataBound="0" tableColumnId="6"/>
      <queryTableField id="12" dataBound="0" tableColumnId="13"/>
      <queryTableField id="19" dataBound="0" tableColumnId="21"/>
      <queryTableField id="14" name="Amount total Portfolio" tableColumnId="15"/>
      <queryTableField id="13" dataBound="0" tableColumnId="14"/>
      <queryTableField id="21" dataBound="0" tableColumnId="23"/>
      <queryTableField id="15" dataBound="0" tableColumnId="4"/>
      <queryTableField id="16" dataBound="0"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192.168.1.150 Daily_Delinquency_With_Sectors" connectionId="1" xr16:uid="{00000000-0016-0000-0E00-000002000000}" autoFormatId="16" applyNumberFormats="0" applyBorderFormats="0" applyFontFormats="0" applyPatternFormats="0" applyAlignmentFormats="0" applyWidthHeightFormats="0">
  <queryTableRefresh nextId="34" unboundColumnsRight="6">
    <queryTableFields count="23">
      <queryTableField id="3" name="Client Name" tableColumnId="3"/>
      <queryTableField id="4" name="Credit Type" tableColumnId="4"/>
      <queryTableField id="5" name="Days in Arrears" tableColumnId="5"/>
      <queryTableField id="7" name="Outstanding Balance" tableColumnId="7"/>
      <queryTableField id="9" name="Loan Officer" tableColumnId="9"/>
      <queryTableField id="12" name="Interest" tableColumnId="12"/>
      <queryTableField id="13" name="Late Amount" tableColumnId="13"/>
      <queryTableField id="14" name="Disbursment date" tableColumnId="14"/>
      <queryTableField id="15" name="Expiration date" tableColumnId="15"/>
      <queryTableField id="16" name="Phone No-1" tableColumnId="16"/>
      <queryTableField id="17" name="Phone No-2" tableColumnId="17"/>
      <queryTableField id="18" name="Phone No-3" tableColumnId="18"/>
      <queryTableField id="21" name="Credit number" tableColumnId="21"/>
      <queryTableField id="22" name="Client number" tableColumnId="22"/>
      <queryTableField id="23" name="Activity" tableColumnId="23"/>
      <queryTableField id="24" name="Sub activity" tableColumnId="24"/>
      <queryTableField id="25" name="Sub-sub activity" tableColumnId="25"/>
      <queryTableField id="26" dataBound="0" tableColumnId="26"/>
      <queryTableField id="28" dataBound="0" tableColumnId="28"/>
      <queryTableField id="29" dataBound="0" tableColumnId="29"/>
      <queryTableField id="31" dataBound="0" tableColumnId="2"/>
      <queryTableField id="32" dataBound="0" tableColumnId="6"/>
      <queryTableField id="33" dataBound="0"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192.168.1.150 M_CONSOLIDATED Delinquency_Compulsory_EOM" connectionId="2" xr16:uid="{00000000-0016-0000-1300-000003000000}" autoFormatId="16" applyNumberFormats="0" applyBorderFormats="0" applyFontFormats="0" applyPatternFormats="0" applyAlignmentFormats="0" applyWidthHeightFormats="0">
  <queryTableRefresh nextId="29" unboundColumnsRight="8">
    <queryTableFields count="28">
      <queryTableField id="1" name="Credit No" tableColumnId="1"/>
      <queryTableField id="2" name="Client No" tableColumnId="2"/>
      <queryTableField id="3" name="Client Name" tableColumnId="3"/>
      <queryTableField id="4" name="Credit Type" tableColumnId="4"/>
      <queryTableField id="5" name="Days in Arrears" tableColumnId="5"/>
      <queryTableField id="6" name="Initial amount" tableColumnId="6"/>
      <queryTableField id="7" name="Outstanding Balance" tableColumnId="7"/>
      <queryTableField id="8" name="Monthly Instalment" tableColumnId="8"/>
      <queryTableField id="9" name="Loan Officer" tableColumnId="9"/>
      <queryTableField id="10" name="Regular Savings Balance" tableColumnId="10"/>
      <queryTableField id="11" name="Term Deposits" tableColumnId="11"/>
      <queryTableField id="12" name="Interest" tableColumnId="12"/>
      <queryTableField id="13" name="Late Amount" tableColumnId="13"/>
      <queryTableField id="14" name="Disbursment date" tableColumnId="14"/>
      <queryTableField id="15" name="Expiration date" tableColumnId="15"/>
      <queryTableField id="16" name="Phone No-1" tableColumnId="16"/>
      <queryTableField id="17" name="Phone No-2" tableColumnId="17"/>
      <queryTableField id="18" name="Phone No-3" tableColumnId="18"/>
      <queryTableField id="19" name="TIP_CUOTA" tableColumnId="19"/>
      <queryTableField id="20" name="TASA_INTERES"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elinquency_Compulsory_Daily1" connectionId="3" xr16:uid="{00000000-0016-0000-1400-000004000000}" autoFormatId="16" applyNumberFormats="0" applyBorderFormats="0" applyFontFormats="0" applyPatternFormats="0" applyAlignmentFormats="0" applyWidthHeightFormats="0">
  <queryTableRefresh nextId="35">
    <queryTableFields count="21">
      <queryTableField id="21" name="Credit number" tableColumnId="21"/>
      <queryTableField id="22" name="Client number" tableColumnId="22"/>
      <queryTableField id="3" name="Client Name" tableColumnId="3"/>
      <queryTableField id="4" name="Credit Type" tableColumnId="4"/>
      <queryTableField id="5" name="Days in Arrears" tableColumnId="5"/>
      <queryTableField id="7" name="Outstanding Balance" tableColumnId="7"/>
      <queryTableField id="9" name="Loan Officer" tableColumnId="9"/>
      <queryTableField id="12" name="Interest" tableColumnId="12"/>
      <queryTableField id="13" name="Late Amount" tableColumnId="13"/>
      <queryTableField id="14" name="Disbursment date" tableColumnId="14"/>
      <queryTableField id="15" name="Expiration date" tableColumnId="15"/>
      <queryTableField id="16" name="Phone No-1" tableColumnId="16"/>
      <queryTableField id="17" name="Phone No-2" tableColumnId="17"/>
      <queryTableField id="18" name="Phone No-3" tableColumnId="18"/>
      <queryTableField id="23" name="Activity" tableColumnId="23"/>
      <queryTableField id="24" name="Sub activity" tableColumnId="24"/>
      <queryTableField id="25" name="Sub-sub activity" tableColumnId="25"/>
      <queryTableField id="26" name="Loan Status" tableColumnId="26"/>
      <queryTableField id="32" name="Disbursement Amount" tableColumnId="1"/>
      <queryTableField id="33" name="Amount disbursed * Interest" tableColumnId="2"/>
      <queryTableField id="34" name="Outstanding Balance * Interest"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ExternalData_1" displayName="Table_ExternalData_1" ref="W9:X53" tableType="queryTable" totalsRowShown="0" headerRowDxfId="154">
  <tableColumns count="2">
    <tableColumn id="1" xr3:uid="{00000000-0010-0000-0000-000001000000}" uniqueName="1" name="Holiday" queryTableFieldId="1" dataDxfId="153"/>
    <tableColumn id="2" xr3:uid="{00000000-0010-0000-0000-000002000000}" uniqueName="2" name="Date" queryTableFieldId="2" dataDxfId="15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Table_ExternalData_18" displayName="Table_ExternalData_18" ref="A5:T136" tableType="queryTable" totalsRowShown="0" headerRowDxfId="145" dataDxfId="144">
  <autoFilter ref="A5:T136" xr:uid="{00000000-0009-0000-0100-000008000000}"/>
  <sortState xmlns:xlrd2="http://schemas.microsoft.com/office/spreadsheetml/2017/richdata2" ref="A6:T136">
    <sortCondition descending="1" ref="H5:H1319"/>
  </sortState>
  <tableColumns count="20">
    <tableColumn id="1" xr3:uid="{00000000-0010-0000-0100-000001000000}" uniqueName="1" name="Activity" queryTableFieldId="1" dataDxfId="143"/>
    <tableColumn id="2" xr3:uid="{00000000-0010-0000-0100-000002000000}" uniqueName="2" name="Sub-Activity" queryTableFieldId="2" dataDxfId="142"/>
    <tableColumn id="3" xr3:uid="{00000000-0010-0000-0100-000003000000}" uniqueName="3" name="Subsubactivity" queryTableFieldId="3" dataDxfId="141"/>
    <tableColumn id="12" xr3:uid="{00000000-0010-0000-0100-00000C000000}" uniqueName="12" name="Amount PAR1" queryTableFieldId="11" dataDxfId="140" dataCellStyle="Comma 2">
      <calculatedColumnFormula>SUMIFS(DelinquencyPerSector!$L$2:$L$5000,DelinquencyPerSector!$K$2:$K$5000, "="&amp;C6, DelinquencyPerSector!$J$2:$J$5000, "="&amp;B6,DelinquencyPerSector!$I$2:$I$5000,"="&amp;A6)</calculatedColumnFormula>
    </tableColumn>
    <tableColumn id="11" xr3:uid="{00000000-0010-0000-0100-00000B000000}" uniqueName="11" name="PAR 1 %" queryTableFieldId="10" dataDxfId="139" dataCellStyle="Percent 2">
      <calculatedColumnFormula>D6/$D$3</calculatedColumnFormula>
    </tableColumn>
    <tableColumn id="17" xr3:uid="{00000000-0010-0000-0100-000011000000}" uniqueName="17" name="Nbr of Loans" queryTableFieldId="17" dataDxfId="138" dataCellStyle="Percent 2">
      <calculatedColumnFormula>COUNTIFS(DelinquencyPerSector!$I:$I, "="&amp;A6, DelinquencyPerSector!$J:$J, "="&amp;B6,DelinquencyPerSector!$K:$K, "="&amp;C6,DelinquencyPerSector!$L:$L, "&gt;0")</calculatedColumnFormula>
    </tableColumn>
    <tableColumn id="10" xr3:uid="{00000000-0010-0000-0100-00000A000000}" uniqueName="10" name="Amount PAR 30+" queryTableFieldId="9" dataDxfId="137" dataCellStyle="Comma 2">
      <calculatedColumnFormula>SUMIFS(DelinquencyPerSector!$N$2:$N$5000, DelinquencyPerSector!$K$2:$K$5000, "="&amp;C6, DelinquencyPerSector!$J$2:$J$5000, "="&amp;B6, DelinquencyPerSector!$I$2:$I$5000,"="&amp;A6)</calculatedColumnFormula>
    </tableColumn>
    <tableColumn id="9" xr3:uid="{00000000-0010-0000-0100-000009000000}" uniqueName="9" name="PAR 30+%" queryTableFieldId="8" dataDxfId="136" dataCellStyle="Percent 2">
      <calculatedColumnFormula>G6/$G$3</calculatedColumnFormula>
    </tableColumn>
    <tableColumn id="19" xr3:uid="{00000000-0010-0000-0100-000013000000}" uniqueName="19" name="Number of Loans2" queryTableFieldId="18" dataDxfId="135" dataCellStyle="Percent 2">
      <calculatedColumnFormula>COUNTIFS(DelinquencyPerSector!$I:$I, "="&amp;A6, DelinquencyPerSector!$J:$J, "="&amp;B6,DelinquencyPerSector!$K:$K, "="&amp;C6,DelinquencyPerSector!$N:$N, "&gt;0")</calculatedColumnFormula>
    </tableColumn>
    <tableColumn id="8" xr3:uid="{00000000-0010-0000-0100-000008000000}" uniqueName="8" name="Amount PAR 90+" queryTableFieldId="7" dataDxfId="134" dataCellStyle="Comma 2">
      <calculatedColumnFormula>SUMIFS(DelinquencyPerSector!$P$2:$P$5000, DelinquencyPerSector!$K$2:$K$5000, "="&amp;C6, DelinquencyPerSector!$J$2:$J$5000, "="&amp;B6, DelinquencyPerSector!$I$2:$I$5000,"="&amp;A6)</calculatedColumnFormula>
    </tableColumn>
    <tableColumn id="7" xr3:uid="{00000000-0010-0000-0100-000007000000}" uniqueName="7" name="PAR 90+%" queryTableFieldId="6" dataDxfId="133" dataCellStyle="Percent 2">
      <calculatedColumnFormula>J6/$J$3</calculatedColumnFormula>
    </tableColumn>
    <tableColumn id="22" xr3:uid="{00000000-0010-0000-0100-000016000000}" uniqueName="22" name="Number of Loans3" queryTableFieldId="20" dataDxfId="132" dataCellStyle="Percent 2">
      <calculatedColumnFormula>COUNTIFS(DelinquencyPerSector!$I:$I, "="&amp;A6, DelinquencyPerSector!$J:$J, "="&amp;B6,DelinquencyPerSector!$K:$K, "="&amp;C6,DelinquencyPerSector!$P:$P, "&gt;0")</calculatedColumnFormula>
    </tableColumn>
    <tableColumn id="6" xr3:uid="{00000000-0010-0000-0100-000006000000}" uniqueName="6" name="Amount PAR 180+" queryTableFieldId="5" dataDxfId="131" dataCellStyle="Comma 2">
      <calculatedColumnFormula>SUMIFS(DelinquencyPerSector!$R$2:$R$5000,DelinquencyPerSector!$K$2:$K$5000, "="&amp;C6, DelinquencyPerSector!$J$2:$J$5000, "="&amp;B6,DelinquencyPerSector!$I$2:$I$5000,"="&amp;A6)</calculatedColumnFormula>
    </tableColumn>
    <tableColumn id="13" xr3:uid="{00000000-0010-0000-0100-00000D000000}" uniqueName="13" name="PAR 180+%" queryTableFieldId="12" dataDxfId="130" dataCellStyle="Percent 2">
      <calculatedColumnFormula>M6/$M$3</calculatedColumnFormula>
    </tableColumn>
    <tableColumn id="21" xr3:uid="{00000000-0010-0000-0100-000015000000}" uniqueName="21" name="Nbr of Loans5" queryTableFieldId="19" dataDxfId="129" dataCellStyle="Percent 2">
      <calculatedColumnFormula>COUNTIFS(DelinquencyPerSector!$I:$I, "="&amp;A6, DelinquencyPerSector!$J:$J, "="&amp;B6,DelinquencyPerSector!$K:$K, "="&amp;C6,DelinquencyPerSector!$R:$R, "&gt;0")</calculatedColumnFormula>
    </tableColumn>
    <tableColumn id="15" xr3:uid="{00000000-0010-0000-0100-00000F000000}" uniqueName="15" name="Amount total Portfolio" queryTableFieldId="14" dataDxfId="128" dataCellStyle="Comma 2"/>
    <tableColumn id="14" xr3:uid="{00000000-0010-0000-0100-00000E000000}" uniqueName="14" name="Total Port%" queryTableFieldId="13" dataDxfId="127" dataCellStyle="Percent 2">
      <calculatedColumnFormula>P6/$P$3</calculatedColumnFormula>
    </tableColumn>
    <tableColumn id="23" xr3:uid="{00000000-0010-0000-0100-000017000000}" uniqueName="23" name="Number of Loans4" queryTableFieldId="21" dataDxfId="126" dataCellStyle="Percent 2">
      <calculatedColumnFormula>COUNTIFS(DelinquencyPerSector!$I:$I, "="&amp;A6, DelinquencyPerSector!$J:$J, "="&amp;B6,DelinquencyPerSector!$K:$K, "="&amp;C6)</calculatedColumnFormula>
    </tableColumn>
    <tableColumn id="4" xr3:uid="{00000000-0010-0000-0100-000004000000}" uniqueName="4" name="∆ PAR 30 / Portfolio" queryTableFieldId="15" dataDxfId="125" dataCellStyle="Percent 2">
      <calculatedColumnFormula>Table_ExternalData_18[[#This Row],[Total Port%]]-Table_ExternalData_18[[#This Row],[PAR 30+%]]</calculatedColumnFormula>
    </tableColumn>
    <tableColumn id="5" xr3:uid="{00000000-0010-0000-0100-000005000000}" uniqueName="5" name="∆ PAR 90 / Portfolio" queryTableFieldId="16" dataDxfId="124" dataCellStyle="Percent 2">
      <calculatedColumnFormula>Table_ExternalData_18[[#This Row],[Total Port%]]-Table_ExternalData_18[[#This Row],[PAR 90+%]]</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A1:F145" totalsRowShown="0">
  <autoFilter ref="A1:F145" xr:uid="{00000000-0009-0000-0100-000007000000}"/>
  <tableColumns count="6">
    <tableColumn id="1" xr3:uid="{00000000-0010-0000-0200-000001000000}" name="Activity"/>
    <tableColumn id="2" xr3:uid="{00000000-0010-0000-0200-000002000000}" name="Sub-Activity"/>
    <tableColumn id="3" xr3:uid="{00000000-0010-0000-0200-000003000000}" name="Delinquency"/>
    <tableColumn id="4" xr3:uid="{00000000-0010-0000-0200-000004000000}" name="Nb"/>
    <tableColumn id="5" xr3:uid="{00000000-0010-0000-0200-000005000000}" name="balance"/>
    <tableColumn id="6" xr3:uid="{00000000-0010-0000-0200-000006000000}" nam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9" displayName="Table9" ref="A1:F151" totalsRowShown="0">
  <autoFilter ref="A1:F151" xr:uid="{00000000-0009-0000-0100-000009000000}"/>
  <tableColumns count="6">
    <tableColumn id="1" xr3:uid="{00000000-0010-0000-0300-000001000000}" name="Activity"/>
    <tableColumn id="2" xr3:uid="{00000000-0010-0000-0300-000002000000}" name="Sub-Activity"/>
    <tableColumn id="3" xr3:uid="{00000000-0010-0000-0300-000003000000}" name="Delinquency"/>
    <tableColumn id="4" xr3:uid="{00000000-0010-0000-0300-000004000000}" name="Nb"/>
    <tableColumn id="5" xr3:uid="{00000000-0010-0000-0300-000005000000}" name="balance"/>
    <tableColumn id="6" xr3:uid="{00000000-0010-0000-0300-000006000000}" 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__192.168.1.150_Daily_Delinquency_With_Sectors" displayName="Table__192.168.1.150_Daily_Delinquency_With_Sectors" ref="A1:W1452" tableType="queryTable" totalsRowShown="0">
  <autoFilter ref="A1:W1452" xr:uid="{00000000-0009-0000-0100-000002000000}"/>
  <tableColumns count="23">
    <tableColumn id="3" xr3:uid="{00000000-0010-0000-0400-000003000000}" uniqueName="3" name="Client Name" queryTableFieldId="3"/>
    <tableColumn id="4" xr3:uid="{00000000-0010-0000-0400-000004000000}" uniqueName="4" name="Credit Type" queryTableFieldId="4"/>
    <tableColumn id="5" xr3:uid="{00000000-0010-0000-0400-000005000000}" uniqueName="5" name="Days in Arrears" queryTableFieldId="5"/>
    <tableColumn id="7" xr3:uid="{00000000-0010-0000-0400-000007000000}" uniqueName="7" name="Outstanding Balance" queryTableFieldId="7" dataDxfId="49" dataCellStyle="Comma"/>
    <tableColumn id="9" xr3:uid="{00000000-0010-0000-0400-000009000000}" uniqueName="9" name="Loan Officer" queryTableFieldId="9"/>
    <tableColumn id="12" xr3:uid="{00000000-0010-0000-0400-00000C000000}" uniqueName="12" name="Interest" queryTableFieldId="12" dataDxfId="48" dataCellStyle="Comma"/>
    <tableColumn id="13" xr3:uid="{00000000-0010-0000-0400-00000D000000}" uniqueName="13" name="Late Amount" queryTableFieldId="13" dataDxfId="47" dataCellStyle="Comma"/>
    <tableColumn id="14" xr3:uid="{00000000-0010-0000-0400-00000E000000}" uniqueName="14" name="Disbursment date" queryTableFieldId="14" dataDxfId="46"/>
    <tableColumn id="15" xr3:uid="{00000000-0010-0000-0400-00000F000000}" uniqueName="15" name="Expiration date" queryTableFieldId="15" dataDxfId="45"/>
    <tableColumn id="16" xr3:uid="{00000000-0010-0000-0400-000010000000}" uniqueName="16" name="Phone No-1" queryTableFieldId="16"/>
    <tableColumn id="17" xr3:uid="{00000000-0010-0000-0400-000011000000}" uniqueName="17" name="Phone No-2" queryTableFieldId="17"/>
    <tableColumn id="18" xr3:uid="{00000000-0010-0000-0400-000012000000}" uniqueName="18" name="Phone No-3" queryTableFieldId="18"/>
    <tableColumn id="21" xr3:uid="{00000000-0010-0000-0400-000015000000}" uniqueName="21" name="Credit number" queryTableFieldId="21"/>
    <tableColumn id="22" xr3:uid="{00000000-0010-0000-0400-000016000000}" uniqueName="22" name="Client number" queryTableFieldId="22"/>
    <tableColumn id="23" xr3:uid="{00000000-0010-0000-0400-000017000000}" uniqueName="23" name="Activity" queryTableFieldId="23"/>
    <tableColumn id="24" xr3:uid="{00000000-0010-0000-0400-000018000000}" uniqueName="24" name="Sub activity" queryTableFieldId="24"/>
    <tableColumn id="25" xr3:uid="{00000000-0010-0000-0400-000019000000}" uniqueName="25" name="Sub-sub activity" queryTableFieldId="25"/>
    <tableColumn id="26" xr3:uid="{00000000-0010-0000-0400-00001A000000}" uniqueName="26" name="PAR 1" queryTableFieldId="26" dataDxfId="44" dataCellStyle="Comma">
      <calculatedColumnFormula>IF(Table__192.168.1.150_Daily_Delinquency_With_Sectors[[#This Row],[Days in Arrears]] &gt; 0, Table__192.168.1.150_Daily_Delinquency_With_Sectors[[#This Row],[Outstanding Balance]],0)</calculatedColumnFormula>
    </tableColumn>
    <tableColumn id="28" xr3:uid="{00000000-0010-0000-0400-00001C000000}" uniqueName="28" name="PAR 30" queryTableFieldId="28" dataDxfId="43" dataCellStyle="Comma">
      <calculatedColumnFormula>IF(Table__192.168.1.150_Daily_Delinquency_With_Sectors[[#This Row],[Days in Arrears]] &gt; 30, Table__192.168.1.150_Daily_Delinquency_With_Sectors[[#This Row],[Outstanding Balance]],0)</calculatedColumnFormula>
    </tableColumn>
    <tableColumn id="29" xr3:uid="{00000000-0010-0000-0400-00001D000000}" uniqueName="29" name="PAR 90" queryTableFieldId="29" dataDxfId="42" dataCellStyle="Comma">
      <calculatedColumnFormula>IF(Table__192.168.1.150_Daily_Delinquency_With_Sectors[[#This Row],[Days in Arrears]] &gt; 90, Table__192.168.1.150_Daily_Delinquency_With_Sectors[[#This Row],[Outstanding Balance]],0)</calculatedColumnFormula>
    </tableColumn>
    <tableColumn id="2" xr3:uid="{00000000-0010-0000-0400-000002000000}" uniqueName="2" name="PAR 1 MARKED" queryTableFieldId="31" dataDxfId="41" dataCellStyle="Comma">
      <calculatedColumnFormula>IF(Table__192.168.1.150_Daily_Delinquency_With_Sectors[[#This Row],[Days in Arrears]] &gt;= 1,1,0)</calculatedColumnFormula>
    </tableColumn>
    <tableColumn id="6" xr3:uid="{00000000-0010-0000-0400-000006000000}" uniqueName="6" name="PAR 30 MARKED" queryTableFieldId="32" dataDxfId="40" dataCellStyle="Comma">
      <calculatedColumnFormula>IF(Table__192.168.1.150_Daily_Delinquency_With_Sectors[[#This Row],[Days in Arrears]] &gt; 30,1,0)</calculatedColumnFormula>
    </tableColumn>
    <tableColumn id="8" xr3:uid="{00000000-0010-0000-0400-000008000000}" uniqueName="8" name="PAR 90 MARKED" queryTableFieldId="33" dataDxfId="39" dataCellStyle="Comma">
      <calculatedColumnFormula>IF(Table__192.168.1.150_Daily_Delinquency_With_Sectors[[#This Row],[Days in Arrears]] &gt; 90,1,0)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A1:W66" totalsRowShown="0">
  <autoFilter ref="A1:W66" xr:uid="{00000000-0009-0000-0100-000004000000}"/>
  <tableColumns count="23">
    <tableColumn id="1" xr3:uid="{00000000-0010-0000-0500-000001000000}" name="Client Name"/>
    <tableColumn id="2" xr3:uid="{00000000-0010-0000-0500-000002000000}" name="Credit Type"/>
    <tableColumn id="3" xr3:uid="{00000000-0010-0000-0500-000003000000}" name="Days in Arrears"/>
    <tableColumn id="4" xr3:uid="{00000000-0010-0000-0500-000004000000}" name="Outstanding Balance"/>
    <tableColumn id="5" xr3:uid="{00000000-0010-0000-0500-000005000000}" name="Loan Officer"/>
    <tableColumn id="6" xr3:uid="{00000000-0010-0000-0500-000006000000}" name="Interest"/>
    <tableColumn id="7" xr3:uid="{00000000-0010-0000-0500-000007000000}" name="Late Amount"/>
    <tableColumn id="8" xr3:uid="{00000000-0010-0000-0500-000008000000}" name="Disbursment date" dataDxfId="38"/>
    <tableColumn id="9" xr3:uid="{00000000-0010-0000-0500-000009000000}" name="Expiration date" dataDxfId="37"/>
    <tableColumn id="10" xr3:uid="{00000000-0010-0000-0500-00000A000000}" name="Phone No-1"/>
    <tableColumn id="11" xr3:uid="{00000000-0010-0000-0500-00000B000000}" name="Phone No-2"/>
    <tableColumn id="12" xr3:uid="{00000000-0010-0000-0500-00000C000000}" name="Phone No-3"/>
    <tableColumn id="13" xr3:uid="{00000000-0010-0000-0500-00000D000000}" name="Credit number"/>
    <tableColumn id="14" xr3:uid="{00000000-0010-0000-0500-00000E000000}" name="Client number"/>
    <tableColumn id="15" xr3:uid="{00000000-0010-0000-0500-00000F000000}" name="Activity"/>
    <tableColumn id="16" xr3:uid="{00000000-0010-0000-0500-000010000000}" name="Sub activity"/>
    <tableColumn id="17" xr3:uid="{00000000-0010-0000-0500-000011000000}" name="Sub-sub activity"/>
    <tableColumn id="18" xr3:uid="{00000000-0010-0000-0500-000012000000}" name="PAR 1"/>
    <tableColumn id="19" xr3:uid="{00000000-0010-0000-0500-000013000000}" name="PAR 30"/>
    <tableColumn id="20" xr3:uid="{00000000-0010-0000-0500-000014000000}" name="PAR 90"/>
    <tableColumn id="21" xr3:uid="{00000000-0010-0000-0500-000015000000}" name="PAR 1 MARKED"/>
    <tableColumn id="22" xr3:uid="{00000000-0010-0000-0500-000016000000}" name="PAR 30 MARKED"/>
    <tableColumn id="23" xr3:uid="{00000000-0010-0000-0500-000017000000}" name="PAR 90 MARKED"/>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e6" displayName="Table6" ref="A1:W64" totalsRowShown="0">
  <autoFilter ref="A1:W64" xr:uid="{00000000-0009-0000-0100-000006000000}"/>
  <tableColumns count="23">
    <tableColumn id="1" xr3:uid="{00000000-0010-0000-0600-000001000000}" name="Client Name"/>
    <tableColumn id="2" xr3:uid="{00000000-0010-0000-0600-000002000000}" name="Credit Type"/>
    <tableColumn id="3" xr3:uid="{00000000-0010-0000-0600-000003000000}" name="Days in Arrears"/>
    <tableColumn id="4" xr3:uid="{00000000-0010-0000-0600-000004000000}" name="Outstanding Balance"/>
    <tableColumn id="5" xr3:uid="{00000000-0010-0000-0600-000005000000}" name="Loan Officer"/>
    <tableColumn id="6" xr3:uid="{00000000-0010-0000-0600-000006000000}" name="Interest"/>
    <tableColumn id="7" xr3:uid="{00000000-0010-0000-0600-000007000000}" name="Late Amount"/>
    <tableColumn id="8" xr3:uid="{00000000-0010-0000-0600-000008000000}" name="Disbursment date" dataDxfId="36"/>
    <tableColumn id="9" xr3:uid="{00000000-0010-0000-0600-000009000000}" name="Expiration date" dataDxfId="35"/>
    <tableColumn id="10" xr3:uid="{00000000-0010-0000-0600-00000A000000}" name="Phone No-1"/>
    <tableColumn id="11" xr3:uid="{00000000-0010-0000-0600-00000B000000}" name="Phone No-2"/>
    <tableColumn id="12" xr3:uid="{00000000-0010-0000-0600-00000C000000}" name="Phone No-3"/>
    <tableColumn id="13" xr3:uid="{00000000-0010-0000-0600-00000D000000}" name="Credit number"/>
    <tableColumn id="14" xr3:uid="{00000000-0010-0000-0600-00000E000000}" name="Client number"/>
    <tableColumn id="15" xr3:uid="{00000000-0010-0000-0600-00000F000000}" name="Activity"/>
    <tableColumn id="16" xr3:uid="{00000000-0010-0000-0600-000010000000}" name="Sub activity"/>
    <tableColumn id="17" xr3:uid="{00000000-0010-0000-0600-000011000000}" name="Sub-sub activity"/>
    <tableColumn id="18" xr3:uid="{00000000-0010-0000-0600-000012000000}" name="PAR 1"/>
    <tableColumn id="19" xr3:uid="{00000000-0010-0000-0600-000013000000}" name="PAR 30"/>
    <tableColumn id="20" xr3:uid="{00000000-0010-0000-0600-000014000000}" name="PAR 90"/>
    <tableColumn id="21" xr3:uid="{00000000-0010-0000-0600-000015000000}" name="PAR 1 MARKED"/>
    <tableColumn id="22" xr3:uid="{00000000-0010-0000-0600-000016000000}" name="PAR 30 MARKED"/>
    <tableColumn id="23" xr3:uid="{00000000-0010-0000-0600-000017000000}" name="PAR 90 MARKED"/>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able__192.168.1.150_M_CONSOLIDATED_Delinquency_Compulsory_EOM" displayName="Table__192.168.1.150_M_CONSOLIDATED_Delinquency_Compulsory_EOM" ref="A1:AB1492" tableType="queryTable" totalsRowShown="0">
  <autoFilter ref="A1:AB1492" xr:uid="{00000000-0009-0000-0100-000003000000}"/>
  <tableColumns count="28">
    <tableColumn id="1" xr3:uid="{00000000-0010-0000-0700-000001000000}" uniqueName="1" name="Credit No" queryTableFieldId="1"/>
    <tableColumn id="2" xr3:uid="{00000000-0010-0000-0700-000002000000}" uniqueName="2" name="Client No" queryTableFieldId="2"/>
    <tableColumn id="3" xr3:uid="{00000000-0010-0000-0700-000003000000}" uniqueName="3" name="Client Name" queryTableFieldId="3"/>
    <tableColumn id="4" xr3:uid="{00000000-0010-0000-0700-000004000000}" uniqueName="4" name="Credit Type" queryTableFieldId="4"/>
    <tableColumn id="5" xr3:uid="{00000000-0010-0000-0700-000005000000}" uniqueName="5" name="Days in Arrears" queryTableFieldId="5"/>
    <tableColumn id="6" xr3:uid="{00000000-0010-0000-0700-000006000000}" uniqueName="6" name="Initial amount" queryTableFieldId="6"/>
    <tableColumn id="7" xr3:uid="{00000000-0010-0000-0700-000007000000}" uniqueName="7" name="Outstanding Balance" queryTableFieldId="7"/>
    <tableColumn id="8" xr3:uid="{00000000-0010-0000-0700-000008000000}" uniqueName="8" name="Monthly Instalment" queryTableFieldId="8"/>
    <tableColumn id="9" xr3:uid="{00000000-0010-0000-0700-000009000000}" uniqueName="9" name="Loan Officer" queryTableFieldId="9"/>
    <tableColumn id="10" xr3:uid="{00000000-0010-0000-0700-00000A000000}" uniqueName="10" name="Regular Savings Balance" queryTableFieldId="10"/>
    <tableColumn id="11" xr3:uid="{00000000-0010-0000-0700-00000B000000}" uniqueName="11" name="Term Deposits" queryTableFieldId="11"/>
    <tableColumn id="12" xr3:uid="{00000000-0010-0000-0700-00000C000000}" uniqueName="12" name="Interest" queryTableFieldId="12"/>
    <tableColumn id="13" xr3:uid="{00000000-0010-0000-0700-00000D000000}" uniqueName="13" name="Late Amount" queryTableFieldId="13"/>
    <tableColumn id="14" xr3:uid="{00000000-0010-0000-0700-00000E000000}" uniqueName="14" name="Disbursment date" queryTableFieldId="14" dataDxfId="27"/>
    <tableColumn id="15" xr3:uid="{00000000-0010-0000-0700-00000F000000}" uniqueName="15" name="Expiration date" queryTableFieldId="15" dataDxfId="26"/>
    <tableColumn id="16" xr3:uid="{00000000-0010-0000-0700-000010000000}" uniqueName="16" name="Phone No-1" queryTableFieldId="16"/>
    <tableColumn id="17" xr3:uid="{00000000-0010-0000-0700-000011000000}" uniqueName="17" name="Phone No-2" queryTableFieldId="17"/>
    <tableColumn id="18" xr3:uid="{00000000-0010-0000-0700-000012000000}" uniqueName="18" name="Phone No-3" queryTableFieldId="18"/>
    <tableColumn id="19" xr3:uid="{00000000-0010-0000-0700-000013000000}" uniqueName="19" name="TIP_CUOTA" queryTableFieldId="19"/>
    <tableColumn id="20" xr3:uid="{00000000-0010-0000-0700-000014000000}" uniqueName="20" name="TASA_INTERES" queryTableFieldId="20"/>
    <tableColumn id="21" xr3:uid="{00000000-0010-0000-0700-000015000000}" uniqueName="21" name="Per Day 0 - 7" queryTableFieldId="21">
      <calculatedColumnFormula>IF(Table__192.168.1.150_M_CONSOLIDATED_Delinquency_Compulsory_EOM[[#This Row],[Days in Arrears]] &lt; 8, Table__192.168.1.150_M_CONSOLIDATED_Delinquency_Compulsory_EOM[[#This Row],[Outstanding Balance]], 0 )</calculatedColumnFormula>
    </tableColumn>
    <tableColumn id="22" xr3:uid="{00000000-0010-0000-0700-000016000000}" uniqueName="22" name="8 to 29" queryTableFieldId="22" dataDxfId="25" dataCellStyle="Comma">
      <calculatedColumnFormula>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calculatedColumnFormula>
    </tableColumn>
    <tableColumn id="23" xr3:uid="{00000000-0010-0000-0700-000017000000}" uniqueName="23" name="30 to 59" queryTableFieldId="23" dataDxfId="24" dataCellStyle="Comma">
      <calculatedColumnFormula>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calculatedColumnFormula>
    </tableColumn>
    <tableColumn id="24" xr3:uid="{00000000-0010-0000-0700-000018000000}" uniqueName="24" name="60 to 89" queryTableFieldId="24" dataDxfId="23" dataCellStyle="Comma">
      <calculatedColumnFormula>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calculatedColumnFormula>
    </tableColumn>
    <tableColumn id="25" xr3:uid="{00000000-0010-0000-0700-000019000000}" uniqueName="25" name="Over 90" queryTableFieldId="25" dataDxfId="22" dataCellStyle="Comma">
      <calculatedColumnFormula>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calculatedColumnFormula>
    </tableColumn>
    <tableColumn id="26" xr3:uid="{00000000-0010-0000-0700-00001A000000}" uniqueName="26" name="Activity" queryTableFieldId="26" dataDxfId="21" dataCellStyle="Comma">
      <calculatedColumnFormula>VLOOKUP(Table__192.168.1.150_M_CONSOLIDATED_Delinquency_Compulsory_EOM[[#This Row],[Client No]],'Global Portfolio'!$B$2:$N$2500,10,FALSE)</calculatedColumnFormula>
    </tableColumn>
    <tableColumn id="27" xr3:uid="{00000000-0010-0000-0700-00001B000000}" uniqueName="27" name="Sub Activity" queryTableFieldId="27" dataDxfId="20" dataCellStyle="Comma">
      <calculatedColumnFormula>VLOOKUP(Table__192.168.1.150_M_CONSOLIDATED_Delinquency_Compulsory_EOM[[#This Row],[Client No]],'Global Portfolio'!$B$2:$N$2500,11,FALSE)</calculatedColumnFormula>
    </tableColumn>
    <tableColumn id="28" xr3:uid="{00000000-0010-0000-0700-00001C000000}" uniqueName="28" name="Sub - sub activity" queryTableFieldId="28" dataDxfId="19" dataCellStyle="Comma">
      <calculatedColumnFormula>VLOOKUP(Table__192.168.1.150_M_CONSOLIDATED_Delinquency_Compulsory_EOM[[#This Row],[Client No]],'Global Portfolio'!$B$2:$N$2500,12,FALSE)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Table_Delinquency_Compulsory_Daily1" displayName="Table_Delinquency_Compulsory_Daily1" ref="A1:U1492" tableType="queryTable" totalsRowShown="0">
  <autoFilter ref="A1:U1492" xr:uid="{00000000-0009-0000-0100-000001000000}"/>
  <tableColumns count="21">
    <tableColumn id="21" xr3:uid="{00000000-0010-0000-0800-000015000000}" uniqueName="21" name="Credit number" queryTableFieldId="21"/>
    <tableColumn id="22" xr3:uid="{00000000-0010-0000-0800-000016000000}" uniqueName="22" name="Client number" queryTableFieldId="22"/>
    <tableColumn id="3" xr3:uid="{00000000-0010-0000-0800-000003000000}" uniqueName="3" name="Client Name" queryTableFieldId="3"/>
    <tableColumn id="4" xr3:uid="{00000000-0010-0000-0800-000004000000}" uniqueName="4" name="Credit Type" queryTableFieldId="4"/>
    <tableColumn id="5" xr3:uid="{00000000-0010-0000-0800-000005000000}" uniqueName="5" name="Days in Arrears" queryTableFieldId="5"/>
    <tableColumn id="7" xr3:uid="{00000000-0010-0000-0800-000007000000}" uniqueName="7" name="Outstanding Balance" queryTableFieldId="7" dataDxfId="18" dataCellStyle="Comma"/>
    <tableColumn id="9" xr3:uid="{00000000-0010-0000-0800-000009000000}" uniqueName="9" name="Loan Officer" queryTableFieldId="9"/>
    <tableColumn id="12" xr3:uid="{00000000-0010-0000-0800-00000C000000}" uniqueName="12" name="Interest" queryTableFieldId="12"/>
    <tableColumn id="13" xr3:uid="{00000000-0010-0000-0800-00000D000000}" uniqueName="13" name="Late Amount" queryTableFieldId="13"/>
    <tableColumn id="14" xr3:uid="{00000000-0010-0000-0800-00000E000000}" uniqueName="14" name="Disbursment date" queryTableFieldId="14" dataDxfId="17"/>
    <tableColumn id="15" xr3:uid="{00000000-0010-0000-0800-00000F000000}" uniqueName="15" name="Expiration date" queryTableFieldId="15" dataDxfId="16"/>
    <tableColumn id="16" xr3:uid="{00000000-0010-0000-0800-000010000000}" uniqueName="16" name="Phone No-1" queryTableFieldId="16"/>
    <tableColumn id="17" xr3:uid="{00000000-0010-0000-0800-000011000000}" uniqueName="17" name="Phone No-2" queryTableFieldId="17"/>
    <tableColumn id="18" xr3:uid="{00000000-0010-0000-0800-000012000000}" uniqueName="18" name="Phone No-3" queryTableFieldId="18"/>
    <tableColumn id="23" xr3:uid="{00000000-0010-0000-0800-000017000000}" uniqueName="23" name="Activity" queryTableFieldId="23"/>
    <tableColumn id="24" xr3:uid="{00000000-0010-0000-0800-000018000000}" uniqueName="24" name="Sub activity" queryTableFieldId="24"/>
    <tableColumn id="25" xr3:uid="{00000000-0010-0000-0800-000019000000}" uniqueName="25" name="Sub-sub activity" queryTableFieldId="25"/>
    <tableColumn id="26" xr3:uid="{00000000-0010-0000-0800-00001A000000}" uniqueName="26" name="Loan Status" queryTableFieldId="26"/>
    <tableColumn id="1" xr3:uid="{00000000-0010-0000-0800-000001000000}" uniqueName="1" name="Disbursement Amount" queryTableFieldId="32"/>
    <tableColumn id="2" xr3:uid="{00000000-0010-0000-0800-000002000000}" uniqueName="2" name="Amount disbursed * Interest" queryTableFieldId="33"/>
    <tableColumn id="6" xr3:uid="{00000000-0010-0000-0800-000006000000}" uniqueName="6" name="Outstanding Balance * Interest" queryTableFieldId="3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 Id="rId5" Type="http://schemas.openxmlformats.org/officeDocument/2006/relationships/ctrlProp" Target="../ctrlProps/ctrlProp8.xml"/><Relationship Id="rId4"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S148"/>
  <sheetViews>
    <sheetView topLeftCell="A4" workbookViewId="0">
      <selection activeCell="J17" sqref="J17"/>
    </sheetView>
  </sheetViews>
  <sheetFormatPr defaultColWidth="11.44140625" defaultRowHeight="13.2" x14ac:dyDescent="0.25"/>
  <cols>
    <col min="1" max="1" width="20.88671875" style="17" bestFit="1" customWidth="1"/>
    <col min="2" max="2" width="20.44140625" style="17" customWidth="1"/>
    <col min="3" max="3" width="17.88671875" style="17" customWidth="1"/>
    <col min="4" max="4" width="17.109375" style="17" customWidth="1"/>
    <col min="5" max="5" width="24.44140625" style="17" customWidth="1"/>
    <col min="6" max="7" width="11.44140625" style="17"/>
    <col min="8" max="19" width="11.44140625" style="16"/>
    <col min="20" max="16384" width="11.44140625" style="17"/>
  </cols>
  <sheetData>
    <row r="1" spans="1:9" x14ac:dyDescent="0.25">
      <c r="A1" s="16"/>
      <c r="B1" s="16"/>
      <c r="C1" s="16"/>
      <c r="D1" s="16"/>
      <c r="E1" s="16"/>
      <c r="F1" s="16"/>
      <c r="G1" s="16"/>
    </row>
    <row r="2" spans="1:9" x14ac:dyDescent="0.25">
      <c r="A2" s="16"/>
      <c r="B2" s="16"/>
      <c r="C2" s="16"/>
      <c r="D2" s="16"/>
      <c r="E2" s="16"/>
      <c r="F2" s="16"/>
      <c r="G2" s="16"/>
    </row>
    <row r="3" spans="1:9" x14ac:dyDescent="0.25">
      <c r="A3" s="16"/>
      <c r="B3" s="16"/>
      <c r="C3" s="16"/>
      <c r="D3" s="16"/>
      <c r="E3" s="16"/>
      <c r="F3" s="16"/>
      <c r="G3" s="16"/>
    </row>
    <row r="4" spans="1:9" x14ac:dyDescent="0.25">
      <c r="A4" s="16"/>
      <c r="B4" s="16"/>
      <c r="C4" s="16"/>
      <c r="D4" s="16"/>
      <c r="E4" s="16"/>
      <c r="F4" s="16"/>
      <c r="G4" s="16"/>
    </row>
    <row r="5" spans="1:9" ht="15.6" x14ac:dyDescent="0.3">
      <c r="A5" s="4" t="s">
        <v>0</v>
      </c>
      <c r="B5" s="3"/>
      <c r="C5" s="3"/>
      <c r="D5" s="3"/>
      <c r="E5" s="3"/>
      <c r="F5" s="3"/>
      <c r="G5" s="1"/>
    </row>
    <row r="6" spans="1:9" x14ac:dyDescent="0.25">
      <c r="A6" s="18"/>
      <c r="B6" s="19"/>
      <c r="C6" s="20"/>
      <c r="D6" s="20"/>
      <c r="E6" s="20"/>
      <c r="F6" s="20"/>
      <c r="G6" s="21"/>
    </row>
    <row r="7" spans="1:9" x14ac:dyDescent="0.25">
      <c r="A7" s="22" t="s">
        <v>2</v>
      </c>
      <c r="B7" s="38" t="str">
        <f>IF($E$7="HEAD OFFICE","SVR-SQL1",IF($E$7="KOLOLO - CONSOLIDATED","SVR-SQL1",IF($E$7="KOLOLO - BRANCH","SVR-SQL1",IF($E$7="NDEEBA - BRANCH","10.10.1.150",IF($E$7="NDEEBA - CONSOLIDATED","10.10.1.150","")))))</f>
        <v>SVR-SQL1</v>
      </c>
      <c r="C7" s="19" t="s">
        <v>4</v>
      </c>
      <c r="D7" s="205" t="s">
        <v>1519</v>
      </c>
      <c r="E7" s="205" t="s">
        <v>1637</v>
      </c>
      <c r="F7" s="20"/>
      <c r="G7" s="21"/>
    </row>
    <row r="8" spans="1:9" x14ac:dyDescent="0.25">
      <c r="A8" s="22" t="s">
        <v>3</v>
      </c>
      <c r="B8" s="38" t="str">
        <f>IF($E$7="HEAD OFFICE","EFC_UG_000",IF($E$7="KOLOLO - CONSOLIDATED","Daily_CONSOLIDATED",IF($E$7="KOLOLO - BRANCH","EFC_UG_002",IF($E$7="NDEEBA - BRANCH","EFC_UG_001",IF($E$7="NDEEBA - CONSOLIDATED","Daily_CONSOLIDATED","")))))</f>
        <v>Daily_CONSOLIDATED</v>
      </c>
      <c r="C8" s="19"/>
      <c r="D8" s="19"/>
      <c r="E8" s="20"/>
      <c r="F8" s="20"/>
      <c r="G8" s="21"/>
    </row>
    <row r="9" spans="1:9" x14ac:dyDescent="0.25">
      <c r="A9" s="23"/>
      <c r="B9" s="20"/>
      <c r="C9" s="20"/>
      <c r="D9" s="20"/>
      <c r="E9" s="20"/>
      <c r="F9" s="20"/>
      <c r="G9" s="21"/>
    </row>
    <row r="10" spans="1:9" x14ac:dyDescent="0.25">
      <c r="A10" s="23"/>
      <c r="B10" s="20"/>
      <c r="C10" s="20"/>
      <c r="D10" s="20"/>
      <c r="E10" s="20"/>
      <c r="F10" s="20"/>
      <c r="G10" s="21"/>
    </row>
    <row r="11" spans="1:9" x14ac:dyDescent="0.25">
      <c r="A11" s="23"/>
      <c r="B11" s="24" t="s">
        <v>8</v>
      </c>
      <c r="C11" s="25"/>
      <c r="D11" s="25"/>
      <c r="E11" s="20"/>
      <c r="F11" s="20"/>
      <c r="G11" s="21"/>
    </row>
    <row r="12" spans="1:9" x14ac:dyDescent="0.25">
      <c r="A12" s="26" t="s">
        <v>1</v>
      </c>
      <c r="B12" s="235" t="s">
        <v>5993</v>
      </c>
      <c r="C12" s="27" t="s">
        <v>9</v>
      </c>
      <c r="D12" s="28"/>
      <c r="E12" s="20"/>
      <c r="F12" s="20"/>
      <c r="G12" s="21"/>
      <c r="I12" s="111"/>
    </row>
    <row r="13" spans="1:9" x14ac:dyDescent="0.25">
      <c r="A13" s="23"/>
      <c r="B13" s="20"/>
      <c r="C13" s="20"/>
      <c r="D13" s="20"/>
      <c r="E13" s="20"/>
      <c r="F13" s="20"/>
      <c r="G13" s="21"/>
    </row>
    <row r="14" spans="1:9" x14ac:dyDescent="0.25">
      <c r="A14" s="20"/>
      <c r="B14" s="24" t="s">
        <v>8</v>
      </c>
      <c r="C14" s="25"/>
      <c r="D14" s="25"/>
      <c r="E14" s="20"/>
      <c r="F14" s="20"/>
      <c r="G14" s="21"/>
    </row>
    <row r="15" spans="1:9" x14ac:dyDescent="0.25">
      <c r="A15" s="29" t="s">
        <v>10</v>
      </c>
      <c r="B15" s="235" t="s">
        <v>5994</v>
      </c>
      <c r="C15" s="27" t="s">
        <v>9</v>
      </c>
      <c r="D15" s="28"/>
      <c r="E15" s="20"/>
      <c r="F15" s="20"/>
      <c r="G15" s="21"/>
    </row>
    <row r="16" spans="1:9" x14ac:dyDescent="0.25">
      <c r="A16" s="29"/>
      <c r="B16" s="30"/>
      <c r="C16" s="27"/>
      <c r="D16" s="28"/>
      <c r="E16" s="20"/>
      <c r="F16" s="20"/>
      <c r="G16" s="21"/>
    </row>
    <row r="17" spans="1:7" ht="14.4" x14ac:dyDescent="0.3">
      <c r="A17" s="54" t="s">
        <v>69</v>
      </c>
      <c r="B17" s="55">
        <v>3800000000</v>
      </c>
      <c r="C17" s="89" t="s">
        <v>1002</v>
      </c>
      <c r="D17" s="28"/>
      <c r="E17" s="20"/>
      <c r="F17" s="20"/>
      <c r="G17" s="21"/>
    </row>
    <row r="18" spans="1:7" ht="16.5" customHeight="1" x14ac:dyDescent="0.25">
      <c r="A18" s="20"/>
      <c r="B18" s="91">
        <v>20000000000</v>
      </c>
      <c r="C18" s="33" t="s">
        <v>1001</v>
      </c>
      <c r="D18" s="28"/>
      <c r="E18" s="20"/>
      <c r="F18" s="20"/>
      <c r="G18" s="21"/>
    </row>
    <row r="19" spans="1:7" x14ac:dyDescent="0.25">
      <c r="A19" s="20"/>
      <c r="B19" s="20"/>
      <c r="C19" s="20"/>
      <c r="D19" s="28"/>
      <c r="E19" s="20"/>
      <c r="F19" s="20"/>
      <c r="G19" s="21"/>
    </row>
    <row r="20" spans="1:7" x14ac:dyDescent="0.25">
      <c r="A20" s="29"/>
      <c r="B20" s="691"/>
      <c r="C20" s="19"/>
      <c r="D20" s="28"/>
      <c r="E20" s="20"/>
      <c r="F20" s="20"/>
      <c r="G20" s="21"/>
    </row>
    <row r="21" spans="1:7" x14ac:dyDescent="0.25">
      <c r="A21" s="20"/>
      <c r="B21" s="20"/>
      <c r="C21" s="20"/>
      <c r="D21" s="28"/>
      <c r="E21" s="20"/>
      <c r="F21" s="20"/>
      <c r="G21" s="21"/>
    </row>
    <row r="22" spans="1:7" x14ac:dyDescent="0.25">
      <c r="A22" s="50" t="s">
        <v>33</v>
      </c>
      <c r="B22" s="112"/>
      <c r="C22" s="118"/>
      <c r="D22" s="28"/>
      <c r="E22" s="20"/>
      <c r="F22" s="20"/>
      <c r="G22" s="21"/>
    </row>
    <row r="23" spans="1:7" x14ac:dyDescent="0.25">
      <c r="A23" s="53" t="str">
        <f t="array" ref="A23">IFERROR(INDEX(credit_officers_list,MATCH(0,COUNTIF($A$22:A22,credit_officers_list),0)),"")</f>
        <v>KOLOLO ADMIN</v>
      </c>
      <c r="B23" s="113"/>
      <c r="C23" s="119"/>
      <c r="D23" s="28"/>
      <c r="E23" s="20"/>
      <c r="F23" s="20"/>
      <c r="G23" s="21"/>
    </row>
    <row r="24" spans="1:7" x14ac:dyDescent="0.25">
      <c r="A24" s="53" t="str">
        <f t="array" ref="A24">IFERROR(INDEX(credit_officers_list,MATCH(0,COUNTIF($A$22:A23,credit_officers_list),0)),"")</f>
        <v>GNALUBWAMA</v>
      </c>
      <c r="B24" s="113"/>
      <c r="C24" s="119"/>
      <c r="D24" s="28"/>
      <c r="E24" s="20"/>
      <c r="F24" s="20"/>
      <c r="G24" s="21"/>
    </row>
    <row r="25" spans="1:7" x14ac:dyDescent="0.25">
      <c r="A25" s="53" t="str">
        <f t="array" ref="A25">IFERROR(INDEX(credit_officers_list,MATCH(0,COUNTIF($A$22:A24,credit_officers_list),0)),"")</f>
        <v>EMATEGA</v>
      </c>
      <c r="B25" s="113"/>
      <c r="C25" s="119"/>
      <c r="D25" s="28"/>
      <c r="E25" s="20"/>
      <c r="F25" s="20"/>
      <c r="G25" s="21"/>
    </row>
    <row r="26" spans="1:7" x14ac:dyDescent="0.25">
      <c r="A26" s="53" t="str">
        <f t="array" ref="A26">IFERROR(INDEX(credit_officers_list,MATCH(0,COUNTIF($A$22:A25,credit_officers_list),0)),"")</f>
        <v>CNAKAYIKI</v>
      </c>
      <c r="B26" s="113"/>
      <c r="C26" s="119"/>
      <c r="D26" s="28"/>
      <c r="E26" s="20"/>
      <c r="F26" s="20"/>
      <c r="G26" s="21"/>
    </row>
    <row r="27" spans="1:7" x14ac:dyDescent="0.25">
      <c r="A27" s="53" t="str">
        <f t="array" ref="A27">IFERROR(INDEX(credit_officers_list,MATCH(0,COUNTIF($A$22:A26,credit_officers_list),0)),"")</f>
        <v>IMUGARUKIR</v>
      </c>
      <c r="B27" s="113"/>
      <c r="C27" s="119"/>
      <c r="D27" s="28"/>
      <c r="E27" s="20"/>
      <c r="F27" s="20"/>
      <c r="G27" s="21"/>
    </row>
    <row r="28" spans="1:7" x14ac:dyDescent="0.25">
      <c r="A28" s="53" t="str">
        <f t="array" ref="A28">IFERROR(INDEX(credit_officers_list,MATCH(0,COUNTIF($A$22:A27,credit_officers_list),0)),"")</f>
        <v>ANABISERE</v>
      </c>
      <c r="B28" s="113"/>
      <c r="C28" s="119"/>
      <c r="D28" s="28"/>
      <c r="E28" s="20"/>
      <c r="F28" s="20"/>
      <c r="G28" s="21"/>
    </row>
    <row r="29" spans="1:7" x14ac:dyDescent="0.25">
      <c r="A29" s="53" t="str">
        <f t="array" ref="A29">IFERROR(INDEX(credit_officers_list,MATCH(0,COUNTIF($A$22:A28,credit_officers_list),0)),"")</f>
        <v>PNAMWASE</v>
      </c>
      <c r="B29" s="113"/>
      <c r="C29" s="119"/>
      <c r="D29" s="28"/>
      <c r="E29" s="20"/>
      <c r="F29" s="20"/>
      <c r="G29" s="21"/>
    </row>
    <row r="30" spans="1:7" x14ac:dyDescent="0.25">
      <c r="A30" s="53" t="str">
        <f t="array" ref="A30">IFERROR(INDEX(credit_officers_list,MATCH(0,COUNTIF($A$22:A29,credit_officers_list),0)),"")</f>
        <v>NDEEBA ADMIN</v>
      </c>
      <c r="B30" s="113"/>
      <c r="C30" s="119"/>
      <c r="D30" s="28"/>
      <c r="E30" s="20"/>
      <c r="F30" s="20"/>
      <c r="G30" s="21"/>
    </row>
    <row r="31" spans="1:7" x14ac:dyDescent="0.25">
      <c r="A31" s="53" t="str">
        <f t="array" ref="A31">IFERROR(INDEX(credit_officers_list,MATCH(0,COUNTIF($A$22:A30,credit_officers_list),0)),"")</f>
        <v>HEAD OFFICE</v>
      </c>
      <c r="B31" s="113"/>
      <c r="C31" s="119"/>
      <c r="D31" s="28"/>
      <c r="E31" s="20"/>
      <c r="F31" s="20"/>
      <c r="G31" s="21"/>
    </row>
    <row r="32" spans="1:7" x14ac:dyDescent="0.25">
      <c r="A32" s="53" t="str">
        <f t="array" ref="A32">IFERROR(INDEX(credit_officers_list,MATCH(0,COUNTIF($A$22:A31,credit_officers_list),0)),"")</f>
        <v>EKOBUSINGE</v>
      </c>
      <c r="B32" s="113"/>
      <c r="C32" s="119"/>
      <c r="D32" s="28"/>
      <c r="E32" s="20"/>
      <c r="F32" s="20"/>
      <c r="G32" s="21"/>
    </row>
    <row r="33" spans="1:7" x14ac:dyDescent="0.25">
      <c r="A33" s="53" t="str">
        <f t="array" ref="A33">IFERROR(INDEX(credit_officers_list,MATCH(0,COUNTIF($A$22:A32,credit_officers_list),0)),"")</f>
        <v>FOWEMBABAB</v>
      </c>
      <c r="B33" s="113"/>
      <c r="C33" s="119"/>
      <c r="D33" s="28"/>
      <c r="E33" s="20"/>
      <c r="F33" s="20"/>
      <c r="G33" s="21"/>
    </row>
    <row r="34" spans="1:7" x14ac:dyDescent="0.25">
      <c r="A34" s="53" t="str">
        <f t="array" ref="A34">IFERROR(INDEX(credit_officers_list,MATCH(0,COUNTIF($A$22:A33,credit_officers_list),0)),"")</f>
        <v>MMBABAZI</v>
      </c>
      <c r="B34" s="113"/>
      <c r="C34" s="119"/>
      <c r="D34" s="28"/>
      <c r="E34" s="20"/>
      <c r="F34" s="20"/>
      <c r="G34" s="21"/>
    </row>
    <row r="35" spans="1:7" x14ac:dyDescent="0.25">
      <c r="A35" s="53" t="str">
        <f t="array" ref="A35">IFERROR(INDEX(credit_officers_list,MATCH(0,COUNTIF($A$22:A34,credit_officers_list),0)),"")</f>
        <v>FDAGIRU</v>
      </c>
      <c r="B35" s="113"/>
      <c r="C35" s="119"/>
      <c r="D35" s="28"/>
      <c r="E35" s="20"/>
      <c r="F35" s="20"/>
      <c r="G35" s="21"/>
    </row>
    <row r="36" spans="1:7" x14ac:dyDescent="0.25">
      <c r="A36" s="53" t="str">
        <f t="array" ref="A36">IFERROR(INDEX(credit_officers_list,MATCH(0,COUNTIF($A$22:A35,credit_officers_list),0)),"")</f>
        <v>CNANYONGA</v>
      </c>
      <c r="B36" s="113"/>
      <c r="C36" s="119"/>
      <c r="D36" s="28"/>
      <c r="E36" s="20"/>
      <c r="F36" s="20"/>
      <c r="G36" s="21"/>
    </row>
    <row r="37" spans="1:7" x14ac:dyDescent="0.25">
      <c r="A37" s="53" t="str">
        <f t="array" ref="A37">IFERROR(INDEX(credit_officers_list,MATCH(0,COUNTIF($A$22:A36,credit_officers_list),0)),"")</f>
        <v>SKATENDE</v>
      </c>
      <c r="B37" s="113"/>
      <c r="C37" s="119"/>
      <c r="D37" s="28"/>
      <c r="E37" s="20"/>
      <c r="F37" s="20"/>
      <c r="G37" s="21"/>
    </row>
    <row r="38" spans="1:7" x14ac:dyDescent="0.25">
      <c r="A38" s="53" t="str">
        <f t="array" ref="A38">IFERROR(INDEX(credit_officers_list,MATCH(0,COUNTIF($A$22:A37,credit_officers_list),0)),0)</f>
        <v>AMWEBE</v>
      </c>
      <c r="B38" s="113"/>
      <c r="C38" s="119"/>
      <c r="D38" s="28"/>
      <c r="E38" s="20"/>
      <c r="F38" s="20"/>
      <c r="G38" s="21"/>
    </row>
    <row r="39" spans="1:7" x14ac:dyDescent="0.25">
      <c r="A39" s="53" t="str">
        <f t="array" ref="A39">IFERROR(INDEX(credit_officers_list,MATCH(0,COUNTIF($A$22:A38,credit_officers_list),0)),0)</f>
        <v>ENABBOSA</v>
      </c>
      <c r="B39" s="113"/>
      <c r="C39" s="119"/>
      <c r="D39" s="28"/>
      <c r="E39" s="20"/>
      <c r="F39" s="20"/>
      <c r="G39" s="21"/>
    </row>
    <row r="40" spans="1:7" x14ac:dyDescent="0.25">
      <c r="A40" s="53" t="str">
        <f t="array" ref="A40">IFERROR(INDEX(credit_officers_list,MATCH(0,COUNTIF($A$22:A39,credit_officers_list),0)),0)</f>
        <v>SAF2000</v>
      </c>
      <c r="B40" s="113"/>
      <c r="C40" s="119"/>
      <c r="D40" s="28"/>
      <c r="E40" s="20"/>
      <c r="F40" s="20"/>
      <c r="G40" s="21"/>
    </row>
    <row r="41" spans="1:7" x14ac:dyDescent="0.25">
      <c r="A41" s="53" t="str">
        <f t="array" ref="A41">IFERROR(INDEX(credit_officers_list,MATCH(0,COUNTIF($A$22:A40,credit_officers_list),0)),0)</f>
        <v>SAKASEGERE</v>
      </c>
      <c r="B41" s="113"/>
      <c r="C41" s="119"/>
      <c r="D41" s="28"/>
      <c r="E41" s="20"/>
      <c r="F41" s="20"/>
      <c r="G41" s="21"/>
    </row>
    <row r="42" spans="1:7" x14ac:dyDescent="0.25">
      <c r="A42" s="53" t="str">
        <f t="array" ref="A42">IFERROR(INDEX(credit_officers_list,MATCH(0,COUNTIF($A$22:A41,credit_officers_list),0)),0)</f>
        <v>SNYUNGWE</v>
      </c>
      <c r="B42" s="113"/>
      <c r="C42" s="119"/>
      <c r="D42" s="28"/>
      <c r="E42" s="20"/>
      <c r="F42" s="20"/>
      <c r="G42" s="21"/>
    </row>
    <row r="43" spans="1:7" x14ac:dyDescent="0.25">
      <c r="A43" s="53" t="str">
        <f t="array" ref="A43">IFERROR(INDEX(credit_officers_list,MATCH(0,COUNTIF($A$22:A42,credit_officers_list),0)),0)</f>
        <v>PNAMPIJJA</v>
      </c>
      <c r="B43" s="113"/>
      <c r="C43" s="119"/>
      <c r="D43" s="28"/>
      <c r="E43" s="20"/>
      <c r="F43" s="20"/>
      <c r="G43" s="21"/>
    </row>
    <row r="44" spans="1:7" x14ac:dyDescent="0.25">
      <c r="A44" s="53" t="str">
        <f t="array" ref="A44">IFERROR(INDEX(credit_officers_list,MATCH(0,COUNTIF($A$22:A43,credit_officers_list),0)),0)</f>
        <v>DCOLLECTO2</v>
      </c>
      <c r="B44" s="113"/>
      <c r="C44" s="119"/>
      <c r="D44" s="28"/>
      <c r="E44" s="20"/>
      <c r="F44" s="20"/>
      <c r="G44" s="21"/>
    </row>
    <row r="45" spans="1:7" x14ac:dyDescent="0.25">
      <c r="A45" s="53" t="str">
        <f t="array" ref="A45">IFERROR(INDEX(credit_officers_list,MATCH(0,COUNTIF($A$22:A44,credit_officers_list),0)),0)</f>
        <v>BBIRUNGI</v>
      </c>
      <c r="B45" s="113"/>
      <c r="C45" s="119"/>
      <c r="D45" s="28"/>
      <c r="E45" s="20"/>
      <c r="F45" s="20"/>
      <c r="G45" s="21"/>
    </row>
    <row r="46" spans="1:7" x14ac:dyDescent="0.25">
      <c r="A46" s="53" t="str">
        <f t="array" ref="A46">IFERROR(INDEX(credit_officers_list,MATCH(0,COUNTIF($A$22:A45,credit_officers_list),0)),0)</f>
        <v>MBIRABWA</v>
      </c>
      <c r="B46" s="113"/>
      <c r="C46" s="119"/>
      <c r="D46" s="28"/>
      <c r="E46" s="20"/>
      <c r="F46" s="20"/>
      <c r="G46" s="21"/>
    </row>
    <row r="47" spans="1:7" x14ac:dyDescent="0.25">
      <c r="A47" s="53" t="str">
        <f t="array" ref="A47">IFERROR(INDEX(credit_officers_list,MATCH(0,COUNTIF($A$22:A46,credit_officers_list),0)),0)</f>
        <v>JNYAKATE</v>
      </c>
      <c r="B47" s="113"/>
      <c r="C47" s="119"/>
      <c r="D47" s="28"/>
      <c r="E47" s="20"/>
      <c r="F47" s="20"/>
      <c r="G47" s="21"/>
    </row>
    <row r="48" spans="1:7" x14ac:dyDescent="0.25">
      <c r="A48" s="53" t="str">
        <f t="array" ref="A48">IFERROR(INDEX(credit_officers_list,MATCH(0,COUNTIF($A$22:A47,credit_officers_list),0)),0)</f>
        <v>AKAZOBA</v>
      </c>
      <c r="B48" s="113"/>
      <c r="C48" s="119"/>
      <c r="D48" s="28"/>
      <c r="E48" s="20"/>
      <c r="F48" s="20"/>
      <c r="G48" s="21"/>
    </row>
    <row r="49" spans="1:7" x14ac:dyDescent="0.25">
      <c r="A49" s="53" t="str">
        <f t="array" ref="A49">IFERROR(INDEX(credit_officers_list,MATCH(0,COUNTIF($A$22:A48,credit_officers_list),0)),0)</f>
        <v>FKATUA</v>
      </c>
      <c r="B49" s="113"/>
      <c r="C49" s="119"/>
      <c r="D49" s="28"/>
      <c r="E49" s="20"/>
      <c r="F49" s="20"/>
      <c r="G49" s="21"/>
    </row>
    <row r="50" spans="1:7" x14ac:dyDescent="0.25">
      <c r="A50" s="53" t="str">
        <f t="array" ref="A50">IFERROR(INDEX(credit_officers_list,MATCH(0,COUNTIF($A$22:A49,credit_officers_list),0)),0)</f>
        <v>JNALUKENGE</v>
      </c>
      <c r="B50" s="113"/>
      <c r="C50" s="119"/>
      <c r="D50" s="28"/>
      <c r="E50" s="20"/>
      <c r="F50" s="20"/>
      <c r="G50" s="21"/>
    </row>
    <row r="51" spans="1:7" x14ac:dyDescent="0.25">
      <c r="A51" s="53" t="str">
        <f t="array" ref="A51">IFERROR(INDEX(credit_officers_list,MATCH(0,COUNTIF($A$22:A50,credit_officers_list),0)),0)</f>
        <v>SOJAMBO</v>
      </c>
      <c r="B51" s="113"/>
      <c r="C51" s="119"/>
      <c r="D51" s="28"/>
      <c r="E51" s="20"/>
      <c r="F51" s="20"/>
      <c r="G51" s="21"/>
    </row>
    <row r="52" spans="1:7" x14ac:dyDescent="0.25">
      <c r="A52" s="53" t="str">
        <f t="array" ref="A52">IFERROR(INDEX(credit_officers_list,MATCH(0,COUNTIF($A$22:A51,credit_officers_list),0)),0)</f>
        <v>ATURYAMUBUGANA</v>
      </c>
      <c r="B52" s="113"/>
      <c r="C52" s="119"/>
      <c r="D52" s="28"/>
      <c r="E52" s="20"/>
      <c r="F52" s="20"/>
      <c r="G52" s="21"/>
    </row>
    <row r="53" spans="1:7" x14ac:dyDescent="0.25">
      <c r="A53" s="53" t="str">
        <f t="array" ref="A53">IFERROR(INDEX(credit_officers_list,MATCH(0,COUNTIF($A$22:A52,credit_officers_list),0)),0)</f>
        <v>JTUSIIME</v>
      </c>
      <c r="B53" s="113"/>
      <c r="C53" s="119"/>
      <c r="D53" s="28"/>
      <c r="E53" s="20"/>
      <c r="F53" s="20"/>
      <c r="G53" s="21"/>
    </row>
    <row r="54" spans="1:7" x14ac:dyDescent="0.25">
      <c r="A54" s="53" t="str">
        <f t="array" ref="A54">IFERROR(INDEX(credit_officers_list,MATCH(0,COUNTIF($A$22:A53,credit_officers_list),0)),0)</f>
        <v>LNAMUYOMBA</v>
      </c>
      <c r="B54" s="113"/>
      <c r="C54" s="119"/>
      <c r="D54" s="28"/>
      <c r="E54" s="20"/>
      <c r="F54" s="20"/>
      <c r="G54" s="21"/>
    </row>
    <row r="55" spans="1:7" x14ac:dyDescent="0.25">
      <c r="A55" s="53" t="str">
        <f t="array" ref="A55">IFERROR(INDEX(credit_officers_list,MATCH(0,COUNTIF($A$22:A54,credit_officers_list),0)),0)</f>
        <v>DNSUBUGA1</v>
      </c>
      <c r="B55" s="113"/>
      <c r="C55" s="119"/>
      <c r="D55" s="28"/>
      <c r="E55" s="20"/>
      <c r="F55" s="20"/>
      <c r="G55" s="21"/>
    </row>
    <row r="56" spans="1:7" x14ac:dyDescent="0.25">
      <c r="A56" s="53" t="str">
        <f t="array" ref="A56">IFERROR(INDEX(credit_officers_list,MATCH(0,COUNTIF($A$22:A55,credit_officers_list),0)),0)</f>
        <v>SMIREMBE</v>
      </c>
      <c r="B56" s="113"/>
      <c r="C56" s="119"/>
      <c r="D56" s="28"/>
      <c r="E56" s="20"/>
      <c r="F56" s="20"/>
      <c r="G56" s="21"/>
    </row>
    <row r="57" spans="1:7" x14ac:dyDescent="0.25">
      <c r="A57" s="53" t="str">
        <f t="array" ref="A57">IFERROR(INDEX(credit_officers_list,MATCH(0,COUNTIF($A$22:A56,credit_officers_list),0)),0)</f>
        <v>FMUZANIRABANDI</v>
      </c>
      <c r="B57" s="113"/>
      <c r="C57" s="119"/>
      <c r="D57" s="28"/>
      <c r="E57" s="20"/>
      <c r="F57" s="20"/>
      <c r="G57" s="21"/>
    </row>
    <row r="58" spans="1:7" x14ac:dyDescent="0.25">
      <c r="A58" s="53" t="str">
        <f t="array" ref="A58">IFERROR(INDEX(credit_officers_list,MATCH(0,COUNTIF($A$22:A57,credit_officers_list),0)),0)</f>
        <v>JNATUHWEZA</v>
      </c>
      <c r="B58" s="113"/>
      <c r="C58" s="119"/>
      <c r="D58" s="840"/>
      <c r="E58" s="20"/>
      <c r="F58" s="20"/>
      <c r="G58" s="21"/>
    </row>
    <row r="59" spans="1:7" x14ac:dyDescent="0.25">
      <c r="A59" s="53">
        <f t="array" ref="A59">IFERROR(INDEX(credit_officers_list,MATCH(0,COUNTIF($A$22:A58,credit_officers_list),0)),0)</f>
        <v>0</v>
      </c>
      <c r="B59" s="113"/>
      <c r="C59" s="119"/>
      <c r="D59" s="840"/>
      <c r="E59" s="20"/>
      <c r="F59" s="20"/>
      <c r="G59" s="21"/>
    </row>
    <row r="60" spans="1:7" x14ac:dyDescent="0.25">
      <c r="A60" s="53">
        <f t="array" ref="A60">IFERROR(INDEX(credit_officers_list,MATCH(0,COUNTIF($A$22:A59,credit_officers_list),0)),0)</f>
        <v>0</v>
      </c>
      <c r="B60" s="113"/>
      <c r="C60" s="119"/>
      <c r="D60" s="840"/>
      <c r="E60" s="20"/>
      <c r="F60" s="20"/>
      <c r="G60" s="21"/>
    </row>
    <row r="61" spans="1:7" x14ac:dyDescent="0.25">
      <c r="A61" s="53">
        <f t="array" ref="A61">IFERROR(INDEX(credit_officers_list,MATCH(0,COUNTIF($A$22:A60,credit_officers_list),0)),0)</f>
        <v>0</v>
      </c>
      <c r="B61" s="113"/>
      <c r="C61" s="119"/>
      <c r="D61" s="840"/>
      <c r="E61" s="20"/>
      <c r="F61" s="20"/>
      <c r="G61" s="21"/>
    </row>
    <row r="62" spans="1:7" x14ac:dyDescent="0.25">
      <c r="A62" s="53">
        <f t="array" ref="A62">IFERROR(INDEX(credit_officers_list,MATCH(0,COUNTIF($A$22:A61,credit_officers_list),0)),0)</f>
        <v>0</v>
      </c>
      <c r="B62" s="113"/>
      <c r="C62" s="119"/>
      <c r="D62" s="840"/>
      <c r="E62" s="20"/>
      <c r="F62" s="20"/>
      <c r="G62" s="21"/>
    </row>
    <row r="63" spans="1:7" x14ac:dyDescent="0.25">
      <c r="A63" s="53">
        <f t="array" ref="A63">IFERROR(INDEX(credit_officers_list,MATCH(0,COUNTIF($A$22:A62,credit_officers_list),0)),0)</f>
        <v>0</v>
      </c>
      <c r="B63" s="113"/>
      <c r="C63" s="119"/>
      <c r="D63" s="840"/>
      <c r="E63" s="20"/>
      <c r="F63" s="20"/>
      <c r="G63" s="21"/>
    </row>
    <row r="64" spans="1:7" x14ac:dyDescent="0.25">
      <c r="A64" s="53">
        <f t="array" ref="A64">IFERROR(INDEX(credit_officers_list,MATCH(0,COUNTIF($A$22:A63,credit_officers_list),0)),0)</f>
        <v>0</v>
      </c>
      <c r="B64" s="113"/>
      <c r="C64" s="119"/>
      <c r="D64" s="840"/>
      <c r="E64" s="20"/>
      <c r="F64" s="20"/>
      <c r="G64" s="21"/>
    </row>
    <row r="65" spans="1:7" x14ac:dyDescent="0.25">
      <c r="A65" s="53">
        <f t="array" ref="A65">IFERROR(INDEX(credit_officers_list,MATCH(0,COUNTIF($A$22:A64,credit_officers_list),0)),0)</f>
        <v>0</v>
      </c>
      <c r="B65" s="113"/>
      <c r="C65" s="119"/>
      <c r="D65" s="840"/>
      <c r="E65" s="20"/>
      <c r="F65" s="20"/>
      <c r="G65" s="21"/>
    </row>
    <row r="66" spans="1:7" x14ac:dyDescent="0.25">
      <c r="A66" s="53">
        <f t="array" ref="A66">IFERROR(INDEX(credit_officers_list,MATCH(0,COUNTIF($A$22:A65,credit_officers_list),0)),0)</f>
        <v>0</v>
      </c>
      <c r="B66" s="113"/>
      <c r="C66" s="119"/>
      <c r="D66" s="28"/>
      <c r="E66" s="20"/>
      <c r="F66" s="20"/>
      <c r="G66" s="21"/>
    </row>
    <row r="67" spans="1:7" x14ac:dyDescent="0.25">
      <c r="A67" s="53">
        <f t="array" ref="A67">IFERROR(INDEX(credit_officers_list,MATCH(0,COUNTIF($A$22:A66,credit_officers_list),0)),0)</f>
        <v>0</v>
      </c>
      <c r="B67" s="113"/>
      <c r="C67" s="119"/>
      <c r="D67" s="28"/>
      <c r="E67" s="20"/>
      <c r="F67" s="20"/>
      <c r="G67" s="21"/>
    </row>
    <row r="68" spans="1:7" x14ac:dyDescent="0.25">
      <c r="A68" s="53">
        <f t="array" ref="A68">IFERROR(INDEX(credit_officers_list,MATCH(0,COUNTIF($A$22:A67,credit_officers_list),0)),0)</f>
        <v>0</v>
      </c>
      <c r="B68" s="113"/>
      <c r="C68" s="119"/>
      <c r="D68" s="28"/>
      <c r="E68" s="20"/>
      <c r="F68" s="20"/>
      <c r="G68" s="21"/>
    </row>
    <row r="69" spans="1:7" x14ac:dyDescent="0.25">
      <c r="A69" s="53">
        <f t="array" ref="A69">IFERROR(INDEX(credit_officers_list,MATCH(0,COUNTIF($A$22:A68,credit_officers_list),0)),0)</f>
        <v>0</v>
      </c>
      <c r="B69" s="113"/>
      <c r="C69" s="119"/>
      <c r="D69" s="28"/>
      <c r="E69" s="20"/>
      <c r="F69" s="20"/>
      <c r="G69" s="21"/>
    </row>
    <row r="70" spans="1:7" x14ac:dyDescent="0.25">
      <c r="A70" s="53">
        <f t="array" ref="A70">IFERROR(INDEX(credit_officers_list,MATCH(0,COUNTIF($A$22:A69,credit_officers_list),0)),0)</f>
        <v>0</v>
      </c>
      <c r="B70" s="113"/>
      <c r="C70" s="119"/>
      <c r="D70" s="28"/>
      <c r="E70" s="20"/>
      <c r="F70" s="20"/>
      <c r="G70" s="21"/>
    </row>
    <row r="71" spans="1:7" x14ac:dyDescent="0.25">
      <c r="A71" s="53">
        <f t="array" ref="A71">IFERROR(INDEX(credit_officers_list,MATCH(0,COUNTIF($A$22:A70,credit_officers_list),0)),0)</f>
        <v>0</v>
      </c>
      <c r="B71" s="113"/>
      <c r="C71" s="119"/>
      <c r="D71" s="28"/>
      <c r="E71" s="20"/>
      <c r="F71" s="20"/>
      <c r="G71" s="21"/>
    </row>
    <row r="72" spans="1:7" x14ac:dyDescent="0.25">
      <c r="A72" s="53">
        <f t="array" ref="A72">IFERROR(INDEX(credit_officers_list,MATCH(0,COUNTIF($A$22:A71,credit_officers_list),0)),0)</f>
        <v>0</v>
      </c>
      <c r="B72" s="113"/>
      <c r="C72" s="119"/>
      <c r="D72" s="28"/>
      <c r="E72" s="20"/>
      <c r="F72" s="20"/>
      <c r="G72" s="21"/>
    </row>
    <row r="73" spans="1:7" x14ac:dyDescent="0.25">
      <c r="A73" s="53">
        <f t="array" ref="A73">IFERROR(INDEX(credit_officers_list,MATCH(0,COUNTIF($A$22:A72,credit_officers_list),0)),0)</f>
        <v>0</v>
      </c>
      <c r="B73" s="113"/>
      <c r="C73" s="119"/>
      <c r="D73" s="28"/>
      <c r="E73" s="20"/>
      <c r="F73" s="20"/>
      <c r="G73" s="21"/>
    </row>
    <row r="74" spans="1:7" x14ac:dyDescent="0.25">
      <c r="A74" s="53">
        <f t="array" ref="A74">IFERROR(INDEX(credit_officers_list,MATCH(0,COUNTIF($A$22:A73,credit_officers_list),0)),0)</f>
        <v>0</v>
      </c>
      <c r="B74" s="113"/>
      <c r="C74" s="119"/>
      <c r="D74" s="28"/>
      <c r="E74" s="20"/>
      <c r="F74" s="20"/>
      <c r="G74" s="21"/>
    </row>
    <row r="75" spans="1:7" x14ac:dyDescent="0.25">
      <c r="A75" s="53">
        <f t="array" ref="A75">IFERROR(INDEX(credit_officers_list,MATCH(0,COUNTIF($A$22:A74,credit_officers_list),0)),0)</f>
        <v>0</v>
      </c>
      <c r="B75" s="113"/>
      <c r="C75" s="119"/>
      <c r="D75" s="28"/>
      <c r="E75" s="20"/>
      <c r="F75" s="20"/>
      <c r="G75" s="21"/>
    </row>
    <row r="76" spans="1:7" x14ac:dyDescent="0.25">
      <c r="A76" s="53">
        <f t="array" ref="A76">IFERROR(INDEX(credit_officers_list,MATCH(0,COUNTIF($A$22:A75,credit_officers_list),0)),0)</f>
        <v>0</v>
      </c>
      <c r="B76" s="113"/>
      <c r="C76" s="119"/>
      <c r="D76" s="28"/>
      <c r="E76" s="20"/>
      <c r="F76" s="20"/>
      <c r="G76" s="21"/>
    </row>
    <row r="77" spans="1:7" x14ac:dyDescent="0.25">
      <c r="A77" s="53">
        <f t="array" ref="A77">IFERROR(INDEX(credit_officers_list,MATCH(0,COUNTIF($A$22:A76,credit_officers_list),0)),0)</f>
        <v>0</v>
      </c>
      <c r="B77" s="113"/>
      <c r="C77" s="119"/>
      <c r="D77" s="28"/>
      <c r="E77" s="20"/>
      <c r="F77" s="20"/>
      <c r="G77" s="21"/>
    </row>
    <row r="78" spans="1:7" x14ac:dyDescent="0.25">
      <c r="A78" s="53">
        <f t="array" ref="A78">IFERROR(INDEX(credit_officers_list,MATCH(0,COUNTIF($A$22:A77,credit_officers_list),0)),0)</f>
        <v>0</v>
      </c>
      <c r="B78" s="113"/>
      <c r="C78" s="119"/>
      <c r="D78" s="28"/>
      <c r="E78" s="20"/>
      <c r="F78" s="20"/>
      <c r="G78" s="21"/>
    </row>
    <row r="79" spans="1:7" x14ac:dyDescent="0.25">
      <c r="A79" s="53">
        <f t="array" ref="A79">IFERROR(INDEX(credit_officers_list,MATCH(0,COUNTIF($A$22:A78,credit_officers_list),0)),0)</f>
        <v>0</v>
      </c>
      <c r="B79" s="113"/>
      <c r="C79" s="119"/>
      <c r="D79" s="28"/>
      <c r="E79" s="20"/>
      <c r="F79" s="20"/>
      <c r="G79" s="21"/>
    </row>
    <row r="80" spans="1:7" x14ac:dyDescent="0.25">
      <c r="A80" s="53">
        <f t="array" ref="A80">IFERROR(INDEX(credit_officers_list,MATCH(0,COUNTIF($A$22:A79,credit_officers_list),0)),0)</f>
        <v>0</v>
      </c>
      <c r="B80" s="113"/>
      <c r="C80" s="119"/>
      <c r="D80" s="28"/>
      <c r="E80" s="20"/>
      <c r="F80" s="20"/>
      <c r="G80" s="21"/>
    </row>
    <row r="81" spans="1:7" x14ac:dyDescent="0.25">
      <c r="A81" s="53">
        <f t="array" ref="A81">IFERROR(INDEX(credit_officers_list,MATCH(0,COUNTIF($A$22:A80,credit_officers_list),0)),0)</f>
        <v>0</v>
      </c>
      <c r="B81" s="113"/>
      <c r="C81" s="119"/>
      <c r="D81" s="28"/>
      <c r="E81" s="20"/>
      <c r="F81" s="20"/>
      <c r="G81" s="21"/>
    </row>
    <row r="82" spans="1:7" x14ac:dyDescent="0.25">
      <c r="A82" s="53">
        <f t="array" ref="A82">IFERROR(INDEX(credit_officers_list,MATCH(0,COUNTIF($A$22:A81,credit_officers_list),0)),0)</f>
        <v>0</v>
      </c>
      <c r="B82" s="113"/>
      <c r="C82" s="119"/>
      <c r="D82" s="28"/>
      <c r="E82" s="20"/>
      <c r="F82" s="20"/>
      <c r="G82" s="21"/>
    </row>
    <row r="83" spans="1:7" x14ac:dyDescent="0.25">
      <c r="A83" s="53">
        <f t="array" ref="A83">IFERROR(INDEX(credit_officers_list,MATCH(0,COUNTIF($A$22:A82,credit_officers_list),0)),0)</f>
        <v>0</v>
      </c>
      <c r="B83" s="113"/>
      <c r="C83" s="119"/>
      <c r="D83" s="28"/>
      <c r="E83" s="20"/>
      <c r="F83" s="20"/>
      <c r="G83" s="21"/>
    </row>
    <row r="84" spans="1:7" x14ac:dyDescent="0.25">
      <c r="A84" s="53">
        <f t="array" ref="A84">IFERROR(INDEX(credit_officers_list,MATCH(0,COUNTIF($A$22:A83,credit_officers_list),0)),0)</f>
        <v>0</v>
      </c>
      <c r="B84" s="113"/>
      <c r="C84" s="119"/>
      <c r="D84" s="28"/>
      <c r="E84" s="20"/>
      <c r="F84" s="20"/>
      <c r="G84" s="21"/>
    </row>
    <row r="85" spans="1:7" x14ac:dyDescent="0.25">
      <c r="A85" s="53">
        <f t="array" ref="A85">IFERROR(INDEX(credit_officers_list,MATCH(0,COUNTIF($A$22:A84,credit_officers_list),0)),0)</f>
        <v>0</v>
      </c>
      <c r="B85" s="113"/>
      <c r="C85" s="119"/>
      <c r="D85" s="28"/>
      <c r="E85" s="20"/>
      <c r="F85" s="20"/>
      <c r="G85" s="21"/>
    </row>
    <row r="86" spans="1:7" x14ac:dyDescent="0.25">
      <c r="A86" s="53">
        <f t="array" ref="A86">IFERROR(INDEX(credit_officers_list,MATCH(0,COUNTIF($A$22:A85,credit_officers_list),0)),0)</f>
        <v>0</v>
      </c>
      <c r="B86" s="113"/>
      <c r="C86" s="119"/>
      <c r="D86" s="28"/>
      <c r="E86" s="20"/>
      <c r="F86" s="20"/>
      <c r="G86" s="21"/>
    </row>
    <row r="87" spans="1:7" x14ac:dyDescent="0.25">
      <c r="A87" s="53">
        <f t="array" ref="A87">IFERROR(INDEX(credit_officers_list,MATCH(0,COUNTIF($A$22:A86,credit_officers_list),0)),0)</f>
        <v>0</v>
      </c>
      <c r="B87" s="113"/>
      <c r="C87" s="119"/>
      <c r="D87" s="28"/>
      <c r="E87" s="20"/>
      <c r="F87" s="20"/>
      <c r="G87" s="21"/>
    </row>
    <row r="88" spans="1:7" x14ac:dyDescent="0.25">
      <c r="A88" s="53">
        <f t="array" ref="A88">IFERROR(INDEX(credit_officers_list,MATCH(0,COUNTIF($A$22:A87,credit_officers_list),0)),0)</f>
        <v>0</v>
      </c>
      <c r="B88" s="113"/>
      <c r="C88" s="119"/>
      <c r="D88" s="28"/>
      <c r="E88" s="20"/>
      <c r="F88" s="20"/>
      <c r="G88" s="21"/>
    </row>
    <row r="89" spans="1:7" x14ac:dyDescent="0.25">
      <c r="A89" s="53">
        <f t="array" ref="A89">IFERROR(INDEX(credit_officers_list,MATCH(0,COUNTIF($A$22:A88,credit_officers_list),0)),0)</f>
        <v>0</v>
      </c>
      <c r="B89" s="113"/>
      <c r="C89" s="119"/>
      <c r="D89" s="28"/>
      <c r="E89" s="20"/>
      <c r="F89" s="20"/>
      <c r="G89" s="21"/>
    </row>
    <row r="90" spans="1:7" x14ac:dyDescent="0.25">
      <c r="A90" s="53">
        <f t="array" ref="A90">IFERROR(INDEX(credit_officers_list,MATCH(0,COUNTIF($A$22:A89,credit_officers_list),0)),0)</f>
        <v>0</v>
      </c>
      <c r="B90" s="113"/>
      <c r="C90" s="119"/>
      <c r="D90" s="28"/>
      <c r="E90" s="20"/>
      <c r="F90" s="20"/>
      <c r="G90" s="21"/>
    </row>
    <row r="91" spans="1:7" x14ac:dyDescent="0.25">
      <c r="A91" s="53">
        <f t="array" ref="A91">IFERROR(INDEX(credit_officers_list,MATCH(0,COUNTIF($A$22:A90,credit_officers_list),0)),0)</f>
        <v>0</v>
      </c>
      <c r="B91" s="113"/>
      <c r="C91" s="119"/>
      <c r="D91" s="28"/>
      <c r="E91" s="20"/>
      <c r="F91" s="20"/>
      <c r="G91" s="21"/>
    </row>
    <row r="92" spans="1:7" x14ac:dyDescent="0.25">
      <c r="A92" s="53">
        <f t="array" ref="A92">IFERROR(INDEX(credit_officers_list,MATCH(0,COUNTIF($A$22:A91,credit_officers_list),0)),0)</f>
        <v>0</v>
      </c>
      <c r="B92" s="113"/>
      <c r="C92" s="119"/>
      <c r="D92" s="28"/>
      <c r="E92" s="20"/>
      <c r="F92" s="20"/>
      <c r="G92" s="21"/>
    </row>
    <row r="93" spans="1:7" x14ac:dyDescent="0.25">
      <c r="A93" s="53">
        <f t="array" ref="A93">IFERROR(INDEX(credit_officers_list,MATCH(0,COUNTIF($A$22:A92,credit_officers_list),0)),0)</f>
        <v>0</v>
      </c>
      <c r="B93" s="113"/>
      <c r="C93" s="119"/>
      <c r="D93" s="28"/>
      <c r="E93" s="20"/>
      <c r="F93" s="20"/>
      <c r="G93" s="21"/>
    </row>
    <row r="94" spans="1:7" x14ac:dyDescent="0.25">
      <c r="A94" s="53">
        <f t="array" ref="A94">IFERROR(INDEX(credit_officers_list,MATCH(0,COUNTIF($A$22:A93,credit_officers_list),0)),0)</f>
        <v>0</v>
      </c>
      <c r="B94" s="113"/>
      <c r="C94" s="119"/>
      <c r="D94" s="28"/>
      <c r="E94" s="20"/>
      <c r="F94" s="20"/>
      <c r="G94" s="21"/>
    </row>
    <row r="95" spans="1:7" x14ac:dyDescent="0.25">
      <c r="A95" s="53">
        <f t="array" ref="A95">IFERROR(INDEX(credit_officers_list,MATCH(0,COUNTIF($A$22:A94,credit_officers_list),0)),0)</f>
        <v>0</v>
      </c>
      <c r="B95" s="113"/>
      <c r="C95" s="119"/>
      <c r="D95" s="28"/>
      <c r="E95" s="20"/>
      <c r="F95" s="20"/>
      <c r="G95" s="21"/>
    </row>
    <row r="96" spans="1:7" x14ac:dyDescent="0.25">
      <c r="A96" s="53">
        <f t="array" ref="A96">IFERROR(INDEX(credit_officers_list,MATCH(0,COUNTIF($A$22:A95,credit_officers_list),0)),0)</f>
        <v>0</v>
      </c>
      <c r="B96" s="113"/>
      <c r="C96" s="119"/>
      <c r="D96" s="28"/>
      <c r="E96" s="20"/>
      <c r="F96" s="20"/>
      <c r="G96" s="21"/>
    </row>
    <row r="97" spans="1:7" x14ac:dyDescent="0.25">
      <c r="A97" s="53">
        <f t="array" ref="A97">IFERROR(INDEX(credit_officers_list,MATCH(0,COUNTIF($A$22:A96,credit_officers_list),0)),0)</f>
        <v>0</v>
      </c>
      <c r="B97" s="113"/>
      <c r="C97" s="119"/>
      <c r="D97" s="28"/>
      <c r="E97" s="20"/>
      <c r="F97" s="20"/>
      <c r="G97" s="21"/>
    </row>
    <row r="98" spans="1:7" x14ac:dyDescent="0.25">
      <c r="A98" s="53">
        <f t="array" ref="A98">IFERROR(INDEX(credit_officers_list,MATCH(0,COUNTIF($A$22:A97,credit_officers_list),0)),0)</f>
        <v>0</v>
      </c>
      <c r="B98" s="113"/>
      <c r="C98" s="119"/>
      <c r="D98" s="28"/>
      <c r="E98" s="20"/>
      <c r="F98" s="20"/>
      <c r="G98" s="21"/>
    </row>
    <row r="99" spans="1:7" x14ac:dyDescent="0.25">
      <c r="A99" s="53">
        <f t="array" ref="A99">IFERROR(INDEX(credit_officers_list,MATCH(0,COUNTIF($A$22:A98,credit_officers_list),0)),0)</f>
        <v>0</v>
      </c>
      <c r="B99" s="113"/>
      <c r="C99" s="119"/>
      <c r="D99" s="28"/>
      <c r="E99" s="20"/>
      <c r="F99" s="20"/>
      <c r="G99" s="21"/>
    </row>
    <row r="100" spans="1:7" x14ac:dyDescent="0.25">
      <c r="A100" s="53">
        <f t="array" ref="A100">IFERROR(INDEX(credit_officers_list,MATCH(0,COUNTIF($A$22:A99,credit_officers_list),0)),0)</f>
        <v>0</v>
      </c>
      <c r="B100" s="113"/>
      <c r="C100" s="119"/>
      <c r="D100" s="28"/>
      <c r="E100" s="20"/>
      <c r="F100" s="20"/>
      <c r="G100" s="21"/>
    </row>
    <row r="101" spans="1:7" x14ac:dyDescent="0.25">
      <c r="A101" s="53">
        <f t="array" ref="A101">IFERROR(INDEX(credit_officers_list,MATCH(0,COUNTIF($A$22:A100,credit_officers_list),0)),0)</f>
        <v>0</v>
      </c>
      <c r="B101" s="113"/>
      <c r="C101" s="119"/>
      <c r="D101" s="28"/>
      <c r="E101" s="20"/>
      <c r="F101" s="20"/>
      <c r="G101" s="21"/>
    </row>
    <row r="102" spans="1:7" x14ac:dyDescent="0.25">
      <c r="A102" s="53">
        <f t="array" ref="A102">IFERROR(INDEX(credit_officers_list,MATCH(0,COUNTIF($A$22:A101,credit_officers_list),0)),0)</f>
        <v>0</v>
      </c>
      <c r="B102" s="113"/>
      <c r="C102" s="119"/>
      <c r="D102" s="28"/>
      <c r="E102" s="20"/>
      <c r="F102" s="20"/>
      <c r="G102" s="21"/>
    </row>
    <row r="103" spans="1:7" x14ac:dyDescent="0.25">
      <c r="A103" s="53">
        <f t="array" ref="A103">IFERROR(INDEX(credit_officers_list,MATCH(0,COUNTIF($A$22:A102,credit_officers_list),0)),0)</f>
        <v>0</v>
      </c>
      <c r="B103" s="113"/>
      <c r="C103" s="119"/>
      <c r="D103" s="28"/>
      <c r="E103" s="20"/>
      <c r="F103" s="20"/>
      <c r="G103" s="21"/>
    </row>
    <row r="104" spans="1:7" x14ac:dyDescent="0.25">
      <c r="A104" s="32"/>
      <c r="B104" s="32"/>
      <c r="C104" s="33"/>
      <c r="D104" s="33"/>
      <c r="E104" s="33"/>
      <c r="F104" s="33"/>
      <c r="G104" s="21"/>
    </row>
    <row r="105" spans="1:7" x14ac:dyDescent="0.25">
      <c r="A105" s="33"/>
      <c r="B105" s="2" t="s">
        <v>5</v>
      </c>
      <c r="C105" s="834"/>
      <c r="D105" s="834"/>
      <c r="E105" s="834"/>
      <c r="F105" s="835"/>
      <c r="G105" s="21"/>
    </row>
    <row r="106" spans="1:7" x14ac:dyDescent="0.25">
      <c r="A106" s="33"/>
      <c r="B106" s="5"/>
      <c r="C106" s="6"/>
      <c r="D106" s="6"/>
      <c r="E106" s="6"/>
      <c r="F106" s="7"/>
      <c r="G106" s="21"/>
    </row>
    <row r="107" spans="1:7" x14ac:dyDescent="0.25">
      <c r="A107" s="33"/>
      <c r="B107" s="836" t="s">
        <v>6</v>
      </c>
      <c r="C107" s="837"/>
      <c r="D107" s="6">
        <v>20160615</v>
      </c>
      <c r="E107" s="6"/>
      <c r="F107" s="7"/>
      <c r="G107" s="21"/>
    </row>
    <row r="108" spans="1:7" x14ac:dyDescent="0.25">
      <c r="A108" s="33"/>
      <c r="B108" s="838" t="s">
        <v>7</v>
      </c>
      <c r="C108" s="839"/>
      <c r="D108" s="10" t="s">
        <v>1450</v>
      </c>
      <c r="E108" s="8"/>
      <c r="F108" s="9"/>
      <c r="G108" s="21"/>
    </row>
    <row r="109" spans="1:7" x14ac:dyDescent="0.25">
      <c r="A109" s="20"/>
      <c r="B109" s="33"/>
      <c r="C109" s="33"/>
      <c r="D109" s="33"/>
      <c r="E109" s="33"/>
      <c r="F109" s="33"/>
      <c r="G109" s="21"/>
    </row>
    <row r="110" spans="1:7" x14ac:dyDescent="0.25">
      <c r="A110" s="34"/>
      <c r="B110" s="35"/>
      <c r="C110" s="35"/>
      <c r="D110" s="35"/>
      <c r="E110" s="35"/>
      <c r="F110" s="35"/>
      <c r="G110" s="36"/>
    </row>
    <row r="111" spans="1:7" x14ac:dyDescent="0.25">
      <c r="A111" s="16"/>
      <c r="B111" s="16"/>
      <c r="C111" s="16"/>
      <c r="D111" s="16"/>
      <c r="E111" s="16"/>
      <c r="F111" s="16"/>
      <c r="G111" s="16"/>
    </row>
    <row r="112" spans="1:7" x14ac:dyDescent="0.25">
      <c r="A112" s="37"/>
      <c r="B112" s="16"/>
      <c r="C112" s="16"/>
      <c r="D112" s="16"/>
      <c r="E112" s="16"/>
      <c r="F112" s="16"/>
      <c r="G112" s="16"/>
    </row>
    <row r="113" spans="1:7" x14ac:dyDescent="0.25">
      <c r="A113" s="37"/>
      <c r="B113" s="16"/>
      <c r="C113" s="16"/>
      <c r="D113" s="16"/>
      <c r="E113" s="16"/>
      <c r="F113" s="16"/>
      <c r="G113" s="16"/>
    </row>
    <row r="114" spans="1:7" x14ac:dyDescent="0.25">
      <c r="A114" s="16"/>
      <c r="B114" s="16"/>
      <c r="C114" s="16"/>
      <c r="D114" s="16"/>
      <c r="E114" s="16"/>
      <c r="F114" s="16"/>
      <c r="G114" s="16"/>
    </row>
    <row r="115" spans="1:7" x14ac:dyDescent="0.25">
      <c r="A115" s="16"/>
      <c r="B115" s="16"/>
      <c r="C115" s="16"/>
      <c r="D115" s="16"/>
      <c r="E115" s="16"/>
      <c r="F115" s="16"/>
      <c r="G115" s="16"/>
    </row>
    <row r="116" spans="1:7" x14ac:dyDescent="0.25">
      <c r="A116" s="31"/>
      <c r="B116" s="31"/>
      <c r="C116" s="31"/>
      <c r="D116" s="31"/>
      <c r="E116" s="31"/>
      <c r="F116" s="31"/>
      <c r="G116" s="16"/>
    </row>
    <row r="117" spans="1:7" x14ac:dyDescent="0.25">
      <c r="A117" s="31"/>
      <c r="B117" s="31"/>
      <c r="C117" s="31"/>
      <c r="D117" s="31"/>
      <c r="E117" s="31"/>
      <c r="F117" s="31"/>
      <c r="G117" s="16"/>
    </row>
    <row r="118" spans="1:7" ht="13.5" customHeight="1" x14ac:dyDescent="0.25">
      <c r="A118" s="31"/>
      <c r="B118" s="31"/>
      <c r="C118" s="31"/>
      <c r="D118" s="31"/>
      <c r="E118" s="31"/>
      <c r="F118" s="31"/>
      <c r="G118" s="16"/>
    </row>
    <row r="119" spans="1:7" x14ac:dyDescent="0.25">
      <c r="A119" s="31"/>
      <c r="B119" s="31"/>
      <c r="C119" s="31"/>
      <c r="D119" s="31"/>
      <c r="E119" s="31"/>
      <c r="F119" s="31"/>
      <c r="G119" s="16"/>
    </row>
    <row r="120" spans="1:7" x14ac:dyDescent="0.25">
      <c r="A120" s="31"/>
      <c r="B120" s="31"/>
      <c r="C120" s="31"/>
      <c r="D120" s="31"/>
      <c r="E120" s="31"/>
      <c r="F120" s="31"/>
      <c r="G120" s="16"/>
    </row>
    <row r="121" spans="1:7" x14ac:dyDescent="0.25">
      <c r="A121" s="31"/>
      <c r="B121" s="31"/>
      <c r="C121" s="31"/>
      <c r="D121" s="31"/>
      <c r="E121" s="31"/>
      <c r="F121" s="31"/>
      <c r="G121" s="16"/>
    </row>
    <row r="122" spans="1:7" x14ac:dyDescent="0.25">
      <c r="A122" s="31"/>
      <c r="B122" s="31"/>
      <c r="C122" s="31"/>
      <c r="D122" s="31"/>
      <c r="E122" s="31"/>
      <c r="F122" s="31"/>
      <c r="G122" s="16"/>
    </row>
    <row r="123" spans="1:7" x14ac:dyDescent="0.25">
      <c r="A123" s="31"/>
      <c r="B123" s="31"/>
      <c r="C123" s="31"/>
      <c r="D123" s="31"/>
      <c r="E123" s="31"/>
      <c r="F123" s="31"/>
      <c r="G123" s="16"/>
    </row>
    <row r="124" spans="1:7" x14ac:dyDescent="0.25">
      <c r="A124" s="31"/>
      <c r="B124" s="31"/>
      <c r="C124" s="31"/>
      <c r="D124" s="31"/>
      <c r="E124" s="31"/>
      <c r="F124" s="31"/>
      <c r="G124" s="16"/>
    </row>
    <row r="125" spans="1:7" x14ac:dyDescent="0.25">
      <c r="A125" s="31"/>
      <c r="B125" s="31"/>
      <c r="C125" s="31"/>
      <c r="D125" s="31"/>
      <c r="E125" s="31"/>
      <c r="F125" s="31"/>
      <c r="G125" s="16"/>
    </row>
    <row r="126" spans="1:7" x14ac:dyDescent="0.25">
      <c r="A126" s="31"/>
      <c r="B126" s="31"/>
      <c r="C126" s="31"/>
      <c r="D126" s="31"/>
      <c r="E126" s="31"/>
      <c r="F126" s="31"/>
      <c r="G126" s="16"/>
    </row>
    <row r="127" spans="1:7" x14ac:dyDescent="0.25">
      <c r="A127" s="31"/>
      <c r="B127" s="31"/>
      <c r="C127" s="31"/>
      <c r="D127" s="31"/>
      <c r="E127" s="31"/>
      <c r="F127" s="31"/>
      <c r="G127" s="16"/>
    </row>
    <row r="128" spans="1:7" x14ac:dyDescent="0.25">
      <c r="A128" s="31"/>
      <c r="B128" s="31"/>
      <c r="C128" s="31"/>
      <c r="D128" s="31"/>
      <c r="E128" s="31"/>
      <c r="F128" s="31"/>
      <c r="G128" s="16"/>
    </row>
    <row r="129" spans="1:6" s="16" customFormat="1" x14ac:dyDescent="0.25">
      <c r="A129" s="31"/>
      <c r="B129" s="31"/>
      <c r="C129" s="31"/>
      <c r="D129" s="31"/>
      <c r="E129" s="31"/>
      <c r="F129" s="31"/>
    </row>
    <row r="130" spans="1:6" s="16" customFormat="1" x14ac:dyDescent="0.25">
      <c r="A130" s="31"/>
      <c r="B130" s="31"/>
      <c r="C130" s="31"/>
      <c r="D130" s="31"/>
      <c r="E130" s="31"/>
      <c r="F130" s="31"/>
    </row>
    <row r="131" spans="1:6" s="16" customFormat="1" x14ac:dyDescent="0.25">
      <c r="A131" s="31"/>
      <c r="B131" s="31"/>
      <c r="C131" s="31"/>
      <c r="D131" s="31"/>
      <c r="E131" s="31"/>
      <c r="F131" s="31"/>
    </row>
    <row r="132" spans="1:6" s="16" customFormat="1" x14ac:dyDescent="0.25"/>
    <row r="133" spans="1:6" s="16" customFormat="1" x14ac:dyDescent="0.25"/>
    <row r="134" spans="1:6" s="16" customFormat="1" x14ac:dyDescent="0.25"/>
    <row r="135" spans="1:6" s="16" customFormat="1" x14ac:dyDescent="0.25"/>
    <row r="136" spans="1:6" s="16" customFormat="1" x14ac:dyDescent="0.25"/>
    <row r="137" spans="1:6" s="16" customFormat="1" x14ac:dyDescent="0.25"/>
    <row r="138" spans="1:6" s="16" customFormat="1" x14ac:dyDescent="0.25"/>
    <row r="139" spans="1:6" s="16" customFormat="1" x14ac:dyDescent="0.25"/>
    <row r="140" spans="1:6" s="16" customFormat="1" x14ac:dyDescent="0.25"/>
    <row r="141" spans="1:6" s="16" customFormat="1" x14ac:dyDescent="0.25"/>
    <row r="142" spans="1:6" s="16" customFormat="1" x14ac:dyDescent="0.25"/>
    <row r="143" spans="1:6" s="16" customFormat="1" x14ac:dyDescent="0.25"/>
    <row r="144" spans="1:6" s="16" customFormat="1" x14ac:dyDescent="0.25"/>
    <row r="145" s="16" customFormat="1" x14ac:dyDescent="0.25"/>
    <row r="146" s="16" customFormat="1" x14ac:dyDescent="0.25"/>
    <row r="147" s="16" customFormat="1" x14ac:dyDescent="0.25"/>
    <row r="148" s="16" customFormat="1" x14ac:dyDescent="0.25"/>
  </sheetData>
  <mergeCells count="5">
    <mergeCell ref="A5:G5"/>
    <mergeCell ref="B105:F105"/>
    <mergeCell ref="B107:C107"/>
    <mergeCell ref="B108:C108"/>
    <mergeCell ref="D58:D65"/>
  </mergeCells>
  <phoneticPr fontId="0" type="noConversion"/>
  <dataValidations count="1">
    <dataValidation type="list" allowBlank="1" showInputMessage="1" showErrorMessage="1" sqref="E7" xr:uid="{00000000-0002-0000-0000-000000000000}">
      <formula1>"HEAD OFFICE,KOLOLO - CONSOLIDATED,KOLOLO - BRANCH,NDEEBA - BRANCH,NDEEBA - CONSOLIDATED"</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xtractReports">
                <anchor moveWithCells="1" sizeWithCells="1">
                  <from>
                    <xdr:col>0</xdr:col>
                    <xdr:colOff>76200</xdr:colOff>
                    <xdr:row>2</xdr:row>
                    <xdr:rowOff>0</xdr:rowOff>
                  </from>
                  <to>
                    <xdr:col>3</xdr:col>
                    <xdr:colOff>76200</xdr:colOff>
                    <xdr:row>3</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pageSetUpPr fitToPage="1"/>
  </sheetPr>
  <dimension ref="A1:ALR235"/>
  <sheetViews>
    <sheetView showZeros="0" tabSelected="1" view="pageBreakPreview" topLeftCell="A132" zoomScale="80" zoomScaleNormal="100" zoomScaleSheetLayoutView="80" workbookViewId="0">
      <selection activeCell="F133" sqref="F133"/>
    </sheetView>
  </sheetViews>
  <sheetFormatPr defaultColWidth="9.109375" defaultRowHeight="13.2" x14ac:dyDescent="0.25"/>
  <cols>
    <col min="1" max="1" width="14.6640625" customWidth="1"/>
    <col min="2" max="2" width="21.6640625" customWidth="1"/>
    <col min="3" max="3" width="22" customWidth="1"/>
    <col min="4" max="4" width="14.5546875" customWidth="1"/>
    <col min="5" max="5" width="18.6640625" customWidth="1"/>
    <col min="6" max="6" width="21.33203125" style="121" customWidth="1"/>
    <col min="7" max="7" width="7.6640625" customWidth="1"/>
    <col min="8" max="8" width="23" customWidth="1"/>
    <col min="9" max="9" width="10.5546875" style="120" customWidth="1"/>
    <col min="10" max="10" width="16.6640625" style="120" customWidth="1"/>
    <col min="11" max="11" width="10.6640625" style="372" customWidth="1"/>
    <col min="12" max="12" width="16.6640625" style="120" customWidth="1"/>
    <col min="15" max="15" width="6.5546875" customWidth="1"/>
    <col min="16" max="16" width="12.5546875" customWidth="1"/>
    <col min="17" max="17" width="10.5546875" customWidth="1"/>
    <col min="20" max="20" width="2.6640625" customWidth="1"/>
  </cols>
  <sheetData>
    <row r="1" spans="1:12" x14ac:dyDescent="0.25">
      <c r="E1" s="98"/>
      <c r="I1" s="99"/>
      <c r="J1" s="99"/>
      <c r="K1" s="367"/>
      <c r="L1" s="99"/>
    </row>
    <row r="2" spans="1:12" ht="16.8" x14ac:dyDescent="0.3">
      <c r="E2" s="99"/>
      <c r="F2" s="122" t="s">
        <v>71</v>
      </c>
      <c r="I2" s="99"/>
      <c r="J2" s="99"/>
      <c r="K2" s="367"/>
      <c r="L2" s="99"/>
    </row>
    <row r="3" spans="1:12" x14ac:dyDescent="0.25">
      <c r="B3" s="47"/>
      <c r="E3" s="97"/>
      <c r="F3" s="127" t="str">
        <f>CONCATENATE("From ",FROM_DATE)</f>
        <v>From 01-11-2017</v>
      </c>
      <c r="I3" s="99"/>
      <c r="J3" s="99"/>
      <c r="K3" s="367"/>
      <c r="L3" s="99"/>
    </row>
    <row r="4" spans="1:12" ht="12" customHeight="1" x14ac:dyDescent="0.25">
      <c r="E4" s="99"/>
      <c r="F4" s="127" t="str">
        <f>CONCATENATE("To ",NM_TO_DATE)</f>
        <v>To 30-11-2017</v>
      </c>
      <c r="I4" s="99"/>
      <c r="J4" s="99"/>
      <c r="K4" s="367"/>
      <c r="L4" s="99"/>
    </row>
    <row r="5" spans="1:12" ht="12.75" customHeight="1" x14ac:dyDescent="0.25">
      <c r="E5" s="97"/>
      <c r="I5" s="99"/>
      <c r="J5" s="99"/>
      <c r="K5" s="367"/>
      <c r="L5" s="99"/>
    </row>
    <row r="6" spans="1:12" ht="13.5" customHeight="1" x14ac:dyDescent="0.25">
      <c r="E6" s="99"/>
      <c r="I6" s="99"/>
      <c r="J6" s="99"/>
      <c r="K6" s="367"/>
      <c r="L6" s="99"/>
    </row>
    <row r="7" spans="1:12" ht="14.25" customHeight="1" x14ac:dyDescent="0.25">
      <c r="E7" s="97"/>
      <c r="F7" s="123"/>
      <c r="I7" s="99"/>
      <c r="J7" s="99"/>
      <c r="K7" s="367"/>
      <c r="L7" s="99"/>
    </row>
    <row r="8" spans="1:12" ht="13.5" customHeight="1" x14ac:dyDescent="0.25">
      <c r="E8" s="99"/>
      <c r="I8" s="99"/>
      <c r="J8" s="99"/>
      <c r="K8" s="367"/>
      <c r="L8" s="99"/>
    </row>
    <row r="9" spans="1:12" ht="14.25" customHeight="1" x14ac:dyDescent="0.25">
      <c r="E9" s="101"/>
      <c r="I9" s="101"/>
      <c r="J9" s="101"/>
      <c r="K9" s="368"/>
      <c r="L9" s="101"/>
    </row>
    <row r="10" spans="1:12" s="48" customFormat="1" ht="45.75" customHeight="1" x14ac:dyDescent="0.3">
      <c r="A10" s="64" t="s">
        <v>1457</v>
      </c>
      <c r="B10" s="64" t="s">
        <v>1456</v>
      </c>
      <c r="C10" s="64"/>
      <c r="D10" s="64" t="s">
        <v>965</v>
      </c>
      <c r="E10" s="65" t="s">
        <v>64</v>
      </c>
      <c r="F10" s="65" t="s">
        <v>68</v>
      </c>
      <c r="G10" s="65" t="s">
        <v>63</v>
      </c>
      <c r="H10" s="65" t="s">
        <v>2255</v>
      </c>
      <c r="I10" s="65" t="s">
        <v>1235</v>
      </c>
      <c r="J10" s="65" t="s">
        <v>1234</v>
      </c>
      <c r="K10" s="369" t="s">
        <v>1241</v>
      </c>
      <c r="L10" s="65" t="s">
        <v>1236</v>
      </c>
    </row>
    <row r="11" spans="1:12" s="48" customFormat="1" ht="15" customHeight="1" x14ac:dyDescent="0.25">
      <c r="A11" s="849" t="s">
        <v>1461</v>
      </c>
      <c r="B11" s="850" t="s">
        <v>968</v>
      </c>
      <c r="C11" s="335" t="str">
        <f t="array" ref="C11">IFERROR(INDEX('C'!$C$1:$C$2479, SMALL(IF($B$11 = 'C'!$A$1:$A$2479, ROW('C'!$A$1:$A$2479) -
ROW('C'!$A$2) + 2), ROW(1:1))),"")</f>
        <v>FDAGIRU</v>
      </c>
      <c r="D11" s="49" t="str">
        <f t="array" ref="D11">IFERROR(INDEX('C'!$B$1:$B$2479, SMALL(IF($B$11 = 'C'!$A$1:$A$2479, ROW('C'!$A$1:$A$2479) -
ROW('C'!$A$2) + 2), ROW(1:1))),"")</f>
        <v>SME</v>
      </c>
      <c r="E11" s="95">
        <f t="shared" ref="E11:E31" si="0">F11/$F$219</f>
        <v>0</v>
      </c>
      <c r="F11" s="92">
        <f>SUMIF(Data!$N$2:$N$998,Disbursement!C11,Data!$D$2:$D$998)</f>
        <v>0</v>
      </c>
      <c r="G11" s="49">
        <f>IF(C11="",0,COUNTIF(Data!$N$2:$N$998,C11))</f>
        <v>0</v>
      </c>
      <c r="H11" s="49" t="str">
        <f>IF(C11="",0,CONCATENATE(COUNTIFS(Data!$N$2:$N$998,C11,Data!$O$2:$O$998,"New *")," New",", ",COUNTIFS(Data!$N$2:$N$998,C11,Data!$O$2:$O$998,"Repeat *")," Repeat"))</f>
        <v>0 New, 0 Repeat</v>
      </c>
      <c r="I11" s="128">
        <f>IF(OR(C11="DCOLLECTOR",C11="SAF2000",C11=""),"",VLOOKUP($C11,'C'!$C$1:$D$2479,2,FALSE))</f>
        <v>15</v>
      </c>
      <c r="J11" s="129">
        <f>IF(OR(C11="DCOLLECTOR",C11="SAF2000",C11=""),"",VLOOKUP($C11,'C'!$C$1:$E$2479,3,FALSE))</f>
        <v>100000000</v>
      </c>
      <c r="K11" s="130">
        <f>IFERROR(IF(I11="",0,(G11)/I11),"")</f>
        <v>0</v>
      </c>
      <c r="L11" s="131">
        <f>IFERROR(IF(J11="","",F11/J11),"")</f>
        <v>0</v>
      </c>
    </row>
    <row r="12" spans="1:12" s="48" customFormat="1" ht="15" customHeight="1" x14ac:dyDescent="0.25">
      <c r="A12" s="842"/>
      <c r="B12" s="848"/>
      <c r="C12" s="335" t="str">
        <f t="array" ref="C12">IFERROR(INDEX('C'!$C$1:$C$2479, SMALL(IF($B$11 = 'C'!$A$1:$A$2479, ROW('C'!$A$1:$A$2479) -
ROW('C'!$A$2) + 2), ROW(2:2))),"")</f>
        <v>ENABBOSA</v>
      </c>
      <c r="D12" s="49" t="str">
        <f t="array" ref="D12">IFERROR(INDEX('C'!$B$1:$B$2479, SMALL(IF($B$11 = 'C'!$A$1:$A$2479, ROW('C'!$A$1:$A$2479) -
ROW('C'!$A$2) + 2), ROW(2:2))),"")</f>
        <v>SME</v>
      </c>
      <c r="E12" s="348">
        <f t="shared" si="0"/>
        <v>0</v>
      </c>
      <c r="F12" s="92">
        <f>SUMIF(Data!$N$2:$N$998,Disbursement!C12,Data!$D$2:$D$998)</f>
        <v>0</v>
      </c>
      <c r="G12" s="347">
        <f>IF(C12="",0,COUNTIF(Data!$N$2:$N$998,C12))</f>
        <v>0</v>
      </c>
      <c r="H12" s="49" t="str">
        <f>IF(C12="",0,CONCATENATE(COUNTIFS(Data!$N$2:$N$998,C12,Data!$O$2:$O$998,"New *")," New",", ",COUNTIFS(Data!$N$2:$N$998,C12,Data!$O$2:$O$998,"Repeat *")," Repeat"))</f>
        <v>0 New, 0 Repeat</v>
      </c>
      <c r="I12" s="347">
        <f>IF(OR(C12="DCOLLECTOR",C12="SAF2000",C12=""),"",VLOOKUP($C12,'C'!$C$1:$D$2479,2,FALSE))</f>
        <v>15</v>
      </c>
      <c r="J12" s="349">
        <f>IF(OR(C12="DCOLLECTOR",C12="SAF2000",C12=""),"",VLOOKUP($C12,'C'!$C$1:$E$2479,3,FALSE))</f>
        <v>100000000</v>
      </c>
      <c r="K12" s="130">
        <f t="shared" ref="K12:K31" si="1">IFERROR(IF(I12="",0,(G12)/I12),"")</f>
        <v>0</v>
      </c>
      <c r="L12" s="131">
        <f t="shared" ref="L12:L31" si="2">IFERROR(IF(J12="","",F12/J12),"")</f>
        <v>0</v>
      </c>
    </row>
    <row r="13" spans="1:12" s="48" customFormat="1" ht="14.25" customHeight="1" x14ac:dyDescent="0.25">
      <c r="A13" s="842"/>
      <c r="B13" s="848"/>
      <c r="C13" s="335" t="str">
        <f t="array" ref="C13">IFERROR(INDEX('C'!$C$1:$C$2479, SMALL(IF($B$11 = 'C'!$A$1:$A$2479, ROW('C'!$A$1:$A$2479) -
ROW('C'!$A$2) + 2), ROW(3:3))),"")</f>
        <v>SNYUNGWE</v>
      </c>
      <c r="D13" s="347" t="str">
        <f t="array" ref="D13">IFERROR(INDEX('C'!$B$1:$B$2479, SMALL(IF($B$11 = 'C'!$A$1:$A$2479, ROW('C'!$A$1:$A$2479) -
ROW('C'!$A$2) + 2), ROW(3:3))),"")</f>
        <v>WTM</v>
      </c>
      <c r="E13" s="95">
        <f t="shared" si="0"/>
        <v>0.11018831816450808</v>
      </c>
      <c r="F13" s="92">
        <f>SUMIF(Data!$N$2:$N$998,Disbursement!C13,Data!$D$2:$D$998)</f>
        <v>19500000</v>
      </c>
      <c r="G13" s="49">
        <f>IF(C13="",0,COUNTIF(Data!$N$2:$N$998,C13))</f>
        <v>3</v>
      </c>
      <c r="H13" s="49" t="str">
        <f>IF(C13="",0,CONCATENATE(COUNTIFS(Data!$N$2:$N$998,C13,Data!$O$2:$O$998,"New *")," New",", ",COUNTIFS(Data!$N$2:$N$998,C13,Data!$O$2:$O$998,"Repeat *")," Repeat"))</f>
        <v>0 New, 3 Repeat</v>
      </c>
      <c r="I13" s="128">
        <f>IF(OR(C13="DCOLLECTOR",C13="SAF2000",C13=""),"",VLOOKUP($C13,'C'!$C$1:$D$2479,2,FALSE))</f>
        <v>15</v>
      </c>
      <c r="J13" s="129">
        <f>IF(OR(C13="DCOLLECTOR",C13="SAF2000",C13=""),"",VLOOKUP($C13,'C'!$C$1:$E$2479,3,FALSE))</f>
        <v>100000000</v>
      </c>
      <c r="K13" s="130">
        <f t="shared" si="1"/>
        <v>0.2</v>
      </c>
      <c r="L13" s="131">
        <f t="shared" si="2"/>
        <v>0.19500000000000001</v>
      </c>
    </row>
    <row r="14" spans="1:12" s="48" customFormat="1" ht="14.25" customHeight="1" x14ac:dyDescent="0.25">
      <c r="A14" s="842"/>
      <c r="B14" s="848"/>
      <c r="C14" s="335" t="str">
        <f t="array" ref="C14">IFERROR(INDEX('C'!$C$1:$C$2479, SMALL(IF($B$11 = 'C'!$A$1:$A$2479, ROW('C'!$A$1:$A$2479) -
ROW('C'!$A$2) + 2), ROW(4:4))),"")</f>
        <v>IKIRAGGA</v>
      </c>
      <c r="D14" s="347" t="str">
        <f t="array" ref="D14">IFERROR(INDEX('C'!$B$1:$B$2479, SMALL(IF($B$11 = 'C'!$A$1:$A$2479, ROW('C'!$A$1:$A$2479) -
ROW('C'!$A$2) + 2), ROW(4:4))),"")</f>
        <v>WTM</v>
      </c>
      <c r="E14" s="95">
        <f t="shared" si="0"/>
        <v>3.390409789677172E-2</v>
      </c>
      <c r="F14" s="92">
        <f>SUMIF(Data!$N$2:$N$998,Disbursement!C14,Data!$D$2:$D$998)</f>
        <v>6000000</v>
      </c>
      <c r="G14" s="49">
        <f>IF(C14="",0,COUNTIF(Data!$N$2:$N$998,C14))</f>
        <v>1</v>
      </c>
      <c r="H14" s="49" t="str">
        <f>IF(C14="",0,CONCATENATE(COUNTIFS(Data!$N$2:$N$998,C14,Data!$O$2:$O$998,"New *")," New",", ",COUNTIFS(Data!$N$2:$N$998,C14,Data!$O$2:$O$998,"Repeat *")," Repeat"))</f>
        <v>1 New, 0 Repeat</v>
      </c>
      <c r="I14" s="128">
        <f>IF(OR(C14="DCOLLECTOR",C14="SAF2000",C14=""),"",VLOOKUP($C14,'C'!$C$1:$D$2479,2,FALSE))</f>
        <v>10</v>
      </c>
      <c r="J14" s="129">
        <f>IF(OR(C14="DCOLLECTOR",C14="SAF2000",C14=""),"",VLOOKUP($C14,'C'!$C$1:$E$2479,3,FALSE))</f>
        <v>85000000</v>
      </c>
      <c r="K14" s="130">
        <f t="shared" si="1"/>
        <v>0.1</v>
      </c>
      <c r="L14" s="131">
        <f t="shared" si="2"/>
        <v>7.0588235294117646E-2</v>
      </c>
    </row>
    <row r="15" spans="1:12" s="48" customFormat="1" ht="15" customHeight="1" thickBot="1" x14ac:dyDescent="0.3">
      <c r="A15" s="842"/>
      <c r="B15" s="848"/>
      <c r="C15" s="335" t="str">
        <f t="array" ref="C15">IFERROR(INDEX('C'!$C$1:$C$2479, SMALL(IF($B$11 = 'C'!$A$1:$A$2479, ROW('C'!$A$1:$A$2479) -
ROW('C'!$A$2) + 2), ROW(5:5))),"")</f>
        <v>IKAJABAGO</v>
      </c>
      <c r="D15" s="347" t="str">
        <f t="array" ref="D15">IFERROR(INDEX('C'!$B$1:$B$2479, SMALL(IF($B$11 = 'C'!$A$1:$A$2479, ROW('C'!$A$1:$A$2479) -
ROW('C'!$A$2) + 2), ROW(5:5))),"")</f>
        <v>WTM</v>
      </c>
      <c r="E15" s="95">
        <f t="shared" si="0"/>
        <v>0</v>
      </c>
      <c r="F15" s="92">
        <f>SUMIF(Data!$N$2:$N$998,Disbursement!C15,Data!$D$2:$D$998)</f>
        <v>0</v>
      </c>
      <c r="G15" s="49">
        <f>IF(C15="",0,COUNTIF(Data!$N$2:$N$998,C15))</f>
        <v>0</v>
      </c>
      <c r="H15" s="49" t="str">
        <f>IF(C15="",0,CONCATENATE(COUNTIFS(Data!$N$2:$N$998,C15,Data!$O$2:$O$998,"New *")," New",", ",COUNTIFS(Data!$N$2:$N$998,C15,Data!$O$2:$O$998,"Repeat *")," Repeat"))</f>
        <v>0 New, 0 Repeat</v>
      </c>
      <c r="I15" s="128">
        <f>IF(OR(C15="DCOLLECTOR",C15="SAF2000",C15=""),"",VLOOKUP($C15,'C'!$C$1:$D$2479,2,FALSE))</f>
        <v>10</v>
      </c>
      <c r="J15" s="129">
        <f>IF(OR(C15="DCOLLECTOR",C15="SAF2000",C15=""),"",VLOOKUP($C15,'C'!$C$1:$E$2479,3,FALSE))</f>
        <v>85000000</v>
      </c>
      <c r="K15" s="130">
        <f t="shared" si="1"/>
        <v>0</v>
      </c>
      <c r="L15" s="131">
        <f t="shared" si="2"/>
        <v>0</v>
      </c>
    </row>
    <row r="16" spans="1:12" s="712" customFormat="1" ht="15" hidden="1" x14ac:dyDescent="0.25">
      <c r="A16" s="842"/>
      <c r="B16" s="848"/>
      <c r="C16" s="335" t="str">
        <f t="array" ref="C16">IFERROR(INDEX('C'!$C$1:$C$2479, SMALL(IF($B$11 = 'C'!$A$1:$A$2479, ROW('C'!$A$1:$A$2479) -
ROW('C'!$A$2) + 2), ROW(6:6))),"")</f>
        <v/>
      </c>
      <c r="D16" s="128"/>
      <c r="E16" s="229">
        <f t="shared" si="0"/>
        <v>0</v>
      </c>
      <c r="F16" s="231">
        <f>SUMIF(Data!$N$2:$N$998,Disbursement!C16,Data!$D$2:$D$998)</f>
        <v>0</v>
      </c>
      <c r="G16" s="128">
        <f>IF(C16="",0,COUNTIF(Data!$N$2:$N$998,C16))</f>
        <v>0</v>
      </c>
      <c r="H16" s="128">
        <f>IF(C16="",0,CONCATENATE(COUNTIFS(Data!$N$2:$N$998,C16,Data!$O$2:$O$998,"New *")," New",", ",COUNTIFS(Data!$N$2:$N$998,C16,Data!$O$2:$O$998,"Repeat *")," Repeat"))</f>
        <v>0</v>
      </c>
      <c r="I16" s="128" t="str">
        <f>IF(OR(C16="DCOLLECTOR",C16="SAF2000",C16=""),"",VLOOKUP($C16,'C'!$C$1:$D$2479,2,FALSE))</f>
        <v/>
      </c>
      <c r="J16" s="129" t="str">
        <f>IF(OR(C16="DCOLLECTOR",C16="SAF2000",C16=""),"",VLOOKUP($C16,'C'!$C$1:$E$2479,3,FALSE))</f>
        <v/>
      </c>
      <c r="K16" s="130">
        <f t="shared" si="1"/>
        <v>0</v>
      </c>
      <c r="L16" s="131" t="str">
        <f t="shared" si="2"/>
        <v/>
      </c>
    </row>
    <row r="17" spans="1:892" s="48" customFormat="1" ht="15" hidden="1" customHeight="1" x14ac:dyDescent="0.25">
      <c r="A17" s="842"/>
      <c r="B17" s="848"/>
      <c r="C17" s="335" t="str">
        <f t="array" ref="C17">IFERROR(INDEX('C'!$C$1:$C$2479, SMALL(IF($B$11 = 'C'!$A$1:$A$2479, ROW('C'!$A$1:$A$2479) -
ROW('C'!$A$2) + 2), ROW(7:7))),"")</f>
        <v/>
      </c>
      <c r="D17" s="49" t="str">
        <f t="array" ref="D17">IFERROR(INDEX('C'!$B$1:$B$2479, SMALL(IF($B$11 = 'C'!$A$1:$A$2479, ROW('C'!$A$1:$A$2479) -
ROW('C'!$A$2) + 2), ROW(8:8))),"")</f>
        <v/>
      </c>
      <c r="E17" s="95">
        <f t="shared" si="0"/>
        <v>0</v>
      </c>
      <c r="F17" s="92">
        <f>SUMIF(Data!$N$2:$N$998,Disbursement!C17,Data!$D$2:$D$998)</f>
        <v>0</v>
      </c>
      <c r="G17" s="49">
        <f>IF(C17="",0,COUNTIF(Data!$N$2:$N$998,C17))</f>
        <v>0</v>
      </c>
      <c r="H17" s="49">
        <f>IF(C17="",0,CONCATENATE(COUNTIFS(Data!$N$2:$N$998,C17,Data!$O$2:$O$998,"New *")," New",", ",COUNTIFS(Data!$N$2:$N$998,C17,Data!$O$2:$O$998,"Repeat *")," Repeat"))</f>
        <v>0</v>
      </c>
      <c r="I17" s="128" t="str">
        <f>IF(OR(C17="DCOLLECTOR",C17="SAF2000",C17=""),"",VLOOKUP($C17,'C'!$C$1:$D$2479,2,FALSE))</f>
        <v/>
      </c>
      <c r="J17" s="129" t="str">
        <f>IF(OR(C17="DCOLLECTOR",C17="SAF2000",C17=""),"",VLOOKUP($C17,'C'!$C$1:$E$2479,3,FALSE))</f>
        <v/>
      </c>
      <c r="K17" s="130">
        <f t="shared" si="1"/>
        <v>0</v>
      </c>
      <c r="L17" s="131" t="str">
        <f t="shared" si="2"/>
        <v/>
      </c>
    </row>
    <row r="18" spans="1:892" s="48" customFormat="1" ht="2.25" hidden="1" customHeight="1" thickBot="1" x14ac:dyDescent="0.3">
      <c r="A18" s="842"/>
      <c r="B18" s="848"/>
      <c r="C18" s="335" t="str">
        <f t="array" ref="C18">IFERROR(INDEX('C'!$C$1:$C$2479, SMALL(IF($B$11 = 'C'!$A$1:$A$2479, ROW('C'!$A$1:$A$2479) -
ROW('C'!$A$2) + 2), ROW(8:8))),"")</f>
        <v/>
      </c>
      <c r="D18" s="49" t="str">
        <f t="array" ref="D18">IFERROR(INDEX('C'!$B$1:$B$2479, SMALL(IF($B$11 = 'C'!$A$1:$A$2479, ROW('C'!$A$1:$A$2479) -
ROW('C'!$A$2) + 2), ROW(9:9))),"")</f>
        <v/>
      </c>
      <c r="E18" s="95">
        <f t="shared" si="0"/>
        <v>0</v>
      </c>
      <c r="F18" s="92">
        <f>SUMIF(Data!$N$2:$N$998,Disbursement!C18,Data!$D$2:$D$998)</f>
        <v>0</v>
      </c>
      <c r="G18" s="49">
        <f>IF(C18="",0,COUNTIF(Data!$N$2:$N$998,C18))</f>
        <v>0</v>
      </c>
      <c r="H18" s="49">
        <f>IF(C18="",0,CONCATENATE(COUNTIFS(Data!$N$2:$N$998,C18,Data!$O$2:$O$998,"New *")," New",", ",COUNTIFS(Data!$N$2:$N$998,C18,Data!$O$2:$O$998,"Repeat *")," Repeat"))</f>
        <v>0</v>
      </c>
      <c r="I18" s="128" t="str">
        <f>IF(OR(C18="DCOLLECTOR",C18="SAF2000",C18=""),"",VLOOKUP($C18,'C'!$C$1:$D$2479,2,FALSE))</f>
        <v/>
      </c>
      <c r="J18" s="129" t="str">
        <f>IF(OR(C18="DCOLLECTOR",C18="SAF2000",C18=""),"",VLOOKUP($C18,'C'!$C$1:$E$2479,3,FALSE))</f>
        <v/>
      </c>
      <c r="K18" s="130">
        <f t="shared" si="1"/>
        <v>0</v>
      </c>
      <c r="L18" s="131" t="str">
        <f t="shared" si="2"/>
        <v/>
      </c>
    </row>
    <row r="19" spans="1:892" s="48" customFormat="1" ht="15" hidden="1" x14ac:dyDescent="0.25">
      <c r="A19" s="842"/>
      <c r="B19" s="848"/>
      <c r="C19" s="335" t="str">
        <f t="array" ref="C19">IFERROR(INDEX('C'!$C$1:$C$2479, SMALL(IF($B$11 = 'C'!$A$1:$A$2479, ROW('C'!$A$1:$A$2479) -
ROW('C'!$A$2) + 2), ROW(9:9))),"")</f>
        <v/>
      </c>
      <c r="D19" s="49" t="str">
        <f t="array" ref="D19">IFERROR(INDEX('C'!$B$1:$B$2479, SMALL(IF($B$11 = 'C'!$A$1:$A$2479, ROW('C'!$A$1:$A$2479) -
ROW('C'!$A$2) + 2), ROW(10:10))),"")</f>
        <v/>
      </c>
      <c r="E19" s="95">
        <f t="shared" si="0"/>
        <v>0</v>
      </c>
      <c r="F19" s="92">
        <f>SUMIF(Data!$N$2:$N$998,Disbursement!C19,Data!$D$2:$D$998)</f>
        <v>0</v>
      </c>
      <c r="G19" s="49">
        <f>IF(C19="",0,COUNTIF(Data!$N$2:$N$998,C19))</f>
        <v>0</v>
      </c>
      <c r="H19" s="49">
        <f>IF(C19="",0,CONCATENATE(COUNTIFS(Data!$N$2:$N$998,C19,Data!$O$2:$O$998,"New *")," New",", ",COUNTIFS(Data!$N$2:$N$998,C19,Data!$O$2:$O$998,"Repeat *")," Repeat"))</f>
        <v>0</v>
      </c>
      <c r="I19" s="128" t="str">
        <f>IF(OR(C19="DCOLLECTOR",C19="SAF2000",C19=""),"",VLOOKUP($C19,'C'!$C$1:$D$2479,2,FALSE))</f>
        <v/>
      </c>
      <c r="J19" s="129" t="str">
        <f>IF(OR(C19="DCOLLECTOR",C19="SAF2000",C19=""),"",VLOOKUP($C19,'C'!$C$1:$E$2479,3,FALSE))</f>
        <v/>
      </c>
      <c r="K19" s="130">
        <f t="shared" si="1"/>
        <v>0</v>
      </c>
      <c r="L19" s="131" t="str">
        <f t="shared" si="2"/>
        <v/>
      </c>
    </row>
    <row r="20" spans="1:892" s="48" customFormat="1" ht="15" hidden="1" x14ac:dyDescent="0.25">
      <c r="A20" s="842"/>
      <c r="B20" s="848"/>
      <c r="C20" s="335" t="str">
        <f t="array" ref="C20">IFERROR(INDEX('C'!$C$1:$C$2479, SMALL(IF($B$11 = 'C'!$A$1:$A$2479, ROW('C'!$A$1:$A$2479) -
ROW('C'!$A$2) + 2), ROW(10:10))),"")</f>
        <v/>
      </c>
      <c r="D20" s="49" t="str">
        <f t="array" ref="D20">IFERROR(INDEX('C'!$B$1:$B$2479, SMALL(IF($B$11 = 'C'!$A$1:$A$2479, ROW('C'!$A$1:$A$2479) -
ROW('C'!$A$2) + 2), ROW(11:11))),"")</f>
        <v/>
      </c>
      <c r="E20" s="95">
        <f t="shared" si="0"/>
        <v>0</v>
      </c>
      <c r="F20" s="92">
        <f>SUMIF(Data!$N$2:$N$998,Disbursement!C20,Data!$D$2:$D$998)</f>
        <v>0</v>
      </c>
      <c r="G20" s="49">
        <f>IF(C20="",0,COUNTIF(Data!$N$2:$N$998,C20))</f>
        <v>0</v>
      </c>
      <c r="H20" s="49">
        <f>IF(C20="",0,CONCATENATE(COUNTIFS(Data!$N$2:$N$998,C20,Data!$O$2:$O$998,"New *")," New",", ",COUNTIFS(Data!$N$2:$N$998,C20,Data!$O$2:$O$998,"Repeat *")," Repeat"))</f>
        <v>0</v>
      </c>
      <c r="I20" s="128" t="str">
        <f>IF(OR(C20="DCOLLECTOR",C20="SAF2000",C20=""),"",VLOOKUP($C20,'C'!$C$1:$D$2479,2,FALSE))</f>
        <v/>
      </c>
      <c r="J20" s="129" t="str">
        <f>IF(OR(C20="DCOLLECTOR",C20="SAF2000",C20=""),"",VLOOKUP($C20,'C'!$C$1:$E$2479,3,FALSE))</f>
        <v/>
      </c>
      <c r="K20" s="130">
        <f t="shared" si="1"/>
        <v>0</v>
      </c>
      <c r="L20" s="131" t="str">
        <f t="shared" si="2"/>
        <v/>
      </c>
    </row>
    <row r="21" spans="1:892" s="48" customFormat="1" ht="15" hidden="1" x14ac:dyDescent="0.25">
      <c r="A21" s="842"/>
      <c r="B21" s="848"/>
      <c r="C21" s="335" t="str">
        <f t="array" ref="C21">IFERROR(INDEX('C'!$C$1:$C$2479, SMALL(IF($B$11 = 'C'!$A$1:$A$2479, ROW('C'!$A$1:$A$2479) -
ROW('C'!$A$2) + 2), ROW(11:11))),"")</f>
        <v/>
      </c>
      <c r="D21" s="49" t="str">
        <f t="array" ref="D21">IFERROR(INDEX('C'!$B$1:$B$2479, SMALL(IF($B$11 = 'C'!$A$1:$A$2479, ROW('C'!$A$1:$A$2479) -
ROW('C'!$A$2) + 2), ROW(12:12))),"")</f>
        <v/>
      </c>
      <c r="E21" s="95">
        <f t="shared" si="0"/>
        <v>0</v>
      </c>
      <c r="F21" s="92">
        <f>SUMIF(Data!$N$2:$N$998,Disbursement!C21,Data!$D$2:$D$998)</f>
        <v>0</v>
      </c>
      <c r="G21" s="49">
        <f>IF(C21="",0,COUNTIF(Data!$N$2:$N$998,C21))</f>
        <v>0</v>
      </c>
      <c r="H21" s="49">
        <f>IF(C21="",0,CONCATENATE(COUNTIFS(Data!$N$2:$N$998,C21,Data!$O$2:$O$998,"New *")," New",", ",COUNTIFS(Data!$N$2:$N$998,C21,Data!$O$2:$O$998,"Repeat *")," Repeat"))</f>
        <v>0</v>
      </c>
      <c r="I21" s="128" t="str">
        <f>IF(OR(C21="DCOLLECTOR",C21="SAF2000",C21=""),"",VLOOKUP($C21,'C'!$C$1:$D$2479,2,FALSE))</f>
        <v/>
      </c>
      <c r="J21" s="129" t="str">
        <f>IF(OR(C21="DCOLLECTOR",C21="SAF2000",C21=""),"",VLOOKUP($C21,'C'!$C$1:$E$2479,3,FALSE))</f>
        <v/>
      </c>
      <c r="K21" s="130">
        <f t="shared" si="1"/>
        <v>0</v>
      </c>
      <c r="L21" s="131" t="str">
        <f t="shared" si="2"/>
        <v/>
      </c>
    </row>
    <row r="22" spans="1:892" s="48" customFormat="1" ht="15" hidden="1" x14ac:dyDescent="0.25">
      <c r="A22" s="842"/>
      <c r="B22" s="848"/>
      <c r="C22" s="335" t="str">
        <f t="array" ref="C22">IFERROR(INDEX('C'!$C$1:$C$2479, SMALL(IF($B$11 = 'C'!$A$1:$A$2479, ROW('C'!$A$1:$A$2479) -
ROW('C'!$A$2) + 2), ROW(12:12))),"")</f>
        <v/>
      </c>
      <c r="D22" s="49" t="str">
        <f t="array" ref="D22">IFERROR(INDEX('C'!$B$1:$B$2479, SMALL(IF($B$11 = 'C'!$A$1:$A$2479, ROW('C'!$A$1:$A$2479) -
ROW('C'!$A$2) + 2), ROW(#REF!))),"")</f>
        <v/>
      </c>
      <c r="E22" s="95">
        <f t="shared" si="0"/>
        <v>0</v>
      </c>
      <c r="F22" s="92">
        <f>SUMIF(Data!$N$2:$N$998,Disbursement!C22,Data!$D$2:$D$998)</f>
        <v>0</v>
      </c>
      <c r="G22" s="49">
        <f>IF(C22="",0,COUNTIF(Data!$N$2:$N$998,C22))</f>
        <v>0</v>
      </c>
      <c r="H22" s="49">
        <f>IF(C22="",0,CONCATENATE(COUNTIFS(Data!$N$2:$N$998,C22,Data!$O$2:$O$998,"New *")," New",", ",COUNTIFS(Data!$N$2:$N$998,C22,Data!$O$2:$O$998,"Repeat *")," Repeat"))</f>
        <v>0</v>
      </c>
      <c r="I22" s="128" t="str">
        <f>IF(OR(C22="DCOLLECTOR",C22="SAF2000",C22=""),"",VLOOKUP($C22,'C'!$C$1:$D$2479,2,FALSE))</f>
        <v/>
      </c>
      <c r="J22" s="129" t="str">
        <f>IF(OR(C22="DCOLLECTOR",C22="SAF2000",C22=""),"",VLOOKUP($C22,'C'!$C$1:$E$2479,3,FALSE))</f>
        <v/>
      </c>
      <c r="K22" s="130">
        <f t="shared" si="1"/>
        <v>0</v>
      </c>
      <c r="L22" s="131" t="str">
        <f t="shared" si="2"/>
        <v/>
      </c>
    </row>
    <row r="23" spans="1:892" s="48" customFormat="1" ht="15" hidden="1" x14ac:dyDescent="0.25">
      <c r="A23" s="842"/>
      <c r="B23" s="848"/>
      <c r="C23" s="335" t="str">
        <f t="array" ref="C23">IFERROR(INDEX('C'!$C$1:$C$2479, SMALL(IF($B$11 = 'C'!$A$1:$A$2479, ROW('C'!$A$1:$A$2479) -
ROW('C'!$A$2) + 2), ROW(13:13))),"")</f>
        <v/>
      </c>
      <c r="D23" s="49" t="str">
        <f t="array" ref="D23">IFERROR(INDEX('C'!$B$1:$B$2479, SMALL(IF($B$11 = 'C'!$A$1:$A$2479, ROW('C'!$A$1:$A$2479) -
ROW('C'!$A$2) + 2), ROW(13:13))),"")</f>
        <v/>
      </c>
      <c r="E23" s="95">
        <f t="shared" si="0"/>
        <v>0</v>
      </c>
      <c r="F23" s="92">
        <f>SUMIF(Data!$N$2:$N$998,Disbursement!C23,Data!$D$2:$D$998)</f>
        <v>0</v>
      </c>
      <c r="G23" s="49">
        <f>IF(C23="",0,COUNTIF(Data!$N$2:$N$998,C23))</f>
        <v>0</v>
      </c>
      <c r="H23" s="49">
        <f>IF(C23="",0,CONCATENATE(COUNTIFS(Data!$N$2:$N$998,C23,Data!$O$2:$O$998,"New *")," New",", ",COUNTIFS(Data!$N$2:$N$998,C23,Data!$O$2:$O$998,"Repeat *")," Repeat"))</f>
        <v>0</v>
      </c>
      <c r="I23" s="128" t="str">
        <f>IF(OR(C23="DCOLLECTOR",C23="SAF2000",C23=""),"",VLOOKUP($C23,'C'!$C$1:$D$2479,2,FALSE))</f>
        <v/>
      </c>
      <c r="J23" s="129" t="str">
        <f>IF(OR(C23="DCOLLECTOR",C23="SAF2000",C23=""),"",VLOOKUP($C23,'C'!$C$1:$E$2479,3,FALSE))</f>
        <v/>
      </c>
      <c r="K23" s="130">
        <f t="shared" si="1"/>
        <v>0</v>
      </c>
      <c r="L23" s="131" t="str">
        <f t="shared" si="2"/>
        <v/>
      </c>
    </row>
    <row r="24" spans="1:892" s="48" customFormat="1" ht="15" hidden="1" x14ac:dyDescent="0.25">
      <c r="A24" s="842"/>
      <c r="B24" s="848"/>
      <c r="C24" s="335" t="str">
        <f t="array" ref="C24">IFERROR(INDEX('C'!$C$1:$C$2479, SMALL(IF($B$11 = 'C'!$A$1:$A$2479, ROW('C'!$A$1:$A$2479) -
ROW('C'!$A$2) + 2), ROW(14:14))),"")</f>
        <v/>
      </c>
      <c r="D24" s="49" t="str">
        <f t="array" ref="D24">IFERROR(INDEX('C'!$B$1:$B$2479, SMALL(IF($B$11 = 'C'!$A$1:$A$2479, ROW('C'!$A$1:$A$2479) -
ROW('C'!$A$2) + 2), ROW(14:14))),"")</f>
        <v/>
      </c>
      <c r="E24" s="95">
        <f t="shared" si="0"/>
        <v>0</v>
      </c>
      <c r="F24" s="92">
        <f>SUMIF(Data!$N$2:$N$998,Disbursement!C24,Data!$D$2:$D$998)</f>
        <v>0</v>
      </c>
      <c r="G24" s="49">
        <f>IF(C24="",0,COUNTIF(Data!$N$2:$N$998,C24))</f>
        <v>0</v>
      </c>
      <c r="H24" s="49">
        <f>IF(C24="",0,CONCATENATE(COUNTIFS(Data!$N$2:$N$998,C24,Data!$O$2:$O$998,"New *")," New",", ",COUNTIFS(Data!$N$2:$N$998,C24,Data!$O$2:$O$998,"Repeat *")," Repeat"))</f>
        <v>0</v>
      </c>
      <c r="I24" s="128" t="str">
        <f>IF(OR(C24="DCOLLECTOR",C24="SAF2000",C24=""),"",VLOOKUP($C24,'C'!$C$1:$D$2479,2,FALSE))</f>
        <v/>
      </c>
      <c r="J24" s="129" t="str">
        <f>IF(OR(C24="DCOLLECTOR",C24="SAF2000",C24=""),"",VLOOKUP($C24,'C'!$C$1:$E$2479,3,FALSE))</f>
        <v/>
      </c>
      <c r="K24" s="130">
        <f t="shared" si="1"/>
        <v>0</v>
      </c>
      <c r="L24" s="131" t="str">
        <f t="shared" si="2"/>
        <v/>
      </c>
    </row>
    <row r="25" spans="1:892" s="48" customFormat="1" ht="6" hidden="1" customHeight="1" x14ac:dyDescent="0.25">
      <c r="A25" s="842"/>
      <c r="B25" s="848"/>
      <c r="C25" s="335" t="str">
        <f t="array" ref="C25">IFERROR(INDEX('C'!$C$1:$C$2479, SMALL(IF($B$11 = 'C'!$A$1:$A$2479, ROW('C'!$A$1:$A$2479) -
ROW('C'!$A$2) + 2), ROW(15:15))),"")</f>
        <v/>
      </c>
      <c r="D25" s="49" t="str">
        <f t="array" ref="D25">IFERROR(INDEX('C'!$B$1:$B$2479, SMALL(IF($B$11 = 'C'!$A$1:$A$2479, ROW('C'!$A$1:$A$2479) -
ROW('C'!$A$2) + 2), ROW(15:15))),"")</f>
        <v/>
      </c>
      <c r="E25" s="95">
        <f t="shared" si="0"/>
        <v>0</v>
      </c>
      <c r="F25" s="92">
        <f>SUMIF(Data!$N$2:$N$998,Disbursement!C25,Data!$D$2:$D$998)</f>
        <v>0</v>
      </c>
      <c r="G25" s="49">
        <f>IF(C25="",0,COUNTIF(Data!$N$2:$N$998,C25))</f>
        <v>0</v>
      </c>
      <c r="H25" s="49">
        <f>IF(C25="",0,CONCATENATE(COUNTIFS(Data!$N$2:$N$998,C25,Data!$O$2:$O$998,"New *")," New",", ",COUNTIFS(Data!$N$2:$N$998,C25,Data!$O$2:$O$998,"Repeat *")," Repeat"))</f>
        <v>0</v>
      </c>
      <c r="I25" s="128" t="str">
        <f>IF(OR(C25="DCOLLECTOR",C25="SAF2000",C25=""),"",VLOOKUP($C25,'C'!$C$1:$D$2479,2,FALSE))</f>
        <v/>
      </c>
      <c r="J25" s="129" t="str">
        <f>IF(OR(C25="DCOLLECTOR",C25="SAF2000",C25=""),"",VLOOKUP($C25,'C'!$C$1:$E$2479,3,FALSE))</f>
        <v/>
      </c>
      <c r="K25" s="130">
        <f t="shared" si="1"/>
        <v>0</v>
      </c>
      <c r="L25" s="131" t="str">
        <f t="shared" si="2"/>
        <v/>
      </c>
    </row>
    <row r="26" spans="1:892" s="48" customFormat="1" ht="9.75" hidden="1" customHeight="1" x14ac:dyDescent="0.25">
      <c r="A26" s="842"/>
      <c r="B26" s="848"/>
      <c r="C26" s="335" t="str">
        <f t="array" ref="C26">IFERROR(INDEX('C'!$C$1:$C$2479, SMALL(IF($B$11 = 'C'!$A$1:$A$2479, ROW('C'!$A$1:$A$2479) -
ROW('C'!$A$2) + 2), ROW(16:16))),"")</f>
        <v/>
      </c>
      <c r="D26" s="49" t="str">
        <f t="array" ref="D26">IFERROR(INDEX('C'!$B$1:$B$2479, SMALL(IF($B$11 = 'C'!$A$1:$A$2479, ROW('C'!$A$1:$A$2479) -
ROW('C'!$A$2) + 2), ROW(16:16))),"")</f>
        <v/>
      </c>
      <c r="E26" s="95">
        <f t="shared" si="0"/>
        <v>0</v>
      </c>
      <c r="F26" s="92">
        <f>SUMIF(Data!$N$2:$N$998,Disbursement!C26,Data!$D$2:$D$998)</f>
        <v>0</v>
      </c>
      <c r="G26" s="49">
        <f>IF(C26="",0,COUNTIF(Data!$N$2:$N$998,C26))</f>
        <v>0</v>
      </c>
      <c r="H26" s="49">
        <f>IF(C26="",0,CONCATENATE(COUNTIFS(Data!$N$2:$N$998,C26,Data!$O$2:$O$998,"New *")," New",", ",COUNTIFS(Data!$N$2:$N$998,C26,Data!$O$2:$O$998,"Repeat *")," Repeat"))</f>
        <v>0</v>
      </c>
      <c r="I26" s="128" t="str">
        <f>IF(OR(C26="DCOLLECTOR",C26="SAF2000",C26=""),"",VLOOKUP($C26,'C'!$C$1:$D$2479,2,FALSE))</f>
        <v/>
      </c>
      <c r="J26" s="129" t="str">
        <f>IF(OR(C26="DCOLLECTOR",C26="SAF2000",C26=""),"",VLOOKUP($C26,'C'!$C$1:$E$2479,3,FALSE))</f>
        <v/>
      </c>
      <c r="K26" s="130">
        <f t="shared" si="1"/>
        <v>0</v>
      </c>
      <c r="L26" s="131" t="str">
        <f t="shared" si="2"/>
        <v/>
      </c>
    </row>
    <row r="27" spans="1:892" s="48" customFormat="1" ht="8.25" hidden="1" customHeight="1" x14ac:dyDescent="0.25">
      <c r="A27" s="842"/>
      <c r="B27" s="848"/>
      <c r="C27" s="335" t="str">
        <f t="array" ref="C27">IFERROR(INDEX('C'!$C$1:$C$2479, SMALL(IF($B$11 = 'C'!$A$1:$A$2479, ROW('C'!$A$1:$A$2479) -
ROW('C'!$A$2) + 2), ROW(17:17))),"")</f>
        <v/>
      </c>
      <c r="D27" s="49" t="str">
        <f t="array" ref="D27">IFERROR(INDEX('C'!$B$1:$B$2479, SMALL(IF($B$11 = 'C'!$A$1:$A$2479, ROW('C'!$A$1:$A$2479) -
ROW('C'!$A$2) + 2), ROW(17:17))),"")</f>
        <v/>
      </c>
      <c r="E27" s="95">
        <f t="shared" si="0"/>
        <v>0</v>
      </c>
      <c r="F27" s="92">
        <f>SUMIF(Data!$N$2:$N$998,Disbursement!C27,Data!$D$2:$D$998)</f>
        <v>0</v>
      </c>
      <c r="G27" s="49">
        <f>IF(C27="",0,COUNTIF(Data!$N$2:$N$998,C27))</f>
        <v>0</v>
      </c>
      <c r="H27" s="49">
        <f>IF(C27="",0,CONCATENATE(COUNTIFS(Data!$N$2:$N$998,C27,Data!$O$2:$O$998,"New *")," New",", ",COUNTIFS(Data!$N$2:$N$998,C27,Data!$O$2:$O$998,"Repeat *")," Repeat"))</f>
        <v>0</v>
      </c>
      <c r="I27" s="128" t="str">
        <f>IF(OR(C27="DCOLLECTOR",C27="SAF2000",C27=""),"",VLOOKUP($C27,'C'!$C$1:$D$2479,2,FALSE))</f>
        <v/>
      </c>
      <c r="J27" s="129" t="str">
        <f>IF(OR(C27="DCOLLECTOR",C27="SAF2000",C27=""),"",VLOOKUP($C27,'C'!$C$1:$E$2479,3,FALSE))</f>
        <v/>
      </c>
      <c r="K27" s="130">
        <f t="shared" si="1"/>
        <v>0</v>
      </c>
      <c r="L27" s="131" t="str">
        <f t="shared" si="2"/>
        <v/>
      </c>
    </row>
    <row r="28" spans="1:892" s="48" customFormat="1" ht="8.25" hidden="1" customHeight="1" x14ac:dyDescent="0.25">
      <c r="A28" s="842"/>
      <c r="B28" s="848"/>
      <c r="C28" s="335" t="str">
        <f t="array" ref="C28">IFERROR(INDEX('C'!$C$1:$C$2479, SMALL(IF($B$11 = 'C'!$A$1:$A$2479, ROW('C'!$A$1:$A$2479) -
ROW('C'!$A$2) + 2), ROW(18:18))),"")</f>
        <v/>
      </c>
      <c r="D28" s="49" t="str">
        <f t="array" ref="D28">IFERROR(INDEX('C'!$B$1:$B$2479, SMALL(IF($B$11 = 'C'!$A$1:$A$2479, ROW('C'!$A$1:$A$2479) -
ROW('C'!$A$2) + 2), ROW(18:18))),"")</f>
        <v/>
      </c>
      <c r="E28" s="95">
        <f t="shared" si="0"/>
        <v>0</v>
      </c>
      <c r="F28" s="92">
        <f>SUMIF(Data!$N$2:$N$998,Disbursement!C28,Data!$D$2:$D$998)</f>
        <v>0</v>
      </c>
      <c r="G28" s="49">
        <f>IF(C28="",0,COUNTIF(Data!$N$2:$N$998,C28))</f>
        <v>0</v>
      </c>
      <c r="H28" s="49">
        <f>IF(C28="",0,CONCATENATE(COUNTIFS(Data!$N$2:$N$998,C28,Data!$O$2:$O$998,"New *")," New",", ",COUNTIFS(Data!$N$2:$N$998,C28,Data!$O$2:$O$998,"Repeat *")," Repeat"))</f>
        <v>0</v>
      </c>
      <c r="I28" s="128" t="str">
        <f>IF(OR(C28="DCOLLECTOR",C28="SAF2000",C28=""),"",VLOOKUP($C28,'C'!$C$1:$D$2479,2,FALSE))</f>
        <v/>
      </c>
      <c r="J28" s="129" t="str">
        <f>IF(OR(C28="DCOLLECTOR",C28="SAF2000",C28=""),"",VLOOKUP($C28,'C'!$C$1:$E$2479,3,FALSE))</f>
        <v/>
      </c>
      <c r="K28" s="130">
        <f t="shared" si="1"/>
        <v>0</v>
      </c>
      <c r="L28" s="131" t="str">
        <f t="shared" si="2"/>
        <v/>
      </c>
    </row>
    <row r="29" spans="1:892" s="48" customFormat="1" ht="15" hidden="1" customHeight="1" x14ac:dyDescent="0.25">
      <c r="A29" s="842"/>
      <c r="B29" s="848"/>
      <c r="C29" s="335" t="str">
        <f t="array" ref="C29">IFERROR(INDEX('C'!$C$1:$C$2479, SMALL(IF($B$11 = 'C'!$A$1:$A$2479, ROW('C'!$A$1:$A$2479) -
ROW('C'!$A$2) + 2), ROW(19:19))),"")</f>
        <v/>
      </c>
      <c r="D29" s="49" t="str">
        <f t="array" ref="D29">IFERROR(INDEX('C'!$B$1:$B$2479, SMALL(IF($B$11 = 'C'!$A$1:$A$2479, ROW('C'!$A$1:$A$2479) -
ROW('C'!$A$2) + 2), ROW(19:19))),"")</f>
        <v/>
      </c>
      <c r="E29" s="95">
        <f t="shared" si="0"/>
        <v>0</v>
      </c>
      <c r="F29" s="92">
        <f>SUMIF(Data!$N$2:$N$998,Disbursement!C29,Data!$D$2:$D$998)</f>
        <v>0</v>
      </c>
      <c r="G29" s="49">
        <f>IF(C29="",0,COUNTIF(Data!$N$2:$N$998,C29))</f>
        <v>0</v>
      </c>
      <c r="H29" s="49">
        <f>IF(C29="",0,CONCATENATE(COUNTIFS(Data!$N$2:$N$998,C29,Data!$O$2:$O$998,"New *")," New",", ",COUNTIFS(Data!$N$2:$N$998,C29,Data!$O$2:$O$998,"Repeat *")," Repeat"))</f>
        <v>0</v>
      </c>
      <c r="I29" s="128" t="str">
        <f>IF(OR(C29="DCOLLECTOR",C29="SAF2000",C29=""),"",VLOOKUP($C29,'C'!$C$1:$D$2479,2,FALSE))</f>
        <v/>
      </c>
      <c r="J29" s="129" t="str">
        <f>IF(OR(C29="DCOLLECTOR",C29="SAF2000",C29=""),"",VLOOKUP($C29,'C'!$C$1:$E$2479,3,FALSE))</f>
        <v/>
      </c>
      <c r="K29" s="130">
        <f t="shared" si="1"/>
        <v>0</v>
      </c>
      <c r="L29" s="131" t="str">
        <f t="shared" si="2"/>
        <v/>
      </c>
    </row>
    <row r="30" spans="1:892" s="48" customFormat="1" ht="13.5" hidden="1" customHeight="1" x14ac:dyDescent="0.25">
      <c r="A30" s="842"/>
      <c r="B30" s="848"/>
      <c r="C30" s="335" t="str">
        <f t="array" ref="C30">IFERROR(INDEX('C'!$C$1:$C$2479, SMALL(IF($B$11 = 'C'!$A$1:$A$2479, ROW('C'!$A$1:$A$2479) -
ROW('C'!$A$2) + 2), ROW(20:20))),"")</f>
        <v/>
      </c>
      <c r="D30" s="49" t="str">
        <f t="array" ref="D30">IFERROR(INDEX('C'!$B$1:$B$2479, SMALL(IF($B$11 = 'C'!$A$1:$A$2479, ROW('C'!$A$1:$A$2479) -
ROW('C'!$A$2) + 2), ROW(20:20))),"")</f>
        <v/>
      </c>
      <c r="E30" s="95">
        <f t="shared" si="0"/>
        <v>0</v>
      </c>
      <c r="F30" s="92">
        <f>SUMIF(Data!$N$2:$N$998,Disbursement!C30,Data!$D$2:$D$998)</f>
        <v>0</v>
      </c>
      <c r="G30" s="49">
        <f>IF(C30="",0,COUNTIF(Data!$N$2:$N$998,C30))</f>
        <v>0</v>
      </c>
      <c r="H30" s="49">
        <f>IF(C30="",0,CONCATENATE(COUNTIFS(Data!$N$2:$N$998,C30,Data!$O$2:$O$998,"New *")," New",", ",COUNTIFS(Data!$N$2:$N$998,C30,Data!$O$2:$O$998,"Repeat *")," Repeat"))</f>
        <v>0</v>
      </c>
      <c r="I30" s="128" t="str">
        <f>IF(OR(C30="DCOLLECTOR",C30="SAF2000",C30=""),"",VLOOKUP($C30,'C'!$C$1:$D$2479,2,FALSE))</f>
        <v/>
      </c>
      <c r="J30" s="129" t="str">
        <f>IF(OR(C30="DCOLLECTOR",C30="SAF2000",C30=""),"",VLOOKUP($C30,'C'!$C$1:$E$2479,3,FALSE))</f>
        <v/>
      </c>
      <c r="K30" s="130">
        <f t="shared" si="1"/>
        <v>0</v>
      </c>
      <c r="L30" s="131" t="str">
        <f t="shared" si="2"/>
        <v/>
      </c>
    </row>
    <row r="31" spans="1:892" s="48" customFormat="1" ht="4.5" hidden="1" customHeight="1" thickBot="1" x14ac:dyDescent="0.3">
      <c r="A31" s="842"/>
      <c r="B31" s="848"/>
      <c r="C31" s="335" t="str">
        <f t="array" ref="C31">IFERROR(INDEX('C'!$C$1:$C$2479, SMALL(IF($B$11 = 'C'!$A$1:$A$2479, ROW('C'!$A$1:$A$2479) -
ROW('C'!$A$2) + 2), ROW(21:21))),"")</f>
        <v/>
      </c>
      <c r="D31" s="49" t="str">
        <f t="array" ref="D31">IFERROR(INDEX('C'!$B$1:$B$2479, SMALL(IF($B$11 = 'C'!$A$1:$A$2479, ROW('C'!$A$1:$A$2479) -
ROW('C'!$A$2) + 2), ROW(21:21))),"")</f>
        <v/>
      </c>
      <c r="E31" s="95">
        <f t="shared" si="0"/>
        <v>0</v>
      </c>
      <c r="F31" s="92">
        <f>SUMIF(Data!$N$2:$N$998,Disbursement!C31,Data!$D$2:$D$998)</f>
        <v>0</v>
      </c>
      <c r="G31" s="49">
        <f>IF(C31="",0,COUNTIF(Data!$N$2:$N$998,C31))</f>
        <v>0</v>
      </c>
      <c r="H31" s="49">
        <f>IF(C31="",0,CONCATENATE(COUNTIFS(Data!$N$2:$N$998,C31,Data!$O$2:$O$998,"New *")," New",", ",COUNTIFS(Data!$N$2:$N$998,C31,Data!$O$2:$O$998,"Repeat *")," Repeat"))</f>
        <v>0</v>
      </c>
      <c r="I31" s="128" t="str">
        <f>IF(OR(C31="DCOLLECTOR",C31="SAF2000",C31=""),"",VLOOKUP($C31,'C'!$C$1:$D$2479,2,FALSE))</f>
        <v/>
      </c>
      <c r="J31" s="129" t="str">
        <f>IF(OR(C31="DCOLLECTOR",C31="SAF2000",C31=""),"",VLOOKUP($C31,'C'!$C$1:$E$2479,3,FALSE))</f>
        <v/>
      </c>
      <c r="K31" s="130">
        <f t="shared" si="1"/>
        <v>0</v>
      </c>
      <c r="L31" s="131" t="str">
        <f t="shared" si="2"/>
        <v/>
      </c>
    </row>
    <row r="32" spans="1:892" s="66" customFormat="1" ht="16.5" customHeight="1" thickTop="1" thickBot="1" x14ac:dyDescent="0.35">
      <c r="A32" s="842"/>
      <c r="B32" s="243" t="s">
        <v>1458</v>
      </c>
      <c r="C32" s="140">
        <f>COUNTIF(C11:C31,"?*")</f>
        <v>5</v>
      </c>
      <c r="D32" s="117"/>
      <c r="E32" s="67">
        <f>SUBTOTAL(9,E11:E31)</f>
        <v>0.14409241606127982</v>
      </c>
      <c r="F32" s="139">
        <f>SUBTOTAL(9,F11:F31)</f>
        <v>25500000</v>
      </c>
      <c r="G32" s="100">
        <f>SUBTOTAL(9,G11:G31)</f>
        <v>4</v>
      </c>
      <c r="H32" s="100" t="str">
        <f>CONCATENATE(COUNTIFS(Data!$N$2:$N$998,C11,Data!$O$2:$O$998,"New *")+COUNTIFS(Data!$N$2:$N$998,C12,Data!$O$2:$O$998,"New *")+COUNTIFS(Data!$N$2:$N$998,C13,Data!$O$2:$O$998,"New *")+COUNTIFS(Data!$N$2:$N$998,C14,Data!$O$2:$O$998,"New *")+COUNTIFS(Data!$N$2:$N$998,C15,Data!$O$2:$O$998,"New *")+COUNTIFS(Data!$N$2:$N$998,C16,Data!$O$2:$O$998,"New *")+COUNTIFS(Data!$N$2:$N$998,C17,Data!$O$2:$O$998,"New *")+COUNTIFS(Data!$N$2:$N$998,C18,Data!$O$2:$O$998,"New *")+COUNTIFS(Data!$N$2:$N$998,C19,Data!$O$2:$O$998,"New *")+COUNTIFS(Data!$N$2:$N$998,C20,Data!$O$2:$O$998,"New *")+COUNTIFS(Data!$N$2:$N$998,C21,Data!$O$2:$O$998,"New *")+COUNTIFS(Data!$N$2:$N$998,C22,Data!$O$2:$O$998,"New *")+COUNTIFS(Data!$N$2:$N$998,C23,Data!$O$2:$O$998,"New *")+COUNTIFS(Data!$N$2:$N$998,C24,Data!$O$2:$O$998,"New *")+COUNTIFS(Data!$N$2:$N$998,C25,Data!$O$2:$O$998,"New *")+COUNTIFS(Data!$N$2:$N$998,C26,Data!$O$2:$O$998,"New *")+COUNTIFS(Data!$N$2:$N$998,C27,Data!$O$2:$O$998,"New *")+COUNTIFS(Data!$N$2:$N$998,C28,Data!$O$2:$O$998,"New *")+COUNTIFS(Data!$N$2:$N$998,C29,Data!$O$2:$O$998,"New *")+COUNTIFS(Data!$N$2:$N$998,C30,Data!$O$2:$O$998,"New *")+COUNTIFS(Data!$N$2:$N$998,C31,Data!$O$2:$O$998,"New *")," New",",",COUNTIFS(Data!$N$2:$N$998,C11,Data!$O$2:$O$998,"Repeat *")+COUNTIFS(Data!$N$2:$N$998,C12,Data!$O$2:$O$998,"Repeat *")+COUNTIFS(Data!$N$2:$N$998,C13,Data!$O$2:$O$998,"Repeat *")+COUNTIFS(Data!$N$2:$N$998,C14,Data!$O$2:$O$998,"Repeat *")+COUNTIFS(Data!$N$2:$N$998,C15,Data!$O$2:$O$998,"Repeat *")+COUNTIFS(Data!$N$2:$N$998,C16,Data!$O$2:$O$998,"Repeat *")+COUNTIFS(Data!$N$2:$N$998,C17,Data!$O$2:$O$998,"Repeat *")+COUNTIFS(Data!$N$2:$N$998,C18,Data!$O$2:$O$998,"Repeat *")+COUNTIFS(Data!$N$2:$N$998,C19,Data!$O$2:$O$998,"Repeat *")+COUNTIFS(Data!$N$2:$N$998,C20,Data!$O$2:$O$998,"Repeat *")+COUNTIFS(Data!$N$2:$N$998,C21,Data!$O$2:$O$998,"Repeat *")+COUNTIFS(Data!$N$2:$N$998,C22,Data!$O$2:$O$998,"Repeat *")+COUNTIFS(Data!$N$2:$N$998,C23,Data!$O$2:$O$998,"Repeat *")+COUNTIFS(Data!$N$2:$N$998,C24,Data!$O$2:$O$998,"Repeat *")+COUNTIFS(Data!$N$2:$N$998,C25,Data!$O$2:$O$998,"Repeat *")+COUNTIFS(Data!$N$2:$N$998,C26,Data!$O$2:$O$998,"Repeat *")+COUNTIFS(Data!$N$2:$N$998,C27,Data!$O$2:$O$998,"Repeat *")+COUNTIFS(Data!$N$2:$N$998,C28,Data!$O$2:$O$998,"Repeat *")+COUNTIFS(Data!$N$2:$N$998,C29,Data!$O$2:$O$998,"Repeat *")+COUNTIFS(Data!$N$2:$N$998,C30,Data!$O$2:$O$998,"Repeat *")+COUNTIFS(Data!$N$2:$N$998,C31,Data!$O$2:$O$998,"Repeat *"), " Repeat")</f>
        <v>1 New,3 Repeat</v>
      </c>
      <c r="I32" s="140">
        <f>SUBTOTAL(9,I11:I31)</f>
        <v>65</v>
      </c>
      <c r="J32" s="141">
        <f>SUBTOTAL(9,J11:J31)</f>
        <v>470000000</v>
      </c>
      <c r="K32" s="142">
        <f>IF(OR(I32="",ISERROR(G32/I32)),0,(G32)/I32)</f>
        <v>6.1538461538461542E-2</v>
      </c>
      <c r="L32" s="142">
        <f>IF(OR(J32="",ISERROR(F32/J32)),"",F32/J32)</f>
        <v>5.4255319148936172E-2</v>
      </c>
      <c r="M32" s="86"/>
      <c r="N32" s="86"/>
      <c r="O32" s="86"/>
      <c r="P32" s="86"/>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c r="IR32" s="86"/>
      <c r="IS32" s="86"/>
      <c r="IT32" s="86"/>
      <c r="IU32" s="86"/>
      <c r="IV32" s="86"/>
      <c r="IW32" s="86"/>
      <c r="IX32" s="86"/>
      <c r="IY32" s="86"/>
      <c r="IZ32" s="86"/>
      <c r="JA32" s="86"/>
      <c r="JB32" s="86"/>
      <c r="JC32" s="86"/>
      <c r="JD32" s="86"/>
      <c r="JE32" s="86"/>
      <c r="JF32" s="86"/>
      <c r="JG32" s="86"/>
      <c r="JH32" s="86"/>
      <c r="JI32" s="86"/>
      <c r="JJ32" s="86"/>
      <c r="JK32" s="86"/>
      <c r="JL32" s="86"/>
      <c r="JM32" s="86"/>
      <c r="JN32" s="86"/>
      <c r="JO32" s="86"/>
      <c r="JP32" s="86"/>
      <c r="JQ32" s="86"/>
      <c r="JR32" s="86"/>
      <c r="JS32" s="86"/>
      <c r="JT32" s="86"/>
      <c r="JU32" s="86"/>
      <c r="JV32" s="86"/>
      <c r="JW32" s="86"/>
      <c r="JX32" s="86"/>
      <c r="JY32" s="86"/>
      <c r="JZ32" s="86"/>
      <c r="KA32" s="86"/>
      <c r="KB32" s="86"/>
      <c r="KC32" s="86"/>
      <c r="KD32" s="86"/>
      <c r="KE32" s="86"/>
      <c r="KF32" s="86"/>
      <c r="KG32" s="86"/>
      <c r="KH32" s="86"/>
      <c r="KI32" s="86"/>
      <c r="KJ32" s="86"/>
      <c r="KK32" s="86"/>
      <c r="KL32" s="86"/>
      <c r="KM32" s="86"/>
      <c r="KN32" s="86"/>
      <c r="KO32" s="86"/>
      <c r="KP32" s="86"/>
      <c r="KQ32" s="86"/>
      <c r="KR32" s="86"/>
      <c r="KS32" s="86"/>
      <c r="KT32" s="86"/>
      <c r="KU32" s="86"/>
      <c r="KV32" s="86"/>
      <c r="KW32" s="86"/>
      <c r="KX32" s="86"/>
      <c r="KY32" s="86"/>
      <c r="KZ32" s="86"/>
      <c r="LA32" s="86"/>
      <c r="LB32" s="86"/>
      <c r="LC32" s="86"/>
      <c r="LD32" s="86"/>
      <c r="LE32" s="86"/>
      <c r="LF32" s="86"/>
      <c r="LG32" s="86"/>
      <c r="LH32" s="86"/>
      <c r="LI32" s="86"/>
      <c r="LJ32" s="86"/>
      <c r="LK32" s="86"/>
      <c r="LL32" s="86"/>
      <c r="LM32" s="86"/>
      <c r="LN32" s="86"/>
      <c r="LO32" s="86"/>
      <c r="LP32" s="86"/>
      <c r="LQ32" s="86"/>
      <c r="LR32" s="86"/>
      <c r="LS32" s="86"/>
      <c r="LT32" s="86"/>
      <c r="LU32" s="86"/>
      <c r="LV32" s="86"/>
      <c r="LW32" s="86"/>
      <c r="LX32" s="86"/>
      <c r="LY32" s="86"/>
      <c r="LZ32" s="86"/>
      <c r="MA32" s="86"/>
      <c r="MB32" s="86"/>
      <c r="MC32" s="86"/>
      <c r="MD32" s="86"/>
      <c r="ME32" s="86"/>
      <c r="MF32" s="86"/>
      <c r="MG32" s="86"/>
      <c r="MH32" s="86"/>
      <c r="MI32" s="86"/>
      <c r="MJ32" s="86"/>
      <c r="MK32" s="86"/>
      <c r="ML32" s="86"/>
      <c r="MM32" s="86"/>
      <c r="MN32" s="86"/>
      <c r="MO32" s="86"/>
      <c r="MP32" s="86"/>
      <c r="MQ32" s="86"/>
      <c r="MR32" s="86"/>
      <c r="MS32" s="86"/>
      <c r="MT32" s="86"/>
      <c r="MU32" s="86"/>
      <c r="MV32" s="86"/>
      <c r="MW32" s="86"/>
      <c r="MX32" s="86"/>
      <c r="MY32" s="86"/>
      <c r="MZ32" s="86"/>
      <c r="NA32" s="86"/>
      <c r="NB32" s="86"/>
      <c r="NC32" s="86"/>
      <c r="ND32" s="86"/>
      <c r="NE32" s="86"/>
      <c r="NF32" s="86"/>
      <c r="NG32" s="86"/>
      <c r="NH32" s="86"/>
      <c r="NI32" s="86"/>
      <c r="NJ32" s="86"/>
      <c r="NK32" s="86"/>
      <c r="NL32" s="86"/>
      <c r="NM32" s="86"/>
      <c r="NN32" s="86"/>
      <c r="NO32" s="86"/>
      <c r="NP32" s="86"/>
      <c r="NQ32" s="86"/>
      <c r="NR32" s="86"/>
      <c r="NS32" s="86"/>
      <c r="NT32" s="86"/>
      <c r="NU32" s="86"/>
      <c r="NV32" s="86"/>
      <c r="NW32" s="86"/>
      <c r="NX32" s="86"/>
      <c r="NY32" s="86"/>
      <c r="NZ32" s="86"/>
      <c r="OA32" s="86"/>
      <c r="OB32" s="86"/>
      <c r="OC32" s="86"/>
      <c r="OD32" s="86"/>
      <c r="OE32" s="86"/>
      <c r="OF32" s="86"/>
      <c r="OG32" s="86"/>
      <c r="OH32" s="86"/>
      <c r="OI32" s="86"/>
      <c r="OJ32" s="86"/>
      <c r="OK32" s="86"/>
      <c r="OL32" s="86"/>
      <c r="OM32" s="86"/>
      <c r="ON32" s="86"/>
      <c r="OO32" s="86"/>
      <c r="OP32" s="86"/>
      <c r="OQ32" s="86"/>
      <c r="OR32" s="86"/>
      <c r="OS32" s="86"/>
      <c r="OT32" s="86"/>
      <c r="OU32" s="86"/>
      <c r="OV32" s="86"/>
      <c r="OW32" s="86"/>
      <c r="OX32" s="86"/>
      <c r="OY32" s="86"/>
      <c r="OZ32" s="86"/>
      <c r="PA32" s="86"/>
      <c r="PB32" s="86"/>
      <c r="PC32" s="86"/>
      <c r="PD32" s="86"/>
      <c r="PE32" s="86"/>
      <c r="PF32" s="86"/>
      <c r="PG32" s="86"/>
      <c r="PH32" s="86"/>
      <c r="PI32" s="86"/>
      <c r="PJ32" s="86"/>
      <c r="PK32" s="86"/>
      <c r="PL32" s="86"/>
      <c r="PM32" s="86"/>
      <c r="PN32" s="86"/>
      <c r="PO32" s="86"/>
      <c r="PP32" s="86"/>
      <c r="PQ32" s="86"/>
      <c r="PR32" s="86"/>
      <c r="PS32" s="86"/>
      <c r="PT32" s="86"/>
      <c r="PU32" s="86"/>
      <c r="PV32" s="86"/>
      <c r="PW32" s="86"/>
      <c r="PX32" s="86"/>
      <c r="PY32" s="86"/>
      <c r="PZ32" s="86"/>
      <c r="QA32" s="86"/>
      <c r="QB32" s="86"/>
      <c r="QC32" s="86"/>
      <c r="QD32" s="86"/>
      <c r="QE32" s="86"/>
      <c r="QF32" s="86"/>
      <c r="QG32" s="86"/>
      <c r="QH32" s="86"/>
      <c r="QI32" s="86"/>
      <c r="QJ32" s="86"/>
      <c r="QK32" s="86"/>
      <c r="QL32" s="86"/>
      <c r="QM32" s="86"/>
      <c r="QN32" s="86"/>
      <c r="QO32" s="86"/>
      <c r="QP32" s="86"/>
      <c r="QQ32" s="86"/>
      <c r="QR32" s="86"/>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c r="YP32" s="86"/>
      <c r="YQ32" s="86"/>
      <c r="YR32" s="86"/>
      <c r="YS32" s="86"/>
      <c r="YT32" s="86"/>
      <c r="YU32" s="86"/>
      <c r="YV32" s="86"/>
      <c r="YW32" s="86"/>
      <c r="YX32" s="86"/>
      <c r="YY32" s="86"/>
      <c r="YZ32" s="86"/>
      <c r="ZA32" s="86"/>
      <c r="ZB32" s="86"/>
      <c r="ZC32" s="86"/>
      <c r="ZD32" s="86"/>
      <c r="ZE32" s="86"/>
      <c r="ZF32" s="86"/>
      <c r="ZG32" s="86"/>
      <c r="ZH32" s="86"/>
      <c r="ZI32" s="86"/>
      <c r="ZJ32" s="86"/>
      <c r="ZK32" s="86"/>
      <c r="ZL32" s="86"/>
      <c r="ZM32" s="86"/>
      <c r="ZN32" s="86"/>
      <c r="ZO32" s="86"/>
      <c r="ZP32" s="86"/>
      <c r="ZQ32" s="86"/>
      <c r="ZR32" s="86"/>
      <c r="ZS32" s="86"/>
      <c r="ZT32" s="86"/>
      <c r="ZU32" s="86"/>
      <c r="ZV32" s="86"/>
      <c r="ZW32" s="86"/>
      <c r="ZX32" s="86"/>
      <c r="ZY32" s="86"/>
      <c r="ZZ32" s="86"/>
      <c r="AAA32" s="86"/>
      <c r="AAB32" s="86"/>
      <c r="AAC32" s="86"/>
      <c r="AAD32" s="86"/>
      <c r="AAE32" s="86"/>
      <c r="AAF32" s="86"/>
      <c r="AAG32" s="86"/>
      <c r="AAH32" s="86"/>
      <c r="AAI32" s="86"/>
      <c r="AAJ32" s="86"/>
      <c r="AAK32" s="86"/>
      <c r="AAL32" s="86"/>
      <c r="AAM32" s="86"/>
      <c r="AAN32" s="86"/>
      <c r="AAO32" s="86"/>
      <c r="AAP32" s="86"/>
      <c r="AAQ32" s="86"/>
      <c r="AAR32" s="86"/>
      <c r="AAS32" s="86"/>
      <c r="AAT32" s="86"/>
      <c r="AAU32" s="86"/>
      <c r="AAV32" s="86"/>
      <c r="AAW32" s="86"/>
      <c r="AAX32" s="86"/>
      <c r="AAY32" s="86"/>
      <c r="AAZ32" s="86"/>
      <c r="ABA32" s="86"/>
      <c r="ABB32" s="86"/>
      <c r="ABC32" s="86"/>
      <c r="ABD32" s="86"/>
      <c r="ABE32" s="86"/>
      <c r="ABF32" s="86"/>
      <c r="ABG32" s="86"/>
      <c r="ABH32" s="86"/>
      <c r="ABI32" s="86"/>
      <c r="ABJ32" s="86"/>
      <c r="ABK32" s="86"/>
      <c r="ABL32" s="86"/>
      <c r="ABM32" s="86"/>
      <c r="ABN32" s="86"/>
      <c r="ABO32" s="86"/>
      <c r="ABP32" s="86"/>
      <c r="ABQ32" s="86"/>
      <c r="ABR32" s="86"/>
      <c r="ABS32" s="86"/>
      <c r="ABT32" s="86"/>
      <c r="ABU32" s="86"/>
      <c r="ABV32" s="86"/>
      <c r="ABW32" s="86"/>
      <c r="ABX32" s="86"/>
      <c r="ABY32" s="86"/>
      <c r="ABZ32" s="86"/>
      <c r="ACA32" s="86"/>
      <c r="ACB32" s="86"/>
      <c r="ACC32" s="86"/>
      <c r="ACD32" s="86"/>
      <c r="ACE32" s="86"/>
      <c r="ACF32" s="86"/>
      <c r="ACG32" s="86"/>
      <c r="ACH32" s="86"/>
      <c r="ACI32" s="86"/>
      <c r="ACJ32" s="86"/>
      <c r="ACK32" s="86"/>
      <c r="ACL32" s="86"/>
      <c r="ACM32" s="86"/>
      <c r="ACN32" s="86"/>
      <c r="ACO32" s="86"/>
      <c r="ACP32" s="86"/>
      <c r="ACQ32" s="86"/>
      <c r="ACR32" s="86"/>
      <c r="ACS32" s="86"/>
      <c r="ACT32" s="86"/>
      <c r="ACU32" s="86"/>
      <c r="ACV32" s="86"/>
      <c r="ACW32" s="86"/>
      <c r="ACX32" s="86"/>
      <c r="ACY32" s="86"/>
      <c r="ACZ32" s="86"/>
      <c r="ADA32" s="86"/>
      <c r="ADB32" s="86"/>
      <c r="ADC32" s="86"/>
      <c r="ADD32" s="86"/>
      <c r="ADE32" s="86"/>
      <c r="ADF32" s="86"/>
      <c r="ADG32" s="86"/>
      <c r="ADH32" s="86"/>
      <c r="ADI32" s="86"/>
      <c r="ADJ32" s="86"/>
      <c r="ADK32" s="86"/>
      <c r="ADL32" s="86"/>
      <c r="ADM32" s="86"/>
      <c r="ADN32" s="86"/>
      <c r="ADO32" s="86"/>
      <c r="ADP32" s="86"/>
      <c r="ADQ32" s="86"/>
      <c r="ADR32" s="86"/>
      <c r="ADS32" s="86"/>
      <c r="ADT32" s="86"/>
      <c r="ADU32" s="86"/>
      <c r="ADV32" s="86"/>
      <c r="ADW32" s="86"/>
      <c r="ADX32" s="86"/>
      <c r="ADY32" s="86"/>
      <c r="ADZ32" s="86"/>
      <c r="AEA32" s="87"/>
      <c r="AEB32" s="87"/>
      <c r="AEC32" s="87"/>
      <c r="AED32" s="87"/>
      <c r="AEE32" s="87"/>
      <c r="AEF32" s="87"/>
      <c r="AEG32" s="87"/>
      <c r="AEH32" s="87"/>
      <c r="AEI32" s="87"/>
      <c r="AEJ32" s="87"/>
      <c r="AEK32" s="87"/>
      <c r="AEL32" s="87"/>
      <c r="AEM32" s="87"/>
      <c r="AEN32" s="87"/>
      <c r="AEO32" s="87"/>
      <c r="AEP32" s="87"/>
      <c r="AEQ32" s="87"/>
      <c r="AER32" s="87"/>
      <c r="AES32" s="87"/>
      <c r="AET32" s="87"/>
      <c r="AEU32" s="87"/>
      <c r="AEV32" s="87"/>
      <c r="AEW32" s="87"/>
      <c r="AEX32" s="87"/>
      <c r="AEY32" s="87"/>
      <c r="AEZ32" s="87"/>
      <c r="AFA32" s="87"/>
      <c r="AFB32" s="87"/>
      <c r="AFC32" s="87"/>
      <c r="AFD32" s="87"/>
      <c r="AFE32" s="87"/>
      <c r="AFF32" s="87"/>
      <c r="AFG32" s="87"/>
      <c r="AFH32" s="87"/>
      <c r="AFI32" s="87"/>
      <c r="AFJ32" s="87"/>
      <c r="AFK32" s="87"/>
      <c r="AFL32" s="87"/>
      <c r="AFM32" s="87"/>
      <c r="AFN32" s="87"/>
      <c r="AFO32" s="87"/>
      <c r="AFP32" s="87"/>
      <c r="AFQ32" s="87"/>
      <c r="AFR32" s="87"/>
      <c r="AFS32" s="87"/>
      <c r="AFT32" s="87"/>
      <c r="AFU32" s="87"/>
      <c r="AFV32" s="87"/>
      <c r="AFW32" s="87"/>
      <c r="AFX32" s="87"/>
      <c r="AFY32" s="87"/>
      <c r="AFZ32" s="87"/>
      <c r="AGA32" s="87"/>
      <c r="AGB32" s="87"/>
      <c r="AGC32" s="87"/>
      <c r="AGD32" s="87"/>
      <c r="AGE32" s="87"/>
      <c r="AGF32" s="87"/>
      <c r="AGG32" s="87"/>
      <c r="AGH32" s="87"/>
      <c r="AGI32" s="87"/>
      <c r="AGJ32" s="87"/>
      <c r="AGK32" s="87"/>
      <c r="AGL32" s="87"/>
      <c r="AGM32" s="87"/>
      <c r="AGN32" s="87"/>
      <c r="AGO32" s="87"/>
      <c r="AGP32" s="87"/>
      <c r="AGQ32" s="87"/>
      <c r="AGR32" s="87"/>
      <c r="AGS32" s="87"/>
      <c r="AGT32" s="87"/>
      <c r="AGU32" s="87"/>
      <c r="AGV32" s="87"/>
      <c r="AGW32" s="87"/>
      <c r="AGX32" s="87"/>
      <c r="AGY32" s="87"/>
      <c r="AGZ32" s="87"/>
      <c r="AHA32" s="87"/>
      <c r="AHB32" s="87"/>
      <c r="AHC32" s="87"/>
      <c r="AHD32" s="87"/>
      <c r="AHE32" s="87"/>
      <c r="AHF32" s="87"/>
      <c r="AHG32" s="87"/>
      <c r="AHH32" s="87"/>
    </row>
    <row r="33" spans="1:892" s="48" customFormat="1" ht="16.5" customHeight="1" thickTop="1" x14ac:dyDescent="0.25">
      <c r="A33" s="842"/>
      <c r="B33" s="848" t="s">
        <v>969</v>
      </c>
      <c r="C33" s="342" t="str">
        <f t="array" ref="C33">IFERROR(INDEX('C'!$C$1:$C$2479, SMALL(IF($B$33 = 'C'!$A$1:$A$2479, ROW('C'!$A$1:$A$2479) -
ROW('C'!$A$2) + 2), ROW(1:1))),"")</f>
        <v>FOWEMBABAB</v>
      </c>
      <c r="D33" s="63" t="str">
        <f t="array" ref="D33">IFERROR(INDEX('C'!$B$1:$B$2479, SMALL(IF($B$33 = 'C'!$A$1:$A$2479, ROW('C'!$A$1:$A$2479) -
ROW('C'!$A$2) + 2), ROW(1:1))),"")</f>
        <v>SME</v>
      </c>
      <c r="E33" s="96">
        <f t="shared" ref="E33:E55" si="3">F33/$F$219</f>
        <v>0.15256844053547272</v>
      </c>
      <c r="F33" s="93">
        <f>SUMIF(Data!$N$2:$N$998,Disbursement!C33,Data!$D$2:$D$998)</f>
        <v>27000000</v>
      </c>
      <c r="G33" s="63">
        <f>IF(C33="",0,COUNTIF(Data!$N$2:$N$998,C33))</f>
        <v>2</v>
      </c>
      <c r="H33" s="63" t="str">
        <f>IF(C33="",0,CONCATENATE(COUNTIFS(Data!$N$2:$N$998,C33,Data!$O$2:$O$998,"New *")," New",", ",COUNTIFS(Data!$N$2:$N$998,C33,Data!$O$2:$O$998,"Repeat *")," Repeat"))</f>
        <v>0 New, 2 Repeat</v>
      </c>
      <c r="I33" s="132">
        <f>IF(OR(C33="DCOLLECTOR",C33="SAF2000",C33=""),"",VLOOKUP($C33,'C'!$C$1:$D$2479,2,FALSE))</f>
        <v>15</v>
      </c>
      <c r="J33" s="133">
        <f>IF(OR(C33="DCOLLECTOR",C33="SAF2000",C33=""),"",VLOOKUP($C33,'C'!$C$1:$E$2479,3,FALSE))</f>
        <v>100000000</v>
      </c>
      <c r="K33" s="134">
        <f>IFERROR(IF(I33="",0,(G33)/I33),"")</f>
        <v>0.13333333333333333</v>
      </c>
      <c r="L33" s="134">
        <f>IFERROR(IF(J33="","",F33/J33),"")</f>
        <v>0.27</v>
      </c>
      <c r="M33" s="88"/>
      <c r="N33" s="88"/>
      <c r="O33" s="88"/>
      <c r="AEA33" s="88"/>
      <c r="AEB33" s="88"/>
      <c r="AEC33" s="88"/>
      <c r="AED33" s="88"/>
      <c r="AEE33" s="88"/>
      <c r="AEF33" s="88"/>
      <c r="AEG33" s="88"/>
      <c r="AEH33" s="88"/>
      <c r="AEI33" s="88"/>
      <c r="AEJ33" s="88"/>
      <c r="AEK33" s="88"/>
      <c r="AEL33" s="88"/>
      <c r="AEM33" s="88"/>
      <c r="AEN33" s="88"/>
      <c r="AEO33" s="88"/>
      <c r="AEP33" s="88"/>
      <c r="AEQ33" s="88"/>
      <c r="AER33" s="88"/>
      <c r="AES33" s="88"/>
      <c r="AET33" s="88"/>
      <c r="AEU33" s="88"/>
      <c r="AEV33" s="88"/>
      <c r="AEW33" s="88"/>
      <c r="AEX33" s="88"/>
      <c r="AEY33" s="88"/>
      <c r="AEZ33" s="88"/>
      <c r="AFA33" s="88"/>
      <c r="AFB33" s="88"/>
      <c r="AFC33" s="88"/>
      <c r="AFD33" s="88"/>
      <c r="AFE33" s="88"/>
      <c r="AFF33" s="88"/>
      <c r="AFG33" s="88"/>
      <c r="AFH33" s="88"/>
      <c r="AFI33" s="88"/>
      <c r="AFJ33" s="88"/>
      <c r="AFK33" s="88"/>
      <c r="AFL33" s="88"/>
      <c r="AFM33" s="88"/>
      <c r="AFN33" s="88"/>
      <c r="AFO33" s="88"/>
      <c r="AFP33" s="88"/>
      <c r="AFQ33" s="88"/>
      <c r="AFR33" s="88"/>
      <c r="AFS33" s="88"/>
      <c r="AFT33" s="88"/>
      <c r="AFU33" s="88"/>
      <c r="AFV33" s="88"/>
      <c r="AFW33" s="88"/>
      <c r="AFX33" s="88"/>
      <c r="AFY33" s="88"/>
      <c r="AFZ33" s="88"/>
      <c r="AGA33" s="88"/>
      <c r="AGB33" s="88"/>
      <c r="AGC33" s="88"/>
      <c r="AGD33" s="88"/>
      <c r="AGE33" s="88"/>
      <c r="AGF33" s="88"/>
      <c r="AGG33" s="88"/>
      <c r="AGH33" s="88"/>
      <c r="AGI33" s="88"/>
      <c r="AGJ33" s="88"/>
      <c r="AGK33" s="88"/>
      <c r="AGL33" s="88"/>
      <c r="AGM33" s="88"/>
      <c r="AGN33" s="88"/>
      <c r="AGO33" s="88"/>
      <c r="AGP33" s="88"/>
      <c r="AGQ33" s="88"/>
      <c r="AGR33" s="88"/>
      <c r="AGS33" s="88"/>
      <c r="AGT33" s="88"/>
      <c r="AGU33" s="88"/>
      <c r="AGV33" s="88"/>
      <c r="AGW33" s="88"/>
      <c r="AGX33" s="88"/>
      <c r="AGY33" s="88"/>
      <c r="AGZ33" s="88"/>
      <c r="AHA33" s="88"/>
      <c r="AHB33" s="88"/>
      <c r="AHC33" s="88"/>
      <c r="AHD33" s="88"/>
      <c r="AHE33" s="88"/>
      <c r="AHF33" s="88"/>
      <c r="AHG33" s="88"/>
      <c r="AHH33" s="88"/>
    </row>
    <row r="34" spans="1:892" s="48" customFormat="1" ht="15" customHeight="1" x14ac:dyDescent="0.25">
      <c r="A34" s="842"/>
      <c r="B34" s="848"/>
      <c r="C34" s="342" t="str">
        <f t="array" ref="C34">IFERROR(INDEX('C'!$C$1:$C$2479, SMALL(IF($B$33 = 'C'!$A$1:$A$2479, ROW('C'!$A$1:$A$2479) -
ROW('C'!$A$2) + 2), ROW(2:2))),"")</f>
        <v>SAKASEGERE</v>
      </c>
      <c r="D34" s="343" t="str">
        <f t="array" ref="D34">IFERROR(INDEX('C'!$B$1:$B$2479, SMALL(IF($B$33 = 'C'!$A$1:$A$2479, ROW('C'!$A$1:$A$2479) -
ROW('C'!$A$2) + 2), ROW(2:2))),"")</f>
        <v>WMT</v>
      </c>
      <c r="E34" s="344">
        <f t="shared" si="3"/>
        <v>0</v>
      </c>
      <c r="F34" s="93">
        <f>SUMIF(Data!$N$2:$N$998,Disbursement!C34,Data!$D$2:$D$998)</f>
        <v>0</v>
      </c>
      <c r="G34" s="343">
        <f>IF(C34="",0,COUNTIF(Data!$N$2:$N$998,C34))</f>
        <v>0</v>
      </c>
      <c r="H34" s="63" t="str">
        <f>IF(C34="",0,CONCATENATE(COUNTIFS(Data!$N$2:$N$998,C34,Data!$O$2:$O$998,"New *")," New",", ",COUNTIFS(Data!$N$2:$N$998,C34,Data!$O$2:$O$998,"Repeat *")," Repeat"))</f>
        <v>0 New, 0 Repeat</v>
      </c>
      <c r="I34" s="343">
        <f>IF(OR(C34="DCOLLECTOR",C34="SAF2000",C34=""),"",VLOOKUP($C34,'C'!$C$1:$D$2479,2,FALSE))</f>
        <v>15</v>
      </c>
      <c r="J34" s="345">
        <f>IF(OR(C34="DCOLLECTOR",C34="SAF2000",C34=""),"",VLOOKUP($C34,'C'!$C$1:$E$2479,3,FALSE))</f>
        <v>100000000</v>
      </c>
      <c r="K34" s="134">
        <f t="shared" ref="K34:K55" si="4">IFERROR(IF(I34="",0,(G34)/I34),"")</f>
        <v>0</v>
      </c>
      <c r="L34" s="134">
        <f t="shared" ref="L34:L55" si="5">IFERROR(IF(J34="","",F34/J34),"")</f>
        <v>0</v>
      </c>
      <c r="M34" s="88"/>
      <c r="N34" s="88"/>
      <c r="O34" s="88"/>
      <c r="AEA34" s="88"/>
      <c r="AEB34" s="88"/>
      <c r="AEC34" s="88"/>
      <c r="AED34" s="88"/>
      <c r="AEE34" s="88"/>
      <c r="AEF34" s="88"/>
      <c r="AEG34" s="88"/>
      <c r="AEH34" s="88"/>
      <c r="AEI34" s="88"/>
      <c r="AEJ34" s="88"/>
      <c r="AEK34" s="88"/>
      <c r="AEL34" s="88"/>
      <c r="AEM34" s="88"/>
      <c r="AEN34" s="88"/>
      <c r="AEO34" s="88"/>
      <c r="AEP34" s="88"/>
      <c r="AEQ34" s="88"/>
      <c r="AER34" s="88"/>
      <c r="AES34" s="88"/>
      <c r="AET34" s="88"/>
      <c r="AEU34" s="88"/>
      <c r="AEV34" s="88"/>
      <c r="AEW34" s="88"/>
      <c r="AEX34" s="88"/>
      <c r="AEY34" s="88"/>
      <c r="AEZ34" s="88"/>
      <c r="AFA34" s="88"/>
      <c r="AFB34" s="88"/>
      <c r="AFC34" s="88"/>
      <c r="AFD34" s="88"/>
      <c r="AFE34" s="88"/>
      <c r="AFF34" s="88"/>
      <c r="AFG34" s="88"/>
      <c r="AFH34" s="88"/>
      <c r="AFI34" s="88"/>
      <c r="AFJ34" s="88"/>
      <c r="AFK34" s="88"/>
      <c r="AFL34" s="88"/>
      <c r="AFM34" s="88"/>
      <c r="AFN34" s="88"/>
      <c r="AFO34" s="88"/>
      <c r="AFP34" s="88"/>
      <c r="AFQ34" s="88"/>
      <c r="AFR34" s="88"/>
      <c r="AFS34" s="88"/>
      <c r="AFT34" s="88"/>
      <c r="AFU34" s="88"/>
      <c r="AFV34" s="88"/>
      <c r="AFW34" s="88"/>
      <c r="AFX34" s="88"/>
      <c r="AFY34" s="88"/>
      <c r="AFZ34" s="88"/>
      <c r="AGA34" s="88"/>
      <c r="AGB34" s="88"/>
      <c r="AGC34" s="88"/>
      <c r="AGD34" s="88"/>
      <c r="AGE34" s="88"/>
      <c r="AGF34" s="88"/>
      <c r="AGG34" s="88"/>
      <c r="AGH34" s="88"/>
      <c r="AGI34" s="88"/>
      <c r="AGJ34" s="88"/>
      <c r="AGK34" s="88"/>
      <c r="AGL34" s="88"/>
      <c r="AGM34" s="88"/>
      <c r="AGN34" s="88"/>
      <c r="AGO34" s="88"/>
      <c r="AGP34" s="88"/>
      <c r="AGQ34" s="88"/>
      <c r="AGR34" s="88"/>
      <c r="AGS34" s="88"/>
      <c r="AGT34" s="88"/>
      <c r="AGU34" s="88"/>
      <c r="AGV34" s="88"/>
      <c r="AGW34" s="88"/>
      <c r="AGX34" s="88"/>
      <c r="AGY34" s="88"/>
      <c r="AGZ34" s="88"/>
      <c r="AHA34" s="88"/>
      <c r="AHB34" s="88"/>
      <c r="AHC34" s="88"/>
      <c r="AHD34" s="88"/>
      <c r="AHE34" s="88"/>
      <c r="AHF34" s="88"/>
      <c r="AHG34" s="88"/>
      <c r="AHH34" s="88"/>
    </row>
    <row r="35" spans="1:892" s="48" customFormat="1" ht="15" x14ac:dyDescent="0.25">
      <c r="A35" s="842"/>
      <c r="B35" s="848"/>
      <c r="C35" s="342" t="str">
        <f t="array" ref="C35">IFERROR(INDEX('C'!$C$1:$C$2479, SMALL(IF($B$33 = 'C'!$A$1:$A$2479, ROW('C'!$A$1:$A$2479) -
ROW('C'!$A$2) + 2), ROW(3:3))),"")</f>
        <v>AKAZOBA</v>
      </c>
      <c r="D35" s="343" t="str">
        <f t="array" ref="D35">IFERROR(INDEX('C'!$B$1:$B$2479, SMALL(IF($B$33 = 'C'!$A$1:$A$2479, ROW('C'!$A$1:$A$2479) -
ROW('C'!$A$2) + 2), ROW(3:3))),"")</f>
        <v>WTM</v>
      </c>
      <c r="E35" s="96">
        <f t="shared" si="3"/>
        <v>0</v>
      </c>
      <c r="F35" s="93">
        <f>SUMIF(Data!$N$2:$N$998,Disbursement!C35,Data!$D$2:$D$998)</f>
        <v>0</v>
      </c>
      <c r="G35" s="63">
        <f>IF(C35="",0,COUNTIF(Data!$N$2:$N$998,C35))</f>
        <v>0</v>
      </c>
      <c r="H35" s="63" t="str">
        <f>IF(C35="",0,CONCATENATE(COUNTIFS(Data!$N$2:$N$998,C35,Data!$O$2:$O$998,"New *")," New",", ",COUNTIFS(Data!$N$2:$N$998,C35,Data!$O$2:$O$998,"Repeat *")," Repeat"))</f>
        <v>0 New, 0 Repeat</v>
      </c>
      <c r="I35" s="132">
        <f>IF(OR(C35="DCOLLECTOR",C35="SAF2000",C35=""),"",VLOOKUP($C35,'C'!$C$1:$D$2479,2,FALSE))</f>
        <v>15</v>
      </c>
      <c r="J35" s="133">
        <f>IF(OR(C35="DCOLLECTOR",C35="SAF2000",C35=""),"",VLOOKUP($C35,'C'!$C$1:$E$2479,3,FALSE))</f>
        <v>100000000</v>
      </c>
      <c r="K35" s="134">
        <f t="shared" si="4"/>
        <v>0</v>
      </c>
      <c r="L35" s="134">
        <f t="shared" si="5"/>
        <v>0</v>
      </c>
      <c r="M35" s="88"/>
      <c r="N35" s="88"/>
      <c r="O35" s="88"/>
      <c r="AEA35" s="88"/>
      <c r="AEB35" s="88"/>
      <c r="AEC35" s="88"/>
      <c r="AED35" s="88"/>
      <c r="AEE35" s="88"/>
      <c r="AEF35" s="88"/>
      <c r="AEG35" s="88"/>
      <c r="AEH35" s="88"/>
      <c r="AEI35" s="88"/>
      <c r="AEJ35" s="88"/>
      <c r="AEK35" s="88"/>
      <c r="AEL35" s="88"/>
      <c r="AEM35" s="88"/>
      <c r="AEN35" s="88"/>
      <c r="AEO35" s="88"/>
      <c r="AEP35" s="88"/>
      <c r="AEQ35" s="88"/>
      <c r="AER35" s="88"/>
      <c r="AES35" s="88"/>
      <c r="AET35" s="88"/>
      <c r="AEU35" s="88"/>
      <c r="AEV35" s="88"/>
      <c r="AEW35" s="88"/>
      <c r="AEX35" s="88"/>
      <c r="AEY35" s="88"/>
      <c r="AEZ35" s="88"/>
      <c r="AFA35" s="88"/>
      <c r="AFB35" s="88"/>
      <c r="AFC35" s="88"/>
      <c r="AFD35" s="88"/>
      <c r="AFE35" s="88"/>
      <c r="AFF35" s="88"/>
      <c r="AFG35" s="88"/>
      <c r="AFH35" s="88"/>
      <c r="AFI35" s="88"/>
      <c r="AFJ35" s="88"/>
      <c r="AFK35" s="88"/>
      <c r="AFL35" s="88"/>
      <c r="AFM35" s="88"/>
      <c r="AFN35" s="88"/>
      <c r="AFO35" s="88"/>
      <c r="AFP35" s="88"/>
      <c r="AFQ35" s="88"/>
      <c r="AFR35" s="88"/>
      <c r="AFS35" s="88"/>
      <c r="AFT35" s="88"/>
      <c r="AFU35" s="88"/>
      <c r="AFV35" s="88"/>
      <c r="AFW35" s="88"/>
      <c r="AFX35" s="88"/>
      <c r="AFY35" s="88"/>
      <c r="AFZ35" s="88"/>
      <c r="AGA35" s="88"/>
      <c r="AGB35" s="88"/>
      <c r="AGC35" s="88"/>
      <c r="AGD35" s="88"/>
      <c r="AGE35" s="88"/>
      <c r="AGF35" s="88"/>
      <c r="AGG35" s="88"/>
      <c r="AGH35" s="88"/>
      <c r="AGI35" s="88"/>
      <c r="AGJ35" s="88"/>
      <c r="AGK35" s="88"/>
      <c r="AGL35" s="88"/>
      <c r="AGM35" s="88"/>
      <c r="AGN35" s="88"/>
      <c r="AGO35" s="88"/>
      <c r="AGP35" s="88"/>
      <c r="AGQ35" s="88"/>
      <c r="AGR35" s="88"/>
      <c r="AGS35" s="88"/>
      <c r="AGT35" s="88"/>
      <c r="AGU35" s="88"/>
      <c r="AGV35" s="88"/>
      <c r="AGW35" s="88"/>
      <c r="AGX35" s="88"/>
      <c r="AGY35" s="88"/>
      <c r="AGZ35" s="88"/>
      <c r="AHA35" s="88"/>
      <c r="AHB35" s="88"/>
      <c r="AHC35" s="88"/>
      <c r="AHD35" s="88"/>
      <c r="AHE35" s="88"/>
      <c r="AHF35" s="88"/>
      <c r="AHG35" s="88"/>
      <c r="AHH35" s="88"/>
    </row>
    <row r="36" spans="1:892" s="48" customFormat="1" ht="15" x14ac:dyDescent="0.25">
      <c r="A36" s="842"/>
      <c r="B36" s="848"/>
      <c r="C36" s="342" t="str">
        <f t="array" ref="C36">IFERROR(INDEX('C'!$C$1:$C$2479, SMALL(IF($B$33 = 'C'!$A$1:$A$2479, ROW('C'!$A$1:$A$2479) -
ROW('C'!$A$2) + 2), ROW(4:4))),"")</f>
        <v>ESEMAKULA</v>
      </c>
      <c r="D36" s="343" t="str">
        <f t="array" ref="D36">IFERROR(INDEX('C'!$B$1:$B$2479, SMALL(IF($B$33 = 'C'!$A$1:$A$2479, ROW('C'!$A$1:$A$2479) -
ROW('C'!$A$2) + 2), ROW(5:5))),"")</f>
        <v>WTM</v>
      </c>
      <c r="E36" s="96">
        <f t="shared" si="3"/>
        <v>2.2602731931181147E-2</v>
      </c>
      <c r="F36" s="93">
        <f>SUMIF(Data!$N$2:$N$998,Disbursement!C36,Data!$D$2:$D$998)</f>
        <v>4000000</v>
      </c>
      <c r="G36" s="63">
        <f>IF(C36="",0,COUNTIF(Data!$N$2:$N$998,C36))</f>
        <v>1</v>
      </c>
      <c r="H36" s="63" t="str">
        <f>IF(C36="",0,CONCATENATE(COUNTIFS(Data!$N$2:$N$998,C36,Data!$O$2:$O$998,"New *")," New",", ",COUNTIFS(Data!$N$2:$N$998,C36,Data!$O$2:$O$998,"Repeat *")," Repeat"))</f>
        <v>1 New, 0 Repeat</v>
      </c>
      <c r="I36" s="132">
        <f>IF(OR(C36="DCOLLECTOR",C36="SAF2000",C36=""),"",VLOOKUP($C36,'C'!$C$1:$D$2479,2,FALSE))</f>
        <v>10</v>
      </c>
      <c r="J36" s="133">
        <f>IF(OR(C36="DCOLLECTOR",C36="SAF2000",C36=""),"",VLOOKUP($C36,'C'!$C$1:$E$2479,3,FALSE))</f>
        <v>85000000</v>
      </c>
      <c r="K36" s="134">
        <f t="shared" si="4"/>
        <v>0.1</v>
      </c>
      <c r="L36" s="134">
        <f t="shared" si="5"/>
        <v>4.7058823529411764E-2</v>
      </c>
      <c r="M36" s="88"/>
      <c r="N36" s="88"/>
      <c r="O36" s="88"/>
      <c r="AEA36" s="88"/>
      <c r="AEB36" s="88"/>
      <c r="AEC36" s="88"/>
      <c r="AED36" s="88"/>
      <c r="AEE36" s="88"/>
      <c r="AEF36" s="88"/>
      <c r="AEG36" s="88"/>
      <c r="AEH36" s="88"/>
      <c r="AEI36" s="88"/>
      <c r="AEJ36" s="88"/>
      <c r="AEK36" s="88"/>
      <c r="AEL36" s="88"/>
      <c r="AEM36" s="88"/>
      <c r="AEN36" s="88"/>
      <c r="AEO36" s="88"/>
      <c r="AEP36" s="88"/>
      <c r="AEQ36" s="88"/>
      <c r="AER36" s="88"/>
      <c r="AES36" s="88"/>
      <c r="AET36" s="88"/>
      <c r="AEU36" s="88"/>
      <c r="AEV36" s="88"/>
      <c r="AEW36" s="88"/>
      <c r="AEX36" s="88"/>
      <c r="AEY36" s="88"/>
      <c r="AEZ36" s="88"/>
      <c r="AFA36" s="88"/>
      <c r="AFB36" s="88"/>
      <c r="AFC36" s="88"/>
      <c r="AFD36" s="88"/>
      <c r="AFE36" s="88"/>
      <c r="AFF36" s="88"/>
      <c r="AFG36" s="88"/>
      <c r="AFH36" s="88"/>
      <c r="AFI36" s="88"/>
      <c r="AFJ36" s="88"/>
      <c r="AFK36" s="88"/>
      <c r="AFL36" s="88"/>
      <c r="AFM36" s="88"/>
      <c r="AFN36" s="88"/>
      <c r="AFO36" s="88"/>
      <c r="AFP36" s="88"/>
      <c r="AFQ36" s="88"/>
      <c r="AFR36" s="88"/>
      <c r="AFS36" s="88"/>
      <c r="AFT36" s="88"/>
      <c r="AFU36" s="88"/>
      <c r="AFV36" s="88"/>
      <c r="AFW36" s="88"/>
      <c r="AFX36" s="88"/>
      <c r="AFY36" s="88"/>
      <c r="AFZ36" s="88"/>
      <c r="AGA36" s="88"/>
      <c r="AGB36" s="88"/>
      <c r="AGC36" s="88"/>
      <c r="AGD36" s="88"/>
      <c r="AGE36" s="88"/>
      <c r="AGF36" s="88"/>
      <c r="AGG36" s="88"/>
      <c r="AGH36" s="88"/>
      <c r="AGI36" s="88"/>
      <c r="AGJ36" s="88"/>
      <c r="AGK36" s="88"/>
      <c r="AGL36" s="88"/>
      <c r="AGM36" s="88"/>
      <c r="AGN36" s="88"/>
      <c r="AGO36" s="88"/>
      <c r="AGP36" s="88"/>
      <c r="AGQ36" s="88"/>
      <c r="AGR36" s="88"/>
      <c r="AGS36" s="88"/>
      <c r="AGT36" s="88"/>
      <c r="AGU36" s="88"/>
      <c r="AGV36" s="88"/>
      <c r="AGW36" s="88"/>
      <c r="AGX36" s="88"/>
      <c r="AGY36" s="88"/>
      <c r="AGZ36" s="88"/>
      <c r="AHA36" s="88"/>
      <c r="AHB36" s="88"/>
      <c r="AHC36" s="88"/>
      <c r="AHD36" s="88"/>
      <c r="AHE36" s="88"/>
      <c r="AHF36" s="88"/>
      <c r="AHG36" s="88"/>
      <c r="AHH36" s="88"/>
    </row>
    <row r="37" spans="1:892" s="48" customFormat="1" ht="14.25" customHeight="1" x14ac:dyDescent="0.25">
      <c r="A37" s="842"/>
      <c r="B37" s="848"/>
      <c r="C37" s="342" t="str">
        <f t="array" ref="C37">IFERROR(INDEX('C'!$C$1:$C$2479, SMALL(IF($B$33 = 'C'!$A$1:$A$2479, ROW('C'!$A$1:$A$2479) -
ROW('C'!$A$2) + 2), ROW(5:5))),"")</f>
        <v>VAOME</v>
      </c>
      <c r="D37" s="343" t="str">
        <f t="array" ref="D37">IFERROR(INDEX('C'!$B$1:$B$2479, SMALL(IF($B$33 = 'C'!$A$1:$A$2479, ROW('C'!$A$1:$A$2479) -
ROW('C'!$A$2) + 2), ROW(6:6))),"")</f>
        <v>WTM</v>
      </c>
      <c r="E37" s="96">
        <f t="shared" si="3"/>
        <v>0</v>
      </c>
      <c r="F37" s="93">
        <f>SUMIF(Data!$N$2:$N$998,Disbursement!C37,Data!$D$2:$D$998)</f>
        <v>0</v>
      </c>
      <c r="G37" s="63">
        <f>IF(C37="",0,COUNTIF(Data!$N$2:$N$998,C37))</f>
        <v>0</v>
      </c>
      <c r="H37" s="63" t="str">
        <f>IF(C37="",0,CONCATENATE(COUNTIFS(Data!$N$2:$N$998,C37,Data!$O$2:$O$998,"New *")," New",", ",COUNTIFS(Data!$N$2:$N$998,C37,Data!$O$2:$O$998,"Repeat *")," Repeat"))</f>
        <v>0 New, 0 Repeat</v>
      </c>
      <c r="I37" s="132">
        <f>IF(OR(C37="DCOLLECTOR",C37="SAF2000",C37=""),"",VLOOKUP($C37,'C'!$C$1:$D$2479,2,FALSE))</f>
        <v>10</v>
      </c>
      <c r="J37" s="133">
        <f>IF(OR(C37="DCOLLECTOR",C37="SAF2000",C37=""),"",VLOOKUP($C37,'C'!$C$1:$E$2479,3,FALSE))</f>
        <v>85000000</v>
      </c>
      <c r="K37" s="134">
        <f t="shared" si="4"/>
        <v>0</v>
      </c>
      <c r="L37" s="134">
        <f t="shared" si="5"/>
        <v>0</v>
      </c>
      <c r="M37" s="88"/>
      <c r="N37" s="88"/>
      <c r="O37" s="88"/>
      <c r="AEA37" s="88"/>
      <c r="AEB37" s="88"/>
      <c r="AEC37" s="88"/>
      <c r="AED37" s="88"/>
      <c r="AEE37" s="88"/>
      <c r="AEF37" s="88"/>
      <c r="AEG37" s="88"/>
      <c r="AEH37" s="88"/>
      <c r="AEI37" s="88"/>
      <c r="AEJ37" s="88"/>
      <c r="AEK37" s="88"/>
      <c r="AEL37" s="88"/>
      <c r="AEM37" s="88"/>
      <c r="AEN37" s="88"/>
      <c r="AEO37" s="88"/>
      <c r="AEP37" s="88"/>
      <c r="AEQ37" s="88"/>
      <c r="AER37" s="88"/>
      <c r="AES37" s="88"/>
      <c r="AET37" s="88"/>
      <c r="AEU37" s="88"/>
      <c r="AEV37" s="88"/>
      <c r="AEW37" s="88"/>
      <c r="AEX37" s="88"/>
      <c r="AEY37" s="88"/>
      <c r="AEZ37" s="88"/>
      <c r="AFA37" s="88"/>
      <c r="AFB37" s="88"/>
      <c r="AFC37" s="88"/>
      <c r="AFD37" s="88"/>
      <c r="AFE37" s="88"/>
      <c r="AFF37" s="88"/>
      <c r="AFG37" s="88"/>
      <c r="AFH37" s="88"/>
      <c r="AFI37" s="88"/>
      <c r="AFJ37" s="88"/>
      <c r="AFK37" s="88"/>
      <c r="AFL37" s="88"/>
      <c r="AFM37" s="88"/>
      <c r="AFN37" s="88"/>
      <c r="AFO37" s="88"/>
      <c r="AFP37" s="88"/>
      <c r="AFQ37" s="88"/>
      <c r="AFR37" s="88"/>
      <c r="AFS37" s="88"/>
      <c r="AFT37" s="88"/>
      <c r="AFU37" s="88"/>
      <c r="AFV37" s="88"/>
      <c r="AFW37" s="88"/>
      <c r="AFX37" s="88"/>
      <c r="AFY37" s="88"/>
      <c r="AFZ37" s="88"/>
      <c r="AGA37" s="88"/>
      <c r="AGB37" s="88"/>
      <c r="AGC37" s="88"/>
      <c r="AGD37" s="88"/>
      <c r="AGE37" s="88"/>
      <c r="AGF37" s="88"/>
      <c r="AGG37" s="88"/>
      <c r="AGH37" s="88"/>
      <c r="AGI37" s="88"/>
      <c r="AGJ37" s="88"/>
      <c r="AGK37" s="88"/>
      <c r="AGL37" s="88"/>
      <c r="AGM37" s="88"/>
      <c r="AGN37" s="88"/>
      <c r="AGO37" s="88"/>
      <c r="AGP37" s="88"/>
      <c r="AGQ37" s="88"/>
      <c r="AGR37" s="88"/>
      <c r="AGS37" s="88"/>
      <c r="AGT37" s="88"/>
      <c r="AGU37" s="88"/>
      <c r="AGV37" s="88"/>
      <c r="AGW37" s="88"/>
      <c r="AGX37" s="88"/>
      <c r="AGY37" s="88"/>
      <c r="AGZ37" s="88"/>
      <c r="AHA37" s="88"/>
      <c r="AHB37" s="88"/>
      <c r="AHC37" s="88"/>
      <c r="AHD37" s="88"/>
      <c r="AHE37" s="88"/>
      <c r="AHF37" s="88"/>
      <c r="AHG37" s="88"/>
      <c r="AHH37" s="88"/>
    </row>
    <row r="38" spans="1:892" s="48" customFormat="1" ht="15.6" thickBot="1" x14ac:dyDescent="0.3">
      <c r="A38" s="842"/>
      <c r="B38" s="848"/>
      <c r="C38" s="342" t="str">
        <f t="array" ref="C38">IFERROR(INDEX('C'!$C$1:$C$2479, SMALL(IF($B$33 = 'C'!$A$1:$A$2479, ROW('C'!$A$1:$A$2479) -
ROW('C'!$A$2) + 2), ROW(6:6))),"")</f>
        <v>RMALE</v>
      </c>
      <c r="D38" s="343" t="str">
        <f t="array" ref="D38">IFERROR(INDEX('C'!$B$1:$B$2479, SMALL(IF($B$33 = 'C'!$A$1:$A$2479, ROW('C'!$A$1:$A$2479) -
ROW('C'!$A$2) + 2), ROW(7:7))),"")</f>
        <v/>
      </c>
      <c r="E38" s="96">
        <f t="shared" si="3"/>
        <v>2.2602731931181147E-2</v>
      </c>
      <c r="F38" s="93">
        <f>SUMIF(Data!$N$2:$N$998,Disbursement!C38,Data!$D$2:$D$998)</f>
        <v>4000000</v>
      </c>
      <c r="G38" s="63">
        <f>IF(C38="",0,COUNTIF(Data!$N$2:$N$998,C38))</f>
        <v>1</v>
      </c>
      <c r="H38" s="63" t="str">
        <f>IF(C38="",0,CONCATENATE(COUNTIFS(Data!$N$2:$N$998,C38,Data!$O$2:$O$998,"New *")," New",", ",COUNTIFS(Data!$N$2:$N$998,C38,Data!$O$2:$O$998,"Repeat *")," Repeat"))</f>
        <v>1 New, 0 Repeat</v>
      </c>
      <c r="I38" s="132">
        <f>IF(OR(C38="DCOLLECTOR",C38="SAF2000",C38=""),"",VLOOKUP($C38,'C'!$C$1:$D$2479,2,FALSE))</f>
        <v>10</v>
      </c>
      <c r="J38" s="133">
        <f>IF(OR(C38="DCOLLECTOR",C38="SAF2000",C38=""),"",VLOOKUP($C38,'C'!$C$1:$E$2479,3,FALSE))</f>
        <v>85000000</v>
      </c>
      <c r="K38" s="134">
        <f t="shared" si="4"/>
        <v>0.1</v>
      </c>
      <c r="L38" s="134">
        <f t="shared" si="5"/>
        <v>4.7058823529411764E-2</v>
      </c>
      <c r="M38" s="88"/>
      <c r="N38" s="88"/>
      <c r="O38" s="88"/>
      <c r="AEA38" s="88"/>
      <c r="AEB38" s="88"/>
      <c r="AEC38" s="88"/>
      <c r="AED38" s="88"/>
      <c r="AEE38" s="88"/>
      <c r="AEF38" s="88"/>
      <c r="AEG38" s="88"/>
      <c r="AEH38" s="88"/>
      <c r="AEI38" s="88"/>
      <c r="AEJ38" s="88"/>
      <c r="AEK38" s="88"/>
      <c r="AEL38" s="88"/>
      <c r="AEM38" s="88"/>
      <c r="AEN38" s="88"/>
      <c r="AEO38" s="88"/>
      <c r="AEP38" s="88"/>
      <c r="AEQ38" s="88"/>
      <c r="AER38" s="88"/>
      <c r="AES38" s="88"/>
      <c r="AET38" s="88"/>
      <c r="AEU38" s="88"/>
      <c r="AEV38" s="88"/>
      <c r="AEW38" s="88"/>
      <c r="AEX38" s="88"/>
      <c r="AEY38" s="88"/>
      <c r="AEZ38" s="88"/>
      <c r="AFA38" s="88"/>
      <c r="AFB38" s="88"/>
      <c r="AFC38" s="88"/>
      <c r="AFD38" s="88"/>
      <c r="AFE38" s="88"/>
      <c r="AFF38" s="88"/>
      <c r="AFG38" s="88"/>
      <c r="AFH38" s="88"/>
      <c r="AFI38" s="88"/>
      <c r="AFJ38" s="88"/>
      <c r="AFK38" s="88"/>
      <c r="AFL38" s="88"/>
      <c r="AFM38" s="88"/>
      <c r="AFN38" s="88"/>
      <c r="AFO38" s="88"/>
      <c r="AFP38" s="88"/>
      <c r="AFQ38" s="88"/>
      <c r="AFR38" s="88"/>
      <c r="AFS38" s="88"/>
      <c r="AFT38" s="88"/>
      <c r="AFU38" s="88"/>
      <c r="AFV38" s="88"/>
      <c r="AFW38" s="88"/>
      <c r="AFX38" s="88"/>
      <c r="AFY38" s="88"/>
      <c r="AFZ38" s="88"/>
      <c r="AGA38" s="88"/>
      <c r="AGB38" s="88"/>
      <c r="AGC38" s="88"/>
      <c r="AGD38" s="88"/>
      <c r="AGE38" s="88"/>
      <c r="AGF38" s="88"/>
      <c r="AGG38" s="88"/>
      <c r="AGH38" s="88"/>
      <c r="AGI38" s="88"/>
      <c r="AGJ38" s="88"/>
      <c r="AGK38" s="88"/>
      <c r="AGL38" s="88"/>
      <c r="AGM38" s="88"/>
      <c r="AGN38" s="88"/>
      <c r="AGO38" s="88"/>
      <c r="AGP38" s="88"/>
      <c r="AGQ38" s="88"/>
      <c r="AGR38" s="88"/>
      <c r="AGS38" s="88"/>
      <c r="AGT38" s="88"/>
      <c r="AGU38" s="88"/>
      <c r="AGV38" s="88"/>
      <c r="AGW38" s="88"/>
      <c r="AGX38" s="88"/>
      <c r="AGY38" s="88"/>
      <c r="AGZ38" s="88"/>
      <c r="AHA38" s="88"/>
      <c r="AHB38" s="88"/>
      <c r="AHC38" s="88"/>
      <c r="AHD38" s="88"/>
      <c r="AHE38" s="88"/>
      <c r="AHF38" s="88"/>
      <c r="AHG38" s="88"/>
      <c r="AHH38" s="88"/>
    </row>
    <row r="39" spans="1:892" s="48" customFormat="1" ht="15.6" hidden="1" thickBot="1" x14ac:dyDescent="0.3">
      <c r="A39" s="842"/>
      <c r="B39" s="848"/>
      <c r="C39" s="342" t="str">
        <f t="array" ref="C39">IFERROR(INDEX('C'!$C$1:$C$2479, SMALL(IF($B$33 = 'C'!$A$1:$A$2479, ROW('C'!$A$1:$A$2479) -
ROW('C'!$A$2) + 2), ROW(7:7))),"")</f>
        <v/>
      </c>
      <c r="D39" s="63" t="str">
        <f t="array" ref="D39">IFERROR(INDEX('C'!$B$1:$B$2479, SMALL(IF($B$33 = 'C'!$A$1:$A$2479, ROW('C'!$A$1:$A$2479) -
ROW('C'!$A$2) + 2), ROW(9:9))),"")</f>
        <v/>
      </c>
      <c r="E39" s="96">
        <f t="shared" si="3"/>
        <v>0</v>
      </c>
      <c r="F39" s="93">
        <f>SUMIF(Data!$N$2:$N$998,Disbursement!C39,Data!$D$2:$D$998)</f>
        <v>0</v>
      </c>
      <c r="G39" s="63">
        <f>IF(C39="",0,COUNTIF(Data!$N$2:$N$998,C39))</f>
        <v>0</v>
      </c>
      <c r="H39" s="63">
        <f>IF(C39="",0,CONCATENATE(COUNTIFS(Data!$N$2:$N$998,C39,Data!$O$2:$O$998,"New *")," New",", ",COUNTIFS(Data!$N$2:$N$998,C39,Data!$O$2:$O$998,"Repeat *")," Repeat"))</f>
        <v>0</v>
      </c>
      <c r="I39" s="132" t="str">
        <f>IF(OR(C39="DCOLLECTOR",C39="SAF2000",C39=""),"",VLOOKUP($C39,'C'!$C$1:$D$2479,2,FALSE))</f>
        <v/>
      </c>
      <c r="J39" s="133" t="str">
        <f>IF(OR(C39="DCOLLECTOR",C39="SAF2000",C39=""),"",VLOOKUP($C39,'C'!$C$1:$E$2479,3,FALSE))</f>
        <v/>
      </c>
      <c r="K39" s="134">
        <f t="shared" si="4"/>
        <v>0</v>
      </c>
      <c r="L39" s="134" t="str">
        <f t="shared" si="5"/>
        <v/>
      </c>
      <c r="M39" s="88"/>
      <c r="N39" s="88"/>
      <c r="O39" s="88"/>
      <c r="AEA39" s="88"/>
      <c r="AEB39" s="88"/>
      <c r="AEC39" s="88"/>
      <c r="AED39" s="88"/>
      <c r="AEE39" s="88"/>
      <c r="AEF39" s="88"/>
      <c r="AEG39" s="88"/>
      <c r="AEH39" s="88"/>
      <c r="AEI39" s="88"/>
      <c r="AEJ39" s="88"/>
      <c r="AEK39" s="88"/>
      <c r="AEL39" s="88"/>
      <c r="AEM39" s="88"/>
      <c r="AEN39" s="88"/>
      <c r="AEO39" s="88"/>
      <c r="AEP39" s="88"/>
      <c r="AEQ39" s="88"/>
      <c r="AER39" s="88"/>
      <c r="AES39" s="88"/>
      <c r="AET39" s="88"/>
      <c r="AEU39" s="88"/>
      <c r="AEV39" s="88"/>
      <c r="AEW39" s="88"/>
      <c r="AEX39" s="88"/>
      <c r="AEY39" s="88"/>
      <c r="AEZ39" s="88"/>
      <c r="AFA39" s="88"/>
      <c r="AFB39" s="88"/>
      <c r="AFC39" s="88"/>
      <c r="AFD39" s="88"/>
      <c r="AFE39" s="88"/>
      <c r="AFF39" s="88"/>
      <c r="AFG39" s="88"/>
      <c r="AFH39" s="88"/>
      <c r="AFI39" s="88"/>
      <c r="AFJ39" s="88"/>
      <c r="AFK39" s="88"/>
      <c r="AFL39" s="88"/>
      <c r="AFM39" s="88"/>
      <c r="AFN39" s="88"/>
      <c r="AFO39" s="88"/>
      <c r="AFP39" s="88"/>
      <c r="AFQ39" s="88"/>
      <c r="AFR39" s="88"/>
      <c r="AFS39" s="88"/>
      <c r="AFT39" s="88"/>
      <c r="AFU39" s="88"/>
      <c r="AFV39" s="88"/>
      <c r="AFW39" s="88"/>
      <c r="AFX39" s="88"/>
      <c r="AFY39" s="88"/>
      <c r="AFZ39" s="88"/>
      <c r="AGA39" s="88"/>
      <c r="AGB39" s="88"/>
      <c r="AGC39" s="88"/>
      <c r="AGD39" s="88"/>
      <c r="AGE39" s="88"/>
      <c r="AGF39" s="88"/>
      <c r="AGG39" s="88"/>
      <c r="AGH39" s="88"/>
      <c r="AGI39" s="88"/>
      <c r="AGJ39" s="88"/>
      <c r="AGK39" s="88"/>
      <c r="AGL39" s="88"/>
      <c r="AGM39" s="88"/>
      <c r="AGN39" s="88"/>
      <c r="AGO39" s="88"/>
      <c r="AGP39" s="88"/>
      <c r="AGQ39" s="88"/>
      <c r="AGR39" s="88"/>
      <c r="AGS39" s="88"/>
      <c r="AGT39" s="88"/>
      <c r="AGU39" s="88"/>
      <c r="AGV39" s="88"/>
      <c r="AGW39" s="88"/>
      <c r="AGX39" s="88"/>
      <c r="AGY39" s="88"/>
      <c r="AGZ39" s="88"/>
      <c r="AHA39" s="88"/>
      <c r="AHB39" s="88"/>
      <c r="AHC39" s="88"/>
      <c r="AHD39" s="88"/>
      <c r="AHE39" s="88"/>
      <c r="AHF39" s="88"/>
      <c r="AHG39" s="88"/>
      <c r="AHH39" s="88"/>
    </row>
    <row r="40" spans="1:892" s="48" customFormat="1" ht="15" hidden="1" x14ac:dyDescent="0.25">
      <c r="A40" s="842"/>
      <c r="B40" s="848"/>
      <c r="C40" s="342" t="str">
        <f t="array" ref="C40">IFERROR(INDEX('C'!$C$1:$C$2479, SMALL(IF($B$33 = 'C'!$A$1:$A$2479, ROW('C'!$A$1:$A$2479) -
ROW('C'!$A$2) + 2), ROW(8:8))),"")</f>
        <v/>
      </c>
      <c r="D40" s="63" t="str">
        <f t="array" ref="D40">IFERROR(INDEX('C'!$B$1:$B$2479, SMALL(IF($B$33 = 'C'!$A$1:$A$2479, ROW('C'!$A$1:$A$2479) -
ROW('C'!$A$2) + 2), ROW(10:10))),"")</f>
        <v/>
      </c>
      <c r="E40" s="96">
        <f t="shared" si="3"/>
        <v>0</v>
      </c>
      <c r="F40" s="93">
        <f>SUMIF(Data!$N$2:$N$998,Disbursement!C40,Data!$D$2:$D$998)</f>
        <v>0</v>
      </c>
      <c r="G40" s="63">
        <f>IF(C40="",0,COUNTIF(Data!$N$2:$N$998,C40))</f>
        <v>0</v>
      </c>
      <c r="H40" s="63">
        <f>IF(C40="",0,CONCATENATE(COUNTIFS(Data!$N$2:$N$998,C40,Data!$O$2:$O$998,"New *")," New",", ",COUNTIFS(Data!$N$2:$N$998,C40,Data!$O$2:$O$998,"Repeat *")," Repeat"))</f>
        <v>0</v>
      </c>
      <c r="I40" s="132" t="str">
        <f>IF(OR(C40="DCOLLECTOR",C40="SAF2000",C40=""),"",VLOOKUP($C40,'C'!$C$1:$D$2479,2,FALSE))</f>
        <v/>
      </c>
      <c r="J40" s="133" t="str">
        <f>IF(OR(C40="DCOLLECTOR",C40="SAF2000",C40=""),"",VLOOKUP($C40,'C'!$C$1:$E$2479,3,FALSE))</f>
        <v/>
      </c>
      <c r="K40" s="134">
        <f t="shared" si="4"/>
        <v>0</v>
      </c>
      <c r="L40" s="134" t="str">
        <f t="shared" si="5"/>
        <v/>
      </c>
      <c r="M40" s="88"/>
      <c r="N40" s="88"/>
      <c r="O40" s="88"/>
      <c r="AEA40" s="88"/>
      <c r="AEB40" s="88"/>
      <c r="AEC40" s="88"/>
      <c r="AED40" s="88"/>
      <c r="AEE40" s="88"/>
      <c r="AEF40" s="88"/>
      <c r="AEG40" s="88"/>
      <c r="AEH40" s="88"/>
      <c r="AEI40" s="88"/>
      <c r="AEJ40" s="88"/>
      <c r="AEK40" s="88"/>
      <c r="AEL40" s="88"/>
      <c r="AEM40" s="88"/>
      <c r="AEN40" s="88"/>
      <c r="AEO40" s="88"/>
      <c r="AEP40" s="88"/>
      <c r="AEQ40" s="88"/>
      <c r="AER40" s="88"/>
      <c r="AES40" s="88"/>
      <c r="AET40" s="88"/>
      <c r="AEU40" s="88"/>
      <c r="AEV40" s="88"/>
      <c r="AEW40" s="88"/>
      <c r="AEX40" s="88"/>
      <c r="AEY40" s="88"/>
      <c r="AEZ40" s="88"/>
      <c r="AFA40" s="88"/>
      <c r="AFB40" s="88"/>
      <c r="AFC40" s="88"/>
      <c r="AFD40" s="88"/>
      <c r="AFE40" s="88"/>
      <c r="AFF40" s="88"/>
      <c r="AFG40" s="88"/>
      <c r="AFH40" s="88"/>
      <c r="AFI40" s="88"/>
      <c r="AFJ40" s="88"/>
      <c r="AFK40" s="88"/>
      <c r="AFL40" s="88"/>
      <c r="AFM40" s="88"/>
      <c r="AFN40" s="88"/>
      <c r="AFO40" s="88"/>
      <c r="AFP40" s="88"/>
      <c r="AFQ40" s="88"/>
      <c r="AFR40" s="88"/>
      <c r="AFS40" s="88"/>
      <c r="AFT40" s="88"/>
      <c r="AFU40" s="88"/>
      <c r="AFV40" s="88"/>
      <c r="AFW40" s="88"/>
      <c r="AFX40" s="88"/>
      <c r="AFY40" s="88"/>
      <c r="AFZ40" s="88"/>
      <c r="AGA40" s="88"/>
      <c r="AGB40" s="88"/>
      <c r="AGC40" s="88"/>
      <c r="AGD40" s="88"/>
      <c r="AGE40" s="88"/>
      <c r="AGF40" s="88"/>
      <c r="AGG40" s="88"/>
      <c r="AGH40" s="88"/>
      <c r="AGI40" s="88"/>
      <c r="AGJ40" s="88"/>
      <c r="AGK40" s="88"/>
      <c r="AGL40" s="88"/>
      <c r="AGM40" s="88"/>
      <c r="AGN40" s="88"/>
      <c r="AGO40" s="88"/>
      <c r="AGP40" s="88"/>
      <c r="AGQ40" s="88"/>
      <c r="AGR40" s="88"/>
      <c r="AGS40" s="88"/>
      <c r="AGT40" s="88"/>
      <c r="AGU40" s="88"/>
      <c r="AGV40" s="88"/>
      <c r="AGW40" s="88"/>
      <c r="AGX40" s="88"/>
      <c r="AGY40" s="88"/>
      <c r="AGZ40" s="88"/>
      <c r="AHA40" s="88"/>
      <c r="AHB40" s="88"/>
      <c r="AHC40" s="88"/>
      <c r="AHD40" s="88"/>
      <c r="AHE40" s="88"/>
      <c r="AHF40" s="88"/>
      <c r="AHG40" s="88"/>
      <c r="AHH40" s="88"/>
    </row>
    <row r="41" spans="1:892" s="48" customFormat="1" ht="15" hidden="1" x14ac:dyDescent="0.25">
      <c r="A41" s="842"/>
      <c r="B41" s="848"/>
      <c r="C41" s="342" t="str">
        <f t="array" ref="C41">IFERROR(INDEX('C'!$C$1:$C$2479, SMALL(IF($B$33 = 'C'!$A$1:$A$2479, ROW('C'!$A$1:$A$2479) -
ROW('C'!$A$2) + 2), ROW(9:9))),"")</f>
        <v/>
      </c>
      <c r="D41" s="63" t="str">
        <f t="array" ref="D41">IFERROR(INDEX('C'!$B$1:$B$2479, SMALL(IF($B$33 = 'C'!$A$1:$A$2479, ROW('C'!$A$1:$A$2479) -
ROW('C'!$A$2) + 2), ROW(11:11))),"")</f>
        <v/>
      </c>
      <c r="E41" s="96">
        <f t="shared" si="3"/>
        <v>0</v>
      </c>
      <c r="F41" s="93">
        <f>SUMIF(Data!$N$2:$N$998,Disbursement!C41,Data!$D$2:$D$998)</f>
        <v>0</v>
      </c>
      <c r="G41" s="63">
        <f>IF(C41="",0,COUNTIF(Data!$N$2:$N$998,C41))</f>
        <v>0</v>
      </c>
      <c r="H41" s="63">
        <f>IF(C41="",0,CONCATENATE(COUNTIFS(Data!$N$2:$N$998,C41,Data!$O$2:$O$998,"New *")," New",", ",COUNTIFS(Data!$N$2:$N$998,C41,Data!$O$2:$O$998,"Repeat *")," Repeat"))</f>
        <v>0</v>
      </c>
      <c r="I41" s="132" t="str">
        <f>IF(OR(C41="DCOLLECTOR",C41="SAF2000",C41=""),"",VLOOKUP($C41,'C'!$C$1:$D$2479,2,FALSE))</f>
        <v/>
      </c>
      <c r="J41" s="133" t="str">
        <f>IF(OR(C41="DCOLLECTOR",C41="SAF2000",C41=""),"",VLOOKUP($C41,'C'!$C$1:$E$2479,3,FALSE))</f>
        <v/>
      </c>
      <c r="K41" s="134">
        <f t="shared" si="4"/>
        <v>0</v>
      </c>
      <c r="L41" s="134" t="str">
        <f t="shared" si="5"/>
        <v/>
      </c>
      <c r="M41" s="88"/>
      <c r="N41" s="88"/>
      <c r="O41" s="88"/>
      <c r="AEA41" s="88"/>
      <c r="AEB41" s="88"/>
      <c r="AEC41" s="88"/>
      <c r="AED41" s="88"/>
      <c r="AEE41" s="88"/>
      <c r="AEF41" s="88"/>
      <c r="AEG41" s="88"/>
      <c r="AEH41" s="88"/>
      <c r="AEI41" s="88"/>
      <c r="AEJ41" s="88"/>
      <c r="AEK41" s="88"/>
      <c r="AEL41" s="88"/>
      <c r="AEM41" s="88"/>
      <c r="AEN41" s="88"/>
      <c r="AEO41" s="88"/>
      <c r="AEP41" s="88"/>
      <c r="AEQ41" s="88"/>
      <c r="AER41" s="88"/>
      <c r="AES41" s="88"/>
      <c r="AET41" s="88"/>
      <c r="AEU41" s="88"/>
      <c r="AEV41" s="88"/>
      <c r="AEW41" s="88"/>
      <c r="AEX41" s="88"/>
      <c r="AEY41" s="88"/>
      <c r="AEZ41" s="88"/>
      <c r="AFA41" s="88"/>
      <c r="AFB41" s="88"/>
      <c r="AFC41" s="88"/>
      <c r="AFD41" s="88"/>
      <c r="AFE41" s="88"/>
      <c r="AFF41" s="88"/>
      <c r="AFG41" s="88"/>
      <c r="AFH41" s="88"/>
      <c r="AFI41" s="88"/>
      <c r="AFJ41" s="88"/>
      <c r="AFK41" s="88"/>
      <c r="AFL41" s="88"/>
      <c r="AFM41" s="88"/>
      <c r="AFN41" s="88"/>
      <c r="AFO41" s="88"/>
      <c r="AFP41" s="88"/>
      <c r="AFQ41" s="88"/>
      <c r="AFR41" s="88"/>
      <c r="AFS41" s="88"/>
      <c r="AFT41" s="88"/>
      <c r="AFU41" s="88"/>
      <c r="AFV41" s="88"/>
      <c r="AFW41" s="88"/>
      <c r="AFX41" s="88"/>
      <c r="AFY41" s="88"/>
      <c r="AFZ41" s="88"/>
      <c r="AGA41" s="88"/>
      <c r="AGB41" s="88"/>
      <c r="AGC41" s="88"/>
      <c r="AGD41" s="88"/>
      <c r="AGE41" s="88"/>
      <c r="AGF41" s="88"/>
      <c r="AGG41" s="88"/>
      <c r="AGH41" s="88"/>
      <c r="AGI41" s="88"/>
      <c r="AGJ41" s="88"/>
      <c r="AGK41" s="88"/>
      <c r="AGL41" s="88"/>
      <c r="AGM41" s="88"/>
      <c r="AGN41" s="88"/>
      <c r="AGO41" s="88"/>
      <c r="AGP41" s="88"/>
      <c r="AGQ41" s="88"/>
      <c r="AGR41" s="88"/>
      <c r="AGS41" s="88"/>
      <c r="AGT41" s="88"/>
      <c r="AGU41" s="88"/>
      <c r="AGV41" s="88"/>
      <c r="AGW41" s="88"/>
      <c r="AGX41" s="88"/>
      <c r="AGY41" s="88"/>
      <c r="AGZ41" s="88"/>
      <c r="AHA41" s="88"/>
      <c r="AHB41" s="88"/>
      <c r="AHC41" s="88"/>
      <c r="AHD41" s="88"/>
      <c r="AHE41" s="88"/>
      <c r="AHF41" s="88"/>
      <c r="AHG41" s="88"/>
      <c r="AHH41" s="88"/>
    </row>
    <row r="42" spans="1:892" s="48" customFormat="1" ht="15" hidden="1" x14ac:dyDescent="0.25">
      <c r="A42" s="842"/>
      <c r="B42" s="848"/>
      <c r="C42" s="342" t="str">
        <f t="array" ref="C42">IFERROR(INDEX('C'!$C$1:$C$2479, SMALL(IF($B$33 = 'C'!$A$1:$A$2479, ROW('C'!$A$1:$A$2479) -
ROW('C'!$A$2) + 2), ROW(10:10))),"")</f>
        <v/>
      </c>
      <c r="D42" s="63" t="str">
        <f t="array" ref="D42">IFERROR(INDEX('C'!$B$1:$B$2479, SMALL(IF($B$33 = 'C'!$A$1:$A$2479, ROW('C'!$A$1:$A$2479) -
ROW('C'!$A$2) + 2), ROW(12:12))),"")</f>
        <v/>
      </c>
      <c r="E42" s="96">
        <f t="shared" si="3"/>
        <v>0</v>
      </c>
      <c r="F42" s="93">
        <f>SUMIF(Data!$N$2:$N$998,Disbursement!C42,Data!$D$2:$D$998)</f>
        <v>0</v>
      </c>
      <c r="G42" s="63">
        <f>IF(C42="",0,COUNTIF(Data!$N$2:$N$998,C42))</f>
        <v>0</v>
      </c>
      <c r="H42" s="63">
        <f>IF(C42="",0,CONCATENATE(COUNTIFS(Data!$N$2:$N$998,C42,Data!$O$2:$O$998,"New *")," New",", ",COUNTIFS(Data!$N$2:$N$998,C42,Data!$O$2:$O$998,"Repeat *")," Repeat"))</f>
        <v>0</v>
      </c>
      <c r="I42" s="132" t="str">
        <f>IF(OR(C42="DCOLLECTOR",C42="SAF2000",C42=""),"",VLOOKUP($C42,'C'!$C$1:$D$2479,2,FALSE))</f>
        <v/>
      </c>
      <c r="J42" s="133" t="str">
        <f>IF(OR(C42="DCOLLECTOR",C42="SAF2000",C42=""),"",VLOOKUP($C42,'C'!$C$1:$E$2479,3,FALSE))</f>
        <v/>
      </c>
      <c r="K42" s="134">
        <f t="shared" si="4"/>
        <v>0</v>
      </c>
      <c r="L42" s="134" t="str">
        <f t="shared" si="5"/>
        <v/>
      </c>
      <c r="M42" s="88"/>
      <c r="N42" s="88"/>
      <c r="O42" s="88"/>
      <c r="AEA42" s="88"/>
      <c r="AEB42" s="88"/>
      <c r="AEC42" s="88"/>
      <c r="AED42" s="88"/>
      <c r="AEE42" s="88"/>
      <c r="AEF42" s="88"/>
      <c r="AEG42" s="88"/>
      <c r="AEH42" s="88"/>
      <c r="AEI42" s="88"/>
      <c r="AEJ42" s="88"/>
      <c r="AEK42" s="88"/>
      <c r="AEL42" s="88"/>
      <c r="AEM42" s="88"/>
      <c r="AEN42" s="88"/>
      <c r="AEO42" s="88"/>
      <c r="AEP42" s="88"/>
      <c r="AEQ42" s="88"/>
      <c r="AER42" s="88"/>
      <c r="AES42" s="88"/>
      <c r="AET42" s="88"/>
      <c r="AEU42" s="88"/>
      <c r="AEV42" s="88"/>
      <c r="AEW42" s="88"/>
      <c r="AEX42" s="88"/>
      <c r="AEY42" s="88"/>
      <c r="AEZ42" s="88"/>
      <c r="AFA42" s="88"/>
      <c r="AFB42" s="88"/>
      <c r="AFC42" s="88"/>
      <c r="AFD42" s="88"/>
      <c r="AFE42" s="88"/>
      <c r="AFF42" s="88"/>
      <c r="AFG42" s="88"/>
      <c r="AFH42" s="88"/>
      <c r="AFI42" s="88"/>
      <c r="AFJ42" s="88"/>
      <c r="AFK42" s="88"/>
      <c r="AFL42" s="88"/>
      <c r="AFM42" s="88"/>
      <c r="AFN42" s="88"/>
      <c r="AFO42" s="88"/>
      <c r="AFP42" s="88"/>
      <c r="AFQ42" s="88"/>
      <c r="AFR42" s="88"/>
      <c r="AFS42" s="88"/>
      <c r="AFT42" s="88"/>
      <c r="AFU42" s="88"/>
      <c r="AFV42" s="88"/>
      <c r="AFW42" s="88"/>
      <c r="AFX42" s="88"/>
      <c r="AFY42" s="88"/>
      <c r="AFZ42" s="88"/>
      <c r="AGA42" s="88"/>
      <c r="AGB42" s="88"/>
      <c r="AGC42" s="88"/>
      <c r="AGD42" s="88"/>
      <c r="AGE42" s="88"/>
      <c r="AGF42" s="88"/>
      <c r="AGG42" s="88"/>
      <c r="AGH42" s="88"/>
      <c r="AGI42" s="88"/>
      <c r="AGJ42" s="88"/>
      <c r="AGK42" s="88"/>
      <c r="AGL42" s="88"/>
      <c r="AGM42" s="88"/>
      <c r="AGN42" s="88"/>
      <c r="AGO42" s="88"/>
      <c r="AGP42" s="88"/>
      <c r="AGQ42" s="88"/>
      <c r="AGR42" s="88"/>
      <c r="AGS42" s="88"/>
      <c r="AGT42" s="88"/>
      <c r="AGU42" s="88"/>
      <c r="AGV42" s="88"/>
      <c r="AGW42" s="88"/>
      <c r="AGX42" s="88"/>
      <c r="AGY42" s="88"/>
      <c r="AGZ42" s="88"/>
      <c r="AHA42" s="88"/>
      <c r="AHB42" s="88"/>
      <c r="AHC42" s="88"/>
      <c r="AHD42" s="88"/>
      <c r="AHE42" s="88"/>
      <c r="AHF42" s="88"/>
      <c r="AHG42" s="88"/>
      <c r="AHH42" s="88"/>
    </row>
    <row r="43" spans="1:892" s="48" customFormat="1" ht="15" hidden="1" x14ac:dyDescent="0.25">
      <c r="A43" s="842"/>
      <c r="B43" s="848"/>
      <c r="C43" s="157" t="str">
        <f t="array" ref="C43">IFERROR(INDEX('C'!$C$1:$C$2479, SMALL(IF($B$33 = 'C'!$A$1:$A$2479, ROW('C'!$A$1:$A$2479) -
ROW('C'!$A$2) + 2), ROW(12:12))),"")</f>
        <v/>
      </c>
      <c r="D43" s="63" t="str">
        <f t="array" ref="D43">IFERROR(INDEX('C'!$B$1:$B$2479, SMALL(IF($B$33 = 'C'!$A$1:$A$2479, ROW('C'!$A$1:$A$2479) -
ROW('C'!$A$2) + 2), ROW(#REF!))),"")</f>
        <v/>
      </c>
      <c r="E43" s="96">
        <f t="shared" si="3"/>
        <v>0</v>
      </c>
      <c r="F43" s="93">
        <f>SUMIF(Data!$N$2:$N$998,Disbursement!C43,Data!$D$2:$D$998)</f>
        <v>0</v>
      </c>
      <c r="G43" s="63">
        <f>IF(C43="",0,COUNTIF(Data!$N$2:$N$998,C43))</f>
        <v>0</v>
      </c>
      <c r="H43" s="63">
        <f>IF(C43="",0,CONCATENATE(COUNTIFS(Data!$N$2:$N$998,C43,Data!$O$2:$O$998,"New *")," New",", ",COUNTIFS(Data!$N$2:$N$998,C43,Data!$O$2:$O$998,"Repeat *")," Repeat"))</f>
        <v>0</v>
      </c>
      <c r="I43" s="132" t="str">
        <f>IF(OR(C43="DCOLLECTOR",C43="SAF2000",C43=""),"",VLOOKUP($C43,'C'!$C$1:$D$2479,2,FALSE))</f>
        <v/>
      </c>
      <c r="J43" s="133" t="str">
        <f>IF(OR(C43="DCOLLECTOR",C43="SAF2000",C43=""),"",VLOOKUP($C43,'C'!$C$1:$E$2479,3,FALSE))</f>
        <v/>
      </c>
      <c r="K43" s="134">
        <f t="shared" si="4"/>
        <v>0</v>
      </c>
      <c r="L43" s="134" t="str">
        <f t="shared" si="5"/>
        <v/>
      </c>
      <c r="M43" s="88"/>
      <c r="N43" s="88"/>
      <c r="O43" s="88"/>
      <c r="AEA43" s="88"/>
      <c r="AEB43" s="88"/>
      <c r="AEC43" s="88"/>
      <c r="AED43" s="88"/>
      <c r="AEE43" s="88"/>
      <c r="AEF43" s="88"/>
      <c r="AEG43" s="88"/>
      <c r="AEH43" s="88"/>
      <c r="AEI43" s="88"/>
      <c r="AEJ43" s="88"/>
      <c r="AEK43" s="88"/>
      <c r="AEL43" s="88"/>
      <c r="AEM43" s="88"/>
      <c r="AEN43" s="88"/>
      <c r="AEO43" s="88"/>
      <c r="AEP43" s="88"/>
      <c r="AEQ43" s="88"/>
      <c r="AER43" s="88"/>
      <c r="AES43" s="88"/>
      <c r="AET43" s="88"/>
      <c r="AEU43" s="88"/>
      <c r="AEV43" s="88"/>
      <c r="AEW43" s="88"/>
      <c r="AEX43" s="88"/>
      <c r="AEY43" s="88"/>
      <c r="AEZ43" s="88"/>
      <c r="AFA43" s="88"/>
      <c r="AFB43" s="88"/>
      <c r="AFC43" s="88"/>
      <c r="AFD43" s="88"/>
      <c r="AFE43" s="88"/>
      <c r="AFF43" s="88"/>
      <c r="AFG43" s="88"/>
      <c r="AFH43" s="88"/>
      <c r="AFI43" s="88"/>
      <c r="AFJ43" s="88"/>
      <c r="AFK43" s="88"/>
      <c r="AFL43" s="88"/>
      <c r="AFM43" s="88"/>
      <c r="AFN43" s="88"/>
      <c r="AFO43" s="88"/>
      <c r="AFP43" s="88"/>
      <c r="AFQ43" s="88"/>
      <c r="AFR43" s="88"/>
      <c r="AFS43" s="88"/>
      <c r="AFT43" s="88"/>
      <c r="AFU43" s="88"/>
      <c r="AFV43" s="88"/>
      <c r="AFW43" s="88"/>
      <c r="AFX43" s="88"/>
      <c r="AFY43" s="88"/>
      <c r="AFZ43" s="88"/>
      <c r="AGA43" s="88"/>
      <c r="AGB43" s="88"/>
      <c r="AGC43" s="88"/>
      <c r="AGD43" s="88"/>
      <c r="AGE43" s="88"/>
      <c r="AGF43" s="88"/>
      <c r="AGG43" s="88"/>
      <c r="AGH43" s="88"/>
      <c r="AGI43" s="88"/>
      <c r="AGJ43" s="88"/>
      <c r="AGK43" s="88"/>
      <c r="AGL43" s="88"/>
      <c r="AGM43" s="88"/>
      <c r="AGN43" s="88"/>
      <c r="AGO43" s="88"/>
      <c r="AGP43" s="88"/>
      <c r="AGQ43" s="88"/>
      <c r="AGR43" s="88"/>
      <c r="AGS43" s="88"/>
      <c r="AGT43" s="88"/>
      <c r="AGU43" s="88"/>
      <c r="AGV43" s="88"/>
      <c r="AGW43" s="88"/>
      <c r="AGX43" s="88"/>
      <c r="AGY43" s="88"/>
      <c r="AGZ43" s="88"/>
      <c r="AHA43" s="88"/>
      <c r="AHB43" s="88"/>
      <c r="AHC43" s="88"/>
      <c r="AHD43" s="88"/>
      <c r="AHE43" s="88"/>
      <c r="AHF43" s="88"/>
      <c r="AHG43" s="88"/>
      <c r="AHH43" s="88"/>
    </row>
    <row r="44" spans="1:892" s="48" customFormat="1" ht="15" hidden="1" x14ac:dyDescent="0.25">
      <c r="A44" s="842"/>
      <c r="B44" s="848"/>
      <c r="C44" s="157" t="str">
        <f t="array" ref="C44">IFERROR(INDEX('C'!$C$1:$C$2479, SMALL(IF($B$33 = 'C'!$A$1:$A$2479, ROW('C'!$A$1:$A$2479) -
ROW('C'!$A$2) + 2), ROW(#REF!))),"")</f>
        <v/>
      </c>
      <c r="D44" s="63" t="str">
        <f t="array" ref="D44">IFERROR(INDEX('C'!$B$1:$B$2479, SMALL(IF($B$33 = 'C'!$A$1:$A$2479, ROW('C'!$A$1:$A$2479) -
ROW('C'!$A$2) + 2), ROW(13:13))),"")</f>
        <v/>
      </c>
      <c r="E44" s="96">
        <f t="shared" si="3"/>
        <v>0</v>
      </c>
      <c r="F44" s="93">
        <f>SUMIF(Data!$N$2:$N$998,Disbursement!C44,Data!$D$2:$D$998)</f>
        <v>0</v>
      </c>
      <c r="G44" s="63">
        <f>IF(C44="",0,COUNTIF(Data!$N$2:$N$998,C44))</f>
        <v>0</v>
      </c>
      <c r="H44" s="63">
        <f>IF(C44="",0,CONCATENATE(COUNTIFS(Data!$N$2:$N$998,C44,Data!$O$2:$O$998,"New *")," New",", ",COUNTIFS(Data!$N$2:$N$998,C44,Data!$O$2:$O$998,"Repeat *")," Repeat"))</f>
        <v>0</v>
      </c>
      <c r="I44" s="132" t="str">
        <f>IF(OR(C44="DCOLLECTOR",C44="SAF2000",C44=""),"",VLOOKUP($C44,'C'!$C$1:$D$2479,2,FALSE))</f>
        <v/>
      </c>
      <c r="J44" s="133" t="str">
        <f>IF(OR(C44="DCOLLECTOR",C44="SAF2000",C44=""),"",VLOOKUP($C44,'C'!$C$1:$E$2479,3,FALSE))</f>
        <v/>
      </c>
      <c r="K44" s="134">
        <f t="shared" si="4"/>
        <v>0</v>
      </c>
      <c r="L44" s="134" t="str">
        <f t="shared" si="5"/>
        <v/>
      </c>
      <c r="M44" s="88"/>
      <c r="N44" s="88"/>
      <c r="O44" s="88"/>
      <c r="AEA44" s="88"/>
      <c r="AEB44" s="88"/>
      <c r="AEC44" s="88"/>
      <c r="AED44" s="88"/>
      <c r="AEE44" s="88"/>
      <c r="AEF44" s="88"/>
      <c r="AEG44" s="88"/>
      <c r="AEH44" s="88"/>
      <c r="AEI44" s="88"/>
      <c r="AEJ44" s="88"/>
      <c r="AEK44" s="88"/>
      <c r="AEL44" s="88"/>
      <c r="AEM44" s="88"/>
      <c r="AEN44" s="88"/>
      <c r="AEO44" s="88"/>
      <c r="AEP44" s="88"/>
      <c r="AEQ44" s="88"/>
      <c r="AER44" s="88"/>
      <c r="AES44" s="88"/>
      <c r="AET44" s="88"/>
      <c r="AEU44" s="88"/>
      <c r="AEV44" s="88"/>
      <c r="AEW44" s="88"/>
      <c r="AEX44" s="88"/>
      <c r="AEY44" s="88"/>
      <c r="AEZ44" s="88"/>
      <c r="AFA44" s="88"/>
      <c r="AFB44" s="88"/>
      <c r="AFC44" s="88"/>
      <c r="AFD44" s="88"/>
      <c r="AFE44" s="88"/>
      <c r="AFF44" s="88"/>
      <c r="AFG44" s="88"/>
      <c r="AFH44" s="88"/>
      <c r="AFI44" s="88"/>
      <c r="AFJ44" s="88"/>
      <c r="AFK44" s="88"/>
      <c r="AFL44" s="88"/>
      <c r="AFM44" s="88"/>
      <c r="AFN44" s="88"/>
      <c r="AFO44" s="88"/>
      <c r="AFP44" s="88"/>
      <c r="AFQ44" s="88"/>
      <c r="AFR44" s="88"/>
      <c r="AFS44" s="88"/>
      <c r="AFT44" s="88"/>
      <c r="AFU44" s="88"/>
      <c r="AFV44" s="88"/>
      <c r="AFW44" s="88"/>
      <c r="AFX44" s="88"/>
      <c r="AFY44" s="88"/>
      <c r="AFZ44" s="88"/>
      <c r="AGA44" s="88"/>
      <c r="AGB44" s="88"/>
      <c r="AGC44" s="88"/>
      <c r="AGD44" s="88"/>
      <c r="AGE44" s="88"/>
      <c r="AGF44" s="88"/>
      <c r="AGG44" s="88"/>
      <c r="AGH44" s="88"/>
      <c r="AGI44" s="88"/>
      <c r="AGJ44" s="88"/>
      <c r="AGK44" s="88"/>
      <c r="AGL44" s="88"/>
      <c r="AGM44" s="88"/>
      <c r="AGN44" s="88"/>
      <c r="AGO44" s="88"/>
      <c r="AGP44" s="88"/>
      <c r="AGQ44" s="88"/>
      <c r="AGR44" s="88"/>
      <c r="AGS44" s="88"/>
      <c r="AGT44" s="88"/>
      <c r="AGU44" s="88"/>
      <c r="AGV44" s="88"/>
      <c r="AGW44" s="88"/>
      <c r="AGX44" s="88"/>
      <c r="AGY44" s="88"/>
      <c r="AGZ44" s="88"/>
      <c r="AHA44" s="88"/>
      <c r="AHB44" s="88"/>
      <c r="AHC44" s="88"/>
      <c r="AHD44" s="88"/>
      <c r="AHE44" s="88"/>
      <c r="AHF44" s="88"/>
      <c r="AHG44" s="88"/>
      <c r="AHH44" s="88"/>
    </row>
    <row r="45" spans="1:892" s="48" customFormat="1" ht="15" hidden="1" x14ac:dyDescent="0.25">
      <c r="A45" s="842"/>
      <c r="B45" s="848"/>
      <c r="C45" s="157" t="str">
        <f t="array" ref="C45">IFERROR(INDEX('C'!$C$1:$C$2479, SMALL(IF($B$33 = 'C'!$A$1:$A$2479, ROW('C'!$A$1:$A$2479) -
ROW('C'!$A$2) + 2), ROW(13:13))),"")</f>
        <v/>
      </c>
      <c r="D45" s="63" t="str">
        <f t="array" ref="D45">IFERROR(INDEX('C'!$B$1:$B$2479, SMALL(IF($B$33 = 'C'!$A$1:$A$2479, ROW('C'!$A$1:$A$2479) -
ROW('C'!$A$2) + 2), ROW(14:14))),"")</f>
        <v/>
      </c>
      <c r="E45" s="96">
        <f t="shared" si="3"/>
        <v>0</v>
      </c>
      <c r="F45" s="93">
        <f>SUMIF(Data!$N$2:$N$998,Disbursement!C45,Data!$D$2:$D$998)</f>
        <v>0</v>
      </c>
      <c r="G45" s="63">
        <f>IF(C45="",0,COUNTIF(Data!$N$2:$N$998,C45))</f>
        <v>0</v>
      </c>
      <c r="H45" s="63">
        <f>IF(C45="",0,CONCATENATE(COUNTIFS(Data!$N$2:$N$998,C45,Data!$O$2:$O$998,"New *")," New",", ",COUNTIFS(Data!$N$2:$N$998,C45,Data!$O$2:$O$998,"Repeat *")," Repeat"))</f>
        <v>0</v>
      </c>
      <c r="I45" s="132" t="str">
        <f>IF(OR(C45="DCOLLECTOR",C45="SAF2000",C45=""),"",VLOOKUP($C45,'C'!$C$1:$D$2479,2,FALSE))</f>
        <v/>
      </c>
      <c r="J45" s="133" t="str">
        <f>IF(OR(C45="DCOLLECTOR",C45="SAF2000",C45=""),"",VLOOKUP($C45,'C'!$C$1:$E$2479,3,FALSE))</f>
        <v/>
      </c>
      <c r="K45" s="134">
        <f t="shared" si="4"/>
        <v>0</v>
      </c>
      <c r="L45" s="134" t="str">
        <f t="shared" si="5"/>
        <v/>
      </c>
      <c r="M45" s="88"/>
      <c r="N45" s="88"/>
      <c r="O45" s="88"/>
      <c r="AEA45" s="88"/>
      <c r="AEB45" s="88"/>
      <c r="AEC45" s="88"/>
      <c r="AED45" s="88"/>
      <c r="AEE45" s="88"/>
      <c r="AEF45" s="88"/>
      <c r="AEG45" s="88"/>
      <c r="AEH45" s="88"/>
      <c r="AEI45" s="88"/>
      <c r="AEJ45" s="88"/>
      <c r="AEK45" s="88"/>
      <c r="AEL45" s="88"/>
      <c r="AEM45" s="88"/>
      <c r="AEN45" s="88"/>
      <c r="AEO45" s="88"/>
      <c r="AEP45" s="88"/>
      <c r="AEQ45" s="88"/>
      <c r="AER45" s="88"/>
      <c r="AES45" s="88"/>
      <c r="AET45" s="88"/>
      <c r="AEU45" s="88"/>
      <c r="AEV45" s="88"/>
      <c r="AEW45" s="88"/>
      <c r="AEX45" s="88"/>
      <c r="AEY45" s="88"/>
      <c r="AEZ45" s="88"/>
      <c r="AFA45" s="88"/>
      <c r="AFB45" s="88"/>
      <c r="AFC45" s="88"/>
      <c r="AFD45" s="88"/>
      <c r="AFE45" s="88"/>
      <c r="AFF45" s="88"/>
      <c r="AFG45" s="88"/>
      <c r="AFH45" s="88"/>
      <c r="AFI45" s="88"/>
      <c r="AFJ45" s="88"/>
      <c r="AFK45" s="88"/>
      <c r="AFL45" s="88"/>
      <c r="AFM45" s="88"/>
      <c r="AFN45" s="88"/>
      <c r="AFO45" s="88"/>
      <c r="AFP45" s="88"/>
      <c r="AFQ45" s="88"/>
      <c r="AFR45" s="88"/>
      <c r="AFS45" s="88"/>
      <c r="AFT45" s="88"/>
      <c r="AFU45" s="88"/>
      <c r="AFV45" s="88"/>
      <c r="AFW45" s="88"/>
      <c r="AFX45" s="88"/>
      <c r="AFY45" s="88"/>
      <c r="AFZ45" s="88"/>
      <c r="AGA45" s="88"/>
      <c r="AGB45" s="88"/>
      <c r="AGC45" s="88"/>
      <c r="AGD45" s="88"/>
      <c r="AGE45" s="88"/>
      <c r="AGF45" s="88"/>
      <c r="AGG45" s="88"/>
      <c r="AGH45" s="88"/>
      <c r="AGI45" s="88"/>
      <c r="AGJ45" s="88"/>
      <c r="AGK45" s="88"/>
      <c r="AGL45" s="88"/>
      <c r="AGM45" s="88"/>
      <c r="AGN45" s="88"/>
      <c r="AGO45" s="88"/>
      <c r="AGP45" s="88"/>
      <c r="AGQ45" s="88"/>
      <c r="AGR45" s="88"/>
      <c r="AGS45" s="88"/>
      <c r="AGT45" s="88"/>
      <c r="AGU45" s="88"/>
      <c r="AGV45" s="88"/>
      <c r="AGW45" s="88"/>
      <c r="AGX45" s="88"/>
      <c r="AGY45" s="88"/>
      <c r="AGZ45" s="88"/>
      <c r="AHA45" s="88"/>
      <c r="AHB45" s="88"/>
      <c r="AHC45" s="88"/>
      <c r="AHD45" s="88"/>
      <c r="AHE45" s="88"/>
      <c r="AHF45" s="88"/>
      <c r="AHG45" s="88"/>
      <c r="AHH45" s="88"/>
    </row>
    <row r="46" spans="1:892" s="48" customFormat="1" ht="15" hidden="1" x14ac:dyDescent="0.25">
      <c r="A46" s="842"/>
      <c r="B46" s="848"/>
      <c r="C46" s="157" t="str">
        <f t="array" ref="C46">IFERROR(INDEX('C'!$C$1:$C$2479, SMALL(IF($B$33 = 'C'!$A$1:$A$2479, ROW('C'!$A$1:$A$2479) -
ROW('C'!$A$2) + 2), ROW(14:14))),"")</f>
        <v/>
      </c>
      <c r="D46" s="63" t="str">
        <f t="array" ref="D46">IFERROR(INDEX('C'!$B$1:$B$2479, SMALL(IF($B$33 = 'C'!$A$1:$A$2479, ROW('C'!$A$1:$A$2479) -
ROW('C'!$A$2) + 2), ROW(15:15))),"")</f>
        <v/>
      </c>
      <c r="E46" s="96">
        <f t="shared" si="3"/>
        <v>0</v>
      </c>
      <c r="F46" s="93">
        <f>SUMIF(Data!$N$2:$N$998,Disbursement!C46,Data!$D$2:$D$998)</f>
        <v>0</v>
      </c>
      <c r="G46" s="63">
        <f>IF(C46="",0,COUNTIF(Data!$N$2:$N$998,C46))</f>
        <v>0</v>
      </c>
      <c r="H46" s="63">
        <f>IF(C46="",0,CONCATENATE(COUNTIFS(Data!$N$2:$N$998,C46,Data!$O$2:$O$998,"New *")," New",", ",COUNTIFS(Data!$N$2:$N$998,C46,Data!$O$2:$O$998,"Repeat *")," Repeat"))</f>
        <v>0</v>
      </c>
      <c r="I46" s="132" t="str">
        <f>IF(OR(C46="DCOLLECTOR",C46="SAF2000",C46=""),"",VLOOKUP($C46,'C'!$C$1:$D$2479,2,FALSE))</f>
        <v/>
      </c>
      <c r="J46" s="133" t="str">
        <f>IF(OR(C46="DCOLLECTOR",C46="SAF2000",C46=""),"",VLOOKUP($C46,'C'!$C$1:$E$2479,3,FALSE))</f>
        <v/>
      </c>
      <c r="K46" s="134">
        <f t="shared" si="4"/>
        <v>0</v>
      </c>
      <c r="L46" s="134" t="str">
        <f t="shared" si="5"/>
        <v/>
      </c>
      <c r="M46" s="88"/>
      <c r="N46" s="88"/>
      <c r="O46" s="88"/>
      <c r="AEA46" s="88"/>
      <c r="AEB46" s="88"/>
      <c r="AEC46" s="88"/>
      <c r="AED46" s="88"/>
      <c r="AEE46" s="88"/>
      <c r="AEF46" s="88"/>
      <c r="AEG46" s="88"/>
      <c r="AEH46" s="88"/>
      <c r="AEI46" s="88"/>
      <c r="AEJ46" s="88"/>
      <c r="AEK46" s="88"/>
      <c r="AEL46" s="88"/>
      <c r="AEM46" s="88"/>
      <c r="AEN46" s="88"/>
      <c r="AEO46" s="88"/>
      <c r="AEP46" s="88"/>
      <c r="AEQ46" s="88"/>
      <c r="AER46" s="88"/>
      <c r="AES46" s="88"/>
      <c r="AET46" s="88"/>
      <c r="AEU46" s="88"/>
      <c r="AEV46" s="88"/>
      <c r="AEW46" s="88"/>
      <c r="AEX46" s="88"/>
      <c r="AEY46" s="88"/>
      <c r="AEZ46" s="88"/>
      <c r="AFA46" s="88"/>
      <c r="AFB46" s="88"/>
      <c r="AFC46" s="88"/>
      <c r="AFD46" s="88"/>
      <c r="AFE46" s="88"/>
      <c r="AFF46" s="88"/>
      <c r="AFG46" s="88"/>
      <c r="AFH46" s="88"/>
      <c r="AFI46" s="88"/>
      <c r="AFJ46" s="88"/>
      <c r="AFK46" s="88"/>
      <c r="AFL46" s="88"/>
      <c r="AFM46" s="88"/>
      <c r="AFN46" s="88"/>
      <c r="AFO46" s="88"/>
      <c r="AFP46" s="88"/>
      <c r="AFQ46" s="88"/>
      <c r="AFR46" s="88"/>
      <c r="AFS46" s="88"/>
      <c r="AFT46" s="88"/>
      <c r="AFU46" s="88"/>
      <c r="AFV46" s="88"/>
      <c r="AFW46" s="88"/>
      <c r="AFX46" s="88"/>
      <c r="AFY46" s="88"/>
      <c r="AFZ46" s="88"/>
      <c r="AGA46" s="88"/>
      <c r="AGB46" s="88"/>
      <c r="AGC46" s="88"/>
      <c r="AGD46" s="88"/>
      <c r="AGE46" s="88"/>
      <c r="AGF46" s="88"/>
      <c r="AGG46" s="88"/>
      <c r="AGH46" s="88"/>
      <c r="AGI46" s="88"/>
      <c r="AGJ46" s="88"/>
      <c r="AGK46" s="88"/>
      <c r="AGL46" s="88"/>
      <c r="AGM46" s="88"/>
      <c r="AGN46" s="88"/>
      <c r="AGO46" s="88"/>
      <c r="AGP46" s="88"/>
      <c r="AGQ46" s="88"/>
      <c r="AGR46" s="88"/>
      <c r="AGS46" s="88"/>
      <c r="AGT46" s="88"/>
      <c r="AGU46" s="88"/>
      <c r="AGV46" s="88"/>
      <c r="AGW46" s="88"/>
      <c r="AGX46" s="88"/>
      <c r="AGY46" s="88"/>
      <c r="AGZ46" s="88"/>
      <c r="AHA46" s="88"/>
      <c r="AHB46" s="88"/>
      <c r="AHC46" s="88"/>
      <c r="AHD46" s="88"/>
      <c r="AHE46" s="88"/>
      <c r="AHF46" s="88"/>
      <c r="AHG46" s="88"/>
      <c r="AHH46" s="88"/>
    </row>
    <row r="47" spans="1:892" s="48" customFormat="1" ht="15" hidden="1" x14ac:dyDescent="0.25">
      <c r="A47" s="842"/>
      <c r="B47" s="848"/>
      <c r="C47" s="157" t="str">
        <f t="array" ref="C47">IFERROR(INDEX('C'!$C$1:$C$2479, SMALL(IF($B$33 = 'C'!$A$1:$A$2479, ROW('C'!$A$1:$A$2479) -
ROW('C'!$A$2) + 2), ROW(15:15))),"")</f>
        <v/>
      </c>
      <c r="D47" s="63" t="str">
        <f t="array" ref="D47">IFERROR(INDEX('C'!$B$1:$B$2479, SMALL(IF($B$33 = 'C'!$A$1:$A$2479, ROW('C'!$A$1:$A$2479) -
ROW('C'!$A$2) + 2), ROW(16:16))),"")</f>
        <v/>
      </c>
      <c r="E47" s="96">
        <f t="shared" si="3"/>
        <v>0</v>
      </c>
      <c r="F47" s="93">
        <f>SUMIF(Data!$N$2:$N$998,Disbursement!C47,Data!$D$2:$D$998)</f>
        <v>0</v>
      </c>
      <c r="G47" s="63">
        <f>IF(C47="",0,COUNTIF(Data!$N$2:$N$998,C47))</f>
        <v>0</v>
      </c>
      <c r="H47" s="63">
        <f>IF(C47="",0,CONCATENATE(COUNTIFS(Data!$N$2:$N$998,C47,Data!$O$2:$O$998,"New *")," New",", ",COUNTIFS(Data!$N$2:$N$998,C47,Data!$O$2:$O$998,"Repeat *")," Repeat"))</f>
        <v>0</v>
      </c>
      <c r="I47" s="132" t="str">
        <f>IF(OR(C47="DCOLLECTOR",C47="SAF2000",C47=""),"",VLOOKUP($C47,'C'!$C$1:$D$2479,2,FALSE))</f>
        <v/>
      </c>
      <c r="J47" s="133" t="str">
        <f>IF(OR(C47="DCOLLECTOR",C47="SAF2000",C47=""),"",VLOOKUP($C47,'C'!$C$1:$E$2479,3,FALSE))</f>
        <v/>
      </c>
      <c r="K47" s="134">
        <f t="shared" si="4"/>
        <v>0</v>
      </c>
      <c r="L47" s="134" t="str">
        <f t="shared" si="5"/>
        <v/>
      </c>
      <c r="M47" s="88"/>
      <c r="N47" s="88"/>
      <c r="O47" s="88"/>
      <c r="AEA47" s="88"/>
      <c r="AEB47" s="88"/>
      <c r="AEC47" s="88"/>
      <c r="AED47" s="88"/>
      <c r="AEE47" s="88"/>
      <c r="AEF47" s="88"/>
      <c r="AEG47" s="88"/>
      <c r="AEH47" s="88"/>
      <c r="AEI47" s="88"/>
      <c r="AEJ47" s="88"/>
      <c r="AEK47" s="88"/>
      <c r="AEL47" s="88"/>
      <c r="AEM47" s="88"/>
      <c r="AEN47" s="88"/>
      <c r="AEO47" s="88"/>
      <c r="AEP47" s="88"/>
      <c r="AEQ47" s="88"/>
      <c r="AER47" s="88"/>
      <c r="AES47" s="88"/>
      <c r="AET47" s="88"/>
      <c r="AEU47" s="88"/>
      <c r="AEV47" s="88"/>
      <c r="AEW47" s="88"/>
      <c r="AEX47" s="88"/>
      <c r="AEY47" s="88"/>
      <c r="AEZ47" s="88"/>
      <c r="AFA47" s="88"/>
      <c r="AFB47" s="88"/>
      <c r="AFC47" s="88"/>
      <c r="AFD47" s="88"/>
      <c r="AFE47" s="88"/>
      <c r="AFF47" s="88"/>
      <c r="AFG47" s="88"/>
      <c r="AFH47" s="88"/>
      <c r="AFI47" s="88"/>
      <c r="AFJ47" s="88"/>
      <c r="AFK47" s="88"/>
      <c r="AFL47" s="88"/>
      <c r="AFM47" s="88"/>
      <c r="AFN47" s="88"/>
      <c r="AFO47" s="88"/>
      <c r="AFP47" s="88"/>
      <c r="AFQ47" s="88"/>
      <c r="AFR47" s="88"/>
      <c r="AFS47" s="88"/>
      <c r="AFT47" s="88"/>
      <c r="AFU47" s="88"/>
      <c r="AFV47" s="88"/>
      <c r="AFW47" s="88"/>
      <c r="AFX47" s="88"/>
      <c r="AFY47" s="88"/>
      <c r="AFZ47" s="88"/>
      <c r="AGA47" s="88"/>
      <c r="AGB47" s="88"/>
      <c r="AGC47" s="88"/>
      <c r="AGD47" s="88"/>
      <c r="AGE47" s="88"/>
      <c r="AGF47" s="88"/>
      <c r="AGG47" s="88"/>
      <c r="AGH47" s="88"/>
      <c r="AGI47" s="88"/>
      <c r="AGJ47" s="88"/>
      <c r="AGK47" s="88"/>
      <c r="AGL47" s="88"/>
      <c r="AGM47" s="88"/>
      <c r="AGN47" s="88"/>
      <c r="AGO47" s="88"/>
      <c r="AGP47" s="88"/>
      <c r="AGQ47" s="88"/>
      <c r="AGR47" s="88"/>
      <c r="AGS47" s="88"/>
      <c r="AGT47" s="88"/>
      <c r="AGU47" s="88"/>
      <c r="AGV47" s="88"/>
      <c r="AGW47" s="88"/>
      <c r="AGX47" s="88"/>
      <c r="AGY47" s="88"/>
      <c r="AGZ47" s="88"/>
      <c r="AHA47" s="88"/>
      <c r="AHB47" s="88"/>
      <c r="AHC47" s="88"/>
      <c r="AHD47" s="88"/>
      <c r="AHE47" s="88"/>
      <c r="AHF47" s="88"/>
      <c r="AHG47" s="88"/>
      <c r="AHH47" s="88"/>
    </row>
    <row r="48" spans="1:892" s="48" customFormat="1" ht="15" hidden="1" x14ac:dyDescent="0.25">
      <c r="A48" s="842"/>
      <c r="B48" s="848"/>
      <c r="C48" s="157" t="str">
        <f t="array" ref="C48">IFERROR(INDEX('C'!$C$1:$C$2479, SMALL(IF($B$33 = 'C'!$A$1:$A$2479, ROW('C'!$A$1:$A$2479) -
ROW('C'!$A$2) + 2), ROW(16:16))),"")</f>
        <v/>
      </c>
      <c r="D48" s="63" t="str">
        <f t="array" ref="D48">IFERROR(INDEX('C'!$B$1:$B$2479, SMALL(IF($B$33 = 'C'!$A$1:$A$2479, ROW('C'!$A$1:$A$2479) -
ROW('C'!$A$2) + 2), ROW(17:17))),"")</f>
        <v/>
      </c>
      <c r="E48" s="96">
        <f t="shared" si="3"/>
        <v>0</v>
      </c>
      <c r="F48" s="93">
        <f>SUMIF(Data!$N$2:$N$998,Disbursement!C48,Data!$D$2:$D$998)</f>
        <v>0</v>
      </c>
      <c r="G48" s="63">
        <f>IF(C48="",0,COUNTIF(Data!$N$2:$N$998,C48))</f>
        <v>0</v>
      </c>
      <c r="H48" s="63">
        <f>IF(C48="",0,CONCATENATE(COUNTIFS(Data!$N$2:$N$998,C48,Data!$O$2:$O$998,"New *")," New",", ",COUNTIFS(Data!$N$2:$N$998,C48,Data!$O$2:$O$998,"Repeat *")," Repeat"))</f>
        <v>0</v>
      </c>
      <c r="I48" s="132" t="str">
        <f>IF(OR(C48="DCOLLECTOR",C48="SAF2000",C48=""),"",VLOOKUP($C48,'C'!$C$1:$D$2479,2,FALSE))</f>
        <v/>
      </c>
      <c r="J48" s="133" t="str">
        <f>IF(OR(C48="DCOLLECTOR",C48="SAF2000",C48=""),"",VLOOKUP($C48,'C'!$C$1:$E$2479,3,FALSE))</f>
        <v/>
      </c>
      <c r="K48" s="134">
        <f t="shared" si="4"/>
        <v>0</v>
      </c>
      <c r="L48" s="134" t="str">
        <f t="shared" si="5"/>
        <v/>
      </c>
      <c r="M48" s="88"/>
      <c r="N48" s="88"/>
      <c r="O48" s="88"/>
      <c r="AEA48" s="88"/>
      <c r="AEB48" s="88"/>
      <c r="AEC48" s="88"/>
      <c r="AED48" s="88"/>
      <c r="AEE48" s="88"/>
      <c r="AEF48" s="88"/>
      <c r="AEG48" s="88"/>
      <c r="AEH48" s="88"/>
      <c r="AEI48" s="88"/>
      <c r="AEJ48" s="88"/>
      <c r="AEK48" s="88"/>
      <c r="AEL48" s="88"/>
      <c r="AEM48" s="88"/>
      <c r="AEN48" s="88"/>
      <c r="AEO48" s="88"/>
      <c r="AEP48" s="88"/>
      <c r="AEQ48" s="88"/>
      <c r="AER48" s="88"/>
      <c r="AES48" s="88"/>
      <c r="AET48" s="88"/>
      <c r="AEU48" s="88"/>
      <c r="AEV48" s="88"/>
      <c r="AEW48" s="88"/>
      <c r="AEX48" s="88"/>
      <c r="AEY48" s="88"/>
      <c r="AEZ48" s="88"/>
      <c r="AFA48" s="88"/>
      <c r="AFB48" s="88"/>
      <c r="AFC48" s="88"/>
      <c r="AFD48" s="88"/>
      <c r="AFE48" s="88"/>
      <c r="AFF48" s="88"/>
      <c r="AFG48" s="88"/>
      <c r="AFH48" s="88"/>
      <c r="AFI48" s="88"/>
      <c r="AFJ48" s="88"/>
      <c r="AFK48" s="88"/>
      <c r="AFL48" s="88"/>
      <c r="AFM48" s="88"/>
      <c r="AFN48" s="88"/>
      <c r="AFO48" s="88"/>
      <c r="AFP48" s="88"/>
      <c r="AFQ48" s="88"/>
      <c r="AFR48" s="88"/>
      <c r="AFS48" s="88"/>
      <c r="AFT48" s="88"/>
      <c r="AFU48" s="88"/>
      <c r="AFV48" s="88"/>
      <c r="AFW48" s="88"/>
      <c r="AFX48" s="88"/>
      <c r="AFY48" s="88"/>
      <c r="AFZ48" s="88"/>
      <c r="AGA48" s="88"/>
      <c r="AGB48" s="88"/>
      <c r="AGC48" s="88"/>
      <c r="AGD48" s="88"/>
      <c r="AGE48" s="88"/>
      <c r="AGF48" s="88"/>
      <c r="AGG48" s="88"/>
      <c r="AGH48" s="88"/>
      <c r="AGI48" s="88"/>
      <c r="AGJ48" s="88"/>
      <c r="AGK48" s="88"/>
      <c r="AGL48" s="88"/>
      <c r="AGM48" s="88"/>
      <c r="AGN48" s="88"/>
      <c r="AGO48" s="88"/>
      <c r="AGP48" s="88"/>
      <c r="AGQ48" s="88"/>
      <c r="AGR48" s="88"/>
      <c r="AGS48" s="88"/>
      <c r="AGT48" s="88"/>
      <c r="AGU48" s="88"/>
      <c r="AGV48" s="88"/>
      <c r="AGW48" s="88"/>
      <c r="AGX48" s="88"/>
      <c r="AGY48" s="88"/>
      <c r="AGZ48" s="88"/>
      <c r="AHA48" s="88"/>
      <c r="AHB48" s="88"/>
      <c r="AHC48" s="88"/>
      <c r="AHD48" s="88"/>
      <c r="AHE48" s="88"/>
      <c r="AHF48" s="88"/>
      <c r="AHG48" s="88"/>
      <c r="AHH48" s="88"/>
    </row>
    <row r="49" spans="1:892" s="48" customFormat="1" ht="15" hidden="1" x14ac:dyDescent="0.25">
      <c r="A49" s="842"/>
      <c r="B49" s="848"/>
      <c r="C49" s="157" t="str">
        <f t="array" ref="C49">IFERROR(INDEX('C'!$C$1:$C$2479, SMALL(IF($B$33 = 'C'!$A$1:$A$2479, ROW('C'!$A$1:$A$2479) -
ROW('C'!$A$2) + 2), ROW(17:17))),"")</f>
        <v/>
      </c>
      <c r="D49" s="63" t="str">
        <f t="array" ref="D49">IFERROR(INDEX('C'!$B$1:$B$2479, SMALL(IF($B$33 = 'C'!$A$1:$A$2479, ROW('C'!$A$1:$A$2479) -
ROW('C'!$A$2) + 2), ROW(18:18))),"")</f>
        <v/>
      </c>
      <c r="E49" s="96">
        <f t="shared" si="3"/>
        <v>0</v>
      </c>
      <c r="F49" s="93">
        <f>SUMIF(Data!$N$2:$N$998,Disbursement!C49,Data!$D$2:$D$998)</f>
        <v>0</v>
      </c>
      <c r="G49" s="63">
        <f>IF(C49="",0,COUNTIF(Data!$N$2:$N$998,C49))</f>
        <v>0</v>
      </c>
      <c r="H49" s="63">
        <f>IF(C49="",0,CONCATENATE(COUNTIFS(Data!$N$2:$N$998,C49,Data!$O$2:$O$998,"New *")," New",", ",COUNTIFS(Data!$N$2:$N$998,C49,Data!$O$2:$O$998,"Repeat *")," Repeat"))</f>
        <v>0</v>
      </c>
      <c r="I49" s="132" t="str">
        <f>IF(OR(C49="DCOLLECTOR",C49="SAF2000",C49=""),"",VLOOKUP($C49,'C'!$C$1:$D$2479,2,FALSE))</f>
        <v/>
      </c>
      <c r="J49" s="133" t="str">
        <f>IF(OR(C49="DCOLLECTOR",C49="SAF2000",C49=""),"",VLOOKUP($C49,'C'!$C$1:$E$2479,3,FALSE))</f>
        <v/>
      </c>
      <c r="K49" s="134">
        <f t="shared" si="4"/>
        <v>0</v>
      </c>
      <c r="L49" s="134" t="str">
        <f t="shared" si="5"/>
        <v/>
      </c>
      <c r="M49" s="88"/>
      <c r="N49" s="88"/>
      <c r="O49" s="88"/>
      <c r="AEA49" s="88"/>
      <c r="AEB49" s="88"/>
      <c r="AEC49" s="88"/>
      <c r="AED49" s="88"/>
      <c r="AEE49" s="88"/>
      <c r="AEF49" s="88"/>
      <c r="AEG49" s="88"/>
      <c r="AEH49" s="88"/>
      <c r="AEI49" s="88"/>
      <c r="AEJ49" s="88"/>
      <c r="AEK49" s="88"/>
      <c r="AEL49" s="88"/>
      <c r="AEM49" s="88"/>
      <c r="AEN49" s="88"/>
      <c r="AEO49" s="88"/>
      <c r="AEP49" s="88"/>
      <c r="AEQ49" s="88"/>
      <c r="AER49" s="88"/>
      <c r="AES49" s="88"/>
      <c r="AET49" s="88"/>
      <c r="AEU49" s="88"/>
      <c r="AEV49" s="88"/>
      <c r="AEW49" s="88"/>
      <c r="AEX49" s="88"/>
      <c r="AEY49" s="88"/>
      <c r="AEZ49" s="88"/>
      <c r="AFA49" s="88"/>
      <c r="AFB49" s="88"/>
      <c r="AFC49" s="88"/>
      <c r="AFD49" s="88"/>
      <c r="AFE49" s="88"/>
      <c r="AFF49" s="88"/>
      <c r="AFG49" s="88"/>
      <c r="AFH49" s="88"/>
      <c r="AFI49" s="88"/>
      <c r="AFJ49" s="88"/>
      <c r="AFK49" s="88"/>
      <c r="AFL49" s="88"/>
      <c r="AFM49" s="88"/>
      <c r="AFN49" s="88"/>
      <c r="AFO49" s="88"/>
      <c r="AFP49" s="88"/>
      <c r="AFQ49" s="88"/>
      <c r="AFR49" s="88"/>
      <c r="AFS49" s="88"/>
      <c r="AFT49" s="88"/>
      <c r="AFU49" s="88"/>
      <c r="AFV49" s="88"/>
      <c r="AFW49" s="88"/>
      <c r="AFX49" s="88"/>
      <c r="AFY49" s="88"/>
      <c r="AFZ49" s="88"/>
      <c r="AGA49" s="88"/>
      <c r="AGB49" s="88"/>
      <c r="AGC49" s="88"/>
      <c r="AGD49" s="88"/>
      <c r="AGE49" s="88"/>
      <c r="AGF49" s="88"/>
      <c r="AGG49" s="88"/>
      <c r="AGH49" s="88"/>
      <c r="AGI49" s="88"/>
      <c r="AGJ49" s="88"/>
      <c r="AGK49" s="88"/>
      <c r="AGL49" s="88"/>
      <c r="AGM49" s="88"/>
      <c r="AGN49" s="88"/>
      <c r="AGO49" s="88"/>
      <c r="AGP49" s="88"/>
      <c r="AGQ49" s="88"/>
      <c r="AGR49" s="88"/>
      <c r="AGS49" s="88"/>
      <c r="AGT49" s="88"/>
      <c r="AGU49" s="88"/>
      <c r="AGV49" s="88"/>
      <c r="AGW49" s="88"/>
      <c r="AGX49" s="88"/>
      <c r="AGY49" s="88"/>
      <c r="AGZ49" s="88"/>
      <c r="AHA49" s="88"/>
      <c r="AHB49" s="88"/>
      <c r="AHC49" s="88"/>
      <c r="AHD49" s="88"/>
      <c r="AHE49" s="88"/>
      <c r="AHF49" s="88"/>
      <c r="AHG49" s="88"/>
      <c r="AHH49" s="88"/>
    </row>
    <row r="50" spans="1:892" s="48" customFormat="1" ht="15" hidden="1" x14ac:dyDescent="0.25">
      <c r="A50" s="842"/>
      <c r="B50" s="848"/>
      <c r="C50" s="157" t="str">
        <f t="array" ref="C50">IFERROR(INDEX('C'!$C$1:$C$2479, SMALL(IF($B$33 = 'C'!$A$1:$A$2479, ROW('C'!$A$1:$A$2479) -
ROW('C'!$A$2) + 2), ROW(18:18))),"")</f>
        <v/>
      </c>
      <c r="D50" s="63" t="str">
        <f t="array" ref="D50">IFERROR(INDEX('C'!$B$1:$B$2479, SMALL(IF($B$33 = 'C'!$A$1:$A$2479, ROW('C'!$A$1:$A$2479) -
ROW('C'!$A$2) + 2), ROW(19:19))),"")</f>
        <v/>
      </c>
      <c r="E50" s="96">
        <f t="shared" si="3"/>
        <v>0</v>
      </c>
      <c r="F50" s="93">
        <f>SUMIF(Data!$N$2:$N$998,Disbursement!C50,Data!$D$2:$D$998)</f>
        <v>0</v>
      </c>
      <c r="G50" s="63">
        <f>IF(C50="",0,COUNTIF(Data!$N$2:$N$998,C50))</f>
        <v>0</v>
      </c>
      <c r="H50" s="63">
        <f>IF(C50="",0,CONCATENATE(COUNTIFS(Data!$N$2:$N$998,C50,Data!$O$2:$O$998,"New *")," New",", ",COUNTIFS(Data!$N$2:$N$998,C50,Data!$O$2:$O$998,"Repeat *")," Repeat"))</f>
        <v>0</v>
      </c>
      <c r="I50" s="132" t="str">
        <f>IF(OR(C50="DCOLLECTOR",C50="SAF2000",C50=""),"",VLOOKUP($C50,'C'!$C$1:$D$2479,2,FALSE))</f>
        <v/>
      </c>
      <c r="J50" s="133" t="str">
        <f>IF(OR(C50="DCOLLECTOR",C50="SAF2000",C50=""),"",VLOOKUP($C50,'C'!$C$1:$E$2479,3,FALSE))</f>
        <v/>
      </c>
      <c r="K50" s="134">
        <f t="shared" si="4"/>
        <v>0</v>
      </c>
      <c r="L50" s="134" t="str">
        <f t="shared" si="5"/>
        <v/>
      </c>
      <c r="M50" s="88"/>
      <c r="N50" s="88"/>
      <c r="O50" s="88"/>
      <c r="AEA50" s="88"/>
      <c r="AEB50" s="88"/>
      <c r="AEC50" s="88"/>
      <c r="AED50" s="88"/>
      <c r="AEE50" s="88"/>
      <c r="AEF50" s="88"/>
      <c r="AEG50" s="88"/>
      <c r="AEH50" s="88"/>
      <c r="AEI50" s="88"/>
      <c r="AEJ50" s="88"/>
      <c r="AEK50" s="88"/>
      <c r="AEL50" s="88"/>
      <c r="AEM50" s="88"/>
      <c r="AEN50" s="88"/>
      <c r="AEO50" s="88"/>
      <c r="AEP50" s="88"/>
      <c r="AEQ50" s="88"/>
      <c r="AER50" s="88"/>
      <c r="AES50" s="88"/>
      <c r="AET50" s="88"/>
      <c r="AEU50" s="88"/>
      <c r="AEV50" s="88"/>
      <c r="AEW50" s="88"/>
      <c r="AEX50" s="88"/>
      <c r="AEY50" s="88"/>
      <c r="AEZ50" s="88"/>
      <c r="AFA50" s="88"/>
      <c r="AFB50" s="88"/>
      <c r="AFC50" s="88"/>
      <c r="AFD50" s="88"/>
      <c r="AFE50" s="88"/>
      <c r="AFF50" s="88"/>
      <c r="AFG50" s="88"/>
      <c r="AFH50" s="88"/>
      <c r="AFI50" s="88"/>
      <c r="AFJ50" s="88"/>
      <c r="AFK50" s="88"/>
      <c r="AFL50" s="88"/>
      <c r="AFM50" s="88"/>
      <c r="AFN50" s="88"/>
      <c r="AFO50" s="88"/>
      <c r="AFP50" s="88"/>
      <c r="AFQ50" s="88"/>
      <c r="AFR50" s="88"/>
      <c r="AFS50" s="88"/>
      <c r="AFT50" s="88"/>
      <c r="AFU50" s="88"/>
      <c r="AFV50" s="88"/>
      <c r="AFW50" s="88"/>
      <c r="AFX50" s="88"/>
      <c r="AFY50" s="88"/>
      <c r="AFZ50" s="88"/>
      <c r="AGA50" s="88"/>
      <c r="AGB50" s="88"/>
      <c r="AGC50" s="88"/>
      <c r="AGD50" s="88"/>
      <c r="AGE50" s="88"/>
      <c r="AGF50" s="88"/>
      <c r="AGG50" s="88"/>
      <c r="AGH50" s="88"/>
      <c r="AGI50" s="88"/>
      <c r="AGJ50" s="88"/>
      <c r="AGK50" s="88"/>
      <c r="AGL50" s="88"/>
      <c r="AGM50" s="88"/>
      <c r="AGN50" s="88"/>
      <c r="AGO50" s="88"/>
      <c r="AGP50" s="88"/>
      <c r="AGQ50" s="88"/>
      <c r="AGR50" s="88"/>
      <c r="AGS50" s="88"/>
      <c r="AGT50" s="88"/>
      <c r="AGU50" s="88"/>
      <c r="AGV50" s="88"/>
      <c r="AGW50" s="88"/>
      <c r="AGX50" s="88"/>
      <c r="AGY50" s="88"/>
      <c r="AGZ50" s="88"/>
      <c r="AHA50" s="88"/>
      <c r="AHB50" s="88"/>
      <c r="AHC50" s="88"/>
      <c r="AHD50" s="88"/>
      <c r="AHE50" s="88"/>
      <c r="AHF50" s="88"/>
      <c r="AHG50" s="88"/>
      <c r="AHH50" s="88"/>
    </row>
    <row r="51" spans="1:892" s="48" customFormat="1" ht="15" hidden="1" x14ac:dyDescent="0.25">
      <c r="A51" s="842"/>
      <c r="B51" s="848"/>
      <c r="C51" s="157" t="str">
        <f t="array" ref="C51">IFERROR(INDEX('C'!$C$1:$C$2479, SMALL(IF($B$33 = 'C'!$A$1:$A$2479, ROW('C'!$A$1:$A$2479) -
ROW('C'!$A$2) + 2), ROW(19:19))),"")</f>
        <v/>
      </c>
      <c r="D51" s="63" t="str">
        <f t="array" ref="D51">IFERROR(INDEX('C'!$B$1:$B$2479, SMALL(IF($B$33 = 'C'!$A$1:$A$2479, ROW('C'!$A$1:$A$2479) -
ROW('C'!$A$2) + 2), ROW(20:20))),"")</f>
        <v/>
      </c>
      <c r="E51" s="96">
        <f t="shared" si="3"/>
        <v>0</v>
      </c>
      <c r="F51" s="93">
        <f>SUMIF(Data!$N$2:$N$998,Disbursement!C51,Data!$D$2:$D$998)</f>
        <v>0</v>
      </c>
      <c r="G51" s="63">
        <f>IF(C51="",0,COUNTIF(Data!$N$2:$N$998,C51))</f>
        <v>0</v>
      </c>
      <c r="H51" s="63">
        <f>IF(C51="",0,CONCATENATE(COUNTIFS(Data!$N$2:$N$998,C51,Data!$O$2:$O$998,"New *")," New",", ",COUNTIFS(Data!$N$2:$N$998,C51,Data!$O$2:$O$998,"Repeat *")," Repeat"))</f>
        <v>0</v>
      </c>
      <c r="I51" s="132" t="str">
        <f>IF(OR(C51="DCOLLECTOR",C51="SAF2000",C51=""),"",VLOOKUP($C51,'C'!$C$1:$D$2479,2,FALSE))</f>
        <v/>
      </c>
      <c r="J51" s="133" t="str">
        <f>IF(OR(C51="DCOLLECTOR",C51="SAF2000",C51=""),"",VLOOKUP($C51,'C'!$C$1:$E$2479,3,FALSE))</f>
        <v/>
      </c>
      <c r="K51" s="134">
        <f t="shared" si="4"/>
        <v>0</v>
      </c>
      <c r="L51" s="134" t="str">
        <f t="shared" si="5"/>
        <v/>
      </c>
      <c r="M51" s="88"/>
      <c r="N51" s="88"/>
      <c r="O51" s="88"/>
      <c r="AEA51" s="88"/>
      <c r="AEB51" s="88"/>
      <c r="AEC51" s="88"/>
      <c r="AED51" s="88"/>
      <c r="AEE51" s="88"/>
      <c r="AEF51" s="88"/>
      <c r="AEG51" s="88"/>
      <c r="AEH51" s="88"/>
      <c r="AEI51" s="88"/>
      <c r="AEJ51" s="88"/>
      <c r="AEK51" s="88"/>
      <c r="AEL51" s="88"/>
      <c r="AEM51" s="88"/>
      <c r="AEN51" s="88"/>
      <c r="AEO51" s="88"/>
      <c r="AEP51" s="88"/>
      <c r="AEQ51" s="88"/>
      <c r="AER51" s="88"/>
      <c r="AES51" s="88"/>
      <c r="AET51" s="88"/>
      <c r="AEU51" s="88"/>
      <c r="AEV51" s="88"/>
      <c r="AEW51" s="88"/>
      <c r="AEX51" s="88"/>
      <c r="AEY51" s="88"/>
      <c r="AEZ51" s="88"/>
      <c r="AFA51" s="88"/>
      <c r="AFB51" s="88"/>
      <c r="AFC51" s="88"/>
      <c r="AFD51" s="88"/>
      <c r="AFE51" s="88"/>
      <c r="AFF51" s="88"/>
      <c r="AFG51" s="88"/>
      <c r="AFH51" s="88"/>
      <c r="AFI51" s="88"/>
      <c r="AFJ51" s="88"/>
      <c r="AFK51" s="88"/>
      <c r="AFL51" s="88"/>
      <c r="AFM51" s="88"/>
      <c r="AFN51" s="88"/>
      <c r="AFO51" s="88"/>
      <c r="AFP51" s="88"/>
      <c r="AFQ51" s="88"/>
      <c r="AFR51" s="88"/>
      <c r="AFS51" s="88"/>
      <c r="AFT51" s="88"/>
      <c r="AFU51" s="88"/>
      <c r="AFV51" s="88"/>
      <c r="AFW51" s="88"/>
      <c r="AFX51" s="88"/>
      <c r="AFY51" s="88"/>
      <c r="AFZ51" s="88"/>
      <c r="AGA51" s="88"/>
      <c r="AGB51" s="88"/>
      <c r="AGC51" s="88"/>
      <c r="AGD51" s="88"/>
      <c r="AGE51" s="88"/>
      <c r="AGF51" s="88"/>
      <c r="AGG51" s="88"/>
      <c r="AGH51" s="88"/>
      <c r="AGI51" s="88"/>
      <c r="AGJ51" s="88"/>
      <c r="AGK51" s="88"/>
      <c r="AGL51" s="88"/>
      <c r="AGM51" s="88"/>
      <c r="AGN51" s="88"/>
      <c r="AGO51" s="88"/>
      <c r="AGP51" s="88"/>
      <c r="AGQ51" s="88"/>
      <c r="AGR51" s="88"/>
      <c r="AGS51" s="88"/>
      <c r="AGT51" s="88"/>
      <c r="AGU51" s="88"/>
      <c r="AGV51" s="88"/>
      <c r="AGW51" s="88"/>
      <c r="AGX51" s="88"/>
      <c r="AGY51" s="88"/>
      <c r="AGZ51" s="88"/>
      <c r="AHA51" s="88"/>
      <c r="AHB51" s="88"/>
      <c r="AHC51" s="88"/>
      <c r="AHD51" s="88"/>
      <c r="AHE51" s="88"/>
      <c r="AHF51" s="88"/>
      <c r="AHG51" s="88"/>
      <c r="AHH51" s="88"/>
    </row>
    <row r="52" spans="1:892" s="48" customFormat="1" ht="15" hidden="1" x14ac:dyDescent="0.25">
      <c r="A52" s="842"/>
      <c r="B52" s="848"/>
      <c r="C52" s="157" t="str">
        <f t="array" ref="C52">IFERROR(INDEX('C'!$C$1:$C$2479, SMALL(IF($B$33 = 'C'!$A$1:$A$2479, ROW('C'!$A$1:$A$2479) -
ROW('C'!$A$2) + 2), ROW(20:20))),"")</f>
        <v/>
      </c>
      <c r="D52" s="63" t="str">
        <f t="array" ref="D52">IFERROR(INDEX('C'!$B$1:$B$2479, SMALL(IF($B$33 = 'C'!$A$1:$A$2479, ROW('C'!$A$1:$A$2479) -
ROW('C'!$A$2) + 2), ROW(21:21))),"")</f>
        <v/>
      </c>
      <c r="E52" s="96">
        <f t="shared" si="3"/>
        <v>0</v>
      </c>
      <c r="F52" s="93">
        <f>SUMIF(Data!$N$2:$N$998,Disbursement!C52,Data!$D$2:$D$998)</f>
        <v>0</v>
      </c>
      <c r="G52" s="63">
        <f>IF(C52="",0,COUNTIF(Data!$N$2:$N$998,C52))</f>
        <v>0</v>
      </c>
      <c r="H52" s="63">
        <f>IF(C52="",0,CONCATENATE(COUNTIFS(Data!$N$2:$N$998,C52,Data!$O$2:$O$998,"New *")," New",", ",COUNTIFS(Data!$N$2:$N$998,C52,Data!$O$2:$O$998,"Repeat *")," Repeat"))</f>
        <v>0</v>
      </c>
      <c r="I52" s="132" t="str">
        <f>IF(OR(C52="DCOLLECTOR",C52="SAF2000",C52=""),"",VLOOKUP($C52,'C'!$C$1:$D$2479,2,FALSE))</f>
        <v/>
      </c>
      <c r="J52" s="133" t="str">
        <f>IF(OR(C52="DCOLLECTOR",C52="SAF2000",C52=""),"",VLOOKUP($C52,'C'!$C$1:$E$2479,3,FALSE))</f>
        <v/>
      </c>
      <c r="K52" s="134">
        <f t="shared" si="4"/>
        <v>0</v>
      </c>
      <c r="L52" s="134" t="str">
        <f t="shared" si="5"/>
        <v/>
      </c>
      <c r="M52" s="88"/>
      <c r="N52" s="88"/>
      <c r="O52" s="88"/>
      <c r="AEA52" s="88"/>
      <c r="AEB52" s="88"/>
      <c r="AEC52" s="88"/>
      <c r="AED52" s="88"/>
      <c r="AEE52" s="88"/>
      <c r="AEF52" s="88"/>
      <c r="AEG52" s="88"/>
      <c r="AEH52" s="88"/>
      <c r="AEI52" s="88"/>
      <c r="AEJ52" s="88"/>
      <c r="AEK52" s="88"/>
      <c r="AEL52" s="88"/>
      <c r="AEM52" s="88"/>
      <c r="AEN52" s="88"/>
      <c r="AEO52" s="88"/>
      <c r="AEP52" s="88"/>
      <c r="AEQ52" s="88"/>
      <c r="AER52" s="88"/>
      <c r="AES52" s="88"/>
      <c r="AET52" s="88"/>
      <c r="AEU52" s="88"/>
      <c r="AEV52" s="88"/>
      <c r="AEW52" s="88"/>
      <c r="AEX52" s="88"/>
      <c r="AEY52" s="88"/>
      <c r="AEZ52" s="88"/>
      <c r="AFA52" s="88"/>
      <c r="AFB52" s="88"/>
      <c r="AFC52" s="88"/>
      <c r="AFD52" s="88"/>
      <c r="AFE52" s="88"/>
      <c r="AFF52" s="88"/>
      <c r="AFG52" s="88"/>
      <c r="AFH52" s="88"/>
      <c r="AFI52" s="88"/>
      <c r="AFJ52" s="88"/>
      <c r="AFK52" s="88"/>
      <c r="AFL52" s="88"/>
      <c r="AFM52" s="88"/>
      <c r="AFN52" s="88"/>
      <c r="AFO52" s="88"/>
      <c r="AFP52" s="88"/>
      <c r="AFQ52" s="88"/>
      <c r="AFR52" s="88"/>
      <c r="AFS52" s="88"/>
      <c r="AFT52" s="88"/>
      <c r="AFU52" s="88"/>
      <c r="AFV52" s="88"/>
      <c r="AFW52" s="88"/>
      <c r="AFX52" s="88"/>
      <c r="AFY52" s="88"/>
      <c r="AFZ52" s="88"/>
      <c r="AGA52" s="88"/>
      <c r="AGB52" s="88"/>
      <c r="AGC52" s="88"/>
      <c r="AGD52" s="88"/>
      <c r="AGE52" s="88"/>
      <c r="AGF52" s="88"/>
      <c r="AGG52" s="88"/>
      <c r="AGH52" s="88"/>
      <c r="AGI52" s="88"/>
      <c r="AGJ52" s="88"/>
      <c r="AGK52" s="88"/>
      <c r="AGL52" s="88"/>
      <c r="AGM52" s="88"/>
      <c r="AGN52" s="88"/>
      <c r="AGO52" s="88"/>
      <c r="AGP52" s="88"/>
      <c r="AGQ52" s="88"/>
      <c r="AGR52" s="88"/>
      <c r="AGS52" s="88"/>
      <c r="AGT52" s="88"/>
      <c r="AGU52" s="88"/>
      <c r="AGV52" s="88"/>
      <c r="AGW52" s="88"/>
      <c r="AGX52" s="88"/>
      <c r="AGY52" s="88"/>
      <c r="AGZ52" s="88"/>
      <c r="AHA52" s="88"/>
      <c r="AHB52" s="88"/>
      <c r="AHC52" s="88"/>
      <c r="AHD52" s="88"/>
      <c r="AHE52" s="88"/>
      <c r="AHF52" s="88"/>
      <c r="AHG52" s="88"/>
      <c r="AHH52" s="88"/>
    </row>
    <row r="53" spans="1:892" s="48" customFormat="1" ht="15" hidden="1" x14ac:dyDescent="0.25">
      <c r="A53" s="842"/>
      <c r="B53" s="848"/>
      <c r="C53" s="157" t="str">
        <f t="array" ref="C53">IFERROR(INDEX('C'!$C$1:$C$2479, SMALL(IF($B$33 = 'C'!$A$1:$A$2479, ROW('C'!$A$1:$A$2479) -
ROW('C'!$A$2) + 2), ROW(21:21))),"")</f>
        <v/>
      </c>
      <c r="D53" s="63" t="str">
        <f t="array" ref="D53">IFERROR(INDEX('C'!$B$1:$B$2479, SMALL(IF($B$33 = 'C'!$A$1:$A$2479, ROW('C'!$A$1:$A$2479) -
ROW('C'!$A$2) + 2), ROW(22:22))),"")</f>
        <v/>
      </c>
      <c r="E53" s="96">
        <f t="shared" si="3"/>
        <v>0</v>
      </c>
      <c r="F53" s="93">
        <f>SUMIF(Data!$N$2:$N$998,Disbursement!C53,Data!$D$2:$D$998)</f>
        <v>0</v>
      </c>
      <c r="G53" s="63">
        <f>IF(C53="",0,COUNTIF(Data!$N$2:$N$998,C53))</f>
        <v>0</v>
      </c>
      <c r="H53" s="63">
        <f>IF(C53="",0,CONCATENATE(COUNTIFS(Data!$N$2:$N$998,C53,Data!$O$2:$O$998,"New *")," New",", ",COUNTIFS(Data!$N$2:$N$998,C53,Data!$O$2:$O$998,"Repeat *")," Repeat"))</f>
        <v>0</v>
      </c>
      <c r="I53" s="132" t="str">
        <f>IF(OR(C53="DCOLLECTOR",C53="SAF2000",C53=""),"",VLOOKUP($C53,'C'!$C$1:$D$2479,2,FALSE))</f>
        <v/>
      </c>
      <c r="J53" s="133" t="str">
        <f>IF(OR(C53="DCOLLECTOR",C53="SAF2000",C53=""),"",VLOOKUP($C53,'C'!$C$1:$E$2479,3,FALSE))</f>
        <v/>
      </c>
      <c r="K53" s="134">
        <f t="shared" si="4"/>
        <v>0</v>
      </c>
      <c r="L53" s="134" t="str">
        <f t="shared" si="5"/>
        <v/>
      </c>
      <c r="M53" s="88"/>
      <c r="N53" s="88"/>
      <c r="O53" s="88"/>
      <c r="AEA53" s="88"/>
      <c r="AEB53" s="88"/>
      <c r="AEC53" s="88"/>
      <c r="AED53" s="88"/>
      <c r="AEE53" s="88"/>
      <c r="AEF53" s="88"/>
      <c r="AEG53" s="88"/>
      <c r="AEH53" s="88"/>
      <c r="AEI53" s="88"/>
      <c r="AEJ53" s="88"/>
      <c r="AEK53" s="88"/>
      <c r="AEL53" s="88"/>
      <c r="AEM53" s="88"/>
      <c r="AEN53" s="88"/>
      <c r="AEO53" s="88"/>
      <c r="AEP53" s="88"/>
      <c r="AEQ53" s="88"/>
      <c r="AER53" s="88"/>
      <c r="AES53" s="88"/>
      <c r="AET53" s="88"/>
      <c r="AEU53" s="88"/>
      <c r="AEV53" s="88"/>
      <c r="AEW53" s="88"/>
      <c r="AEX53" s="88"/>
      <c r="AEY53" s="88"/>
      <c r="AEZ53" s="88"/>
      <c r="AFA53" s="88"/>
      <c r="AFB53" s="88"/>
      <c r="AFC53" s="88"/>
      <c r="AFD53" s="88"/>
      <c r="AFE53" s="88"/>
      <c r="AFF53" s="88"/>
      <c r="AFG53" s="88"/>
      <c r="AFH53" s="88"/>
      <c r="AFI53" s="88"/>
      <c r="AFJ53" s="88"/>
      <c r="AFK53" s="88"/>
      <c r="AFL53" s="88"/>
      <c r="AFM53" s="88"/>
      <c r="AFN53" s="88"/>
      <c r="AFO53" s="88"/>
      <c r="AFP53" s="88"/>
      <c r="AFQ53" s="88"/>
      <c r="AFR53" s="88"/>
      <c r="AFS53" s="88"/>
      <c r="AFT53" s="88"/>
      <c r="AFU53" s="88"/>
      <c r="AFV53" s="88"/>
      <c r="AFW53" s="88"/>
      <c r="AFX53" s="88"/>
      <c r="AFY53" s="88"/>
      <c r="AFZ53" s="88"/>
      <c r="AGA53" s="88"/>
      <c r="AGB53" s="88"/>
      <c r="AGC53" s="88"/>
      <c r="AGD53" s="88"/>
      <c r="AGE53" s="88"/>
      <c r="AGF53" s="88"/>
      <c r="AGG53" s="88"/>
      <c r="AGH53" s="88"/>
      <c r="AGI53" s="88"/>
      <c r="AGJ53" s="88"/>
      <c r="AGK53" s="88"/>
      <c r="AGL53" s="88"/>
      <c r="AGM53" s="88"/>
      <c r="AGN53" s="88"/>
      <c r="AGO53" s="88"/>
      <c r="AGP53" s="88"/>
      <c r="AGQ53" s="88"/>
      <c r="AGR53" s="88"/>
      <c r="AGS53" s="88"/>
      <c r="AGT53" s="88"/>
      <c r="AGU53" s="88"/>
      <c r="AGV53" s="88"/>
      <c r="AGW53" s="88"/>
      <c r="AGX53" s="88"/>
      <c r="AGY53" s="88"/>
      <c r="AGZ53" s="88"/>
      <c r="AHA53" s="88"/>
      <c r="AHB53" s="88"/>
      <c r="AHC53" s="88"/>
      <c r="AHD53" s="88"/>
      <c r="AHE53" s="88"/>
      <c r="AHF53" s="88"/>
      <c r="AHG53" s="88"/>
      <c r="AHH53" s="88"/>
    </row>
    <row r="54" spans="1:892" s="48" customFormat="1" ht="15" hidden="1" x14ac:dyDescent="0.25">
      <c r="A54" s="842"/>
      <c r="B54" s="848"/>
      <c r="C54" s="157" t="str">
        <f t="array" ref="C54">IFERROR(INDEX('C'!$C$1:$C$2479, SMALL(IF($B$33 = 'C'!$A$1:$A$2479, ROW('C'!$A$1:$A$2479) -
ROW('C'!$A$2) + 2), ROW(22:22))),"")</f>
        <v/>
      </c>
      <c r="D54" s="63" t="str">
        <f t="array" ref="D54">IFERROR(INDEX('C'!$B$1:$B$2479, SMALL(IF($B$33 = 'C'!$A$1:$A$2479, ROW('C'!$A$1:$A$2479) -
ROW('C'!$A$2) + 2), ROW(23:23))),"")</f>
        <v/>
      </c>
      <c r="E54" s="96">
        <f t="shared" si="3"/>
        <v>0</v>
      </c>
      <c r="F54" s="93">
        <f>SUMIF(Data!$N$2:$N$998,Disbursement!C54,Data!$D$2:$D$998)</f>
        <v>0</v>
      </c>
      <c r="G54" s="63">
        <f>IF(C54="",0,COUNTIF(Data!$N$2:$N$998,C54))</f>
        <v>0</v>
      </c>
      <c r="H54" s="63">
        <f>IF(C54="",0,CONCATENATE(COUNTIFS(Data!$N$2:$N$998,C54,Data!$O$2:$O$998,"New *")," New",", ",COUNTIFS(Data!$N$2:$N$998,C54,Data!$O$2:$O$998,"Repeat *")," Repeat"))</f>
        <v>0</v>
      </c>
      <c r="I54" s="132" t="str">
        <f>IF(OR(C54="DCOLLECTOR",C54="SAF2000",C54=""),"",VLOOKUP($C54,'C'!$C$1:$D$2479,2,FALSE))</f>
        <v/>
      </c>
      <c r="J54" s="133" t="str">
        <f>IF(OR(C54="DCOLLECTOR",C54="SAF2000",C54=""),"",VLOOKUP($C54,'C'!$C$1:$E$2479,3,FALSE))</f>
        <v/>
      </c>
      <c r="K54" s="134">
        <f t="shared" si="4"/>
        <v>0</v>
      </c>
      <c r="L54" s="134" t="str">
        <f t="shared" si="5"/>
        <v/>
      </c>
      <c r="M54" s="88"/>
      <c r="N54" s="88"/>
      <c r="O54" s="88"/>
      <c r="AEA54" s="88"/>
      <c r="AEB54" s="88"/>
      <c r="AEC54" s="88"/>
      <c r="AED54" s="88"/>
      <c r="AEE54" s="88"/>
      <c r="AEF54" s="88"/>
      <c r="AEG54" s="88"/>
      <c r="AEH54" s="88"/>
      <c r="AEI54" s="88"/>
      <c r="AEJ54" s="88"/>
      <c r="AEK54" s="88"/>
      <c r="AEL54" s="88"/>
      <c r="AEM54" s="88"/>
      <c r="AEN54" s="88"/>
      <c r="AEO54" s="88"/>
      <c r="AEP54" s="88"/>
      <c r="AEQ54" s="88"/>
      <c r="AER54" s="88"/>
      <c r="AES54" s="88"/>
      <c r="AET54" s="88"/>
      <c r="AEU54" s="88"/>
      <c r="AEV54" s="88"/>
      <c r="AEW54" s="88"/>
      <c r="AEX54" s="88"/>
      <c r="AEY54" s="88"/>
      <c r="AEZ54" s="88"/>
      <c r="AFA54" s="88"/>
      <c r="AFB54" s="88"/>
      <c r="AFC54" s="88"/>
      <c r="AFD54" s="88"/>
      <c r="AFE54" s="88"/>
      <c r="AFF54" s="88"/>
      <c r="AFG54" s="88"/>
      <c r="AFH54" s="88"/>
      <c r="AFI54" s="88"/>
      <c r="AFJ54" s="88"/>
      <c r="AFK54" s="88"/>
      <c r="AFL54" s="88"/>
      <c r="AFM54" s="88"/>
      <c r="AFN54" s="88"/>
      <c r="AFO54" s="88"/>
      <c r="AFP54" s="88"/>
      <c r="AFQ54" s="88"/>
      <c r="AFR54" s="88"/>
      <c r="AFS54" s="88"/>
      <c r="AFT54" s="88"/>
      <c r="AFU54" s="88"/>
      <c r="AFV54" s="88"/>
      <c r="AFW54" s="88"/>
      <c r="AFX54" s="88"/>
      <c r="AFY54" s="88"/>
      <c r="AFZ54" s="88"/>
      <c r="AGA54" s="88"/>
      <c r="AGB54" s="88"/>
      <c r="AGC54" s="88"/>
      <c r="AGD54" s="88"/>
      <c r="AGE54" s="88"/>
      <c r="AGF54" s="88"/>
      <c r="AGG54" s="88"/>
      <c r="AGH54" s="88"/>
      <c r="AGI54" s="88"/>
      <c r="AGJ54" s="88"/>
      <c r="AGK54" s="88"/>
      <c r="AGL54" s="88"/>
      <c r="AGM54" s="88"/>
      <c r="AGN54" s="88"/>
      <c r="AGO54" s="88"/>
      <c r="AGP54" s="88"/>
      <c r="AGQ54" s="88"/>
      <c r="AGR54" s="88"/>
      <c r="AGS54" s="88"/>
      <c r="AGT54" s="88"/>
      <c r="AGU54" s="88"/>
      <c r="AGV54" s="88"/>
      <c r="AGW54" s="88"/>
      <c r="AGX54" s="88"/>
      <c r="AGY54" s="88"/>
      <c r="AGZ54" s="88"/>
      <c r="AHA54" s="88"/>
      <c r="AHB54" s="88"/>
      <c r="AHC54" s="88"/>
      <c r="AHD54" s="88"/>
      <c r="AHE54" s="88"/>
      <c r="AHF54" s="88"/>
      <c r="AHG54" s="88"/>
      <c r="AHH54" s="88"/>
    </row>
    <row r="55" spans="1:892" s="48" customFormat="1" ht="15.6" hidden="1" thickBot="1" x14ac:dyDescent="0.3">
      <c r="A55" s="842"/>
      <c r="B55" s="848"/>
      <c r="C55" s="157" t="str">
        <f t="array" ref="C55">IFERROR(INDEX('C'!$C$1:$C$2479, SMALL(IF($B$33 = 'C'!$A$1:$A$2479, ROW('C'!$A$1:$A$2479) -
ROW('C'!$A$2) + 2), ROW(23:23))),"")</f>
        <v/>
      </c>
      <c r="D55" s="63" t="str">
        <f t="array" ref="D55">IFERROR(INDEX('C'!$B$1:$B$2479, SMALL(IF($B$33 = 'C'!$A$1:$A$2479, ROW('C'!$A$1:$A$2479) -
ROW('C'!$A$2) + 2), ROW(24:24))),"")</f>
        <v/>
      </c>
      <c r="E55" s="96">
        <f t="shared" si="3"/>
        <v>0</v>
      </c>
      <c r="F55" s="93">
        <f>SUMIF(Data!$N$2:$N$998,Disbursement!C55,Data!$D$2:$D$998)</f>
        <v>0</v>
      </c>
      <c r="G55" s="63">
        <f>IF(C55="",0,COUNTIF(Data!$N$2:$N$998,C55))</f>
        <v>0</v>
      </c>
      <c r="H55" s="63">
        <f>IF(C55="",0,CONCATENATE(COUNTIFS(Data!$N$2:$N$998,C55,Data!$O$2:$O$998,"New *")," New",", ",COUNTIFS(Data!$N$2:$N$998,C55,Data!$O$2:$O$998,"Repeat *")," Repeat"))</f>
        <v>0</v>
      </c>
      <c r="I55" s="132" t="str">
        <f>IF(OR(C55="DCOLLECTOR",C55="SAF2000",C55=""),"",VLOOKUP($C55,'C'!$C$1:$D$2479,2,FALSE))</f>
        <v/>
      </c>
      <c r="J55" s="133" t="str">
        <f>IF(OR(C55="DCOLLECTOR",C55="SAF2000",C55=""),"",VLOOKUP($C55,'C'!$C$1:$E$2479,3,FALSE))</f>
        <v/>
      </c>
      <c r="K55" s="134">
        <f t="shared" si="4"/>
        <v>0</v>
      </c>
      <c r="L55" s="134" t="str">
        <f t="shared" si="5"/>
        <v/>
      </c>
      <c r="M55" s="88"/>
      <c r="N55" s="88"/>
      <c r="O55" s="88"/>
      <c r="AEA55" s="88"/>
      <c r="AEB55" s="88"/>
      <c r="AEC55" s="88"/>
      <c r="AED55" s="88"/>
      <c r="AEE55" s="88"/>
      <c r="AEF55" s="88"/>
      <c r="AEG55" s="88"/>
      <c r="AEH55" s="88"/>
      <c r="AEI55" s="88"/>
      <c r="AEJ55" s="88"/>
      <c r="AEK55" s="88"/>
      <c r="AEL55" s="88"/>
      <c r="AEM55" s="88"/>
      <c r="AEN55" s="88"/>
      <c r="AEO55" s="88"/>
      <c r="AEP55" s="88"/>
      <c r="AEQ55" s="88"/>
      <c r="AER55" s="88"/>
      <c r="AES55" s="88"/>
      <c r="AET55" s="88"/>
      <c r="AEU55" s="88"/>
      <c r="AEV55" s="88"/>
      <c r="AEW55" s="88"/>
      <c r="AEX55" s="88"/>
      <c r="AEY55" s="88"/>
      <c r="AEZ55" s="88"/>
      <c r="AFA55" s="88"/>
      <c r="AFB55" s="88"/>
      <c r="AFC55" s="88"/>
      <c r="AFD55" s="88"/>
      <c r="AFE55" s="88"/>
      <c r="AFF55" s="88"/>
      <c r="AFG55" s="88"/>
      <c r="AFH55" s="88"/>
      <c r="AFI55" s="88"/>
      <c r="AFJ55" s="88"/>
      <c r="AFK55" s="88"/>
      <c r="AFL55" s="88"/>
      <c r="AFM55" s="88"/>
      <c r="AFN55" s="88"/>
      <c r="AFO55" s="88"/>
      <c r="AFP55" s="88"/>
      <c r="AFQ55" s="88"/>
      <c r="AFR55" s="88"/>
      <c r="AFS55" s="88"/>
      <c r="AFT55" s="88"/>
      <c r="AFU55" s="88"/>
      <c r="AFV55" s="88"/>
      <c r="AFW55" s="88"/>
      <c r="AFX55" s="88"/>
      <c r="AFY55" s="88"/>
      <c r="AFZ55" s="88"/>
      <c r="AGA55" s="88"/>
      <c r="AGB55" s="88"/>
      <c r="AGC55" s="88"/>
      <c r="AGD55" s="88"/>
      <c r="AGE55" s="88"/>
      <c r="AGF55" s="88"/>
      <c r="AGG55" s="88"/>
      <c r="AGH55" s="88"/>
      <c r="AGI55" s="88"/>
      <c r="AGJ55" s="88"/>
      <c r="AGK55" s="88"/>
      <c r="AGL55" s="88"/>
      <c r="AGM55" s="88"/>
      <c r="AGN55" s="88"/>
      <c r="AGO55" s="88"/>
      <c r="AGP55" s="88"/>
      <c r="AGQ55" s="88"/>
      <c r="AGR55" s="88"/>
      <c r="AGS55" s="88"/>
      <c r="AGT55" s="88"/>
      <c r="AGU55" s="88"/>
      <c r="AGV55" s="88"/>
      <c r="AGW55" s="88"/>
      <c r="AGX55" s="88"/>
      <c r="AGY55" s="88"/>
      <c r="AGZ55" s="88"/>
      <c r="AHA55" s="88"/>
      <c r="AHB55" s="88"/>
      <c r="AHC55" s="88"/>
      <c r="AHD55" s="88"/>
      <c r="AHE55" s="88"/>
      <c r="AHF55" s="88"/>
      <c r="AHG55" s="88"/>
      <c r="AHH55" s="88"/>
    </row>
    <row r="56" spans="1:892" s="66" customFormat="1" ht="16.8" thickTop="1" thickBot="1" x14ac:dyDescent="0.35">
      <c r="A56" s="842"/>
      <c r="B56" s="243" t="s">
        <v>1459</v>
      </c>
      <c r="C56" s="140">
        <f>COUNTIF(C33:C55,"?*")</f>
        <v>6</v>
      </c>
      <c r="D56" s="117"/>
      <c r="E56" s="67">
        <f>SUBTOTAL(9,E33:E55)</f>
        <v>0.19777390439783502</v>
      </c>
      <c r="F56" s="139">
        <f>SUBTOTAL(9,F33:F55)</f>
        <v>35000000</v>
      </c>
      <c r="G56" s="100">
        <f>SUBTOTAL(9,G33:G55)</f>
        <v>4</v>
      </c>
      <c r="H56" s="100" t="str">
        <f>CONCATENATE(COUNTIFS(Data!$N$2:$N$998,C33,Data!$O$2:$O$998,"New *")+COUNTIFS(Data!$N$2:$N$998,C34,Data!$O$2:$O$998,"New *")+COUNTIFS(Data!$N$2:$N$998,C35,Data!$O$2:$O$998,"New *")+COUNTIFS(Data!$N$2:$N$998,C36,Data!$O$2:$O$998,"New *")+COUNTIFS(Data!$N$2:$N$998,C37,Data!$O$2:$O$998,"New *")+COUNTIFS(Data!$N$2:$N$998,C38,Data!$O$2:$O$998,"New *")+COUNTIFS(Data!$N$2:$N$998,C39,Data!$O$2:$O$998,"New *")+COUNTIFS(Data!$N$2:$N$998,C40,Data!$O$2:$O$998,"New *")+COUNTIFS(Data!$N$2:$N$998,C41,Data!$O$2:$O$998,"New *")+COUNTIFS(Data!$N$2:$N$998,C42,Data!$O$2:$O$998,"New *")+COUNTIFS(Data!$N$2:$N$998,C43,Data!$O$2:$O$998,"New *")+COUNTIFS(Data!$N$2:$N$998,C44,Data!$O$2:$O$998,"New *")+COUNTIFS(Data!$N$2:$N$998,C45,Data!$O$2:$O$998,"New *")+COUNTIFS(Data!$N$2:$N$998,C46,Data!$O$2:$O$998,"New *")+COUNTIFS(Data!$N$2:$N$998,C47,Data!$O$2:$O$998,"New *")+COUNTIFS(Data!$N$2:$N$998,C48,Data!$O$2:$O$998,"New *")+COUNTIFS(Data!$N$2:$N$998,C49,Data!$O$2:$O$998,"New *")+COUNTIFS(Data!$N$2:$N$998,C50,Data!$O$2:$O$998,"New *")+COUNTIFS(Data!$N$2:$N$998,C51,Data!$O$2:$O$998,"New *")+COUNTIFS(Data!$N$2:$N$998,C52,Data!$O$2:$O$998,"New *")+COUNTIFS(Data!$N$2:$N$998,C53,Data!$O$2:$O$998,"New *")+COUNTIFS(Data!$N$2:$N$998,C54,Data!$O$2:$O$998,"New *")+COUNTIFS(Data!$N$2:$N$998,C55,Data!$O$2:$O$998,"New *")," New",",",COUNTIFS(Data!$N$2:$N$998,C33,Data!$O$2:$O$998,"Repeat *")+COUNTIFS(Data!$N$2:$N$998,C34,Data!$O$2:$O$998,"Repeat *")+COUNTIFS(Data!$N$2:$N$998,#REF!,Data!$O$2:$O$998,"Repeat *")+COUNTIFS(Data!$N$2:$N$998,C35,Data!$O$2:$O$998,"Repeat *")+COUNTIFS(Data!$N$2:$N$998,C36,Data!$O$2:$O$998,"Repeat *")+COUNTIFS(Data!$N$2:$N$998,C37,Data!$O$2:$O$998,"Repeat *")+COUNTIFS(Data!$N$2:$N$998,C38,Data!$O$2:$O$998,"Repeat *")+COUNTIFS(Data!$N$2:$N$998,C39,Data!$O$2:$O$998,"Repeat *")+COUNTIFS(Data!$N$2:$N$998,C40,Data!$O$2:$O$998,"Repeat *")+COUNTIFS(Data!$N$2:$N$998,C41,Data!$O$2:$O$998,"Repeat *")+COUNTIFS(Data!$N$2:$N$998,C42,Data!$O$2:$O$998,"Repeat *")+COUNTIFS(Data!$N$2:$N$998,C43,Data!$O$2:$O$998,"Repeat *")+COUNTIFS(Data!$N$2:$N$998,C44,Data!$O$2:$O$998,"Repeat *")+COUNTIFS(Data!$N$2:$N$998,C45,Data!$O$2:$O$998,"Repeat *")+COUNTIFS(Data!$N$2:$N$998,C46,Data!$O$2:$O$998,"Repeat *")+COUNTIFS(Data!$N$2:$N$998,C47,Data!$O$2:$O$998,"Repeat *")+COUNTIFS(Data!$N$2:$N$998,C48,Data!$O$2:$O$998,"Repeat *")+COUNTIFS(Data!$N$2:$N$998,C49,Data!$O$2:$O$998,"Repeat *")+COUNTIFS(Data!$N$2:$N$998,C50,Data!$O$2:$O$998,"Repeat *")+COUNTIFS(Data!$N$2:$N$998,C51,Data!$O$2:$O$998,"Repeat *")+COUNTIFS(Data!$N$2:$N$998,C52,Data!$O$2:$O$998,"Repeat *")+COUNTIFS(Data!$N$2:$N$998,C53,Data!$O$2:$O$998,"Repeat *")+COUNTIFS(Data!$N$2:$N$998,C54,Data!$O$2:$O$998,"Repeat *")+COUNTIFS(Data!$N$2:$N$998,C55,Data!$O$2:$O$998,"Repeat *"), " Repeat")</f>
        <v>2 New,2 Repeat</v>
      </c>
      <c r="I56" s="140">
        <f>SUBTOTAL(9,I33:I55)</f>
        <v>75</v>
      </c>
      <c r="J56" s="141">
        <f>SUBTOTAL(9,J33:J55)</f>
        <v>555000000</v>
      </c>
      <c r="K56" s="142">
        <f>IF(OR(I56="",ISERROR(G56/I56)),0,(G56)/I56)</f>
        <v>5.3333333333333337E-2</v>
      </c>
      <c r="L56" s="142">
        <f>IF(OR(J56="",ISERROR(F56/J56)),"",F56/J56)</f>
        <v>6.3063063063063057E-2</v>
      </c>
      <c r="M56" s="86"/>
      <c r="N56" s="86"/>
      <c r="O56" s="86"/>
      <c r="P56" s="86"/>
      <c r="Q56" s="86"/>
      <c r="R56" s="86"/>
      <c r="S56" s="86"/>
      <c r="T56" s="86"/>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6"/>
      <c r="CO56" s="86"/>
      <c r="CP56" s="86"/>
      <c r="CQ56" s="86"/>
      <c r="CR56" s="86"/>
      <c r="CS56" s="86"/>
      <c r="CT56" s="86"/>
      <c r="CU56" s="86"/>
      <c r="CV56" s="86"/>
      <c r="CW56" s="86"/>
      <c r="CX56" s="86"/>
      <c r="CY56" s="86"/>
      <c r="CZ56" s="86"/>
      <c r="DA56" s="86"/>
      <c r="DB56" s="86"/>
      <c r="DC56" s="86"/>
      <c r="DD56" s="86"/>
      <c r="DE56" s="86"/>
      <c r="DF56" s="86"/>
      <c r="DG56" s="86"/>
      <c r="DH56" s="86"/>
      <c r="DI56" s="86"/>
      <c r="DJ56" s="86"/>
      <c r="DK56" s="86"/>
      <c r="DL56" s="86"/>
      <c r="DM56" s="86"/>
      <c r="DN56" s="86"/>
      <c r="DO56" s="86"/>
      <c r="DP56" s="86"/>
      <c r="DQ56" s="86"/>
      <c r="DR56" s="86"/>
      <c r="DS56" s="86"/>
      <c r="DT56" s="86"/>
      <c r="DU56" s="86"/>
      <c r="DV56" s="86"/>
      <c r="DW56" s="86"/>
      <c r="DX56" s="86"/>
      <c r="DY56" s="86"/>
      <c r="DZ56" s="86"/>
      <c r="EA56" s="86"/>
      <c r="EB56" s="86"/>
      <c r="EC56" s="86"/>
      <c r="ED56" s="86"/>
      <c r="EE56" s="86"/>
      <c r="EF56" s="86"/>
      <c r="EG56" s="86"/>
      <c r="EH56" s="86"/>
      <c r="EI56" s="86"/>
      <c r="EJ56" s="86"/>
      <c r="EK56" s="86"/>
      <c r="EL56" s="86"/>
      <c r="EM56" s="86"/>
      <c r="EN56" s="86"/>
      <c r="EO56" s="86"/>
      <c r="EP56" s="86"/>
      <c r="EQ56" s="86"/>
      <c r="ER56" s="86"/>
      <c r="ES56" s="86"/>
      <c r="ET56" s="86"/>
      <c r="EU56" s="86"/>
      <c r="EV56" s="86"/>
      <c r="EW56" s="86"/>
      <c r="EX56" s="86"/>
      <c r="EY56" s="86"/>
      <c r="EZ56" s="86"/>
      <c r="FA56" s="86"/>
      <c r="FB56" s="86"/>
      <c r="FC56" s="86"/>
      <c r="FD56" s="86"/>
      <c r="FE56" s="86"/>
      <c r="FF56" s="86"/>
      <c r="FG56" s="86"/>
      <c r="FH56" s="86"/>
      <c r="FI56" s="86"/>
      <c r="FJ56" s="86"/>
      <c r="FK56" s="86"/>
      <c r="FL56" s="86"/>
      <c r="FM56" s="86"/>
      <c r="FN56" s="86"/>
      <c r="FO56" s="86"/>
      <c r="FP56" s="86"/>
      <c r="FQ56" s="86"/>
      <c r="FR56" s="86"/>
      <c r="FS56" s="86"/>
      <c r="FT56" s="86"/>
      <c r="FU56" s="86"/>
      <c r="FV56" s="86"/>
      <c r="FW56" s="86"/>
      <c r="FX56" s="86"/>
      <c r="FY56" s="86"/>
      <c r="FZ56" s="86"/>
      <c r="GA56" s="86"/>
      <c r="GB56" s="86"/>
      <c r="GC56" s="86"/>
      <c r="GD56" s="86"/>
      <c r="GE56" s="86"/>
      <c r="GF56" s="86"/>
      <c r="GG56" s="86"/>
      <c r="GH56" s="86"/>
      <c r="GI56" s="86"/>
      <c r="GJ56" s="86"/>
      <c r="GK56" s="86"/>
      <c r="GL56" s="86"/>
      <c r="GM56" s="86"/>
      <c r="GN56" s="86"/>
      <c r="GO56" s="86"/>
      <c r="GP56" s="86"/>
      <c r="GQ56" s="86"/>
      <c r="GR56" s="86"/>
      <c r="GS56" s="86"/>
      <c r="GT56" s="86"/>
      <c r="GU56" s="86"/>
      <c r="GV56" s="86"/>
      <c r="GW56" s="86"/>
      <c r="GX56" s="86"/>
      <c r="GY56" s="86"/>
      <c r="GZ56" s="86"/>
      <c r="HA56" s="86"/>
      <c r="HB56" s="86"/>
      <c r="HC56" s="86"/>
      <c r="HD56" s="86"/>
      <c r="HE56" s="86"/>
      <c r="HF56" s="86"/>
      <c r="HG56" s="86"/>
      <c r="HH56" s="86"/>
      <c r="HI56" s="86"/>
      <c r="HJ56" s="86"/>
      <c r="HK56" s="86"/>
      <c r="HL56" s="86"/>
      <c r="HM56" s="86"/>
      <c r="HN56" s="86"/>
      <c r="HO56" s="86"/>
      <c r="HP56" s="86"/>
      <c r="HQ56" s="86"/>
      <c r="HR56" s="86"/>
      <c r="HS56" s="86"/>
      <c r="HT56" s="86"/>
      <c r="HU56" s="86"/>
      <c r="HV56" s="86"/>
      <c r="HW56" s="86"/>
      <c r="HX56" s="86"/>
      <c r="HY56" s="86"/>
      <c r="HZ56" s="86"/>
      <c r="IA56" s="86"/>
      <c r="IB56" s="86"/>
      <c r="IC56" s="86"/>
      <c r="ID56" s="86"/>
      <c r="IE56" s="86"/>
      <c r="IF56" s="86"/>
      <c r="IG56" s="86"/>
      <c r="IH56" s="86"/>
      <c r="II56" s="86"/>
      <c r="IJ56" s="86"/>
      <c r="IK56" s="86"/>
      <c r="IL56" s="86"/>
      <c r="IM56" s="86"/>
      <c r="IN56" s="86"/>
      <c r="IO56" s="86"/>
      <c r="IP56" s="86"/>
      <c r="IQ56" s="86"/>
      <c r="IR56" s="86"/>
      <c r="IS56" s="86"/>
      <c r="IT56" s="86"/>
      <c r="IU56" s="86"/>
      <c r="IV56" s="86"/>
      <c r="IW56" s="86"/>
      <c r="IX56" s="86"/>
      <c r="IY56" s="86"/>
      <c r="IZ56" s="86"/>
      <c r="JA56" s="86"/>
      <c r="JB56" s="86"/>
      <c r="JC56" s="86"/>
      <c r="JD56" s="86"/>
      <c r="JE56" s="86"/>
      <c r="JF56" s="86"/>
      <c r="JG56" s="86"/>
      <c r="JH56" s="86"/>
      <c r="JI56" s="86"/>
      <c r="JJ56" s="86"/>
      <c r="JK56" s="86"/>
      <c r="JL56" s="86"/>
      <c r="JM56" s="86"/>
      <c r="JN56" s="86"/>
      <c r="JO56" s="86"/>
      <c r="JP56" s="86"/>
      <c r="JQ56" s="86"/>
      <c r="JR56" s="86"/>
      <c r="JS56" s="86"/>
      <c r="JT56" s="86"/>
      <c r="JU56" s="86"/>
      <c r="JV56" s="86"/>
      <c r="JW56" s="86"/>
      <c r="JX56" s="86"/>
      <c r="JY56" s="86"/>
      <c r="JZ56" s="86"/>
      <c r="KA56" s="86"/>
      <c r="KB56" s="86"/>
      <c r="KC56" s="86"/>
      <c r="KD56" s="86"/>
      <c r="KE56" s="86"/>
      <c r="KF56" s="86"/>
      <c r="KG56" s="86"/>
      <c r="KH56" s="86"/>
      <c r="KI56" s="86"/>
      <c r="KJ56" s="86"/>
      <c r="KK56" s="86"/>
      <c r="KL56" s="86"/>
      <c r="KM56" s="86"/>
      <c r="KN56" s="86"/>
      <c r="KO56" s="86"/>
      <c r="KP56" s="86"/>
      <c r="KQ56" s="86"/>
      <c r="KR56" s="86"/>
      <c r="KS56" s="86"/>
      <c r="KT56" s="86"/>
      <c r="KU56" s="86"/>
      <c r="KV56" s="86"/>
      <c r="KW56" s="86"/>
      <c r="KX56" s="86"/>
      <c r="KY56" s="86"/>
      <c r="KZ56" s="86"/>
      <c r="LA56" s="86"/>
      <c r="LB56" s="86"/>
      <c r="LC56" s="86"/>
      <c r="LD56" s="86"/>
      <c r="LE56" s="86"/>
      <c r="LF56" s="86"/>
      <c r="LG56" s="86"/>
      <c r="LH56" s="86"/>
      <c r="LI56" s="86"/>
      <c r="LJ56" s="86"/>
      <c r="LK56" s="86"/>
      <c r="LL56" s="86"/>
      <c r="LM56" s="86"/>
      <c r="LN56" s="86"/>
      <c r="LO56" s="86"/>
      <c r="LP56" s="86"/>
      <c r="LQ56" s="86"/>
      <c r="LR56" s="86"/>
      <c r="LS56" s="86"/>
      <c r="LT56" s="86"/>
      <c r="LU56" s="86"/>
      <c r="LV56" s="86"/>
      <c r="LW56" s="86"/>
      <c r="LX56" s="86"/>
      <c r="LY56" s="86"/>
      <c r="LZ56" s="86"/>
      <c r="MA56" s="86"/>
      <c r="MB56" s="86"/>
      <c r="MC56" s="86"/>
      <c r="MD56" s="86"/>
      <c r="ME56" s="86"/>
      <c r="MF56" s="86"/>
      <c r="MG56" s="86"/>
      <c r="MH56" s="86"/>
      <c r="MI56" s="86"/>
      <c r="MJ56" s="86"/>
      <c r="MK56" s="86"/>
      <c r="ML56" s="86"/>
      <c r="MM56" s="86"/>
      <c r="MN56" s="86"/>
      <c r="MO56" s="86"/>
      <c r="MP56" s="86"/>
      <c r="MQ56" s="86"/>
      <c r="MR56" s="86"/>
      <c r="MS56" s="86"/>
      <c r="MT56" s="86"/>
      <c r="MU56" s="86"/>
      <c r="MV56" s="86"/>
      <c r="MW56" s="86"/>
      <c r="MX56" s="86"/>
      <c r="MY56" s="86"/>
      <c r="MZ56" s="86"/>
      <c r="NA56" s="86"/>
      <c r="NB56" s="86"/>
      <c r="NC56" s="86"/>
      <c r="ND56" s="86"/>
      <c r="NE56" s="86"/>
      <c r="NF56" s="86"/>
      <c r="NG56" s="86"/>
      <c r="NH56" s="86"/>
      <c r="NI56" s="86"/>
      <c r="NJ56" s="86"/>
      <c r="NK56" s="86"/>
      <c r="NL56" s="86"/>
      <c r="NM56" s="86"/>
      <c r="NN56" s="86"/>
      <c r="NO56" s="86"/>
      <c r="NP56" s="86"/>
      <c r="NQ56" s="86"/>
      <c r="NR56" s="86"/>
      <c r="NS56" s="86"/>
      <c r="NT56" s="86"/>
      <c r="NU56" s="86"/>
      <c r="NV56" s="86"/>
      <c r="NW56" s="86"/>
      <c r="NX56" s="86"/>
      <c r="NY56" s="86"/>
      <c r="NZ56" s="86"/>
      <c r="OA56" s="86"/>
      <c r="OB56" s="86"/>
      <c r="OC56" s="86"/>
      <c r="OD56" s="86"/>
      <c r="OE56" s="86"/>
      <c r="OF56" s="86"/>
      <c r="OG56" s="86"/>
      <c r="OH56" s="86"/>
      <c r="OI56" s="86"/>
      <c r="OJ56" s="86"/>
      <c r="OK56" s="86"/>
      <c r="OL56" s="86"/>
      <c r="OM56" s="86"/>
      <c r="ON56" s="86"/>
      <c r="OO56" s="86"/>
      <c r="OP56" s="86"/>
      <c r="OQ56" s="86"/>
      <c r="OR56" s="86"/>
      <c r="OS56" s="86"/>
      <c r="OT56" s="86"/>
      <c r="OU56" s="86"/>
      <c r="OV56" s="86"/>
      <c r="OW56" s="86"/>
      <c r="OX56" s="86"/>
      <c r="OY56" s="86"/>
      <c r="OZ56" s="86"/>
      <c r="PA56" s="86"/>
      <c r="PB56" s="86"/>
      <c r="PC56" s="86"/>
      <c r="PD56" s="86"/>
      <c r="PE56" s="86"/>
      <c r="PF56" s="86"/>
      <c r="PG56" s="86"/>
      <c r="PH56" s="86"/>
      <c r="PI56" s="86"/>
      <c r="PJ56" s="86"/>
      <c r="PK56" s="86"/>
      <c r="PL56" s="86"/>
      <c r="PM56" s="86"/>
      <c r="PN56" s="86"/>
      <c r="PO56" s="86"/>
      <c r="PP56" s="86"/>
      <c r="PQ56" s="86"/>
      <c r="PR56" s="86"/>
      <c r="PS56" s="86"/>
      <c r="PT56" s="86"/>
      <c r="PU56" s="86"/>
      <c r="PV56" s="86"/>
      <c r="PW56" s="86"/>
      <c r="PX56" s="86"/>
      <c r="PY56" s="86"/>
      <c r="PZ56" s="86"/>
      <c r="QA56" s="86"/>
      <c r="QB56" s="86"/>
      <c r="QC56" s="86"/>
      <c r="QD56" s="86"/>
      <c r="QE56" s="86"/>
      <c r="QF56" s="86"/>
      <c r="QG56" s="86"/>
      <c r="QH56" s="86"/>
      <c r="QI56" s="86"/>
      <c r="QJ56" s="86"/>
      <c r="QK56" s="86"/>
      <c r="QL56" s="86"/>
      <c r="QM56" s="86"/>
      <c r="QN56" s="86"/>
      <c r="QO56" s="86"/>
      <c r="QP56" s="86"/>
      <c r="QQ56" s="86"/>
      <c r="QR56" s="86"/>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c r="YP56" s="86"/>
      <c r="YQ56" s="86"/>
      <c r="YR56" s="86"/>
      <c r="YS56" s="86"/>
      <c r="YT56" s="86"/>
      <c r="YU56" s="86"/>
      <c r="YV56" s="86"/>
      <c r="YW56" s="86"/>
      <c r="YX56" s="86"/>
      <c r="YY56" s="86"/>
      <c r="YZ56" s="86"/>
      <c r="ZA56" s="86"/>
      <c r="ZB56" s="86"/>
      <c r="ZC56" s="86"/>
      <c r="ZD56" s="86"/>
      <c r="ZE56" s="86"/>
      <c r="ZF56" s="86"/>
      <c r="ZG56" s="86"/>
      <c r="ZH56" s="86"/>
      <c r="ZI56" s="86"/>
      <c r="ZJ56" s="86"/>
      <c r="ZK56" s="86"/>
      <c r="ZL56" s="86"/>
      <c r="ZM56" s="86"/>
      <c r="ZN56" s="86"/>
      <c r="ZO56" s="86"/>
      <c r="ZP56" s="86"/>
      <c r="ZQ56" s="86"/>
      <c r="ZR56" s="86"/>
      <c r="ZS56" s="86"/>
      <c r="ZT56" s="86"/>
      <c r="ZU56" s="86"/>
      <c r="ZV56" s="86"/>
      <c r="ZW56" s="86"/>
      <c r="ZX56" s="86"/>
      <c r="ZY56" s="86"/>
      <c r="ZZ56" s="86"/>
      <c r="AAA56" s="86"/>
      <c r="AAB56" s="86"/>
      <c r="AAC56" s="86"/>
      <c r="AAD56" s="86"/>
      <c r="AAE56" s="86"/>
      <c r="AAF56" s="86"/>
      <c r="AAG56" s="86"/>
      <c r="AAH56" s="86"/>
      <c r="AAI56" s="86"/>
      <c r="AAJ56" s="86"/>
      <c r="AAK56" s="86"/>
      <c r="AAL56" s="86"/>
      <c r="AAM56" s="86"/>
      <c r="AAN56" s="86"/>
      <c r="AAO56" s="86"/>
      <c r="AAP56" s="86"/>
      <c r="AAQ56" s="86"/>
      <c r="AAR56" s="86"/>
      <c r="AAS56" s="86"/>
      <c r="AAT56" s="86"/>
      <c r="AAU56" s="86"/>
      <c r="AAV56" s="86"/>
      <c r="AAW56" s="86"/>
      <c r="AAX56" s="86"/>
      <c r="AAY56" s="86"/>
      <c r="AAZ56" s="86"/>
      <c r="ABA56" s="86"/>
      <c r="ABB56" s="86"/>
      <c r="ABC56" s="86"/>
      <c r="ABD56" s="86"/>
      <c r="ABE56" s="86"/>
      <c r="ABF56" s="86"/>
      <c r="ABG56" s="86"/>
      <c r="ABH56" s="86"/>
      <c r="ABI56" s="86"/>
      <c r="ABJ56" s="86"/>
      <c r="ABK56" s="86"/>
      <c r="ABL56" s="86"/>
      <c r="ABM56" s="86"/>
      <c r="ABN56" s="86"/>
      <c r="ABO56" s="86"/>
      <c r="ABP56" s="86"/>
      <c r="ABQ56" s="86"/>
      <c r="ABR56" s="86"/>
      <c r="ABS56" s="86"/>
      <c r="ABT56" s="86"/>
      <c r="ABU56" s="86"/>
      <c r="ABV56" s="86"/>
      <c r="ABW56" s="86"/>
      <c r="ABX56" s="86"/>
      <c r="ABY56" s="86"/>
      <c r="ABZ56" s="86"/>
      <c r="ACA56" s="86"/>
      <c r="ACB56" s="86"/>
      <c r="ACC56" s="86"/>
      <c r="ACD56" s="86"/>
      <c r="ACE56" s="86"/>
      <c r="ACF56" s="86"/>
      <c r="ACG56" s="86"/>
      <c r="ACH56" s="86"/>
      <c r="ACI56" s="86"/>
      <c r="ACJ56" s="86"/>
      <c r="ACK56" s="86"/>
      <c r="ACL56" s="86"/>
      <c r="ACM56" s="86"/>
      <c r="ACN56" s="86"/>
      <c r="ACO56" s="86"/>
      <c r="ACP56" s="86"/>
      <c r="ACQ56" s="86"/>
      <c r="ACR56" s="86"/>
      <c r="ACS56" s="86"/>
      <c r="ACT56" s="86"/>
      <c r="ACU56" s="86"/>
      <c r="ACV56" s="86"/>
      <c r="ACW56" s="86"/>
      <c r="ACX56" s="86"/>
      <c r="ACY56" s="86"/>
      <c r="ACZ56" s="86"/>
      <c r="ADA56" s="86"/>
      <c r="ADB56" s="86"/>
      <c r="ADC56" s="86"/>
      <c r="ADD56" s="86"/>
      <c r="ADE56" s="86"/>
      <c r="ADF56" s="86"/>
      <c r="ADG56" s="86"/>
      <c r="ADH56" s="86"/>
      <c r="ADI56" s="86"/>
      <c r="ADJ56" s="86"/>
      <c r="ADK56" s="86"/>
      <c r="ADL56" s="86"/>
      <c r="ADM56" s="86"/>
      <c r="ADN56" s="86"/>
      <c r="ADO56" s="86"/>
      <c r="ADP56" s="86"/>
      <c r="ADQ56" s="86"/>
      <c r="ADR56" s="86"/>
      <c r="ADS56" s="86"/>
      <c r="ADT56" s="86"/>
      <c r="ADU56" s="86"/>
      <c r="ADV56" s="86"/>
      <c r="ADW56" s="86"/>
      <c r="ADX56" s="86"/>
      <c r="ADY56" s="86"/>
      <c r="ADZ56" s="86"/>
      <c r="AEA56" s="86"/>
      <c r="AEB56" s="86"/>
      <c r="AEC56" s="86"/>
      <c r="AED56" s="86"/>
      <c r="AEE56" s="86"/>
      <c r="AEF56" s="86"/>
      <c r="AEG56" s="86"/>
      <c r="AEH56" s="86"/>
      <c r="AEI56" s="86"/>
      <c r="AEJ56" s="86"/>
      <c r="AEK56" s="86"/>
      <c r="AEL56" s="86"/>
      <c r="AEM56" s="86"/>
      <c r="AEN56" s="86"/>
      <c r="AEO56" s="86"/>
      <c r="AEP56" s="86"/>
      <c r="AEQ56" s="86"/>
      <c r="AER56" s="86"/>
      <c r="AES56" s="86"/>
      <c r="AET56" s="86"/>
      <c r="AEU56" s="86"/>
    </row>
    <row r="57" spans="1:892" s="48" customFormat="1" ht="15.75" customHeight="1" thickTop="1" x14ac:dyDescent="0.25">
      <c r="A57" s="842"/>
      <c r="B57" s="846" t="s">
        <v>4682</v>
      </c>
      <c r="C57" s="735" t="str">
        <f t="array" ref="C57">IFERROR(INDEX('C'!$C$1:$C$2479, SMALL(IF($B$57 = 'C'!$A$1:$A$2479, ROW('C'!$A$1:$A$2479) -
ROW('C'!$A$2) + 2), ROW(1:1))),"")</f>
        <v>CKAWEESA</v>
      </c>
      <c r="D57" s="736" t="str">
        <f t="array" ref="D57">IFERROR(INDEX('C'!$B$1:$B$2479, SMALL(IF($B$57 = 'C'!$A$1:$A$2479, ROW('C'!$A$1:$A$2479) -
ROW('C'!$A$2) + 2), ROW(1:1))),"")</f>
        <v>WTM</v>
      </c>
      <c r="E57" s="737">
        <f t="shared" ref="E57:E72" si="6">F57/$F$219</f>
        <v>0</v>
      </c>
      <c r="F57" s="738">
        <f>SUMIF(Data!$N$2:$N$998,Disbursement!C57,Data!$D$2:$D$998)</f>
        <v>0</v>
      </c>
      <c r="G57" s="736">
        <f>IF(C57="",0,COUNTIF(Data!$N$2:$N$998,C57))</f>
        <v>0</v>
      </c>
      <c r="H57" s="736" t="str">
        <f>IF(C57="",0,CONCATENATE(COUNTIFS(Data!$N$2:$N$998,C57,Data!$O$2:$O$998,"New *")," New",", ",COUNTIFS(Data!$N$2:$N$998,C57,Data!$O$2:$O$998,"Repeat *")," Repeat"))</f>
        <v>0 New, 0 Repeat</v>
      </c>
      <c r="I57" s="739">
        <f>IF(OR(C57="DCOLLECTOR",C57="SAF2000",C57=""),"",VLOOKUP($C57,'C'!$C$1:$D$2479,2,FALSE))</f>
        <v>10</v>
      </c>
      <c r="J57" s="740">
        <f>IF(OR(C57="DCOLLECTOR",C57="SAF2000",C57=""),"",VLOOKUP($C57,'C'!$C$1:$E$2479,3,FALSE))</f>
        <v>85000000</v>
      </c>
      <c r="K57" s="134">
        <f>IFERROR(IF(I57="",0,(G57)/I57),"")</f>
        <v>0</v>
      </c>
      <c r="L57" s="741">
        <f>IFERROR(IF(J57="","",F57/J57),"")</f>
        <v>0</v>
      </c>
      <c r="M57" s="88"/>
      <c r="N57" s="88"/>
      <c r="O57" s="88"/>
    </row>
    <row r="58" spans="1:892" s="48" customFormat="1" ht="15" x14ac:dyDescent="0.25">
      <c r="A58" s="842"/>
      <c r="B58" s="847"/>
      <c r="C58" s="728" t="str">
        <f t="array" ref="C58">IFERROR(INDEX('C'!$C$1:$C$2479, SMALL(IF($B$57 = 'C'!$A$1:$A$2479, ROW('C'!$A$1:$A$2479) -
ROW('C'!$A$2) + 2), ROW(2:2))),"")</f>
        <v>DONGODIA</v>
      </c>
      <c r="D58" s="49" t="str">
        <f t="array" ref="D58">IFERROR(INDEX('C'!$B$1:$B$2479, SMALL(IF($B$57 = 'C'!$A$1:$A$2479, ROW('C'!$A$1:$A$2479) -
ROW('C'!$A$2) + 2), ROW(2:2))),"")</f>
        <v>WTM</v>
      </c>
      <c r="E58" s="95">
        <f t="shared" si="6"/>
        <v>0</v>
      </c>
      <c r="F58" s="92">
        <f>SUMIF(Data!$N$2:$N$998,Disbursement!C58,Data!$D$2:$D$998)</f>
        <v>0</v>
      </c>
      <c r="G58" s="49">
        <f>IF(C58="",0,COUNTIF(Data!$N$2:$N$998,C58))</f>
        <v>0</v>
      </c>
      <c r="H58" s="49" t="str">
        <f>IF(C58="",0,CONCATENATE(COUNTIFS(Data!$N$2:$N$998,C58,Data!$O$2:$O$998,"New *")," New",", ",COUNTIFS(Data!$N$2:$N$998,C58,Data!$O$2:$O$998,"Repeat *")," Repeat"))</f>
        <v>0 New, 0 Repeat</v>
      </c>
      <c r="I58" s="128">
        <f>IF(OR(C58="DCOLLECTOR",C58="SAF2000",C58=""),"",VLOOKUP($C58,'C'!$C$1:$D$2479,2,FALSE))</f>
        <v>10</v>
      </c>
      <c r="J58" s="129">
        <f>IF(OR(C58="DCOLLECTOR",C58="SAF2000",C58=""),"",VLOOKUP($C58,'C'!$C$1:$E$2479,3,FALSE))</f>
        <v>85000000</v>
      </c>
      <c r="K58" s="130">
        <f t="shared" ref="K58:K72" si="7">IFERROR(IF(I58="",0,(G58)/I58),"")</f>
        <v>0</v>
      </c>
      <c r="L58" s="130">
        <f>IFERROR(IF(J58="","",F58/J58),"")</f>
        <v>0</v>
      </c>
      <c r="M58" s="88"/>
      <c r="N58" s="88"/>
      <c r="O58" s="88"/>
    </row>
    <row r="59" spans="1:892" s="48" customFormat="1" ht="15" customHeight="1" x14ac:dyDescent="0.25">
      <c r="A59" s="842"/>
      <c r="B59" s="847"/>
      <c r="C59" s="729" t="str">
        <f t="array" ref="C59">IFERROR(INDEX('C'!$C$1:$C$2479, SMALL(IF($B$57 = 'C'!$A$1:$A$2479, ROW('C'!$A$1:$A$2479) -
ROW('C'!$A$2) + 2), ROW(3:3))),"")</f>
        <v>EMUBAJE</v>
      </c>
      <c r="D59" s="730" t="str">
        <f t="array" ref="D59">IFERROR(INDEX('C'!$B$1:$B$2479, SMALL(IF($B$57 = 'C'!$A$1:$A$2479, ROW('C'!$A$1:$A$2479) -
ROW('C'!$A$2) + 2), ROW(3:3))),"")</f>
        <v>WTM</v>
      </c>
      <c r="E59" s="731">
        <f t="shared" si="6"/>
        <v>6.2157512810748147E-2</v>
      </c>
      <c r="F59" s="732">
        <f>SUMIF(Data!$N$2:$N$998,Disbursement!C59,Data!$D$2:$D$998)</f>
        <v>11000000</v>
      </c>
      <c r="G59" s="730">
        <f>IF(C59="",0,COUNTIF(Data!$N$2:$N$998,C59))</f>
        <v>3</v>
      </c>
      <c r="H59" s="730" t="str">
        <f>IF(C59="",0,CONCATENATE(COUNTIFS(Data!$N$2:$N$998,C59,Data!$O$2:$O$998,"New *")," New",", ",COUNTIFS(Data!$N$2:$N$998,C59,Data!$O$2:$O$998,"Repeat *")," Repeat"))</f>
        <v>3 New, 0 Repeat</v>
      </c>
      <c r="I59" s="541">
        <f>IF(OR(C59="DCOLLECTOR",C59="SAF2000",C59=""),"",VLOOKUP($C59,'C'!$C$1:$D$2479,2,FALSE))</f>
        <v>10</v>
      </c>
      <c r="J59" s="733">
        <f>IF(OR(C59="DCOLLECTOR",C59="SAF2000",C59=""),"",VLOOKUP($C59,'C'!$C$1:$E$2479,3,FALSE))</f>
        <v>85000000</v>
      </c>
      <c r="K59" s="130">
        <f t="shared" si="7"/>
        <v>0.3</v>
      </c>
      <c r="L59" s="130">
        <f t="shared" ref="L59:L72" si="8">IFERROR(IF(J59="","",F59/J59),"")</f>
        <v>0.12941176470588237</v>
      </c>
      <c r="M59" s="88"/>
      <c r="N59" s="88"/>
      <c r="O59" s="88"/>
    </row>
    <row r="60" spans="1:892" s="48" customFormat="1" ht="15" customHeight="1" x14ac:dyDescent="0.25">
      <c r="A60" s="842"/>
      <c r="B60" s="847"/>
      <c r="C60" s="728" t="str">
        <f t="array" ref="C60">IFERROR(INDEX('C'!$C$1:$C$2479, SMALL(IF($B$57 = 'C'!$A$1:$A$2479, ROW('C'!$A$1:$A$2479) -
ROW('C'!$A$2) + 2), ROW(4:4))),"")</f>
        <v>FMUZANIRABANDI</v>
      </c>
      <c r="D60" s="49" t="str">
        <f t="array" ref="D60">IFERROR(INDEX('C'!$B$1:$B$2479, SMALL(IF($B$57 = 'C'!$A$1:$A$2479, ROW('C'!$A$1:$A$2479) -
ROW('C'!$A$2) + 2), ROW(4:4))),"")</f>
        <v>WTM</v>
      </c>
      <c r="E60" s="95">
        <f t="shared" si="6"/>
        <v>0</v>
      </c>
      <c r="F60" s="92">
        <f>SUMIF(Data!$N$2:$N$998,Disbursement!C60,Data!$D$2:$D$998)</f>
        <v>0</v>
      </c>
      <c r="G60" s="49">
        <f>IF(C60="",0,COUNTIF(Data!$N$2:$N$998,C60))</f>
        <v>0</v>
      </c>
      <c r="H60" s="49" t="str">
        <f>IF(C60="",0,CONCATENATE(COUNTIFS(Data!$N$2:$N$998,C60,Data!$O$2:$O$998,"New *")," New",", ",COUNTIFS(Data!$N$2:$N$998,C60,Data!$O$2:$O$998,"Repeat *")," Repeat"))</f>
        <v>0 New, 0 Repeat</v>
      </c>
      <c r="I60" s="128">
        <f>IF(OR(C60="DCOLLECTOR",C60="SAF2000",C60=""),"",VLOOKUP($C60,'C'!$C$1:$D$2479,2,FALSE))</f>
        <v>10</v>
      </c>
      <c r="J60" s="129">
        <f>IF(OR(C60="DCOLLECTOR",C60="SAF2000",C60=""),"",VLOOKUP($C60,'C'!$C$1:$E$2479,3,FALSE))</f>
        <v>85000000</v>
      </c>
      <c r="K60" s="130">
        <f t="shared" si="7"/>
        <v>0</v>
      </c>
      <c r="L60" s="130">
        <f t="shared" si="8"/>
        <v>0</v>
      </c>
      <c r="M60" s="88"/>
      <c r="N60" s="88"/>
      <c r="O60" s="88"/>
    </row>
    <row r="61" spans="1:892" s="48" customFormat="1" ht="15.6" thickBot="1" x14ac:dyDescent="0.3">
      <c r="A61" s="842"/>
      <c r="B61" s="847"/>
      <c r="C61" s="62" t="str">
        <f t="array" ref="C61">IFERROR(INDEX('C'!$C$1:$C$2479, SMALL(IF($B$57 = 'C'!$A$1:$A$2479, ROW('C'!$A$1:$A$2479) -
ROW('C'!$A$2) + 2), ROW(5:5))),"")</f>
        <v>TKUSHEMERERWA</v>
      </c>
      <c r="D61" s="63" t="str">
        <f t="array" ref="D61">IFERROR(INDEX('C'!$B$1:$B$2479, SMALL(IF($B$57 = 'C'!$A$1:$A$2479, ROW('C'!$A$1:$A$2479) -
ROW('C'!$A$2) + 2), ROW(5:5))),"")</f>
        <v>WTM</v>
      </c>
      <c r="E61" s="96">
        <f t="shared" si="6"/>
        <v>0</v>
      </c>
      <c r="F61" s="93">
        <f>SUMIF(Data!$N$2:$N$998,Disbursement!C61,Data!$D$2:$D$998)</f>
        <v>0</v>
      </c>
      <c r="G61" s="63">
        <f>IF(C61="",0,COUNTIF(Data!$N$2:$N$998,C61))</f>
        <v>0</v>
      </c>
      <c r="H61" s="63" t="str">
        <f>IF(C61="",0,CONCATENATE(COUNTIFS(Data!$N$2:$N$998,C61,Data!$O$2:$O$998,"New *")," New",", ",COUNTIFS(Data!$N$2:$N$998,C61,Data!$O$2:$O$998,"Repeat *")," Repeat"))</f>
        <v>0 New, 0 Repeat</v>
      </c>
      <c r="I61" s="132">
        <f>IF(OR(C61="DCOLLECTOR",C61="SAF2000",C61=""),"",VLOOKUP($C61,'C'!$C$1:$D$2479,2,FALSE))</f>
        <v>10</v>
      </c>
      <c r="J61" s="133">
        <f>IF(OR(C61="DCOLLECTOR",C61="SAF2000",C61=""),"",VLOOKUP($C61,'C'!$C$1:$E$2479,3,FALSE))</f>
        <v>85000000</v>
      </c>
      <c r="K61" s="130">
        <f t="shared" si="7"/>
        <v>0</v>
      </c>
      <c r="L61" s="130">
        <f t="shared" si="8"/>
        <v>0</v>
      </c>
      <c r="M61" s="88"/>
      <c r="N61" s="88"/>
      <c r="O61" s="88"/>
    </row>
    <row r="62" spans="1:892" s="48" customFormat="1" ht="15.6" hidden="1" thickBot="1" x14ac:dyDescent="0.3">
      <c r="A62" s="842"/>
      <c r="B62" s="847"/>
      <c r="C62" s="62" t="str">
        <f t="array" ref="C62">IFERROR(INDEX('C'!$C$1:$C$2479, SMALL(IF($B$57 = 'C'!$A$1:$A$2479, ROW('C'!$A$1:$A$2479) -
ROW('C'!$A$2) + 2), ROW(6:6))),"")</f>
        <v/>
      </c>
      <c r="D62" s="63" t="str">
        <f t="array" ref="D62">IFERROR(INDEX('C'!$B$1:$B$2479, SMALL(IF($B$57 = 'C'!$A$1:$A$2479, ROW('C'!$A$1:$A$2479) -
ROW('C'!$A$2) + 2), ROW(6:6))),"")</f>
        <v/>
      </c>
      <c r="E62" s="96">
        <f t="shared" si="6"/>
        <v>0</v>
      </c>
      <c r="F62" s="93">
        <f>SUMIF(Data!$N$2:$N$998,Disbursement!C62,Data!$D$2:$D$998)</f>
        <v>0</v>
      </c>
      <c r="G62" s="63">
        <f>IF(C62="",0,COUNTIF(Data!$N$2:$N$998,C62))</f>
        <v>0</v>
      </c>
      <c r="H62" s="63">
        <f>IF(C62="",0,CONCATENATE(COUNTIFS(Data!$N$2:$N$998,C62,Data!$O$2:$O$998,"New *")," New",", ",COUNTIFS(Data!$N$2:$N$998,C62,Data!$O$2:$O$998,"Repeat *")," Repeat"))</f>
        <v>0</v>
      </c>
      <c r="I62" s="132" t="str">
        <f>IF(OR(C62="DCOLLECTOR",C62="SAF2000",C62=""),"",VLOOKUP($C62,'C'!$C$1:$D$2479,2,FALSE))</f>
        <v/>
      </c>
      <c r="J62" s="133" t="str">
        <f>IF(OR(C62="DCOLLECTOR",C62="SAF2000",C62=""),"",VLOOKUP($C62,'C'!$C$1:$E$2479,3,FALSE))</f>
        <v/>
      </c>
      <c r="K62" s="130">
        <f t="shared" si="7"/>
        <v>0</v>
      </c>
      <c r="L62" s="130" t="str">
        <f t="shared" si="8"/>
        <v/>
      </c>
      <c r="M62" s="88"/>
      <c r="N62" s="88"/>
      <c r="O62" s="88"/>
    </row>
    <row r="63" spans="1:892" s="48" customFormat="1" ht="15.6" hidden="1" thickBot="1" x14ac:dyDescent="0.3">
      <c r="A63" s="842"/>
      <c r="B63" s="847"/>
      <c r="C63" s="62" t="str">
        <f t="array" ref="C63">IFERROR(INDEX('C'!$C$1:$C$2479, SMALL(IF($B$57 = 'C'!$A$1:$A$2479, ROW('C'!$A$1:$A$2479) -
ROW('C'!$A$2) + 2), ROW(7:7))),"")</f>
        <v/>
      </c>
      <c r="D63" s="63" t="str">
        <f t="array" ref="D63">IFERROR(INDEX('C'!$B$1:$B$2479, SMALL(IF($B$57 = 'C'!$A$1:$A$2479, ROW('C'!$A$1:$A$2479) -
ROW('C'!$A$2) + 2), ROW(7:7))),"")</f>
        <v/>
      </c>
      <c r="E63" s="96">
        <f t="shared" si="6"/>
        <v>0</v>
      </c>
      <c r="F63" s="93">
        <f>SUMIF(Data!$N$2:$N$998,Disbursement!C63,Data!$D$2:$D$998)</f>
        <v>0</v>
      </c>
      <c r="G63" s="63">
        <f>IF(C63="",0,COUNTIF(Data!$N$2:$N$998,C63))</f>
        <v>0</v>
      </c>
      <c r="H63" s="63">
        <f>IF(C63="",0,CONCATENATE(COUNTIFS(Data!$N$2:$N$998,C63,Data!$O$2:$O$998,"New *")," New",", ",COUNTIFS(Data!$N$2:$N$998,C63,Data!$O$2:$O$998,"Repeat *")," Repeat"))</f>
        <v>0</v>
      </c>
      <c r="I63" s="132" t="str">
        <f>IF(OR(C63="DCOLLECTOR",C63="SAF2000",C63=""),"",VLOOKUP($C63,'C'!$C$1:$D$2479,2,FALSE))</f>
        <v/>
      </c>
      <c r="J63" s="133" t="str">
        <f>IF(OR(C63="DCOLLECTOR",C63="SAF2000",C63=""),"",VLOOKUP($C63,'C'!$C$1:$E$2479,3,FALSE))</f>
        <v/>
      </c>
      <c r="K63" s="130">
        <f t="shared" si="7"/>
        <v>0</v>
      </c>
      <c r="L63" s="130" t="str">
        <f t="shared" si="8"/>
        <v/>
      </c>
      <c r="M63" s="88"/>
      <c r="N63" s="88"/>
      <c r="O63" s="88"/>
    </row>
    <row r="64" spans="1:892" s="48" customFormat="1" ht="15" hidden="1" x14ac:dyDescent="0.25">
      <c r="A64" s="842"/>
      <c r="B64" s="847"/>
      <c r="C64" s="62" t="str">
        <f t="array" ref="C64">IFERROR(INDEX('C'!$C$1:$C$2479, SMALL(IF($B$57 = 'C'!$A$1:$A$2479, ROW('C'!$A$1:$A$2479) -
ROW('C'!$A$2) + 2), ROW(8:8))),"")</f>
        <v/>
      </c>
      <c r="D64" s="63" t="str">
        <f t="array" ref="D64">IFERROR(INDEX('C'!$B$1:$B$2479, SMALL(IF($B$57 = 'C'!$A$1:$A$2479, ROW('C'!$A$1:$A$2479) -
ROW('C'!$A$2) + 2), ROW(12:12))),"")</f>
        <v/>
      </c>
      <c r="E64" s="96">
        <f t="shared" si="6"/>
        <v>0</v>
      </c>
      <c r="F64" s="93">
        <f>SUMIF(Data!$N$2:$N$998,Disbursement!C64,Data!$D$2:$D$998)</f>
        <v>0</v>
      </c>
      <c r="G64" s="63">
        <f>IF(C64="",0,COUNTIF(Data!$N$2:$N$998,C64))</f>
        <v>0</v>
      </c>
      <c r="H64" s="63">
        <f>IF(C64="",0,CONCATENATE(COUNTIFS(Data!$N$2:$N$998,C64,Data!$O$2:$O$998,"New *")," New",", ",COUNTIFS(Data!$N$2:$N$998,C64,Data!$O$2:$O$998,"Repeat *")," Repeat"))</f>
        <v>0</v>
      </c>
      <c r="I64" s="132" t="str">
        <f>IF(OR(C64="DCOLLECTOR",C64="SAF2000",C64=""),"",VLOOKUP($C64,'C'!$C$1:$D$2479,2,FALSE))</f>
        <v/>
      </c>
      <c r="J64" s="133" t="str">
        <f>IF(OR(C64="DCOLLECTOR",C64="SAF2000",C64=""),"",VLOOKUP($C64,'C'!$C$1:$E$2479,3,FALSE))</f>
        <v/>
      </c>
      <c r="K64" s="130">
        <f t="shared" si="7"/>
        <v>0</v>
      </c>
      <c r="L64" s="130" t="str">
        <f t="shared" si="8"/>
        <v/>
      </c>
      <c r="M64" s="88"/>
      <c r="N64" s="88"/>
      <c r="O64" s="88"/>
    </row>
    <row r="65" spans="1:769" s="48" customFormat="1" ht="15" hidden="1" x14ac:dyDescent="0.25">
      <c r="A65" s="842"/>
      <c r="B65" s="847"/>
      <c r="C65" s="62" t="str">
        <f t="array" ref="C65">IFERROR(INDEX('C'!$C$1:$C$2479, SMALL(IF($B$57 = 'C'!$A$1:$A$2479, ROW('C'!$A$1:$A$2479) -
ROW('C'!$A$2) + 2), ROW(9:9))),"")</f>
        <v/>
      </c>
      <c r="D65" s="63" t="str">
        <f t="array" ref="D65">IFERROR(INDEX('C'!$B$1:$B$2479, SMALL(IF($B$57 = 'C'!$A$1:$A$2479, ROW('C'!$A$1:$A$2479) -
ROW('C'!$A$2) + 2), ROW(#REF!))),"")</f>
        <v/>
      </c>
      <c r="E65" s="96">
        <f t="shared" si="6"/>
        <v>0</v>
      </c>
      <c r="F65" s="93">
        <f>SUMIF(Data!$N$2:$N$998,Disbursement!C65,Data!$D$2:$D$998)</f>
        <v>0</v>
      </c>
      <c r="G65" s="63">
        <f>IF(C65="",0,COUNTIF(Data!$N$2:$N$998,C65))</f>
        <v>0</v>
      </c>
      <c r="H65" s="63">
        <f>IF(C65="",0,CONCATENATE(COUNTIFS(Data!$N$2:$N$998,C65,Data!$O$2:$O$998,"New *")," New",", ",COUNTIFS(Data!$N$2:$N$998,C65,Data!$O$2:$O$998,"Repeat *")," Repeat"))</f>
        <v>0</v>
      </c>
      <c r="I65" s="132" t="str">
        <f>IF(OR(C65="DCOLLECTOR",C65="SAF2000",C65=""),"",VLOOKUP($C65,'C'!$C$1:$D$2479,2,FALSE))</f>
        <v/>
      </c>
      <c r="J65" s="133" t="str">
        <f>IF(OR(C65="DCOLLECTOR",C65="SAF2000",C65=""),"",VLOOKUP($C65,'C'!$C$1:$E$2479,3,FALSE))</f>
        <v/>
      </c>
      <c r="K65" s="130">
        <f t="shared" si="7"/>
        <v>0</v>
      </c>
      <c r="L65" s="130" t="str">
        <f t="shared" si="8"/>
        <v/>
      </c>
      <c r="M65" s="88"/>
      <c r="N65" s="88"/>
      <c r="O65" s="88"/>
    </row>
    <row r="66" spans="1:769" s="48" customFormat="1" ht="15" hidden="1" x14ac:dyDescent="0.25">
      <c r="A66" s="842"/>
      <c r="B66" s="847"/>
      <c r="C66" s="62" t="str">
        <f t="array" ref="C66">IFERROR(INDEX('C'!$C$1:$C$2479, SMALL(IF($B$57 = 'C'!$A$1:$A$2479, ROW('C'!$A$1:$A$2479) -
ROW('C'!$A$2) + 2), ROW(10:10))),"")</f>
        <v/>
      </c>
      <c r="D66" s="63" t="str">
        <f t="array" ref="D66">IFERROR(INDEX('C'!$B$1:$B$2479, SMALL(IF($B$57 = 'C'!$A$1:$A$2479, ROW('C'!$A$1:$A$2479) -
ROW('C'!$A$2) + 2), ROW(13:13))),"")</f>
        <v/>
      </c>
      <c r="E66" s="96">
        <f t="shared" si="6"/>
        <v>0</v>
      </c>
      <c r="F66" s="93">
        <f>SUMIF(Data!$N$2:$N$998,Disbursement!C66,Data!$D$2:$D$998)</f>
        <v>0</v>
      </c>
      <c r="G66" s="63">
        <f>IF(C66="",0,COUNTIF(Data!$N$2:$N$998,C66))</f>
        <v>0</v>
      </c>
      <c r="H66" s="63">
        <f>IF(C66="",0,CONCATENATE(COUNTIFS(Data!$N$2:$N$998,C66,Data!$O$2:$O$998,"New *")," New",", ",COUNTIFS(Data!$N$2:$N$998,C66,Data!$O$2:$O$998,"Repeat *")," Repeat"))</f>
        <v>0</v>
      </c>
      <c r="I66" s="132" t="str">
        <f>IF(OR(C66="DCOLLECTOR",C66="SAF2000",C66=""),"",VLOOKUP($C66,'C'!$C$1:$D$2479,2,FALSE))</f>
        <v/>
      </c>
      <c r="J66" s="133" t="str">
        <f>IF(OR(C66="DCOLLECTOR",C66="SAF2000",C66=""),"",VLOOKUP($C66,'C'!$C$1:$E$2479,3,FALSE))</f>
        <v/>
      </c>
      <c r="K66" s="130">
        <f t="shared" si="7"/>
        <v>0</v>
      </c>
      <c r="L66" s="130" t="str">
        <f t="shared" si="8"/>
        <v/>
      </c>
      <c r="M66" s="88"/>
      <c r="N66" s="88"/>
      <c r="O66" s="88"/>
    </row>
    <row r="67" spans="1:769" s="48" customFormat="1" ht="15" hidden="1" x14ac:dyDescent="0.25">
      <c r="A67" s="842"/>
      <c r="B67" s="847"/>
      <c r="C67" s="62" t="str">
        <f t="array" ref="C67">IFERROR(INDEX('C'!$C$1:$C$2479, SMALL(IF($B$57 = 'C'!$A$1:$A$2479, ROW('C'!$A$1:$A$2479) -
ROW('C'!$A$2) + 2), ROW(11:11))),"")</f>
        <v/>
      </c>
      <c r="D67" s="63" t="str">
        <f t="array" ref="D67">IFERROR(INDEX('C'!$B$1:$B$2479, SMALL(IF($B$57 = 'C'!$A$1:$A$2479, ROW('C'!$A$1:$A$2479) -
ROW('C'!$A$2) + 2), ROW(14:14))),"")</f>
        <v/>
      </c>
      <c r="E67" s="96">
        <f t="shared" si="6"/>
        <v>0</v>
      </c>
      <c r="F67" s="93">
        <f>SUMIF(Data!$N$2:$N$998,Disbursement!C67,Data!$D$2:$D$998)</f>
        <v>0</v>
      </c>
      <c r="G67" s="63">
        <f>IF(C67="",0,COUNTIF(Data!$N$2:$N$998,C67))</f>
        <v>0</v>
      </c>
      <c r="H67" s="63">
        <f>IF(C67="",0,CONCATENATE(COUNTIFS(Data!$N$2:$N$998,C67,Data!$O$2:$O$998,"New *")," New",", ",COUNTIFS(Data!$N$2:$N$998,C67,Data!$O$2:$O$998,"Repeat *")," Repeat"))</f>
        <v>0</v>
      </c>
      <c r="I67" s="132" t="str">
        <f>IF(OR(C67="DCOLLECTOR",C67="SAF2000",C67=""),"",VLOOKUP($C67,'C'!$C$1:$D$2479,2,FALSE))</f>
        <v/>
      </c>
      <c r="J67" s="133" t="str">
        <f>IF(OR(C67="DCOLLECTOR",C67="SAF2000",C67=""),"",VLOOKUP($C67,'C'!$C$1:$E$2479,3,FALSE))</f>
        <v/>
      </c>
      <c r="K67" s="130">
        <f t="shared" si="7"/>
        <v>0</v>
      </c>
      <c r="L67" s="130" t="str">
        <f t="shared" si="8"/>
        <v/>
      </c>
      <c r="M67" s="88"/>
      <c r="N67" s="88"/>
      <c r="O67" s="88"/>
    </row>
    <row r="68" spans="1:769" s="48" customFormat="1" ht="15" hidden="1" x14ac:dyDescent="0.25">
      <c r="A68" s="842"/>
      <c r="B68" s="847"/>
      <c r="C68" s="62" t="str">
        <f t="array" ref="C68">IFERROR(INDEX('C'!$C$1:$C$2479, SMALL(IF($B$57 = 'C'!$A$1:$A$2479, ROW('C'!$A$1:$A$2479) -
ROW('C'!$A$2) + 2), ROW(12:12))),"")</f>
        <v/>
      </c>
      <c r="D68" s="63" t="str">
        <f t="array" ref="D68">IFERROR(INDEX('C'!$B$1:$B$2479, SMALL(IF($B$57 = 'C'!$A$1:$A$2479, ROW('C'!$A$1:$A$2479) -
ROW('C'!$A$2) + 2), ROW(15:15))),"")</f>
        <v/>
      </c>
      <c r="E68" s="96">
        <f t="shared" si="6"/>
        <v>0</v>
      </c>
      <c r="F68" s="93">
        <f>SUMIF(Data!$N$2:$N$998,Disbursement!C68,Data!$D$2:$D$998)</f>
        <v>0</v>
      </c>
      <c r="G68" s="63">
        <f>IF(C68="",0,COUNTIF(Data!$N$2:$N$998,C68))</f>
        <v>0</v>
      </c>
      <c r="H68" s="63">
        <f>IF(C68="",0,CONCATENATE(COUNTIFS(Data!$N$2:$N$998,C68,Data!$O$2:$O$998,"New *")," New",", ",COUNTIFS(Data!$N$2:$N$998,C68,Data!$O$2:$O$998,"Repeat *")," Repeat"))</f>
        <v>0</v>
      </c>
      <c r="I68" s="132" t="str">
        <f>IF(OR(C68="DCOLLECTOR",C68="SAF2000",C68=""),"",VLOOKUP($C68,'C'!$C$1:$D$2479,2,FALSE))</f>
        <v/>
      </c>
      <c r="J68" s="133" t="str">
        <f>IF(OR(C68="DCOLLECTOR",C68="SAF2000",C68=""),"",VLOOKUP($C68,'C'!$C$1:$E$2479,3,FALSE))</f>
        <v/>
      </c>
      <c r="K68" s="130">
        <f t="shared" si="7"/>
        <v>0</v>
      </c>
      <c r="L68" s="130" t="str">
        <f t="shared" si="8"/>
        <v/>
      </c>
      <c r="M68" s="88"/>
      <c r="N68" s="88"/>
      <c r="O68" s="88"/>
    </row>
    <row r="69" spans="1:769" s="48" customFormat="1" ht="15" hidden="1" x14ac:dyDescent="0.25">
      <c r="A69" s="842"/>
      <c r="B69" s="847"/>
      <c r="C69" s="62" t="str">
        <f t="array" ref="C69">IFERROR(INDEX('C'!$C$1:$C$2479, SMALL(IF($B$57 = 'C'!$A$1:$A$2479, ROW('C'!$A$1:$A$2479) -
ROW('C'!$A$2) + 2), ROW(13:13))),"")</f>
        <v/>
      </c>
      <c r="D69" s="63" t="str">
        <f t="array" ref="D69">IFERROR(INDEX('C'!$B$1:$B$2479, SMALL(IF($B$57 = 'C'!$A$1:$A$2479, ROW('C'!$A$1:$A$2479) -
ROW('C'!$A$2) + 2), ROW(16:16))),"")</f>
        <v/>
      </c>
      <c r="E69" s="96">
        <f t="shared" si="6"/>
        <v>0</v>
      </c>
      <c r="F69" s="93">
        <f>SUMIF(Data!$N$2:$N$998,Disbursement!C69,Data!$D$2:$D$998)</f>
        <v>0</v>
      </c>
      <c r="G69" s="63">
        <f>IF(C69="",0,COUNTIF(Data!$N$2:$N$998,C69))</f>
        <v>0</v>
      </c>
      <c r="H69" s="63">
        <f>IF(C69="",0,CONCATENATE(COUNTIFS(Data!$N$2:$N$998,C69,Data!$O$2:$O$998,"New *")," New",", ",COUNTIFS(Data!$N$2:$N$998,C69,Data!$O$2:$O$998,"Repeat *")," Repeat"))</f>
        <v>0</v>
      </c>
      <c r="I69" s="132" t="str">
        <f>IF(OR(C69="DCOLLECTOR",C69="SAF2000",C69=""),"",VLOOKUP($C69,'C'!$C$1:$D$2479,2,FALSE))</f>
        <v/>
      </c>
      <c r="J69" s="133" t="str">
        <f>IF(OR(C69="DCOLLECTOR",C69="SAF2000",C69=""),"",VLOOKUP($C69,'C'!$C$1:$E$2479,3,FALSE))</f>
        <v/>
      </c>
      <c r="K69" s="130">
        <f t="shared" si="7"/>
        <v>0</v>
      </c>
      <c r="L69" s="130" t="str">
        <f t="shared" si="8"/>
        <v/>
      </c>
      <c r="M69" s="88"/>
      <c r="N69" s="88"/>
      <c r="O69" s="88"/>
    </row>
    <row r="70" spans="1:769" s="48" customFormat="1" ht="15" hidden="1" x14ac:dyDescent="0.25">
      <c r="A70" s="842"/>
      <c r="B70" s="847"/>
      <c r="C70" s="62" t="str">
        <f t="array" ref="C70">IFERROR(INDEX('C'!$C$1:$C$2479, SMALL(IF($B$57 = 'C'!$A$1:$A$2479, ROW('C'!$A$1:$A$2479) -
ROW('C'!$A$2) + 2), ROW(14:14))),"")</f>
        <v/>
      </c>
      <c r="D70" s="63" t="str">
        <f t="array" ref="D70">IFERROR(INDEX('C'!$B$1:$B$2479, SMALL(IF($B$57 = 'C'!$A$1:$A$2479, ROW('C'!$A$1:$A$2479) -
ROW('C'!$A$2) + 2), ROW(17:17))),"")</f>
        <v/>
      </c>
      <c r="E70" s="96">
        <f t="shared" si="6"/>
        <v>0</v>
      </c>
      <c r="F70" s="93">
        <f>SUMIF(Data!$N$2:$N$998,Disbursement!C70,Data!$D$2:$D$998)</f>
        <v>0</v>
      </c>
      <c r="G70" s="63">
        <f>IF(C70="",0,COUNTIF(Data!$N$2:$N$998,C70))</f>
        <v>0</v>
      </c>
      <c r="H70" s="63">
        <f>IF(C70="",0,CONCATENATE(COUNTIFS(Data!$N$2:$N$998,C70,Data!$O$2:$O$998,"New *")," New",", ",COUNTIFS(Data!$N$2:$N$998,C70,Data!$O$2:$O$998,"Repeat *")," Repeat"))</f>
        <v>0</v>
      </c>
      <c r="I70" s="132" t="str">
        <f>IF(OR(C70="DCOLLECTOR",C70="SAF2000",C70=""),"",VLOOKUP($C70,'C'!$C$1:$D$2479,2,FALSE))</f>
        <v/>
      </c>
      <c r="J70" s="133" t="str">
        <f>IF(OR(C70="DCOLLECTOR",C70="SAF2000",C70=""),"",VLOOKUP($C70,'C'!$C$1:$E$2479,3,FALSE))</f>
        <v/>
      </c>
      <c r="K70" s="130">
        <f t="shared" si="7"/>
        <v>0</v>
      </c>
      <c r="L70" s="130" t="str">
        <f t="shared" si="8"/>
        <v/>
      </c>
      <c r="M70" s="88"/>
      <c r="N70" s="88"/>
      <c r="O70" s="88"/>
    </row>
    <row r="71" spans="1:769" s="48" customFormat="1" ht="15" hidden="1" x14ac:dyDescent="0.25">
      <c r="A71" s="842"/>
      <c r="B71" s="847"/>
      <c r="C71" s="62" t="str">
        <f t="array" ref="C71">IFERROR(INDEX('C'!$C$1:$C$2479, SMALL(IF($B$57 = 'C'!$A$1:$A$2479, ROW('C'!$A$1:$A$2479) -
ROW('C'!$A$2) + 2), ROW(15:15))),"")</f>
        <v/>
      </c>
      <c r="D71" s="63" t="str">
        <f t="array" ref="D71">IFERROR(INDEX('C'!$B$1:$B$2479, SMALL(IF($B$57 = 'C'!$A$1:$A$2479, ROW('C'!$A$1:$A$2479) -
ROW('C'!$A$2) + 2), ROW(18:18))),"")</f>
        <v/>
      </c>
      <c r="E71" s="96">
        <f t="shared" si="6"/>
        <v>0</v>
      </c>
      <c r="F71" s="93">
        <f>SUMIF(Data!$N$2:$N$998,Disbursement!C71,Data!$D$2:$D$998)</f>
        <v>0</v>
      </c>
      <c r="G71" s="63">
        <f>IF(C71="",0,COUNTIF(Data!$N$2:$N$998,C71))</f>
        <v>0</v>
      </c>
      <c r="H71" s="63">
        <f>IF(C71="",0,CONCATENATE(COUNTIFS(Data!$N$2:$N$998,C71,Data!$O$2:$O$998,"New *")," New",", ",COUNTIFS(Data!$N$2:$N$998,C71,Data!$O$2:$O$998,"Repeat *")," Repeat"))</f>
        <v>0</v>
      </c>
      <c r="I71" s="132" t="str">
        <f>IF(OR(C71="DCOLLECTOR",C71="SAF2000",C71=""),"",VLOOKUP($C71,'C'!$C$1:$D$2479,2,FALSE))</f>
        <v/>
      </c>
      <c r="J71" s="133" t="str">
        <f>IF(OR(C71="DCOLLECTOR",C71="SAF2000",C71=""),"",VLOOKUP($C71,'C'!$C$1:$E$2479,3,FALSE))</f>
        <v/>
      </c>
      <c r="K71" s="130">
        <f t="shared" si="7"/>
        <v>0</v>
      </c>
      <c r="L71" s="130" t="str">
        <f t="shared" si="8"/>
        <v/>
      </c>
      <c r="M71" s="88"/>
      <c r="N71" s="88"/>
      <c r="O71" s="88"/>
    </row>
    <row r="72" spans="1:769" s="48" customFormat="1" ht="15.6" hidden="1" thickBot="1" x14ac:dyDescent="0.3">
      <c r="A72" s="842"/>
      <c r="B72" s="847"/>
      <c r="C72" s="62" t="str">
        <f t="array" ref="C72">IFERROR(INDEX('C'!$C$1:$C$2479, SMALL(IF($B$57 = 'C'!$A$1:$A$2479, ROW('C'!$A$1:$A$2479) -
ROW('C'!$A$2) + 2), ROW(16:16))),"")</f>
        <v/>
      </c>
      <c r="D72" s="63" t="str">
        <f t="array" ref="D72">IFERROR(INDEX('C'!$B$1:$B$2479, SMALL(IF($B$57 = 'C'!$A$1:$A$2479, ROW('C'!$A$1:$A$2479) -
ROW('C'!$A$2) + 2), ROW(19:19))),"")</f>
        <v/>
      </c>
      <c r="E72" s="96">
        <f t="shared" si="6"/>
        <v>0</v>
      </c>
      <c r="F72" s="93">
        <f>SUMIF(Data!$N$2:$N$998,Disbursement!C72,Data!$D$2:$D$998)</f>
        <v>0</v>
      </c>
      <c r="G72" s="63">
        <f>IF(C72="",0,COUNTIF(Data!$N$2:$N$998,C72))</f>
        <v>0</v>
      </c>
      <c r="H72" s="63">
        <f>IF(C72="",0,CONCATENATE(COUNTIFS(Data!$N$2:$N$998,C72,Data!$O$2:$O$998,"New *")," New",", ",COUNTIFS(Data!$N$2:$N$998,C72,Data!$O$2:$O$998,"Repeat *")," Repeat"))</f>
        <v>0</v>
      </c>
      <c r="I72" s="132" t="str">
        <f>IF(OR(C72="DCOLLECTOR",C72="SAF2000",C72=""),"",VLOOKUP($C72,'C'!$C$1:$D$2479,2,FALSE))</f>
        <v/>
      </c>
      <c r="J72" s="133" t="str">
        <f>IF(OR(C72="DCOLLECTOR",C72="SAF2000",C72=""),"",VLOOKUP($C72,'C'!$C$1:$E$2479,3,FALSE))</f>
        <v/>
      </c>
      <c r="K72" s="734">
        <f t="shared" si="7"/>
        <v>0</v>
      </c>
      <c r="L72" s="130" t="str">
        <f t="shared" si="8"/>
        <v/>
      </c>
      <c r="M72" s="88"/>
      <c r="N72" s="88"/>
      <c r="O72" s="88"/>
    </row>
    <row r="73" spans="1:769" s="66" customFormat="1" ht="15.75" customHeight="1" thickTop="1" thickBot="1" x14ac:dyDescent="0.35">
      <c r="A73" s="842"/>
      <c r="B73" s="243" t="s">
        <v>4824</v>
      </c>
      <c r="C73" s="140">
        <f>COUNTIF(C57:C72,"?*")</f>
        <v>5</v>
      </c>
      <c r="D73" s="117"/>
      <c r="E73" s="67">
        <f>SUBTOTAL(9,E57:E72)</f>
        <v>6.2157512810748147E-2</v>
      </c>
      <c r="F73" s="139">
        <f>SUBTOTAL(9,F57:F72)</f>
        <v>11000000</v>
      </c>
      <c r="G73" s="100">
        <f>SUBTOTAL(9,G57:G72)</f>
        <v>3</v>
      </c>
      <c r="H73" s="100" t="str">
        <f>CONCATENATE(COUNTIFS(Data!$N$2:$N$998,C57,Data!$O$2:$O$998,"New *")+COUNTIFS(Data!$N$2:$N$998,#REF!,Data!$O$2:$O$998,"New *")+COUNTIFS(Data!$N$2:$N$998,#REF!,Data!$O$2:$O$998,"New *")+COUNTIFS(Data!$N$2:$N$998,#REF!,Data!$O$2:$O$998,"New *")+COUNTIFS(Data!$N$2:$N$998,C58,Data!$O$2:$O$998,"New *")+COUNTIFS(Data!$N$2:$N$998,C59,Data!$O$2:$O$998,"New *")+COUNTIFS(Data!$N$2:$N$998,C60,Data!$O$2:$O$998,"New *")+COUNTIFS(Data!$N$2:$N$998,C61,Data!$O$2:$O$998,"New *")+COUNTIFS(Data!$N$2:$N$998,C62,Data!$O$2:$O$998,"New *")+COUNTIFS(Data!$N$2:$N$998,C63,Data!$O$2:$O$998,"New *")+COUNTIFS(Data!$N$2:$N$998,C64,Data!$O$2:$O$998,"New *")+COUNTIFS(Data!$N$2:$N$998,C65,Data!$O$2:$O$998,"New *")+COUNTIFS(Data!$N$2:$N$998,C66,Data!$O$2:$O$998,"New *")+COUNTIFS(Data!$N$2:$N$998,C67,Data!$O$2:$O$998,"New *")+COUNTIFS(Data!$N$2:$N$998,C68,Data!$O$2:$O$998,"New *")+COUNTIFS(Data!$N$2:$N$998,C69,Data!$O$2:$O$998,"New *")+COUNTIFS(Data!$N$2:$N$998,C70,Data!$O$2:$O$998,"New *")+COUNTIFS(Data!$N$2:$N$998,C71,Data!$O$2:$O$998,"New *")+COUNTIFS(Data!$N$2:$N$998,C72,Data!$O$2:$O$998,"New *")+COUNTIFS(Data!$N$2:$N$998,#REF!,Data!$O$2:$O$998,"New *")+COUNTIFS(Data!$N$2:$N$998,#REF!,Data!$O$2:$O$998,"New *")+COUNTIFS(Data!$N$2:$N$998,#REF!,Data!$O$2:$O$998,"New *")+COUNTIFS(Data!$N$2:$N$998,#REF!,Data!$O$2:$O$998,"New *")," New",",",COUNTIFS(Data!$N$2:$N$998,C57,Data!$O$2:$O$998,"Repeat *")+COUNTIFS(Data!$N$2:$N$998,#REF!,Data!$O$2:$O$998,"Repeat *")+COUNTIFS(Data!$N$2:$N$998,#REF!,Data!$O$2:$O$998,"Repeat *")+COUNTIFS(Data!$N$2:$N$998,#REF!,Data!$O$2:$O$998,"Repeat *")+COUNTIFS(Data!$N$2:$N$998,C58,Data!$O$2:$O$998,"Repeat *")+COUNTIFS(Data!$N$2:$N$998,C59,Data!$O$2:$O$998,"Repeat *")+COUNTIFS(Data!$N$2:$N$998,C60,Data!$O$2:$O$998,"Repeat *")+COUNTIFS(Data!$N$2:$N$998,C61,Data!$O$2:$O$998,"Repeat *")+COUNTIFS(Data!$N$2:$N$998,C62,Data!$O$2:$O$998,"Repeat *")+COUNTIFS(Data!$N$2:$N$998,C63,Data!$O$2:$O$998,"Repeat *")+COUNTIFS(Data!$N$2:$N$998,C64,Data!$O$2:$O$998,"Repeat *")+COUNTIFS(Data!$N$2:$N$998,C65,Data!$O$2:$O$998,"Repeat *")+COUNTIFS(Data!$N$2:$N$998,C66,Data!$O$2:$O$998,"Repeat *")+COUNTIFS(Data!$N$2:$N$998,C67,Data!$O$2:$O$998,"Repeat *")+COUNTIFS(Data!$N$2:$N$998,C68,Data!$O$2:$O$998,"Repeat *")+COUNTIFS(Data!$N$2:$N$998,C69,Data!$O$2:$O$998,"Repeat *")+COUNTIFS(Data!$N$2:$N$998,C70,Data!$O$2:$O$998,"Repeat *")+COUNTIFS(Data!$N$2:$N$998,C71,Data!$O$2:$O$998,"Repeat *")+COUNTIFS(Data!$N$2:$N$998,C72,Data!$O$2:$O$998,"Repeat *")+COUNTIFS(Data!$N$2:$N$998,#REF!,Data!$O$2:$O$998,"Repeat *")+COUNTIFS(Data!$N$2:$N$998,#REF!,Data!$O$2:$O$998,"Repeat *")+COUNTIFS(Data!$N$2:$N$998,#REF!,Data!$O$2:$O$998,"Repeat *")+COUNTIFS(Data!$N$2:$N$998,#REF!,Data!$O$2:$O$998,"Repeat *"), " Repeat")</f>
        <v>3 New,0 Repeat</v>
      </c>
      <c r="I73" s="140">
        <f>SUBTOTAL(9,I57:I72)</f>
        <v>50</v>
      </c>
      <c r="J73" s="141">
        <f>SUBTOTAL(9,J57:J72)</f>
        <v>425000000</v>
      </c>
      <c r="K73" s="142">
        <f>IF(OR(I73="",ISERROR(G73/I73)),0,(G73)/I73)</f>
        <v>0.06</v>
      </c>
      <c r="L73" s="142">
        <f>IF(OR(J73="",ISERROR(F73/J73)),"",F73/J73)</f>
        <v>2.5882352941176471E-2</v>
      </c>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6"/>
      <c r="CO73" s="86"/>
      <c r="CP73" s="86"/>
      <c r="CQ73" s="86"/>
      <c r="CR73" s="86"/>
      <c r="CS73" s="86"/>
      <c r="CT73" s="86"/>
      <c r="CU73" s="86"/>
      <c r="CV73" s="86"/>
      <c r="CW73" s="86"/>
      <c r="CX73" s="86"/>
      <c r="CY73" s="86"/>
      <c r="CZ73" s="86"/>
      <c r="DA73" s="86"/>
      <c r="DB73" s="86"/>
      <c r="DC73" s="86"/>
      <c r="DD73" s="86"/>
      <c r="DE73" s="86"/>
      <c r="DF73" s="86"/>
      <c r="DG73" s="86"/>
      <c r="DH73" s="86"/>
      <c r="DI73" s="86"/>
      <c r="DJ73" s="86"/>
      <c r="DK73" s="86"/>
      <c r="DL73" s="86"/>
      <c r="DM73" s="86"/>
      <c r="DN73" s="86"/>
      <c r="DO73" s="86"/>
      <c r="DP73" s="86"/>
      <c r="DQ73" s="86"/>
      <c r="DR73" s="86"/>
      <c r="DS73" s="86"/>
      <c r="DT73" s="86"/>
      <c r="DU73" s="86"/>
      <c r="DV73" s="86"/>
      <c r="DW73" s="86"/>
      <c r="DX73" s="86"/>
      <c r="DY73" s="86"/>
      <c r="DZ73" s="86"/>
      <c r="EA73" s="86"/>
      <c r="EB73" s="86"/>
      <c r="EC73" s="86"/>
      <c r="ED73" s="86"/>
      <c r="EE73" s="86"/>
      <c r="EF73" s="86"/>
      <c r="EG73" s="86"/>
      <c r="EH73" s="86"/>
      <c r="EI73" s="86"/>
      <c r="EJ73" s="86"/>
      <c r="EK73" s="86"/>
      <c r="EL73" s="86"/>
      <c r="EM73" s="86"/>
      <c r="EN73" s="86"/>
      <c r="EO73" s="86"/>
      <c r="EP73" s="86"/>
      <c r="EQ73" s="86"/>
      <c r="ER73" s="86"/>
      <c r="ES73" s="86"/>
      <c r="ET73" s="86"/>
      <c r="EU73" s="86"/>
      <c r="EV73" s="86"/>
      <c r="EW73" s="86"/>
      <c r="EX73" s="86"/>
      <c r="EY73" s="86"/>
      <c r="EZ73" s="86"/>
      <c r="FA73" s="86"/>
      <c r="FB73" s="86"/>
      <c r="FC73" s="86"/>
      <c r="FD73" s="86"/>
      <c r="FE73" s="86"/>
      <c r="FF73" s="86"/>
      <c r="FG73" s="86"/>
      <c r="FH73" s="86"/>
      <c r="FI73" s="86"/>
      <c r="FJ73" s="86"/>
      <c r="FK73" s="86"/>
      <c r="FL73" s="86"/>
      <c r="FM73" s="86"/>
      <c r="FN73" s="86"/>
      <c r="FO73" s="86"/>
      <c r="FP73" s="86"/>
      <c r="FQ73" s="86"/>
      <c r="FR73" s="86"/>
      <c r="FS73" s="86"/>
      <c r="FT73" s="86"/>
      <c r="FU73" s="86"/>
      <c r="FV73" s="86"/>
      <c r="FW73" s="86"/>
      <c r="FX73" s="86"/>
      <c r="FY73" s="86"/>
      <c r="FZ73" s="86"/>
      <c r="GA73" s="86"/>
      <c r="GB73" s="86"/>
      <c r="GC73" s="86"/>
      <c r="GD73" s="86"/>
      <c r="GE73" s="86"/>
      <c r="GF73" s="86"/>
      <c r="GG73" s="86"/>
      <c r="GH73" s="86"/>
      <c r="GI73" s="86"/>
      <c r="GJ73" s="86"/>
      <c r="GK73" s="86"/>
      <c r="GL73" s="86"/>
      <c r="GM73" s="86"/>
      <c r="GN73" s="86"/>
      <c r="GO73" s="86"/>
      <c r="GP73" s="86"/>
      <c r="GQ73" s="86"/>
      <c r="GR73" s="86"/>
      <c r="GS73" s="86"/>
      <c r="GT73" s="86"/>
      <c r="GU73" s="86"/>
      <c r="GV73" s="86"/>
      <c r="GW73" s="86"/>
      <c r="GX73" s="86"/>
      <c r="GY73" s="86"/>
      <c r="GZ73" s="86"/>
      <c r="HA73" s="86"/>
      <c r="HB73" s="86"/>
      <c r="HC73" s="86"/>
      <c r="HD73" s="86"/>
      <c r="HE73" s="86"/>
      <c r="HF73" s="86"/>
      <c r="HG73" s="86"/>
      <c r="HH73" s="86"/>
      <c r="HI73" s="86"/>
      <c r="HJ73" s="86"/>
      <c r="HK73" s="86"/>
      <c r="HL73" s="86"/>
      <c r="HM73" s="86"/>
      <c r="HN73" s="86"/>
      <c r="HO73" s="86"/>
      <c r="HP73" s="86"/>
      <c r="HQ73" s="86"/>
      <c r="HR73" s="86"/>
      <c r="HS73" s="86"/>
      <c r="HT73" s="86"/>
      <c r="HU73" s="86"/>
      <c r="HV73" s="86"/>
      <c r="HW73" s="86"/>
      <c r="HX73" s="86"/>
      <c r="HY73" s="86"/>
      <c r="HZ73" s="86"/>
      <c r="IA73" s="86"/>
      <c r="IB73" s="86"/>
      <c r="IC73" s="86"/>
      <c r="ID73" s="86"/>
      <c r="IE73" s="86"/>
      <c r="IF73" s="86"/>
      <c r="IG73" s="86"/>
      <c r="IH73" s="86"/>
      <c r="II73" s="86"/>
      <c r="IJ73" s="86"/>
      <c r="IK73" s="86"/>
      <c r="IL73" s="86"/>
      <c r="IM73" s="86"/>
      <c r="IN73" s="86"/>
      <c r="IO73" s="86"/>
      <c r="IP73" s="86"/>
      <c r="IQ73" s="86"/>
      <c r="IR73" s="86"/>
      <c r="IS73" s="86"/>
      <c r="IT73" s="86"/>
      <c r="IU73" s="86"/>
      <c r="IV73" s="86"/>
      <c r="IW73" s="86"/>
      <c r="IX73" s="86"/>
      <c r="IY73" s="86"/>
      <c r="IZ73" s="86"/>
      <c r="JA73" s="86"/>
      <c r="JB73" s="86"/>
      <c r="JC73" s="86"/>
      <c r="JD73" s="86"/>
      <c r="JE73" s="86"/>
      <c r="JF73" s="86"/>
      <c r="JG73" s="86"/>
      <c r="JH73" s="86"/>
      <c r="JI73" s="86"/>
      <c r="JJ73" s="86"/>
      <c r="JK73" s="86"/>
      <c r="JL73" s="86"/>
      <c r="JM73" s="86"/>
      <c r="JN73" s="86"/>
      <c r="JO73" s="86"/>
      <c r="JP73" s="86"/>
      <c r="JQ73" s="86"/>
      <c r="JR73" s="86"/>
      <c r="JS73" s="86"/>
      <c r="JT73" s="86"/>
      <c r="JU73" s="86"/>
      <c r="JV73" s="86"/>
      <c r="JW73" s="86"/>
      <c r="JX73" s="86"/>
      <c r="JY73" s="86"/>
      <c r="JZ73" s="86"/>
      <c r="KA73" s="86"/>
      <c r="KB73" s="86"/>
      <c r="KC73" s="86"/>
      <c r="KD73" s="86"/>
      <c r="KE73" s="86"/>
      <c r="KF73" s="86"/>
      <c r="KG73" s="86"/>
      <c r="KH73" s="86"/>
      <c r="KI73" s="86"/>
      <c r="KJ73" s="86"/>
      <c r="KK73" s="86"/>
      <c r="KL73" s="86"/>
      <c r="KM73" s="86"/>
      <c r="KN73" s="86"/>
      <c r="KO73" s="86"/>
      <c r="KP73" s="86"/>
      <c r="KQ73" s="86"/>
      <c r="KR73" s="86"/>
      <c r="KS73" s="86"/>
      <c r="KT73" s="86"/>
      <c r="KU73" s="86"/>
      <c r="KV73" s="86"/>
      <c r="KW73" s="86"/>
      <c r="KX73" s="86"/>
      <c r="KY73" s="86"/>
      <c r="KZ73" s="86"/>
      <c r="LA73" s="86"/>
      <c r="LB73" s="86"/>
      <c r="LC73" s="86"/>
      <c r="LD73" s="86"/>
      <c r="LE73" s="86"/>
      <c r="LF73" s="86"/>
      <c r="LG73" s="86"/>
      <c r="LH73" s="86"/>
      <c r="LI73" s="86"/>
      <c r="LJ73" s="86"/>
      <c r="LK73" s="86"/>
      <c r="LL73" s="86"/>
      <c r="LM73" s="86"/>
      <c r="LN73" s="86"/>
      <c r="LO73" s="86"/>
      <c r="LP73" s="86"/>
      <c r="LQ73" s="86"/>
      <c r="LR73" s="86"/>
      <c r="LS73" s="86"/>
      <c r="LT73" s="86"/>
      <c r="LU73" s="86"/>
      <c r="LV73" s="86"/>
      <c r="LW73" s="86"/>
      <c r="LX73" s="86"/>
      <c r="LY73" s="86"/>
      <c r="LZ73" s="86"/>
      <c r="MA73" s="86"/>
      <c r="MB73" s="86"/>
      <c r="MC73" s="86"/>
      <c r="MD73" s="86"/>
      <c r="ME73" s="86"/>
      <c r="MF73" s="86"/>
      <c r="MG73" s="86"/>
      <c r="MH73" s="86"/>
      <c r="MI73" s="86"/>
      <c r="MJ73" s="86"/>
      <c r="MK73" s="86"/>
      <c r="ML73" s="86"/>
      <c r="MM73" s="86"/>
      <c r="MN73" s="86"/>
      <c r="MO73" s="86"/>
      <c r="MP73" s="86"/>
      <c r="MQ73" s="86"/>
      <c r="MR73" s="86"/>
      <c r="MS73" s="86"/>
      <c r="MT73" s="86"/>
      <c r="MU73" s="86"/>
      <c r="MV73" s="86"/>
      <c r="MW73" s="86"/>
      <c r="MX73" s="86"/>
      <c r="MY73" s="86"/>
      <c r="MZ73" s="86"/>
      <c r="NA73" s="86"/>
      <c r="NB73" s="86"/>
      <c r="NC73" s="86"/>
      <c r="ND73" s="86"/>
      <c r="NE73" s="86"/>
      <c r="NF73" s="86"/>
      <c r="NG73" s="86"/>
      <c r="NH73" s="86"/>
      <c r="NI73" s="86"/>
      <c r="NJ73" s="86"/>
      <c r="NK73" s="86"/>
      <c r="NL73" s="86"/>
      <c r="NM73" s="86"/>
      <c r="NN73" s="86"/>
      <c r="NO73" s="86"/>
      <c r="NP73" s="86"/>
      <c r="NQ73" s="86"/>
      <c r="NR73" s="86"/>
      <c r="NS73" s="86"/>
      <c r="NT73" s="86"/>
      <c r="NU73" s="86"/>
      <c r="NV73" s="86"/>
      <c r="NW73" s="86"/>
      <c r="NX73" s="86"/>
      <c r="NY73" s="86"/>
      <c r="NZ73" s="86"/>
      <c r="OA73" s="86"/>
      <c r="OB73" s="86"/>
      <c r="OC73" s="86"/>
      <c r="OD73" s="86"/>
      <c r="OE73" s="86"/>
      <c r="OF73" s="86"/>
      <c r="OG73" s="86"/>
      <c r="OH73" s="86"/>
      <c r="OI73" s="86"/>
      <c r="OJ73" s="86"/>
      <c r="OK73" s="86"/>
      <c r="OL73" s="86"/>
      <c r="OM73" s="86"/>
      <c r="ON73" s="86"/>
      <c r="OO73" s="86"/>
      <c r="OP73" s="86"/>
      <c r="OQ73" s="86"/>
      <c r="OR73" s="86"/>
      <c r="OS73" s="86"/>
      <c r="OT73" s="86"/>
      <c r="OU73" s="86"/>
      <c r="OV73" s="86"/>
      <c r="OW73" s="86"/>
      <c r="OX73" s="86"/>
      <c r="OY73" s="86"/>
      <c r="OZ73" s="86"/>
      <c r="PA73" s="86"/>
      <c r="PB73" s="86"/>
      <c r="PC73" s="86"/>
      <c r="PD73" s="86"/>
      <c r="PE73" s="86"/>
      <c r="PF73" s="86"/>
      <c r="PG73" s="86"/>
      <c r="PH73" s="86"/>
      <c r="PI73" s="86"/>
      <c r="PJ73" s="86"/>
      <c r="PK73" s="86"/>
      <c r="PL73" s="86"/>
      <c r="PM73" s="86"/>
      <c r="PN73" s="86"/>
      <c r="PO73" s="86"/>
      <c r="PP73" s="86"/>
      <c r="PQ73" s="86"/>
      <c r="PR73" s="86"/>
      <c r="PS73" s="86"/>
      <c r="PT73" s="86"/>
      <c r="PU73" s="86"/>
      <c r="PV73" s="86"/>
      <c r="PW73" s="86"/>
      <c r="PX73" s="86"/>
      <c r="PY73" s="86"/>
      <c r="PZ73" s="86"/>
      <c r="QA73" s="86"/>
      <c r="QB73" s="86"/>
      <c r="QC73" s="86"/>
      <c r="QD73" s="86"/>
      <c r="QE73" s="86"/>
      <c r="QF73" s="86"/>
      <c r="QG73" s="86"/>
      <c r="QH73" s="86"/>
      <c r="QI73" s="86"/>
      <c r="QJ73" s="86"/>
      <c r="QK73" s="86"/>
      <c r="QL73" s="86"/>
      <c r="QM73" s="86"/>
      <c r="QN73" s="86"/>
      <c r="QO73" s="86"/>
      <c r="QP73" s="86"/>
      <c r="QQ73" s="86"/>
      <c r="QR73" s="86"/>
      <c r="QS73" s="86"/>
      <c r="QT73" s="86"/>
      <c r="QU73" s="86"/>
      <c r="QV73" s="86"/>
      <c r="QW73" s="86"/>
      <c r="QX73" s="86"/>
      <c r="QY73" s="86"/>
      <c r="QZ73" s="86"/>
      <c r="RA73" s="86"/>
      <c r="RB73" s="86"/>
      <c r="RC73" s="86"/>
      <c r="RD73" s="86"/>
      <c r="RE73" s="86"/>
      <c r="RF73" s="86"/>
      <c r="RG73" s="86"/>
      <c r="RH73" s="86"/>
      <c r="RI73" s="86"/>
      <c r="RJ73" s="86"/>
      <c r="RK73" s="86"/>
      <c r="RL73" s="86"/>
      <c r="RM73" s="86"/>
      <c r="RN73" s="86"/>
      <c r="RO73" s="86"/>
      <c r="RP73" s="86"/>
      <c r="RQ73" s="86"/>
      <c r="RR73" s="86"/>
      <c r="RS73" s="86"/>
      <c r="RT73" s="86"/>
      <c r="RU73" s="86"/>
      <c r="RV73" s="86"/>
      <c r="RW73" s="86"/>
      <c r="RX73" s="86"/>
      <c r="RY73" s="86"/>
      <c r="RZ73" s="86"/>
      <c r="SA73" s="86"/>
      <c r="SB73" s="86"/>
      <c r="SC73" s="86"/>
      <c r="SD73" s="86"/>
      <c r="SE73" s="86"/>
      <c r="SF73" s="86"/>
      <c r="SG73" s="86"/>
      <c r="SH73" s="86"/>
      <c r="SI73" s="86"/>
      <c r="SJ73" s="86"/>
      <c r="SK73" s="86"/>
      <c r="SL73" s="86"/>
      <c r="SM73" s="86"/>
      <c r="SN73" s="86"/>
      <c r="SO73" s="86"/>
      <c r="SP73" s="86"/>
      <c r="SQ73" s="86"/>
      <c r="SR73" s="86"/>
      <c r="SS73" s="86"/>
      <c r="ST73" s="86"/>
      <c r="SU73" s="86"/>
      <c r="SV73" s="86"/>
      <c r="SW73" s="86"/>
      <c r="SX73" s="86"/>
      <c r="SY73" s="86"/>
      <c r="SZ73" s="86"/>
      <c r="TA73" s="86"/>
      <c r="TB73" s="86"/>
      <c r="TC73" s="86"/>
      <c r="TD73" s="86"/>
      <c r="TE73" s="86"/>
      <c r="TF73" s="86"/>
      <c r="TG73" s="86"/>
      <c r="TH73" s="86"/>
      <c r="TI73" s="86"/>
      <c r="TJ73" s="86"/>
      <c r="TK73" s="86"/>
      <c r="TL73" s="86"/>
      <c r="TM73" s="86"/>
      <c r="TN73" s="86"/>
      <c r="TO73" s="86"/>
      <c r="TP73" s="86"/>
      <c r="TQ73" s="86"/>
      <c r="TR73" s="86"/>
      <c r="TS73" s="86"/>
      <c r="TT73" s="86"/>
      <c r="TU73" s="86"/>
      <c r="TV73" s="86"/>
      <c r="TW73" s="86"/>
      <c r="TX73" s="86"/>
      <c r="TY73" s="86"/>
      <c r="TZ73" s="86"/>
      <c r="UA73" s="86"/>
      <c r="UB73" s="86"/>
      <c r="UC73" s="86"/>
      <c r="UD73" s="86"/>
      <c r="UE73" s="86"/>
      <c r="UF73" s="86"/>
      <c r="UG73" s="86"/>
      <c r="UH73" s="86"/>
      <c r="UI73" s="86"/>
      <c r="UJ73" s="86"/>
      <c r="UK73" s="86"/>
      <c r="UL73" s="86"/>
      <c r="UM73" s="86"/>
      <c r="UN73" s="86"/>
      <c r="UO73" s="86"/>
      <c r="UP73" s="86"/>
      <c r="UQ73" s="86"/>
      <c r="UR73" s="86"/>
      <c r="US73" s="86"/>
      <c r="UT73" s="86"/>
      <c r="UU73" s="86"/>
      <c r="UV73" s="86"/>
      <c r="UW73" s="86"/>
      <c r="UX73" s="86"/>
      <c r="UY73" s="86"/>
      <c r="UZ73" s="86"/>
      <c r="VA73" s="86"/>
      <c r="VB73" s="86"/>
      <c r="VC73" s="86"/>
      <c r="VD73" s="86"/>
      <c r="VE73" s="86"/>
      <c r="VF73" s="86"/>
      <c r="VG73" s="86"/>
      <c r="VH73" s="86"/>
      <c r="VI73" s="86"/>
      <c r="VJ73" s="86"/>
      <c r="VK73" s="86"/>
      <c r="VL73" s="86"/>
      <c r="VM73" s="86"/>
      <c r="VN73" s="86"/>
      <c r="VO73" s="86"/>
      <c r="VP73" s="86"/>
      <c r="VQ73" s="86"/>
      <c r="VR73" s="86"/>
      <c r="VS73" s="86"/>
      <c r="VT73" s="86"/>
      <c r="VU73" s="86"/>
      <c r="VV73" s="86"/>
      <c r="VW73" s="86"/>
      <c r="VX73" s="86"/>
      <c r="VY73" s="86"/>
      <c r="VZ73" s="86"/>
      <c r="WA73" s="86"/>
      <c r="WB73" s="86"/>
      <c r="WC73" s="86"/>
      <c r="WD73" s="86"/>
      <c r="WE73" s="86"/>
      <c r="WF73" s="86"/>
      <c r="WG73" s="86"/>
      <c r="WH73" s="86"/>
      <c r="WI73" s="86"/>
      <c r="WJ73" s="86"/>
      <c r="WK73" s="86"/>
      <c r="WL73" s="86"/>
      <c r="WM73" s="86"/>
      <c r="WN73" s="86"/>
      <c r="WO73" s="86"/>
      <c r="WP73" s="86"/>
      <c r="WQ73" s="86"/>
      <c r="WR73" s="86"/>
      <c r="WS73" s="86"/>
      <c r="WT73" s="86"/>
      <c r="WU73" s="86"/>
      <c r="WV73" s="86"/>
      <c r="WW73" s="86"/>
      <c r="WX73" s="86"/>
      <c r="WY73" s="86"/>
      <c r="WZ73" s="86"/>
      <c r="XA73" s="86"/>
      <c r="XB73" s="86"/>
      <c r="XC73" s="86"/>
      <c r="XD73" s="86"/>
      <c r="XE73" s="86"/>
      <c r="XF73" s="86"/>
      <c r="XG73" s="86"/>
      <c r="XH73" s="86"/>
      <c r="XI73" s="86"/>
      <c r="XJ73" s="86"/>
      <c r="XK73" s="86"/>
      <c r="XL73" s="86"/>
      <c r="XM73" s="86"/>
      <c r="XN73" s="86"/>
      <c r="XO73" s="86"/>
      <c r="XP73" s="86"/>
      <c r="XQ73" s="86"/>
      <c r="XR73" s="86"/>
      <c r="XS73" s="86"/>
      <c r="XT73" s="86"/>
      <c r="XU73" s="86"/>
      <c r="XV73" s="86"/>
      <c r="XW73" s="86"/>
      <c r="XX73" s="86"/>
      <c r="XY73" s="86"/>
      <c r="XZ73" s="86"/>
      <c r="YA73" s="86"/>
      <c r="YB73" s="86"/>
      <c r="YC73" s="86"/>
      <c r="YD73" s="86"/>
      <c r="YE73" s="86"/>
      <c r="YF73" s="86"/>
      <c r="YG73" s="86"/>
      <c r="YH73" s="86"/>
      <c r="YI73" s="86"/>
      <c r="YJ73" s="86"/>
      <c r="YK73" s="86"/>
      <c r="YL73" s="86"/>
      <c r="YM73" s="86"/>
      <c r="YN73" s="86"/>
      <c r="YO73" s="86"/>
      <c r="YP73" s="86"/>
      <c r="YQ73" s="86"/>
      <c r="YR73" s="86"/>
      <c r="YS73" s="86"/>
      <c r="YT73" s="86"/>
      <c r="YU73" s="86"/>
      <c r="YV73" s="86"/>
      <c r="YW73" s="86"/>
      <c r="YX73" s="86"/>
      <c r="YY73" s="86"/>
      <c r="YZ73" s="86"/>
      <c r="ZA73" s="86"/>
      <c r="ZB73" s="86"/>
      <c r="ZC73" s="86"/>
      <c r="ZD73" s="86"/>
      <c r="ZE73" s="86"/>
      <c r="ZF73" s="86"/>
      <c r="ZG73" s="86"/>
      <c r="ZH73" s="86"/>
      <c r="ZI73" s="86"/>
      <c r="ZJ73" s="86"/>
      <c r="ZK73" s="86"/>
      <c r="ZL73" s="86"/>
      <c r="ZM73" s="86"/>
      <c r="ZN73" s="86"/>
      <c r="ZO73" s="86"/>
      <c r="ZP73" s="86"/>
      <c r="ZQ73" s="86"/>
      <c r="ZR73" s="86"/>
      <c r="ZS73" s="86"/>
      <c r="ZT73" s="86"/>
      <c r="ZU73" s="86"/>
      <c r="ZV73" s="86"/>
      <c r="ZW73" s="86"/>
      <c r="ZX73" s="86"/>
      <c r="ZY73" s="86"/>
      <c r="ZZ73" s="86"/>
      <c r="AAA73" s="86"/>
      <c r="AAB73" s="86"/>
      <c r="AAC73" s="86"/>
      <c r="AAD73" s="86"/>
      <c r="AAE73" s="86"/>
      <c r="AAF73" s="86"/>
      <c r="AAG73" s="86"/>
      <c r="AAH73" s="86"/>
      <c r="AAI73" s="86"/>
      <c r="AAJ73" s="86"/>
      <c r="AAK73" s="86"/>
      <c r="AAL73" s="86"/>
      <c r="AAM73" s="86"/>
      <c r="AAN73" s="86"/>
      <c r="AAO73" s="86"/>
      <c r="AAP73" s="86"/>
      <c r="AAQ73" s="86"/>
      <c r="AAR73" s="86"/>
      <c r="AAS73" s="86"/>
      <c r="AAT73" s="86"/>
      <c r="AAU73" s="86"/>
      <c r="AAV73" s="86"/>
      <c r="AAW73" s="86"/>
      <c r="AAX73" s="86"/>
      <c r="AAY73" s="86"/>
      <c r="AAZ73" s="86"/>
      <c r="ABA73" s="86"/>
      <c r="ABB73" s="86"/>
      <c r="ABC73" s="86"/>
      <c r="ABD73" s="86"/>
      <c r="ABE73" s="86"/>
      <c r="ABF73" s="86"/>
      <c r="ABG73" s="86"/>
      <c r="ABH73" s="86"/>
      <c r="ABI73" s="86"/>
      <c r="ABJ73" s="86"/>
      <c r="ABK73" s="86"/>
      <c r="ABL73" s="86"/>
      <c r="ABM73" s="86"/>
      <c r="ABN73" s="86"/>
      <c r="ABO73" s="86"/>
      <c r="ABP73" s="86"/>
      <c r="ABQ73" s="86"/>
      <c r="ABR73" s="86"/>
      <c r="ABS73" s="86"/>
      <c r="ABT73" s="86"/>
      <c r="ABU73" s="86"/>
      <c r="ABV73" s="86"/>
      <c r="ABW73" s="86"/>
      <c r="ABX73" s="86"/>
      <c r="ABY73" s="86"/>
      <c r="ABZ73" s="86"/>
      <c r="ACA73" s="86"/>
      <c r="ACB73" s="86"/>
      <c r="ACC73" s="86"/>
      <c r="ACD73" s="86"/>
      <c r="ACE73" s="86"/>
      <c r="ACF73" s="86"/>
      <c r="ACG73" s="86"/>
      <c r="ACH73" s="86"/>
      <c r="ACI73" s="86"/>
      <c r="ACJ73" s="86"/>
      <c r="ACK73" s="86"/>
      <c r="ACL73" s="86"/>
      <c r="ACM73" s="86"/>
      <c r="ACN73" s="86"/>
      <c r="ACO73" s="86"/>
    </row>
    <row r="74" spans="1:769" s="388" customFormat="1" ht="15.75" customHeight="1" thickTop="1" x14ac:dyDescent="0.25">
      <c r="A74" s="842"/>
      <c r="B74" s="851" t="s">
        <v>1635</v>
      </c>
      <c r="C74" s="390" t="str">
        <f t="array" ref="C74">IFERROR(INDEX('C'!$C$1:$C$2479, SMALL(IF($B$74 = 'C'!$A$1:$A$2479, ROW('C'!$A$1:$A$2479) -
ROW('C'!$A$2) + 2), ROW(1:1))),"")</f>
        <v>GNALUBWAMA</v>
      </c>
      <c r="D74" s="63" t="str">
        <f t="array" ref="D74">IFERROR(INDEX('C'!$B$1:$B$2479, SMALL(IF($B$74 = 'C'!$A$1:$A$2479, ROW('C'!$A$1:$A$2479) -
ROW('C'!$A$2) + 2), ROW(1:1))),"")</f>
        <v>HOUSING</v>
      </c>
      <c r="E74" s="391">
        <f t="shared" ref="E74:E99" si="9">F74/$F$219</f>
        <v>8.4760244741929301E-3</v>
      </c>
      <c r="F74" s="153">
        <f>SUMIF(Data!$N$2:$N$998,Disbursement!C74,Data!$D$2:$D$998)</f>
        <v>1500000</v>
      </c>
      <c r="G74" s="154">
        <f>IF(C74="",0,COUNTIF(Data!$N$2:$N$998,C74))</f>
        <v>1</v>
      </c>
      <c r="H74" s="154" t="str">
        <f>IF(C74="",0,CONCATENATE(COUNTIFS(Data!$N$2:$N$998,C74,Data!$O$2:$O$998,"New *")," New",", ",COUNTIFS(Data!$N$2:$N$998,C74,Data!$O$2:$O$998,"Repeat *")," Repeat"))</f>
        <v>1 New, 0 Repeat</v>
      </c>
      <c r="I74" s="154">
        <f>IF(OR(C74="DCOLLECTOR",C74="SAF2000",C74=""),"",VLOOKUP($C74,'C'!$C$1:$D$2479,2,FALSE))</f>
        <v>15</v>
      </c>
      <c r="J74" s="169">
        <f>IF(OR(C74="DCOLLECTOR",C74="SAF2000",C74=""),"",VLOOKUP($C74,'C'!$C$1:$E$2479,3,FALSE))</f>
        <v>100000000</v>
      </c>
      <c r="K74" s="155">
        <f>IFERROR(IF(I74="",0,(G74)/I74),"")</f>
        <v>6.6666666666666666E-2</v>
      </c>
      <c r="L74" s="155">
        <f>IFERROR(IF(J74="","",F74/J74),"")</f>
        <v>1.4999999999999999E-2</v>
      </c>
    </row>
    <row r="75" spans="1:769" s="388" customFormat="1" ht="15" customHeight="1" x14ac:dyDescent="0.25">
      <c r="A75" s="842"/>
      <c r="B75" s="844"/>
      <c r="C75" s="390" t="str">
        <f t="array" ref="C75">IFERROR(INDEX('C'!$C$1:$C$2479, SMALL(IF($B$74 = 'C'!$A$1:$A$2479, ROW('C'!$A$1:$A$2479) -
ROW('C'!$A$2) + 2), ROW(2:2))),"")</f>
        <v>MMBABAZI</v>
      </c>
      <c r="D75" s="63" t="str">
        <f t="array" ref="D75">IFERROR(INDEX('C'!$B$1:$B$2479, SMALL(IF($B$74 = 'C'!$A$1:$A$2479, ROW('C'!$A$1:$A$2479) -
ROW('C'!$A$2) + 2), ROW(2:2))),"")</f>
        <v>HOUSING</v>
      </c>
      <c r="E75" s="229">
        <f t="shared" si="9"/>
        <v>0</v>
      </c>
      <c r="F75" s="231">
        <f>SUMIF(Data!$N$2:$N$998,Disbursement!C75,Data!$D$2:$D$998)</f>
        <v>0</v>
      </c>
      <c r="G75" s="128">
        <f>IF(C75="",0,COUNTIF(Data!$N$2:$N$998,C75))</f>
        <v>0</v>
      </c>
      <c r="H75" s="128" t="str">
        <f>IF(C75="",0,CONCATENATE(COUNTIFS(Data!$N$2:$N$998,C75,Data!$O$2:$O$998,"New *")," New",", ",COUNTIFS(Data!$N$2:$N$998,C75,Data!$O$2:$O$998,"Repeat *")," Repeat"))</f>
        <v>0 New, 0 Repeat</v>
      </c>
      <c r="I75" s="128">
        <f>IF(OR(C75="DCOLLECTOR",C75="SAF2000",C75=""),"",VLOOKUP($C75,'C'!$C$1:$D$2479,2,FALSE))</f>
        <v>15</v>
      </c>
      <c r="J75" s="129">
        <f>IF(OR(C75="DCOLLECTOR",C75="SAF2000",C75=""),"",VLOOKUP($C75,'C'!$C$1:$E$2479,3,FALSE))</f>
        <v>100000000</v>
      </c>
      <c r="K75" s="130">
        <f t="shared" ref="K75:K99" si="10">IFERROR(IF(I75="",0,(G75)/I75),"")</f>
        <v>0</v>
      </c>
      <c r="L75" s="130">
        <f t="shared" ref="L75:L99" si="11">IFERROR(IF(J75="","",F75/J75),"")</f>
        <v>0</v>
      </c>
    </row>
    <row r="76" spans="1:769" s="388" customFormat="1" ht="15" customHeight="1" x14ac:dyDescent="0.25">
      <c r="A76" s="842"/>
      <c r="B76" s="844"/>
      <c r="C76" s="390" t="str">
        <f t="array" ref="C76">IFERROR(INDEX('C'!$C$1:$C$2479, SMALL(IF($B$74 = 'C'!$A$1:$A$2479, ROW('C'!$A$1:$A$2479) -
ROW('C'!$A$2) + 2), ROW(3:3))),"")</f>
        <v>PNAMPIJJA</v>
      </c>
      <c r="D76" s="63" t="str">
        <f t="array" ref="D76">IFERROR(INDEX('C'!$B$1:$B$2479, SMALL(IF($B$74 = 'C'!$A$1:$A$2479, ROW('C'!$A$1:$A$2479) -
ROW('C'!$A$2) + 2), ROW(3:3))),"")</f>
        <v>WMT</v>
      </c>
      <c r="E76" s="229">
        <f t="shared" si="9"/>
        <v>0</v>
      </c>
      <c r="F76" s="231">
        <f>SUMIF(Data!$N$2:$N$998,Disbursement!C76,Data!$D$2:$D$998)</f>
        <v>0</v>
      </c>
      <c r="G76" s="128">
        <f>IF(C76="",0,COUNTIF(Data!$N$2:$N$998,C76))</f>
        <v>0</v>
      </c>
      <c r="H76" s="128" t="str">
        <f>IF(C76="",0,CONCATENATE(COUNTIFS(Data!$N$2:$N$998,C76,Data!$O$2:$O$998,"New *")," New",", ",COUNTIFS(Data!$N$2:$N$998,C76,Data!$O$2:$O$998,"Repeat *")," Repeat"))</f>
        <v>0 New, 0 Repeat</v>
      </c>
      <c r="I76" s="128">
        <f>IF(OR(C76="DCOLLECTOR",C76="SAF2000",C76=""),"",VLOOKUP($C76,'C'!$C$1:$D$2479,2,FALSE))</f>
        <v>15</v>
      </c>
      <c r="J76" s="129">
        <f>IF(OR(C76="DCOLLECTOR",C76="SAF2000",C76=""),"",VLOOKUP($C76,'C'!$C$1:$E$2479,3,FALSE))</f>
        <v>100000000</v>
      </c>
      <c r="K76" s="130">
        <f t="shared" si="10"/>
        <v>0</v>
      </c>
      <c r="L76" s="130">
        <f t="shared" si="11"/>
        <v>0</v>
      </c>
    </row>
    <row r="77" spans="1:769" s="388" customFormat="1" ht="15" customHeight="1" x14ac:dyDescent="0.25">
      <c r="A77" s="842"/>
      <c r="B77" s="844"/>
      <c r="C77" s="390" t="str">
        <f t="array" ref="C77">IFERROR(INDEX('C'!$C$1:$C$2479, SMALL(IF($B$74 = 'C'!$A$1:$A$2479, ROW('C'!$A$1:$A$2479) -
ROW('C'!$A$2) + 2), ROW(4:4))),"")</f>
        <v>JNATUHWEZA</v>
      </c>
      <c r="D77" s="63" t="str">
        <f t="array" ref="D77">IFERROR(INDEX('C'!$B$1:$B$2479, SMALL(IF($B$74 = 'C'!$A$1:$A$2479, ROW('C'!$A$1:$A$2479) -
ROW('C'!$A$2) + 2), ROW(4:4))),"")</f>
        <v>WTM</v>
      </c>
      <c r="E77" s="229">
        <f t="shared" si="9"/>
        <v>0</v>
      </c>
      <c r="F77" s="231">
        <f>SUMIF(Data!$N$2:$N$998,Disbursement!C77,Data!$D$2:$D$998)</f>
        <v>0</v>
      </c>
      <c r="G77" s="128">
        <f>IF(C77="",0,COUNTIF(Data!$N$2:$N$998,C77))</f>
        <v>0</v>
      </c>
      <c r="H77" s="128" t="str">
        <f>IF(C77="",0,CONCATENATE(COUNTIFS(Data!$N$2:$N$998,C77,Data!$O$2:$O$998,"New *")," New",", ",COUNTIFS(Data!$N$2:$N$998,C77,Data!$O$2:$O$998,"Repeat *")," Repeat"))</f>
        <v>0 New, 0 Repeat</v>
      </c>
      <c r="I77" s="128">
        <f>IF(OR(C77="DCOLLECTOR",C77="SAF2000",C77=""),"",VLOOKUP($C77,'C'!$C$1:$D$2479,2,FALSE))</f>
        <v>15</v>
      </c>
      <c r="J77" s="129">
        <f>IF(OR(C77="DCOLLECTOR",C77="SAF2000",C77=""),"",VLOOKUP($C77,'C'!$C$1:$E$2479,3,FALSE))</f>
        <v>100000000</v>
      </c>
      <c r="K77" s="130">
        <f t="shared" si="10"/>
        <v>0</v>
      </c>
      <c r="L77" s="130">
        <f t="shared" si="11"/>
        <v>0</v>
      </c>
    </row>
    <row r="78" spans="1:769" s="86" customFormat="1" ht="12.75" customHeight="1" x14ac:dyDescent="0.25">
      <c r="A78" s="842"/>
      <c r="B78" s="844"/>
      <c r="C78" s="390" t="str">
        <f t="array" ref="C78">IFERROR(INDEX('C'!$C$1:$C$2479, SMALL(IF($B$74 = 'C'!$A$1:$A$2479, ROW('C'!$A$1:$A$2479) -
ROW('C'!$A$2) + 2), ROW(5:5))),"")</f>
        <v>CNANYONGA</v>
      </c>
      <c r="D78" s="63" t="str">
        <f t="array" ref="D78">IFERROR(INDEX('C'!$B$1:$B$2479, SMALL(IF($B$74 = 'C'!$A$1:$A$2479, ROW('C'!$A$1:$A$2479) -
ROW('C'!$A$2) + 2), ROW(5:5))),"")</f>
        <v>WTM</v>
      </c>
      <c r="E78" s="229">
        <f t="shared" si="9"/>
        <v>4.5205463862362294E-2</v>
      </c>
      <c r="F78" s="231">
        <f>SUMIF(Data!$N$2:$N$998,Disbursement!C78,Data!$D$2:$D$998)</f>
        <v>8000000</v>
      </c>
      <c r="G78" s="128">
        <f>IF(C78="",0,COUNTIF(Data!$N$2:$N$998,C78))</f>
        <v>1</v>
      </c>
      <c r="H78" s="128" t="str">
        <f>IF(C78="",0,CONCATENATE(COUNTIFS(Data!$N$2:$N$998,C78,Data!$O$2:$O$998,"New *")," New",", ",COUNTIFS(Data!$N$2:$N$998,C78,Data!$O$2:$O$998,"Repeat *")," Repeat"))</f>
        <v>0 New, 1 Repeat</v>
      </c>
      <c r="I78" s="128">
        <f>IF(OR(C78="DCOLLECTOR",C78="SAF2000",C78=""),"",VLOOKUP($C78,'C'!$C$1:$D$2479,2,FALSE))</f>
        <v>15</v>
      </c>
      <c r="J78" s="129">
        <f>IF(OR(C78="DCOLLECTOR",C78="SAF2000",C78=""),"",VLOOKUP($C78,'C'!$C$1:$E$2479,3,FALSE))</f>
        <v>100000000</v>
      </c>
      <c r="K78" s="130">
        <f t="shared" si="10"/>
        <v>6.6666666666666666E-2</v>
      </c>
      <c r="L78" s="130">
        <f t="shared" si="11"/>
        <v>0.08</v>
      </c>
    </row>
    <row r="79" spans="1:769" s="388" customFormat="1" ht="15" x14ac:dyDescent="0.25">
      <c r="A79" s="842"/>
      <c r="B79" s="844"/>
      <c r="C79" s="390" t="str">
        <f t="array" ref="C79">IFERROR(INDEX('C'!$C$1:$C$2479, SMALL(IF($B$74 = 'C'!$A$1:$A$2479, ROW('C'!$A$1:$A$2479) -
ROW('C'!$A$2) + 2), ROW(6:6))),"")</f>
        <v>AKITENDA</v>
      </c>
      <c r="D79" s="63" t="str">
        <f t="array" ref="D79">IFERROR(INDEX('C'!$B$1:$B$2479, SMALL(IF($B$74 = 'C'!$A$1:$A$2479, ROW('C'!$A$1:$A$2479) -
ROW('C'!$A$2) + 2), ROW(6:6))),"")</f>
        <v>WTM</v>
      </c>
      <c r="E79" s="229">
        <f t="shared" si="9"/>
        <v>0</v>
      </c>
      <c r="F79" s="231">
        <f>SUMIF(Data!$N$2:$N$998,Disbursement!C79,Data!$D$2:$D$998)</f>
        <v>0</v>
      </c>
      <c r="G79" s="128">
        <f>IF(C79="",0,COUNTIF(Data!$N$2:$N$998,C79))</f>
        <v>0</v>
      </c>
      <c r="H79" s="128" t="str">
        <f>IF(C79="",0,CONCATENATE(COUNTIFS(Data!$N$2:$N$998,C79,Data!$O$2:$O$998,"New *")," New",", ",COUNTIFS(Data!$N$2:$N$998,C79,Data!$O$2:$O$998,"Repeat *")," Repeat"))</f>
        <v>0 New, 0 Repeat</v>
      </c>
      <c r="I79" s="128">
        <f>IF(OR(C79="DCOLLECTOR",C79="SAF2000",C79=""),"",VLOOKUP($C79,'C'!$C$1:$D$2479,2,FALSE))</f>
        <v>10</v>
      </c>
      <c r="J79" s="129">
        <f>IF(OR(C79="DCOLLECTOR",C79="SAF2000",C79=""),"",VLOOKUP($C79,'C'!$C$1:$E$2479,3,FALSE))</f>
        <v>85000000</v>
      </c>
      <c r="K79" s="130">
        <f t="shared" si="10"/>
        <v>0</v>
      </c>
      <c r="L79" s="130">
        <f t="shared" si="11"/>
        <v>0</v>
      </c>
    </row>
    <row r="80" spans="1:769" s="86" customFormat="1" ht="15.6" thickBot="1" x14ac:dyDescent="0.3">
      <c r="A80" s="842"/>
      <c r="B80" s="844"/>
      <c r="C80" s="390" t="str">
        <f t="array" ref="C80">IFERROR(INDEX('C'!$C$1:$C$2479, SMALL(IF($B$74 = 'C'!$A$1:$A$2479, ROW('C'!$A$1:$A$2479) -
ROW('C'!$A$2) + 2), ROW(7:7))),"")</f>
        <v>FASABA</v>
      </c>
      <c r="D80" s="63" t="str">
        <f t="array" ref="D80">IFERROR(INDEX('C'!$B$1:$B$2479, SMALL(IF($B$74 = 'C'!$A$1:$A$2479, ROW('C'!$A$1:$A$2479) -
ROW('C'!$A$2) + 2), ROW(7:7))),"")</f>
        <v>WTM</v>
      </c>
      <c r="E80" s="229">
        <f t="shared" si="9"/>
        <v>0</v>
      </c>
      <c r="F80" s="231">
        <f>SUMIF(Data!$N$2:$N$998,Disbursement!C80,Data!$D$2:$D$998)</f>
        <v>0</v>
      </c>
      <c r="G80" s="128">
        <f>IF(C80="",0,COUNTIF(Data!$N$2:$N$998,C80))</f>
        <v>0</v>
      </c>
      <c r="H80" s="128" t="str">
        <f>IF(C80="",0,CONCATENATE(COUNTIFS(Data!$N$2:$N$998,C80,Data!$O$2:$O$998,"New *")," New",", ",COUNTIFS(Data!$N$2:$N$998,C80,Data!$O$2:$O$998,"Repeat *")," Repeat"))</f>
        <v>0 New, 0 Repeat</v>
      </c>
      <c r="I80" s="128">
        <f>IF(OR(C80="DCOLLECTOR",C80="SAF2000",C80=""),"",VLOOKUP($C80,'C'!$C$1:$D$2479,2,FALSE))</f>
        <v>10</v>
      </c>
      <c r="J80" s="129">
        <f>IF(OR(C80="DCOLLECTOR",C80="SAF2000",C80=""),"",VLOOKUP($C80,'C'!$C$1:$E$2479,3,FALSE))</f>
        <v>85000000</v>
      </c>
      <c r="K80" s="130">
        <f t="shared" si="10"/>
        <v>0</v>
      </c>
      <c r="L80" s="130">
        <f t="shared" si="11"/>
        <v>0</v>
      </c>
    </row>
    <row r="81" spans="1:12" s="86" customFormat="1" ht="15" hidden="1" x14ac:dyDescent="0.25">
      <c r="A81" s="842"/>
      <c r="B81" s="844"/>
      <c r="C81" s="390" t="str">
        <f t="array" ref="C81">IFERROR(INDEX('C'!$C$1:$C$2479, SMALL(IF($B$74 = 'C'!$A$1:$A$2479, ROW('C'!$A$1:$A$2479) -
ROW('C'!$A$2) + 2), ROW(8:8))),"")</f>
        <v/>
      </c>
      <c r="D81" s="347" t="str">
        <f t="array" ref="D81">IFERROR(INDEX('C'!$B$1:$B$2479, SMALL(IF($B$74 = 'C'!$A$1:$A$2479, ROW('C'!$A$1:$A$2479) -
ROW('C'!$A$2) + 2), ROW(11:11))),"")</f>
        <v/>
      </c>
      <c r="E81" s="229">
        <f t="shared" si="9"/>
        <v>0</v>
      </c>
      <c r="F81" s="231">
        <f>SUMIF(Data!$N$2:$N$998,Disbursement!C81,Data!$D$2:$D$998)</f>
        <v>0</v>
      </c>
      <c r="G81" s="128">
        <f>IF(C81="",0,COUNTIF(Data!$N$2:$N$998,C81))</f>
        <v>0</v>
      </c>
      <c r="H81" s="128">
        <f>IF(C81="",0,CONCATENATE(COUNTIFS(Data!$N$2:$N$998,C81,Data!$O$2:$O$998,"New *")," New",", ",COUNTIFS(Data!$N$2:$N$998,C81,Data!$O$2:$O$998,"Repeat *")," Repeat"))</f>
        <v>0</v>
      </c>
      <c r="I81" s="128" t="str">
        <f>IF(OR(C81="DCOLLECTOR",C81="SAF2000",C81=""),"",VLOOKUP($C81,'C'!$C$1:$D$2479,2,FALSE))</f>
        <v/>
      </c>
      <c r="J81" s="129" t="str">
        <f>IF(OR(C81="DCOLLECTOR",C81="SAF2000",C81=""),"",VLOOKUP($C81,'C'!$C$1:$E$2479,3,FALSE))</f>
        <v/>
      </c>
      <c r="K81" s="130">
        <f t="shared" si="10"/>
        <v>0</v>
      </c>
      <c r="L81" s="130" t="str">
        <f t="shared" si="11"/>
        <v/>
      </c>
    </row>
    <row r="82" spans="1:12" s="86" customFormat="1" ht="15" hidden="1" x14ac:dyDescent="0.25">
      <c r="A82" s="842"/>
      <c r="B82" s="844"/>
      <c r="C82" s="390" t="str">
        <f t="array" ref="C82">IFERROR(INDEX('C'!$C$1:$C$2479, SMALL(IF($B$74 = 'C'!$A$1:$A$2479, ROW('C'!$A$1:$A$2479) -
ROW('C'!$A$2) + 2), ROW(10:10))),"")</f>
        <v/>
      </c>
      <c r="D82" s="128" t="str">
        <f t="array" ref="D82">IFERROR(INDEX('C'!$B$1:$B$2479, SMALL(IF($B$74 = 'C'!$A$1:$A$2479, ROW('C'!$A$1:$A$2479) -
ROW('C'!$A$2) + 2), ROW(12:12))),"")</f>
        <v/>
      </c>
      <c r="E82" s="229">
        <f t="shared" si="9"/>
        <v>0</v>
      </c>
      <c r="F82" s="231">
        <f>SUMIF(Data!$N$2:$N$998,Disbursement!C82,Data!$D$2:$D$998)</f>
        <v>0</v>
      </c>
      <c r="G82" s="128">
        <f>IF(C82="",0,COUNTIF(Data!$N$2:$N$998,C82))</f>
        <v>0</v>
      </c>
      <c r="H82" s="128">
        <f>IF(C82="",0,CONCATENATE(COUNTIFS(Data!$N$2:$N$998,C82,Data!$O$2:$O$998,"New *")," New",", ",COUNTIFS(Data!$N$2:$N$998,C82,Data!$O$2:$O$998,"Repeat *")," Repeat"))</f>
        <v>0</v>
      </c>
      <c r="I82" s="128" t="str">
        <f>IF(OR(C82="DCOLLECTOR",C82="SAF2000",C82=""),"",VLOOKUP($C82,'C'!$C$1:$D$2479,2,FALSE))</f>
        <v/>
      </c>
      <c r="J82" s="129" t="str">
        <f>IF(OR(C82="DCOLLECTOR",C82="SAF2000",C82=""),"",VLOOKUP($C82,'C'!$C$1:$E$2479,3,FALSE))</f>
        <v/>
      </c>
      <c r="K82" s="130">
        <f t="shared" si="10"/>
        <v>0</v>
      </c>
      <c r="L82" s="130" t="str">
        <f t="shared" si="11"/>
        <v/>
      </c>
    </row>
    <row r="83" spans="1:12" s="86" customFormat="1" ht="15" hidden="1" x14ac:dyDescent="0.25">
      <c r="A83" s="842"/>
      <c r="B83" s="844"/>
      <c r="C83" s="390" t="str">
        <f t="array" ref="C83">IFERROR(INDEX('C'!$C$1:$C$2479, SMALL(IF($B$74 = 'C'!$A$1:$A$2479, ROW('C'!$A$1:$A$2479) -
ROW('C'!$A$2) + 2), ROW(11:11))),"")</f>
        <v/>
      </c>
      <c r="D83" s="128" t="str">
        <f t="array" ref="D83">IFERROR(INDEX('C'!$B$1:$B$2479, SMALL(IF($B$74 = 'C'!$A$1:$A$2479, ROW('C'!$A$1:$A$2479) -
ROW('C'!$A$2) + 2), ROW(13:13))),"")</f>
        <v/>
      </c>
      <c r="E83" s="229">
        <f t="shared" si="9"/>
        <v>0</v>
      </c>
      <c r="F83" s="231">
        <f>SUMIF(Data!$N$2:$N$998,Disbursement!C83,Data!$D$2:$D$998)</f>
        <v>0</v>
      </c>
      <c r="G83" s="128">
        <f>IF(C83="",0,COUNTIF(Data!$N$2:$N$998,C83))</f>
        <v>0</v>
      </c>
      <c r="H83" s="128">
        <f>IF(C83="",0,CONCATENATE(COUNTIFS(Data!$N$2:$N$998,C83,Data!$O$2:$O$998,"New *")," New",", ",COUNTIFS(Data!$N$2:$N$998,C83,Data!$O$2:$O$998,"Repeat *")," Repeat"))</f>
        <v>0</v>
      </c>
      <c r="I83" s="128" t="str">
        <f>IF(OR(C83="DCOLLECTOR",C83="SAF2000",C83=""),"",VLOOKUP($C83,'C'!$C$1:$D$2479,2,FALSE))</f>
        <v/>
      </c>
      <c r="J83" s="129" t="str">
        <f>IF(OR(C83="DCOLLECTOR",C83="SAF2000",C83=""),"",VLOOKUP($C83,'C'!$C$1:$E$2479,3,FALSE))</f>
        <v/>
      </c>
      <c r="K83" s="130">
        <f t="shared" si="10"/>
        <v>0</v>
      </c>
      <c r="L83" s="130" t="str">
        <f t="shared" si="11"/>
        <v/>
      </c>
    </row>
    <row r="84" spans="1:12" s="86" customFormat="1" ht="15" hidden="1" x14ac:dyDescent="0.25">
      <c r="A84" s="842"/>
      <c r="B84" s="844"/>
      <c r="C84" s="390" t="str">
        <f t="array" ref="C84">IFERROR(INDEX('C'!$C$1:$C$2479, SMALL(IF($B$74 = 'C'!$A$1:$A$2479, ROW('C'!$A$1:$A$2479) -
ROW('C'!$A$2) + 2), ROW(12:12))),"")</f>
        <v/>
      </c>
      <c r="D84" s="128" t="str">
        <f t="array" ref="D84">IFERROR(INDEX('C'!$B$1:$B$2479, SMALL(IF($B$74 = 'C'!$A$1:$A$2479, ROW('C'!$A$1:$A$2479) -
ROW('C'!$A$2) + 2), ROW(14:14))),"")</f>
        <v/>
      </c>
      <c r="E84" s="229">
        <f t="shared" si="9"/>
        <v>0</v>
      </c>
      <c r="F84" s="231">
        <f>SUMIF(Data!$N$2:$N$998,Disbursement!C84,Data!$D$2:$D$998)</f>
        <v>0</v>
      </c>
      <c r="G84" s="128">
        <f>IF(C84="",0,COUNTIF(Data!$N$2:$N$998,C84))</f>
        <v>0</v>
      </c>
      <c r="H84" s="128">
        <f>IF(C84="",0,CONCATENATE(COUNTIFS(Data!$N$2:$N$998,C84,Data!$O$2:$O$998,"New *")," New",", ",COUNTIFS(Data!$N$2:$N$998,C84,Data!$O$2:$O$998,"Repeat *")," Repeat"))</f>
        <v>0</v>
      </c>
      <c r="I84" s="128" t="str">
        <f>IF(OR(C84="DCOLLECTOR",C84="SAF2000",C84=""),"",VLOOKUP($C84,'C'!$C$1:$D$2479,2,FALSE))</f>
        <v/>
      </c>
      <c r="J84" s="129" t="str">
        <f>IF(OR(C84="DCOLLECTOR",C84="SAF2000",C84=""),"",VLOOKUP($C84,'C'!$C$1:$E$2479,3,FALSE))</f>
        <v/>
      </c>
      <c r="K84" s="130">
        <f t="shared" si="10"/>
        <v>0</v>
      </c>
      <c r="L84" s="130" t="str">
        <f t="shared" si="11"/>
        <v/>
      </c>
    </row>
    <row r="85" spans="1:12" s="86" customFormat="1" ht="15" hidden="1" x14ac:dyDescent="0.25">
      <c r="A85" s="842"/>
      <c r="B85" s="844"/>
      <c r="C85" s="390" t="str">
        <f t="array" ref="C85">IFERROR(INDEX('C'!$C$1:$C$2479, SMALL(IF($B$74 = 'C'!$A$1:$A$2479, ROW('C'!$A$1:$A$2479) -
ROW('C'!$A$2) + 2), ROW(13:13))),"")</f>
        <v/>
      </c>
      <c r="D85" s="128" t="str">
        <f t="array" ref="D85">IFERROR(INDEX('C'!$B$1:$B$2479, SMALL(IF($B$74 = 'C'!$A$1:$A$2479, ROW('C'!$A$1:$A$2479) -
ROW('C'!$A$2) + 2), ROW(15:15))),"")</f>
        <v/>
      </c>
      <c r="E85" s="229">
        <f t="shared" si="9"/>
        <v>0</v>
      </c>
      <c r="F85" s="231">
        <f>SUMIF(Data!$N$2:$N$998,Disbursement!C85,Data!$D$2:$D$998)</f>
        <v>0</v>
      </c>
      <c r="G85" s="128">
        <f>IF(C85="",0,COUNTIF(Data!$N$2:$N$998,C85))</f>
        <v>0</v>
      </c>
      <c r="H85" s="128">
        <f>IF(C85="",0,CONCATENATE(COUNTIFS(Data!$N$2:$N$998,C85,Data!$O$2:$O$998,"New *")," New",", ",COUNTIFS(Data!$N$2:$N$998,C85,Data!$O$2:$O$998,"Repeat *")," Repeat"))</f>
        <v>0</v>
      </c>
      <c r="I85" s="128" t="str">
        <f>IF(OR(C85="DCOLLECTOR",C85="SAF2000",C85=""),"",VLOOKUP($C85,'C'!$C$1:$D$2479,2,FALSE))</f>
        <v/>
      </c>
      <c r="J85" s="129" t="str">
        <f>IF(OR(C85="DCOLLECTOR",C85="SAF2000",C85=""),"",VLOOKUP($C85,'C'!$C$1:$E$2479,3,FALSE))</f>
        <v/>
      </c>
      <c r="K85" s="130">
        <f t="shared" si="10"/>
        <v>0</v>
      </c>
      <c r="L85" s="130" t="str">
        <f t="shared" si="11"/>
        <v/>
      </c>
    </row>
    <row r="86" spans="1:12" s="86" customFormat="1" ht="15" hidden="1" x14ac:dyDescent="0.25">
      <c r="A86" s="842"/>
      <c r="B86" s="844"/>
      <c r="C86" s="390" t="str">
        <f t="array" ref="C86">IFERROR(INDEX('C'!$C$1:$C$2479, SMALL(IF($B$74 = 'C'!$A$1:$A$2479, ROW('C'!$A$1:$A$2479) -
ROW('C'!$A$2) + 2), ROW(14:14))),"")</f>
        <v/>
      </c>
      <c r="D86" s="128" t="str">
        <f t="array" ref="D86">IFERROR(INDEX('C'!$B$1:$B$2479, SMALL(IF($B$74 = 'C'!$A$1:$A$2479, ROW('C'!$A$1:$A$2479) -
ROW('C'!$A$2) + 2), ROW(16:16))),"")</f>
        <v/>
      </c>
      <c r="E86" s="229">
        <f t="shared" si="9"/>
        <v>0</v>
      </c>
      <c r="F86" s="231">
        <f>SUMIF(Data!$N$2:$N$998,Disbursement!C86,Data!$D$2:$D$998)</f>
        <v>0</v>
      </c>
      <c r="G86" s="128">
        <f>IF(C86="",0,COUNTIF(Data!$N$2:$N$998,C86))</f>
        <v>0</v>
      </c>
      <c r="H86" s="128">
        <f>IF(C86="",0,CONCATENATE(COUNTIFS(Data!$N$2:$N$998,C86,Data!$O$2:$O$998,"New *")," New",", ",COUNTIFS(Data!$N$2:$N$998,C86,Data!$O$2:$O$998,"Repeat *")," Repeat"))</f>
        <v>0</v>
      </c>
      <c r="I86" s="128" t="str">
        <f>IF(OR(C86="DCOLLECTOR",C86="SAF2000",C86=""),"",VLOOKUP($C86,'C'!$C$1:$D$2479,2,FALSE))</f>
        <v/>
      </c>
      <c r="J86" s="129" t="str">
        <f>IF(OR(C86="DCOLLECTOR",C86="SAF2000",C86=""),"",VLOOKUP($C86,'C'!$C$1:$E$2479,3,FALSE))</f>
        <v/>
      </c>
      <c r="K86" s="130">
        <f t="shared" si="10"/>
        <v>0</v>
      </c>
      <c r="L86" s="130" t="str">
        <f t="shared" si="11"/>
        <v/>
      </c>
    </row>
    <row r="87" spans="1:12" s="86" customFormat="1" ht="15" hidden="1" x14ac:dyDescent="0.25">
      <c r="A87" s="842"/>
      <c r="B87" s="844"/>
      <c r="C87" s="390" t="str">
        <f t="array" ref="C87">IFERROR(INDEX('C'!$C$1:$C$2479, SMALL(IF($B$74 = 'C'!$A$1:$A$2479, ROW('C'!$A$1:$A$2479) -
ROW('C'!$A$2) + 2), ROW(15:15))),"")</f>
        <v/>
      </c>
      <c r="D87" s="128" t="str">
        <f t="array" ref="D87">IFERROR(INDEX('C'!$B$1:$B$2479, SMALL(IF($B$74 = 'C'!$A$1:$A$2479, ROW('C'!$A$1:$A$2479) -
ROW('C'!$A$2) + 2), ROW(17:17))),"")</f>
        <v/>
      </c>
      <c r="E87" s="229">
        <f t="shared" si="9"/>
        <v>0</v>
      </c>
      <c r="F87" s="231">
        <f>SUMIF(Data!$N$2:$N$998,Disbursement!C87,Data!$D$2:$D$998)</f>
        <v>0</v>
      </c>
      <c r="G87" s="128">
        <f>IF(C87="",0,COUNTIF(Data!$N$2:$N$998,C87))</f>
        <v>0</v>
      </c>
      <c r="H87" s="128">
        <f>IF(C87="",0,CONCATENATE(COUNTIFS(Data!$N$2:$N$998,C87,Data!$O$2:$O$998,"New *")," New",", ",COUNTIFS(Data!$N$2:$N$998,C87,Data!$O$2:$O$998,"Repeat *")," Repeat"))</f>
        <v>0</v>
      </c>
      <c r="I87" s="128" t="str">
        <f>IF(OR(C87="DCOLLECTOR",C87="SAF2000",C87=""),"",VLOOKUP($C87,'C'!$C$1:$D$2479,2,FALSE))</f>
        <v/>
      </c>
      <c r="J87" s="129" t="str">
        <f>IF(OR(C87="DCOLLECTOR",C87="SAF2000",C87=""),"",VLOOKUP($C87,'C'!$C$1:$E$2479,3,FALSE))</f>
        <v/>
      </c>
      <c r="K87" s="130">
        <f t="shared" si="10"/>
        <v>0</v>
      </c>
      <c r="L87" s="130" t="str">
        <f t="shared" si="11"/>
        <v/>
      </c>
    </row>
    <row r="88" spans="1:12" s="86" customFormat="1" ht="15" hidden="1" x14ac:dyDescent="0.25">
      <c r="A88" s="842"/>
      <c r="B88" s="844"/>
      <c r="C88" s="390" t="str">
        <f t="array" ref="C88">IFERROR(INDEX('C'!$C$1:$C$2479, SMALL(IF($B$74 = 'C'!$A$1:$A$2479, ROW('C'!$A$1:$A$2479) -
ROW('C'!$A$2) + 2), ROW(16:16))),"")</f>
        <v/>
      </c>
      <c r="D88" s="128" t="str">
        <f t="array" ref="D88">IFERROR(INDEX('C'!$B$1:$B$2479, SMALL(IF($B$74 = 'C'!$A$1:$A$2479, ROW('C'!$A$1:$A$2479) -
ROW('C'!$A$2) + 2), ROW(18:18))),"")</f>
        <v/>
      </c>
      <c r="E88" s="229">
        <f t="shared" si="9"/>
        <v>0</v>
      </c>
      <c r="F88" s="231">
        <f>SUMIF(Data!$N$2:$N$998,Disbursement!C88,Data!$D$2:$D$998)</f>
        <v>0</v>
      </c>
      <c r="G88" s="128">
        <f>IF(C88="",0,COUNTIF(Data!$N$2:$N$998,C88))</f>
        <v>0</v>
      </c>
      <c r="H88" s="128">
        <f>IF(C88="",0,CONCATENATE(COUNTIFS(Data!$N$2:$N$998,C88,Data!$O$2:$O$998,"New *")," New",", ",COUNTIFS(Data!$N$2:$N$998,C88,Data!$O$2:$O$998,"Repeat *")," Repeat"))</f>
        <v>0</v>
      </c>
      <c r="I88" s="128" t="str">
        <f>IF(OR(C88="DCOLLECTOR",C88="SAF2000",C88=""),"",VLOOKUP($C88,'C'!$C$1:$D$2479,2,FALSE))</f>
        <v/>
      </c>
      <c r="J88" s="129" t="str">
        <f>IF(OR(C88="DCOLLECTOR",C88="SAF2000",C88=""),"",VLOOKUP($C88,'C'!$C$1:$E$2479,3,FALSE))</f>
        <v/>
      </c>
      <c r="K88" s="130">
        <f t="shared" si="10"/>
        <v>0</v>
      </c>
      <c r="L88" s="130" t="str">
        <f t="shared" si="11"/>
        <v/>
      </c>
    </row>
    <row r="89" spans="1:12" s="86" customFormat="1" ht="15" hidden="1" x14ac:dyDescent="0.25">
      <c r="A89" s="842"/>
      <c r="B89" s="844"/>
      <c r="C89" s="390" t="str">
        <f t="array" ref="C89">IFERROR(INDEX('C'!$C$1:$C$2479, SMALL(IF($B$74 = 'C'!$A$1:$A$2479, ROW('C'!$A$1:$A$2479) -
ROW('C'!$A$2) + 2), ROW(17:17))),"")</f>
        <v/>
      </c>
      <c r="D89" s="128" t="str">
        <f t="array" ref="D89">IFERROR(INDEX('C'!$B$1:$B$2479, SMALL(IF($B$74 = 'C'!$A$1:$A$2479, ROW('C'!$A$1:$A$2479) -
ROW('C'!$A$2) + 2), ROW(19:19))),"")</f>
        <v/>
      </c>
      <c r="E89" s="229">
        <f t="shared" si="9"/>
        <v>0</v>
      </c>
      <c r="F89" s="231">
        <f>SUMIF(Data!$N$2:$N$998,Disbursement!C89,Data!$D$2:$D$998)</f>
        <v>0</v>
      </c>
      <c r="G89" s="128">
        <f>IF(C89="",0,COUNTIF(Data!$N$2:$N$998,C89))</f>
        <v>0</v>
      </c>
      <c r="H89" s="128">
        <f>IF(C89="",0,CONCATENATE(COUNTIFS(Data!$N$2:$N$998,C89,Data!$O$2:$O$998,"New *")," New",", ",COUNTIFS(Data!$N$2:$N$998,C89,Data!$O$2:$O$998,"Repeat *")," Repeat"))</f>
        <v>0</v>
      </c>
      <c r="I89" s="128" t="str">
        <f>IF(OR(C89="DCOLLECTOR",C89="SAF2000",C89=""),"",VLOOKUP($C89,'C'!$C$1:$D$2479,2,FALSE))</f>
        <v/>
      </c>
      <c r="J89" s="129" t="str">
        <f>IF(OR(C89="DCOLLECTOR",C89="SAF2000",C89=""),"",VLOOKUP($C89,'C'!$C$1:$E$2479,3,FALSE))</f>
        <v/>
      </c>
      <c r="K89" s="130">
        <f t="shared" si="10"/>
        <v>0</v>
      </c>
      <c r="L89" s="130" t="str">
        <f t="shared" si="11"/>
        <v/>
      </c>
    </row>
    <row r="90" spans="1:12" s="86" customFormat="1" ht="15" hidden="1" x14ac:dyDescent="0.25">
      <c r="A90" s="842"/>
      <c r="B90" s="844"/>
      <c r="C90" s="390" t="str">
        <f t="array" ref="C90">IFERROR(INDEX('C'!$C$1:$C$2479, SMALL(IF($B$74 = 'C'!$A$1:$A$2479, ROW('C'!$A$1:$A$2479) -
ROW('C'!$A$2) + 2), ROW(18:18))),"")</f>
        <v/>
      </c>
      <c r="D90" s="128" t="str">
        <f t="array" ref="D90">IFERROR(INDEX('C'!$B$1:$B$2479, SMALL(IF($B$74 = 'C'!$A$1:$A$2479, ROW('C'!$A$1:$A$2479) -
ROW('C'!$A$2) + 2), ROW(20:20))),"")</f>
        <v/>
      </c>
      <c r="E90" s="229">
        <f t="shared" si="9"/>
        <v>0</v>
      </c>
      <c r="F90" s="231">
        <f>SUMIF(Data!$N$2:$N$998,Disbursement!C90,Data!$D$2:$D$998)</f>
        <v>0</v>
      </c>
      <c r="G90" s="128">
        <f>IF(C90="",0,COUNTIF(Data!$N$2:$N$998,C90))</f>
        <v>0</v>
      </c>
      <c r="H90" s="128">
        <f>IF(C90="",0,CONCATENATE(COUNTIFS(Data!$N$2:$N$998,C90,Data!$O$2:$O$998,"New *")," New",", ",COUNTIFS(Data!$N$2:$N$998,C90,Data!$O$2:$O$998,"Repeat *")," Repeat"))</f>
        <v>0</v>
      </c>
      <c r="I90" s="128" t="str">
        <f>IF(OR(C90="DCOLLECTOR",C90="SAF2000",C90=""),"",VLOOKUP($C90,'C'!$C$1:$D$2479,2,FALSE))</f>
        <v/>
      </c>
      <c r="J90" s="129" t="str">
        <f>IF(OR(C90="DCOLLECTOR",C90="SAF2000",C90=""),"",VLOOKUP($C90,'C'!$C$1:$E$2479,3,FALSE))</f>
        <v/>
      </c>
      <c r="K90" s="130">
        <f t="shared" si="10"/>
        <v>0</v>
      </c>
      <c r="L90" s="130" t="str">
        <f t="shared" si="11"/>
        <v/>
      </c>
    </row>
    <row r="91" spans="1:12" s="86" customFormat="1" ht="15" hidden="1" x14ac:dyDescent="0.25">
      <c r="A91" s="842"/>
      <c r="B91" s="844"/>
      <c r="C91" s="390" t="str">
        <f t="array" ref="C91">IFERROR(INDEX('C'!$C$1:$C$2479, SMALL(IF($B$74 = 'C'!$A$1:$A$2479, ROW('C'!$A$1:$A$2479) -
ROW('C'!$A$2) + 2), ROW(19:19))),"")</f>
        <v/>
      </c>
      <c r="D91" s="128" t="str">
        <f t="array" ref="D91">IFERROR(INDEX('C'!$B$1:$B$2479, SMALL(IF($B$74 = 'C'!$A$1:$A$2479, ROW('C'!$A$1:$A$2479) -
ROW('C'!$A$2) + 2), ROW(21:21))),"")</f>
        <v/>
      </c>
      <c r="E91" s="229">
        <f t="shared" si="9"/>
        <v>0</v>
      </c>
      <c r="F91" s="231">
        <f>SUMIF(Data!$N$2:$N$998,Disbursement!C91,Data!$D$2:$D$998)</f>
        <v>0</v>
      </c>
      <c r="G91" s="128">
        <f>IF(C91="",0,COUNTIF(Data!$N$2:$N$998,C91))</f>
        <v>0</v>
      </c>
      <c r="H91" s="128">
        <f>IF(C91="",0,CONCATENATE(COUNTIFS(Data!$N$2:$N$998,C91,Data!$O$2:$O$998,"New *")," New",", ",COUNTIFS(Data!$N$2:$N$998,C91,Data!$O$2:$O$998,"Repeat *")," Repeat"))</f>
        <v>0</v>
      </c>
      <c r="I91" s="128" t="str">
        <f>IF(OR(C91="DCOLLECTOR",C91="SAF2000",C91=""),"",VLOOKUP($C91,'C'!$C$1:$D$2479,2,FALSE))</f>
        <v/>
      </c>
      <c r="J91" s="129" t="str">
        <f>IF(OR(C91="DCOLLECTOR",C91="SAF2000",C91=""),"",VLOOKUP($C91,'C'!$C$1:$E$2479,3,FALSE))</f>
        <v/>
      </c>
      <c r="K91" s="130">
        <f t="shared" si="10"/>
        <v>0</v>
      </c>
      <c r="L91" s="130" t="str">
        <f t="shared" si="11"/>
        <v/>
      </c>
    </row>
    <row r="92" spans="1:12" s="86" customFormat="1" ht="15" hidden="1" x14ac:dyDescent="0.25">
      <c r="A92" s="842"/>
      <c r="B92" s="844"/>
      <c r="C92" s="390" t="str">
        <f t="array" ref="C92">IFERROR(INDEX('C'!$C$1:$C$2479, SMALL(IF($B$74 = 'C'!$A$1:$A$2479, ROW('C'!$A$1:$A$2479) -
ROW('C'!$A$2) + 2), ROW(20:20))),"")</f>
        <v/>
      </c>
      <c r="D92" s="128" t="str">
        <f t="array" ref="D92">IFERROR(INDEX('C'!$B$1:$B$2479, SMALL(IF($B$74 = 'C'!$A$1:$A$2479, ROW('C'!$A$1:$A$2479) -
ROW('C'!$A$2) + 2), ROW(22:22))),"")</f>
        <v/>
      </c>
      <c r="E92" s="229">
        <f t="shared" si="9"/>
        <v>0</v>
      </c>
      <c r="F92" s="231">
        <f>SUMIF(Data!$N$2:$N$998,Disbursement!C92,Data!$D$2:$D$998)</f>
        <v>0</v>
      </c>
      <c r="G92" s="128">
        <f>IF(C92="",0,COUNTIF(Data!$N$2:$N$998,C92))</f>
        <v>0</v>
      </c>
      <c r="H92" s="128">
        <f>IF(C92="",0,CONCATENATE(COUNTIFS(Data!$N$2:$N$998,C92,Data!$O$2:$O$998,"New *")," New",", ",COUNTIFS(Data!$N$2:$N$998,C92,Data!$O$2:$O$998,"Repeat *")," Repeat"))</f>
        <v>0</v>
      </c>
      <c r="I92" s="128" t="str">
        <f>IF(OR(C92="DCOLLECTOR",C92="SAF2000",C92=""),"",VLOOKUP($C92,'C'!$C$1:$D$2479,2,FALSE))</f>
        <v/>
      </c>
      <c r="J92" s="129" t="str">
        <f>IF(OR(C92="DCOLLECTOR",C92="SAF2000",C92=""),"",VLOOKUP($C92,'C'!$C$1:$E$2479,3,FALSE))</f>
        <v/>
      </c>
      <c r="K92" s="130">
        <f t="shared" si="10"/>
        <v>0</v>
      </c>
      <c r="L92" s="130" t="str">
        <f t="shared" si="11"/>
        <v/>
      </c>
    </row>
    <row r="93" spans="1:12" s="86" customFormat="1" ht="15" hidden="1" x14ac:dyDescent="0.25">
      <c r="A93" s="842"/>
      <c r="B93" s="844"/>
      <c r="C93" s="390" t="str">
        <f t="array" ref="C93">IFERROR(INDEX('C'!$C$1:$C$2479, SMALL(IF($B$74 = 'C'!$A$1:$A$2479, ROW('C'!$A$1:$A$2479) -
ROW('C'!$A$2) + 2), ROW(21:21))),"")</f>
        <v/>
      </c>
      <c r="D93" s="128" t="str">
        <f t="array" ref="D93">IFERROR(INDEX('C'!$B$1:$B$2479, SMALL(IF($B$74 = 'C'!$A$1:$A$2479, ROW('C'!$A$1:$A$2479) -
ROW('C'!$A$2) + 2), ROW(23:23))),"")</f>
        <v/>
      </c>
      <c r="E93" s="229">
        <f t="shared" si="9"/>
        <v>0</v>
      </c>
      <c r="F93" s="231">
        <f>SUMIF(Data!$N$2:$N$998,Disbursement!C93,Data!$D$2:$D$998)</f>
        <v>0</v>
      </c>
      <c r="G93" s="128">
        <f>IF(C93="",0,COUNTIF(Data!$N$2:$N$998,C93))</f>
        <v>0</v>
      </c>
      <c r="H93" s="128">
        <f>IF(C93="",0,CONCATENATE(COUNTIFS(Data!$N$2:$N$998,C93,Data!$O$2:$O$998,"New *")," New",", ",COUNTIFS(Data!$N$2:$N$998,C93,Data!$O$2:$O$998,"Repeat *")," Repeat"))</f>
        <v>0</v>
      </c>
      <c r="I93" s="128" t="str">
        <f>IF(OR(C93="DCOLLECTOR",C93="SAF2000",C93=""),"",VLOOKUP($C93,'C'!$C$1:$D$2479,2,FALSE))</f>
        <v/>
      </c>
      <c r="J93" s="129" t="str">
        <f>IF(OR(C93="DCOLLECTOR",C93="SAF2000",C93=""),"",VLOOKUP($C93,'C'!$C$1:$E$2479,3,FALSE))</f>
        <v/>
      </c>
      <c r="K93" s="130">
        <f t="shared" si="10"/>
        <v>0</v>
      </c>
      <c r="L93" s="130" t="str">
        <f t="shared" si="11"/>
        <v/>
      </c>
    </row>
    <row r="94" spans="1:12" s="86" customFormat="1" ht="15" hidden="1" x14ac:dyDescent="0.25">
      <c r="A94" s="842"/>
      <c r="B94" s="844"/>
      <c r="C94" s="390" t="str">
        <f t="array" ref="C94">IFERROR(INDEX('C'!$C$1:$C$2479, SMALL(IF($B$74 = 'C'!$A$1:$A$2479, ROW('C'!$A$1:$A$2479) -
ROW('C'!$A$2) + 2), ROW(22:22))),"")</f>
        <v/>
      </c>
      <c r="D94" s="128" t="str">
        <f t="array" ref="D94">IFERROR(INDEX('C'!$B$1:$B$2479, SMALL(IF($B$74 = 'C'!$A$1:$A$2479, ROW('C'!$A$1:$A$2479) -
ROW('C'!$A$2) + 2), ROW(24:24))),"")</f>
        <v/>
      </c>
      <c r="E94" s="229">
        <f t="shared" si="9"/>
        <v>0</v>
      </c>
      <c r="F94" s="231">
        <f>SUMIF(Data!$N$2:$N$998,Disbursement!C94,Data!$D$2:$D$998)</f>
        <v>0</v>
      </c>
      <c r="G94" s="128">
        <f>IF(C94="",0,COUNTIF(Data!$N$2:$N$998,C94))</f>
        <v>0</v>
      </c>
      <c r="H94" s="128">
        <f>IF(C94="",0,CONCATENATE(COUNTIFS(Data!$N$2:$N$998,C94,Data!$O$2:$O$998,"New *")," New",", ",COUNTIFS(Data!$N$2:$N$998,C94,Data!$O$2:$O$998,"Repeat *")," Repeat"))</f>
        <v>0</v>
      </c>
      <c r="I94" s="128" t="str">
        <f>IF(OR(C94="DCOLLECTOR",C94="SAF2000",C94=""),"",VLOOKUP($C94,'C'!$C$1:$D$2479,2,FALSE))</f>
        <v/>
      </c>
      <c r="J94" s="129" t="str">
        <f>IF(OR(C94="DCOLLECTOR",C94="SAF2000",C94=""),"",VLOOKUP($C94,'C'!$C$1:$E$2479,3,FALSE))</f>
        <v/>
      </c>
      <c r="K94" s="130">
        <f t="shared" si="10"/>
        <v>0</v>
      </c>
      <c r="L94" s="130" t="str">
        <f t="shared" si="11"/>
        <v/>
      </c>
    </row>
    <row r="95" spans="1:12" s="86" customFormat="1" ht="15" hidden="1" x14ac:dyDescent="0.25">
      <c r="A95" s="842"/>
      <c r="B95" s="844"/>
      <c r="C95" s="390" t="str">
        <f t="array" ref="C95">IFERROR(INDEX('C'!$C$1:$C$2479, SMALL(IF($B$74 = 'C'!$A$1:$A$2479, ROW('C'!$A$1:$A$2479) -
ROW('C'!$A$2) + 2), ROW(23:23))),"")</f>
        <v/>
      </c>
      <c r="D95" s="128" t="str">
        <f t="array" ref="D95">IFERROR(INDEX('C'!$B$1:$B$2479, SMALL(IF($B$74 = 'C'!$A$1:$A$2479, ROW('C'!$A$1:$A$2479) -
ROW('C'!$A$2) + 2), ROW(25:25))),"")</f>
        <v/>
      </c>
      <c r="E95" s="229">
        <f t="shared" si="9"/>
        <v>0</v>
      </c>
      <c r="F95" s="231">
        <f>SUMIF(Data!$N$2:$N$998,Disbursement!C95,Data!$D$2:$D$998)</f>
        <v>0</v>
      </c>
      <c r="G95" s="128">
        <f>IF(C95="",0,COUNTIF(Data!$N$2:$N$998,C95))</f>
        <v>0</v>
      </c>
      <c r="H95" s="128">
        <f>IF(C95="",0,CONCATENATE(COUNTIFS(Data!$N$2:$N$998,C95,Data!$O$2:$O$998,"New *")," New",", ",COUNTIFS(Data!$N$2:$N$998,C95,Data!$O$2:$O$998,"Repeat *")," Repeat"))</f>
        <v>0</v>
      </c>
      <c r="I95" s="128" t="str">
        <f>IF(OR(C95="DCOLLECTOR",C95="SAF2000",C95=""),"",VLOOKUP($C95,'C'!$C$1:$D$2479,2,FALSE))</f>
        <v/>
      </c>
      <c r="J95" s="129" t="str">
        <f>IF(OR(C95="DCOLLECTOR",C95="SAF2000",C95=""),"",VLOOKUP($C95,'C'!$C$1:$E$2479,3,FALSE))</f>
        <v/>
      </c>
      <c r="K95" s="130">
        <f t="shared" si="10"/>
        <v>0</v>
      </c>
      <c r="L95" s="130" t="str">
        <f t="shared" si="11"/>
        <v/>
      </c>
    </row>
    <row r="96" spans="1:12" s="86" customFormat="1" ht="15" hidden="1" x14ac:dyDescent="0.25">
      <c r="A96" s="842"/>
      <c r="B96" s="844"/>
      <c r="C96" s="390" t="str">
        <f t="array" ref="C96">IFERROR(INDEX('C'!$C$1:$C$2479, SMALL(IF($B$74 = 'C'!$A$1:$A$2479, ROW('C'!$A$1:$A$2479) -
ROW('C'!$A$2) + 2), ROW(24:24))),"")</f>
        <v/>
      </c>
      <c r="D96" s="128" t="str">
        <f t="array" ref="D96">IFERROR(INDEX('C'!$B$1:$B$2479, SMALL(IF($B$74 = 'C'!$A$1:$A$2479, ROW('C'!$A$1:$A$2479) -
ROW('C'!$A$2) + 2), ROW(26:26))),"")</f>
        <v/>
      </c>
      <c r="E96" s="229">
        <f t="shared" si="9"/>
        <v>0</v>
      </c>
      <c r="F96" s="231">
        <f>SUMIF(Data!$N$2:$N$998,Disbursement!C96,Data!$D$2:$D$998)</f>
        <v>0</v>
      </c>
      <c r="G96" s="128">
        <f>IF(C96="",0,COUNTIF(Data!$N$2:$N$998,C96))</f>
        <v>0</v>
      </c>
      <c r="H96" s="128">
        <f>IF(C96="",0,CONCATENATE(COUNTIFS(Data!$N$2:$N$998,C96,Data!$O$2:$O$998,"New *")," New",", ",COUNTIFS(Data!$N$2:$N$998,C96,Data!$O$2:$O$998,"Repeat *")," Repeat"))</f>
        <v>0</v>
      </c>
      <c r="I96" s="128" t="str">
        <f>IF(OR(C96="DCOLLECTOR",C96="SAF2000",C96=""),"",VLOOKUP($C96,'C'!$C$1:$D$2479,2,FALSE))</f>
        <v/>
      </c>
      <c r="J96" s="129" t="str">
        <f>IF(OR(C96="DCOLLECTOR",C96="SAF2000",C96=""),"",VLOOKUP($C96,'C'!$C$1:$E$2479,3,FALSE))</f>
        <v/>
      </c>
      <c r="K96" s="130">
        <f t="shared" si="10"/>
        <v>0</v>
      </c>
      <c r="L96" s="130" t="str">
        <f t="shared" si="11"/>
        <v/>
      </c>
    </row>
    <row r="97" spans="1:15" s="86" customFormat="1" ht="15" hidden="1" x14ac:dyDescent="0.25">
      <c r="A97" s="842"/>
      <c r="B97" s="844"/>
      <c r="C97" s="390" t="str">
        <f t="array" ref="C97">IFERROR(INDEX('C'!$C$1:$C$2479, SMALL(IF($B$74 = 'C'!$A$1:$A$2479, ROW('C'!$A$1:$A$2479) -
ROW('C'!$A$2) + 2), ROW(25:25))),"")</f>
        <v/>
      </c>
      <c r="D97" s="128" t="str">
        <f t="array" ref="D97">IFERROR(INDEX('C'!$B$1:$B$2479, SMALL(IF($B$74 = 'C'!$A$1:$A$2479, ROW('C'!$A$1:$A$2479) -
ROW('C'!$A$2) + 2), ROW(27:27))),"")</f>
        <v/>
      </c>
      <c r="E97" s="229">
        <f t="shared" si="9"/>
        <v>0</v>
      </c>
      <c r="F97" s="231">
        <f>SUMIF(Data!$N$2:$N$998,Disbursement!C97,Data!$D$2:$D$998)</f>
        <v>0</v>
      </c>
      <c r="G97" s="128">
        <f>IF(C97="",0,COUNTIF(Data!$N$2:$N$998,C97))</f>
        <v>0</v>
      </c>
      <c r="H97" s="128">
        <f>IF(C97="",0,CONCATENATE(COUNTIFS(Data!$N$2:$N$998,C97,Data!$O$2:$O$998,"New *")," New",", ",COUNTIFS(Data!$N$2:$N$998,C97,Data!$O$2:$O$998,"Repeat *")," Repeat"))</f>
        <v>0</v>
      </c>
      <c r="I97" s="128" t="str">
        <f>IF(OR(C97="DCOLLECTOR",C97="SAF2000",C97=""),"",VLOOKUP($C97,'C'!$C$1:$D$2479,2,FALSE))</f>
        <v/>
      </c>
      <c r="J97" s="129" t="str">
        <f>IF(OR(C97="DCOLLECTOR",C97="SAF2000",C97=""),"",VLOOKUP($C97,'C'!$C$1:$E$2479,3,FALSE))</f>
        <v/>
      </c>
      <c r="K97" s="130">
        <f t="shared" si="10"/>
        <v>0</v>
      </c>
      <c r="L97" s="130" t="str">
        <f t="shared" si="11"/>
        <v/>
      </c>
    </row>
    <row r="98" spans="1:15" s="86" customFormat="1" ht="15" hidden="1" x14ac:dyDescent="0.25">
      <c r="A98" s="842"/>
      <c r="B98" s="844"/>
      <c r="C98" s="390" t="str">
        <f t="array" ref="C98">IFERROR(INDEX('C'!$C$1:$C$2479, SMALL(IF($B$74 = 'C'!$A$1:$A$2479, ROW('C'!$A$1:$A$2479) -
ROW('C'!$A$2) + 2), ROW(26:26))),"")</f>
        <v/>
      </c>
      <c r="D98" s="128" t="str">
        <f t="array" ref="D98">IFERROR(INDEX('C'!$B$1:$B$2479, SMALL(IF($B$74 = 'C'!$A$1:$A$2479, ROW('C'!$A$1:$A$2479) -
ROW('C'!$A$2) + 2), ROW(28:28))),"")</f>
        <v/>
      </c>
      <c r="E98" s="229">
        <f t="shared" si="9"/>
        <v>0</v>
      </c>
      <c r="F98" s="231">
        <f>SUMIF(Data!$N$2:$N$998,Disbursement!C98,Data!$D$2:$D$998)</f>
        <v>0</v>
      </c>
      <c r="G98" s="128">
        <f>IF(C98="",0,COUNTIF(Data!$N$2:$N$998,C98))</f>
        <v>0</v>
      </c>
      <c r="H98" s="128">
        <f>IF(C98="",0,CONCATENATE(COUNTIFS(Data!$N$2:$N$998,C98,Data!$O$2:$O$998,"New *")," New",", ",COUNTIFS(Data!$N$2:$N$998,C98,Data!$O$2:$O$998,"Repeat *")," Repeat"))</f>
        <v>0</v>
      </c>
      <c r="I98" s="128" t="str">
        <f>IF(OR(C98="DCOLLECTOR",C98="SAF2000",C98=""),"",VLOOKUP($C98,'C'!$C$1:$D$2479,2,FALSE))</f>
        <v/>
      </c>
      <c r="J98" s="129" t="str">
        <f>IF(OR(C98="DCOLLECTOR",C98="SAF2000",C98=""),"",VLOOKUP($C98,'C'!$C$1:$E$2479,3,FALSE))</f>
        <v/>
      </c>
      <c r="K98" s="130">
        <f t="shared" si="10"/>
        <v>0</v>
      </c>
      <c r="L98" s="130" t="str">
        <f t="shared" si="11"/>
        <v/>
      </c>
    </row>
    <row r="99" spans="1:15" s="86" customFormat="1" ht="15.6" hidden="1" thickBot="1" x14ac:dyDescent="0.3">
      <c r="A99" s="842"/>
      <c r="B99" s="852"/>
      <c r="C99" s="390" t="str">
        <f t="array" ref="C99">IFERROR(INDEX('C'!$C$1:$C$2479, SMALL(IF($B$74 = 'C'!$A$1:$A$2479, ROW('C'!$A$1:$A$2479) -
ROW('C'!$A$2) + 2), ROW(27:27))),"")</f>
        <v/>
      </c>
      <c r="D99" s="128" t="str">
        <f t="array" ref="D99">IFERROR(INDEX('C'!$B$1:$B$2479, SMALL(IF($B$74 = 'C'!$A$1:$A$2479, ROW('C'!$A$1:$A$2479) -
ROW('C'!$A$2) + 2), ROW(29:29))),"")</f>
        <v/>
      </c>
      <c r="E99" s="230">
        <f t="shared" si="9"/>
        <v>0</v>
      </c>
      <c r="F99" s="232">
        <f>SUMIF(Data!$N$2:$N$998,Disbursement!C99,Data!$D$2:$D$998)</f>
        <v>0</v>
      </c>
      <c r="G99" s="228">
        <f>IF(C99="",0,COUNTIF(Data!$N$2:$N$998,C99))</f>
        <v>0</v>
      </c>
      <c r="H99" s="228">
        <f>IF(C99="",0,CONCATENATE(COUNTIFS(Data!$N$2:$N$998,C99,Data!$O$2:$O$998,"New *")," New",", ",COUNTIFS(Data!$N$2:$N$998,C99,Data!$O$2:$O$998,"Repeat *")," Repeat"))</f>
        <v>0</v>
      </c>
      <c r="I99" s="228" t="str">
        <f>IF(OR(C99="DCOLLECTOR",C99="SAF2000",C99=""),"",VLOOKUP($C99,'C'!$C$1:$D$2479,2,FALSE))</f>
        <v/>
      </c>
      <c r="J99" s="233" t="str">
        <f>IF(OR(C99="DCOLLECTOR",C99="SAF2000",C99=""),"",VLOOKUP($C99,'C'!$C$1:$E$2479,3,FALSE))</f>
        <v/>
      </c>
      <c r="K99" s="234">
        <f t="shared" si="10"/>
        <v>0</v>
      </c>
      <c r="L99" s="234" t="str">
        <f t="shared" si="11"/>
        <v/>
      </c>
    </row>
    <row r="100" spans="1:15" s="86" customFormat="1" ht="16.2" thickBot="1" x14ac:dyDescent="0.35">
      <c r="A100" s="843"/>
      <c r="B100" s="244" t="s">
        <v>1636</v>
      </c>
      <c r="C100" s="149">
        <f>COUNTIF(C74:C99,"?*")</f>
        <v>7</v>
      </c>
      <c r="D100" s="145"/>
      <c r="E100" s="146">
        <f>SUBTOTAL(9,E74:E99)</f>
        <v>5.3681488336555228E-2</v>
      </c>
      <c r="F100" s="147">
        <f>SUBTOTAL(9,F74:F99)</f>
        <v>9500000</v>
      </c>
      <c r="G100" s="149">
        <f>SUBTOTAL(9,G74:G99)</f>
        <v>2</v>
      </c>
      <c r="H100" s="149" t="str">
        <f>CONCATENATE(COUNTIFS(Data!$N$2:$N$998,C74,Data!$O$2:$O$998,"New *")+COUNTIFS(Data!$N$2:$N$998,C75,Data!$O$2:$O$998,"New *")+COUNTIFS(Data!$N$2:$N$998,C76,Data!$O$2:$O$998,"New *")+COUNTIFS(Data!$N$2:$N$998,#REF!,Data!$O$2:$O$998,"New *")+COUNTIFS(Data!$N$2:$N$998,C77,Data!$O$2:$O$998,"New *")+COUNTIFS(Data!$N$2:$N$998,C78,Data!$O$2:$O$998,"New *")+COUNTIFS(Data!$N$2:$N$998,C79,Data!$O$2:$O$998,"New *")+COUNTIFS(Data!$N$2:$N$998,C80,Data!$O$2:$O$998,"New *")+COUNTIFS(Data!$N$2:$N$998,C81,Data!$O$2:$O$998,"New *")+COUNTIFS(Data!$N$2:$N$998,C82,Data!$O$2:$O$998,"New *")+COUNTIFS(Data!$N$2:$N$998,C83,Data!$O$2:$O$998,"New *")+COUNTIFS(Data!$N$2:$N$998,C84,Data!$O$2:$O$998,"New *")+COUNTIFS(Data!$N$2:$N$998,C85,Data!$O$2:$O$998,"New *")+COUNTIFS(Data!$N$2:$N$998,C86,Data!$O$2:$O$998,"New *")+COUNTIFS(Data!$N$2:$N$998,C87,Data!$O$2:$O$998,"New *")+COUNTIFS(Data!$N$2:$N$998,C88,Data!$O$2:$O$998,"New *")+COUNTIFS(Data!$N$2:$N$998,C89,Data!$O$2:$O$998,"New *")+COUNTIFS(Data!$N$2:$N$998,C90,Data!$O$2:$O$998,"New *")+COUNTIFS(Data!$N$2:$N$998,C91,Data!$O$2:$O$998,"New *")+COUNTIFS(Data!$N$2:$N$998,C92,Data!$O$2:$O$998,"New *")+COUNTIFS(Data!$N$2:$N$998,C93,Data!$O$2:$O$998,"New *")+COUNTIFS(Data!$N$2:$N$998,C94,Data!$O$2:$O$998,"New *")+COUNTIFS(Data!$N$2:$N$998,C95,Data!$O$2:$O$998,"New *")+COUNTIFS(Data!$N$2:$N$998,C96,Data!$O$2:$O$998,"New *")+COUNTIFS(Data!$N$2:$N$998,C97,Data!$O$2:$O$998,"New *")+COUNTIFS(Data!$N$2:$N$998,C98,Data!$O$2:$O$998,"New *")+COUNTIFS(Data!$N$2:$N$998,C99,Data!$O$2:$O$998,"New *")," New",",",COUNTIFS(Data!$N$2:$N$998,C74,Data!$O$2:$O$998,"Repeat *")+COUNTIFS(Data!$N$2:$N$998,C75,Data!$O$2:$O$998,"Repeat *")+COUNTIFS(Data!$N$2:$N$998,C76,Data!$O$2:$O$998,"Repeat *")+COUNTIFS(Data!$N$2:$N$998,#REF!,Data!$O$2:$O$998,"Repeat *")+COUNTIFS(Data!$N$2:$N$998,C77,Data!$O$2:$O$998,"Repeat *")+COUNTIFS(Data!$N$2:$N$998,C78,Data!$O$2:$O$998,"Repeat *")+COUNTIFS(Data!$N$2:$N$998,C79,Data!$O$2:$O$998,"Repeat *")+COUNTIFS(Data!$N$2:$N$998,C80,Data!$O$2:$O$998,"Repeat *")+COUNTIFS(Data!$N$2:$N$998,C81,Data!$O$2:$O$998,"Repeat *")+COUNTIFS(Data!$N$2:$N$998,C82,Data!$O$2:$O$998,"Repeat *")+COUNTIFS(Data!$N$2:$N$998,C83,Data!$O$2:$O$998,"Repeat *")+COUNTIFS(Data!$N$2:$N$998,C84,Data!$O$2:$O$998,"Repeat *")+COUNTIFS(Data!$N$2:$N$998,C85,Data!$O$2:$O$998,"Repeat *")+COUNTIFS(Data!$N$2:$N$998,C86,Data!$O$2:$O$998,"Repeat *")+COUNTIFS(Data!$N$2:$N$998,C87,Data!$O$2:$O$998,"Repeat *")+COUNTIFS(Data!$N$2:$N$998,C88,Data!$O$2:$O$998,"Repeat *")+COUNTIFS(Data!$N$2:$N$998,C89,Data!$O$2:$O$998,"Repeat *")+COUNTIFS(Data!$N$2:$N$998,C90,Data!$O$2:$O$998,"Repeat *")+COUNTIFS(Data!$N$2:$N$998,C91,Data!$O$2:$O$998,"Repeat *")+COUNTIFS(Data!$N$2:$N$998,C92,Data!$O$2:$O$998,"Repeat *")+COUNTIFS(Data!$N$2:$N$998,C93,Data!$O$2:$O$998,"Repeat *")+COUNTIFS(Data!$N$2:$N$998,C94,Data!$O$2:$O$998,"Repeat *")+COUNTIFS(Data!$N$2:$N$998,C95,Data!$O$2:$O$998,"Repeat *")+COUNTIFS(Data!$N$2:$N$998,C96,Data!$O$2:$O$998,"Repeat *")+COUNTIFS(Data!$N$2:$N$998,C97,Data!$O$2:$O$998,"Repeat *")+
COUNTIFS(Data!$N$2:$N$998,C98,Data!$O$2:$O$998,"Repeat *")+COUNTIFS(Data!$N$2:$N$998,C99,Data!$O$2:$O$998,"Repeat *"), " Repeat")</f>
        <v>1 New,1 Repeat</v>
      </c>
      <c r="I100" s="149">
        <f>SUBTOTAL(9,I74:I99)</f>
        <v>95</v>
      </c>
      <c r="J100" s="150">
        <f>SUBTOTAL(9,J74:J99)</f>
        <v>670000000</v>
      </c>
      <c r="K100" s="151">
        <f>IF(OR(I100="",ISERROR(G100/I100)),0,(G100)/I100)</f>
        <v>2.1052631578947368E-2</v>
      </c>
      <c r="L100" s="151">
        <f>IF(OR(J100="",ISERROR(F100/J100)),"",F100/J100)</f>
        <v>1.4179104477611941E-2</v>
      </c>
    </row>
    <row r="101" spans="1:15" s="326" customFormat="1" ht="16.8" thickTop="1" thickBot="1" x14ac:dyDescent="0.3">
      <c r="A101" s="379" t="s">
        <v>1460</v>
      </c>
      <c r="B101" s="144"/>
      <c r="C101" s="144">
        <f>SUBTOTAL(9,C11:C100)</f>
        <v>23</v>
      </c>
      <c r="D101" s="321"/>
      <c r="E101" s="322">
        <f>SUBTOTAL(9,E11:E100)</f>
        <v>0.45770532160641819</v>
      </c>
      <c r="F101" s="323">
        <f>SUBTOTAL(9,F11:F100)</f>
        <v>81000000</v>
      </c>
      <c r="G101" s="144">
        <f>SUBTOTAL(9,G11:G100)</f>
        <v>13</v>
      </c>
      <c r="H101" s="144" t="str">
        <f>CONCATENATE(LEFT(H32,SEARCH(" ",H32,1))+LEFT(H56,SEARCH(" ",H56,1))+LEFT(H73,SEARCH(" ",H73,1))+LEFT(H100,SEARCH(" ",H100,1)), " New",",",MID(H32,FIND(",",H32)+1,FIND(" R",H32)-FIND(",",H32))+MID(H56,FIND(",",H56)+1,FIND(" R",H56)-FIND(",",H56))+MID(H73,FIND(",",H73)+1,FIND(" R",H73)-FIND(",",H73))+MID(H100,FIND(",",H100)+1,FIND(" R",H100)-FIND(",",H100)), " Repeat")</f>
        <v>7 New,6 Repeat</v>
      </c>
      <c r="I101" s="144">
        <f>SUBTOTAL(9,I11:I100)</f>
        <v>285</v>
      </c>
      <c r="J101" s="324">
        <f>SUBTOTAL(9,J11:J100)</f>
        <v>2120000000</v>
      </c>
      <c r="K101" s="325">
        <f>IF(OR(I101="",ISERROR(G101/I101)),0,G101/I101)</f>
        <v>4.5614035087719301E-2</v>
      </c>
      <c r="L101" s="385">
        <f>IF(OR(J101="",ISERROR(F101/J101)),0,F101/J101)</f>
        <v>3.8207547169811319E-2</v>
      </c>
    </row>
    <row r="102" spans="1:15" s="48" customFormat="1" ht="16.5" customHeight="1" thickTop="1" x14ac:dyDescent="0.25">
      <c r="A102" s="846" t="s">
        <v>967</v>
      </c>
      <c r="B102" s="848" t="s">
        <v>966</v>
      </c>
      <c r="C102" s="62" t="str">
        <f t="array" ref="C102">IFERROR(INDEX('C'!$C$1:$C$2479, SMALL(IF($B$102 = 'C'!$A$1:$A$2479, ROW('C'!$A$1:$A$2479) -
ROW('C'!$A$2) + 2), ROW(1:1))),"")</f>
        <v>CNAKAYIKI</v>
      </c>
      <c r="D102" s="63" t="str">
        <f t="array" ref="D102">IFERROR(INDEX('C'!$B$1:$B$2479, SMALL(IF($B$102 = 'C'!$A$1:$A$2479, ROW('C'!$A$1:$A$2479) -
ROW('C'!$A$2) + 2), ROW(1:1))),"")</f>
        <v>HOUSING</v>
      </c>
      <c r="E102" s="96">
        <f t="shared" ref="E102:E128" si="12">F102/$F$219</f>
        <v>0.12996570860429157</v>
      </c>
      <c r="F102" s="93">
        <f>SUMIF(Data!$N$2:$N$998,Disbursement!C102,Data!$D$2:$D$998)</f>
        <v>23000000</v>
      </c>
      <c r="G102" s="63">
        <f>IF(C102="",0,COUNTIF(Data!$N$2:$N$998,C102))</f>
        <v>1</v>
      </c>
      <c r="H102" s="63" t="str">
        <f>IF(C102="",0,CONCATENATE(COUNTIFS(Data!$N$2:$N$998,C102,Data!$O$2:$O$998,"New *")," New",", ",COUNTIFS(Data!$N$2:$N$998,C102,Data!$O$2:$O$998,"Repeat *")," Repeat"))</f>
        <v>0 New, 1 Repeat</v>
      </c>
      <c r="I102" s="132">
        <f>IF(OR(C102="DCOLLECTOR",C102="SAF2000",C102=""),"",VLOOKUP($C102,'C'!$C$1:$D$2479,2,FALSE))</f>
        <v>15</v>
      </c>
      <c r="J102" s="133">
        <f>IF(OR(C102="DCOLLECTOR",C102="SAF2000",C102=""),"",VLOOKUP($C102,'C'!$C$1:$E$2479,3,FALSE))</f>
        <v>100000000</v>
      </c>
      <c r="K102" s="134">
        <f>IFERROR(IF(I102="",0,(G102)/I102),"")</f>
        <v>6.6666666666666666E-2</v>
      </c>
      <c r="L102" s="134">
        <f>IFERROR(IF(J102="","",F102/J102),"")</f>
        <v>0.23</v>
      </c>
      <c r="M102" s="88"/>
      <c r="N102" s="88"/>
      <c r="O102" s="88"/>
    </row>
    <row r="103" spans="1:15" s="48" customFormat="1" ht="15.75" customHeight="1" x14ac:dyDescent="0.25">
      <c r="A103" s="847"/>
      <c r="B103" s="848"/>
      <c r="C103" s="62" t="str">
        <f t="array" ref="C103">IFERROR(INDEX('C'!$C$1:$C$2479, SMALL(IF($B$102 = 'C'!$A$1:$A$2479, ROW('C'!$A$1:$A$2479) -
ROW('C'!$A$2) + 2), ROW(2:2))),"")</f>
        <v>EKOBUSINGE</v>
      </c>
      <c r="D103" s="63" t="str">
        <f t="array" ref="D103">IFERROR(INDEX('C'!$B$1:$B$2479, SMALL(IF($B$102 = 'C'!$A$1:$A$2479, ROW('C'!$A$1:$A$2479) -
ROW('C'!$A$2) + 2), ROW(2:2))),"")</f>
        <v>SME</v>
      </c>
      <c r="E103" s="96">
        <f t="shared" si="12"/>
        <v>0</v>
      </c>
      <c r="F103" s="93">
        <f>SUMIF(Data!$N$2:$N$998,Disbursement!C103,Data!$D$2:$D$998)</f>
        <v>0</v>
      </c>
      <c r="G103" s="63">
        <f>IF(C103="",0,COUNTIF(Data!$N$2:$N$998,C103))</f>
        <v>0</v>
      </c>
      <c r="H103" s="63" t="str">
        <f>IF(C103="",0,CONCATENATE(COUNTIFS(Data!$N$2:$N$998,C103,Data!$O$2:$O$998,"New *")," New",", ",COUNTIFS(Data!$N$2:$N$998,C103,Data!$O$2:$O$998,"Repeat *")," Repeat"))</f>
        <v>0 New, 0 Repeat</v>
      </c>
      <c r="I103" s="132">
        <f>IF(OR(C103="DCOLLECTOR",C103="SAF2000",C103=""),"",VLOOKUP($C103,'C'!$C$1:$D$2479,2,FALSE))</f>
        <v>15</v>
      </c>
      <c r="J103" s="133">
        <f>IF(OR(C103="DCOLLECTOR",C103="SAF2000",C103=""),"",VLOOKUP($C103,'C'!$C$1:$E$2479,3,FALSE))</f>
        <v>100000000</v>
      </c>
      <c r="K103" s="134">
        <f t="shared" ref="K103:K128" si="13">IFERROR(IF(I103="",0,(G103)/I103),"")</f>
        <v>0</v>
      </c>
      <c r="L103" s="134">
        <f t="shared" ref="L103:L128" si="14">IFERROR(IF(J103="","",F103/J103),"")</f>
        <v>0</v>
      </c>
      <c r="M103" s="88"/>
      <c r="N103" s="88"/>
      <c r="O103" s="88"/>
    </row>
    <row r="104" spans="1:15" s="48" customFormat="1" ht="15" x14ac:dyDescent="0.25">
      <c r="A104" s="847"/>
      <c r="B104" s="848"/>
      <c r="C104" s="62" t="str">
        <f t="array" ref="C104">IFERROR(INDEX('C'!$C$1:$C$2479, SMALL(IF($B$102 = 'C'!$A$1:$A$2479, ROW('C'!$A$1:$A$2479) -
ROW('C'!$A$2) + 2), ROW(3:3))),"")</f>
        <v>ANABISERE</v>
      </c>
      <c r="D104" s="63" t="str">
        <f t="array" ref="D104">IFERROR(INDEX('C'!$B$1:$B$2479, SMALL(IF($B$102 = 'C'!$A$1:$A$2479, ROW('C'!$A$1:$A$2479) -
ROW('C'!$A$2) + 2), ROW(3:3))),"")</f>
        <v>SME</v>
      </c>
      <c r="E104" s="96">
        <f t="shared" si="12"/>
        <v>0</v>
      </c>
      <c r="F104" s="93">
        <f>SUMIF(Data!$N$2:$N$998,Disbursement!C104,Data!$D$2:$D$998)</f>
        <v>0</v>
      </c>
      <c r="G104" s="63">
        <f>IF(C104="",0,COUNTIF(Data!$N$2:$N$998,C104))</f>
        <v>0</v>
      </c>
      <c r="H104" s="63" t="str">
        <f>IF(C104="",0,CONCATENATE(COUNTIFS(Data!$N$2:$N$998,C104,Data!$O$2:$O$998,"New *")," New",", ",COUNTIFS(Data!$N$2:$N$998,C104,Data!$O$2:$O$998,"Repeat *")," Repeat"))</f>
        <v>0 New, 0 Repeat</v>
      </c>
      <c r="I104" s="132">
        <f>IF(OR(C104="DCOLLECTOR",C104="SAF2000",C104=""),"",VLOOKUP($C104,'C'!$C$1:$D$2479,2,FALSE))</f>
        <v>15</v>
      </c>
      <c r="J104" s="133">
        <f>IF(OR(C104="DCOLLECTOR",C104="SAF2000",C104=""),"",VLOOKUP($C104,'C'!$C$1:$E$2479,3,FALSE))</f>
        <v>100000000</v>
      </c>
      <c r="K104" s="134">
        <f t="shared" si="13"/>
        <v>0</v>
      </c>
      <c r="L104" s="134">
        <f t="shared" si="14"/>
        <v>0</v>
      </c>
      <c r="M104" s="88"/>
      <c r="N104" s="88"/>
      <c r="O104" s="88"/>
    </row>
    <row r="105" spans="1:15" s="48" customFormat="1" ht="15.6" thickBot="1" x14ac:dyDescent="0.3">
      <c r="A105" s="847"/>
      <c r="B105" s="848"/>
      <c r="C105" s="62" t="str">
        <f t="array" ref="C105">IFERROR(INDEX('C'!$C$1:$C$2479, SMALL(IF($B$102 = 'C'!$A$1:$A$2479, ROW('C'!$A$1:$A$2479) -
ROW('C'!$A$2) + 2), ROW(4:4))),"")</f>
        <v>AMWEBE</v>
      </c>
      <c r="D105" s="63" t="str">
        <f t="array" ref="D105">IFERROR(INDEX('C'!$B$1:$B$2479, SMALL(IF($B$102 = 'C'!$A$1:$A$2479, ROW('C'!$A$1:$A$2479) -
ROW('C'!$A$2) + 2), ROW(4:4))),"")</f>
        <v>WTM</v>
      </c>
      <c r="E105" s="96">
        <f t="shared" si="12"/>
        <v>3.8424644283007944E-2</v>
      </c>
      <c r="F105" s="93">
        <f>SUMIF(Data!$N$2:$N$998,Disbursement!C105,Data!$D$2:$D$998)</f>
        <v>6800000</v>
      </c>
      <c r="G105" s="63">
        <f>IF(C105="",0,COUNTIF(Data!$N$2:$N$998,C105))</f>
        <v>1</v>
      </c>
      <c r="H105" s="63" t="str">
        <f>IF(C105="",0,CONCATENATE(COUNTIFS(Data!$N$2:$N$998,C105,Data!$O$2:$O$998,"New *")," New",", ",COUNTIFS(Data!$N$2:$N$998,C105,Data!$O$2:$O$998,"Repeat *")," Repeat"))</f>
        <v>0 New, 1 Repeat</v>
      </c>
      <c r="I105" s="132">
        <f>IF(OR(C105="DCOLLECTOR",C105="SAF2000",C105=""),"",VLOOKUP($C105,'C'!$C$1:$D$2479,2,FALSE))</f>
        <v>10</v>
      </c>
      <c r="J105" s="133">
        <f>IF(OR(C105="DCOLLECTOR",C105="SAF2000",C105=""),"",VLOOKUP($C105,'C'!$C$1:$E$2479,3,FALSE))</f>
        <v>85000000</v>
      </c>
      <c r="K105" s="134">
        <f t="shared" si="13"/>
        <v>0.1</v>
      </c>
      <c r="L105" s="134">
        <f t="shared" si="14"/>
        <v>0.08</v>
      </c>
      <c r="M105" s="88"/>
      <c r="N105" s="88"/>
      <c r="O105" s="88"/>
    </row>
    <row r="106" spans="1:15" s="48" customFormat="1" ht="16.5" hidden="1" customHeight="1" thickBot="1" x14ac:dyDescent="0.3">
      <c r="A106" s="847"/>
      <c r="B106" s="848"/>
      <c r="C106" s="62" t="str">
        <f t="array" ref="C106">IFERROR(INDEX('C'!$C$1:$C$2479, SMALL(IF($B$102 = 'C'!$A$1:$A$2479, ROW('C'!$A$1:$A$2479) -
ROW('C'!$A$2) + 2), ROW(5:5))),"")</f>
        <v/>
      </c>
      <c r="D106" s="63" t="str">
        <f t="array" ref="D106">IFERROR(INDEX('C'!$B$1:$B$2479, SMALL(IF($B$102 = 'C'!$A$1:$A$2479, ROW('C'!$A$1:$A$2479) -
ROW('C'!$A$2) + 2), ROW(5:5))),"")</f>
        <v/>
      </c>
      <c r="E106" s="96">
        <f t="shared" si="12"/>
        <v>0</v>
      </c>
      <c r="F106" s="93">
        <f>SUMIF(Data!$N$2:$N$998,Disbursement!C106,Data!$D$2:$D$998)</f>
        <v>0</v>
      </c>
      <c r="G106" s="63">
        <f>IF(C106="",0,COUNTIF(Data!$N$2:$N$998,C106))</f>
        <v>0</v>
      </c>
      <c r="H106" s="63">
        <f>IF(C106="",0,CONCATENATE(COUNTIFS(Data!$N$2:$N$998,C106,Data!$O$2:$O$998,"New *")," New",", ",COUNTIFS(Data!$N$2:$N$998,C106,Data!$O$2:$O$998,"Repeat *")," Repeat"))</f>
        <v>0</v>
      </c>
      <c r="I106" s="132" t="str">
        <f>IF(OR(C106="DCOLLECTOR",C106="SAF2000",C106=""),"",VLOOKUP($C106,'C'!$C$1:$D$2479,2,FALSE))</f>
        <v/>
      </c>
      <c r="J106" s="133" t="str">
        <f>IF(OR(C106="DCOLLECTOR",C106="SAF2000",C106=""),"",VLOOKUP($C106,'C'!$C$1:$E$2479,3,FALSE))</f>
        <v/>
      </c>
      <c r="K106" s="134">
        <f t="shared" si="13"/>
        <v>0</v>
      </c>
      <c r="L106" s="134" t="str">
        <f t="shared" si="14"/>
        <v/>
      </c>
      <c r="M106" s="88"/>
      <c r="N106" s="88"/>
      <c r="O106" s="88"/>
    </row>
    <row r="107" spans="1:15" s="48" customFormat="1" ht="0.75" hidden="1" customHeight="1" x14ac:dyDescent="0.25">
      <c r="A107" s="847"/>
      <c r="B107" s="848"/>
      <c r="C107" s="62" t="str">
        <f t="array" ref="C107">IFERROR(INDEX('C'!$C$1:$C$2479, SMALL(IF($B$102 = 'C'!$A$1:$A$2479, ROW('C'!$A$1:$A$2479) -
ROW('C'!$A$2) + 2), ROW(6:6))),"")</f>
        <v/>
      </c>
      <c r="D107" s="63" t="str">
        <f t="array" ref="D107">IFERROR(INDEX('C'!$B$1:$B$2479, SMALL(IF($B$102 = 'C'!$A$1:$A$2479, ROW('C'!$A$1:$A$2479) -
ROW('C'!$A$2) + 2), ROW(6:6))),"")</f>
        <v/>
      </c>
      <c r="E107" s="96">
        <f t="shared" si="12"/>
        <v>0</v>
      </c>
      <c r="F107" s="93">
        <f>SUMIF(Data!$N$2:$N$998,Disbursement!C107,Data!$D$2:$D$998)</f>
        <v>0</v>
      </c>
      <c r="G107" s="63">
        <f>IF(C107="",0,COUNTIF(Data!$N$2:$N$998,C107))</f>
        <v>0</v>
      </c>
      <c r="H107" s="63">
        <f>IF(C107="",0,CONCATENATE(COUNTIFS(Data!$N$2:$N$998,C107,Data!$O$2:$O$998,"New *")," New",", ",COUNTIFS(Data!$N$2:$N$998,C107,Data!$O$2:$O$998,"Repeat *")," Repeat"))</f>
        <v>0</v>
      </c>
      <c r="I107" s="132" t="str">
        <f>IF(OR(C107="DCOLLECTOR",C107="SAF2000",C107=""),"",VLOOKUP($C107,'C'!$C$1:$D$2479,2,FALSE))</f>
        <v/>
      </c>
      <c r="J107" s="133" t="str">
        <f>IF(OR(C107="DCOLLECTOR",C107="SAF2000",C107=""),"",VLOOKUP($C107,'C'!$C$1:$E$2479,3,FALSE))</f>
        <v/>
      </c>
      <c r="K107" s="134">
        <f t="shared" si="13"/>
        <v>0</v>
      </c>
      <c r="L107" s="134" t="str">
        <f t="shared" si="14"/>
        <v/>
      </c>
      <c r="M107" s="88"/>
      <c r="N107" s="88"/>
      <c r="O107" s="88"/>
    </row>
    <row r="108" spans="1:15" s="48" customFormat="1" ht="2.25" hidden="1" customHeight="1" thickBot="1" x14ac:dyDescent="0.3">
      <c r="A108" s="847"/>
      <c r="B108" s="848"/>
      <c r="C108" s="62" t="str">
        <f t="array" ref="C108">IFERROR(INDEX('C'!$C$1:$C$2479, SMALL(IF($B$102 = 'C'!$A$1:$A$2479, ROW('C'!$A$1:$A$2479) -
ROW('C'!$A$2) + 2), ROW(7:7))),"")</f>
        <v/>
      </c>
      <c r="D108" s="63" t="str">
        <f t="array" ref="D108">IFERROR(INDEX('C'!$B$1:$B$2479, SMALL(IF($B$102 = 'C'!$A$1:$A$2479, ROW('C'!$A$1:$A$2479) -
ROW('C'!$A$2) + 2), ROW(8:8))),"")</f>
        <v/>
      </c>
      <c r="E108" s="96">
        <f t="shared" si="12"/>
        <v>0</v>
      </c>
      <c r="F108" s="93">
        <f>SUMIF(Data!$N$2:$N$998,Disbursement!C108,Data!$D$2:$D$998)</f>
        <v>0</v>
      </c>
      <c r="G108" s="63">
        <f>IF(C108="",0,COUNTIF(Data!$N$2:$N$998,C108))</f>
        <v>0</v>
      </c>
      <c r="H108" s="63">
        <f>IF(C108="",0,CONCATENATE(COUNTIFS(Data!$N$2:$N$998,C108,Data!$O$2:$O$998,"New *")," New",", ",COUNTIFS(Data!$N$2:$N$998,C108,Data!$O$2:$O$998,"Repeat *")," Repeat"))</f>
        <v>0</v>
      </c>
      <c r="I108" s="132" t="str">
        <f>IF(OR(C108="DCOLLECTOR",C108="SAF2000",C108=""),"",VLOOKUP($C108,'C'!$C$1:$D$2479,2,FALSE))</f>
        <v/>
      </c>
      <c r="J108" s="133" t="str">
        <f>IF(OR(C108="DCOLLECTOR",C108="SAF2000",C108=""),"",VLOOKUP($C108,'C'!$C$1:$E$2479,3,FALSE))</f>
        <v/>
      </c>
      <c r="K108" s="134">
        <f t="shared" si="13"/>
        <v>0</v>
      </c>
      <c r="L108" s="134" t="str">
        <f t="shared" si="14"/>
        <v/>
      </c>
      <c r="M108" s="88"/>
      <c r="N108" s="88"/>
      <c r="O108" s="88"/>
    </row>
    <row r="109" spans="1:15" s="48" customFormat="1" ht="15" hidden="1" x14ac:dyDescent="0.25">
      <c r="A109" s="847"/>
      <c r="B109" s="848"/>
      <c r="C109" s="62" t="str">
        <f t="array" ref="C109">IFERROR(INDEX('C'!$C$1:$C$2479, SMALL(IF($B$102 = 'C'!$A$1:$A$2479, ROW('C'!$A$1:$A$2479) -
ROW('C'!$A$2) + 2), ROW(8:8))),"")</f>
        <v/>
      </c>
      <c r="D109" s="63" t="str">
        <f t="array" ref="D109">IFERROR(INDEX('C'!$B$1:$B$2479, SMALL(IF($B$102 = 'C'!$A$1:$A$2479, ROW('C'!$A$1:$A$2479) -
ROW('C'!$A$2) + 2), ROW(9:9))),"")</f>
        <v/>
      </c>
      <c r="E109" s="96">
        <f t="shared" si="12"/>
        <v>0</v>
      </c>
      <c r="F109" s="93">
        <f>SUMIF(Data!$N$2:$N$998,Disbursement!C109,Data!$D$2:$D$998)</f>
        <v>0</v>
      </c>
      <c r="G109" s="63">
        <f>IF(C109="",0,COUNTIF(Data!$N$2:$N$998,C109))</f>
        <v>0</v>
      </c>
      <c r="H109" s="63">
        <f>IF(C109="",0,CONCATENATE(COUNTIFS(Data!$N$2:$N$998,C109,Data!$O$2:$O$998,"New *")," New",", ",COUNTIFS(Data!$N$2:$N$998,C109,Data!$O$2:$O$998,"Repeat *")," Repeat"))</f>
        <v>0</v>
      </c>
      <c r="I109" s="132" t="str">
        <f>IF(OR(C109="DCOLLECTOR",C109="SAF2000",C109=""),"",VLOOKUP($C109,'C'!$C$1:$D$2479,2,FALSE))</f>
        <v/>
      </c>
      <c r="J109" s="133" t="str">
        <f>IF(OR(C109="DCOLLECTOR",C109="SAF2000",C109=""),"",VLOOKUP($C109,'C'!$C$1:$E$2479,3,FALSE))</f>
        <v/>
      </c>
      <c r="K109" s="134">
        <f t="shared" si="13"/>
        <v>0</v>
      </c>
      <c r="L109" s="134" t="str">
        <f t="shared" si="14"/>
        <v/>
      </c>
      <c r="M109" s="88"/>
      <c r="N109" s="88"/>
      <c r="O109" s="88"/>
    </row>
    <row r="110" spans="1:15" s="48" customFormat="1" ht="15" hidden="1" x14ac:dyDescent="0.25">
      <c r="A110" s="847"/>
      <c r="B110" s="848"/>
      <c r="C110" s="62" t="str">
        <f t="array" ref="C110">IFERROR(INDEX('C'!$C$1:$C$2479, SMALL(IF($B$102 = 'C'!$A$1:$A$2479, ROW('C'!$A$1:$A$2479) -
ROW('C'!$A$2) + 2), ROW(9:9))),"")</f>
        <v/>
      </c>
      <c r="D110" s="63" t="str">
        <f t="array" ref="D110">IFERROR(INDEX('C'!$B$1:$B$2479, SMALL(IF($B$102 = 'C'!$A$1:$A$2479, ROW('C'!$A$1:$A$2479) -
ROW('C'!$A$2) + 2), ROW(10:10))),"")</f>
        <v/>
      </c>
      <c r="E110" s="96">
        <f t="shared" si="12"/>
        <v>0</v>
      </c>
      <c r="F110" s="93">
        <f>SUMIF(Data!$N$2:$N$998,Disbursement!C110,Data!$D$2:$D$998)</f>
        <v>0</v>
      </c>
      <c r="G110" s="63">
        <f>IF(C110="",0,COUNTIF(Data!$N$2:$N$998,C110))</f>
        <v>0</v>
      </c>
      <c r="H110" s="63">
        <f>IF(C110="",0,CONCATENATE(COUNTIFS(Data!$N$2:$N$998,C110,Data!$O$2:$O$998,"New *")," New",", ",COUNTIFS(Data!$N$2:$N$998,C110,Data!$O$2:$O$998,"Repeat *")," Repeat"))</f>
        <v>0</v>
      </c>
      <c r="I110" s="132" t="str">
        <f>IF(OR(C110="DCOLLECTOR",C110="SAF2000",C110=""),"",VLOOKUP($C110,'C'!$C$1:$D$2479,2,FALSE))</f>
        <v/>
      </c>
      <c r="J110" s="133" t="str">
        <f>IF(OR(C110="DCOLLECTOR",C110="SAF2000",C110=""),"",VLOOKUP($C110,'C'!$C$1:$E$2479,3,FALSE))</f>
        <v/>
      </c>
      <c r="K110" s="134">
        <f t="shared" si="13"/>
        <v>0</v>
      </c>
      <c r="L110" s="134" t="str">
        <f t="shared" si="14"/>
        <v/>
      </c>
      <c r="M110" s="88"/>
      <c r="N110" s="88"/>
      <c r="O110" s="88"/>
    </row>
    <row r="111" spans="1:15" s="48" customFormat="1" ht="15" hidden="1" x14ac:dyDescent="0.25">
      <c r="A111" s="847"/>
      <c r="B111" s="848"/>
      <c r="C111" s="62" t="str">
        <f t="array" ref="C111">IFERROR(INDEX('C'!$C$1:$C$2479, SMALL(IF($B$102 = 'C'!$A$1:$A$2479, ROW('C'!$A$1:$A$2479) -
ROW('C'!$A$2) + 2), ROW(10:10))),"")</f>
        <v/>
      </c>
      <c r="D111" s="63" t="str">
        <f t="array" ref="D111">IFERROR(INDEX('C'!$B$1:$B$2479, SMALL(IF($B$102 = 'C'!$A$1:$A$2479, ROW('C'!$A$1:$A$2479) -
ROW('C'!$A$2) + 2), ROW(11:11))),"")</f>
        <v/>
      </c>
      <c r="E111" s="96">
        <f t="shared" si="12"/>
        <v>0</v>
      </c>
      <c r="F111" s="93">
        <f>SUMIF(Data!$N$2:$N$998,Disbursement!C111,Data!$D$2:$D$998)</f>
        <v>0</v>
      </c>
      <c r="G111" s="63">
        <f>IF(C111="",0,COUNTIF(Data!$N$2:$N$998,C111))</f>
        <v>0</v>
      </c>
      <c r="H111" s="63">
        <f>IF(C111="",0,CONCATENATE(COUNTIFS(Data!$N$2:$N$998,C111,Data!$O$2:$O$998,"New *")," New",", ",COUNTIFS(Data!$N$2:$N$998,C111,Data!$O$2:$O$998,"Repeat *")," Repeat"))</f>
        <v>0</v>
      </c>
      <c r="I111" s="132" t="str">
        <f>IF(OR(C111="DCOLLECTOR",C111="SAF2000",C111=""),"",VLOOKUP($C111,'C'!$C$1:$D$2479,2,FALSE))</f>
        <v/>
      </c>
      <c r="J111" s="133" t="str">
        <f>IF(OR(C111="DCOLLECTOR",C111="SAF2000",C111=""),"",VLOOKUP($C111,'C'!$C$1:$E$2479,3,FALSE))</f>
        <v/>
      </c>
      <c r="K111" s="134">
        <f t="shared" si="13"/>
        <v>0</v>
      </c>
      <c r="L111" s="134" t="str">
        <f t="shared" si="14"/>
        <v/>
      </c>
      <c r="M111" s="88"/>
      <c r="N111" s="88"/>
      <c r="O111" s="88"/>
    </row>
    <row r="112" spans="1:15" s="48" customFormat="1" ht="15" hidden="1" x14ac:dyDescent="0.25">
      <c r="A112" s="847"/>
      <c r="B112" s="848"/>
      <c r="C112" s="62" t="str">
        <f t="array" ref="C112">IFERROR(INDEX('C'!$C$1:$C$2479, SMALL(IF($B$102 = 'C'!$A$1:$A$2479, ROW('C'!$A$1:$A$2479) -
ROW('C'!$A$2) + 2), ROW(11:11))),"")</f>
        <v/>
      </c>
      <c r="D112" s="63" t="str">
        <f t="array" ref="D112">IFERROR(INDEX('C'!$B$1:$B$2479, SMALL(IF($B$102 = 'C'!$A$1:$A$2479, ROW('C'!$A$1:$A$2479) -
ROW('C'!$A$2) + 2), ROW(12:12))),"")</f>
        <v/>
      </c>
      <c r="E112" s="96">
        <f t="shared" si="12"/>
        <v>0</v>
      </c>
      <c r="F112" s="93">
        <f>SUMIF(Data!$N$2:$N$998,Disbursement!C112,Data!$D$2:$D$998)</f>
        <v>0</v>
      </c>
      <c r="G112" s="63">
        <f>IF(C112="",0,COUNTIF(Data!$N$2:$N$998,C112))</f>
        <v>0</v>
      </c>
      <c r="H112" s="63">
        <f>IF(C112="",0,CONCATENATE(COUNTIFS(Data!$N$2:$N$998,C112,Data!$O$2:$O$998,"New *")," New",", ",COUNTIFS(Data!$N$2:$N$998,C112,Data!$O$2:$O$998,"Repeat *")," Repeat"))</f>
        <v>0</v>
      </c>
      <c r="I112" s="132" t="str">
        <f>IF(OR(C112="DCOLLECTOR",C112="SAF2000",C112=""),"",VLOOKUP($C112,'C'!$C$1:$D$2479,2,FALSE))</f>
        <v/>
      </c>
      <c r="J112" s="133" t="str">
        <f>IF(OR(C112="DCOLLECTOR",C112="SAF2000",C112=""),"",VLOOKUP($C112,'C'!$C$1:$E$2479,3,FALSE))</f>
        <v/>
      </c>
      <c r="K112" s="134">
        <f t="shared" si="13"/>
        <v>0</v>
      </c>
      <c r="L112" s="134" t="str">
        <f t="shared" si="14"/>
        <v/>
      </c>
      <c r="M112" s="88"/>
      <c r="N112" s="88"/>
      <c r="O112" s="88"/>
    </row>
    <row r="113" spans="1:15" s="48" customFormat="1" ht="8.25" hidden="1" customHeight="1" x14ac:dyDescent="0.25">
      <c r="A113" s="847"/>
      <c r="B113" s="848"/>
      <c r="C113" s="62" t="str">
        <f t="array" ref="C113">IFERROR(INDEX('C'!$C$1:$C$2479, SMALL(IF($B$102 = 'C'!$A$1:$A$2479, ROW('C'!$A$1:$A$2479) -
ROW('C'!$A$2) + 2), ROW(12:12))),"")</f>
        <v/>
      </c>
      <c r="D113" s="63" t="str">
        <f t="array" ref="D113">IFERROR(INDEX('C'!$B$1:$B$2479, SMALL(IF($B$102 = 'C'!$A$1:$A$2479, ROW('C'!$A$1:$A$2479) -
ROW('C'!$A$2) + 2), ROW(#REF!))),"")</f>
        <v/>
      </c>
      <c r="E113" s="96">
        <f t="shared" si="12"/>
        <v>0</v>
      </c>
      <c r="F113" s="93">
        <f>SUMIF(Data!$N$2:$N$998,Disbursement!C113,Data!$D$2:$D$998)</f>
        <v>0</v>
      </c>
      <c r="G113" s="63">
        <f>IF(C113="",0,COUNTIF(Data!$N$2:$N$998,C113))</f>
        <v>0</v>
      </c>
      <c r="H113" s="63">
        <f>IF(C113="",0,CONCATENATE(COUNTIFS(Data!$N$2:$N$998,C113,Data!$O$2:$O$998,"New *")," New",", ",COUNTIFS(Data!$N$2:$N$998,C113,Data!$O$2:$O$998,"Repeat *")," Repeat"))</f>
        <v>0</v>
      </c>
      <c r="I113" s="132" t="str">
        <f>IF(OR(C113="DCOLLECTOR",C113="SAF2000",C113=""),"",VLOOKUP($C113,'C'!$C$1:$D$2479,2,FALSE))</f>
        <v/>
      </c>
      <c r="J113" s="133" t="str">
        <f>IF(OR(C113="DCOLLECTOR",C113="SAF2000",C113=""),"",VLOOKUP($C113,'C'!$C$1:$E$2479,3,FALSE))</f>
        <v/>
      </c>
      <c r="K113" s="134">
        <f t="shared" si="13"/>
        <v>0</v>
      </c>
      <c r="L113" s="134" t="str">
        <f t="shared" si="14"/>
        <v/>
      </c>
      <c r="M113" s="88"/>
      <c r="N113" s="88"/>
      <c r="O113" s="88"/>
    </row>
    <row r="114" spans="1:15" s="48" customFormat="1" ht="15" hidden="1" x14ac:dyDescent="0.25">
      <c r="A114" s="847"/>
      <c r="B114" s="848"/>
      <c r="C114" s="62" t="str">
        <f t="array" ref="C114">IFERROR(INDEX('C'!$C$1:$C$2479, SMALL(IF($B$102 = 'C'!$A$1:$A$2479, ROW('C'!$A$1:$A$2479) -
ROW('C'!$A$2) + 2), ROW(13:13))),"")</f>
        <v/>
      </c>
      <c r="D114" s="63" t="str">
        <f t="array" ref="D114">IFERROR(INDEX('C'!$B$1:$B$2479, SMALL(IF($B$102 = 'C'!$A$1:$A$2479, ROW('C'!$A$1:$A$2479) -
ROW('C'!$A$2) + 2), ROW(13:13))),"")</f>
        <v/>
      </c>
      <c r="E114" s="96">
        <f t="shared" si="12"/>
        <v>0</v>
      </c>
      <c r="F114" s="93">
        <f>SUMIF(Data!$N$2:$N$998,Disbursement!C114,Data!$D$2:$D$998)</f>
        <v>0</v>
      </c>
      <c r="G114" s="63">
        <f>IF(C114="",0,COUNTIF(Data!$N$2:$N$998,C114))</f>
        <v>0</v>
      </c>
      <c r="H114" s="63">
        <f>IF(C114="",0,CONCATENATE(COUNTIFS(Data!$N$2:$N$998,C114,Data!$O$2:$O$998,"New *")," New",", ",COUNTIFS(Data!$N$2:$N$998,C114,Data!$O$2:$O$998,"Repeat *")," Repeat"))</f>
        <v>0</v>
      </c>
      <c r="I114" s="132" t="str">
        <f>IF(OR(C114="DCOLLECTOR",C114="SAF2000",C114=""),"",VLOOKUP($C114,'C'!$C$1:$D$2479,2,FALSE))</f>
        <v/>
      </c>
      <c r="J114" s="133" t="str">
        <f>IF(OR(C114="DCOLLECTOR",C114="SAF2000",C114=""),"",VLOOKUP($C114,'C'!$C$1:$E$2479,3,FALSE))</f>
        <v/>
      </c>
      <c r="K114" s="134">
        <f t="shared" si="13"/>
        <v>0</v>
      </c>
      <c r="L114" s="134" t="str">
        <f t="shared" si="14"/>
        <v/>
      </c>
      <c r="M114" s="88"/>
      <c r="N114" s="88"/>
      <c r="O114" s="88"/>
    </row>
    <row r="115" spans="1:15" s="48" customFormat="1" ht="15" hidden="1" x14ac:dyDescent="0.25">
      <c r="A115" s="847"/>
      <c r="B115" s="848"/>
      <c r="C115" s="62" t="str">
        <f t="array" ref="C115">IFERROR(INDEX('C'!$C$1:$C$2479, SMALL(IF($B$102 = 'C'!$A$1:$A$2479, ROW('C'!$A$1:$A$2479) -
ROW('C'!$A$2) + 2), ROW(14:14))),"")</f>
        <v/>
      </c>
      <c r="D115" s="63" t="str">
        <f t="array" ref="D115">IFERROR(INDEX('C'!$B$1:$B$2479, SMALL(IF($B$102 = 'C'!$A$1:$A$2479, ROW('C'!$A$1:$A$2479) -
ROW('C'!$A$2) + 2), ROW(14:14))),"")</f>
        <v/>
      </c>
      <c r="E115" s="96">
        <f t="shared" si="12"/>
        <v>0</v>
      </c>
      <c r="F115" s="93">
        <f>SUMIF(Data!$N$2:$N$998,Disbursement!C115,Data!$D$2:$D$998)</f>
        <v>0</v>
      </c>
      <c r="G115" s="63">
        <f>IF(C115="",0,COUNTIF(Data!$N$2:$N$998,C115))</f>
        <v>0</v>
      </c>
      <c r="H115" s="63">
        <f>IF(C115="",0,CONCATENATE(COUNTIFS(Data!$N$2:$N$998,C115,Data!$O$2:$O$998,"New *")," New",", ",COUNTIFS(Data!$N$2:$N$998,C115,Data!$O$2:$O$998,"Repeat *")," Repeat"))</f>
        <v>0</v>
      </c>
      <c r="I115" s="132" t="str">
        <f>IF(OR(C115="DCOLLECTOR",C115="SAF2000",C115=""),"",VLOOKUP($C115,'C'!$C$1:$D$2479,2,FALSE))</f>
        <v/>
      </c>
      <c r="J115" s="133" t="str">
        <f>IF(OR(C115="DCOLLECTOR",C115="SAF2000",C115=""),"",VLOOKUP($C115,'C'!$C$1:$E$2479,3,FALSE))</f>
        <v/>
      </c>
      <c r="K115" s="134">
        <f t="shared" si="13"/>
        <v>0</v>
      </c>
      <c r="L115" s="134" t="str">
        <f t="shared" si="14"/>
        <v/>
      </c>
      <c r="M115" s="88"/>
      <c r="N115" s="88"/>
      <c r="O115" s="88"/>
    </row>
    <row r="116" spans="1:15" s="48" customFormat="1" ht="15" hidden="1" x14ac:dyDescent="0.25">
      <c r="A116" s="847"/>
      <c r="B116" s="848"/>
      <c r="C116" s="62" t="str">
        <f t="array" ref="C116">IFERROR(INDEX('C'!$C$1:$C$2479, SMALL(IF($B$102 = 'C'!$A$1:$A$2479, ROW('C'!$A$1:$A$2479) -
ROW('C'!$A$2) + 2), ROW(15:15))),"")</f>
        <v/>
      </c>
      <c r="D116" s="63" t="str">
        <f t="array" ref="D116">IFERROR(INDEX('C'!$B$1:$B$2479, SMALL(IF($B$102 = 'C'!$A$1:$A$2479, ROW('C'!$A$1:$A$2479) -
ROW('C'!$A$2) + 2), ROW(15:15))),"")</f>
        <v/>
      </c>
      <c r="E116" s="96">
        <f t="shared" si="12"/>
        <v>0</v>
      </c>
      <c r="F116" s="93">
        <f>SUMIF(Data!$N$2:$N$998,Disbursement!C116,Data!$D$2:$D$998)</f>
        <v>0</v>
      </c>
      <c r="G116" s="63">
        <f>IF(C116="",0,COUNTIF(Data!$N$2:$N$998,C116))</f>
        <v>0</v>
      </c>
      <c r="H116" s="63">
        <f>IF(C116="",0,CONCATENATE(COUNTIFS(Data!$N$2:$N$998,C116,Data!$O$2:$O$998,"New *")," New",", ",COUNTIFS(Data!$N$2:$N$998,C116,Data!$O$2:$O$998,"Repeat *")," Repeat"))</f>
        <v>0</v>
      </c>
      <c r="I116" s="132" t="str">
        <f>IF(OR(C116="DCOLLECTOR",C116="SAF2000",C116=""),"",VLOOKUP($C116,'C'!$C$1:$D$2479,2,FALSE))</f>
        <v/>
      </c>
      <c r="J116" s="133" t="str">
        <f>IF(OR(C116="DCOLLECTOR",C116="SAF2000",C116=""),"",VLOOKUP($C116,'C'!$C$1:$E$2479,3,FALSE))</f>
        <v/>
      </c>
      <c r="K116" s="134">
        <f t="shared" si="13"/>
        <v>0</v>
      </c>
      <c r="L116" s="134" t="str">
        <f t="shared" si="14"/>
        <v/>
      </c>
      <c r="M116" s="88"/>
      <c r="N116" s="88"/>
      <c r="O116" s="88"/>
    </row>
    <row r="117" spans="1:15" s="48" customFormat="1" ht="15" hidden="1" x14ac:dyDescent="0.25">
      <c r="A117" s="847"/>
      <c r="B117" s="848"/>
      <c r="C117" s="62" t="str">
        <f t="array" ref="C117">IFERROR(INDEX('C'!$C$1:$C$2479, SMALL(IF($B$102 = 'C'!$A$1:$A$2479, ROW('C'!$A$1:$A$2479) -
ROW('C'!$A$2) + 2), ROW(16:16))),"")</f>
        <v/>
      </c>
      <c r="D117" s="63" t="str">
        <f t="array" ref="D117">IFERROR(INDEX('C'!$B$1:$B$2479, SMALL(IF($B$102 = 'C'!$A$1:$A$2479, ROW('C'!$A$1:$A$2479) -
ROW('C'!$A$2) + 2), ROW(16:16))),"")</f>
        <v/>
      </c>
      <c r="E117" s="96">
        <f t="shared" si="12"/>
        <v>0</v>
      </c>
      <c r="F117" s="93">
        <f>SUMIF(Data!$N$2:$N$998,Disbursement!C117,Data!$D$2:$D$998)</f>
        <v>0</v>
      </c>
      <c r="G117" s="63">
        <f>IF(C117="",0,COUNTIF(Data!$N$2:$N$998,C117))</f>
        <v>0</v>
      </c>
      <c r="H117" s="63">
        <f>IF(C117="",0,CONCATENATE(COUNTIFS(Data!$N$2:$N$998,C117,Data!$O$2:$O$998,"New *")," New",", ",COUNTIFS(Data!$N$2:$N$998,C117,Data!$O$2:$O$998,"Repeat *")," Repeat"))</f>
        <v>0</v>
      </c>
      <c r="I117" s="132" t="str">
        <f>IF(OR(C117="DCOLLECTOR",C117="SAF2000",C117=""),"",VLOOKUP($C117,'C'!$C$1:$D$2479,2,FALSE))</f>
        <v/>
      </c>
      <c r="J117" s="133" t="str">
        <f>IF(OR(C117="DCOLLECTOR",C117="SAF2000",C117=""),"",VLOOKUP($C117,'C'!$C$1:$E$2479,3,FALSE))</f>
        <v/>
      </c>
      <c r="K117" s="134">
        <f t="shared" si="13"/>
        <v>0</v>
      </c>
      <c r="L117" s="134" t="str">
        <f t="shared" si="14"/>
        <v/>
      </c>
      <c r="M117" s="88"/>
      <c r="N117" s="88"/>
      <c r="O117" s="88"/>
    </row>
    <row r="118" spans="1:15" s="48" customFormat="1" ht="15" hidden="1" x14ac:dyDescent="0.25">
      <c r="A118" s="847"/>
      <c r="B118" s="848"/>
      <c r="C118" s="62" t="str">
        <f t="array" ref="C118">IFERROR(INDEX('C'!$C$1:$C$2479, SMALL(IF($B$102 = 'C'!$A$1:$A$2479, ROW('C'!$A$1:$A$2479) -
ROW('C'!$A$2) + 2), ROW(17:17))),"")</f>
        <v/>
      </c>
      <c r="D118" s="63" t="str">
        <f t="array" ref="D118">IFERROR(INDEX('C'!$B$1:$B$2479, SMALL(IF($B$102 = 'C'!$A$1:$A$2479, ROW('C'!$A$1:$A$2479) -
ROW('C'!$A$2) + 2), ROW(17:17))),"")</f>
        <v/>
      </c>
      <c r="E118" s="96">
        <f t="shared" si="12"/>
        <v>0</v>
      </c>
      <c r="F118" s="93">
        <f>SUMIF(Data!$N$2:$N$998,Disbursement!C118,Data!$D$2:$D$998)</f>
        <v>0</v>
      </c>
      <c r="G118" s="63">
        <f>IF(C118="",0,COUNTIF(Data!$N$2:$N$998,C118))</f>
        <v>0</v>
      </c>
      <c r="H118" s="63">
        <f>IF(C118="",0,CONCATENATE(COUNTIFS(Data!$N$2:$N$998,C118,Data!$O$2:$O$998,"New *")," New",", ",COUNTIFS(Data!$N$2:$N$998,C118,Data!$O$2:$O$998,"Repeat *")," Repeat"))</f>
        <v>0</v>
      </c>
      <c r="I118" s="132" t="str">
        <f>IF(OR(C118="DCOLLECTOR",C118="SAF2000",C118=""),"",VLOOKUP($C118,'C'!$C$1:$D$2479,2,FALSE))</f>
        <v/>
      </c>
      <c r="J118" s="133" t="str">
        <f>IF(OR(C118="DCOLLECTOR",C118="SAF2000",C118=""),"",VLOOKUP($C118,'C'!$C$1:$E$2479,3,FALSE))</f>
        <v/>
      </c>
      <c r="K118" s="134">
        <f t="shared" si="13"/>
        <v>0</v>
      </c>
      <c r="L118" s="134" t="str">
        <f t="shared" si="14"/>
        <v/>
      </c>
      <c r="M118" s="88"/>
      <c r="N118" s="88"/>
      <c r="O118" s="88"/>
    </row>
    <row r="119" spans="1:15" s="48" customFormat="1" ht="15" hidden="1" x14ac:dyDescent="0.25">
      <c r="A119" s="847"/>
      <c r="B119" s="848"/>
      <c r="C119" s="62" t="str">
        <f t="array" ref="C119">IFERROR(INDEX('C'!$C$1:$C$2479, SMALL(IF($B$102 = 'C'!$A$1:$A$2479, ROW('C'!$A$1:$A$2479) -
ROW('C'!$A$2) + 2), ROW(18:18))),"")</f>
        <v/>
      </c>
      <c r="D119" s="63" t="str">
        <f t="array" ref="D119">IFERROR(INDEX('C'!$B$1:$B$2479, SMALL(IF($B$102 = 'C'!$A$1:$A$2479, ROW('C'!$A$1:$A$2479) -
ROW('C'!$A$2) + 2), ROW(18:18))),"")</f>
        <v/>
      </c>
      <c r="E119" s="96">
        <f t="shared" si="12"/>
        <v>0</v>
      </c>
      <c r="F119" s="93">
        <f>SUMIF(Data!$N$2:$N$998,Disbursement!C119,Data!$D$2:$D$998)</f>
        <v>0</v>
      </c>
      <c r="G119" s="63">
        <f>IF(C119="",0,COUNTIF(Data!$N$2:$N$998,C119))</f>
        <v>0</v>
      </c>
      <c r="H119" s="63">
        <f>IF(C119="",0,CONCATENATE(COUNTIFS(Data!$N$2:$N$998,C119,Data!$O$2:$O$998,"New *")," New",", ",COUNTIFS(Data!$N$2:$N$998,C119,Data!$O$2:$O$998,"Repeat *")," Repeat"))</f>
        <v>0</v>
      </c>
      <c r="I119" s="132" t="str">
        <f>IF(OR(C119="DCOLLECTOR",C119="SAF2000",C119=""),"",VLOOKUP($C119,'C'!$C$1:$D$2479,2,FALSE))</f>
        <v/>
      </c>
      <c r="J119" s="133" t="str">
        <f>IF(OR(C119="DCOLLECTOR",C119="SAF2000",C119=""),"",VLOOKUP($C119,'C'!$C$1:$E$2479,3,FALSE))</f>
        <v/>
      </c>
      <c r="K119" s="134">
        <f t="shared" si="13"/>
        <v>0</v>
      </c>
      <c r="L119" s="134" t="str">
        <f t="shared" si="14"/>
        <v/>
      </c>
      <c r="M119" s="88"/>
      <c r="N119" s="88"/>
      <c r="O119" s="88"/>
    </row>
    <row r="120" spans="1:15" s="48" customFormat="1" ht="15" hidden="1" x14ac:dyDescent="0.25">
      <c r="A120" s="847"/>
      <c r="B120" s="848"/>
      <c r="C120" s="62" t="str">
        <f t="array" ref="C120">IFERROR(INDEX('C'!$C$1:$C$2479, SMALL(IF($B$102 = 'C'!$A$1:$A$2479, ROW('C'!$A$1:$A$2479) -
ROW('C'!$A$2) + 2), ROW(19:19))),"")</f>
        <v/>
      </c>
      <c r="D120" s="63" t="str">
        <f t="array" ref="D120">IFERROR(INDEX('C'!$B$1:$B$2479, SMALL(IF($B$102 = 'C'!$A$1:$A$2479, ROW('C'!$A$1:$A$2479) -
ROW('C'!$A$2) + 2), ROW(19:19))),"")</f>
        <v/>
      </c>
      <c r="E120" s="96">
        <f t="shared" si="12"/>
        <v>0</v>
      </c>
      <c r="F120" s="93">
        <f>SUMIF(Data!$N$2:$N$998,Disbursement!C120,Data!$D$2:$D$998)</f>
        <v>0</v>
      </c>
      <c r="G120" s="63">
        <f>IF(C120="",0,COUNTIF(Data!$N$2:$N$998,C120))</f>
        <v>0</v>
      </c>
      <c r="H120" s="63">
        <f>IF(C120="",0,CONCATENATE(COUNTIFS(Data!$N$2:$N$998,C120,Data!$O$2:$O$998,"New *")," New",", ",COUNTIFS(Data!$N$2:$N$998,C120,Data!$O$2:$O$998,"Repeat *")," Repeat"))</f>
        <v>0</v>
      </c>
      <c r="I120" s="132" t="str">
        <f>IF(OR(C120="DCOLLECTOR",C120="SAF2000",C120=""),"",VLOOKUP($C120,'C'!$C$1:$D$2479,2,FALSE))</f>
        <v/>
      </c>
      <c r="J120" s="133" t="str">
        <f>IF(OR(C120="DCOLLECTOR",C120="SAF2000",C120=""),"",VLOOKUP($C120,'C'!$C$1:$E$2479,3,FALSE))</f>
        <v/>
      </c>
      <c r="K120" s="134">
        <f t="shared" si="13"/>
        <v>0</v>
      </c>
      <c r="L120" s="134" t="str">
        <f t="shared" si="14"/>
        <v/>
      </c>
      <c r="M120" s="88"/>
      <c r="N120" s="88"/>
      <c r="O120" s="88"/>
    </row>
    <row r="121" spans="1:15" s="48" customFormat="1" ht="15" hidden="1" x14ac:dyDescent="0.25">
      <c r="A121" s="847"/>
      <c r="B121" s="848"/>
      <c r="C121" s="62" t="str">
        <f t="array" ref="C121">IFERROR(INDEX('C'!$C$1:$C$2479, SMALL(IF($B$102 = 'C'!$A$1:$A$2479, ROW('C'!$A$1:$A$2479) -
ROW('C'!$A$2) + 2), ROW(20:20))),"")</f>
        <v/>
      </c>
      <c r="D121" s="63" t="str">
        <f t="array" ref="D121">IFERROR(INDEX('C'!$B$1:$B$2479, SMALL(IF($B$102 = 'C'!$A$1:$A$2479, ROW('C'!$A$1:$A$2479) -
ROW('C'!$A$2) + 2), ROW(20:20))),"")</f>
        <v/>
      </c>
      <c r="E121" s="96">
        <f t="shared" si="12"/>
        <v>0</v>
      </c>
      <c r="F121" s="93">
        <f>SUMIF(Data!$N$2:$N$998,Disbursement!C121,Data!$D$2:$D$998)</f>
        <v>0</v>
      </c>
      <c r="G121" s="63">
        <f>IF(C121="",0,COUNTIF(Data!$N$2:$N$998,C121))</f>
        <v>0</v>
      </c>
      <c r="H121" s="63">
        <f>IF(C121="",0,CONCATENATE(COUNTIFS(Data!$N$2:$N$998,C121,Data!$O$2:$O$998,"New *")," New",", ",COUNTIFS(Data!$N$2:$N$998,C121,Data!$O$2:$O$998,"Repeat *")," Repeat"))</f>
        <v>0</v>
      </c>
      <c r="I121" s="132" t="str">
        <f>IF(OR(C121="DCOLLECTOR",C121="SAF2000",C121=""),"",VLOOKUP($C121,'C'!$C$1:$D$2479,2,FALSE))</f>
        <v/>
      </c>
      <c r="J121" s="133" t="str">
        <f>IF(OR(C121="DCOLLECTOR",C121="SAF2000",C121=""),"",VLOOKUP($C121,'C'!$C$1:$E$2479,3,FALSE))</f>
        <v/>
      </c>
      <c r="K121" s="134">
        <f t="shared" si="13"/>
        <v>0</v>
      </c>
      <c r="L121" s="134" t="str">
        <f t="shared" si="14"/>
        <v/>
      </c>
      <c r="M121" s="88"/>
      <c r="N121" s="88"/>
      <c r="O121" s="88"/>
    </row>
    <row r="122" spans="1:15" s="48" customFormat="1" ht="15" hidden="1" x14ac:dyDescent="0.25">
      <c r="A122" s="847"/>
      <c r="B122" s="848"/>
      <c r="C122" s="62" t="str">
        <f t="array" ref="C122">IFERROR(INDEX('C'!$C$1:$C$2479, SMALL(IF($B$102 = 'C'!$A$1:$A$2479, ROW('C'!$A$1:$A$2479) -
ROW('C'!$A$2) + 2), ROW(21:21))),"")</f>
        <v/>
      </c>
      <c r="D122" s="63" t="str">
        <f t="array" ref="D122">IFERROR(INDEX('C'!$B$1:$B$2479, SMALL(IF($B$102 = 'C'!$A$1:$A$2479, ROW('C'!$A$1:$A$2479) -
ROW('C'!$A$2) + 2), ROW(21:21))),"")</f>
        <v/>
      </c>
      <c r="E122" s="96">
        <f t="shared" si="12"/>
        <v>0</v>
      </c>
      <c r="F122" s="93">
        <f>SUMIF(Data!$N$2:$N$998,Disbursement!C122,Data!$D$2:$D$998)</f>
        <v>0</v>
      </c>
      <c r="G122" s="63">
        <f>IF(C122="",0,COUNTIF(Data!$N$2:$N$998,C122))</f>
        <v>0</v>
      </c>
      <c r="H122" s="63">
        <f>IF(C122="",0,CONCATENATE(COUNTIFS(Data!$N$2:$N$998,C122,Data!$O$2:$O$998,"New *")," New",", ",COUNTIFS(Data!$N$2:$N$998,C122,Data!$O$2:$O$998,"Repeat *")," Repeat"))</f>
        <v>0</v>
      </c>
      <c r="I122" s="132" t="str">
        <f>IF(OR(C122="DCOLLECTOR",C122="SAF2000",C122=""),"",VLOOKUP($C122,'C'!$C$1:$D$2479,2,FALSE))</f>
        <v/>
      </c>
      <c r="J122" s="133" t="str">
        <f>IF(OR(C122="DCOLLECTOR",C122="SAF2000",C122=""),"",VLOOKUP($C122,'C'!$C$1:$E$2479,3,FALSE))</f>
        <v/>
      </c>
      <c r="K122" s="134">
        <f t="shared" si="13"/>
        <v>0</v>
      </c>
      <c r="L122" s="134" t="str">
        <f t="shared" si="14"/>
        <v/>
      </c>
      <c r="M122" s="88"/>
      <c r="N122" s="88"/>
      <c r="O122" s="88"/>
    </row>
    <row r="123" spans="1:15" s="48" customFormat="1" ht="15" hidden="1" x14ac:dyDescent="0.25">
      <c r="A123" s="847"/>
      <c r="B123" s="848"/>
      <c r="C123" s="62" t="str">
        <f t="array" ref="C123">IFERROR(INDEX('C'!$C$1:$C$2479, SMALL(IF($B$102 = 'C'!$A$1:$A$2479, ROW('C'!$A$1:$A$2479) -
ROW('C'!$A$2) + 2), ROW(22:22))),"")</f>
        <v/>
      </c>
      <c r="D123" s="63" t="str">
        <f t="array" ref="D123">IFERROR(INDEX('C'!$B$1:$B$2479, SMALL(IF($B$102 = 'C'!$A$1:$A$2479, ROW('C'!$A$1:$A$2479) -
ROW('C'!$A$2) + 2), ROW(22:22))),"")</f>
        <v/>
      </c>
      <c r="E123" s="96">
        <f t="shared" si="12"/>
        <v>0</v>
      </c>
      <c r="F123" s="93">
        <f>SUMIF(Data!$N$2:$N$998,Disbursement!C123,Data!$D$2:$D$998)</f>
        <v>0</v>
      </c>
      <c r="G123" s="63">
        <f>IF(C123="",0,COUNTIF(Data!$N$2:$N$998,C123))</f>
        <v>0</v>
      </c>
      <c r="H123" s="63">
        <f>IF(C123="",0,CONCATENATE(COUNTIFS(Data!$N$2:$N$998,C123,Data!$O$2:$O$998,"New *")," New",", ",COUNTIFS(Data!$N$2:$N$998,C123,Data!$O$2:$O$998,"Repeat *")," Repeat"))</f>
        <v>0</v>
      </c>
      <c r="I123" s="132" t="str">
        <f>IF(OR(C123="DCOLLECTOR",C123="SAF2000",C123=""),"",VLOOKUP($C123,'C'!$C$1:$D$2479,2,FALSE))</f>
        <v/>
      </c>
      <c r="J123" s="133" t="str">
        <f>IF(OR(C123="DCOLLECTOR",C123="SAF2000",C123=""),"",VLOOKUP($C123,'C'!$C$1:$E$2479,3,FALSE))</f>
        <v/>
      </c>
      <c r="K123" s="134">
        <f t="shared" si="13"/>
        <v>0</v>
      </c>
      <c r="L123" s="134" t="str">
        <f t="shared" si="14"/>
        <v/>
      </c>
      <c r="M123" s="88"/>
      <c r="N123" s="88"/>
      <c r="O123" s="88"/>
    </row>
    <row r="124" spans="1:15" s="48" customFormat="1" ht="15" hidden="1" x14ac:dyDescent="0.25">
      <c r="A124" s="847"/>
      <c r="B124" s="848"/>
      <c r="C124" s="62" t="str">
        <f t="array" ref="C124">IFERROR(INDEX('C'!$C$1:$C$2479, SMALL(IF($B$102 = 'C'!$A$1:$A$2479, ROW('C'!$A$1:$A$2479) -
ROW('C'!$A$2) + 2), ROW(23:23))),"")</f>
        <v/>
      </c>
      <c r="D124" s="63" t="str">
        <f t="array" ref="D124">IFERROR(INDEX('C'!$B$1:$B$2479, SMALL(IF($B$102 = 'C'!$A$1:$A$2479, ROW('C'!$A$1:$A$2479) -
ROW('C'!$A$2) + 2), ROW(23:23))),"")</f>
        <v/>
      </c>
      <c r="E124" s="96">
        <f t="shared" si="12"/>
        <v>0</v>
      </c>
      <c r="F124" s="93">
        <f>SUMIF(Data!$N$2:$N$998,Disbursement!C124,Data!$D$2:$D$998)</f>
        <v>0</v>
      </c>
      <c r="G124" s="63">
        <f>IF(C124="",0,COUNTIF(Data!$N$2:$N$998,C124))</f>
        <v>0</v>
      </c>
      <c r="H124" s="63">
        <f>IF(C124="",0,CONCATENATE(COUNTIFS(Data!$N$2:$N$998,C124,Data!$O$2:$O$998,"New *")," New",", ",COUNTIFS(Data!$N$2:$N$998,C124,Data!$O$2:$O$998,"Repeat *")," Repeat"))</f>
        <v>0</v>
      </c>
      <c r="I124" s="132" t="str">
        <f>IF(OR(C124="DCOLLECTOR",C124="SAF2000",C124=""),"",VLOOKUP($C124,'C'!$C$1:$D$2479,2,FALSE))</f>
        <v/>
      </c>
      <c r="J124" s="133" t="str">
        <f>IF(OR(C124="DCOLLECTOR",C124="SAF2000",C124=""),"",VLOOKUP($C124,'C'!$C$1:$E$2479,3,FALSE))</f>
        <v/>
      </c>
      <c r="K124" s="134">
        <f t="shared" si="13"/>
        <v>0</v>
      </c>
      <c r="L124" s="134" t="str">
        <f t="shared" si="14"/>
        <v/>
      </c>
      <c r="M124" s="88"/>
      <c r="N124" s="88"/>
      <c r="O124" s="88"/>
    </row>
    <row r="125" spans="1:15" s="48" customFormat="1" ht="15" hidden="1" x14ac:dyDescent="0.25">
      <c r="A125" s="847"/>
      <c r="B125" s="848"/>
      <c r="C125" s="62" t="str">
        <f t="array" ref="C125">IFERROR(INDEX('C'!$C$1:$C$2479, SMALL(IF($B$102 = 'C'!$A$1:$A$2479, ROW('C'!$A$1:$A$2479) -
ROW('C'!$A$2) + 2), ROW(24:24))),"")</f>
        <v/>
      </c>
      <c r="D125" s="63" t="str">
        <f t="array" ref="D125">IFERROR(INDEX('C'!$B$1:$B$2479, SMALL(IF($B$102 = 'C'!$A$1:$A$2479, ROW('C'!$A$1:$A$2479) -
ROW('C'!$A$2) + 2), ROW(24:24))),"")</f>
        <v/>
      </c>
      <c r="E125" s="96">
        <f t="shared" si="12"/>
        <v>0</v>
      </c>
      <c r="F125" s="93">
        <f>SUMIF(Data!$N$2:$N$998,Disbursement!C125,Data!$D$2:$D$998)</f>
        <v>0</v>
      </c>
      <c r="G125" s="63">
        <f>IF(C125="",0,COUNTIF(Data!$N$2:$N$998,C125))</f>
        <v>0</v>
      </c>
      <c r="H125" s="63">
        <f>IF(C125="",0,CONCATENATE(COUNTIFS(Data!$N$2:$N$998,C125,Data!$O$2:$O$998,"New *")," New",", ",COUNTIFS(Data!$N$2:$N$998,C125,Data!$O$2:$O$998,"Repeat *")," Repeat"))</f>
        <v>0</v>
      </c>
      <c r="I125" s="132" t="str">
        <f>IF(OR(C125="DCOLLECTOR",C125="SAF2000",C125=""),"",VLOOKUP($C125,'C'!$C$1:$D$2479,2,FALSE))</f>
        <v/>
      </c>
      <c r="J125" s="133" t="str">
        <f>IF(OR(C125="DCOLLECTOR",C125="SAF2000",C125=""),"",VLOOKUP($C125,'C'!$C$1:$E$2479,3,FALSE))</f>
        <v/>
      </c>
      <c r="K125" s="134">
        <f t="shared" si="13"/>
        <v>0</v>
      </c>
      <c r="L125" s="134" t="str">
        <f t="shared" si="14"/>
        <v/>
      </c>
      <c r="M125" s="88"/>
      <c r="N125" s="88"/>
      <c r="O125" s="88"/>
    </row>
    <row r="126" spans="1:15" s="48" customFormat="1" ht="15" hidden="1" x14ac:dyDescent="0.25">
      <c r="A126" s="847"/>
      <c r="B126" s="848"/>
      <c r="C126" s="62" t="str">
        <f t="array" ref="C126">IFERROR(INDEX('C'!$C$1:$C$2479, SMALL(IF($B$102 = 'C'!$A$1:$A$2479, ROW('C'!$A$1:$A$2479) -
ROW('C'!$A$2) + 2), ROW(25:25))),"")</f>
        <v/>
      </c>
      <c r="D126" s="63" t="str">
        <f t="array" ref="D126">IFERROR(INDEX('C'!$B$1:$B$2479, SMALL(IF($B$102 = 'C'!$A$1:$A$2479, ROW('C'!$A$1:$A$2479) -
ROW('C'!$A$2) + 2), ROW(25:25))),"")</f>
        <v/>
      </c>
      <c r="E126" s="96">
        <f t="shared" si="12"/>
        <v>0</v>
      </c>
      <c r="F126" s="93">
        <f>SUMIF(Data!$N$2:$N$998,Disbursement!C126,Data!$D$2:$D$998)</f>
        <v>0</v>
      </c>
      <c r="G126" s="63">
        <f>IF(C126="",0,COUNTIF(Data!$N$2:$N$998,C126))</f>
        <v>0</v>
      </c>
      <c r="H126" s="63">
        <f>IF(C126="",0,CONCATENATE(COUNTIFS(Data!$N$2:$N$998,C126,Data!$O$2:$O$998,"New *")," New",", ",COUNTIFS(Data!$N$2:$N$998,C126,Data!$O$2:$O$998,"Repeat *")," Repeat"))</f>
        <v>0</v>
      </c>
      <c r="I126" s="132" t="str">
        <f>IF(OR(C126="DCOLLECTOR",C126="SAF2000",C126=""),"",VLOOKUP($C126,'C'!$C$1:$D$2479,2,FALSE))</f>
        <v/>
      </c>
      <c r="J126" s="133" t="str">
        <f>IF(OR(C126="DCOLLECTOR",C126="SAF2000",C126=""),"",VLOOKUP($C126,'C'!$C$1:$E$2479,3,FALSE))</f>
        <v/>
      </c>
      <c r="K126" s="134">
        <f t="shared" si="13"/>
        <v>0</v>
      </c>
      <c r="L126" s="134" t="str">
        <f t="shared" si="14"/>
        <v/>
      </c>
      <c r="M126" s="88"/>
      <c r="N126" s="88"/>
      <c r="O126" s="88"/>
    </row>
    <row r="127" spans="1:15" s="48" customFormat="1" ht="15" hidden="1" x14ac:dyDescent="0.25">
      <c r="A127" s="847"/>
      <c r="B127" s="848"/>
      <c r="C127" s="62" t="str">
        <f t="array" ref="C127">IFERROR(INDEX('C'!$C$1:$C$2479, SMALL(IF($B$102 = 'C'!$A$1:$A$2479, ROW('C'!$A$1:$A$2479) -
ROW('C'!$A$2) + 2), ROW(26:26))),"")</f>
        <v/>
      </c>
      <c r="D127" s="63" t="str">
        <f t="array" ref="D127">IFERROR(INDEX('C'!$B$1:$B$2479, SMALL(IF($B$102 = 'C'!$A$1:$A$2479, ROW('C'!$A$1:$A$2479) -
ROW('C'!$A$2) + 2), ROW(26:26))),"")</f>
        <v/>
      </c>
      <c r="E127" s="96">
        <f t="shared" si="12"/>
        <v>0</v>
      </c>
      <c r="F127" s="93">
        <f>SUMIF(Data!$N$2:$N$998,Disbursement!C127,Data!$D$2:$D$998)</f>
        <v>0</v>
      </c>
      <c r="G127" s="63">
        <f>IF(C127="",0,COUNTIF(Data!$N$2:$N$998,C127))</f>
        <v>0</v>
      </c>
      <c r="H127" s="63">
        <f>IF(C127="",0,CONCATENATE(COUNTIFS(Data!$N$2:$N$998,C127,Data!$O$2:$O$998,"New *")," New",", ",COUNTIFS(Data!$N$2:$N$998,C127,Data!$O$2:$O$998,"Repeat *")," Repeat"))</f>
        <v>0</v>
      </c>
      <c r="I127" s="132" t="str">
        <f>IF(OR(C127="DCOLLECTOR",C127="SAF2000",C127=""),"",VLOOKUP($C127,'C'!$C$1:$D$2479,2,FALSE))</f>
        <v/>
      </c>
      <c r="J127" s="133" t="str">
        <f>IF(OR(C127="DCOLLECTOR",C127="SAF2000",C127=""),"",VLOOKUP($C127,'C'!$C$1:$E$2479,3,FALSE))</f>
        <v/>
      </c>
      <c r="K127" s="134">
        <f t="shared" si="13"/>
        <v>0</v>
      </c>
      <c r="L127" s="134" t="str">
        <f t="shared" si="14"/>
        <v/>
      </c>
      <c r="M127" s="88"/>
      <c r="N127" s="88"/>
      <c r="O127" s="88"/>
    </row>
    <row r="128" spans="1:15" s="48" customFormat="1" ht="15.6" hidden="1" thickBot="1" x14ac:dyDescent="0.3">
      <c r="A128" s="847"/>
      <c r="B128" s="848"/>
      <c r="C128" s="62" t="str">
        <f t="array" ref="C128">IFERROR(INDEX('C'!$C$1:$C$2479, SMALL(IF($B$102 = 'C'!$A$1:$A$2479, ROW('C'!$A$1:$A$2479) -
ROW('C'!$A$2) + 2), ROW(27:27))),"")</f>
        <v/>
      </c>
      <c r="D128" s="63" t="str">
        <f t="array" ref="D128">IFERROR(INDEX('C'!$B$1:$B$2479, SMALL(IF($B$102 = 'C'!$A$1:$A$2479, ROW('C'!$A$1:$A$2479) -
ROW('C'!$A$2) + 2), ROW(27:27))),"")</f>
        <v/>
      </c>
      <c r="E128" s="96">
        <f t="shared" si="12"/>
        <v>0</v>
      </c>
      <c r="F128" s="93">
        <f>SUMIF(Data!$N$2:$N$998,Disbursement!C128,Data!$D$2:$D$998)</f>
        <v>0</v>
      </c>
      <c r="G128" s="63">
        <f>IF(C128="",0,COUNTIF(Data!$N$2:$N$998,C128))</f>
        <v>0</v>
      </c>
      <c r="H128" s="63">
        <f>IF(C128="",0,CONCATENATE(COUNTIFS(Data!$N$2:$N$998,C128,Data!$O$2:$O$998,"New *")," New",", ",COUNTIFS(Data!$N$2:$N$998,C128,Data!$O$2:$O$998,"Repeat *")," Repeat"))</f>
        <v>0</v>
      </c>
      <c r="I128" s="132" t="str">
        <f>IF(OR(C128="DCOLLECTOR",C128="SAF2000",C128=""),"",VLOOKUP($C128,'C'!$C$1:$D$2479,2,FALSE))</f>
        <v/>
      </c>
      <c r="J128" s="133" t="str">
        <f>IF(OR(C128="DCOLLECTOR",C128="SAF2000",C128=""),"",VLOOKUP($C128,'C'!$C$1:$E$2479,3,FALSE))</f>
        <v/>
      </c>
      <c r="K128" s="134">
        <f t="shared" si="13"/>
        <v>0</v>
      </c>
      <c r="L128" s="134" t="str">
        <f t="shared" si="14"/>
        <v/>
      </c>
      <c r="M128" s="88"/>
      <c r="N128" s="88"/>
      <c r="O128" s="88"/>
    </row>
    <row r="129" spans="1:1006" s="66" customFormat="1" ht="15.75" customHeight="1" thickBot="1" x14ac:dyDescent="0.35">
      <c r="A129" s="847"/>
      <c r="B129" s="244" t="s">
        <v>982</v>
      </c>
      <c r="C129" s="365">
        <f>COUNTIF(C102:C128,"?*")</f>
        <v>4</v>
      </c>
      <c r="D129" s="145"/>
      <c r="E129" s="146">
        <f>SUBTOTAL(9,E102:E128)</f>
        <v>0.16839035288729953</v>
      </c>
      <c r="F129" s="147">
        <f>SUBTOTAL(9,F102:F128)</f>
        <v>29800000</v>
      </c>
      <c r="G129" s="148">
        <f>SUBTOTAL(9,G102:G128)</f>
        <v>2</v>
      </c>
      <c r="H129" s="148" t="str">
        <f>CONCATENATE(COUNTIFS(Data!$N$2:$N$998,C102,Data!$O$2:$O$998,"New *")+COUNTIFS(Data!$N$2:$N$998,C103,Data!$O$2:$O$998,"New *")+COUNTIFS(Data!$N$2:$N$998,C104,Data!$O$2:$O$998,"New *")+COUNTIFS(Data!$N$2:$N$998,C105,Data!$O$2:$O$998,"New *")+COUNTIFS(Data!$N$2:$N$998,C106,Data!$O$2:$O$998,"New *")+COUNTIFS(Data!$N$2:$N$998,C107,Data!$O$2:$O$998,"New *")+COUNTIFS(Data!$N$2:$N$998,C108,Data!$O$2:$O$998,"New *")+COUNTIFS(Data!$N$2:$N$998,C109,Data!$O$2:$O$998,"New *")+COUNTIFS(Data!$N$2:$N$998,C110,Data!$O$2:$O$998,"New *")+COUNTIFS(Data!$N$2:$N$998,C111,Data!$O$2:$O$998,"New *")+COUNTIFS(Data!$N$2:$N$998,C112,Data!$O$2:$O$998,"New *")+COUNTIFS(Data!$N$2:$N$998,C113,Data!$O$2:$O$998,"New *")+COUNTIFS(Data!$N$2:$N$998,C114,Data!$O$2:$O$998,"New *")+COUNTIFS(Data!$N$2:$N$998,C115,Data!$O$2:$O$998,"New *")+COUNTIFS(Data!$N$2:$N$998,C116,Data!$O$2:$O$998,"New *")+COUNTIFS(Data!$N$2:$N$998,C117,Data!$O$2:$O$998,"New *")+COUNTIFS(Data!$N$2:$N$998,C118,Data!$O$2:$O$998,"New *")+COUNTIFS(Data!$N$2:$N$998,C119,Data!$O$2:$O$998,"New *")+COUNTIFS(Data!$N$2:$N$998,C120,Data!$O$2:$O$998,"New *")+COUNTIFS(Data!$N$2:$N$998,C121,Data!$O$2:$O$998,"New *")+COUNTIFS(Data!$N$2:$N$998,C122,Data!$O$2:$O$998,"New *")+COUNTIFS(Data!$N$2:$N$998,C123,Data!$O$2:$O$998,"New *")+COUNTIFS(Data!$N$2:$N$998,C124,Data!$O$2:$O$998,"New *")+COUNTIFS(Data!$N$2:$N$998,C125,Data!$O$2:$O$998,"New *")+COUNTIFS(Data!$N$2:$N$998,C126,Data!$O$2:$O$998,"New *")+COUNTIFS(Data!$N$2:$N$998,C127,Data!$O$2:$O$998,"New *")+COUNTIFS(Data!$N$2:$N$998,C128,Data!$O$2:$O$998,"New *")," New",",",COUNTIFS(Data!$N$2:$N$998,C102,Data!$O$2:$O$998,"Repeat *")+COUNTIFS(Data!$N$2:$N$998,C103,Data!$O$2:$O$998,"Repeat *")+COUNTIFS(Data!$N$2:$N$998,C104,Data!$O$2:$O$998,"Repeat *")+COUNTIFS(Data!$N$2:$N$998,C105,Data!$O$2:$O$998,"Repeat *")+COUNTIFS(Data!$N$2:$N$998,C106,Data!$O$2:$O$998,"Repeat *")+COUNTIFS(Data!$N$2:$N$998,C107,Data!$O$2:$O$998,"Repeat *")+COUNTIFS(Data!$N$2:$N$998,C108,Data!$O$2:$O$998,"Repeat *")+COUNTIFS(Data!$N$2:$N$998,C109,Data!$O$2:$O$998,"Repeat *")+COUNTIFS(Data!$N$2:$N$998,C110,Data!$O$2:$O$998,"Repeat *")+COUNTIFS(Data!$N$2:$N$998,C111,Data!$O$2:$O$998,"Repeat *")+COUNTIFS(Data!$N$2:$N$998,C112,Data!$O$2:$O$998,"Repeat *")+COUNTIFS(Data!$N$2:$N$998,C113,Data!$O$2:$O$998,"Repeat *")+COUNTIFS(Data!$N$2:$N$998,C114,Data!$O$2:$O$998,"Repeat *")+COUNTIFS(Data!$N$2:$N$998,C115,Data!$O$2:$O$998,"Repeat *")+COUNTIFS(Data!$N$2:$N$998,C116,Data!$O$2:$O$998,"Repeat *")+COUNTIFS(Data!$N$2:$N$998,C117,Data!$O$2:$O$998,"Repeat *")+COUNTIFS(Data!$N$2:$N$998,C118,Data!$O$2:$O$998,"Repeat *")+COUNTIFS(Data!$N$2:$N$998,C119,Data!$O$2:$O$998,"Repeat *")+COUNTIFS(Data!$N$2:$N$998,C120,Data!$O$2:$O$998,"Repeat *")+COUNTIFS(Data!$N$2:$N$998,C121,Data!$O$2:$O$998,"Repeat *")+COUNTIFS(Data!$N$2:$N$998,C122,Data!$O$2:$O$998,"Repeat *")+COUNTIFS(Data!$N$2:$N$998,C123,Data!$O$2:$O$998,"Repeat *")+COUNTIFS(Data!$N$2:$N$998,C124,Data!$O$2:$O$998,"Repeat *")+COUNTIFS(Data!$N$2:$N$998,C125,Data!$O$2:$O$998,"Repeat *")+COUNTIFS(Data!$N$2:$N$998,C126,Data!$O$2:$O$998,"Repeat *")+COUNTIFS(Data!$N$2:$N$998,C127,Data!$O$2:$O$998,"Repeat *")+COUNTIFS(Data!$N$2:$N$998,C128,Data!$O$2:$O$998,"Repeat *"), " Repeat")</f>
        <v>0 New,2 Repeat</v>
      </c>
      <c r="I129" s="149">
        <f>SUBTOTAL(9,I102:I128)</f>
        <v>55</v>
      </c>
      <c r="J129" s="168">
        <f>SUBTOTAL(9,J102:J128)</f>
        <v>385000000</v>
      </c>
      <c r="K129" s="151">
        <f>IF(OR(I129="",ISERROR(G129/I129)),0,(G129)/I129)</f>
        <v>3.6363636363636362E-2</v>
      </c>
      <c r="L129" s="389">
        <f>IF(OR(J129="",ISERROR(F129/J129)),"",F129/J129)</f>
        <v>7.7402597402597403E-2</v>
      </c>
      <c r="M129" s="86"/>
      <c r="N129" s="86"/>
      <c r="O129" s="86"/>
      <c r="P129" s="86"/>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c r="DA129" s="86"/>
      <c r="DB129" s="86"/>
      <c r="DC129" s="86"/>
      <c r="DD129" s="86"/>
      <c r="DE129" s="86"/>
      <c r="DF129" s="86"/>
      <c r="DG129" s="86"/>
      <c r="DH129" s="86"/>
      <c r="DI129" s="86"/>
      <c r="DJ129" s="86"/>
      <c r="DK129" s="86"/>
      <c r="DL129" s="86"/>
      <c r="DM129" s="86"/>
      <c r="DN129" s="86"/>
      <c r="DO129" s="86"/>
      <c r="DP129" s="86"/>
      <c r="DQ129" s="86"/>
      <c r="DR129" s="86"/>
      <c r="DS129" s="86"/>
      <c r="DT129" s="86"/>
      <c r="DU129" s="86"/>
      <c r="DV129" s="86"/>
      <c r="DW129" s="86"/>
      <c r="DX129" s="86"/>
      <c r="DY129" s="86"/>
      <c r="DZ129" s="86"/>
      <c r="EA129" s="86"/>
      <c r="EB129" s="86"/>
      <c r="EC129" s="86"/>
      <c r="ED129" s="86"/>
      <c r="EE129" s="86"/>
      <c r="EF129" s="86"/>
      <c r="EG129" s="86"/>
      <c r="EH129" s="86"/>
      <c r="EI129" s="86"/>
      <c r="EJ129" s="86"/>
      <c r="EK129" s="86"/>
      <c r="EL129" s="86"/>
      <c r="EM129" s="86"/>
      <c r="EN129" s="86"/>
      <c r="EO129" s="86"/>
      <c r="EP129" s="86"/>
      <c r="EQ129" s="86"/>
      <c r="ER129" s="86"/>
      <c r="ES129" s="86"/>
      <c r="ET129" s="86"/>
      <c r="EU129" s="86"/>
      <c r="EV129" s="86"/>
      <c r="EW129" s="86"/>
      <c r="EX129" s="86"/>
      <c r="EY129" s="86"/>
      <c r="EZ129" s="86"/>
      <c r="FA129" s="86"/>
      <c r="FB129" s="86"/>
      <c r="FC129" s="86"/>
      <c r="FD129" s="86"/>
      <c r="FE129" s="86"/>
      <c r="FF129" s="86"/>
      <c r="FG129" s="86"/>
      <c r="FH129" s="86"/>
      <c r="FI129" s="86"/>
      <c r="FJ129" s="86"/>
      <c r="FK129" s="86"/>
      <c r="FL129" s="86"/>
      <c r="FM129" s="86"/>
      <c r="FN129" s="86"/>
      <c r="FO129" s="86"/>
      <c r="FP129" s="86"/>
      <c r="FQ129" s="86"/>
      <c r="FR129" s="86"/>
      <c r="FS129" s="86"/>
      <c r="FT129" s="86"/>
      <c r="FU129" s="86"/>
      <c r="FV129" s="86"/>
      <c r="FW129" s="86"/>
      <c r="FX129" s="86"/>
      <c r="FY129" s="86"/>
      <c r="FZ129" s="86"/>
      <c r="GA129" s="86"/>
      <c r="GB129" s="86"/>
      <c r="GC129" s="86"/>
      <c r="GD129" s="86"/>
      <c r="GE129" s="86"/>
      <c r="GF129" s="86"/>
      <c r="GG129" s="86"/>
      <c r="GH129" s="86"/>
      <c r="GI129" s="86"/>
      <c r="GJ129" s="86"/>
      <c r="GK129" s="86"/>
      <c r="GL129" s="86"/>
      <c r="GM129" s="86"/>
      <c r="GN129" s="86"/>
      <c r="GO129" s="86"/>
      <c r="GP129" s="86"/>
      <c r="GQ129" s="86"/>
      <c r="GR129" s="86"/>
      <c r="GS129" s="86"/>
      <c r="GT129" s="86"/>
      <c r="GU129" s="86"/>
      <c r="GV129" s="86"/>
      <c r="GW129" s="86"/>
      <c r="GX129" s="86"/>
      <c r="GY129" s="86"/>
      <c r="GZ129" s="86"/>
      <c r="HA129" s="86"/>
      <c r="HB129" s="86"/>
      <c r="HC129" s="86"/>
      <c r="HD129" s="86"/>
      <c r="HE129" s="86"/>
      <c r="HF129" s="86"/>
      <c r="HG129" s="86"/>
      <c r="HH129" s="86"/>
      <c r="HI129" s="86"/>
      <c r="HJ129" s="86"/>
      <c r="HK129" s="86"/>
      <c r="HL129" s="86"/>
      <c r="HM129" s="86"/>
      <c r="HN129" s="86"/>
      <c r="HO129" s="86"/>
      <c r="HP129" s="86"/>
      <c r="HQ129" s="86"/>
      <c r="HR129" s="86"/>
      <c r="HS129" s="86"/>
      <c r="HT129" s="86"/>
      <c r="HU129" s="86"/>
      <c r="HV129" s="86"/>
      <c r="HW129" s="86"/>
      <c r="HX129" s="86"/>
      <c r="HY129" s="86"/>
      <c r="HZ129" s="86"/>
      <c r="IA129" s="86"/>
      <c r="IB129" s="86"/>
      <c r="IC129" s="86"/>
      <c r="ID129" s="86"/>
      <c r="IE129" s="86"/>
      <c r="IF129" s="86"/>
      <c r="IG129" s="86"/>
      <c r="IH129" s="86"/>
      <c r="II129" s="86"/>
      <c r="IJ129" s="86"/>
      <c r="IK129" s="86"/>
      <c r="IL129" s="86"/>
      <c r="IM129" s="86"/>
      <c r="IN129" s="86"/>
      <c r="IO129" s="86"/>
      <c r="IP129" s="86"/>
      <c r="IQ129" s="86"/>
      <c r="IR129" s="86"/>
      <c r="IS129" s="86"/>
      <c r="IT129" s="86"/>
      <c r="IU129" s="86"/>
      <c r="IV129" s="86"/>
      <c r="IW129" s="86"/>
      <c r="IX129" s="86"/>
      <c r="IY129" s="86"/>
      <c r="IZ129" s="86"/>
      <c r="JA129" s="86"/>
      <c r="JB129" s="86"/>
      <c r="JC129" s="86"/>
      <c r="JD129" s="86"/>
      <c r="JE129" s="86"/>
      <c r="JF129" s="86"/>
      <c r="JG129" s="86"/>
      <c r="JH129" s="86"/>
      <c r="JI129" s="86"/>
      <c r="JJ129" s="86"/>
      <c r="JK129" s="86"/>
      <c r="JL129" s="86"/>
      <c r="JM129" s="86"/>
      <c r="JN129" s="86"/>
      <c r="JO129" s="86"/>
      <c r="JP129" s="86"/>
      <c r="JQ129" s="86"/>
      <c r="JR129" s="86"/>
      <c r="JS129" s="86"/>
      <c r="JT129" s="86"/>
      <c r="JU129" s="86"/>
      <c r="JV129" s="86"/>
      <c r="JW129" s="86"/>
      <c r="JX129" s="86"/>
      <c r="JY129" s="86"/>
      <c r="JZ129" s="86"/>
      <c r="KA129" s="86"/>
      <c r="KB129" s="86"/>
      <c r="KC129" s="86"/>
      <c r="KD129" s="86"/>
      <c r="KE129" s="86"/>
      <c r="KF129" s="86"/>
      <c r="KG129" s="86"/>
      <c r="KH129" s="86"/>
      <c r="KI129" s="86"/>
      <c r="KJ129" s="86"/>
      <c r="KK129" s="86"/>
      <c r="KL129" s="86"/>
      <c r="KM129" s="86"/>
      <c r="KN129" s="86"/>
      <c r="KO129" s="86"/>
      <c r="KP129" s="86"/>
      <c r="KQ129" s="86"/>
      <c r="KR129" s="86"/>
      <c r="KS129" s="86"/>
      <c r="KT129" s="86"/>
      <c r="KU129" s="86"/>
      <c r="KV129" s="86"/>
      <c r="KW129" s="86"/>
      <c r="KX129" s="86"/>
      <c r="KY129" s="86"/>
      <c r="KZ129" s="86"/>
      <c r="LA129" s="86"/>
      <c r="LB129" s="86"/>
      <c r="LC129" s="86"/>
      <c r="LD129" s="86"/>
      <c r="LE129" s="86"/>
      <c r="LF129" s="86"/>
      <c r="LG129" s="86"/>
      <c r="LH129" s="86"/>
      <c r="LI129" s="86"/>
      <c r="LJ129" s="86"/>
      <c r="LK129" s="86"/>
      <c r="LL129" s="86"/>
      <c r="LM129" s="86"/>
      <c r="LN129" s="86"/>
      <c r="LO129" s="86"/>
      <c r="LP129" s="86"/>
      <c r="LQ129" s="86"/>
      <c r="LR129" s="86"/>
      <c r="LS129" s="86"/>
      <c r="LT129" s="86"/>
      <c r="LU129" s="86"/>
      <c r="LV129" s="86"/>
      <c r="LW129" s="86"/>
      <c r="LX129" s="86"/>
      <c r="LY129" s="86"/>
      <c r="LZ129" s="86"/>
      <c r="MA129" s="86"/>
      <c r="MB129" s="86"/>
      <c r="MC129" s="86"/>
      <c r="MD129" s="86"/>
      <c r="ME129" s="86"/>
      <c r="MF129" s="86"/>
      <c r="MG129" s="86"/>
      <c r="MH129" s="86"/>
      <c r="MI129" s="86"/>
      <c r="MJ129" s="86"/>
      <c r="MK129" s="86"/>
      <c r="ML129" s="86"/>
      <c r="MM129" s="86"/>
      <c r="MN129" s="86"/>
      <c r="MO129" s="86"/>
      <c r="MP129" s="86"/>
      <c r="MQ129" s="86"/>
      <c r="MR129" s="86"/>
      <c r="MS129" s="86"/>
      <c r="MT129" s="86"/>
      <c r="MU129" s="86"/>
      <c r="MV129" s="86"/>
      <c r="MW129" s="86"/>
      <c r="MX129" s="86"/>
      <c r="MY129" s="86"/>
      <c r="MZ129" s="86"/>
      <c r="NA129" s="86"/>
      <c r="NB129" s="86"/>
      <c r="NC129" s="86"/>
      <c r="ND129" s="86"/>
      <c r="NE129" s="86"/>
      <c r="NF129" s="86"/>
      <c r="NG129" s="86"/>
      <c r="NH129" s="86"/>
      <c r="NI129" s="86"/>
      <c r="NJ129" s="86"/>
      <c r="NK129" s="86"/>
      <c r="NL129" s="86"/>
      <c r="NM129" s="86"/>
      <c r="NN129" s="86"/>
      <c r="NO129" s="86"/>
      <c r="NP129" s="86"/>
      <c r="NQ129" s="86"/>
      <c r="NR129" s="86"/>
      <c r="NS129" s="86"/>
      <c r="NT129" s="86"/>
      <c r="NU129" s="86"/>
      <c r="NV129" s="86"/>
      <c r="NW129" s="86"/>
      <c r="NX129" s="86"/>
      <c r="NY129" s="86"/>
      <c r="NZ129" s="86"/>
      <c r="OA129" s="86"/>
      <c r="OB129" s="86"/>
      <c r="OC129" s="86"/>
      <c r="OD129" s="86"/>
      <c r="OE129" s="86"/>
      <c r="OF129" s="86"/>
      <c r="OG129" s="86"/>
      <c r="OH129" s="86"/>
      <c r="OI129" s="86"/>
      <c r="OJ129" s="86"/>
      <c r="OK129" s="86"/>
      <c r="OL129" s="86"/>
      <c r="OM129" s="86"/>
      <c r="ON129" s="86"/>
      <c r="OO129" s="86"/>
      <c r="OP129" s="86"/>
      <c r="OQ129" s="86"/>
      <c r="OR129" s="86"/>
      <c r="OS129" s="86"/>
      <c r="OT129" s="86"/>
      <c r="OU129" s="86"/>
      <c r="OV129" s="86"/>
      <c r="OW129" s="86"/>
      <c r="OX129" s="86"/>
      <c r="OY129" s="86"/>
      <c r="OZ129" s="86"/>
      <c r="PA129" s="86"/>
      <c r="PB129" s="86"/>
      <c r="PC129" s="86"/>
      <c r="PD129" s="86"/>
      <c r="PE129" s="86"/>
      <c r="PF129" s="86"/>
      <c r="PG129" s="86"/>
      <c r="PH129" s="86"/>
      <c r="PI129" s="86"/>
      <c r="PJ129" s="86"/>
      <c r="PK129" s="86"/>
      <c r="PL129" s="86"/>
      <c r="PM129" s="86"/>
      <c r="PN129" s="86"/>
      <c r="PO129" s="86"/>
      <c r="PP129" s="86"/>
      <c r="PQ129" s="86"/>
      <c r="PR129" s="86"/>
      <c r="PS129" s="86"/>
      <c r="PT129" s="86"/>
      <c r="PU129" s="86"/>
      <c r="PV129" s="86"/>
      <c r="PW129" s="86"/>
      <c r="PX129" s="86"/>
      <c r="PY129" s="86"/>
      <c r="PZ129" s="86"/>
      <c r="QA129" s="86"/>
      <c r="QB129" s="86"/>
      <c r="QC129" s="86"/>
      <c r="QD129" s="86"/>
      <c r="QE129" s="86"/>
      <c r="QF129" s="86"/>
      <c r="QG129" s="86"/>
      <c r="QH129" s="86"/>
      <c r="QI129" s="86"/>
      <c r="QJ129" s="86"/>
      <c r="QK129" s="86"/>
      <c r="QL129" s="86"/>
      <c r="QM129" s="86"/>
      <c r="QN129" s="86"/>
      <c r="QO129" s="86"/>
      <c r="QP129" s="86"/>
      <c r="QQ129" s="86"/>
      <c r="QR129" s="86"/>
      <c r="QS129" s="86"/>
      <c r="QT129" s="86"/>
      <c r="QU129" s="86"/>
      <c r="QV129" s="86"/>
      <c r="QW129" s="86"/>
      <c r="QX129" s="86"/>
      <c r="QY129" s="86"/>
      <c r="QZ129" s="86"/>
      <c r="RA129" s="86"/>
      <c r="RB129" s="86"/>
      <c r="RC129" s="86"/>
      <c r="RD129" s="86"/>
      <c r="RE129" s="86"/>
      <c r="RF129" s="86"/>
      <c r="RG129" s="86"/>
      <c r="RH129" s="86"/>
      <c r="RI129" s="86"/>
      <c r="RJ129" s="86"/>
      <c r="RK129" s="86"/>
      <c r="RL129" s="86"/>
      <c r="RM129" s="86"/>
      <c r="RN129" s="86"/>
      <c r="RO129" s="86"/>
      <c r="RP129" s="86"/>
      <c r="RQ129" s="86"/>
      <c r="RR129" s="86"/>
      <c r="RS129" s="86"/>
      <c r="RT129" s="86"/>
      <c r="RU129" s="86"/>
      <c r="RV129" s="86"/>
      <c r="RW129" s="86"/>
      <c r="RX129" s="86"/>
      <c r="RY129" s="86"/>
      <c r="RZ129" s="86"/>
      <c r="SA129" s="86"/>
      <c r="SB129" s="86"/>
      <c r="SC129" s="86"/>
      <c r="SD129" s="86"/>
      <c r="SE129" s="86"/>
      <c r="SF129" s="86"/>
      <c r="SG129" s="86"/>
      <c r="SH129" s="86"/>
      <c r="SI129" s="86"/>
      <c r="SJ129" s="86"/>
      <c r="SK129" s="86"/>
      <c r="SL129" s="86"/>
      <c r="SM129" s="86"/>
      <c r="SN129" s="86"/>
      <c r="SO129" s="86"/>
      <c r="SP129" s="86"/>
      <c r="SQ129" s="86"/>
      <c r="SR129" s="86"/>
      <c r="SS129" s="86"/>
      <c r="ST129" s="86"/>
      <c r="SU129" s="86"/>
      <c r="SV129" s="86"/>
      <c r="SW129" s="86"/>
      <c r="SX129" s="86"/>
      <c r="SY129" s="86"/>
      <c r="SZ129" s="86"/>
      <c r="TA129" s="86"/>
      <c r="TB129" s="86"/>
      <c r="TC129" s="86"/>
      <c r="TD129" s="86"/>
      <c r="TE129" s="86"/>
      <c r="TF129" s="86"/>
      <c r="TG129" s="86"/>
      <c r="TH129" s="86"/>
      <c r="TI129" s="86"/>
      <c r="TJ129" s="86"/>
      <c r="TK129" s="86"/>
      <c r="TL129" s="86"/>
      <c r="TM129" s="86"/>
      <c r="TN129" s="86"/>
      <c r="TO129" s="86"/>
      <c r="TP129" s="86"/>
      <c r="TQ129" s="86"/>
      <c r="TR129" s="86"/>
      <c r="TS129" s="86"/>
      <c r="TT129" s="86"/>
      <c r="TU129" s="86"/>
      <c r="TV129" s="86"/>
      <c r="TW129" s="86"/>
      <c r="TX129" s="86"/>
      <c r="TY129" s="86"/>
      <c r="TZ129" s="86"/>
      <c r="UA129" s="86"/>
      <c r="UB129" s="86"/>
      <c r="UC129" s="86"/>
      <c r="UD129" s="86"/>
      <c r="UE129" s="86"/>
      <c r="UF129" s="86"/>
      <c r="UG129" s="86"/>
      <c r="UH129" s="86"/>
      <c r="UI129" s="86"/>
      <c r="UJ129" s="86"/>
      <c r="UK129" s="86"/>
      <c r="UL129" s="86"/>
      <c r="UM129" s="86"/>
      <c r="UN129" s="86"/>
      <c r="UO129" s="86"/>
      <c r="UP129" s="86"/>
      <c r="UQ129" s="86"/>
      <c r="UR129" s="86"/>
      <c r="US129" s="86"/>
      <c r="UT129" s="86"/>
      <c r="UU129" s="86"/>
      <c r="UV129" s="86"/>
      <c r="UW129" s="86"/>
      <c r="UX129" s="86"/>
      <c r="UY129" s="86"/>
      <c r="UZ129" s="86"/>
      <c r="VA129" s="86"/>
      <c r="VB129" s="86"/>
      <c r="VC129" s="86"/>
      <c r="VD129" s="86"/>
      <c r="VE129" s="86"/>
      <c r="VF129" s="86"/>
      <c r="VG129" s="86"/>
      <c r="VH129" s="86"/>
      <c r="VI129" s="86"/>
      <c r="VJ129" s="86"/>
      <c r="VK129" s="86"/>
      <c r="VL129" s="86"/>
      <c r="VM129" s="86"/>
      <c r="VN129" s="86"/>
      <c r="VO129" s="86"/>
      <c r="VP129" s="86"/>
      <c r="VQ129" s="86"/>
      <c r="VR129" s="86"/>
      <c r="VS129" s="86"/>
      <c r="VT129" s="86"/>
      <c r="VU129" s="86"/>
      <c r="VV129" s="86"/>
      <c r="VW129" s="86"/>
      <c r="VX129" s="86"/>
      <c r="VY129" s="86"/>
      <c r="VZ129" s="86"/>
      <c r="WA129" s="86"/>
      <c r="WB129" s="86"/>
      <c r="WC129" s="86"/>
      <c r="WD129" s="86"/>
      <c r="WE129" s="86"/>
      <c r="WF129" s="86"/>
      <c r="WG129" s="86"/>
      <c r="WH129" s="86"/>
      <c r="WI129" s="86"/>
      <c r="WJ129" s="86"/>
      <c r="WK129" s="86"/>
      <c r="WL129" s="86"/>
      <c r="WM129" s="86"/>
      <c r="WN129" s="86"/>
      <c r="WO129" s="86"/>
      <c r="WP129" s="86"/>
      <c r="WQ129" s="86"/>
      <c r="WR129" s="86"/>
      <c r="WS129" s="86"/>
      <c r="WT129" s="86"/>
      <c r="WU129" s="86"/>
      <c r="WV129" s="86"/>
      <c r="WW129" s="86"/>
      <c r="WX129" s="86"/>
      <c r="WY129" s="86"/>
      <c r="WZ129" s="86"/>
      <c r="XA129" s="86"/>
      <c r="XB129" s="86"/>
      <c r="XC129" s="86"/>
      <c r="XD129" s="86"/>
      <c r="XE129" s="86"/>
      <c r="XF129" s="86"/>
      <c r="XG129" s="86"/>
      <c r="XH129" s="86"/>
      <c r="XI129" s="86"/>
      <c r="XJ129" s="86"/>
      <c r="XK129" s="86"/>
      <c r="XL129" s="86"/>
      <c r="XM129" s="86"/>
      <c r="XN129" s="86"/>
      <c r="XO129" s="86"/>
      <c r="XP129" s="86"/>
      <c r="XQ129" s="86"/>
      <c r="XR129" s="86"/>
      <c r="XS129" s="86"/>
      <c r="XT129" s="86"/>
      <c r="XU129" s="86"/>
      <c r="XV129" s="86"/>
      <c r="XW129" s="86"/>
      <c r="XX129" s="86"/>
      <c r="XY129" s="86"/>
      <c r="XZ129" s="86"/>
      <c r="YA129" s="86"/>
      <c r="YB129" s="86"/>
      <c r="YC129" s="86"/>
      <c r="YD129" s="86"/>
      <c r="YE129" s="86"/>
      <c r="YF129" s="86"/>
      <c r="YG129" s="86"/>
      <c r="YH129" s="86"/>
      <c r="YI129" s="86"/>
      <c r="YJ129" s="86"/>
      <c r="YK129" s="86"/>
      <c r="YL129" s="86"/>
      <c r="YM129" s="86"/>
      <c r="YN129" s="86"/>
      <c r="YO129" s="86"/>
      <c r="YP129" s="86"/>
      <c r="YQ129" s="86"/>
      <c r="YR129" s="86"/>
      <c r="YS129" s="86"/>
      <c r="YT129" s="86"/>
      <c r="YU129" s="86"/>
      <c r="YV129" s="86"/>
      <c r="YW129" s="86"/>
      <c r="YX129" s="86"/>
      <c r="YY129" s="86"/>
      <c r="YZ129" s="86"/>
      <c r="ZA129" s="86"/>
      <c r="ZB129" s="86"/>
      <c r="ZC129" s="86"/>
      <c r="ZD129" s="86"/>
      <c r="ZE129" s="86"/>
      <c r="ZF129" s="86"/>
      <c r="ZG129" s="86"/>
      <c r="ZH129" s="86"/>
      <c r="ZI129" s="86"/>
      <c r="ZJ129" s="86"/>
      <c r="ZK129" s="86"/>
      <c r="ZL129" s="86"/>
      <c r="ZM129" s="86"/>
      <c r="ZN129" s="86"/>
      <c r="ZO129" s="86"/>
      <c r="ZP129" s="86"/>
      <c r="ZQ129" s="86"/>
      <c r="ZR129" s="86"/>
      <c r="ZS129" s="86"/>
      <c r="ZT129" s="86"/>
      <c r="ZU129" s="86"/>
      <c r="ZV129" s="86"/>
      <c r="ZW129" s="86"/>
      <c r="ZX129" s="86"/>
      <c r="ZY129" s="86"/>
      <c r="ZZ129" s="86"/>
      <c r="AAA129" s="86"/>
      <c r="AAB129" s="86"/>
      <c r="AAC129" s="86"/>
      <c r="AAD129" s="86"/>
      <c r="AAE129" s="86"/>
      <c r="AAF129" s="86"/>
      <c r="AAG129" s="86"/>
      <c r="AAH129" s="86"/>
      <c r="AAI129" s="86"/>
      <c r="AAJ129" s="86"/>
      <c r="AAK129" s="86"/>
      <c r="AAL129" s="86"/>
      <c r="AAM129" s="86"/>
      <c r="AAN129" s="86"/>
      <c r="AAO129" s="86"/>
      <c r="AAP129" s="86"/>
      <c r="AAQ129" s="86"/>
      <c r="AAR129" s="86"/>
      <c r="AAS129" s="86"/>
      <c r="AAT129" s="86"/>
      <c r="AAU129" s="86"/>
      <c r="AAV129" s="86"/>
      <c r="AAW129" s="86"/>
      <c r="AAX129" s="86"/>
      <c r="AAY129" s="86"/>
      <c r="AAZ129" s="86"/>
      <c r="ABA129" s="86"/>
      <c r="ABB129" s="86"/>
      <c r="ABC129" s="86"/>
      <c r="ABD129" s="86"/>
      <c r="ABE129" s="86"/>
      <c r="ABF129" s="86"/>
      <c r="ABG129" s="86"/>
      <c r="ABH129" s="86"/>
      <c r="ABI129" s="86"/>
      <c r="ABJ129" s="86"/>
      <c r="ABK129" s="86"/>
      <c r="ABL129" s="86"/>
      <c r="ABM129" s="86"/>
      <c r="ABN129" s="86"/>
      <c r="ABO129" s="86"/>
      <c r="ABP129" s="86"/>
      <c r="ABQ129" s="86"/>
      <c r="ABR129" s="86"/>
      <c r="ABS129" s="86"/>
      <c r="ABT129" s="86"/>
      <c r="ABU129" s="86"/>
      <c r="ABV129" s="86"/>
      <c r="ABW129" s="86"/>
      <c r="ABX129" s="86"/>
      <c r="ABY129" s="86"/>
      <c r="ABZ129" s="86"/>
      <c r="ACA129" s="86"/>
      <c r="ACB129" s="86"/>
      <c r="ACC129" s="86"/>
      <c r="ACD129" s="86"/>
      <c r="ACE129" s="86"/>
      <c r="ACF129" s="86"/>
      <c r="ACG129" s="86"/>
      <c r="ACH129" s="86"/>
      <c r="ACI129" s="86"/>
      <c r="ACJ129" s="86"/>
      <c r="ACK129" s="86"/>
      <c r="ACL129" s="86"/>
      <c r="ACM129" s="86"/>
      <c r="ACN129" s="86"/>
      <c r="ACO129" s="86"/>
      <c r="ACP129" s="86"/>
      <c r="ACQ129" s="86"/>
      <c r="ACR129" s="86"/>
      <c r="ACS129" s="86"/>
      <c r="ACT129" s="86"/>
      <c r="ACU129" s="86"/>
      <c r="ACV129" s="86"/>
      <c r="ACW129" s="86"/>
      <c r="ACX129" s="86"/>
      <c r="ACY129" s="86"/>
      <c r="ACZ129" s="86"/>
      <c r="ADA129" s="86"/>
      <c r="ADB129" s="86"/>
      <c r="ADC129" s="86"/>
      <c r="ADD129" s="86"/>
      <c r="ADE129" s="86"/>
      <c r="ADF129" s="86"/>
      <c r="ADG129" s="86"/>
      <c r="ADH129" s="86"/>
      <c r="ADI129" s="86"/>
      <c r="ADJ129" s="86"/>
      <c r="ADK129" s="86"/>
      <c r="ADL129" s="86"/>
      <c r="ADM129" s="86"/>
      <c r="ADN129" s="86"/>
      <c r="ADO129" s="86"/>
      <c r="ADP129" s="86"/>
      <c r="ADQ129" s="86"/>
      <c r="ADR129" s="86"/>
      <c r="ADS129" s="86"/>
      <c r="ADT129" s="86"/>
      <c r="ADU129" s="86"/>
      <c r="ADV129" s="86"/>
      <c r="ADW129" s="86"/>
      <c r="ADX129" s="86"/>
      <c r="ADY129" s="86"/>
      <c r="ADZ129" s="86"/>
      <c r="AEA129" s="86"/>
      <c r="AEB129" s="86"/>
      <c r="AEC129" s="86"/>
      <c r="AED129" s="86"/>
      <c r="AEE129" s="86"/>
      <c r="AEF129" s="86"/>
      <c r="AEG129" s="86"/>
      <c r="AEH129" s="86"/>
      <c r="AEI129" s="86"/>
      <c r="AEJ129" s="86"/>
      <c r="AEK129" s="86"/>
      <c r="AEL129" s="86"/>
      <c r="AEM129" s="86"/>
      <c r="AEN129" s="86"/>
      <c r="AEO129" s="86"/>
      <c r="AEP129" s="86"/>
      <c r="AEQ129" s="86"/>
      <c r="AER129" s="86"/>
      <c r="AES129" s="86"/>
      <c r="AET129" s="86"/>
      <c r="AEU129" s="86"/>
      <c r="AEV129" s="86"/>
      <c r="AEW129" s="86"/>
      <c r="AEX129" s="86"/>
      <c r="AEY129" s="86"/>
      <c r="AEZ129" s="86"/>
      <c r="AFA129" s="86"/>
      <c r="AFB129" s="86"/>
      <c r="AFC129" s="86"/>
      <c r="AFD129" s="86"/>
      <c r="AFE129" s="86"/>
      <c r="AFF129" s="86"/>
      <c r="AFG129" s="86"/>
      <c r="AFH129" s="86"/>
      <c r="AFI129" s="86"/>
      <c r="AFJ129" s="86"/>
      <c r="AFK129" s="86"/>
      <c r="AFL129" s="86"/>
      <c r="AFM129" s="86"/>
      <c r="AFN129" s="86"/>
      <c r="AFO129" s="86"/>
      <c r="AFP129" s="86"/>
      <c r="AFQ129" s="86"/>
      <c r="AFR129" s="86"/>
      <c r="AFS129" s="86"/>
      <c r="AFT129" s="86"/>
      <c r="AFU129" s="86"/>
      <c r="AFV129" s="86"/>
      <c r="AFW129" s="86"/>
      <c r="AFX129" s="86"/>
      <c r="AFY129" s="86"/>
      <c r="AFZ129" s="86"/>
      <c r="AGA129" s="86"/>
      <c r="AGB129" s="86"/>
      <c r="AGC129" s="86"/>
      <c r="AGD129" s="86"/>
      <c r="AGE129" s="86"/>
      <c r="AGF129" s="86"/>
      <c r="AGG129" s="86"/>
      <c r="AGH129" s="86"/>
      <c r="AGI129" s="86"/>
      <c r="AGJ129" s="86"/>
      <c r="AGK129" s="86"/>
      <c r="AGL129" s="86"/>
      <c r="AGM129" s="86"/>
      <c r="AGN129" s="86"/>
      <c r="AGO129" s="86"/>
      <c r="AGP129" s="86"/>
      <c r="AGQ129" s="86"/>
      <c r="AGR129" s="86"/>
      <c r="AGS129" s="86"/>
      <c r="AGT129" s="86"/>
      <c r="AGU129" s="86"/>
      <c r="AGV129" s="86"/>
      <c r="AGW129" s="86"/>
      <c r="AGX129" s="86"/>
      <c r="AGY129" s="86"/>
      <c r="AGZ129" s="86"/>
      <c r="AHA129" s="86"/>
      <c r="AHB129" s="86"/>
      <c r="AHC129" s="86"/>
      <c r="AHD129" s="86"/>
      <c r="AHE129" s="86"/>
      <c r="AHF129" s="86"/>
      <c r="AHG129" s="86"/>
      <c r="AHH129" s="86"/>
      <c r="AHI129" s="86"/>
      <c r="AHJ129" s="86"/>
      <c r="AHK129" s="86"/>
      <c r="AHL129" s="86"/>
      <c r="AHM129" s="86"/>
      <c r="AHN129" s="86"/>
      <c r="AHO129" s="86"/>
      <c r="AHP129" s="86"/>
      <c r="AHQ129" s="86"/>
      <c r="AHR129" s="86"/>
      <c r="AHS129" s="86"/>
      <c r="AHT129" s="86"/>
      <c r="AHU129" s="86"/>
      <c r="AHV129" s="86"/>
      <c r="AHW129" s="86"/>
      <c r="AHX129" s="86"/>
      <c r="AHY129" s="86"/>
      <c r="AHZ129" s="86"/>
      <c r="AIA129" s="86"/>
      <c r="AIB129" s="86"/>
      <c r="AIC129" s="86"/>
      <c r="AID129" s="86"/>
      <c r="AIE129" s="86"/>
      <c r="AIF129" s="86"/>
      <c r="AIG129" s="86"/>
      <c r="AIH129" s="86"/>
      <c r="AII129" s="86"/>
      <c r="AIJ129" s="86"/>
      <c r="AIK129" s="86"/>
      <c r="AIL129" s="86"/>
      <c r="AIM129" s="86"/>
      <c r="AIN129" s="86"/>
      <c r="AIO129" s="86"/>
      <c r="AIP129" s="86"/>
      <c r="AIQ129" s="86"/>
      <c r="AIR129" s="86"/>
      <c r="AIS129" s="86"/>
      <c r="AIT129" s="86"/>
      <c r="AIU129" s="86"/>
      <c r="AIV129" s="86"/>
      <c r="AIW129" s="86"/>
      <c r="AIX129" s="86"/>
      <c r="AIY129" s="86"/>
      <c r="AIZ129" s="86"/>
      <c r="AJA129" s="86"/>
      <c r="AJB129" s="86"/>
      <c r="AJC129" s="86"/>
      <c r="AJD129" s="86"/>
      <c r="AJE129" s="86"/>
      <c r="AJF129" s="86"/>
      <c r="AJG129" s="86"/>
      <c r="AJH129" s="86"/>
      <c r="AJI129" s="86"/>
      <c r="AJJ129" s="86"/>
      <c r="AJK129" s="86"/>
      <c r="AJL129" s="86"/>
      <c r="AJM129" s="86"/>
      <c r="AJN129" s="86"/>
      <c r="AJO129" s="86"/>
      <c r="AJP129" s="86"/>
      <c r="AJQ129" s="86"/>
      <c r="AJR129" s="86"/>
      <c r="AJS129" s="86"/>
      <c r="AJT129" s="86"/>
      <c r="AJU129" s="86"/>
      <c r="AJV129" s="86"/>
      <c r="AJW129" s="86"/>
      <c r="AJX129" s="86"/>
      <c r="AJY129" s="86"/>
      <c r="AJZ129" s="86"/>
      <c r="AKA129" s="86"/>
      <c r="AKB129" s="86"/>
      <c r="AKC129" s="86"/>
      <c r="AKD129" s="86"/>
      <c r="AKE129" s="86"/>
      <c r="AKF129" s="86"/>
      <c r="AKG129" s="86"/>
      <c r="AKH129" s="86"/>
      <c r="AKI129" s="86"/>
      <c r="AKJ129" s="86"/>
      <c r="AKK129" s="86"/>
      <c r="AKL129" s="86"/>
      <c r="AKM129" s="86"/>
      <c r="AKN129" s="86"/>
      <c r="AKO129" s="86"/>
      <c r="AKP129" s="86"/>
      <c r="AKQ129" s="86"/>
      <c r="AKR129" s="86"/>
      <c r="AKS129" s="86"/>
      <c r="AKT129" s="86"/>
      <c r="AKU129" s="86"/>
      <c r="AKV129" s="86"/>
      <c r="AKW129" s="86"/>
      <c r="AKX129" s="86"/>
      <c r="AKY129" s="86"/>
      <c r="AKZ129" s="86"/>
      <c r="ALA129" s="86"/>
      <c r="ALB129" s="86"/>
      <c r="ALC129" s="86"/>
      <c r="ALD129" s="86"/>
      <c r="ALE129" s="86"/>
      <c r="ALF129" s="86"/>
      <c r="ALG129" s="86"/>
      <c r="ALH129" s="86"/>
      <c r="ALI129" s="86"/>
      <c r="ALJ129" s="86"/>
      <c r="ALK129" s="86"/>
      <c r="ALL129" s="86"/>
      <c r="ALM129" s="86"/>
      <c r="ALN129" s="86"/>
      <c r="ALO129" s="86"/>
      <c r="ALP129" s="86"/>
      <c r="ALQ129" s="86"/>
      <c r="ALR129" s="86"/>
    </row>
    <row r="130" spans="1:1006" s="48" customFormat="1" ht="15" x14ac:dyDescent="0.25">
      <c r="A130" s="847"/>
      <c r="B130" s="844" t="s">
        <v>971</v>
      </c>
      <c r="C130" s="156" t="str">
        <f t="array" ref="C130">IFERROR(INDEX('C'!$C$1:$C$2479, SMALL(IF($B$130 = 'C'!$A$1:$A$2479, ROW('C'!$A$1:$A$2479) -
ROW('C'!$A$2) + 2), ROW(1:1))),"")</f>
        <v>EMATEGA</v>
      </c>
      <c r="D130" s="132" t="str">
        <f t="array" ref="D130">IFERROR(INDEX('C'!$B$1:$B$2479, SMALL(IF($B$130 = 'C'!$A$1:$A$2479, ROW('C'!$A$1:$A$2479) -
ROW('C'!$A$2) + 2), ROW(1:1))),"")</f>
        <v>HOUSING</v>
      </c>
      <c r="E130" s="134">
        <f t="shared" ref="E130:E155" si="15">F130/$F$219</f>
        <v>0</v>
      </c>
      <c r="F130" s="158">
        <f>SUMIF(Data!$N$2:$N$998,Disbursement!C130,Data!$D$2:$D$998)</f>
        <v>0</v>
      </c>
      <c r="G130" s="158">
        <f>IF(C130="",0,COUNTIF(Data!$N$2:$N$998,C130))</f>
        <v>0</v>
      </c>
      <c r="H130" s="158" t="str">
        <f>IF(C130="",0,CONCATENATE(COUNTIFS(Data!$N$2:$N$998,C130,Data!$O$2:$O$998,"New *")," New",", ",COUNTIFS(Data!$N$2:$N$998,C130,Data!$O$2:$O$998,"Repeat *")," Repeat"))</f>
        <v>0 New, 0 Repeat</v>
      </c>
      <c r="I130" s="132">
        <f>IF(OR(C130="DCOLLECTOR",C130="SAF2000",C130=""),"",VLOOKUP($C130,'C'!$C$1:$D$2479,2,FALSE))</f>
        <v>15</v>
      </c>
      <c r="J130" s="133">
        <f>IF(OR(C130="DCOLLECTOR",C130="SAF2000",C130=""),"",VLOOKUP($C130,'C'!$C$1:$E$2479,3,FALSE))</f>
        <v>100000000</v>
      </c>
      <c r="K130" s="134">
        <f>IFERROR(IF(I130="",0,(G130)/I130),"")</f>
        <v>0</v>
      </c>
      <c r="L130" s="134">
        <f>IFERROR(IF(J130="","",F130/J130),"")</f>
        <v>0</v>
      </c>
    </row>
    <row r="131" spans="1:1006" s="48" customFormat="1" ht="15" x14ac:dyDescent="0.25">
      <c r="A131" s="847"/>
      <c r="B131" s="844"/>
      <c r="C131" s="156" t="str">
        <f t="array" ref="C131">IFERROR(INDEX('C'!$C$1:$C$2479, SMALL(IF($B$130 = 'C'!$A$1:$A$2479, ROW('C'!$A$1:$A$2479) -
ROW('C'!$A$2) + 2), ROW(2:2))),"")</f>
        <v>IMUGARUKIR</v>
      </c>
      <c r="D131" s="132" t="str">
        <f t="array" ref="D131">IFERROR(INDEX('C'!$B$1:$B$2479, SMALL(IF($B$130 = 'C'!$A$1:$A$2479, ROW('C'!$A$1:$A$2479) -
ROW('C'!$A$2) + 2), ROW(2:2))),"")</f>
        <v>SME</v>
      </c>
      <c r="E131" s="134">
        <f t="shared" si="15"/>
        <v>2.8253414913976434E-2</v>
      </c>
      <c r="F131" s="158">
        <f>SUMIF(Data!$N$2:$N$998,Disbursement!C131,Data!$D$2:$D$998)</f>
        <v>5000000</v>
      </c>
      <c r="G131" s="158">
        <f>IF(C131="",0,COUNTIF(Data!$N$2:$N$998,C131))</f>
        <v>1</v>
      </c>
      <c r="H131" s="158" t="str">
        <f>IF(C131="",0,CONCATENATE(COUNTIFS(Data!$N$2:$N$998,C131,Data!$O$2:$O$998,"New *")," New",", ",COUNTIFS(Data!$N$2:$N$998,C131,Data!$O$2:$O$998,"Repeat *")," Repeat"))</f>
        <v>0 New, 1 Repeat</v>
      </c>
      <c r="I131" s="132">
        <f>IF(OR(C131="DCOLLECTOR",C131="SAF2000",C131=""),"",VLOOKUP($C131,'C'!$C$1:$D$2479,2,FALSE))</f>
        <v>15</v>
      </c>
      <c r="J131" s="133">
        <f>IF(OR(C131="DCOLLECTOR",C131="SAF2000",C131=""),"",VLOOKUP($C131,'C'!$C$1:$E$2479,3,FALSE))</f>
        <v>100000000</v>
      </c>
      <c r="K131" s="134">
        <f t="shared" ref="K131:K155" si="16">IFERROR(IF(I131="",0,(G131)/I131),"")</f>
        <v>6.6666666666666666E-2</v>
      </c>
      <c r="L131" s="134">
        <f t="shared" ref="L131:L155" si="17">IFERROR(IF(J131="","",F131/J131),"")</f>
        <v>0.05</v>
      </c>
    </row>
    <row r="132" spans="1:1006" s="48" customFormat="1" ht="15" customHeight="1" x14ac:dyDescent="0.25">
      <c r="A132" s="847"/>
      <c r="B132" s="844"/>
      <c r="C132" s="156" t="str">
        <f t="array" ref="C132">IFERROR(INDEX('C'!$C$1:$C$2479, SMALL(IF($B$130 = 'C'!$A$1:$A$2479, ROW('C'!$A$1:$A$2479) -
ROW('C'!$A$2) + 2), ROW(3:3))),"")</f>
        <v>FKATUA</v>
      </c>
      <c r="D132" s="132" t="str">
        <f t="array" ref="D132">IFERROR(INDEX('C'!$B$1:$B$2479, SMALL(IF($B$130 = 'C'!$A$1:$A$2479, ROW('C'!$A$1:$A$2479) -
ROW('C'!$A$2) + 2), ROW(4:4))),"")</f>
        <v>HOUSING</v>
      </c>
      <c r="E132" s="134">
        <f t="shared" si="15"/>
        <v>0</v>
      </c>
      <c r="F132" s="158">
        <f>SUMIF(Data!$N$2:$N$998,Disbursement!C132,Data!$D$2:$D$998)</f>
        <v>0</v>
      </c>
      <c r="G132" s="158">
        <f>IF(C132="",0,COUNTIF(Data!$N$2:$N$998,C132))</f>
        <v>0</v>
      </c>
      <c r="H132" s="158" t="str">
        <f>IF(C132="",0,CONCATENATE(COUNTIFS(Data!$N$2:$N$998,C132,Data!$O$2:$O$998,"New *")," New",", ",COUNTIFS(Data!$N$2:$N$998,C132,Data!$O$2:$O$998,"Repeat *")," Repeat"))</f>
        <v>0 New, 0 Repeat</v>
      </c>
      <c r="I132" s="132">
        <f>IF(OR(C132="DCOLLECTOR",C132="SAF2000",C132=""),"",VLOOKUP($C132,'C'!$C$1:$D$2479,2,FALSE))</f>
        <v>15</v>
      </c>
      <c r="J132" s="133">
        <f>IF(OR(C132="DCOLLECTOR",C132="SAF2000",C132=""),"",VLOOKUP($C132,'C'!$C$1:$E$2479,3,FALSE))</f>
        <v>100000000</v>
      </c>
      <c r="K132" s="134">
        <f t="shared" si="16"/>
        <v>0</v>
      </c>
      <c r="L132" s="134">
        <f t="shared" si="17"/>
        <v>0</v>
      </c>
    </row>
    <row r="133" spans="1:1006" s="48" customFormat="1" ht="15" x14ac:dyDescent="0.25">
      <c r="A133" s="847"/>
      <c r="B133" s="844"/>
      <c r="C133" s="156" t="str">
        <f t="array" ref="C133">IFERROR(INDEX('C'!$C$1:$C$2479, SMALL(IF($B$130 = 'C'!$A$1:$A$2479, ROW('C'!$A$1:$A$2479) -
ROW('C'!$A$2) + 2), ROW(4:4))),"")</f>
        <v>MBIRABWA</v>
      </c>
      <c r="D133" s="132" t="str">
        <f t="array" ref="D133">IFERROR(INDEX('C'!$B$1:$B$2479, SMALL(IF($B$130 = 'C'!$A$1:$A$2479, ROW('C'!$A$1:$A$2479) -
ROW('C'!$A$2) + 2), ROW(5:5))),"")</f>
        <v>WTM</v>
      </c>
      <c r="E133" s="134">
        <f t="shared" si="15"/>
        <v>0</v>
      </c>
      <c r="F133" s="158">
        <f>SUMIF(Data!$N$2:$N$998,Disbursement!C133,Data!$D$2:$D$998)</f>
        <v>0</v>
      </c>
      <c r="G133" s="158">
        <f>IF(C133="",0,COUNTIF(Data!$N$2:$N$998,C133))</f>
        <v>0</v>
      </c>
      <c r="H133" s="158" t="str">
        <f>IF(C133="",0,CONCATENATE(COUNTIFS(Data!$N$2:$N$998,C133,Data!$O$2:$O$998,"New *")," New",", ",COUNTIFS(Data!$N$2:$N$998,C133,Data!$O$2:$O$998,"Repeat *")," Repeat"))</f>
        <v>0 New, 0 Repeat</v>
      </c>
      <c r="I133" s="132">
        <f>IF(OR(C133="DCOLLECTOR",C133="SAF2000",C133=""),"",VLOOKUP($C133,'C'!$C$1:$D$2479,2,FALSE))</f>
        <v>15</v>
      </c>
      <c r="J133" s="133">
        <f>IF(OR(C133="DCOLLECTOR",C133="SAF2000",C133=""),"",VLOOKUP($C133,'C'!$C$1:$E$2479,3,FALSE))</f>
        <v>100000000</v>
      </c>
      <c r="K133" s="134">
        <f t="shared" si="16"/>
        <v>0</v>
      </c>
      <c r="L133" s="134">
        <f t="shared" si="17"/>
        <v>0</v>
      </c>
    </row>
    <row r="134" spans="1:1006" s="48" customFormat="1" ht="16.5" customHeight="1" thickBot="1" x14ac:dyDescent="0.3">
      <c r="A134" s="847"/>
      <c r="B134" s="844"/>
      <c r="C134" s="156" t="str">
        <f t="array" ref="C134">IFERROR(INDEX('C'!$C$1:$C$2479, SMALL(IF($B$130 = 'C'!$A$1:$A$2479, ROW('C'!$A$1:$A$2479) -
ROW('C'!$A$2) + 2), ROW(5:5))),"")</f>
        <v>SMIREMBE</v>
      </c>
      <c r="D134" s="132" t="str">
        <f t="array" ref="D134">IFERROR(INDEX('C'!$B$1:$B$2479, SMALL(IF($B$130 = 'C'!$A$1:$A$2479, ROW('C'!$A$1:$A$2479) -
ROW('C'!$A$2) + 2), ROW(6:6))),"")</f>
        <v/>
      </c>
      <c r="E134" s="134">
        <f t="shared" si="15"/>
        <v>0</v>
      </c>
      <c r="F134" s="158">
        <f>SUMIF(Data!$N$2:$N$998,Disbursement!C134,Data!$D$2:$D$998)</f>
        <v>0</v>
      </c>
      <c r="G134" s="158">
        <f>IF(C134="",0,COUNTIF(Data!$N$2:$N$998,C134))</f>
        <v>0</v>
      </c>
      <c r="H134" s="158" t="str">
        <f>IF(C134="",0,CONCATENATE(COUNTIFS(Data!$N$2:$N$998,C134,Data!$O$2:$O$998,"New *")," New",", ",COUNTIFS(Data!$N$2:$N$998,C134,Data!$O$2:$O$998,"Repeat *")," Repeat"))</f>
        <v>0 New, 0 Repeat</v>
      </c>
      <c r="I134" s="132">
        <f>IF(OR(C134="DCOLLECTOR",C134="SAF2000",C134=""),"",VLOOKUP($C134,'C'!$C$1:$D$2479,2,FALSE))</f>
        <v>10</v>
      </c>
      <c r="J134" s="133">
        <f>IF(OR(C134="DCOLLECTOR",C134="SAF2000",C134=""),"",VLOOKUP($C134,'C'!$C$1:$E$2479,3,FALSE))</f>
        <v>85000000</v>
      </c>
      <c r="K134" s="134">
        <f t="shared" si="16"/>
        <v>0</v>
      </c>
      <c r="L134" s="134">
        <f t="shared" si="17"/>
        <v>0</v>
      </c>
    </row>
    <row r="135" spans="1:1006" s="48" customFormat="1" ht="0.75" hidden="1" customHeight="1" thickBot="1" x14ac:dyDescent="0.3">
      <c r="A135" s="847"/>
      <c r="B135" s="844"/>
      <c r="C135" s="156" t="str">
        <f t="array" ref="C135">IFERROR(INDEX('C'!$C$1:$C$2479, SMALL(IF($B$130 = 'C'!$A$1:$A$2479, ROW('C'!$A$1:$A$2479) -
ROW('C'!$A$2) + 2), ROW(6:6))),"")</f>
        <v/>
      </c>
      <c r="D135" s="128" t="str">
        <f t="array" ref="D135">IFERROR(INDEX('C'!$B$1:$B$2479, SMALL(IF($B$130 = 'C'!$A$1:$A$2479, ROW('C'!$A$1:$A$2479) -
ROW('C'!$A$2) + 2), ROW(7:7))),"")</f>
        <v/>
      </c>
      <c r="E135" s="130">
        <f t="shared" si="15"/>
        <v>0</v>
      </c>
      <c r="F135" s="231">
        <f>SUMIF(Data!$N$2:$N$998,Disbursement!C135,Data!$D$2:$D$998)</f>
        <v>0</v>
      </c>
      <c r="G135" s="231">
        <f>IF(C135="",0,COUNTIF(Data!$N$2:$N$998,C135))</f>
        <v>0</v>
      </c>
      <c r="H135" s="231">
        <f>IF(C135="",0,CONCATENATE(COUNTIFS(Data!$N$2:$N$998,C135,Data!$O$2:$O$998,"New *")," New",", ",COUNTIFS(Data!$N$2:$N$998,C135,Data!$O$2:$O$998,"Repeat *")," Repeat"))</f>
        <v>0</v>
      </c>
      <c r="I135" s="128" t="str">
        <f>IF(OR(C135="DCOLLECTOR",C135="SAF2000",C135=""),"",VLOOKUP($C135,'C'!$C$1:$D$2479,2,FALSE))</f>
        <v/>
      </c>
      <c r="J135" s="129" t="str">
        <f>IF(OR(C135="DCOLLECTOR",C135="SAF2000",C135=""),"",VLOOKUP($C135,'C'!$C$1:$E$2479,3,FALSE))</f>
        <v/>
      </c>
      <c r="K135" s="134">
        <f t="shared" si="16"/>
        <v>0</v>
      </c>
      <c r="L135" s="134" t="str">
        <f t="shared" si="17"/>
        <v/>
      </c>
    </row>
    <row r="136" spans="1:1006" s="48" customFormat="1" ht="15.6" hidden="1" thickBot="1" x14ac:dyDescent="0.3">
      <c r="A136" s="847"/>
      <c r="B136" s="844"/>
      <c r="C136" s="156" t="str">
        <f t="array" ref="C136">IFERROR(INDEX('C'!$C$1:$C$2479, SMALL(IF($B$130 = 'C'!$A$1:$A$2479, ROW('C'!$A$1:$A$2479) -
ROW('C'!$A$2) + 2), ROW(7:7))),"")</f>
        <v/>
      </c>
      <c r="D136" s="132" t="str">
        <f t="array" ref="D136">IFERROR(INDEX('C'!$B$1:$B$2479, SMALL(IF($B$130 = 'C'!$A$1:$A$2479, ROW('C'!$A$1:$A$2479) -
ROW('C'!$A$2) + 2), ROW(8:8))),"")</f>
        <v/>
      </c>
      <c r="E136" s="134">
        <f t="shared" si="15"/>
        <v>0</v>
      </c>
      <c r="F136" s="158">
        <f>SUMIF(Data!$N$2:$N$998,Disbursement!C136,Data!$D$2:$D$998)</f>
        <v>0</v>
      </c>
      <c r="G136" s="158">
        <f>IF(C136="",0,COUNTIF(Data!$N$2:$N$998,C136))</f>
        <v>0</v>
      </c>
      <c r="H136" s="158">
        <f>IF(C136="",0,CONCATENATE(COUNTIFS(Data!$N$2:$N$998,C136,Data!$O$2:$O$998,"New *")," New",", ",COUNTIFS(Data!$N$2:$N$998,C136,Data!$O$2:$O$998,"Repeat *")," Repeat"))</f>
        <v>0</v>
      </c>
      <c r="I136" s="132" t="str">
        <f>IF(OR(C136="DCOLLECTOR",C136="SAF2000",C136=""),"",VLOOKUP($C136,'C'!$C$1:$D$2479,2,FALSE))</f>
        <v/>
      </c>
      <c r="J136" s="133" t="str">
        <f>IF(OR(C136="DCOLLECTOR",C136="SAF2000",C136=""),"",VLOOKUP($C136,'C'!$C$1:$E$2479,3,FALSE))</f>
        <v/>
      </c>
      <c r="K136" s="134">
        <f t="shared" si="16"/>
        <v>0</v>
      </c>
      <c r="L136" s="134" t="str">
        <f t="shared" si="17"/>
        <v/>
      </c>
    </row>
    <row r="137" spans="1:1006" s="48" customFormat="1" ht="15.6" hidden="1" thickBot="1" x14ac:dyDescent="0.3">
      <c r="A137" s="847"/>
      <c r="B137" s="844"/>
      <c r="C137" s="156" t="str">
        <f t="array" ref="C137">IFERROR(INDEX('C'!$C$1:$C$2479, SMALL(IF($B$130 = 'C'!$A$1:$A$2479, ROW('C'!$A$1:$A$2479) -
ROW('C'!$A$2) + 2), ROW(8:8))),"")</f>
        <v/>
      </c>
      <c r="D137" s="132" t="str">
        <f t="array" ref="D137">IFERROR(INDEX('C'!$B$1:$B$2479, SMALL(IF($B$130 = 'C'!$A$1:$A$2479, ROW('C'!$A$1:$A$2479) -
ROW('C'!$A$2) + 2), ROW(9:9))),"")</f>
        <v/>
      </c>
      <c r="E137" s="134">
        <f t="shared" si="15"/>
        <v>0</v>
      </c>
      <c r="F137" s="158">
        <f>SUMIF(Data!$N$2:$N$998,Disbursement!C137,Data!$D$2:$D$998)</f>
        <v>0</v>
      </c>
      <c r="G137" s="158">
        <f>IF(C137="",0,COUNTIF(Data!$N$2:$N$998,C137))</f>
        <v>0</v>
      </c>
      <c r="H137" s="158">
        <f>IF(C137="",0,CONCATENATE(COUNTIFS(Data!$N$2:$N$998,C137,Data!$O$2:$O$998,"New *")," New",", ",COUNTIFS(Data!$N$2:$N$998,C137,Data!$O$2:$O$998,"Repeat *")," Repeat"))</f>
        <v>0</v>
      </c>
      <c r="I137" s="132" t="str">
        <f>IF(OR(C137="DCOLLECTOR",C137="SAF2000",C137=""),"",VLOOKUP($C137,'C'!$C$1:$D$2479,2,FALSE))</f>
        <v/>
      </c>
      <c r="J137" s="133" t="str">
        <f>IF(OR(C137="DCOLLECTOR",C137="SAF2000",C137=""),"",VLOOKUP($C137,'C'!$C$1:$E$2479,3,FALSE))</f>
        <v/>
      </c>
      <c r="K137" s="134">
        <f t="shared" si="16"/>
        <v>0</v>
      </c>
      <c r="L137" s="134" t="str">
        <f t="shared" si="17"/>
        <v/>
      </c>
    </row>
    <row r="138" spans="1:1006" s="48" customFormat="1" ht="15.6" hidden="1" thickBot="1" x14ac:dyDescent="0.3">
      <c r="A138" s="847"/>
      <c r="B138" s="844"/>
      <c r="C138" s="156" t="str">
        <f t="array" ref="C138">IFERROR(INDEX('C'!$C$1:$C$2479, SMALL(IF($B$130 = 'C'!$A$1:$A$2479, ROW('C'!$A$1:$A$2479) -
ROW('C'!$A$2) + 2), ROW(9:9))),"")</f>
        <v/>
      </c>
      <c r="D138" s="132" t="str">
        <f t="array" ref="D138">IFERROR(INDEX('C'!$B$1:$B$2479, SMALL(IF($B$130 = 'C'!$A$1:$A$2479, ROW('C'!$A$1:$A$2479) -
ROW('C'!$A$2) + 2), ROW(10:10))),"")</f>
        <v/>
      </c>
      <c r="E138" s="134">
        <f t="shared" si="15"/>
        <v>0</v>
      </c>
      <c r="F138" s="158">
        <f>SUMIF(Data!$N$2:$N$998,Disbursement!C138,Data!$D$2:$D$998)</f>
        <v>0</v>
      </c>
      <c r="G138" s="158">
        <f>IF(C138="",0,COUNTIF(Data!$N$2:$N$998,C138))</f>
        <v>0</v>
      </c>
      <c r="H138" s="158">
        <f>IF(C138="",0,CONCATENATE(COUNTIFS(Data!$N$2:$N$998,C138,Data!$O$2:$O$998,"New *")," New",", ",COUNTIFS(Data!$N$2:$N$998,C138,Data!$O$2:$O$998,"Repeat *")," Repeat"))</f>
        <v>0</v>
      </c>
      <c r="I138" s="132" t="str">
        <f>IF(OR(C138="DCOLLECTOR",C138="SAF2000",C138=""),"",VLOOKUP($C138,'C'!$C$1:$D$2479,2,FALSE))</f>
        <v/>
      </c>
      <c r="J138" s="133" t="str">
        <f>IF(OR(C138="DCOLLECTOR",C138="SAF2000",C138=""),"",VLOOKUP($C138,'C'!$C$1:$E$2479,3,FALSE))</f>
        <v/>
      </c>
      <c r="K138" s="134">
        <f t="shared" si="16"/>
        <v>0</v>
      </c>
      <c r="L138" s="134" t="str">
        <f t="shared" si="17"/>
        <v/>
      </c>
    </row>
    <row r="139" spans="1:1006" s="48" customFormat="1" ht="15.6" hidden="1" thickBot="1" x14ac:dyDescent="0.3">
      <c r="A139" s="847"/>
      <c r="B139" s="844"/>
      <c r="C139" s="156" t="str">
        <f t="array" ref="C139">IFERROR(INDEX('C'!$C$1:$C$2479, SMALL(IF($B$130 = 'C'!$A$1:$A$2479, ROW('C'!$A$1:$A$2479) -
ROW('C'!$A$2) + 2), ROW(10:10))),"")</f>
        <v/>
      </c>
      <c r="D139" s="132" t="str">
        <f t="array" ref="D139">IFERROR(INDEX('C'!$B$1:$B$2479, SMALL(IF($B$130 = 'C'!$A$1:$A$2479, ROW('C'!$A$1:$A$2479) -
ROW('C'!$A$2) + 2), ROW(11:11))),"")</f>
        <v/>
      </c>
      <c r="E139" s="134">
        <f t="shared" si="15"/>
        <v>0</v>
      </c>
      <c r="F139" s="158">
        <f>SUMIF(Data!$N$2:$N$998,Disbursement!C139,Data!$D$2:$D$998)</f>
        <v>0</v>
      </c>
      <c r="G139" s="158">
        <f>IF(C139="",0,COUNTIF(Data!$N$2:$N$998,C139))</f>
        <v>0</v>
      </c>
      <c r="H139" s="158">
        <f>IF(C139="",0,CONCATENATE(COUNTIFS(Data!$N$2:$N$998,C139,Data!$O$2:$O$998,"New *")," New",", ",COUNTIFS(Data!$N$2:$N$998,C139,Data!$O$2:$O$998,"Repeat *")," Repeat"))</f>
        <v>0</v>
      </c>
      <c r="I139" s="132" t="str">
        <f>IF(OR(C139="DCOLLECTOR",C139="SAF2000",C139=""),"",VLOOKUP($C139,'C'!$C$1:$D$2479,2,FALSE))</f>
        <v/>
      </c>
      <c r="J139" s="133" t="str">
        <f>IF(OR(C139="DCOLLECTOR",C139="SAF2000",C139=""),"",VLOOKUP($C139,'C'!$C$1:$E$2479,3,FALSE))</f>
        <v/>
      </c>
      <c r="K139" s="134">
        <f t="shared" si="16"/>
        <v>0</v>
      </c>
      <c r="L139" s="134" t="str">
        <f t="shared" si="17"/>
        <v/>
      </c>
    </row>
    <row r="140" spans="1:1006" s="48" customFormat="1" ht="15.6" hidden="1" thickBot="1" x14ac:dyDescent="0.3">
      <c r="A140" s="847"/>
      <c r="B140" s="844"/>
      <c r="C140" s="156" t="str">
        <f t="array" ref="C140">IFERROR(INDEX('C'!$C$1:$C$2479, SMALL(IF($B$130 = 'C'!$A$1:$A$2479, ROW('C'!$A$1:$A$2479) -
ROW('C'!$A$2) + 2), ROW(11:11))),"")</f>
        <v/>
      </c>
      <c r="D140" s="132" t="str">
        <f t="array" ref="D140">IFERROR(INDEX('C'!$B$1:$B$2479, SMALL(IF($B$130 = 'C'!$A$1:$A$2479, ROW('C'!$A$1:$A$2479) -
ROW('C'!$A$2) + 2), ROW(12:12))),"")</f>
        <v/>
      </c>
      <c r="E140" s="134">
        <f t="shared" si="15"/>
        <v>0</v>
      </c>
      <c r="F140" s="158">
        <f>SUMIF(Data!$N$2:$N$998,Disbursement!C140,Data!$D$2:$D$998)</f>
        <v>0</v>
      </c>
      <c r="G140" s="158">
        <f>IF(C140="",0,COUNTIF(Data!$N$2:$N$998,C140))</f>
        <v>0</v>
      </c>
      <c r="H140" s="158">
        <f>IF(C140="",0,CONCATENATE(COUNTIFS(Data!$N$2:$N$998,C140,Data!$O$2:$O$998,"New *")," New",", ",COUNTIFS(Data!$N$2:$N$998,C140,Data!$O$2:$O$998,"Repeat *")," Repeat"))</f>
        <v>0</v>
      </c>
      <c r="I140" s="132" t="str">
        <f>IF(OR(C140="DCOLLECTOR",C140="SAF2000",C140=""),"",VLOOKUP($C140,'C'!$C$1:$D$2479,2,FALSE))</f>
        <v/>
      </c>
      <c r="J140" s="133" t="str">
        <f>IF(OR(C140="DCOLLECTOR",C140="SAF2000",C140=""),"",VLOOKUP($C140,'C'!$C$1:$E$2479,3,FALSE))</f>
        <v/>
      </c>
      <c r="K140" s="134">
        <f t="shared" si="16"/>
        <v>0</v>
      </c>
      <c r="L140" s="134" t="str">
        <f t="shared" si="17"/>
        <v/>
      </c>
    </row>
    <row r="141" spans="1:1006" s="48" customFormat="1" ht="15.6" hidden="1" thickBot="1" x14ac:dyDescent="0.3">
      <c r="A141" s="847"/>
      <c r="B141" s="844"/>
      <c r="C141" s="156" t="str">
        <f t="array" ref="C141">IFERROR(INDEX('C'!$C$1:$C$2479, SMALL(IF($B$130 = 'C'!$A$1:$A$2479, ROW('C'!$A$1:$A$2479) -
ROW('C'!$A$2) + 2), ROW(12:12))),"")</f>
        <v/>
      </c>
      <c r="D141" s="132" t="str">
        <f t="array" ref="D141">IFERROR(INDEX('C'!$B$1:$B$2479, SMALL(IF($B$130 = 'C'!$A$1:$A$2479, ROW('C'!$A$1:$A$2479) -
ROW('C'!$A$2) + 2), ROW(#REF!))),"")</f>
        <v/>
      </c>
      <c r="E141" s="134">
        <f t="shared" si="15"/>
        <v>0</v>
      </c>
      <c r="F141" s="158">
        <f>SUMIF(Data!$N$2:$N$998,Disbursement!C141,Data!$D$2:$D$998)</f>
        <v>0</v>
      </c>
      <c r="G141" s="158">
        <f>IF(C141="",0,COUNTIF(Data!$N$2:$N$998,C141))</f>
        <v>0</v>
      </c>
      <c r="H141" s="158">
        <f>IF(C141="",0,CONCATENATE(COUNTIFS(Data!$N$2:$N$998,C141,Data!$O$2:$O$998,"New *")," New",", ",COUNTIFS(Data!$N$2:$N$998,C141,Data!$O$2:$O$998,"Repeat *")," Repeat"))</f>
        <v>0</v>
      </c>
      <c r="I141" s="132" t="str">
        <f>IF(OR(C141="DCOLLECTOR",C141="SAF2000",C141=""),"",VLOOKUP($C141,'C'!$C$1:$D$2479,2,FALSE))</f>
        <v/>
      </c>
      <c r="J141" s="133" t="str">
        <f>IF(OR(C141="DCOLLECTOR",C141="SAF2000",C141=""),"",VLOOKUP($C141,'C'!$C$1:$E$2479,3,FALSE))</f>
        <v/>
      </c>
      <c r="K141" s="134">
        <f t="shared" si="16"/>
        <v>0</v>
      </c>
      <c r="L141" s="134" t="str">
        <f t="shared" si="17"/>
        <v/>
      </c>
    </row>
    <row r="142" spans="1:1006" s="48" customFormat="1" ht="15.6" hidden="1" thickBot="1" x14ac:dyDescent="0.3">
      <c r="A142" s="847"/>
      <c r="B142" s="844"/>
      <c r="C142" s="156" t="str">
        <f t="array" ref="C142">IFERROR(INDEX('C'!$C$1:$C$2479, SMALL(IF($B$130 = 'C'!$A$1:$A$2479, ROW('C'!$A$1:$A$2479) -
ROW('C'!$A$2) + 2), ROW(13:13))),"")</f>
        <v/>
      </c>
      <c r="D142" s="132" t="str">
        <f t="array" ref="D142">IFERROR(INDEX('C'!$B$1:$B$2479, SMALL(IF($B$130 = 'C'!$A$1:$A$2479, ROW('C'!$A$1:$A$2479) -
ROW('C'!$A$2) + 2), ROW(13:13))),"")</f>
        <v/>
      </c>
      <c r="E142" s="134">
        <f t="shared" si="15"/>
        <v>0</v>
      </c>
      <c r="F142" s="158">
        <f>SUMIF(Data!$N$2:$N$998,Disbursement!C142,Data!$D$2:$D$998)</f>
        <v>0</v>
      </c>
      <c r="G142" s="158">
        <f>IF(C142="",0,COUNTIF(Data!$N$2:$N$998,C142))</f>
        <v>0</v>
      </c>
      <c r="H142" s="158">
        <f>IF(C142="",0,CONCATENATE(COUNTIFS(Data!$N$2:$N$998,C142,Data!$O$2:$O$998,"New *")," New",", ",COUNTIFS(Data!$N$2:$N$998,C142,Data!$O$2:$O$998,"Repeat *")," Repeat"))</f>
        <v>0</v>
      </c>
      <c r="I142" s="132" t="str">
        <f>IF(OR(C142="DCOLLECTOR",C142="SAF2000",C142=""),"",VLOOKUP($C142,'C'!$C$1:$D$2479,2,FALSE))</f>
        <v/>
      </c>
      <c r="J142" s="133" t="str">
        <f>IF(OR(C142="DCOLLECTOR",C142="SAF2000",C142=""),"",VLOOKUP($C142,'C'!$C$1:$E$2479,3,FALSE))</f>
        <v/>
      </c>
      <c r="K142" s="134">
        <f t="shared" si="16"/>
        <v>0</v>
      </c>
      <c r="L142" s="134" t="str">
        <f t="shared" si="17"/>
        <v/>
      </c>
    </row>
    <row r="143" spans="1:1006" s="48" customFormat="1" ht="15.6" hidden="1" thickBot="1" x14ac:dyDescent="0.3">
      <c r="A143" s="847"/>
      <c r="B143" s="844"/>
      <c r="C143" s="156" t="str">
        <f t="array" ref="C143">IFERROR(INDEX('C'!$C$1:$C$2479, SMALL(IF($B$130 = 'C'!$A$1:$A$2479, ROW('C'!$A$1:$A$2479) -
ROW('C'!$A$2) + 2), ROW(14:14))),"")</f>
        <v/>
      </c>
      <c r="D143" s="132" t="str">
        <f t="array" ref="D143">IFERROR(INDEX('C'!$B$1:$B$2479, SMALL(IF($B$130 = 'C'!$A$1:$A$2479, ROW('C'!$A$1:$A$2479) -
ROW('C'!$A$2) + 2), ROW(14:14))),"")</f>
        <v/>
      </c>
      <c r="E143" s="134">
        <f t="shared" si="15"/>
        <v>0</v>
      </c>
      <c r="F143" s="158">
        <f>SUMIF(Data!$N$2:$N$998,Disbursement!C143,Data!$D$2:$D$998)</f>
        <v>0</v>
      </c>
      <c r="G143" s="158">
        <f>IF(C143="",0,COUNTIF(Data!$N$2:$N$998,C143))</f>
        <v>0</v>
      </c>
      <c r="H143" s="158">
        <f>IF(C143="",0,CONCATENATE(COUNTIFS(Data!$N$2:$N$998,C143,Data!$O$2:$O$998,"New *")," New",", ",COUNTIFS(Data!$N$2:$N$998,C143,Data!$O$2:$O$998,"Repeat *")," Repeat"))</f>
        <v>0</v>
      </c>
      <c r="I143" s="132" t="str">
        <f>IF(OR(C143="DCOLLECTOR",C143="SAF2000",C143=""),"",VLOOKUP($C143,'C'!$C$1:$D$2479,2,FALSE))</f>
        <v/>
      </c>
      <c r="J143" s="133" t="str">
        <f>IF(OR(C143="DCOLLECTOR",C143="SAF2000",C143=""),"",VLOOKUP($C143,'C'!$C$1:$E$2479,3,FALSE))</f>
        <v/>
      </c>
      <c r="K143" s="134">
        <f t="shared" si="16"/>
        <v>0</v>
      </c>
      <c r="L143" s="134" t="str">
        <f t="shared" si="17"/>
        <v/>
      </c>
    </row>
    <row r="144" spans="1:1006" s="48" customFormat="1" ht="15.6" hidden="1" thickBot="1" x14ac:dyDescent="0.3">
      <c r="A144" s="847"/>
      <c r="B144" s="844"/>
      <c r="C144" s="156" t="str">
        <f t="array" ref="C144">IFERROR(INDEX('C'!$C$1:$C$2479, SMALL(IF($B$130 = 'C'!$A$1:$A$2479, ROW('C'!$A$1:$A$2479) -
ROW('C'!$A$2) + 2), ROW(15:15))),"")</f>
        <v/>
      </c>
      <c r="D144" s="132" t="str">
        <f t="array" ref="D144">IFERROR(INDEX('C'!$B$1:$B$2479, SMALL(IF($B$130 = 'C'!$A$1:$A$2479, ROW('C'!$A$1:$A$2479) -
ROW('C'!$A$2) + 2), ROW(15:15))),"")</f>
        <v/>
      </c>
      <c r="E144" s="134">
        <f t="shared" si="15"/>
        <v>0</v>
      </c>
      <c r="F144" s="158">
        <f>SUMIF(Data!$N$2:$N$998,Disbursement!C144,Data!$D$2:$D$998)</f>
        <v>0</v>
      </c>
      <c r="G144" s="158">
        <f>IF(C144="",0,COUNTIF(Data!$N$2:$N$998,C144))</f>
        <v>0</v>
      </c>
      <c r="H144" s="158">
        <f>IF(C144="",0,CONCATENATE(COUNTIFS(Data!$N$2:$N$998,C144,Data!$O$2:$O$998,"New *")," New",", ",COUNTIFS(Data!$N$2:$N$998,C144,Data!$O$2:$O$998,"Repeat *")," Repeat"))</f>
        <v>0</v>
      </c>
      <c r="I144" s="132" t="str">
        <f>IF(OR(C144="DCOLLECTOR",C144="SAF2000",C144=""),"",VLOOKUP($C144,'C'!$C$1:$D$2479,2,FALSE))</f>
        <v/>
      </c>
      <c r="J144" s="133" t="str">
        <f>IF(OR(C144="DCOLLECTOR",C144="SAF2000",C144=""),"",VLOOKUP($C144,'C'!$C$1:$E$2479,3,FALSE))</f>
        <v/>
      </c>
      <c r="K144" s="134">
        <f t="shared" si="16"/>
        <v>0</v>
      </c>
      <c r="L144" s="134" t="str">
        <f t="shared" si="17"/>
        <v/>
      </c>
    </row>
    <row r="145" spans="1:12" s="48" customFormat="1" ht="15.6" hidden="1" thickBot="1" x14ac:dyDescent="0.3">
      <c r="A145" s="847"/>
      <c r="B145" s="844"/>
      <c r="C145" s="157" t="str">
        <f t="array" ref="C145">IFERROR(INDEX('C'!$C$1:$C$2479, SMALL(IF($B$130 = 'C'!$A$1:$A$2479, ROW('C'!$A$1:$A$2479) -
ROW('C'!$A$2) + 2), ROW(16:16))),"")</f>
        <v/>
      </c>
      <c r="D145" s="132" t="str">
        <f t="array" ref="D145">IFERROR(INDEX('C'!$B$1:$B$2479, SMALL(IF($B$130 = 'C'!$A$1:$A$2479, ROW('C'!$A$1:$A$2479) -
ROW('C'!$A$2) + 2), ROW(16:16))),"")</f>
        <v/>
      </c>
      <c r="E145" s="134">
        <f t="shared" si="15"/>
        <v>0</v>
      </c>
      <c r="F145" s="158">
        <f>SUMIF(Data!$N$2:$N$998,Disbursement!C145,Data!$D$2:$D$998)</f>
        <v>0</v>
      </c>
      <c r="G145" s="158">
        <f>IF(C145="",0,COUNTIF(Data!$N$2:$N$998,C145))</f>
        <v>0</v>
      </c>
      <c r="H145" s="158">
        <f>IF(C145="",0,CONCATENATE(COUNTIFS(Data!$N$2:$N$998,C145,Data!$O$2:$O$998,"New *")," New",", ",COUNTIFS(Data!$N$2:$N$998,C145,Data!$O$2:$O$998,"Repeat *")," Repeat"))</f>
        <v>0</v>
      </c>
      <c r="I145" s="132" t="str">
        <f>IF(OR(C145="DCOLLECTOR",C145="SAF2000",C145=""),"",VLOOKUP($C145,'C'!$C$1:$D$2479,2,FALSE))</f>
        <v/>
      </c>
      <c r="J145" s="133" t="str">
        <f>IF(OR(C145="DCOLLECTOR",C145="SAF2000",C145=""),"",VLOOKUP($C145,'C'!$C$1:$E$2479,3,FALSE))</f>
        <v/>
      </c>
      <c r="K145" s="134">
        <f t="shared" si="16"/>
        <v>0</v>
      </c>
      <c r="L145" s="134" t="str">
        <f t="shared" si="17"/>
        <v/>
      </c>
    </row>
    <row r="146" spans="1:12" s="48" customFormat="1" ht="15.6" hidden="1" thickBot="1" x14ac:dyDescent="0.3">
      <c r="A146" s="847"/>
      <c r="B146" s="844"/>
      <c r="C146" s="156" t="str">
        <f t="array" ref="C146">IFERROR(INDEX('C'!$C$1:$C$2479, SMALL(IF($B$130 = 'C'!$A$1:$A$2479, ROW('C'!$A$1:$A$2479) -
ROW('C'!$A$2) + 2), ROW(18:18))),"")</f>
        <v/>
      </c>
      <c r="D146" s="132" t="str">
        <f t="array" ref="D146">IFERROR(INDEX('C'!$B$1:$B$2479, SMALL(IF($B$130 = 'C'!$A$1:$A$2479, ROW('C'!$A$1:$A$2479) -
ROW('C'!$A$2) + 2), ROW(17:17))),"")</f>
        <v/>
      </c>
      <c r="E146" s="134">
        <f t="shared" si="15"/>
        <v>0</v>
      </c>
      <c r="F146" s="158">
        <f>SUMIF(Data!$N$2:$N$998,Disbursement!C146,Data!$D$2:$D$998)</f>
        <v>0</v>
      </c>
      <c r="G146" s="158">
        <f>IF(C146="",0,COUNTIF(Data!$N$2:$N$998,C146))</f>
        <v>0</v>
      </c>
      <c r="H146" s="158">
        <f>IF(C146="",0,CONCATENATE(COUNTIFS(Data!$N$2:$N$998,C146,Data!$O$2:$O$998,"New *")," New",", ",COUNTIFS(Data!$N$2:$N$998,C146,Data!$O$2:$O$998,"Repeat *")," Repeat"))</f>
        <v>0</v>
      </c>
      <c r="I146" s="132" t="str">
        <f>IF(OR(C146="DCOLLECTOR",C146="SAF2000",C146=""),"",VLOOKUP($C146,'C'!$C$1:$D$2479,2,FALSE))</f>
        <v/>
      </c>
      <c r="J146" s="133" t="str">
        <f>IF(OR(C146="DCOLLECTOR",C146="SAF2000",C146=""),"",VLOOKUP($C146,'C'!$C$1:$E$2479,3,FALSE))</f>
        <v/>
      </c>
      <c r="K146" s="134">
        <f t="shared" si="16"/>
        <v>0</v>
      </c>
      <c r="L146" s="134" t="str">
        <f t="shared" si="17"/>
        <v/>
      </c>
    </row>
    <row r="147" spans="1:12" s="48" customFormat="1" ht="15.6" hidden="1" thickBot="1" x14ac:dyDescent="0.3">
      <c r="A147" s="847"/>
      <c r="B147" s="844"/>
      <c r="C147" s="156" t="str">
        <f t="array" ref="C147">IFERROR(INDEX('C'!$C$1:$C$2479, SMALL(IF($B$130 = 'C'!$A$1:$A$2479, ROW('C'!$A$1:$A$2479) -
ROW('C'!$A$2) + 2), ROW(19:19))),"")</f>
        <v/>
      </c>
      <c r="D147" s="132" t="str">
        <f t="array" ref="D147">IFERROR(INDEX('C'!$B$1:$B$2479, SMALL(IF($B$130 = 'C'!$A$1:$A$2479, ROW('C'!$A$1:$A$2479) -
ROW('C'!$A$2) + 2), ROW(18:18))),"")</f>
        <v/>
      </c>
      <c r="E147" s="134">
        <f t="shared" si="15"/>
        <v>0</v>
      </c>
      <c r="F147" s="158">
        <f>SUMIF(Data!$N$2:$N$998,Disbursement!C147,Data!$D$2:$D$998)</f>
        <v>0</v>
      </c>
      <c r="G147" s="158">
        <f>IF(C147="",0,COUNTIF(Data!$N$2:$N$998,C147))</f>
        <v>0</v>
      </c>
      <c r="H147" s="158">
        <f>IF(C147="",0,CONCATENATE(COUNTIFS(Data!$N$2:$N$998,C147,Data!$O$2:$O$998,"New *")," New",", ",COUNTIFS(Data!$N$2:$N$998,C147,Data!$O$2:$O$998,"Repeat *")," Repeat"))</f>
        <v>0</v>
      </c>
      <c r="I147" s="132" t="str">
        <f>IF(OR(C147="DCOLLECTOR",C147="SAF2000",C147=""),"",VLOOKUP($C147,'C'!$C$1:$D$2479,2,FALSE))</f>
        <v/>
      </c>
      <c r="J147" s="133" t="str">
        <f>IF(OR(C147="DCOLLECTOR",C147="SAF2000",C147=""),"",VLOOKUP($C147,'C'!$C$1:$E$2479,3,FALSE))</f>
        <v/>
      </c>
      <c r="K147" s="134">
        <f t="shared" si="16"/>
        <v>0</v>
      </c>
      <c r="L147" s="134" t="str">
        <f t="shared" si="17"/>
        <v/>
      </c>
    </row>
    <row r="148" spans="1:12" s="48" customFormat="1" ht="15.6" hidden="1" thickBot="1" x14ac:dyDescent="0.3">
      <c r="A148" s="847"/>
      <c r="B148" s="844"/>
      <c r="C148" s="156" t="str">
        <f t="array" ref="C148">IFERROR(INDEX('C'!$C$1:$C$2479, SMALL(IF($B$130 = 'C'!$A$1:$A$2479, ROW('C'!$A$1:$A$2479) -
ROW('C'!$A$2) + 2), ROW(20:20))),"")</f>
        <v/>
      </c>
      <c r="D148" s="132" t="str">
        <f t="array" ref="D148">IFERROR(INDEX('C'!$B$1:$B$2479, SMALL(IF($B$130 = 'C'!$A$1:$A$2479, ROW('C'!$A$1:$A$2479) -
ROW('C'!$A$2) + 2), ROW(19:19))),"")</f>
        <v/>
      </c>
      <c r="E148" s="134">
        <f t="shared" si="15"/>
        <v>0</v>
      </c>
      <c r="F148" s="158">
        <f>SUMIF(Data!$N$2:$N$998,Disbursement!C148,Data!$D$2:$D$998)</f>
        <v>0</v>
      </c>
      <c r="G148" s="158">
        <f>IF(C148="",0,COUNTIF(Data!$N$2:$N$998,C148))</f>
        <v>0</v>
      </c>
      <c r="H148" s="158">
        <f>IF(C148="",0,CONCATENATE(COUNTIFS(Data!$N$2:$N$998,C148,Data!$O$2:$O$998,"New *")," New",", ",COUNTIFS(Data!$N$2:$N$998,C148,Data!$O$2:$O$998,"Repeat *")," Repeat"))</f>
        <v>0</v>
      </c>
      <c r="I148" s="132" t="str">
        <f>IF(OR(C148="DCOLLECTOR",C148="SAF2000",C148=""),"",VLOOKUP($C148,'C'!$C$1:$D$2479,2,FALSE))</f>
        <v/>
      </c>
      <c r="J148" s="133" t="str">
        <f>IF(OR(C148="DCOLLECTOR",C148="SAF2000",C148=""),"",VLOOKUP($C148,'C'!$C$1:$E$2479,3,FALSE))</f>
        <v/>
      </c>
      <c r="K148" s="134">
        <f t="shared" si="16"/>
        <v>0</v>
      </c>
      <c r="L148" s="134" t="str">
        <f t="shared" si="17"/>
        <v/>
      </c>
    </row>
    <row r="149" spans="1:12" s="48" customFormat="1" ht="15.6" hidden="1" thickBot="1" x14ac:dyDescent="0.3">
      <c r="A149" s="847"/>
      <c r="B149" s="844"/>
      <c r="C149" s="156" t="str">
        <f t="array" ref="C149">IFERROR(INDEX('C'!$C$1:$C$2479, SMALL(IF($B$130 = 'C'!$A$1:$A$2479, ROW('C'!$A$1:$A$2479) -
ROW('C'!$A$2) + 2), ROW(21:21))),"")</f>
        <v/>
      </c>
      <c r="D149" s="132" t="str">
        <f t="array" ref="D149">IFERROR(INDEX('C'!$B$1:$B$2479, SMALL(IF($B$130 = 'C'!$A$1:$A$2479, ROW('C'!$A$1:$A$2479) -
ROW('C'!$A$2) + 2), ROW(20:20))),"")</f>
        <v/>
      </c>
      <c r="E149" s="134">
        <f t="shared" si="15"/>
        <v>0</v>
      </c>
      <c r="F149" s="158">
        <f>SUMIF(Data!$N$2:$N$998,Disbursement!C149,Data!$D$2:$D$998)</f>
        <v>0</v>
      </c>
      <c r="G149" s="158">
        <f>IF(C149="",0,COUNTIF(Data!$N$2:$N$998,C149))</f>
        <v>0</v>
      </c>
      <c r="H149" s="158">
        <f>IF(C149="",0,CONCATENATE(COUNTIFS(Data!$N$2:$N$998,C149,Data!$O$2:$O$998,"New *")," New",", ",COUNTIFS(Data!$N$2:$N$998,C149,Data!$O$2:$O$998,"Repeat *")," Repeat"))</f>
        <v>0</v>
      </c>
      <c r="I149" s="132" t="str">
        <f>IF(OR(C149="DCOLLECTOR",C149="SAF2000",C149=""),"",VLOOKUP($C149,'C'!$C$1:$D$2479,2,FALSE))</f>
        <v/>
      </c>
      <c r="J149" s="133" t="str">
        <f>IF(OR(C149="DCOLLECTOR",C149="SAF2000",C149=""),"",VLOOKUP($C149,'C'!$C$1:$E$2479,3,FALSE))</f>
        <v/>
      </c>
      <c r="K149" s="134">
        <f t="shared" si="16"/>
        <v>0</v>
      </c>
      <c r="L149" s="134" t="str">
        <f t="shared" si="17"/>
        <v/>
      </c>
    </row>
    <row r="150" spans="1:12" s="48" customFormat="1" ht="15.6" hidden="1" thickBot="1" x14ac:dyDescent="0.3">
      <c r="A150" s="847"/>
      <c r="B150" s="844"/>
      <c r="C150" s="156" t="str">
        <f t="array" ref="C150">IFERROR(INDEX('C'!$C$1:$C$2479, SMALL(IF($B$130 = 'C'!$A$1:$A$2479, ROW('C'!$A$1:$A$2479) -
ROW('C'!$A$2) + 2), ROW(22:22))),"")</f>
        <v/>
      </c>
      <c r="D150" s="132" t="str">
        <f t="array" ref="D150">IFERROR(INDEX('C'!$B$1:$B$2479, SMALL(IF($B$130 = 'C'!$A$1:$A$2479, ROW('C'!$A$1:$A$2479) -
ROW('C'!$A$2) + 2), ROW(21:21))),"")</f>
        <v/>
      </c>
      <c r="E150" s="134">
        <f t="shared" si="15"/>
        <v>0</v>
      </c>
      <c r="F150" s="158">
        <f>SUMIF(Data!$N$2:$N$998,Disbursement!C150,Data!$D$2:$D$998)</f>
        <v>0</v>
      </c>
      <c r="G150" s="158">
        <f>IF(C150="",0,COUNTIF(Data!$N$2:$N$998,C150))</f>
        <v>0</v>
      </c>
      <c r="H150" s="158">
        <f>IF(C150="",0,CONCATENATE(COUNTIFS(Data!$N$2:$N$998,C150,Data!$O$2:$O$998,"New *")," New",", ",COUNTIFS(Data!$N$2:$N$998,C150,Data!$O$2:$O$998,"Repeat *")," Repeat"))</f>
        <v>0</v>
      </c>
      <c r="I150" s="132" t="str">
        <f>IF(OR(C150="DCOLLECTOR",C150="SAF2000",C150=""),"",VLOOKUP($C150,'C'!$C$1:$D$2479,2,FALSE))</f>
        <v/>
      </c>
      <c r="J150" s="133" t="str">
        <f>IF(OR(C150="DCOLLECTOR",C150="SAF2000",C150=""),"",VLOOKUP($C150,'C'!$C$1:$E$2479,3,FALSE))</f>
        <v/>
      </c>
      <c r="K150" s="134">
        <f t="shared" si="16"/>
        <v>0</v>
      </c>
      <c r="L150" s="134" t="str">
        <f t="shared" si="17"/>
        <v/>
      </c>
    </row>
    <row r="151" spans="1:12" s="48" customFormat="1" ht="15.6" hidden="1" thickBot="1" x14ac:dyDescent="0.3">
      <c r="A151" s="847"/>
      <c r="B151" s="844"/>
      <c r="C151" s="156" t="str">
        <f t="array" ref="C151">IFERROR(INDEX('C'!$C$1:$C$2479, SMALL(IF($B$130 = 'C'!$A$1:$A$2479, ROW('C'!$A$1:$A$2479) -
ROW('C'!$A$2) + 2), ROW(23:23))),"")</f>
        <v/>
      </c>
      <c r="D151" s="132" t="str">
        <f t="array" ref="D151">IFERROR(INDEX('C'!$B$1:$B$2479, SMALL(IF($B$130 = 'C'!$A$1:$A$2479, ROW('C'!$A$1:$A$2479) -
ROW('C'!$A$2) + 2), ROW(22:22))),"")</f>
        <v/>
      </c>
      <c r="E151" s="134">
        <f t="shared" si="15"/>
        <v>0</v>
      </c>
      <c r="F151" s="158">
        <f>SUMIF(Data!$N$2:$N$998,Disbursement!C151,Data!$D$2:$D$998)</f>
        <v>0</v>
      </c>
      <c r="G151" s="158">
        <f>IF(C151="",0,COUNTIF(Data!$N$2:$N$998,C151))</f>
        <v>0</v>
      </c>
      <c r="H151" s="158">
        <f>IF(C151="",0,CONCATENATE(COUNTIFS(Data!$N$2:$N$998,C151,Data!$O$2:$O$998,"New *")," New",", ",COUNTIFS(Data!$N$2:$N$998,C151,Data!$O$2:$O$998,"Repeat *")," Repeat"))</f>
        <v>0</v>
      </c>
      <c r="I151" s="132" t="str">
        <f>IF(OR(C151="DCOLLECTOR",C151="SAF2000",C151=""),"",VLOOKUP($C151,'C'!$C$1:$D$2479,2,FALSE))</f>
        <v/>
      </c>
      <c r="J151" s="133" t="str">
        <f>IF(OR(C151="DCOLLECTOR",C151="SAF2000",C151=""),"",VLOOKUP($C151,'C'!$C$1:$E$2479,3,FALSE))</f>
        <v/>
      </c>
      <c r="K151" s="134">
        <f t="shared" si="16"/>
        <v>0</v>
      </c>
      <c r="L151" s="134" t="str">
        <f t="shared" si="17"/>
        <v/>
      </c>
    </row>
    <row r="152" spans="1:12" s="48" customFormat="1" ht="15.6" hidden="1" thickBot="1" x14ac:dyDescent="0.3">
      <c r="A152" s="847"/>
      <c r="B152" s="844"/>
      <c r="C152" s="156" t="str">
        <f t="array" ref="C152">IFERROR(INDEX('C'!$C$1:$C$2479, SMALL(IF($B$130 = 'C'!$A$1:$A$2479, ROW('C'!$A$1:$A$2479) -
ROW('C'!$A$2) + 2), ROW(24:24))),"")</f>
        <v/>
      </c>
      <c r="D152" s="132" t="str">
        <f t="array" ref="D152">IFERROR(INDEX('C'!$B$1:$B$2479, SMALL(IF($B$130 = 'C'!$A$1:$A$2479, ROW('C'!$A$1:$A$2479) -
ROW('C'!$A$2) + 2), ROW(23:23))),"")</f>
        <v/>
      </c>
      <c r="E152" s="134">
        <f t="shared" si="15"/>
        <v>0</v>
      </c>
      <c r="F152" s="158">
        <f>SUMIF(Data!$N$2:$N$998,Disbursement!C152,Data!$D$2:$D$998)</f>
        <v>0</v>
      </c>
      <c r="G152" s="158">
        <f>IF(C152="",0,COUNTIF(Data!$N$2:$N$998,C152))</f>
        <v>0</v>
      </c>
      <c r="H152" s="158">
        <f>IF(C152="",0,CONCATENATE(COUNTIFS(Data!$N$2:$N$998,C152,Data!$O$2:$O$998,"New *")," New",", ",COUNTIFS(Data!$N$2:$N$998,C152,Data!$O$2:$O$998,"Repeat *")," Repeat"))</f>
        <v>0</v>
      </c>
      <c r="I152" s="132" t="str">
        <f>IF(OR(C152="DCOLLECTOR",C152="SAF2000",C152=""),"",VLOOKUP($C152,'C'!$C$1:$D$2479,2,FALSE))</f>
        <v/>
      </c>
      <c r="J152" s="133" t="str">
        <f>IF(OR(C152="DCOLLECTOR",C152="SAF2000",C152=""),"",VLOOKUP($C152,'C'!$C$1:$E$2479,3,FALSE))</f>
        <v/>
      </c>
      <c r="K152" s="134">
        <f t="shared" si="16"/>
        <v>0</v>
      </c>
      <c r="L152" s="134" t="str">
        <f t="shared" si="17"/>
        <v/>
      </c>
    </row>
    <row r="153" spans="1:12" s="48" customFormat="1" ht="15.6" hidden="1" thickBot="1" x14ac:dyDescent="0.3">
      <c r="A153" s="847"/>
      <c r="B153" s="844"/>
      <c r="C153" s="156" t="str">
        <f t="array" ref="C153">IFERROR(INDEX('C'!$C$1:$C$2479, SMALL(IF($B$130 = 'C'!$A$1:$A$2479, ROW('C'!$A$1:$A$2479) -
ROW('C'!$A$2) + 2), ROW(25:25))),"")</f>
        <v/>
      </c>
      <c r="D153" s="132" t="str">
        <f t="array" ref="D153">IFERROR(INDEX('C'!$B$1:$B$2479, SMALL(IF($B$130 = 'C'!$A$1:$A$2479, ROW('C'!$A$1:$A$2479) -
ROW('C'!$A$2) + 2), ROW(24:24))),"")</f>
        <v/>
      </c>
      <c r="E153" s="134">
        <f t="shared" si="15"/>
        <v>0</v>
      </c>
      <c r="F153" s="158">
        <f>SUMIF(Data!$N$2:$N$998,Disbursement!C153,Data!$D$2:$D$998)</f>
        <v>0</v>
      </c>
      <c r="G153" s="158">
        <f>IF(C153="",0,COUNTIF(Data!$N$2:$N$998,C153))</f>
        <v>0</v>
      </c>
      <c r="H153" s="158">
        <f>IF(C153="",0,CONCATENATE(COUNTIFS(Data!$N$2:$N$998,C153,Data!$O$2:$O$998,"New *")," New",", ",COUNTIFS(Data!$N$2:$N$998,C153,Data!$O$2:$O$998,"Repeat *")," Repeat"))</f>
        <v>0</v>
      </c>
      <c r="I153" s="132" t="str">
        <f>IF(OR(C153="DCOLLECTOR",C153="SAF2000",C153=""),"",VLOOKUP($C153,'C'!$C$1:$D$2479,2,FALSE))</f>
        <v/>
      </c>
      <c r="J153" s="133" t="str">
        <f>IF(OR(C153="DCOLLECTOR",C153="SAF2000",C153=""),"",VLOOKUP($C153,'C'!$C$1:$E$2479,3,FALSE))</f>
        <v/>
      </c>
      <c r="K153" s="134">
        <f t="shared" si="16"/>
        <v>0</v>
      </c>
      <c r="L153" s="134" t="str">
        <f t="shared" si="17"/>
        <v/>
      </c>
    </row>
    <row r="154" spans="1:12" s="48" customFormat="1" ht="15.6" hidden="1" thickBot="1" x14ac:dyDescent="0.3">
      <c r="A154" s="847"/>
      <c r="B154" s="844"/>
      <c r="C154" s="156" t="str">
        <f t="array" ref="C154">IFERROR(INDEX('C'!$C$1:$C$2479, SMALL(IF($B$130 = 'C'!$A$1:$A$2479, ROW('C'!$A$1:$A$2479) -
ROW('C'!$A$2) + 2), ROW(26:26))),"")</f>
        <v/>
      </c>
      <c r="D154" s="132" t="str">
        <f t="array" ref="D154">IFERROR(INDEX('C'!$B$1:$B$2479, SMALL(IF($B$130 = 'C'!$A$1:$A$2479, ROW('C'!$A$1:$A$2479) -
ROW('C'!$A$2) + 2), ROW(25:25))),"")</f>
        <v/>
      </c>
      <c r="E154" s="134">
        <f t="shared" si="15"/>
        <v>0</v>
      </c>
      <c r="F154" s="158">
        <f>SUMIF(Data!$N$2:$N$998,Disbursement!C154,Data!$D$2:$D$998)</f>
        <v>0</v>
      </c>
      <c r="G154" s="158">
        <f>IF(C154="",0,COUNTIF(Data!$N$2:$N$998,C154))</f>
        <v>0</v>
      </c>
      <c r="H154" s="158">
        <f>IF(C154="",0,CONCATENATE(COUNTIFS(Data!$N$2:$N$998,C154,Data!$O$2:$O$998,"New *")," New",", ",COUNTIFS(Data!$N$2:$N$998,C154,Data!$O$2:$O$998,"Repeat *")," Repeat"))</f>
        <v>0</v>
      </c>
      <c r="I154" s="132" t="str">
        <f>IF(OR(C154="DCOLLECTOR",C154="SAF2000",C154=""),"",VLOOKUP($C154,'C'!$C$1:$D$2479,2,FALSE))</f>
        <v/>
      </c>
      <c r="J154" s="133" t="str">
        <f>IF(OR(C154="DCOLLECTOR",C154="SAF2000",C154=""),"",VLOOKUP($C154,'C'!$C$1:$E$2479,3,FALSE))</f>
        <v/>
      </c>
      <c r="K154" s="134">
        <f t="shared" si="16"/>
        <v>0</v>
      </c>
      <c r="L154" s="134" t="str">
        <f t="shared" si="17"/>
        <v/>
      </c>
    </row>
    <row r="155" spans="1:12" s="48" customFormat="1" ht="15.6" hidden="1" thickBot="1" x14ac:dyDescent="0.3">
      <c r="A155" s="847"/>
      <c r="B155" s="844"/>
      <c r="C155" s="156" t="str">
        <f t="array" ref="C155">IFERROR(INDEX('C'!$C$1:$C$2479, SMALL(IF($B$130 = 'C'!$A$1:$A$2479, ROW('C'!$A$1:$A$2479) -
ROW('C'!$A$2) + 2), ROW(27:27))),"")</f>
        <v/>
      </c>
      <c r="D155" s="132" t="str">
        <f t="array" ref="D155">IFERROR(INDEX('C'!$B$1:$B$2479, SMALL(IF($B$130 = 'C'!$A$1:$A$2479, ROW('C'!$A$1:$A$2479) -
ROW('C'!$A$2) + 2), ROW(26:26))),"")</f>
        <v/>
      </c>
      <c r="E155" s="134">
        <f t="shared" si="15"/>
        <v>0</v>
      </c>
      <c r="F155" s="158">
        <f>SUMIF(Data!$N$2:$N$998,Disbursement!C155,Data!$D$2:$D$998)</f>
        <v>0</v>
      </c>
      <c r="G155" s="158">
        <f>IF(C155="",0,COUNTIF(Data!$N$2:$N$998,C155))</f>
        <v>0</v>
      </c>
      <c r="H155" s="158">
        <f>IF(C155="",0,CONCATENATE(COUNTIFS(Data!$N$2:$N$998,C155,Data!$O$2:$O$998,"New *")," New",", ",COUNTIFS(Data!$N$2:$N$998,C155,Data!$O$2:$O$998,"Repeat *")," Repeat"))</f>
        <v>0</v>
      </c>
      <c r="I155" s="132" t="str">
        <f>IF(OR(C155="DCOLLECTOR",C155="SAF2000",C155=""),"",VLOOKUP($C155,'C'!$C$1:$D$2479,2,FALSE))</f>
        <v/>
      </c>
      <c r="J155" s="133" t="str">
        <f>IF(OR(C155="DCOLLECTOR",C155="SAF2000",C155=""),"",VLOOKUP($C155,'C'!$C$1:$E$2479,3,FALSE))</f>
        <v/>
      </c>
      <c r="K155" s="134">
        <f t="shared" si="16"/>
        <v>0</v>
      </c>
      <c r="L155" s="134" t="str">
        <f t="shared" si="17"/>
        <v/>
      </c>
    </row>
    <row r="156" spans="1:12" s="48" customFormat="1" ht="13.5" customHeight="1" thickBot="1" x14ac:dyDescent="0.35">
      <c r="A156" s="847"/>
      <c r="B156" s="152" t="s">
        <v>1842</v>
      </c>
      <c r="C156" s="149">
        <f>COUNTIF(C130:C155,"?*")</f>
        <v>5</v>
      </c>
      <c r="D156" s="152"/>
      <c r="E156" s="151">
        <f>SUBTOTAL(9,E130:E155)</f>
        <v>2.8253414913976434E-2</v>
      </c>
      <c r="F156" s="147">
        <f>SUBTOTAL(9,F130:F155)</f>
        <v>5000000</v>
      </c>
      <c r="G156" s="147">
        <f>SUBTOTAL(9,G130:G155)</f>
        <v>1</v>
      </c>
      <c r="H156" s="147" t="str">
        <f>CONCATENATE(COUNTIFS(Data!$N$2:$N$998,C130,Data!$O$2:$O$998,"New *")+COUNTIFS(Data!$N$2:$N$998,C131,Data!$O$2:$O$998,"New *")+COUNTIFS(Data!$N$2:$N$998,#REF!,Data!$O$2:$O$998,"New *")+COUNTIFS(Data!$N$2:$N$998,C132,Data!$O$2:$O$998,"New *")+COUNTIFS(Data!$N$2:$N$998,C133,Data!$O$2:$O$998,"New *")+COUNTIFS(Data!$N$2:$N$998,C134,Data!$O$2:$O$998,"New *")+COUNTIFS(Data!$N$2:$N$998,C135,Data!$O$2:$O$998,"New *")+COUNTIFS(Data!$N$2:$N$998,C136,Data!$O$2:$O$998,"New *")+COUNTIFS(Data!$N$2:$N$998,C137,Data!$O$2:$O$998,"New *")+COUNTIFS(Data!$N$2:$N$998,C138,Data!$O$2:$O$998,"New *")+COUNTIFS(Data!$N$2:$N$998,C139,Data!$O$2:$O$998,"New *")+COUNTIFS(Data!$N$2:$N$998,C140,Data!$O$2:$O$998,"New *")+COUNTIFS(Data!$N$2:$N$998,C141,Data!$O$2:$O$998,"New *")+COUNTIFS(Data!$N$2:$N$998,C142,Data!$O$2:$O$998,"New *")+COUNTIFS(Data!$N$2:$N$998,C143,Data!$O$2:$O$998,"New *")+COUNTIFS(Data!$N$2:$N$998,C144,Data!$O$2:$O$998,"New *")+COUNTIFS(Data!$N$2:$N$998,C145,Data!$O$2:$O$998,"New *")+COUNTIFS(Data!$N$2:$N$998,C146,Data!$O$2:$O$998,"New *")+COUNTIFS(Data!$N$2:$N$998,C147,Data!$O$2:$O$998,"New *")+COUNTIFS(Data!$N$2:$N$998,C148,Data!$O$2:$O$998,"New *")+COUNTIFS(Data!$N$2:$N$998,C149,Data!$O$2:$O$998,"New *")+COUNTIFS(Data!$N$2:$N$998,C150,Data!$O$2:$O$998,"New *")+COUNTIFS(Data!$N$2:$N$998,C151,Data!$O$2:$O$998,"New *")+COUNTIFS(Data!$N$2:$N$998,C152,Data!$O$2:$O$998,"New *")+COUNTIFS(Data!$N$2:$N$998,C153,Data!$O$2:$O$998,"New *")+COUNTIFS(Data!$N$2:$N$998,C154,Data!$O$2:$O$998,"New *")+COUNTIFS(Data!$N$2:$N$998,C155,Data!$O$2:$O$998,"New *")," New",",",COUNTIFS(Data!$N$2:$N$998,C130,Data!$O$2:$O$998,"Repeat *")+COUNTIFS(Data!$N$2:$N$998,C131,Data!$O$2:$O$998,"Repeat *")+COUNTIFS(Data!$N$2:$N$998,#REF!,Data!$O$2:$O$998,"Repeat *")+COUNTIFS(Data!$N$2:$N$998,C132,Data!$O$2:$O$998,"Repeat *")+COUNTIFS(Data!$N$2:$N$998,C133,Data!$O$2:$O$998,"Repeat *")+COUNTIFS(Data!$N$2:$N$998,C134,Data!$O$2:$O$998,"Repeat *")+COUNTIFS(Data!$N$2:$N$998,C135,Data!$O$2:$O$998,"Repeat *")+COUNTIFS(Data!$N$2:$N$998,C136,Data!$O$2:$O$998,"Repeat *")+COUNTIFS(Data!$N$2:$N$998,C137,Data!$O$2:$O$998,"Repeat *")+COUNTIFS(Data!$N$2:$N$998,C138,Data!$O$2:$O$998,"Repeat *")+COUNTIFS(Data!$N$2:$N$998,C139,Data!$O$2:$O$998,"Repeat *")+COUNTIFS(Data!$N$2:$N$998,C140,Data!$O$2:$O$998,"Repeat *")+COUNTIFS(Data!$N$2:$N$998,C141,Data!$O$2:$O$998,"Repeat *")+COUNTIFS(Data!$N$2:$N$998,C142,Data!$O$2:$O$998,"Repeat *")+COUNTIFS(Data!$N$2:$N$998,C143,Data!$O$2:$O$998,"Repeat *")+COUNTIFS(Data!$N$2:$N$998,C144,Data!$O$2:$O$998,"Repeat *")+COUNTIFS(Data!$N$2:$N$998,C145,Data!$O$2:$O$998,"Repeat *")+COUNTIFS(Data!$N$2:$N$998,C146,Data!$O$2:$O$998,"Repeat *")+COUNTIFS(Data!$N$2:$N$998,C147,Data!$O$2:$O$998,"Repeat *")+COUNTIFS(Data!$N$2:$N$998,C148,Data!$O$2:$O$998,"Repeat *")+COUNTIFS(Data!$N$2:$N$998,C149,Data!$O$2:$O$998,"Repeat *")+COUNTIFS(Data!$N$2:$N$998,C150,Data!$O$2:$O$998,"Repeat *")+COUNTIFS(Data!$N$2:$N$998,C151,Data!$O$2:$O$998,"Repeat *")+COUNTIFS(Data!$N$2:$N$998,C152,Data!$O$2:$O$998,"Repeat *")+COUNTIFS(Data!$N$2:$N$998,C153,Data!$O$2:$O$998,"Repeat *")+COUNTIFS(Data!$N$2:$N$998,C154,Data!$O$2:$O$998,"Repeat *")+COUNTIFS(Data!$N$2:$N$998,C155,Data!$O$2:$O$998,"Repeat *"), " Repeat")</f>
        <v>0 New,1 Repeat</v>
      </c>
      <c r="I156" s="149">
        <f>SUBTOTAL(9,I130:I155)</f>
        <v>70</v>
      </c>
      <c r="J156" s="150">
        <f>SUBTOTAL(9,J130:J155)</f>
        <v>485000000</v>
      </c>
      <c r="K156" s="151">
        <f>IF(OR(I156="",ISERROR(G156/I156)),0,(G156)/I156)</f>
        <v>1.4285714285714285E-2</v>
      </c>
      <c r="L156" s="151">
        <f>IF(OR(J156="",ISERROR(F156/J156)),"",F156/J156)</f>
        <v>1.0309278350515464E-2</v>
      </c>
    </row>
    <row r="157" spans="1:12" s="48" customFormat="1" ht="15" hidden="1" x14ac:dyDescent="0.25">
      <c r="A157" s="847"/>
      <c r="B157" s="845" t="s">
        <v>967</v>
      </c>
      <c r="C157" s="157"/>
      <c r="D157" s="132"/>
      <c r="E157" s="134">
        <f t="shared" ref="E157:E181" si="18">F157/$F$219</f>
        <v>0</v>
      </c>
      <c r="F157" s="158">
        <f>SUMIF(Data!$N$2:$N$998,Disbursement!C157,Data!$D$2:$D$998)</f>
        <v>0</v>
      </c>
      <c r="G157" s="158">
        <f>IF(C157="",0,COUNTIF(Data!$N$2:$N$998,C157))</f>
        <v>0</v>
      </c>
      <c r="H157" s="158">
        <f>IF(C157="",0,CONCATENATE(COUNTIFS(Data!$N$2:$N$998,C157,Data!$O$2:$O$998,"New *")," New",", ",COUNTIFS(Data!$N$2:$N$998,C157,Data!$O$2:$O$998,"Repeat *")," Repeat"))</f>
        <v>0</v>
      </c>
      <c r="I157" s="132" t="str">
        <f>IF(OR(C157="DCOLLECTOR",C157="SAF2000",C157=""),"",VLOOKUP($C157,'C'!$C$1:$D$2479,2,FALSE))</f>
        <v/>
      </c>
      <c r="J157" s="133" t="str">
        <f>IF(OR(C157="DCOLLECTOR",C157="SAF2000",C157=""),"",VLOOKUP($C157,'C'!$C$1:$E$2479,3,FALSE))</f>
        <v/>
      </c>
      <c r="K157" s="134">
        <f>IFERROR(IF(I157="",0,(G157)/I157),"")</f>
        <v>0</v>
      </c>
      <c r="L157" s="134" t="str">
        <f>IFERROR(IF(J157="","",F157/J157),"")</f>
        <v/>
      </c>
    </row>
    <row r="158" spans="1:12" s="48" customFormat="1" ht="17.25" customHeight="1" x14ac:dyDescent="0.25">
      <c r="A158" s="847"/>
      <c r="B158" s="844"/>
      <c r="C158" s="157" t="str">
        <f t="array" ref="C158">IFERROR(INDEX('C'!$C$1:$C$2479, SMALL(IF($B$157 = 'C'!$A$1:$A$2479, ROW('C'!$A$1:$A$2479) -
ROW('C'!$A$2) + 2), ROW(2:2))),"")</f>
        <v>JNYAKATE</v>
      </c>
      <c r="D158" s="132" t="str">
        <f t="array" ref="D158">IFERROR(INDEX('C'!$B$1:$B$2479, SMALL(IF($B$157 = 'C'!$A$1:$A$2479, ROW('C'!$A$1:$A$2479) -
ROW('C'!$A$2) + 2), ROW(2:2))),"")</f>
        <v>WTM</v>
      </c>
      <c r="E158" s="134">
        <f t="shared" si="18"/>
        <v>0</v>
      </c>
      <c r="F158" s="158">
        <f>SUMIF(Data!$N$2:$N$998,Disbursement!C158,Data!$D$2:$D$998)</f>
        <v>0</v>
      </c>
      <c r="G158" s="158">
        <f>IF(C158="",0,COUNTIF(Data!$N$2:$N$998,C158))</f>
        <v>0</v>
      </c>
      <c r="H158" s="158" t="str">
        <f>IF(C158="",0,CONCATENATE(COUNTIFS(Data!$N$2:$N$998,C158,Data!$O$2:$O$998,"New *")," New",", ",COUNTIFS(Data!$N$2:$N$998,C158,Data!$O$2:$O$998,"Repeat *")," Repeat"))</f>
        <v>0 New, 0 Repeat</v>
      </c>
      <c r="I158" s="132">
        <f>IF(OR(C158="DCOLLECTOR",C158="SAF2000",C158=""),"",VLOOKUP($C158,'C'!$C$1:$D$2479,2,FALSE))</f>
        <v>15</v>
      </c>
      <c r="J158" s="133">
        <f>IF(OR(C158="DCOLLECTOR",C158="SAF2000",C158=""),"",VLOOKUP($C158,'C'!$C$1:$E$2479,3,FALSE))</f>
        <v>100000000</v>
      </c>
      <c r="K158" s="134">
        <f t="shared" ref="K158:K181" si="19">IFERROR(IF(I158="",0,(G158)/I158),"")</f>
        <v>0</v>
      </c>
      <c r="L158" s="134">
        <f t="shared" ref="L158:L181" si="20">IFERROR(IF(J158="","",F158/J158),"")</f>
        <v>0</v>
      </c>
    </row>
    <row r="159" spans="1:12" s="48" customFormat="1" ht="14.25" customHeight="1" x14ac:dyDescent="0.25">
      <c r="A159" s="847"/>
      <c r="B159" s="844"/>
      <c r="C159" s="157" t="str">
        <f t="array" ref="C159">IFERROR(INDEX('C'!$C$1:$C$2479, SMALL(IF($B$157 = 'C'!$A$1:$A$2479, ROW('C'!$A$1:$A$2479) -
ROW('C'!$A$2) + 2), ROW(3:3))),"")</f>
        <v>SKATENDE</v>
      </c>
      <c r="D159" s="132" t="str">
        <f t="array" ref="D159">IFERROR(INDEX('C'!$B$1:$B$2479, SMALL(IF($B$157 = 'C'!$A$1:$A$2479, ROW('C'!$A$1:$A$2479) -
ROW('C'!$A$2) + 2), ROW(3:3))),"")</f>
        <v>WTM</v>
      </c>
      <c r="E159" s="134">
        <f t="shared" si="18"/>
        <v>2.2602731931181147E-2</v>
      </c>
      <c r="F159" s="158">
        <f>SUMIF(Data!$N$2:$N$998,Disbursement!C159,Data!$D$2:$D$998)</f>
        <v>4000000</v>
      </c>
      <c r="G159" s="93">
        <f>IF(C159="",0,COUNTIF(Data!$N$2:$N$998,C159))</f>
        <v>1</v>
      </c>
      <c r="H159" s="93" t="str">
        <f>IF(C159="",0,CONCATENATE(COUNTIFS(Data!$N$2:$N$998,C159,Data!$O$2:$O$998,"New *")," New",", ",COUNTIFS(Data!$N$2:$N$998,C159,Data!$O$2:$O$998,"Repeat *")," Repeat"))</f>
        <v>1 New, 0 Repeat</v>
      </c>
      <c r="I159" s="343">
        <f>IF(OR(C159="DCOLLECTOR",C159="SAF2000",C159=""),"",VLOOKUP($C159,'C'!$C$1:$D$2479,2,FALSE))</f>
        <v>10</v>
      </c>
      <c r="J159" s="345">
        <f>IF(OR(C159="DCOLLECTOR",C159="SAF2000",C159=""),"",VLOOKUP($C159,'C'!$C$1:$E$2479,3,FALSE))</f>
        <v>85000000</v>
      </c>
      <c r="K159" s="134">
        <f t="shared" si="19"/>
        <v>0.1</v>
      </c>
      <c r="L159" s="134">
        <f t="shared" si="20"/>
        <v>4.7058823529411764E-2</v>
      </c>
    </row>
    <row r="160" spans="1:12" s="48" customFormat="1" ht="15" customHeight="1" x14ac:dyDescent="0.25">
      <c r="A160" s="847"/>
      <c r="B160" s="844"/>
      <c r="C160" s="157" t="str">
        <f t="array" ref="C160">IFERROR(INDEX('C'!$C$1:$C$2479, SMALL(IF($B$157 = 'C'!$A$1:$A$2479, ROW('C'!$A$1:$A$2479) -
ROW('C'!$A$2) + 2), ROW(4:4))),"")</f>
        <v>SOJAMBO</v>
      </c>
      <c r="D160" s="132" t="str">
        <f t="array" ref="D160">IFERROR(INDEX('C'!$B$1:$B$2479, SMALL(IF($B$157 = 'C'!$A$1:$A$2479, ROW('C'!$A$1:$A$2479) -
ROW('C'!$A$2) + 2), ROW(4:4))),"")</f>
        <v>WTM</v>
      </c>
      <c r="E160" s="134">
        <f t="shared" si="18"/>
        <v>0</v>
      </c>
      <c r="F160" s="158">
        <f>SUMIF(Data!$N$2:$N$998,Disbursement!C160,Data!$D$2:$D$998)</f>
        <v>0</v>
      </c>
      <c r="G160" s="93">
        <f>IF(C160="",0,COUNTIF(Data!$N$2:$N$998,C160))</f>
        <v>0</v>
      </c>
      <c r="H160" s="93" t="str">
        <f>IF(C160="",0,CONCATENATE(COUNTIFS(Data!$N$2:$N$998,C160,Data!$O$2:$O$998,"New *")," New",", ",COUNTIFS(Data!$N$2:$N$998,C160,Data!$O$2:$O$998,"Repeat *")," Repeat"))</f>
        <v>0 New, 0 Repeat</v>
      </c>
      <c r="I160" s="343">
        <f>IF(OR(C160="DCOLLECTOR",C160="SAF2000",C160=""),"",VLOOKUP($C160,'C'!$C$1:$D$2479,2,FALSE))</f>
        <v>10</v>
      </c>
      <c r="J160" s="345">
        <f>IF(OR(C160="DCOLLECTOR",C160="SAF2000",C160=""),"",VLOOKUP($C160,'C'!$C$1:$E$2479,3,FALSE))</f>
        <v>85000000</v>
      </c>
      <c r="K160" s="134">
        <f t="shared" si="19"/>
        <v>0</v>
      </c>
      <c r="L160" s="134">
        <f t="shared" si="20"/>
        <v>0</v>
      </c>
    </row>
    <row r="161" spans="1:12" s="48" customFormat="1" ht="15.6" thickBot="1" x14ac:dyDescent="0.3">
      <c r="A161" s="847"/>
      <c r="B161" s="844"/>
      <c r="C161" s="157" t="str">
        <f t="array" ref="C161">IFERROR(INDEX('C'!$C$1:$C$2479, SMALL(IF($B$157 = 'C'!$A$1:$A$2479, ROW('C'!$A$1:$A$2479) -
ROW('C'!$A$2) + 2), ROW(5:5))),"")</f>
        <v>JTUSIIME</v>
      </c>
      <c r="D161" s="132" t="str">
        <f t="array" ref="D161">IFERROR(INDEX('C'!$B$1:$B$2479, SMALL(IF($B$157 = 'C'!$A$1:$A$2479, ROW('C'!$A$1:$A$2479) -
ROW('C'!$A$2) + 2), ROW(5:5))),"")</f>
        <v>WTM</v>
      </c>
      <c r="E161" s="134">
        <f t="shared" si="18"/>
        <v>0</v>
      </c>
      <c r="F161" s="158">
        <f>SUMIF(Data!$N$2:$N$998,Disbursement!C161,Data!$D$2:$D$998)</f>
        <v>0</v>
      </c>
      <c r="G161" s="158">
        <f>IF(C161="",0,COUNTIF(Data!$N$2:$N$998,C161))</f>
        <v>0</v>
      </c>
      <c r="H161" s="158" t="str">
        <f>IF(C161="",0,CONCATENATE(COUNTIFS(Data!$N$2:$N$998,C161,Data!$O$2:$O$998,"New *")," New",", ",COUNTIFS(Data!$N$2:$N$998,C161,Data!$O$2:$O$998,"Repeat *")," Repeat"))</f>
        <v>0 New, 0 Repeat</v>
      </c>
      <c r="I161" s="132">
        <f>IF(OR(C161="DCOLLECTOR",C161="SAF2000",C161=""),"",VLOOKUP($C161,'C'!$C$1:$D$2479,2,FALSE))</f>
        <v>10</v>
      </c>
      <c r="J161" s="133">
        <f>IF(OR(C161="DCOLLECTOR",C161="SAF2000",C161=""),"",VLOOKUP($C161,'C'!$C$1:$E$2479,3,FALSE))</f>
        <v>85000000</v>
      </c>
      <c r="K161" s="134">
        <f t="shared" si="19"/>
        <v>0</v>
      </c>
      <c r="L161" s="134">
        <f t="shared" si="20"/>
        <v>0</v>
      </c>
    </row>
    <row r="162" spans="1:12" s="48" customFormat="1" ht="15.6" hidden="1" thickBot="1" x14ac:dyDescent="0.3">
      <c r="A162" s="847"/>
      <c r="B162" s="844"/>
      <c r="C162" s="157" t="str">
        <f t="array" ref="C162">IFERROR(INDEX('C'!$C$1:$C$2479, SMALL(IF($B$157 = 'C'!$A$1:$A$2479, ROW('C'!$A$1:$A$2479) -
ROW('C'!$A$2) + 2), ROW(6:6))),"")</f>
        <v/>
      </c>
      <c r="D162" s="132" t="str">
        <f t="array" ref="D162">IFERROR(INDEX('C'!$B$1:$B$2479, SMALL(IF($B$157 = 'C'!$A$1:$A$2479, ROW('C'!$A$1:$A$2479) -
ROW('C'!$A$2) + 2), ROW(6:6))),"")</f>
        <v/>
      </c>
      <c r="E162" s="134">
        <f t="shared" si="18"/>
        <v>0</v>
      </c>
      <c r="F162" s="158">
        <f>SUMIF(Data!$N$2:$N$998,Disbursement!C162,Data!$D$2:$D$998)</f>
        <v>0</v>
      </c>
      <c r="G162" s="158">
        <f>IF(C162="",0,COUNTIF(Data!$N$2:$N$998,C162))</f>
        <v>0</v>
      </c>
      <c r="H162" s="158">
        <f>IF(C162="",0,CONCATENATE(COUNTIFS(Data!$N$2:$N$998,C162,Data!$O$2:$O$998,"New *")," New",", ",COUNTIFS(Data!$N$2:$N$998,C162,Data!$O$2:$O$998,"Repeat *")," Repeat"))</f>
        <v>0</v>
      </c>
      <c r="I162" s="132" t="str">
        <f>IF(OR(C162="DCOLLECTOR",C162="SAF2000",C162=""),"",VLOOKUP($C162,'C'!$C$1:$D$2479,2,FALSE))</f>
        <v/>
      </c>
      <c r="J162" s="133" t="str">
        <f>IF(OR(C162="DCOLLECTOR",C162="SAF2000",C162=""),"",VLOOKUP($C162,'C'!$C$1:$E$2479,3,FALSE))</f>
        <v/>
      </c>
      <c r="K162" s="134">
        <f t="shared" si="19"/>
        <v>0</v>
      </c>
      <c r="L162" s="134" t="str">
        <f t="shared" si="20"/>
        <v/>
      </c>
    </row>
    <row r="163" spans="1:12" s="48" customFormat="1" ht="15.6" hidden="1" thickBot="1" x14ac:dyDescent="0.3">
      <c r="A163" s="847"/>
      <c r="B163" s="844"/>
      <c r="C163" s="157" t="str">
        <f t="array" ref="C163">IFERROR(INDEX('C'!$C$1:$C$2479, SMALL(IF($B$157 = 'C'!$A$1:$A$2479, ROW('C'!$A$1:$A$2479) -
ROW('C'!$A$2) + 2), ROW(7:7))),"")</f>
        <v/>
      </c>
      <c r="D163" s="132" t="str">
        <f t="array" ref="D163">IFERROR(INDEX('C'!$B$1:$B$2479, SMALL(IF($B$157 = 'C'!$A$1:$A$2479, ROW('C'!$A$1:$A$2479) -
ROW('C'!$A$2) + 2), ROW(7:7))),"")</f>
        <v/>
      </c>
      <c r="E163" s="134">
        <f t="shared" si="18"/>
        <v>0</v>
      </c>
      <c r="F163" s="158">
        <f>SUMIF(Data!$N$2:$N$998,Disbursement!C163,Data!$D$2:$D$998)</f>
        <v>0</v>
      </c>
      <c r="G163" s="158">
        <f>IF(C163="",0,COUNTIF(Data!$N$2:$N$998,C163))</f>
        <v>0</v>
      </c>
      <c r="H163" s="158">
        <f>IF(C163="",0,CONCATENATE(COUNTIFS(Data!$N$2:$N$998,C163,Data!$O$2:$O$998,"New *")," New",", ",COUNTIFS(Data!$N$2:$N$998,C163,Data!$O$2:$O$998,"Repeat *")," Repeat"))</f>
        <v>0</v>
      </c>
      <c r="I163" s="132" t="str">
        <f>IF(OR(C163="DCOLLECTOR",C163="SAF2000",C163=""),"",VLOOKUP($C163,'C'!$C$1:$D$2479,2,FALSE))</f>
        <v/>
      </c>
      <c r="J163" s="133" t="str">
        <f>IF(OR(C163="DCOLLECTOR",C163="SAF2000",C163=""),"",VLOOKUP($C163,'C'!$C$1:$E$2479,3,FALSE))</f>
        <v/>
      </c>
      <c r="K163" s="134">
        <f t="shared" si="19"/>
        <v>0</v>
      </c>
      <c r="L163" s="134" t="str">
        <f t="shared" si="20"/>
        <v/>
      </c>
    </row>
    <row r="164" spans="1:12" s="48" customFormat="1" ht="15.6" hidden="1" thickBot="1" x14ac:dyDescent="0.3">
      <c r="A164" s="847"/>
      <c r="B164" s="844"/>
      <c r="C164" s="157" t="str">
        <f t="array" ref="C164">IFERROR(INDEX('C'!$C$1:$C$2479, SMALL(IF($B$157 = 'C'!$A$1:$A$2479, ROW('C'!$A$1:$A$2479) -
ROW('C'!$A$2) + 2), ROW(8:8))),"")</f>
        <v/>
      </c>
      <c r="D164" s="132" t="str">
        <f t="array" ref="D164">IFERROR(INDEX('C'!$B$1:$B$2479, SMALL(IF($B$157 = 'C'!$A$1:$A$2479, ROW('C'!$A$1:$A$2479) -
ROW('C'!$A$2) + 2), ROW(9:9))),"")</f>
        <v/>
      </c>
      <c r="E164" s="134">
        <f t="shared" si="18"/>
        <v>0</v>
      </c>
      <c r="F164" s="158">
        <f>SUMIF(Data!$N$2:$N$998,Disbursement!C164,Data!$D$2:$D$998)</f>
        <v>0</v>
      </c>
      <c r="G164" s="158">
        <f>IF(C164="",0,COUNTIF(Data!$N$2:$N$998,C164))</f>
        <v>0</v>
      </c>
      <c r="H164" s="158">
        <f>IF(C164="",0,CONCATENATE(COUNTIFS(Data!$N$2:$N$998,C164,Data!$O$2:$O$998,"New *")," New",", ",COUNTIFS(Data!$N$2:$N$998,C164,Data!$O$2:$O$998,"Repeat *")," Repeat"))</f>
        <v>0</v>
      </c>
      <c r="I164" s="132" t="str">
        <f>IF(OR(C164="DCOLLECTOR",C164="SAF2000",C164=""),"",VLOOKUP($C164,'C'!$C$1:$D$2479,2,FALSE))</f>
        <v/>
      </c>
      <c r="J164" s="133" t="str">
        <f>IF(OR(C164="DCOLLECTOR",C164="SAF2000",C164=""),"",VLOOKUP($C164,'C'!$C$1:$E$2479,3,FALSE))</f>
        <v/>
      </c>
      <c r="K164" s="134">
        <f t="shared" si="19"/>
        <v>0</v>
      </c>
      <c r="L164" s="134" t="str">
        <f t="shared" si="20"/>
        <v/>
      </c>
    </row>
    <row r="165" spans="1:12" s="48" customFormat="1" ht="15" hidden="1" x14ac:dyDescent="0.25">
      <c r="A165" s="847"/>
      <c r="B165" s="844"/>
      <c r="C165" s="157" t="str">
        <f t="array" ref="C165">IFERROR(INDEX('C'!$C$1:$C$2479, SMALL(IF($B$157 = 'C'!$A$1:$A$2479, ROW('C'!$A$1:$A$2479) -
ROW('C'!$A$2) + 2), ROW(9:9))),"")</f>
        <v/>
      </c>
      <c r="D165" s="132" t="str">
        <f t="array" ref="D165">IFERROR(INDEX('C'!$B$1:$B$2479, SMALL(IF($B$157 = 'C'!$A$1:$A$2479, ROW('C'!$A$1:$A$2479) -
ROW('C'!$A$2) + 2), ROW(10:10))),"")</f>
        <v/>
      </c>
      <c r="E165" s="134">
        <f t="shared" si="18"/>
        <v>0</v>
      </c>
      <c r="F165" s="158">
        <f>SUMIF(Data!$N$2:$N$998,Disbursement!C165,Data!$D$2:$D$998)</f>
        <v>0</v>
      </c>
      <c r="G165" s="158">
        <f>IF(C165="",0,COUNTIF(Data!$N$2:$N$998,C165))</f>
        <v>0</v>
      </c>
      <c r="H165" s="158">
        <f>IF(C165="",0,CONCATENATE(COUNTIFS(Data!$N$2:$N$998,C165,Data!$O$2:$O$998,"New *")," New",", ",COUNTIFS(Data!$N$2:$N$998,C165,Data!$O$2:$O$998,"Repeat *")," Repeat"))</f>
        <v>0</v>
      </c>
      <c r="I165" s="132" t="str">
        <f>IF(OR(C165="DCOLLECTOR",C165="SAF2000",C165=""),"",VLOOKUP($C165,'C'!$C$1:$D$2479,2,FALSE))</f>
        <v/>
      </c>
      <c r="J165" s="133" t="str">
        <f>IF(OR(C165="DCOLLECTOR",C165="SAF2000",C165=""),"",VLOOKUP($C165,'C'!$C$1:$E$2479,3,FALSE))</f>
        <v/>
      </c>
      <c r="K165" s="134">
        <f t="shared" si="19"/>
        <v>0</v>
      </c>
      <c r="L165" s="134" t="str">
        <f t="shared" si="20"/>
        <v/>
      </c>
    </row>
    <row r="166" spans="1:12" s="48" customFormat="1" ht="15" hidden="1" x14ac:dyDescent="0.25">
      <c r="A166" s="847"/>
      <c r="B166" s="844"/>
      <c r="C166" s="157" t="str">
        <f t="array" ref="C166">IFERROR(INDEX('C'!$C$1:$C$2479, SMALL(IF($B$157 = 'C'!$A$1:$A$2479, ROW('C'!$A$1:$A$2479) -
ROW('C'!$A$2) + 2), ROW(10:10))),"")</f>
        <v/>
      </c>
      <c r="D166" s="132" t="str">
        <f t="array" ref="D166">IFERROR(INDEX('C'!$B$1:$B$2479, SMALL(IF($B$157 = 'C'!$A$1:$A$2479, ROW('C'!$A$1:$A$2479) -
ROW('C'!$A$2) + 2), ROW(11:11))),"")</f>
        <v/>
      </c>
      <c r="E166" s="134">
        <f t="shared" si="18"/>
        <v>0</v>
      </c>
      <c r="F166" s="158">
        <f>SUMIF(Data!$N$2:$N$998,Disbursement!C166,Data!$D$2:$D$998)</f>
        <v>0</v>
      </c>
      <c r="G166" s="158">
        <f>IF(C166="",0,COUNTIF(Data!$N$2:$N$998,C166))</f>
        <v>0</v>
      </c>
      <c r="H166" s="158">
        <f>IF(C166="",0,CONCATENATE(COUNTIFS(Data!$N$2:$N$998,C166,Data!$O$2:$O$998,"New *")," New",", ",COUNTIFS(Data!$N$2:$N$998,C166,Data!$O$2:$O$998,"Repeat *")," Repeat"))</f>
        <v>0</v>
      </c>
      <c r="I166" s="132" t="str">
        <f>IF(OR(C166="DCOLLECTOR",C166="SAF2000",C166=""),"",VLOOKUP($C166,'C'!$C$1:$D$2479,2,FALSE))</f>
        <v/>
      </c>
      <c r="J166" s="133" t="str">
        <f>IF(OR(C166="DCOLLECTOR",C166="SAF2000",C166=""),"",VLOOKUP($C166,'C'!$C$1:$E$2479,3,FALSE))</f>
        <v/>
      </c>
      <c r="K166" s="134">
        <f t="shared" si="19"/>
        <v>0</v>
      </c>
      <c r="L166" s="134" t="str">
        <f t="shared" si="20"/>
        <v/>
      </c>
    </row>
    <row r="167" spans="1:12" s="48" customFormat="1" ht="15" hidden="1" x14ac:dyDescent="0.25">
      <c r="A167" s="847"/>
      <c r="B167" s="844"/>
      <c r="C167" s="157" t="str">
        <f t="array" ref="C167">IFERROR(INDEX('C'!$C$1:$C$2479, SMALL(IF($B$157 = 'C'!$A$1:$A$2479, ROW('C'!$A$1:$A$2479) -
ROW('C'!$A$2) + 2), ROW(12:12))),"")</f>
        <v/>
      </c>
      <c r="D167" s="132" t="str">
        <f t="array" ref="D167">IFERROR(INDEX('C'!$B$1:$B$2479, SMALL(IF($B$157 = 'C'!$A$1:$A$2479, ROW('C'!$A$1:$A$2479) -
ROW('C'!$A$2) + 2), ROW(12:12))),"")</f>
        <v/>
      </c>
      <c r="E167" s="134">
        <f t="shared" si="18"/>
        <v>0</v>
      </c>
      <c r="F167" s="158">
        <f>SUMIF(Data!$N$2:$N$998,Disbursement!C167,Data!$D$2:$D$998)</f>
        <v>0</v>
      </c>
      <c r="G167" s="158">
        <f>IF(C167="",0,COUNTIF(Data!$N$2:$N$998,C167))</f>
        <v>0</v>
      </c>
      <c r="H167" s="158">
        <f>IF(C167="",0,CONCATENATE(COUNTIFS(Data!$N$2:$N$998,C167,Data!$O$2:$O$998,"New *")," New",", ",COUNTIFS(Data!$N$2:$N$998,C167,Data!$O$2:$O$998,"Repeat *")," Repeat"))</f>
        <v>0</v>
      </c>
      <c r="I167" s="132" t="str">
        <f>IF(OR(C167="DCOLLECTOR",C167="SAF2000",C167=""),"",VLOOKUP($C167,'C'!$C$1:$D$2479,2,FALSE))</f>
        <v/>
      </c>
      <c r="J167" s="133" t="str">
        <f>IF(OR(C167="DCOLLECTOR",C167="SAF2000",C167=""),"",VLOOKUP($C167,'C'!$C$1:$E$2479,3,FALSE))</f>
        <v/>
      </c>
      <c r="K167" s="134">
        <f t="shared" si="19"/>
        <v>0</v>
      </c>
      <c r="L167" s="134" t="str">
        <f t="shared" si="20"/>
        <v/>
      </c>
    </row>
    <row r="168" spans="1:12" s="48" customFormat="1" ht="15" hidden="1" x14ac:dyDescent="0.25">
      <c r="A168" s="847"/>
      <c r="B168" s="844"/>
      <c r="C168" s="157" t="str">
        <f t="array" ref="C168">IFERROR(INDEX('C'!$C$1:$C$2479, SMALL(IF($B$157 = 'C'!$A$1:$A$2479, ROW('C'!$A$1:$A$2479) -
ROW('C'!$A$2) + 2), ROW(13:13))),"")</f>
        <v/>
      </c>
      <c r="D168" s="132" t="str">
        <f t="array" ref="D168">IFERROR(INDEX('C'!$B$1:$B$2479, SMALL(IF($B$157 = 'C'!$A$1:$A$2479, ROW('C'!$A$1:$A$2479) -
ROW('C'!$A$2) + 2), ROW(#REF!))),"")</f>
        <v/>
      </c>
      <c r="E168" s="134">
        <f t="shared" si="18"/>
        <v>0</v>
      </c>
      <c r="F168" s="158">
        <f>SUMIF(Data!$N$2:$N$998,Disbursement!C168,Data!$D$2:$D$998)</f>
        <v>0</v>
      </c>
      <c r="G168" s="158">
        <f>IF(C168="",0,COUNTIF(Data!$N$2:$N$998,C168))</f>
        <v>0</v>
      </c>
      <c r="H168" s="158">
        <f>IF(C168="",0,CONCATENATE(COUNTIFS(Data!$N$2:$N$998,C168,Data!$O$2:$O$998,"New *")," New",", ",COUNTIFS(Data!$N$2:$N$998,C168,Data!$O$2:$O$998,"Repeat *")," Repeat"))</f>
        <v>0</v>
      </c>
      <c r="I168" s="132" t="str">
        <f>IF(OR(C168="DCOLLECTOR",C168="SAF2000",C168=""),"",VLOOKUP($C168,'C'!$C$1:$D$2479,2,FALSE))</f>
        <v/>
      </c>
      <c r="J168" s="133" t="str">
        <f>IF(OR(C168="DCOLLECTOR",C168="SAF2000",C168=""),"",VLOOKUP($C168,'C'!$C$1:$E$2479,3,FALSE))</f>
        <v/>
      </c>
      <c r="K168" s="134">
        <f t="shared" si="19"/>
        <v>0</v>
      </c>
      <c r="L168" s="134" t="str">
        <f t="shared" si="20"/>
        <v/>
      </c>
    </row>
    <row r="169" spans="1:12" s="48" customFormat="1" ht="15" hidden="1" x14ac:dyDescent="0.25">
      <c r="A169" s="847"/>
      <c r="B169" s="844"/>
      <c r="C169" s="157" t="str">
        <f t="array" ref="C169">IFERROR(INDEX('C'!$C$1:$C$2479, SMALL(IF($B$157 = 'C'!$A$1:$A$2479, ROW('C'!$A$1:$A$2479) -
ROW('C'!$A$2) + 2), ROW(14:14))),"")</f>
        <v/>
      </c>
      <c r="D169" s="132" t="str">
        <f t="array" ref="D169">IFERROR(INDEX('C'!$B$1:$B$2479, SMALL(IF($B$157 = 'C'!$A$1:$A$2479, ROW('C'!$A$1:$A$2479) -
ROW('C'!$A$2) + 2), ROW(13:13))),"")</f>
        <v/>
      </c>
      <c r="E169" s="134">
        <f t="shared" si="18"/>
        <v>0</v>
      </c>
      <c r="F169" s="158">
        <f>SUMIF(Data!$N$2:$N$998,Disbursement!C169,Data!$D$2:$D$998)</f>
        <v>0</v>
      </c>
      <c r="G169" s="158">
        <f>IF(C169="",0,COUNTIF(Data!$N$2:$N$998,C169))</f>
        <v>0</v>
      </c>
      <c r="H169" s="158">
        <f>IF(C169="",0,CONCATENATE(COUNTIFS(Data!$N$2:$N$998,C169,Data!$O$2:$O$998,"New *")," New",", ",COUNTIFS(Data!$N$2:$N$998,C169,Data!$O$2:$O$998,"Repeat *")," Repeat"))</f>
        <v>0</v>
      </c>
      <c r="I169" s="132" t="str">
        <f>IF(OR(C169="DCOLLECTOR",C169="SAF2000",C169=""),"",VLOOKUP($C169,'C'!$C$1:$D$2479,2,FALSE))</f>
        <v/>
      </c>
      <c r="J169" s="133" t="str">
        <f>IF(OR(C169="DCOLLECTOR",C169="SAF2000",C169=""),"",VLOOKUP($C169,'C'!$C$1:$E$2479,3,FALSE))</f>
        <v/>
      </c>
      <c r="K169" s="134">
        <f t="shared" si="19"/>
        <v>0</v>
      </c>
      <c r="L169" s="134" t="str">
        <f t="shared" si="20"/>
        <v/>
      </c>
    </row>
    <row r="170" spans="1:12" s="48" customFormat="1" ht="15" hidden="1" x14ac:dyDescent="0.25">
      <c r="A170" s="847"/>
      <c r="B170" s="844"/>
      <c r="C170" s="157" t="str">
        <f t="array" ref="C170">IFERROR(INDEX('C'!$C$1:$C$2479, SMALL(IF($B$157 = 'C'!$A$1:$A$2479, ROW('C'!$A$1:$A$2479) -
ROW('C'!$A$2) + 2), ROW(15:15))),"")</f>
        <v/>
      </c>
      <c r="D170" s="132" t="str">
        <f t="array" ref="D170">IFERROR(INDEX('C'!$B$1:$B$2479, SMALL(IF($B$157 = 'C'!$A$1:$A$2479, ROW('C'!$A$1:$A$2479) -
ROW('C'!$A$2) + 2), ROW(14:14))),"")</f>
        <v/>
      </c>
      <c r="E170" s="134">
        <f t="shared" si="18"/>
        <v>0</v>
      </c>
      <c r="F170" s="158">
        <f>SUMIF(Data!$N$2:$N$998,Disbursement!C170,Data!$D$2:$D$998)</f>
        <v>0</v>
      </c>
      <c r="G170" s="158">
        <f>IF(C170="",0,COUNTIF(Data!$N$2:$N$998,C170))</f>
        <v>0</v>
      </c>
      <c r="H170" s="158">
        <f>IF(C170="",0,CONCATENATE(COUNTIFS(Data!$N$2:$N$998,C170,Data!$O$2:$O$998,"New *")," New",", ",COUNTIFS(Data!$N$2:$N$998,C170,Data!$O$2:$O$998,"Repeat *")," Repeat"))</f>
        <v>0</v>
      </c>
      <c r="I170" s="132" t="str">
        <f>IF(OR(C170="DCOLLECTOR",C170="SAF2000",C170=""),"",VLOOKUP($C170,'C'!$C$1:$D$2479,2,FALSE))</f>
        <v/>
      </c>
      <c r="J170" s="133" t="str">
        <f>IF(OR(C170="DCOLLECTOR",C170="SAF2000",C170=""),"",VLOOKUP($C170,'C'!$C$1:$E$2479,3,FALSE))</f>
        <v/>
      </c>
      <c r="K170" s="134">
        <f t="shared" si="19"/>
        <v>0</v>
      </c>
      <c r="L170" s="134" t="str">
        <f t="shared" si="20"/>
        <v/>
      </c>
    </row>
    <row r="171" spans="1:12" s="48" customFormat="1" ht="15" hidden="1" x14ac:dyDescent="0.25">
      <c r="A171" s="847"/>
      <c r="B171" s="844"/>
      <c r="C171" s="157" t="str">
        <f t="array" ref="C171">IFERROR(INDEX('C'!$C$1:$C$2479, SMALL(IF($B$157 = 'C'!$A$1:$A$2479, ROW('C'!$A$1:$A$2479) -
ROW('C'!$A$2) + 2), ROW(16:16))),"")</f>
        <v/>
      </c>
      <c r="D171" s="132" t="str">
        <f t="array" ref="D171">IFERROR(INDEX('C'!$B$1:$B$2479, SMALL(IF($B$157 = 'C'!$A$1:$A$2479, ROW('C'!$A$1:$A$2479) -
ROW('C'!$A$2) + 2), ROW(15:15))),"")</f>
        <v/>
      </c>
      <c r="E171" s="134">
        <f t="shared" si="18"/>
        <v>0</v>
      </c>
      <c r="F171" s="158">
        <f>SUMIF(Data!$N$2:$N$998,Disbursement!C171,Data!$D$2:$D$998)</f>
        <v>0</v>
      </c>
      <c r="G171" s="158">
        <f>IF(C171="",0,COUNTIF(Data!$N$2:$N$998,C171))</f>
        <v>0</v>
      </c>
      <c r="H171" s="158">
        <f>IF(C171="",0,CONCATENATE(COUNTIFS(Data!$N$2:$N$998,C171,Data!$O$2:$O$998,"New *")," New",", ",COUNTIFS(Data!$N$2:$N$998,C171,Data!$O$2:$O$998,"Repeat *")," Repeat"))</f>
        <v>0</v>
      </c>
      <c r="I171" s="132" t="str">
        <f>IF(OR(C171="DCOLLECTOR",C171="SAF2000",C171=""),"",VLOOKUP($C171,'C'!$C$1:$D$2479,2,FALSE))</f>
        <v/>
      </c>
      <c r="J171" s="133" t="str">
        <f>IF(OR(C171="DCOLLECTOR",C171="SAF2000",C171=""),"",VLOOKUP($C171,'C'!$C$1:$E$2479,3,FALSE))</f>
        <v/>
      </c>
      <c r="K171" s="134">
        <f t="shared" si="19"/>
        <v>0</v>
      </c>
      <c r="L171" s="134" t="str">
        <f t="shared" si="20"/>
        <v/>
      </c>
    </row>
    <row r="172" spans="1:12" s="48" customFormat="1" ht="15" hidden="1" x14ac:dyDescent="0.25">
      <c r="A172" s="847"/>
      <c r="B172" s="844"/>
      <c r="C172" s="157" t="str">
        <f t="array" ref="C172">IFERROR(INDEX('C'!$C$1:$C$2479, SMALL(IF($B$157 = 'C'!$A$1:$A$2479, ROW('C'!$A$1:$A$2479) -
ROW('C'!$A$2) + 2), ROW(17:17))),"")</f>
        <v/>
      </c>
      <c r="D172" s="132" t="str">
        <f t="array" ref="D172">IFERROR(INDEX('C'!$B$1:$B$2479, SMALL(IF($B$157 = 'C'!$A$1:$A$2479, ROW('C'!$A$1:$A$2479) -
ROW('C'!$A$2) + 2), ROW(16:16))),"")</f>
        <v/>
      </c>
      <c r="E172" s="134">
        <f t="shared" si="18"/>
        <v>0</v>
      </c>
      <c r="F172" s="158">
        <f>SUMIF(Data!$N$2:$N$998,Disbursement!C172,Data!$D$2:$D$998)</f>
        <v>0</v>
      </c>
      <c r="G172" s="158">
        <f>IF(C172="",0,COUNTIF(Data!$N$2:$N$998,C172))</f>
        <v>0</v>
      </c>
      <c r="H172" s="158">
        <f>IF(C172="",0,CONCATENATE(COUNTIFS(Data!$N$2:$N$998,C172,Data!$O$2:$O$998,"New *")," New",", ",COUNTIFS(Data!$N$2:$N$998,C172,Data!$O$2:$O$998,"Repeat *")," Repeat"))</f>
        <v>0</v>
      </c>
      <c r="I172" s="132" t="str">
        <f>IF(OR(C172="DCOLLECTOR",C172="SAF2000",C172=""),"",VLOOKUP($C172,'C'!$C$1:$D$2479,2,FALSE))</f>
        <v/>
      </c>
      <c r="J172" s="133" t="str">
        <f>IF(OR(C172="DCOLLECTOR",C172="SAF2000",C172=""),"",VLOOKUP($C172,'C'!$C$1:$E$2479,3,FALSE))</f>
        <v/>
      </c>
      <c r="K172" s="134">
        <f t="shared" si="19"/>
        <v>0</v>
      </c>
      <c r="L172" s="134" t="str">
        <f t="shared" si="20"/>
        <v/>
      </c>
    </row>
    <row r="173" spans="1:12" s="48" customFormat="1" ht="15" hidden="1" x14ac:dyDescent="0.25">
      <c r="A173" s="847"/>
      <c r="B173" s="844"/>
      <c r="C173" s="157" t="str">
        <f t="array" ref="C173">IFERROR(INDEX('C'!$C$1:$C$2479, SMALL(IF($B$157 = 'C'!$A$1:$A$2479, ROW('C'!$A$1:$A$2479) -
ROW('C'!$A$2) + 2), ROW(18:18))),"")</f>
        <v/>
      </c>
      <c r="D173" s="132" t="str">
        <f t="array" ref="D173">IFERROR(INDEX('C'!$B$1:$B$2479, SMALL(IF($B$157 = 'C'!$A$1:$A$2479, ROW('C'!$A$1:$A$2479) -
ROW('C'!$A$2) + 2), ROW(17:17))),"")</f>
        <v/>
      </c>
      <c r="E173" s="134">
        <f t="shared" si="18"/>
        <v>0</v>
      </c>
      <c r="F173" s="158">
        <f>SUMIF(Data!$N$2:$N$998,Disbursement!C173,Data!$D$2:$D$998)</f>
        <v>0</v>
      </c>
      <c r="G173" s="158">
        <f>IF(C173="",0,COUNTIF(Data!$N$2:$N$998,C173))</f>
        <v>0</v>
      </c>
      <c r="H173" s="158">
        <f>IF(C173="",0,CONCATENATE(COUNTIFS(Data!$N$2:$N$998,C173,Data!$O$2:$O$998,"New *")," New",", ",COUNTIFS(Data!$N$2:$N$998,C173,Data!$O$2:$O$998,"Repeat *")," Repeat"))</f>
        <v>0</v>
      </c>
      <c r="I173" s="132" t="str">
        <f>IF(OR(C173="DCOLLECTOR",C173="SAF2000",C173=""),"",VLOOKUP($C173,'C'!$C$1:$D$2479,2,FALSE))</f>
        <v/>
      </c>
      <c r="J173" s="133" t="str">
        <f>IF(OR(C173="DCOLLECTOR",C173="SAF2000",C173=""),"",VLOOKUP($C173,'C'!$C$1:$E$2479,3,FALSE))</f>
        <v/>
      </c>
      <c r="K173" s="134">
        <f t="shared" si="19"/>
        <v>0</v>
      </c>
      <c r="L173" s="134" t="str">
        <f t="shared" si="20"/>
        <v/>
      </c>
    </row>
    <row r="174" spans="1:12" s="48" customFormat="1" ht="15" hidden="1" x14ac:dyDescent="0.25">
      <c r="A174" s="847"/>
      <c r="B174" s="844"/>
      <c r="C174" s="157" t="str">
        <f t="array" ref="C174">IFERROR(INDEX('C'!$C$1:$C$2479, SMALL(IF($B$157 = 'C'!$A$1:$A$2479, ROW('C'!$A$1:$A$2479) -
ROW('C'!$A$2) + 2), ROW(19:19))),"")</f>
        <v/>
      </c>
      <c r="D174" s="132" t="str">
        <f t="array" ref="D174">IFERROR(INDEX('C'!$B$1:$B$2479, SMALL(IF($B$157 = 'C'!$A$1:$A$2479, ROW('C'!$A$1:$A$2479) -
ROW('C'!$A$2) + 2), ROW(18:18))),"")</f>
        <v/>
      </c>
      <c r="E174" s="134">
        <f t="shared" si="18"/>
        <v>0</v>
      </c>
      <c r="F174" s="158">
        <f>SUMIF(Data!$N$2:$N$998,Disbursement!C174,Data!$D$2:$D$998)</f>
        <v>0</v>
      </c>
      <c r="G174" s="158">
        <f>IF(C174="",0,COUNTIF(Data!$N$2:$N$998,C174))</f>
        <v>0</v>
      </c>
      <c r="H174" s="158">
        <f>IF(C174="",0,CONCATENATE(COUNTIFS(Data!$N$2:$N$998,C174,Data!$O$2:$O$998,"New *")," New",", ",COUNTIFS(Data!$N$2:$N$998,C174,Data!$O$2:$O$998,"Repeat *")," Repeat"))</f>
        <v>0</v>
      </c>
      <c r="I174" s="132" t="str">
        <f>IF(OR(C174="DCOLLECTOR",C174="SAF2000",C174=""),"",VLOOKUP($C174,'C'!$C$1:$D$2479,2,FALSE))</f>
        <v/>
      </c>
      <c r="J174" s="133" t="str">
        <f>IF(OR(C174="DCOLLECTOR",C174="SAF2000",C174=""),"",VLOOKUP($C174,'C'!$C$1:$E$2479,3,FALSE))</f>
        <v/>
      </c>
      <c r="K174" s="134">
        <f t="shared" si="19"/>
        <v>0</v>
      </c>
      <c r="L174" s="134" t="str">
        <f t="shared" si="20"/>
        <v/>
      </c>
    </row>
    <row r="175" spans="1:12" s="48" customFormat="1" ht="15" hidden="1" x14ac:dyDescent="0.25">
      <c r="A175" s="847"/>
      <c r="B175" s="844"/>
      <c r="C175" s="157" t="str">
        <f t="array" ref="C175">IFERROR(INDEX('C'!$C$1:$C$2479, SMALL(IF($B$157 = 'C'!$A$1:$A$2479, ROW('C'!$A$1:$A$2479) -
ROW('C'!$A$2) + 2), ROW(20:20))),"")</f>
        <v/>
      </c>
      <c r="D175" s="132" t="str">
        <f t="array" ref="D175">IFERROR(INDEX('C'!$B$1:$B$2479, SMALL(IF($B$157 = 'C'!$A$1:$A$2479, ROW('C'!$A$1:$A$2479) -
ROW('C'!$A$2) + 2), ROW(19:19))),"")</f>
        <v/>
      </c>
      <c r="E175" s="134">
        <f t="shared" si="18"/>
        <v>0</v>
      </c>
      <c r="F175" s="158">
        <f>SUMIF(Data!$N$2:$N$998,Disbursement!C175,Data!$D$2:$D$998)</f>
        <v>0</v>
      </c>
      <c r="G175" s="158">
        <f>IF(C175="",0,COUNTIF(Data!$N$2:$N$998,C175))</f>
        <v>0</v>
      </c>
      <c r="H175" s="158">
        <f>IF(C175="",0,CONCATENATE(COUNTIFS(Data!$N$2:$N$998,C175,Data!$O$2:$O$998,"New *")," New",", ",COUNTIFS(Data!$N$2:$N$998,C175,Data!$O$2:$O$998,"Repeat *")," Repeat"))</f>
        <v>0</v>
      </c>
      <c r="I175" s="132" t="str">
        <f>IF(OR(C175="DCOLLECTOR",C175="SAF2000",C175=""),"",VLOOKUP($C175,'C'!$C$1:$D$2479,2,FALSE))</f>
        <v/>
      </c>
      <c r="J175" s="133" t="str">
        <f>IF(OR(C175="DCOLLECTOR",C175="SAF2000",C175=""),"",VLOOKUP($C175,'C'!$C$1:$E$2479,3,FALSE))</f>
        <v/>
      </c>
      <c r="K175" s="134">
        <f t="shared" si="19"/>
        <v>0</v>
      </c>
      <c r="L175" s="134" t="str">
        <f t="shared" si="20"/>
        <v/>
      </c>
    </row>
    <row r="176" spans="1:12" s="48" customFormat="1" ht="15" hidden="1" x14ac:dyDescent="0.25">
      <c r="A176" s="847"/>
      <c r="B176" s="844"/>
      <c r="C176" s="157" t="str">
        <f t="array" ref="C176">IFERROR(INDEX('C'!$C$1:$C$2479, SMALL(IF($B$157 = 'C'!$A$1:$A$2479, ROW('C'!$A$1:$A$2479) -
ROW('C'!$A$2) + 2), ROW(21:21))),"")</f>
        <v/>
      </c>
      <c r="D176" s="132" t="str">
        <f t="array" ref="D176">IFERROR(INDEX('C'!$B$1:$B$2479, SMALL(IF($B$157 = 'C'!$A$1:$A$2479, ROW('C'!$A$1:$A$2479) -
ROW('C'!$A$2) + 2), ROW(20:20))),"")</f>
        <v/>
      </c>
      <c r="E176" s="134">
        <f t="shared" si="18"/>
        <v>0</v>
      </c>
      <c r="F176" s="158">
        <f>SUMIF(Data!$N$2:$N$998,Disbursement!C176,Data!$D$2:$D$998)</f>
        <v>0</v>
      </c>
      <c r="G176" s="158">
        <f>IF(C176="",0,COUNTIF(Data!$N$2:$N$998,C176))</f>
        <v>0</v>
      </c>
      <c r="H176" s="158">
        <f>IF(C176="",0,CONCATENATE(COUNTIFS(Data!$N$2:$N$998,C176,Data!$O$2:$O$998,"New *")," New",", ",COUNTIFS(Data!$N$2:$N$998,C176,Data!$O$2:$O$998,"Repeat *")," Repeat"))</f>
        <v>0</v>
      </c>
      <c r="I176" s="132" t="str">
        <f>IF(OR(C176="DCOLLECTOR",C176="SAF2000",C176=""),"",VLOOKUP($C176,'C'!$C$1:$D$2479,2,FALSE))</f>
        <v/>
      </c>
      <c r="J176" s="133" t="str">
        <f>IF(OR(C176="DCOLLECTOR",C176="SAF2000",C176=""),"",VLOOKUP($C176,'C'!$C$1:$E$2479,3,FALSE))</f>
        <v/>
      </c>
      <c r="K176" s="134">
        <f t="shared" si="19"/>
        <v>0</v>
      </c>
      <c r="L176" s="134" t="str">
        <f t="shared" si="20"/>
        <v/>
      </c>
    </row>
    <row r="177" spans="1:14" s="48" customFormat="1" ht="15" hidden="1" x14ac:dyDescent="0.25">
      <c r="A177" s="847"/>
      <c r="B177" s="844"/>
      <c r="C177" s="157" t="str">
        <f t="array" ref="C177">IFERROR(INDEX('C'!$C$1:$C$2479, SMALL(IF($B$157 = 'C'!$A$1:$A$2479, ROW('C'!$A$1:$A$2479) -
ROW('C'!$A$2) + 2), ROW(22:22))),"")</f>
        <v/>
      </c>
      <c r="D177" s="132" t="str">
        <f t="array" ref="D177">IFERROR(INDEX('C'!$B$1:$B$2479, SMALL(IF($B$157 = 'C'!$A$1:$A$2479, ROW('C'!$A$1:$A$2479) -
ROW('C'!$A$2) + 2), ROW(21:21))),"")</f>
        <v/>
      </c>
      <c r="E177" s="134">
        <f t="shared" si="18"/>
        <v>0</v>
      </c>
      <c r="F177" s="158">
        <f>SUMIF(Data!$N$2:$N$998,Disbursement!C177,Data!$D$2:$D$998)</f>
        <v>0</v>
      </c>
      <c r="G177" s="158">
        <f>IF(C177="",0,COUNTIF(Data!$N$2:$N$998,C177))</f>
        <v>0</v>
      </c>
      <c r="H177" s="158">
        <f>IF(C177="",0,CONCATENATE(COUNTIFS(Data!$N$2:$N$998,C177,Data!$O$2:$O$998,"New *")," New",", ",COUNTIFS(Data!$N$2:$N$998,C177,Data!$O$2:$O$998,"Repeat *")," Repeat"))</f>
        <v>0</v>
      </c>
      <c r="I177" s="132" t="str">
        <f>IF(OR(C177="DCOLLECTOR",C177="SAF2000",C177=""),"",VLOOKUP($C177,'C'!$C$1:$D$2479,2,FALSE))</f>
        <v/>
      </c>
      <c r="J177" s="133" t="str">
        <f>IF(OR(C177="DCOLLECTOR",C177="SAF2000",C177=""),"",VLOOKUP($C177,'C'!$C$1:$E$2479,3,FALSE))</f>
        <v/>
      </c>
      <c r="K177" s="134">
        <f t="shared" si="19"/>
        <v>0</v>
      </c>
      <c r="L177" s="134" t="str">
        <f t="shared" si="20"/>
        <v/>
      </c>
    </row>
    <row r="178" spans="1:14" s="48" customFormat="1" ht="15" hidden="1" x14ac:dyDescent="0.25">
      <c r="A178" s="847"/>
      <c r="B178" s="844"/>
      <c r="C178" s="157" t="str">
        <f t="array" ref="C178">IFERROR(INDEX('C'!$C$1:$C$2479, SMALL(IF($B$157 = 'C'!$A$1:$A$2479, ROW('C'!$A$1:$A$2479) -
ROW('C'!$A$2) + 2), ROW(23:23))),"")</f>
        <v/>
      </c>
      <c r="D178" s="132" t="str">
        <f t="array" ref="D178">IFERROR(INDEX('C'!$B$1:$B$2479, SMALL(IF($B$157 = 'C'!$A$1:$A$2479, ROW('C'!$A$1:$A$2479) -
ROW('C'!$A$2) + 2), ROW(22:22))),"")</f>
        <v/>
      </c>
      <c r="E178" s="134">
        <f t="shared" si="18"/>
        <v>0</v>
      </c>
      <c r="F178" s="158">
        <f>SUMIF(Data!$N$2:$N$998,Disbursement!C178,Data!$D$2:$D$998)</f>
        <v>0</v>
      </c>
      <c r="G178" s="158">
        <f>IF(C178="",0,COUNTIF(Data!$N$2:$N$998,C178))</f>
        <v>0</v>
      </c>
      <c r="H178" s="158">
        <f>IF(C178="",0,CONCATENATE(COUNTIFS(Data!$N$2:$N$998,C178,Data!$O$2:$O$998,"New *")," New",", ",COUNTIFS(Data!$N$2:$N$998,C178,Data!$O$2:$O$998,"Repeat *")," Repeat"))</f>
        <v>0</v>
      </c>
      <c r="I178" s="132" t="str">
        <f>IF(OR(C178="DCOLLECTOR",C178="SAF2000",C178=""),"",VLOOKUP($C178,'C'!$C$1:$D$2479,2,FALSE))</f>
        <v/>
      </c>
      <c r="J178" s="133" t="str">
        <f>IF(OR(C178="DCOLLECTOR",C178="SAF2000",C178=""),"",VLOOKUP($C178,'C'!$C$1:$E$2479,3,FALSE))</f>
        <v/>
      </c>
      <c r="K178" s="134">
        <f t="shared" si="19"/>
        <v>0</v>
      </c>
      <c r="L178" s="134" t="str">
        <f t="shared" si="20"/>
        <v/>
      </c>
    </row>
    <row r="179" spans="1:14" s="48" customFormat="1" ht="15" hidden="1" x14ac:dyDescent="0.25">
      <c r="A179" s="847"/>
      <c r="B179" s="844"/>
      <c r="C179" s="157" t="str">
        <f t="array" ref="C179">IFERROR(INDEX('C'!$C$1:$C$2479, SMALL(IF($B$157 = 'C'!$A$1:$A$2479, ROW('C'!$A$1:$A$2479) -
ROW('C'!$A$2) + 2), ROW(24:24))),"")</f>
        <v/>
      </c>
      <c r="D179" s="132" t="str">
        <f t="array" ref="D179">IFERROR(INDEX('C'!$B$1:$B$2479, SMALL(IF($B$157 = 'C'!$A$1:$A$2479, ROW('C'!$A$1:$A$2479) -
ROW('C'!$A$2) + 2), ROW(23:23))),"")</f>
        <v/>
      </c>
      <c r="E179" s="134">
        <f t="shared" si="18"/>
        <v>0</v>
      </c>
      <c r="F179" s="158">
        <f>SUMIF(Data!$N$2:$N$998,Disbursement!C179,Data!$D$2:$D$998)</f>
        <v>0</v>
      </c>
      <c r="G179" s="158">
        <f>IF(C179="",0,COUNTIF(Data!$N$2:$N$998,C179))</f>
        <v>0</v>
      </c>
      <c r="H179" s="158">
        <f>IF(C179="",0,CONCATENATE(COUNTIFS(Data!$N$2:$N$998,C179,Data!$O$2:$O$998,"New *")," New",", ",COUNTIFS(Data!$N$2:$N$998,C179,Data!$O$2:$O$998,"Repeat *")," Repeat"))</f>
        <v>0</v>
      </c>
      <c r="I179" s="132" t="str">
        <f>IF(OR(C179="DCOLLECTOR",C179="SAF2000",C179=""),"",VLOOKUP($C179,'C'!$C$1:$D$2479,2,FALSE))</f>
        <v/>
      </c>
      <c r="J179" s="133" t="str">
        <f>IF(OR(C179="DCOLLECTOR",C179="SAF2000",C179=""),"",VLOOKUP($C179,'C'!$C$1:$E$2479,3,FALSE))</f>
        <v/>
      </c>
      <c r="K179" s="134">
        <f t="shared" si="19"/>
        <v>0</v>
      </c>
      <c r="L179" s="134" t="str">
        <f t="shared" si="20"/>
        <v/>
      </c>
    </row>
    <row r="180" spans="1:14" s="48" customFormat="1" ht="15" hidden="1" x14ac:dyDescent="0.25">
      <c r="A180" s="847"/>
      <c r="B180" s="844"/>
      <c r="C180" s="157" t="str">
        <f t="array" ref="C180">IFERROR(INDEX('C'!$C$1:$C$2479, SMALL(IF($B$157 = 'C'!$A$1:$A$2479, ROW('C'!$A$1:$A$2479) -
ROW('C'!$A$2) + 2), ROW(25:25))),"")</f>
        <v/>
      </c>
      <c r="D180" s="132" t="str">
        <f t="array" ref="D180">IFERROR(INDEX('C'!$B$1:$B$2479, SMALL(IF($B$157 = 'C'!$A$1:$A$2479, ROW('C'!$A$1:$A$2479) -
ROW('C'!$A$2) + 2), ROW(24:24))),"")</f>
        <v/>
      </c>
      <c r="E180" s="134">
        <f t="shared" si="18"/>
        <v>0</v>
      </c>
      <c r="F180" s="158">
        <f>SUMIF(Data!$N$2:$N$998,Disbursement!C180,Data!$D$2:$D$998)</f>
        <v>0</v>
      </c>
      <c r="G180" s="158">
        <f>IF(C180="",0,COUNTIF(Data!$N$2:$N$998,C180))</f>
        <v>0</v>
      </c>
      <c r="H180" s="158">
        <f>IF(C180="",0,CONCATENATE(COUNTIFS(Data!$N$2:$N$998,C180,Data!$O$2:$O$998,"New *")," New",", ",COUNTIFS(Data!$N$2:$N$998,C180,Data!$O$2:$O$998,"Repeat *")," Repeat"))</f>
        <v>0</v>
      </c>
      <c r="I180" s="132" t="str">
        <f>IF(OR(C180="DCOLLECTOR",C180="SAF2000",C180=""),"",VLOOKUP($C180,'C'!$C$1:$D$2479,2,FALSE))</f>
        <v/>
      </c>
      <c r="J180" s="133" t="str">
        <f>IF(OR(C180="DCOLLECTOR",C180="SAF2000",C180=""),"",VLOOKUP($C180,'C'!$C$1:$E$2479,3,FALSE))</f>
        <v/>
      </c>
      <c r="K180" s="134">
        <f t="shared" si="19"/>
        <v>0</v>
      </c>
      <c r="L180" s="134" t="str">
        <f t="shared" si="20"/>
        <v/>
      </c>
    </row>
    <row r="181" spans="1:14" s="48" customFormat="1" ht="15.6" hidden="1" thickBot="1" x14ac:dyDescent="0.3">
      <c r="A181" s="847"/>
      <c r="B181" s="844"/>
      <c r="C181" s="157" t="str">
        <f t="array" ref="C181">IFERROR(INDEX('C'!$C$1:$C$2479, SMALL(IF($B$157 = 'C'!$A$1:$A$2479, ROW('C'!$A$1:$A$2479) -
ROW('C'!$A$2) + 2), ROW(26:26))),"")</f>
        <v/>
      </c>
      <c r="D181" s="132" t="str">
        <f t="array" ref="D181">IFERROR(INDEX('C'!$B$1:$B$2479, SMALL(IF($B$157 = 'C'!$A$1:$A$2479, ROW('C'!$A$1:$A$2479) -
ROW('C'!$A$2) + 2), ROW(25:25))),"")</f>
        <v/>
      </c>
      <c r="E181" s="134">
        <f t="shared" si="18"/>
        <v>0</v>
      </c>
      <c r="F181" s="158">
        <f>SUMIF(Data!$N$2:$N$998,Disbursement!C181,Data!$D$2:$D$998)</f>
        <v>0</v>
      </c>
      <c r="G181" s="158">
        <f>IF(C181="",0,COUNTIF(Data!$N$2:$N$998,C181))</f>
        <v>0</v>
      </c>
      <c r="H181" s="158">
        <f>IF(C181="",0,CONCATENATE(COUNTIFS(Data!$N$2:$N$998,C181,Data!$O$2:$O$998,"New *")," New",", ",COUNTIFS(Data!$N$2:$N$998,C181,Data!$O$2:$O$998,"Repeat *")," Repeat"))</f>
        <v>0</v>
      </c>
      <c r="I181" s="132" t="str">
        <f>IF(OR(C181="DCOLLECTOR",C181="SAF2000",C181=""),"",VLOOKUP($C181,'C'!$C$1:$D$2479,2,FALSE))</f>
        <v/>
      </c>
      <c r="J181" s="133" t="str">
        <f>IF(OR(C181="DCOLLECTOR",C181="SAF2000",C181=""),"",VLOOKUP($C181,'C'!$C$1:$E$2479,3,FALSE))</f>
        <v/>
      </c>
      <c r="K181" s="134">
        <f t="shared" si="19"/>
        <v>0</v>
      </c>
      <c r="L181" s="134" t="str">
        <f t="shared" si="20"/>
        <v/>
      </c>
    </row>
    <row r="182" spans="1:14" s="48" customFormat="1" ht="16.2" thickBot="1" x14ac:dyDescent="0.35">
      <c r="A182" s="847"/>
      <c r="B182" s="152" t="s">
        <v>984</v>
      </c>
      <c r="C182" s="149">
        <f>COUNTIF(C157:C181,"?*")</f>
        <v>4</v>
      </c>
      <c r="D182" s="152"/>
      <c r="E182" s="151">
        <f>SUBTOTAL(9,E157:E181)</f>
        <v>2.2602731931181147E-2</v>
      </c>
      <c r="F182" s="147">
        <f>SUBTOTAL(9,F157:F181)</f>
        <v>4000000</v>
      </c>
      <c r="G182" s="147">
        <f>SUBTOTAL(9,G157:G181)</f>
        <v>1</v>
      </c>
      <c r="H182" s="147" t="str">
        <f>CONCATENATE(COUNTIFS(Data!$N$2:$N$998,C157,Data!$O$2:$O$998,"New *")+COUNTIFS(Data!$N$2:$N$998,C158,Data!$O$2:$O$998,"New *")+COUNTIFS(Data!$N$2:$N$998,C159,Data!$O$2:$O$998,"New *")+COUNTIFS(Data!$N$2:$N$998,#REF!,Data!$O$2:$O$998,"New *")+COUNTIFS(Data!$N$2:$N$998,C160,Data!$O$2:$O$998,"New *")+COUNTIFS(Data!$N$2:$N$998,C161,Data!$O$2:$O$998,"New *")+COUNTIFS(Data!$N$2:$N$998,C162,Data!$O$2:$O$998,"New *")+COUNTIFS(Data!$N$2:$N$998,C163,Data!$O$2:$O$998,"New *")+COUNTIFS(Data!$N$2:$N$998,C164,Data!$O$2:$O$998,"New *")+COUNTIFS(Data!$N$2:$N$998,C165,Data!$O$2:$O$998,"New *")+COUNTIFS(Data!$N$2:$N$998,C166,Data!$O$2:$O$998,"New *")+COUNTIFS(Data!$N$2:$N$998,C167,Data!$O$2:$O$998,"New *")+COUNTIFS(Data!$N$2:$N$998,C168,Data!$O$2:$O$998,"New *")+COUNTIFS(Data!$N$2:$N$998,C169,Data!$O$2:$O$998,"New *")+COUNTIFS(Data!$N$2:$N$998,C170,Data!$O$2:$O$998,"New *")+COUNTIFS(Data!$N$2:$N$998,C171,Data!$O$2:$O$998,"New *")+COUNTIFS(Data!$N$2:$N$998,C172,Data!$O$2:$O$998,"New *")+COUNTIFS(Data!$N$2:$N$998,C173,Data!$O$2:$O$998,"New *")+COUNTIFS(Data!$N$2:$N$998,C174,Data!$O$2:$O$998,"New *")+COUNTIFS(Data!$N$2:$N$998,C175,Data!$O$2:$O$998,"New *")+COUNTIFS(Data!$N$2:$N$998,C176,Data!$O$2:$O$998,"New *")+COUNTIFS(Data!$N$2:$N$998,C177,Data!$O$2:$O$998,"New *")+COUNTIFS(Data!$N$2:$N$998,C178,Data!$O$2:$O$998,"New *")+COUNTIFS(Data!$N$2:$N$998,C179,Data!$O$2:$O$998,"New *")+COUNTIFS(Data!$N$2:$N$998,C180,Data!$O$2:$O$998,"New *")+COUNTIFS(Data!$N$2:$N$998,C181,Data!$O$2:$O$998,"New *")," New",",",COUNTIFS(Data!$N$2:$N$998,C157,Data!$O$2:$O$998,"Repeat *")+COUNTIFS(Data!$N$2:$N$998,C158,Data!$O$2:$O$998,"Repeat *")+COUNTIFS(Data!$N$2:$N$998,C159,Data!$O$2:$O$998,"Repeat *")+COUNTIFS(Data!$N$2:$N$998,#REF!,Data!$O$2:$O$998,"Repeat *")+COUNTIFS(Data!$N$2:$N$998,C160,Data!$O$2:$O$998,"Repeat *")+COUNTIFS(Data!$N$2:$N$998,C161,Data!$O$2:$O$998,"Repeat *")+COUNTIFS(Data!$N$2:$N$998,C162,Data!$O$2:$O$998,"Repeat *")+COUNTIFS(Data!$N$2:$N$998,C163,Data!$O$2:$O$998,"Repeat *")+COUNTIFS(Data!$N$2:$N$998,C164,Data!$O$2:$O$998,"Repeat *")+COUNTIFS(Data!$N$2:$N$998,C165,Data!$O$2:$O$998,"Repeat *")+COUNTIFS(Data!$N$2:$N$998,C166,Data!$O$2:$O$998,"Repeat *")+COUNTIFS(Data!$N$2:$N$998,C167,Data!$O$2:$O$998,"Repeat *")+COUNTIFS(Data!$N$2:$N$998,C168,Data!$O$2:$O$998,"Repeat *")+COUNTIFS(Data!$N$2:$N$998,C169,Data!$O$2:$O$998,"Repeat *")+COUNTIFS(Data!$N$2:$N$998,C170,Data!$O$2:$O$998,"Repeat *")+COUNTIFS(Data!$N$2:$N$998,C171,Data!$O$2:$O$998,"Repeat *")+COUNTIFS(Data!$N$2:$N$998,C172,Data!$O$2:$O$998,"Repeat *")+COUNTIFS(Data!$N$2:$N$998,C173,Data!$O$2:$O$998,"Repeat *")+COUNTIFS(Data!$N$2:$N$998,C174,Data!$O$2:$O$998,"Repeat *")+COUNTIFS(Data!$N$2:$N$998,C175,Data!$O$2:$O$998,"Repeat *")+COUNTIFS(Data!$N$2:$N$998,C176,Data!$O$2:$O$998,"Repeat *")+COUNTIFS(Data!$N$2:$N$998,C177,Data!$O$2:$O$998,"Repeat *")+COUNTIFS(Data!$N$2:$N$998,C178,Data!$O$2:$O$998,"Repeat *")+COUNTIFS(Data!$N$2:$N$998,C179,Data!$O$2:$O$998,"Repeat *")+COUNTIFS(Data!$N$2:$N$998,C180,Data!$O$2:$O$998,"Repeat *")+COUNTIFS(Data!$N$2:$N$998,C181,Data!$O$2:$O$998,"Repeat *"), " Repeat")</f>
        <v>1 New,0 Repeat</v>
      </c>
      <c r="I182" s="149">
        <f>SUBTOTAL(9,I157:I181)</f>
        <v>45</v>
      </c>
      <c r="J182" s="150">
        <f>SUBTOTAL(9,J157:J181)</f>
        <v>355000000</v>
      </c>
      <c r="K182" s="151">
        <f>IF(OR(I182="",ISERROR(G182/I182)),0,(G182)/I182)</f>
        <v>2.2222222222222223E-2</v>
      </c>
      <c r="L182" s="151">
        <f>IF(OR(J182="",ISERROR(F182/J182)),"",F182/J182)</f>
        <v>1.1267605633802818E-2</v>
      </c>
    </row>
    <row r="183" spans="1:14" s="330" customFormat="1" ht="15.6" hidden="1" x14ac:dyDescent="0.25">
      <c r="A183" s="757"/>
      <c r="B183" s="756"/>
      <c r="C183" s="758"/>
      <c r="D183" s="758"/>
      <c r="E183" s="759"/>
      <c r="F183" s="760"/>
      <c r="G183" s="760"/>
      <c r="H183" s="760" t="str">
        <f>CONCATENATE(LEFT(H129,SEARCH(" ",H129,1))+LEFT(H156,SEARCH(" ",H156,1))+LEFT(H182,SEARCH(" ",H182,1)), " New",",",MID(H129,FIND(",",H129)+1,FIND(" R",H129)-FIND(",",H129))+MID(H156,FIND(",",H156)+1,FIND(" R",H156)-FIND(",",H156))+MID(H182,FIND(",",H182)+1,FIND(" R",H182)-FIND(",",H182)), " Repeat")</f>
        <v>1 New,3 Repeat</v>
      </c>
      <c r="I183" s="758"/>
      <c r="J183" s="761"/>
      <c r="K183" s="759">
        <f>IF(OR(I183="",ISERROR(G183/I183)),0,G183/I183)</f>
        <v>0</v>
      </c>
      <c r="L183" s="759">
        <f>IF(OR(J183="",ISERROR(F183/J183)),0,F183/J183)</f>
        <v>0</v>
      </c>
    </row>
    <row r="184" spans="1:14" s="48" customFormat="1" ht="15.75" customHeight="1" x14ac:dyDescent="0.25">
      <c r="A184" s="842"/>
      <c r="B184" s="842" t="s">
        <v>970</v>
      </c>
      <c r="C184" s="156" t="str">
        <f t="array" ref="C184">IFERROR(INDEX('C'!$C$1:$C$2479, SMALL(IF($B$184 = 'C'!$A$1:$A$2479, ROW('C'!$A$1:$A$2479) -
ROW('C'!$A$2) + 2), ROW(1:1))),"")</f>
        <v>JNALUKENGE</v>
      </c>
      <c r="D184" s="132" t="str">
        <f t="array" ref="D184">IFERROR(INDEX('C'!$B$1:$B$2479, SMALL(IF($B$184 = 'C'!$A$1:$A$2479, ROW('C'!$A$1:$A$2479) -
ROW('C'!$A$2) + 2), ROW(1:1))),"")</f>
        <v>WMT</v>
      </c>
      <c r="E184" s="134">
        <f t="shared" ref="E184:E209" si="21">F184/$F$219</f>
        <v>0.10171229369031516</v>
      </c>
      <c r="F184" s="158">
        <f>SUMIF(Data!$N$2:$N$998,Disbursement!C184,Data!$D$2:$D$998)</f>
        <v>18000000</v>
      </c>
      <c r="G184" s="158">
        <f>IF(C184="",0,COUNTIF(Data!$N$2:$N$998,C184))</f>
        <v>1</v>
      </c>
      <c r="H184" s="158" t="str">
        <f>IF(C184="",0,CONCATENATE(COUNTIFS(Data!$N$2:$N$998,C184,Data!$O$2:$O$998,"New *")," New",", ",COUNTIFS(Data!$N$2:$N$998,C184,Data!$O$2:$O$998,"Repeat *")," Repeat"))</f>
        <v>0 New, 1 Repeat</v>
      </c>
      <c r="I184" s="132">
        <f>IF(OR(C184="DCOLLECTOR",C184="SAF2000",C184=""),"",VLOOKUP($C184,'C'!$C$1:$D$2479,2,FALSE))</f>
        <v>15</v>
      </c>
      <c r="J184" s="133">
        <f>IF(OR(C184="DCOLLECTOR",C184="SAF2000",C184=""),"",VLOOKUP($C184,'C'!$C$1:$E$2479,3,FALSE))</f>
        <v>100000000</v>
      </c>
      <c r="K184" s="134">
        <f>IFERROR(IF(I184="",0,(G184)/I184),"")</f>
        <v>6.6666666666666666E-2</v>
      </c>
      <c r="L184" s="134">
        <f>IFERROR(IF(J184="","",F184/J184),"")</f>
        <v>0.18</v>
      </c>
      <c r="N184" s="762"/>
    </row>
    <row r="185" spans="1:14" s="48" customFormat="1" ht="15" customHeight="1" x14ac:dyDescent="0.25">
      <c r="A185" s="842"/>
      <c r="B185" s="842"/>
      <c r="C185" s="156" t="str">
        <f t="array" ref="C185">IFERROR(INDEX('C'!$C$1:$C$2479, SMALL(IF($B$184 = 'C'!$A$1:$A$2479, ROW('C'!$A$1:$A$2479) -
ROW('C'!$A$2) + 2), ROW(2:2))),"")</f>
        <v>PNAMWASE</v>
      </c>
      <c r="D185" s="132" t="str">
        <f t="array" ref="D185">IFERROR(INDEX('C'!$B$1:$B$2479, SMALL(IF($B$184 = 'C'!$A$1:$A$2479, ROW('C'!$A$1:$A$2479) -
ROW('C'!$A$2) + 2), ROW(3:3))),"")</f>
        <v>WTM</v>
      </c>
      <c r="E185" s="134">
        <f t="shared" si="21"/>
        <v>0</v>
      </c>
      <c r="F185" s="158">
        <f>SUMIF(Data!$N$2:$N$998,Disbursement!C185,Data!$D$2:$D$998)</f>
        <v>0</v>
      </c>
      <c r="G185" s="158">
        <f>IF(C185="",0,COUNTIF(Data!$N$2:$N$998,C185))</f>
        <v>0</v>
      </c>
      <c r="H185" s="231" t="str">
        <f>IF(C185="",0,CONCATENATE(COUNTIFS(Data!$N$2:$N$998,C185,Data!$O$2:$O$998,"New *")," New",", ",COUNTIFS(Data!$N$2:$N$998,C185,Data!$O$2:$O$998,"Repeat *")," Repeat"))</f>
        <v>0 New, 0 Repeat</v>
      </c>
      <c r="I185" s="132">
        <f>IF(OR(C185="DCOLLECTOR",C185="SAF2000",C185=""),"",VLOOKUP($C185,'C'!$C$1:$D$2479,2,FALSE))</f>
        <v>15</v>
      </c>
      <c r="J185" s="133">
        <f>IF(OR(C185="DCOLLECTOR",C185="SAF2000",C185=""),"",VLOOKUP($C185,'C'!$C$1:$E$2479,3,FALSE))</f>
        <v>100000000</v>
      </c>
      <c r="K185" s="130">
        <f t="shared" ref="K185:K209" si="22">IFERROR(IF(I185="",0,(G185)/I185),"")</f>
        <v>0</v>
      </c>
      <c r="L185" s="130">
        <f t="shared" ref="L185:L209" si="23">IFERROR(IF(J185="","",F185/J185),"")</f>
        <v>0</v>
      </c>
    </row>
    <row r="186" spans="1:14" s="48" customFormat="1" ht="15" customHeight="1" x14ac:dyDescent="0.25">
      <c r="A186" s="842"/>
      <c r="B186" s="842"/>
      <c r="C186" s="156" t="str">
        <f t="array" ref="C186">IFERROR(INDEX('C'!$C$1:$C$2479, SMALL(IF($B$184 = 'C'!$A$1:$A$2479, ROW('C'!$A$1:$A$2479) -
ROW('C'!$A$2) + 2), ROW(3:3))),"")</f>
        <v>ATURYAMUBUGANA</v>
      </c>
      <c r="D186" s="132" t="str">
        <f t="array" ref="D186">IFERROR(INDEX('C'!$B$1:$B$2479, SMALL(IF($B$184 = 'C'!$A$1:$A$2479, ROW('C'!$A$1:$A$2479) -
ROW('C'!$A$2) + 2), ROW(4:4))),"")</f>
        <v>WTM</v>
      </c>
      <c r="E186" s="134">
        <f t="shared" si="21"/>
        <v>0</v>
      </c>
      <c r="F186" s="158">
        <f>SUMIF(Data!$N$2:$N$998,Disbursement!C186,Data!$D$2:$D$998)</f>
        <v>0</v>
      </c>
      <c r="G186" s="158">
        <f>IF(C186="",0,COUNTIF(Data!$N$2:$N$998,C186))</f>
        <v>0</v>
      </c>
      <c r="H186" s="231" t="str">
        <f>IF(C186="",0,CONCATENATE(COUNTIFS(Data!$N$2:$N$998,C186,Data!$O$2:$O$998,"New *")," New",", ",COUNTIFS(Data!$N$2:$N$998,C186,Data!$O$2:$O$998,"Repeat *")," Repeat"))</f>
        <v>0 New, 0 Repeat</v>
      </c>
      <c r="I186" s="132">
        <f>IF(OR(C186="DCOLLECTOR",C186="SAF2000",C186=""),"",VLOOKUP($C186,'C'!$C$1:$D$2479,2,FALSE))</f>
        <v>10</v>
      </c>
      <c r="J186" s="133">
        <f>IF(OR(C186="DCOLLECTOR",C186="SAF2000",C186=""),"",VLOOKUP($C186,'C'!$C$1:$E$2479,3,FALSE))</f>
        <v>85000000</v>
      </c>
      <c r="K186" s="130">
        <f t="shared" si="22"/>
        <v>0</v>
      </c>
      <c r="L186" s="130">
        <f t="shared" si="23"/>
        <v>0</v>
      </c>
    </row>
    <row r="187" spans="1:14" s="48" customFormat="1" ht="15" x14ac:dyDescent="0.25">
      <c r="A187" s="842"/>
      <c r="B187" s="842"/>
      <c r="C187" s="156" t="str">
        <f t="array" ref="C187">IFERROR(INDEX('C'!$C$1:$C$2479, SMALL(IF($B$184 = 'C'!$A$1:$A$2479, ROW('C'!$A$1:$A$2479) -
ROW('C'!$A$2) + 2), ROW(4:4))),"")</f>
        <v>LNAMUYOMBA</v>
      </c>
      <c r="D187" s="343" t="str">
        <f t="array" ref="D187">IFERROR(INDEX('C'!$B$1:$B$2479, SMALL(IF($B$184 = 'C'!$A$1:$A$2479, ROW('C'!$A$1:$A$2479) -
ROW('C'!$A$2) + 2), ROW(5:5))),"")</f>
        <v>WTM</v>
      </c>
      <c r="E187" s="346">
        <f t="shared" si="21"/>
        <v>0</v>
      </c>
      <c r="F187" s="93">
        <f>SUMIF(Data!$N$2:$N$998,Disbursement!C187,Data!$D$2:$D$998)</f>
        <v>0</v>
      </c>
      <c r="G187" s="93">
        <f>IF(C187="",0,COUNTIF(Data!$N$2:$N$998,C187))</f>
        <v>0</v>
      </c>
      <c r="H187" s="92" t="str">
        <f>IF(C187="",0,CONCATENATE(COUNTIFS(Data!$N$2:$N$998,C187,Data!$O$2:$O$998,"New *")," New",", ",COUNTIFS(Data!$N$2:$N$998,C187,Data!$O$2:$O$998,"Repeat *")," Repeat"))</f>
        <v>0 New, 0 Repeat</v>
      </c>
      <c r="I187" s="343">
        <f>IF(OR(C187="DCOLLECTOR",C187="SAF2000",C187=""),"",VLOOKUP($C187,'C'!$C$1:$D$2479,2,FALSE))</f>
        <v>10</v>
      </c>
      <c r="J187" s="345">
        <f>IF(OR(C187="DCOLLECTOR",C187="SAF2000",C187=""),"",VLOOKUP($C187,'C'!$C$1:$E$2479,3,FALSE))</f>
        <v>85000000</v>
      </c>
      <c r="K187" s="130">
        <f t="shared" si="22"/>
        <v>0</v>
      </c>
      <c r="L187" s="130">
        <f t="shared" si="23"/>
        <v>0</v>
      </c>
    </row>
    <row r="188" spans="1:14" s="48" customFormat="1" ht="15.6" thickBot="1" x14ac:dyDescent="0.3">
      <c r="A188" s="842"/>
      <c r="B188" s="842"/>
      <c r="C188" s="157" t="str">
        <f t="array" ref="C188">IFERROR(INDEX('C'!$C$1:$C$2479, SMALL(IF($B$184 = 'C'!$A$1:$A$2479, ROW('C'!$A$1:$A$2479) -
ROW('C'!$A$2) + 2), ROW(5:5))),"")</f>
        <v>DNSUBUGA1</v>
      </c>
      <c r="D188" s="343" t="str">
        <f t="array" ref="D188">IFERROR(INDEX('C'!$B$1:$B$2479, SMALL(IF($B$184 = 'C'!$A$1:$A$2479, ROW('C'!$A$1:$A$2479) -
ROW('C'!$A$2) + 2), ROW(6:6))),"")</f>
        <v/>
      </c>
      <c r="E188" s="134">
        <f t="shared" si="21"/>
        <v>0</v>
      </c>
      <c r="F188" s="158">
        <f>SUMIF(Data!$N$2:$N$998,Disbursement!C188,Data!$D$2:$D$998)</f>
        <v>0</v>
      </c>
      <c r="G188" s="158">
        <f>IF(C188="",0,COUNTIF(Data!$N$2:$N$998,C188))</f>
        <v>0</v>
      </c>
      <c r="H188" s="231" t="str">
        <f>IF(C188="",0,CONCATENATE(COUNTIFS(Data!$N$2:$N$998,C188,Data!$O$2:$O$998,"New *")," New",", ",COUNTIFS(Data!$N$2:$N$998,C188,Data!$O$2:$O$998,"Repeat *")," Repeat"))</f>
        <v>0 New, 0 Repeat</v>
      </c>
      <c r="I188" s="132">
        <f>IF(OR(C188="DCOLLECTOR",C188="SAF2000",C188=""),"",VLOOKUP($C188,'C'!$C$1:$D$2479,2,FALSE))</f>
        <v>10</v>
      </c>
      <c r="J188" s="133">
        <f>IF(OR(C188="DCOLLECTOR",C188="SAF2000",C188=""),"",VLOOKUP($C188,'C'!$C$1:$E$2479,3,FALSE))</f>
        <v>85000000</v>
      </c>
      <c r="K188" s="130">
        <f t="shared" si="22"/>
        <v>0</v>
      </c>
      <c r="L188" s="130">
        <f t="shared" si="23"/>
        <v>0</v>
      </c>
    </row>
    <row r="189" spans="1:14" s="48" customFormat="1" ht="15" hidden="1" x14ac:dyDescent="0.25">
      <c r="A189" s="842"/>
      <c r="B189" s="842"/>
      <c r="C189" s="156" t="str">
        <f t="array" ref="C189">IFERROR(INDEX('C'!$C$1:$C$2479, SMALL(IF($B$184 = 'C'!$A$1:$A$2479, ROW('C'!$A$1:$A$2479) -
ROW('C'!$A$2) + 2), ROW(6:6))),"")</f>
        <v/>
      </c>
      <c r="D189" s="132" t="str">
        <f t="array" ref="D189">IFERROR(INDEX('C'!$B$1:$B$2479, SMALL(IF($B$184 = 'C'!$A$1:$A$2479, ROW('C'!$A$1:$A$2479) -
ROW('C'!$A$2) + 2), ROW(7:7))),"")</f>
        <v/>
      </c>
      <c r="E189" s="134">
        <f t="shared" si="21"/>
        <v>0</v>
      </c>
      <c r="F189" s="158">
        <f>SUMIF(Data!$N$2:$N$998,Disbursement!C189,Data!$D$2:$D$998)</f>
        <v>0</v>
      </c>
      <c r="G189" s="158">
        <f>IF(C189="",0,COUNTIF(Data!$N$2:$N$998,C189))</f>
        <v>0</v>
      </c>
      <c r="H189" s="231">
        <f>IF(C189="",0,CONCATENATE(COUNTIFS(Data!$N$2:$N$998,C189,Data!$O$2:$O$998,"New *")," New",", ",COUNTIFS(Data!$N$2:$N$998,C189,Data!$O$2:$O$998,"Repeat *")," Repeat"))</f>
        <v>0</v>
      </c>
      <c r="I189" s="132" t="str">
        <f>IF(OR(C189="DCOLLECTOR",C189="SAF2000",C189=""),"",VLOOKUP($C189,'C'!$C$1:$D$2479,2,FALSE))</f>
        <v/>
      </c>
      <c r="J189" s="133" t="str">
        <f>IF(OR(C189="DCOLLECTOR",C189="SAF2000",C189=""),"",VLOOKUP($C189,'C'!$C$1:$E$2479,3,FALSE))</f>
        <v/>
      </c>
      <c r="K189" s="130">
        <f t="shared" si="22"/>
        <v>0</v>
      </c>
      <c r="L189" s="130" t="str">
        <f t="shared" si="23"/>
        <v/>
      </c>
    </row>
    <row r="190" spans="1:14" s="48" customFormat="1" ht="15" hidden="1" x14ac:dyDescent="0.25">
      <c r="A190" s="842"/>
      <c r="B190" s="842"/>
      <c r="C190" s="808" t="str">
        <f t="array" ref="C190">IFERROR(INDEX('C'!$C$1:$C$2479, SMALL(IF($B$184 = 'C'!$A$1:$A$2479, ROW('C'!$A$1:$A$2479) -
ROW('C'!$A$2) + 2), ROW(7:7))),"")</f>
        <v/>
      </c>
      <c r="D190" s="132" t="str">
        <f t="array" ref="D190">IFERROR(INDEX('C'!$B$1:$B$2479, SMALL(IF($B$184 = 'C'!$A$1:$A$2479, ROW('C'!$A$1:$A$2479) -
ROW('C'!$A$2) + 2), ROW(9:9))),"")</f>
        <v/>
      </c>
      <c r="E190" s="134">
        <f t="shared" si="21"/>
        <v>0</v>
      </c>
      <c r="F190" s="158">
        <f>SUMIF(Data!$N$2:$N$998,Disbursement!C190,Data!$D$2:$D$998)</f>
        <v>0</v>
      </c>
      <c r="G190" s="158">
        <f>IF(C190="",0,COUNTIF(Data!$N$2:$N$998,C190))</f>
        <v>0</v>
      </c>
      <c r="H190" s="231">
        <f>IF(C190="",0,CONCATENATE(COUNTIFS(Data!$N$2:$N$998,C190,Data!$O$2:$O$998,"New *")," New",", ",COUNTIFS(Data!$N$2:$N$998,C190,Data!$O$2:$O$998,"Repeat *")," Repeat"))</f>
        <v>0</v>
      </c>
      <c r="I190" s="132" t="str">
        <f>IF(OR(C190="DCOLLECTOR",C190="SAF2000",C190=""),"",VLOOKUP($C190,'C'!$C$1:$D$2479,2,FALSE))</f>
        <v/>
      </c>
      <c r="J190" s="133" t="str">
        <f>IF(OR(C190="DCOLLECTOR",C190="SAF2000",C190=""),"",VLOOKUP($C190,'C'!$C$1:$E$2479,3,FALSE))</f>
        <v/>
      </c>
      <c r="K190" s="130">
        <f t="shared" si="22"/>
        <v>0</v>
      </c>
      <c r="L190" s="130" t="str">
        <f t="shared" si="23"/>
        <v/>
      </c>
    </row>
    <row r="191" spans="1:14" s="48" customFormat="1" ht="15" hidden="1" x14ac:dyDescent="0.25">
      <c r="A191" s="842"/>
      <c r="B191" s="842"/>
      <c r="C191" s="156" t="str">
        <f t="array" ref="C191">IFERROR(INDEX('C'!$C$1:$C$2479, SMALL(IF($B$184 = 'C'!$A$1:$A$2479, ROW('C'!$A$1:$A$2479) -
ROW('C'!$A$2) + 2), ROW(8:8))),"")</f>
        <v/>
      </c>
      <c r="D191" s="132" t="str">
        <f t="array" ref="D191">IFERROR(INDEX('C'!$B$1:$B$2479, SMALL(IF($B$184 = 'C'!$A$1:$A$2479, ROW('C'!$A$1:$A$2479) -
ROW('C'!$A$2) + 2), ROW(10:10))),"")</f>
        <v/>
      </c>
      <c r="E191" s="134">
        <f t="shared" si="21"/>
        <v>0</v>
      </c>
      <c r="F191" s="158">
        <f>SUMIF(Data!$N$2:$N$998,Disbursement!C191,Data!$D$2:$D$998)</f>
        <v>0</v>
      </c>
      <c r="G191" s="158">
        <f>IF(C191="",0,COUNTIF(Data!$N$2:$N$998,C191))</f>
        <v>0</v>
      </c>
      <c r="H191" s="231">
        <f>IF(C191="",0,CONCATENATE(COUNTIFS(Data!$N$2:$N$998,C191,Data!$O$2:$O$998,"New *")," New",", ",COUNTIFS(Data!$N$2:$N$998,C191,Data!$O$2:$O$998,"Repeat *")," Repeat"))</f>
        <v>0</v>
      </c>
      <c r="I191" s="132" t="str">
        <f>IF(OR(C191="DCOLLECTOR",C191="SAF2000",C191=""),"",VLOOKUP($C191,'C'!$C$1:$D$2479,2,FALSE))</f>
        <v/>
      </c>
      <c r="J191" s="133" t="str">
        <f>IF(OR(C191="DCOLLECTOR",C191="SAF2000",C191=""),"",VLOOKUP($C191,'C'!$C$1:$E$2479,3,FALSE))</f>
        <v/>
      </c>
      <c r="K191" s="130">
        <f t="shared" si="22"/>
        <v>0</v>
      </c>
      <c r="L191" s="130" t="str">
        <f t="shared" si="23"/>
        <v/>
      </c>
    </row>
    <row r="192" spans="1:14" s="48" customFormat="1" ht="15" hidden="1" x14ac:dyDescent="0.25">
      <c r="A192" s="842"/>
      <c r="B192" s="842"/>
      <c r="C192" s="156" t="str">
        <f t="array" ref="C192">IFERROR(INDEX('C'!$C$1:$C$2479, SMALL(IF($B$184 = 'C'!$A$1:$A$2479, ROW('C'!$A$1:$A$2479) -
ROW('C'!$A$2) + 2), ROW(9:9))),"")</f>
        <v/>
      </c>
      <c r="D192" s="132" t="str">
        <f t="array" ref="D192">IFERROR(INDEX('C'!$B$1:$B$2479, SMALL(IF($B$184 = 'C'!$A$1:$A$2479, ROW('C'!$A$1:$A$2479) -
ROW('C'!$A$2) + 2), ROW(11:11))),"")</f>
        <v/>
      </c>
      <c r="E192" s="134">
        <f t="shared" si="21"/>
        <v>0</v>
      </c>
      <c r="F192" s="158">
        <f>SUMIF(Data!$N$2:$N$998,Disbursement!C192,Data!$D$2:$D$998)</f>
        <v>0</v>
      </c>
      <c r="G192" s="158">
        <f>IF(C192="",0,COUNTIF(Data!$N$2:$N$998,C192))</f>
        <v>0</v>
      </c>
      <c r="H192" s="231">
        <f>IF(C192="",0,CONCATENATE(COUNTIFS(Data!$N$2:$N$998,C192,Data!$O$2:$O$998,"New *")," New",", ",COUNTIFS(Data!$N$2:$N$998,C192,Data!$O$2:$O$998,"Repeat *")," Repeat"))</f>
        <v>0</v>
      </c>
      <c r="I192" s="132" t="str">
        <f>IF(OR(C192="DCOLLECTOR",C192="SAF2000",C192=""),"",VLOOKUP($C192,'C'!$C$1:$D$2479,2,FALSE))</f>
        <v/>
      </c>
      <c r="J192" s="133" t="str">
        <f>IF(OR(C192="DCOLLECTOR",C192="SAF2000",C192=""),"",VLOOKUP($C192,'C'!$C$1:$E$2479,3,FALSE))</f>
        <v/>
      </c>
      <c r="K192" s="130">
        <f t="shared" si="22"/>
        <v>0</v>
      </c>
      <c r="L192" s="130" t="str">
        <f t="shared" si="23"/>
        <v/>
      </c>
    </row>
    <row r="193" spans="1:12" s="48" customFormat="1" ht="15" hidden="1" x14ac:dyDescent="0.25">
      <c r="A193" s="842"/>
      <c r="B193" s="842"/>
      <c r="C193" s="156" t="str">
        <f t="array" ref="C193">IFERROR(INDEX('C'!$C$1:$C$2479, SMALL(IF($B$184 = 'C'!$A$1:$A$2479, ROW('C'!$A$1:$A$2479) -
ROW('C'!$A$2) + 2), ROW(10:10))),"")</f>
        <v/>
      </c>
      <c r="D193" s="132" t="str">
        <f t="array" ref="D193">IFERROR(INDEX('C'!$B$1:$B$2479, SMALL(IF($B$184 = 'C'!$A$1:$A$2479, ROW('C'!$A$1:$A$2479) -
ROW('C'!$A$2) + 2), ROW(#REF!))),"")</f>
        <v/>
      </c>
      <c r="E193" s="134">
        <f t="shared" si="21"/>
        <v>0</v>
      </c>
      <c r="F193" s="158">
        <f>SUMIF(Data!$N$2:$N$998,Disbursement!C193,Data!$D$2:$D$998)</f>
        <v>0</v>
      </c>
      <c r="G193" s="158">
        <f>IF(C193="",0,COUNTIF(Data!$N$2:$N$998,C193))</f>
        <v>0</v>
      </c>
      <c r="H193" s="231">
        <f>IF(C193="",0,CONCATENATE(COUNTIFS(Data!$N$2:$N$998,C193,Data!$O$2:$O$998,"New *")," New",", ",COUNTIFS(Data!$N$2:$N$998,C193,Data!$O$2:$O$998,"Repeat *")," Repeat"))</f>
        <v>0</v>
      </c>
      <c r="I193" s="132" t="str">
        <f>IF(OR(C193="DCOLLECTOR",C193="SAF2000",C193=""),"",VLOOKUP($C193,'C'!$C$1:$D$2479,2,FALSE))</f>
        <v/>
      </c>
      <c r="J193" s="133" t="str">
        <f>IF(OR(C193="DCOLLECTOR",C193="SAF2000",C193=""),"",VLOOKUP($C193,'C'!$C$1:$E$2479,3,FALSE))</f>
        <v/>
      </c>
      <c r="K193" s="130">
        <f t="shared" si="22"/>
        <v>0</v>
      </c>
      <c r="L193" s="130" t="str">
        <f t="shared" si="23"/>
        <v/>
      </c>
    </row>
    <row r="194" spans="1:12" s="48" customFormat="1" ht="15" hidden="1" x14ac:dyDescent="0.25">
      <c r="A194" s="842"/>
      <c r="B194" s="842"/>
      <c r="C194" s="156" t="str">
        <f t="array" ref="C194">IFERROR(INDEX('C'!$C$1:$C$2479, SMALL(IF($B$184 = 'C'!$A$1:$A$2479, ROW('C'!$A$1:$A$2479) -
ROW('C'!$A$2) + 2), ROW(11:11))),"")</f>
        <v/>
      </c>
      <c r="D194" s="132" t="str">
        <f t="array" ref="D194">IFERROR(INDEX('C'!$B$1:$B$2479, SMALL(IF($B$184 = 'C'!$A$1:$A$2479, ROW('C'!$A$1:$A$2479) -
ROW('C'!$A$2) + 2), ROW(13:13))),"")</f>
        <v/>
      </c>
      <c r="E194" s="134">
        <f t="shared" si="21"/>
        <v>0</v>
      </c>
      <c r="F194" s="158">
        <f>SUMIF(Data!$N$2:$N$998,Disbursement!C194,Data!$D$2:$D$998)</f>
        <v>0</v>
      </c>
      <c r="G194" s="158">
        <f>IF(C194="",0,COUNTIF(Data!$N$2:$N$998,C194))</f>
        <v>0</v>
      </c>
      <c r="H194" s="231">
        <f>IF(C194="",0,CONCATENATE(COUNTIFS(Data!$N$2:$N$998,C194,Data!$O$2:$O$998,"New *")," New",", ",COUNTIFS(Data!$N$2:$N$998,C194,Data!$O$2:$O$998,"Repeat *")," Repeat"))</f>
        <v>0</v>
      </c>
      <c r="I194" s="132" t="str">
        <f>IF(OR(C194="DCOLLECTOR",C194="SAF2000",C194=""),"",VLOOKUP($C194,'C'!$C$1:$D$2479,2,FALSE))</f>
        <v/>
      </c>
      <c r="J194" s="133" t="str">
        <f>IF(OR(C194="DCOLLECTOR",C194="SAF2000",C194=""),"",VLOOKUP($C194,'C'!$C$1:$E$2479,3,FALSE))</f>
        <v/>
      </c>
      <c r="K194" s="130">
        <f t="shared" si="22"/>
        <v>0</v>
      </c>
      <c r="L194" s="130" t="str">
        <f t="shared" si="23"/>
        <v/>
      </c>
    </row>
    <row r="195" spans="1:12" s="48" customFormat="1" ht="15" hidden="1" x14ac:dyDescent="0.25">
      <c r="A195" s="842"/>
      <c r="B195" s="842"/>
      <c r="C195" s="156" t="str">
        <f t="array" ref="C195">IFERROR(INDEX('C'!$C$1:$C$2479, SMALL(IF($B$184 = 'C'!$A$1:$A$2479, ROW('C'!$A$1:$A$2479) -
ROW('C'!$A$2) + 2), ROW(12:12))),"")</f>
        <v/>
      </c>
      <c r="D195" s="132" t="str">
        <f t="array" ref="D195">IFERROR(INDEX('C'!$B$1:$B$2479, SMALL(IF($B$184 = 'C'!$A$1:$A$2479, ROW('C'!$A$1:$A$2479) -
ROW('C'!$A$2) + 2), ROW(14:14))),"")</f>
        <v/>
      </c>
      <c r="E195" s="134">
        <f t="shared" si="21"/>
        <v>0</v>
      </c>
      <c r="F195" s="158">
        <f>SUMIF(Data!$N$2:$N$998,Disbursement!C195,Data!$D$2:$D$998)</f>
        <v>0</v>
      </c>
      <c r="G195" s="158">
        <f>IF(C195="",0,COUNTIF(Data!$N$2:$N$998,C195))</f>
        <v>0</v>
      </c>
      <c r="H195" s="231">
        <f>IF(C195="",0,CONCATENATE(COUNTIFS(Data!$N$2:$N$998,C195,Data!$O$2:$O$998,"New *")," New",", ",COUNTIFS(Data!$N$2:$N$998,C195,Data!$O$2:$O$998,"Repeat *")," Repeat"))</f>
        <v>0</v>
      </c>
      <c r="I195" s="132" t="str">
        <f>IF(OR(C195="DCOLLECTOR",C195="SAF2000",C195=""),"",VLOOKUP($C195,'C'!$C$1:$D$2479,2,FALSE))</f>
        <v/>
      </c>
      <c r="J195" s="133" t="str">
        <f>IF(OR(C195="DCOLLECTOR",C195="SAF2000",C195=""),"",VLOOKUP($C195,'C'!$C$1:$E$2479,3,FALSE))</f>
        <v/>
      </c>
      <c r="K195" s="130">
        <f t="shared" si="22"/>
        <v>0</v>
      </c>
      <c r="L195" s="130" t="str">
        <f t="shared" si="23"/>
        <v/>
      </c>
    </row>
    <row r="196" spans="1:12" s="48" customFormat="1" ht="15" hidden="1" x14ac:dyDescent="0.25">
      <c r="A196" s="842"/>
      <c r="B196" s="842"/>
      <c r="C196" s="156" t="str">
        <f t="array" ref="C196">IFERROR(INDEX('C'!$C$1:$C$2479, SMALL(IF($B$184 = 'C'!$A$1:$A$2479, ROW('C'!$A$1:$A$2479) -
ROW('C'!$A$2) + 2), ROW(13:13))),"")</f>
        <v/>
      </c>
      <c r="D196" s="132" t="str">
        <f t="array" ref="D196">IFERROR(INDEX('C'!$B$1:$B$2479, SMALL(IF($B$184 = 'C'!$A$1:$A$2479, ROW('C'!$A$1:$A$2479) -
ROW('C'!$A$2) + 2), ROW(15:15))),"")</f>
        <v/>
      </c>
      <c r="E196" s="134">
        <f t="shared" si="21"/>
        <v>0</v>
      </c>
      <c r="F196" s="158">
        <f>SUMIF(Data!$N$2:$N$998,Disbursement!C196,Data!$D$2:$D$998)</f>
        <v>0</v>
      </c>
      <c r="G196" s="158">
        <f>IF(C196="",0,COUNTIF(Data!$N$2:$N$998,C196))</f>
        <v>0</v>
      </c>
      <c r="H196" s="231">
        <f>IF(C196="",0,CONCATENATE(COUNTIFS(Data!$N$2:$N$998,C196,Data!$O$2:$O$998,"New *")," New",", ",COUNTIFS(Data!$N$2:$N$998,C196,Data!$O$2:$O$998,"Repeat *")," Repeat"))</f>
        <v>0</v>
      </c>
      <c r="I196" s="132" t="str">
        <f>IF(OR(C196="DCOLLECTOR",C196="SAF2000",C196=""),"",VLOOKUP($C196,'C'!$C$1:$D$2479,2,FALSE))</f>
        <v/>
      </c>
      <c r="J196" s="133" t="str">
        <f>IF(OR(C196="DCOLLECTOR",C196="SAF2000",C196=""),"",VLOOKUP($C196,'C'!$C$1:$E$2479,3,FALSE))</f>
        <v/>
      </c>
      <c r="K196" s="130">
        <f t="shared" si="22"/>
        <v>0</v>
      </c>
      <c r="L196" s="130" t="str">
        <f t="shared" si="23"/>
        <v/>
      </c>
    </row>
    <row r="197" spans="1:12" s="48" customFormat="1" ht="15" hidden="1" x14ac:dyDescent="0.25">
      <c r="A197" s="842"/>
      <c r="B197" s="842"/>
      <c r="C197" s="156" t="str">
        <f t="array" ref="C197">IFERROR(INDEX('C'!$C$1:$C$2479, SMALL(IF($B$184 = 'C'!$A$1:$A$2479, ROW('C'!$A$1:$A$2479) -
ROW('C'!$A$2) + 2), ROW(14:14))),"")</f>
        <v/>
      </c>
      <c r="D197" s="132" t="str">
        <f t="array" ref="D197">IFERROR(INDEX('C'!$B$1:$B$2479, SMALL(IF($B$184 = 'C'!$A$1:$A$2479, ROW('C'!$A$1:$A$2479) -
ROW('C'!$A$2) + 2), ROW(16:16))),"")</f>
        <v/>
      </c>
      <c r="E197" s="134">
        <f t="shared" si="21"/>
        <v>0</v>
      </c>
      <c r="F197" s="158">
        <f>SUMIF(Data!$N$2:$N$998,Disbursement!C197,Data!$D$2:$D$998)</f>
        <v>0</v>
      </c>
      <c r="G197" s="158">
        <f>IF(C197="",0,COUNTIF(Data!$N$2:$N$998,C197))</f>
        <v>0</v>
      </c>
      <c r="H197" s="231">
        <f>IF(C197="",0,CONCATENATE(COUNTIFS(Data!$N$2:$N$998,C197,Data!$O$2:$O$998,"New *")," New",", ",COUNTIFS(Data!$N$2:$N$998,C197,Data!$O$2:$O$998,"Repeat *")," Repeat"))</f>
        <v>0</v>
      </c>
      <c r="I197" s="132" t="str">
        <f>IF(OR(C197="DCOLLECTOR",C197="SAF2000",C197=""),"",VLOOKUP($C197,'C'!$C$1:$D$2479,2,FALSE))</f>
        <v/>
      </c>
      <c r="J197" s="133" t="str">
        <f>IF(OR(C197="DCOLLECTOR",C197="SAF2000",C197=""),"",VLOOKUP($C197,'C'!$C$1:$E$2479,3,FALSE))</f>
        <v/>
      </c>
      <c r="K197" s="130">
        <f t="shared" si="22"/>
        <v>0</v>
      </c>
      <c r="L197" s="130" t="str">
        <f t="shared" si="23"/>
        <v/>
      </c>
    </row>
    <row r="198" spans="1:12" s="48" customFormat="1" ht="15" hidden="1" x14ac:dyDescent="0.25">
      <c r="A198" s="842"/>
      <c r="B198" s="842"/>
      <c r="C198" s="156" t="str">
        <f t="array" ref="C198">IFERROR(INDEX('C'!$C$1:$C$2479, SMALL(IF($B$184 = 'C'!$A$1:$A$2479, ROW('C'!$A$1:$A$2479) -
ROW('C'!$A$2) + 2), ROW(15:15))),"")</f>
        <v/>
      </c>
      <c r="D198" s="132" t="str">
        <f t="array" ref="D198">IFERROR(INDEX('C'!$B$1:$B$2479, SMALL(IF($B$184 = 'C'!$A$1:$A$2479, ROW('C'!$A$1:$A$2479) -
ROW('C'!$A$2) + 2), ROW(17:17))),"")</f>
        <v/>
      </c>
      <c r="E198" s="134">
        <f t="shared" si="21"/>
        <v>0</v>
      </c>
      <c r="F198" s="158">
        <f>SUMIF(Data!$N$2:$N$998,Disbursement!C198,Data!$D$2:$D$998)</f>
        <v>0</v>
      </c>
      <c r="G198" s="158">
        <f>IF(C198="",0,COUNTIF(Data!$N$2:$N$998,C198))</f>
        <v>0</v>
      </c>
      <c r="H198" s="231">
        <f>IF(C198="",0,CONCATENATE(COUNTIFS(Data!$N$2:$N$998,C198,Data!$O$2:$O$998,"New *")," New",", ",COUNTIFS(Data!$N$2:$N$998,C198,Data!$O$2:$O$998,"Repeat *")," Repeat"))</f>
        <v>0</v>
      </c>
      <c r="I198" s="132" t="str">
        <f>IF(OR(C198="DCOLLECTOR",C198="SAF2000",C198=""),"",VLOOKUP($C198,'C'!$C$1:$D$2479,2,FALSE))</f>
        <v/>
      </c>
      <c r="J198" s="133" t="str">
        <f>IF(OR(C198="DCOLLECTOR",C198="SAF2000",C198=""),"",VLOOKUP($C198,'C'!$C$1:$E$2479,3,FALSE))</f>
        <v/>
      </c>
      <c r="K198" s="130">
        <f t="shared" si="22"/>
        <v>0</v>
      </c>
      <c r="L198" s="130" t="str">
        <f t="shared" si="23"/>
        <v/>
      </c>
    </row>
    <row r="199" spans="1:12" s="48" customFormat="1" ht="11.25" hidden="1" customHeight="1" x14ac:dyDescent="0.25">
      <c r="A199" s="842"/>
      <c r="B199" s="842"/>
      <c r="C199" s="156" t="str">
        <f t="array" ref="C199">IFERROR(INDEX('C'!$C$1:$C$2479, SMALL(IF($B$184 = 'C'!$A$1:$A$2479, ROW('C'!$A$1:$A$2479) -
ROW('C'!$A$2) + 2), ROW(16:16))),"")</f>
        <v/>
      </c>
      <c r="D199" s="132" t="str">
        <f t="array" ref="D199">IFERROR(INDEX('C'!$B$1:$B$2479, SMALL(IF($B$184 = 'C'!$A$1:$A$2479, ROW('C'!$A$1:$A$2479) -
ROW('C'!$A$2) + 2), ROW(18:18))),"")</f>
        <v/>
      </c>
      <c r="E199" s="134">
        <f t="shared" si="21"/>
        <v>0</v>
      </c>
      <c r="F199" s="158">
        <f>SUMIF(Data!$N$2:$N$998,Disbursement!C199,Data!$D$2:$D$998)</f>
        <v>0</v>
      </c>
      <c r="G199" s="158">
        <f>IF(C199="",0,COUNTIF(Data!$N$2:$N$998,C199))</f>
        <v>0</v>
      </c>
      <c r="H199" s="231">
        <f>IF(C199="",0,CONCATENATE(COUNTIFS(Data!$N$2:$N$998,C199,Data!$O$2:$O$998,"New *")," New",", ",COUNTIFS(Data!$N$2:$N$998,C199,Data!$O$2:$O$998,"Repeat *")," Repeat"))</f>
        <v>0</v>
      </c>
      <c r="I199" s="132" t="str">
        <f>IF(OR(C199="DCOLLECTOR",C199="SAF2000",C199=""),"",VLOOKUP($C199,'C'!$C$1:$D$2479,2,FALSE))</f>
        <v/>
      </c>
      <c r="J199" s="133" t="str">
        <f>IF(OR(C199="DCOLLECTOR",C199="SAF2000",C199=""),"",VLOOKUP($C199,'C'!$C$1:$E$2479,3,FALSE))</f>
        <v/>
      </c>
      <c r="K199" s="130">
        <f t="shared" si="22"/>
        <v>0</v>
      </c>
      <c r="L199" s="130" t="str">
        <f t="shared" si="23"/>
        <v/>
      </c>
    </row>
    <row r="200" spans="1:12" s="48" customFormat="1" ht="9.75" hidden="1" customHeight="1" x14ac:dyDescent="0.25">
      <c r="A200" s="842"/>
      <c r="B200" s="842"/>
      <c r="C200" s="156" t="str">
        <f t="array" ref="C200">IFERROR(INDEX('C'!$C$1:$C$2479, SMALL(IF($B$184 = 'C'!$A$1:$A$2479, ROW('C'!$A$1:$A$2479) -
ROW('C'!$A$2) + 2), ROW(17:17))),"")</f>
        <v/>
      </c>
      <c r="D200" s="132" t="str">
        <f t="array" ref="D200">IFERROR(INDEX('C'!$B$1:$B$2479, SMALL(IF($B$184 = 'C'!$A$1:$A$2479, ROW('C'!$A$1:$A$2479) -
ROW('C'!$A$2) + 2), ROW(19:19))),"")</f>
        <v/>
      </c>
      <c r="E200" s="134">
        <f t="shared" si="21"/>
        <v>0</v>
      </c>
      <c r="F200" s="158">
        <f>SUMIF(Data!$N$2:$N$998,Disbursement!C200,Data!$D$2:$D$998)</f>
        <v>0</v>
      </c>
      <c r="G200" s="158">
        <f>IF(C200="",0,COUNTIF(Data!$N$2:$N$998,C200))</f>
        <v>0</v>
      </c>
      <c r="H200" s="231">
        <f>IF(C200="",0,CONCATENATE(COUNTIFS(Data!$N$2:$N$998,C200,Data!$O$2:$O$998,"New *")," New",", ",COUNTIFS(Data!$N$2:$N$998,C200,Data!$O$2:$O$998,"Repeat *")," Repeat"))</f>
        <v>0</v>
      </c>
      <c r="I200" s="132" t="str">
        <f>IF(OR(C200="DCOLLECTOR",C200="SAF2000",C200=""),"",VLOOKUP($C200,'C'!$C$1:$D$2479,2,FALSE))</f>
        <v/>
      </c>
      <c r="J200" s="133" t="str">
        <f>IF(OR(C200="DCOLLECTOR",C200="SAF2000",C200=""),"",VLOOKUP($C200,'C'!$C$1:$E$2479,3,FALSE))</f>
        <v/>
      </c>
      <c r="K200" s="130">
        <f t="shared" si="22"/>
        <v>0</v>
      </c>
      <c r="L200" s="130" t="str">
        <f t="shared" si="23"/>
        <v/>
      </c>
    </row>
    <row r="201" spans="1:12" s="48" customFormat="1" ht="18" hidden="1" customHeight="1" x14ac:dyDescent="0.25">
      <c r="A201" s="842"/>
      <c r="B201" s="842"/>
      <c r="C201" s="156" t="str">
        <f t="array" ref="C201">IFERROR(INDEX('C'!$C$1:$C$2479, SMALL(IF($B$184 = 'C'!$A$1:$A$2479, ROW('C'!$A$1:$A$2479) -
ROW('C'!$A$2) + 2), ROW(18:18))),"")</f>
        <v/>
      </c>
      <c r="D201" s="132" t="str">
        <f t="array" ref="D201">IFERROR(INDEX('C'!$B$1:$B$2479, SMALL(IF($B$184 = 'C'!$A$1:$A$2479, ROW('C'!$A$1:$A$2479) -
ROW('C'!$A$2) + 2), ROW(20:20))),"")</f>
        <v/>
      </c>
      <c r="E201" s="134">
        <f t="shared" si="21"/>
        <v>0</v>
      </c>
      <c r="F201" s="158">
        <f>SUMIF(Data!$N$2:$N$998,Disbursement!C201,Data!$D$2:$D$998)</f>
        <v>0</v>
      </c>
      <c r="G201" s="158">
        <f>IF(C201="",0,COUNTIF(Data!$N$2:$N$998,C201))</f>
        <v>0</v>
      </c>
      <c r="H201" s="231">
        <f>IF(C201="",0,CONCATENATE(COUNTIFS(Data!$N$2:$N$998,C201,Data!$O$2:$O$998,"New *")," New",", ",COUNTIFS(Data!$N$2:$N$998,C201,Data!$O$2:$O$998,"Repeat *")," Repeat"))</f>
        <v>0</v>
      </c>
      <c r="I201" s="132" t="str">
        <f>IF(OR(C201="DCOLLECTOR",C201="SAF2000",C201=""),"",VLOOKUP($C201,'C'!$C$1:$D$2479,2,FALSE))</f>
        <v/>
      </c>
      <c r="J201" s="133" t="str">
        <f>IF(OR(C201="DCOLLECTOR",C201="SAF2000",C201=""),"",VLOOKUP($C201,'C'!$C$1:$E$2479,3,FALSE))</f>
        <v/>
      </c>
      <c r="K201" s="130">
        <f t="shared" si="22"/>
        <v>0</v>
      </c>
      <c r="L201" s="130" t="str">
        <f t="shared" si="23"/>
        <v/>
      </c>
    </row>
    <row r="202" spans="1:12" s="48" customFormat="1" ht="15" hidden="1" x14ac:dyDescent="0.25">
      <c r="A202" s="842"/>
      <c r="B202" s="842"/>
      <c r="C202" s="156" t="str">
        <f t="array" ref="C202">IFERROR(INDEX('C'!$C$1:$C$2479, SMALL(IF($B$184 = 'C'!$A$1:$A$2479, ROW('C'!$A$1:$A$2479) -
ROW('C'!$A$2) + 2), ROW(19:19))),"")</f>
        <v/>
      </c>
      <c r="D202" s="132" t="str">
        <f t="array" ref="D202">IFERROR(INDEX('C'!$B$1:$B$2479, SMALL(IF($B$184 = 'C'!$A$1:$A$2479, ROW('C'!$A$1:$A$2479) -
ROW('C'!$A$2) + 2), ROW(21:21))),"")</f>
        <v/>
      </c>
      <c r="E202" s="134">
        <f t="shared" si="21"/>
        <v>0</v>
      </c>
      <c r="F202" s="158">
        <f>SUMIF(Data!$N$2:$N$998,Disbursement!C202,Data!$D$2:$D$998)</f>
        <v>0</v>
      </c>
      <c r="G202" s="158">
        <f>IF(C202="",0,COUNTIF(Data!$N$2:$N$998,C202))</f>
        <v>0</v>
      </c>
      <c r="H202" s="231">
        <f>IF(C202="",0,CONCATENATE(COUNTIFS(Data!$N$2:$N$998,C202,Data!$O$2:$O$998,"New *")," New",", ",COUNTIFS(Data!$N$2:$N$998,C202,Data!$O$2:$O$998,"Repeat *")," Repeat"))</f>
        <v>0</v>
      </c>
      <c r="I202" s="132" t="str">
        <f>IF(OR(C202="DCOLLECTOR",C202="SAF2000",C202=""),"",VLOOKUP($C202,'C'!$C$1:$D$2479,2,FALSE))</f>
        <v/>
      </c>
      <c r="J202" s="133" t="str">
        <f>IF(OR(C202="DCOLLECTOR",C202="SAF2000",C202=""),"",VLOOKUP($C202,'C'!$C$1:$E$2479,3,FALSE))</f>
        <v/>
      </c>
      <c r="K202" s="130">
        <f t="shared" si="22"/>
        <v>0</v>
      </c>
      <c r="L202" s="130" t="str">
        <f t="shared" si="23"/>
        <v/>
      </c>
    </row>
    <row r="203" spans="1:12" s="48" customFormat="1" ht="15" hidden="1" x14ac:dyDescent="0.25">
      <c r="A203" s="842"/>
      <c r="B203" s="842"/>
      <c r="C203" s="156" t="str">
        <f t="array" ref="C203">IFERROR(INDEX('C'!$C$1:$C$2479, SMALL(IF($B$184 = 'C'!$A$1:$A$2479, ROW('C'!$A$1:$A$2479) -
ROW('C'!$A$2) + 2), ROW(20:20))),"")</f>
        <v/>
      </c>
      <c r="D203" s="132" t="str">
        <f t="array" ref="D203">IFERROR(INDEX('C'!$B$1:$B$2479, SMALL(IF($B$184 = 'C'!$A$1:$A$2479, ROW('C'!$A$1:$A$2479) -
ROW('C'!$A$2) + 2), ROW(22:22))),"")</f>
        <v/>
      </c>
      <c r="E203" s="134">
        <f t="shared" si="21"/>
        <v>0</v>
      </c>
      <c r="F203" s="158">
        <f>SUMIF(Data!$N$2:$N$998,Disbursement!C203,Data!$D$2:$D$998)</f>
        <v>0</v>
      </c>
      <c r="G203" s="158">
        <f>IF(C203="",0,COUNTIF(Data!$N$2:$N$998,C203))</f>
        <v>0</v>
      </c>
      <c r="H203" s="231">
        <f>IF(C203="",0,CONCATENATE(COUNTIFS(Data!$N$2:$N$998,C203,Data!$O$2:$O$998,"New *")," New",", ",COUNTIFS(Data!$N$2:$N$998,C203,Data!$O$2:$O$998,"Repeat *")," Repeat"))</f>
        <v>0</v>
      </c>
      <c r="I203" s="132" t="str">
        <f>IF(OR(C203="DCOLLECTOR",C203="SAF2000",C203=""),"",VLOOKUP($C203,'C'!$C$1:$D$2479,2,FALSE))</f>
        <v/>
      </c>
      <c r="J203" s="133" t="str">
        <f>IF(OR(C203="DCOLLECTOR",C203="SAF2000",C203=""),"",VLOOKUP($C203,'C'!$C$1:$E$2479,3,FALSE))</f>
        <v/>
      </c>
      <c r="K203" s="130">
        <f t="shared" si="22"/>
        <v>0</v>
      </c>
      <c r="L203" s="130" t="str">
        <f t="shared" si="23"/>
        <v/>
      </c>
    </row>
    <row r="204" spans="1:12" s="48" customFormat="1" ht="15" hidden="1" x14ac:dyDescent="0.25">
      <c r="A204" s="842"/>
      <c r="B204" s="842"/>
      <c r="C204" s="156" t="str">
        <f t="array" ref="C204">IFERROR(INDEX('C'!$C$1:$C$2479, SMALL(IF($B$184 = 'C'!$A$1:$A$2479, ROW('C'!$A$1:$A$2479) -
ROW('C'!$A$2) + 2), ROW(21:21))),"")</f>
        <v/>
      </c>
      <c r="D204" s="132" t="str">
        <f t="array" ref="D204">IFERROR(INDEX('C'!$B$1:$B$2479, SMALL(IF($B$184 = 'C'!$A$1:$A$2479, ROW('C'!$A$1:$A$2479) -
ROW('C'!$A$2) + 2), ROW(23:23))),"")</f>
        <v/>
      </c>
      <c r="E204" s="134">
        <f t="shared" si="21"/>
        <v>0</v>
      </c>
      <c r="F204" s="158">
        <f>SUMIF(Data!$N$2:$N$998,Disbursement!C204,Data!$D$2:$D$998)</f>
        <v>0</v>
      </c>
      <c r="G204" s="158">
        <f>IF(C204="",0,COUNTIF(Data!$N$2:$N$998,C204))</f>
        <v>0</v>
      </c>
      <c r="H204" s="231">
        <f>IF(C204="",0,CONCATENATE(COUNTIFS(Data!$N$2:$N$998,C204,Data!$O$2:$O$998,"New *")," New",", ",COUNTIFS(Data!$N$2:$N$998,C204,Data!$O$2:$O$998,"Repeat *")," Repeat"))</f>
        <v>0</v>
      </c>
      <c r="I204" s="132" t="str">
        <f>IF(OR(C204="DCOLLECTOR",C204="SAF2000",C204=""),"",VLOOKUP($C204,'C'!$C$1:$D$2479,2,FALSE))</f>
        <v/>
      </c>
      <c r="J204" s="133" t="str">
        <f>IF(OR(C204="DCOLLECTOR",C204="SAF2000",C204=""),"",VLOOKUP($C204,'C'!$C$1:$E$2479,3,FALSE))</f>
        <v/>
      </c>
      <c r="K204" s="130">
        <f t="shared" si="22"/>
        <v>0</v>
      </c>
      <c r="L204" s="130" t="str">
        <f t="shared" si="23"/>
        <v/>
      </c>
    </row>
    <row r="205" spans="1:12" s="48" customFormat="1" ht="15" hidden="1" x14ac:dyDescent="0.25">
      <c r="A205" s="842"/>
      <c r="B205" s="842"/>
      <c r="C205" s="156" t="str">
        <f t="array" ref="C205">IFERROR(INDEX('C'!$C$1:$C$2479, SMALL(IF($B$184 = 'C'!$A$1:$A$2479, ROW('C'!$A$1:$A$2479) -
ROW('C'!$A$2) + 2), ROW(22:22))),"")</f>
        <v/>
      </c>
      <c r="D205" s="132" t="str">
        <f t="array" ref="D205">IFERROR(INDEX('C'!$B$1:$B$2479, SMALL(IF($B$184 = 'C'!$A$1:$A$2479, ROW('C'!$A$1:$A$2479) -
ROW('C'!$A$2) + 2), ROW(24:24))),"")</f>
        <v/>
      </c>
      <c r="E205" s="134">
        <f t="shared" si="21"/>
        <v>0</v>
      </c>
      <c r="F205" s="158">
        <f>SUMIF(Data!$N$2:$N$998,Disbursement!C205,Data!$D$2:$D$998)</f>
        <v>0</v>
      </c>
      <c r="G205" s="158">
        <f>IF(C205="",0,COUNTIF(Data!$N$2:$N$998,C205))</f>
        <v>0</v>
      </c>
      <c r="H205" s="231">
        <f>IF(C205="",0,CONCATENATE(COUNTIFS(Data!$N$2:$N$998,C205,Data!$O$2:$O$998,"New *")," New",", ",COUNTIFS(Data!$N$2:$N$998,C205,Data!$O$2:$O$998,"Repeat *")," Repeat"))</f>
        <v>0</v>
      </c>
      <c r="I205" s="132" t="str">
        <f>IF(OR(C205="DCOLLECTOR",C205="SAF2000",C205=""),"",VLOOKUP($C205,'C'!$C$1:$D$2479,2,FALSE))</f>
        <v/>
      </c>
      <c r="J205" s="133" t="str">
        <f>IF(OR(C205="DCOLLECTOR",C205="SAF2000",C205=""),"",VLOOKUP($C205,'C'!$C$1:$E$2479,3,FALSE))</f>
        <v/>
      </c>
      <c r="K205" s="130">
        <f t="shared" si="22"/>
        <v>0</v>
      </c>
      <c r="L205" s="130" t="str">
        <f t="shared" si="23"/>
        <v/>
      </c>
    </row>
    <row r="206" spans="1:12" s="48" customFormat="1" ht="15" hidden="1" x14ac:dyDescent="0.25">
      <c r="A206" s="842"/>
      <c r="B206" s="842"/>
      <c r="C206" s="156" t="str">
        <f t="array" ref="C206">IFERROR(INDEX('C'!$C$1:$C$2479, SMALL(IF($B$184 = 'C'!$A$1:$A$2479, ROW('C'!$A$1:$A$2479) -
ROW('C'!$A$2) + 2), ROW(23:23))),"")</f>
        <v/>
      </c>
      <c r="D206" s="132" t="str">
        <f t="array" ref="D206">IFERROR(INDEX('C'!$B$1:$B$2479, SMALL(IF($B$184 = 'C'!$A$1:$A$2479, ROW('C'!$A$1:$A$2479) -
ROW('C'!$A$2) + 2), ROW(25:25))),"")</f>
        <v/>
      </c>
      <c r="E206" s="134">
        <f t="shared" si="21"/>
        <v>0</v>
      </c>
      <c r="F206" s="158">
        <f>SUMIF(Data!$N$2:$N$998,Disbursement!C206,Data!$D$2:$D$998)</f>
        <v>0</v>
      </c>
      <c r="G206" s="158">
        <f>IF(C206="",0,COUNTIF(Data!$N$2:$N$998,C206))</f>
        <v>0</v>
      </c>
      <c r="H206" s="231">
        <f>IF(C206="",0,CONCATENATE(COUNTIFS(Data!$N$2:$N$998,C206,Data!$O$2:$O$998,"New *")," New",", ",COUNTIFS(Data!$N$2:$N$998,C206,Data!$O$2:$O$998,"Repeat *")," Repeat"))</f>
        <v>0</v>
      </c>
      <c r="I206" s="132" t="str">
        <f>IF(OR(C206="DCOLLECTOR",C206="SAF2000",C206=""),"",VLOOKUP($C206,'C'!$C$1:$D$2479,2,FALSE))</f>
        <v/>
      </c>
      <c r="J206" s="133" t="str">
        <f>IF(OR(C206="DCOLLECTOR",C206="SAF2000",C206=""),"",VLOOKUP($C206,'C'!$C$1:$E$2479,3,FALSE))</f>
        <v/>
      </c>
      <c r="K206" s="130">
        <f t="shared" si="22"/>
        <v>0</v>
      </c>
      <c r="L206" s="130" t="str">
        <f t="shared" si="23"/>
        <v/>
      </c>
    </row>
    <row r="207" spans="1:12" s="48" customFormat="1" ht="15" hidden="1" x14ac:dyDescent="0.25">
      <c r="A207" s="842"/>
      <c r="B207" s="842"/>
      <c r="C207" s="156" t="str">
        <f t="array" ref="C207">IFERROR(INDEX('C'!$C$1:$C$2479, SMALL(IF($B$184 = 'C'!$A$1:$A$2479, ROW('C'!$A$1:$A$2479) -
ROW('C'!$A$2) + 2), ROW(24:24))),"")</f>
        <v/>
      </c>
      <c r="D207" s="132" t="str">
        <f t="array" ref="D207">IFERROR(INDEX('C'!$B$1:$B$2479, SMALL(IF($B$184 = 'C'!$A$1:$A$2479, ROW('C'!$A$1:$A$2479) -
ROW('C'!$A$2) + 2), ROW(26:26))),"")</f>
        <v/>
      </c>
      <c r="E207" s="134">
        <f t="shared" si="21"/>
        <v>0</v>
      </c>
      <c r="F207" s="158">
        <f>SUMIF(Data!$N$2:$N$998,Disbursement!C207,Data!$D$2:$D$998)</f>
        <v>0</v>
      </c>
      <c r="G207" s="158">
        <f>IF(C207="",0,COUNTIF(Data!$N$2:$N$998,C207))</f>
        <v>0</v>
      </c>
      <c r="H207" s="231">
        <f>IF(C207="",0,CONCATENATE(COUNTIFS(Data!$N$2:$N$998,C207,Data!$O$2:$O$998,"New *")," New",", ",COUNTIFS(Data!$N$2:$N$998,C207,Data!$O$2:$O$998,"Repeat *")," Repeat"))</f>
        <v>0</v>
      </c>
      <c r="I207" s="132" t="str">
        <f>IF(OR(C207="DCOLLECTOR",C207="SAF2000",C207=""),"",VLOOKUP($C207,'C'!$C$1:$D$2479,2,FALSE))</f>
        <v/>
      </c>
      <c r="J207" s="133" t="str">
        <f>IF(OR(C207="DCOLLECTOR",C207="SAF2000",C207=""),"",VLOOKUP($C207,'C'!$C$1:$E$2479,3,FALSE))</f>
        <v/>
      </c>
      <c r="K207" s="130">
        <f t="shared" si="22"/>
        <v>0</v>
      </c>
      <c r="L207" s="130" t="str">
        <f t="shared" si="23"/>
        <v/>
      </c>
    </row>
    <row r="208" spans="1:12" s="48" customFormat="1" ht="15" hidden="1" x14ac:dyDescent="0.25">
      <c r="A208" s="842"/>
      <c r="B208" s="842"/>
      <c r="C208" s="156" t="str">
        <f t="array" ref="C208">IFERROR(INDEX('C'!$C$1:$C$2479, SMALL(IF($B$184 = 'C'!$A$1:$A$2479, ROW('C'!$A$1:$A$2479) -
ROW('C'!$A$2) + 2), ROW(25:25))),"")</f>
        <v/>
      </c>
      <c r="D208" s="132" t="str">
        <f t="array" ref="D208">IFERROR(INDEX('C'!$B$1:$B$2479, SMALL(IF($B$184 = 'C'!$A$1:$A$2479, ROW('C'!$A$1:$A$2479) -
ROW('C'!$A$2) + 2), ROW(27:27))),"")</f>
        <v/>
      </c>
      <c r="E208" s="134">
        <f t="shared" si="21"/>
        <v>0</v>
      </c>
      <c r="F208" s="158">
        <f>SUMIF(Data!$N$2:$N$998,Disbursement!C208,Data!$D$2:$D$998)</f>
        <v>0</v>
      </c>
      <c r="G208" s="158">
        <f>IF(C208="",0,COUNTIF(Data!$N$2:$N$998,C208))</f>
        <v>0</v>
      </c>
      <c r="H208" s="231">
        <f>IF(C208="",0,CONCATENATE(COUNTIFS(Data!$N$2:$N$998,C208,Data!$O$2:$O$998,"New *")," New",", ",COUNTIFS(Data!$N$2:$N$998,C208,Data!$O$2:$O$998,"Repeat *")," Repeat"))</f>
        <v>0</v>
      </c>
      <c r="I208" s="132" t="str">
        <f>IF(OR(C208="DCOLLECTOR",C208="SAF2000",C208=""),"",VLOOKUP($C208,'C'!$C$1:$D$2479,2,FALSE))</f>
        <v/>
      </c>
      <c r="J208" s="133" t="str">
        <f>IF(OR(C208="DCOLLECTOR",C208="SAF2000",C208=""),"",VLOOKUP($C208,'C'!$C$1:$E$2479,3,FALSE))</f>
        <v/>
      </c>
      <c r="K208" s="130">
        <f t="shared" si="22"/>
        <v>0</v>
      </c>
      <c r="L208" s="130" t="str">
        <f t="shared" si="23"/>
        <v/>
      </c>
    </row>
    <row r="209" spans="1:12" s="48" customFormat="1" ht="15.6" hidden="1" thickBot="1" x14ac:dyDescent="0.3">
      <c r="A209" s="842"/>
      <c r="B209" s="842"/>
      <c r="C209" s="808" t="str">
        <f t="array" ref="C209">IFERROR(INDEX('C'!$C$1:$C$2479, SMALL(IF($B$184 = 'C'!$A$1:$A$2479, ROW('C'!$A$1:$A$2479) -
ROW('C'!$A$2) + 2), ROW(26:26))),"")</f>
        <v/>
      </c>
      <c r="D209" s="132" t="str">
        <f t="array" ref="D209">IFERROR(INDEX('C'!$B$1:$B$2479, SMALL(IF($B$184 = 'C'!$A$1:$A$2479, ROW('C'!$A$1:$A$2479) -
ROW('C'!$A$2) + 2), ROW(28:28))),"")</f>
        <v/>
      </c>
      <c r="E209" s="134">
        <f t="shared" si="21"/>
        <v>0</v>
      </c>
      <c r="F209" s="158">
        <f>SUMIF(Data!$N$2:$N$998,Disbursement!C209,Data!$D$2:$D$998)</f>
        <v>0</v>
      </c>
      <c r="G209" s="158">
        <f>IF(C209="",0,COUNTIF(Data!$N$2:$N$998,C209))</f>
        <v>0</v>
      </c>
      <c r="H209" s="231">
        <f>IF(C209="",0,CONCATENATE(COUNTIFS(Data!$N$2:$N$998,C209,Data!$O$2:$O$998,"New *")," New",", ",COUNTIFS(Data!$N$2:$N$998,C209,Data!$O$2:$O$998,"Repeat *")," Repeat"))</f>
        <v>0</v>
      </c>
      <c r="I209" s="132" t="str">
        <f>IF(OR(C209="DCOLLECTOR",C209="SAF2000",C209=""),"",VLOOKUP($C209,'C'!$C$1:$D$2479,2,FALSE))</f>
        <v/>
      </c>
      <c r="J209" s="133" t="str">
        <f>IF(OR(C209="DCOLLECTOR",C209="SAF2000",C209=""),"",VLOOKUP($C209,'C'!$C$1:$E$2479,3,FALSE))</f>
        <v/>
      </c>
      <c r="K209" s="734">
        <f t="shared" si="22"/>
        <v>0</v>
      </c>
      <c r="L209" s="234" t="str">
        <f t="shared" si="23"/>
        <v/>
      </c>
    </row>
    <row r="210" spans="1:12" s="48" customFormat="1" ht="15.75" customHeight="1" thickBot="1" x14ac:dyDescent="0.35">
      <c r="A210" s="843"/>
      <c r="B210" s="809" t="s">
        <v>4825</v>
      </c>
      <c r="C210" s="811">
        <f>COUNTIF(C184:C209,"?*")</f>
        <v>5</v>
      </c>
      <c r="D210" s="810"/>
      <c r="E210" s="373">
        <f>SUBTOTAL(9,E184:E209)</f>
        <v>0.10171229369031516</v>
      </c>
      <c r="F210" s="375">
        <f>SUBTOTAL(9,F184:F209)</f>
        <v>18000000</v>
      </c>
      <c r="G210" s="375">
        <f>SUBTOTAL(9,G184:G209)</f>
        <v>1</v>
      </c>
      <c r="H210" s="375" t="str">
        <f>CONCATENATE(COUNTIFS(Data!$N$2:$N$998,C184,Data!$O$2:$O$998,"New *")+COUNTIFS(Data!$N$2:$N$998,#REF!,Data!$O$2:$O$998,"New *")+COUNTIFS(Data!$N$2:$N$998,C185,Data!$O$2:$O$998,"New *")+COUNTIFS(Data!$N$2:$N$998,C186,Data!$O$2:$O$998,"New *")+COUNTIFS(Data!$N$2:$N$998,C187,Data!$O$2:$O$998,"New *")+COUNTIFS(Data!$N$2:$N$998,C188,Data!$O$2:$O$998,"New *")+COUNTIFS(Data!$N$2:$N$998,C189,Data!$O$2:$O$998,"New *")+COUNTIFS(Data!$N$2:$N$998,C190,Data!$O$2:$O$998,"New *")+COUNTIFS(Data!$N$2:$N$998,C191,Data!$O$2:$O$998,"New *")+COUNTIFS(Data!$N$2:$N$998,C192,Data!$O$2:$O$998,"New *")+COUNTIFS(Data!$N$2:$N$998,C193,Data!$O$2:$O$998,"New *")+COUNTIFS(Data!$N$2:$N$998,C194,Data!$O$2:$O$998,"New *")+COUNTIFS(Data!$N$2:$N$998,C195,Data!$O$2:$O$998,"New *")+COUNTIFS(Data!$N$2:$N$998,C196,Data!$O$2:$O$998,"New *")+COUNTIFS(Data!$N$2:$N$998,C197,Data!$O$2:$O$998,"New *")+COUNTIFS(Data!$N$2:$N$998,C198,Data!$O$2:$O$998,"New *")+COUNTIFS(Data!$N$2:$N$998,C199,Data!$O$2:$O$998,"New *")+COUNTIFS(Data!$N$2:$N$998,C200,Data!$O$2:$O$998,"New *")+COUNTIFS(Data!$N$2:$N$998,C201,Data!$O$2:$O$998,"New *")+COUNTIFS(Data!$N$2:$N$998,C202,Data!$O$2:$O$998,"New *")+COUNTIFS(Data!$N$2:$N$998,C203,Data!$O$2:$O$998,"New *")+COUNTIFS(Data!$N$2:$N$998,C204,Data!$O$2:$O$998,"New *")+COUNTIFS(Data!$N$2:$N$998,C205,Data!$O$2:$O$998,"New *")+COUNTIFS(Data!$N$2:$N$998,C206,Data!$O$2:$O$998,"New *")+COUNTIFS(Data!$N$2:$N$998,C207,Data!$O$2:$O$998,"New *")+COUNTIFS(Data!$N$2:$N$998,C208,Data!$O$2:$O$998,"New *")+COUNTIFS(Data!$N$2:$N$998,C209,Data!$O$2:$O$998,"New *")," New",",",COUNTIFS(Data!$N$2:$N$998,C184,Data!$O$2:$O$998,"Repeat *")+COUNTIFS(Data!$N$2:$N$998,#REF!,Data!$O$2:$O$998,"Repeat *")+COUNTIFS(Data!$N$2:$N$998,C185,Data!$O$2:$O$998,"Repeat *")+COUNTIFS(Data!$N$2:$N$998,C186,Data!$O$2:$O$998,"Repeat *")+COUNTIFS(Data!$N$2:$N$998,C187,Data!$O$2:$O$998,"Repeat *")+COUNTIFS(Data!$N$2:$N$998,C188,Data!$O$2:$O$998,"Repeat *")+COUNTIFS(Data!$N$2:$N$998,C189,Data!$O$2:$O$998,"Repeat *")+COUNTIFS(Data!$N$2:$N$998,C190,Data!$O$2:$O$998,"Repeat *")+COUNTIFS(Data!$N$2:$N$998,C191,Data!$O$2:$O$998,"Repeat *")+COUNTIFS(Data!$N$2:$N$998,C192,Data!$O$2:$O$998,"Repeat *")+COUNTIFS(Data!$N$2:$N$998,C193,Data!$O$2:$O$998,"Repeat *")+COUNTIFS(Data!$N$2:$N$998,C194,Data!$O$2:$O$998,"Repeat *")+COUNTIFS(Data!$N$2:$N$998,C195,Data!$O$2:$O$998,"Repeat *")+COUNTIFS(Data!$N$2:$N$998,C196,Data!$O$2:$O$998,"Repeat *")+COUNTIFS(Data!$N$2:$N$998,C197,Data!$O$2:$O$998,"Repeat *")+COUNTIFS(Data!$N$2:$N$998,C198,Data!$O$2:$O$998,"Repeat *")+COUNTIFS(Data!$N$2:$N$998,C199,Data!$O$2:$O$998,"Repeat *")+COUNTIFS(Data!$N$2:$N$998,C200,Data!$O$2:$O$998,"Repeat *")+COUNTIFS(Data!$N$2:$N$998,C201,Data!$O$2:$O$998,"Repeat *")+COUNTIFS(Data!$N$2:$N$998,C202,Data!$O$2:$O$998,"Repeat *")+COUNTIFS(Data!$N$2:$N$998,C203,Data!$O$2:$O$998,"Repeat *")+COUNTIFS(Data!$N$2:$N$998,C204,Data!$O$2:$O$998,"Repeat *")+COUNTIFS(Data!$N$2:$N$998,C205,Data!$O$2:$O$998,"Repeat *")+COUNTIFS(Data!$N$2:$N$998,C206,Data!$O$2:$O$998,"Repeat *")+COUNTIFS(Data!$N$2:$N$998,C207,Data!$O$2:$O$998,"Repeat *")+COUNTIFS(Data!$N$2:$N$998,C208,Data!$O$2:$O$998,"Repeat *")+COUNTIFS(Data!$N$2:$N$998,C209,Data!$O$2:$O$998,"Repeat *"), " Repeat")</f>
        <v>0 New,1 Repeat</v>
      </c>
      <c r="I210" s="365">
        <f>SUBTOTAL(9,I184:I209)</f>
        <v>60</v>
      </c>
      <c r="J210" s="376">
        <f>SUBTOTAL(9,J184:J209)</f>
        <v>455000000</v>
      </c>
      <c r="K210" s="151">
        <f>IF(OR(I210="",ISERROR(G210/I210)),0,(G210)/I210)</f>
        <v>1.6666666666666666E-2</v>
      </c>
      <c r="L210" s="373">
        <f>IF(OR(J210="",ISERROR(F210/J210)),"",F210/J210)</f>
        <v>3.9560439560439559E-2</v>
      </c>
    </row>
    <row r="211" spans="1:12" s="48" customFormat="1" ht="18" customHeight="1" thickBot="1" x14ac:dyDescent="0.35">
      <c r="A211" s="379" t="s">
        <v>984</v>
      </c>
      <c r="B211" s="364"/>
      <c r="C211" s="366">
        <f>SUBTOTAL(9,C102:C210)</f>
        <v>18</v>
      </c>
      <c r="D211" s="366">
        <f>SUBTOTAL(9,D184:D210)</f>
        <v>0</v>
      </c>
      <c r="E211" s="374">
        <f>SUBTOTAL(9,E102:E210)</f>
        <v>0.32095879342277228</v>
      </c>
      <c r="F211" s="377">
        <f>SUBTOTAL(9,F102:F210)</f>
        <v>56800000</v>
      </c>
      <c r="G211" s="377">
        <f>SUBTOTAL(9,G102:G210)</f>
        <v>5</v>
      </c>
      <c r="H211" s="377" t="str">
        <f>CONCATENATE(LEFT(H129,SEARCH(" ",H129,1))+LEFT(H156,SEARCH(" ",H156,1))+LEFT(H182,SEARCH(" ",H182,1))+LEFT(H210,SEARCH(" ",H210,1)), " New",",",MID(H129,FIND(",",H129)+1,FIND(" R",H129)-FIND(",",H129))+MID(H156,FIND(",",H156)+1,FIND(" R",H156)-FIND(",",H156))+MID(H182,FIND(",",H182)+1,FIND(" R",H182)-FIND(",",H182))+MID(H210,FIND(",",H210)+1,FIND(" R",H210)-FIND(",",H210)), " Repeat")</f>
        <v>1 New,4 Repeat</v>
      </c>
      <c r="I211" s="366">
        <f>SUBTOTAL(9,I102:I210)</f>
        <v>230</v>
      </c>
      <c r="J211" s="378">
        <f>SUBTOTAL(9,J102:J210)</f>
        <v>1680000000</v>
      </c>
      <c r="K211" s="374">
        <f>IF(OR(I211="",ISERROR(G211/I211)),0,G211/I211)</f>
        <v>2.1739130434782608E-2</v>
      </c>
      <c r="L211" s="374">
        <f>IF(OR(J211="",ISERROR(F211/J211)),0,F211/J211)</f>
        <v>3.380952380952381E-2</v>
      </c>
    </row>
    <row r="212" spans="1:12" s="48" customFormat="1" ht="15.75" customHeight="1" thickTop="1" x14ac:dyDescent="0.25">
      <c r="A212" s="841" t="s">
        <v>2079</v>
      </c>
      <c r="B212" s="842" t="s">
        <v>2079</v>
      </c>
      <c r="C212" s="157" t="str">
        <f t="array" ref="C212">IF(OR(IFERROR(INDEX('C'!$C$1:$C$2479, SMALL(IF($B$212 = 'C'!$A$1:$A$2479, ROW('C'!$A$1:$A$2479) -
ROW('C'!$A$2) + 2), ROW(1:1))),"")="DCOLLECTO1",IFERROR(INDEX('C'!$C$1:$C$2479, SMALL(IF($B$212 = 'C'!$A$1:$A$2479, ROW('C'!$A$1:$A$2479) -
ROW('C'!$A$2) + 2), ROW(1:1))),"")="DCOLLECTO2",IFERROR(INDEX('C'!$C$1:$C$2479, SMALL(IF($B$212 = 'C'!$A$1:$A$2479, ROW('C'!$A$1:$A$2479) -
ROW('C'!$A$2) + 2), ROW(1:1))),"")="DCOLLECTO3"),"",IFERROR(INDEX('C'!$C$1:$C$2479, SMALL(IF($B$212 = 'C'!$A$1:$A$2479, ROW('C'!$A$1:$A$2479) -
ROW('C'!$A$2) + 2), ROW(1:1))),""))</f>
        <v>SAF2000</v>
      </c>
      <c r="D212" s="132"/>
      <c r="E212" s="134">
        <f>F212/$F$219</f>
        <v>0.22133588497080953</v>
      </c>
      <c r="F212" s="158">
        <f>SUMIF(Data!$N$2:$N$998,Disbursement!C212,Data!$D$2:$D$998)</f>
        <v>39169758</v>
      </c>
      <c r="G212" s="158">
        <f>IF(C212="",0,COUNTIF(Data!$N$2:$N$998,C212))</f>
        <v>6</v>
      </c>
      <c r="H212" s="158" t="str">
        <f>IF(C212="",0,CONCATENATE(COUNTIFS(Data!$N$2:$N$998,C212,Data!$O$2:$O$998,"New *")," New"))</f>
        <v>6 New</v>
      </c>
      <c r="I212" s="132" t="str">
        <f>IF(OR(C212="DCOLLECTOR",C212="SAF2000",C212=""),"",VLOOKUP($C212,'C'!$C$1:$D$2479,2,FALSE))</f>
        <v/>
      </c>
      <c r="J212" s="133" t="str">
        <f>IF(OR(C212="DCOLLECTOR",C212="SAF2000",C212=""),"",VLOOKUP($C212,'C'!$C$1:$E$2479,3,FALSE))</f>
        <v/>
      </c>
      <c r="K212" s="134">
        <f>IFERROR(IF(I212="",0,(G212)/I212),"")</f>
        <v>0</v>
      </c>
      <c r="L212" s="134" t="str">
        <f>IFERROR(IF(J212="","",F212/J212),"")</f>
        <v/>
      </c>
    </row>
    <row r="213" spans="1:12" s="48" customFormat="1" ht="15.75" customHeight="1" x14ac:dyDescent="0.25">
      <c r="A213" s="842"/>
      <c r="B213" s="842"/>
      <c r="C213" s="157" t="str">
        <f t="array" ref="C213">IF(OR(IFERROR(INDEX('C'!$C$1:$C$2479, SMALL(IF($B$212 = 'C'!$A$1:$A$2479, ROW('C'!$A$1:$A$2479) -
ROW('C'!$A$2) + 2), ROW(2:2))),"")="DCOLLECTO1",IFERROR(INDEX('C'!$C$1:$C$2479, SMALL(IF($B$212 = 'C'!$A$1:$A$2479, ROW('C'!$A$1:$A$2479) -
ROW('C'!$A$2) + 2), ROW(2:2))),"")="DCOLLECTO2",IFERROR(INDEX('C'!$C$1:$C$2479, SMALL(IF($B$212 = 'C'!$A$1:$A$2479, ROW('C'!$A$1:$A$2479) -
ROW('C'!$A$2) + 2), ROW(2:2))),"")="DCOLLECTO3"),"",IFERROR(INDEX('C'!$C$1:$C$2479, SMALL(IF($B$212 = 'C'!$A$1:$A$2479, ROW('C'!$A$1:$A$2479) -
ROW('C'!$A$2) + 2), ROW(2:2))),""))</f>
        <v>HEAD OFFICE</v>
      </c>
      <c r="D213" s="132"/>
      <c r="E213" s="134">
        <f t="shared" ref="E213:E215" si="24">F213/$F$219</f>
        <v>0</v>
      </c>
      <c r="F213" s="158">
        <f>SUMIF(Data!$N$2:$N$998,Disbursement!C213,Data!$D$2:$D$998)</f>
        <v>0</v>
      </c>
      <c r="G213" s="158">
        <f>IF(C213="",0,COUNTIF(Data!$N$2:$N$998,C213))</f>
        <v>0</v>
      </c>
      <c r="H213" s="158" t="str">
        <f>IF(C213="",0,CONCATENATE(COUNTIFS(Data!$N$2:$N$998,C213,Data!$O$2:$O$998,"New *")," New",", ",COUNTIFS(Data!$N$2:$N$998,C213,Data!$O$2:$O$998,"Repeat *")," Repeat"))</f>
        <v>0 New, 0 Repeat</v>
      </c>
      <c r="I213" s="132">
        <f>IF(OR(C213="DCOLLECTOR",C213="SAF2000",C213=""),"",VLOOKUP($C213,'C'!$C$1:$D$2479,2,FALSE))</f>
        <v>0</v>
      </c>
      <c r="J213" s="133">
        <f>IF(OR(C213="DCOLLECTOR",C213="SAF2000",C213=""),"",VLOOKUP($C213,'C'!$C$1:$E$2479,3,FALSE))</f>
        <v>0</v>
      </c>
      <c r="K213" s="134" t="str">
        <f t="shared" ref="K213:K215" si="25">IFERROR(IF(I213="",0,(G213)/I213),"")</f>
        <v/>
      </c>
      <c r="L213" s="134" t="str">
        <f t="shared" ref="L213:L215" si="26">IFERROR(IF(J213="","",F213/J213),"")</f>
        <v/>
      </c>
    </row>
    <row r="214" spans="1:12" s="48" customFormat="1" ht="15.75" customHeight="1" x14ac:dyDescent="0.25">
      <c r="A214" s="842"/>
      <c r="B214" s="842"/>
      <c r="C214" s="157" t="str">
        <f t="array" ref="C214">IF(OR(IFERROR(INDEX('C'!$C$1:$C$2479, SMALL(IF($B$212 = 'C'!$A$1:$A$2479, ROW('C'!$A$1:$A$2479) -
ROW('C'!$A$2) + 2), ROW(3:3))),"")="DCOLLECTO1",IFERROR(INDEX('C'!$C$1:$C$2479, SMALL(IF($B$212 = 'C'!$A$1:$A$2479, ROW('C'!$A$1:$A$2479) -
ROW('C'!$A$2) + 2), ROW(3:3))),"")="DCOLLECTO2",IFERROR(INDEX('C'!$C$1:$C$2479, SMALL(IF($B$212 = 'C'!$A$1:$A$2479, ROW('C'!$A$1:$A$2479) -
ROW('C'!$A$2) + 2), ROW(3:3))),"")="DCOLLECTO3"),"",IFERROR(INDEX('C'!$C$1:$C$2479, SMALL(IF($B$212 = 'C'!$A$1:$A$2479, ROW('C'!$A$1:$A$2479) -
ROW('C'!$A$2) + 2), ROW(3:3))),""))</f>
        <v>KOLOLO ADMIN</v>
      </c>
      <c r="D214" s="132"/>
      <c r="E214" s="134">
        <f t="shared" si="24"/>
        <v>0</v>
      </c>
      <c r="F214" s="158">
        <f>SUMIF(Data!$N$2:$N$998,Disbursement!C214,Data!$D$2:$D$998)</f>
        <v>0</v>
      </c>
      <c r="G214" s="158">
        <f>IF(C214="",0,COUNTIF(Data!$N$2:$N$998,C214))</f>
        <v>0</v>
      </c>
      <c r="H214" s="158" t="str">
        <f>IF(C214="",0,CONCATENATE(COUNTIFS(Data!$N$2:$N$998,C214,Data!$O$2:$O$998,"New *")," New",", ",COUNTIFS(Data!$N$2:$N$998,C214,Data!$O$2:$O$998,"Repeat *")," Repeat"))</f>
        <v>0 New, 0 Repeat</v>
      </c>
      <c r="I214" s="132">
        <f>IF(OR(C214="DCOLLECTOR",C214="SAF2000",C214=""),"",VLOOKUP($C214,'C'!$C$1:$D$2479,2,FALSE))</f>
        <v>0</v>
      </c>
      <c r="J214" s="133">
        <f>IF(OR(C214="DCOLLECTOR",C214="SAF2000",C214=""),"",VLOOKUP($C214,'C'!$C$1:$E$2479,3,FALSE))</f>
        <v>0</v>
      </c>
      <c r="K214" s="134" t="str">
        <f t="shared" si="25"/>
        <v/>
      </c>
      <c r="L214" s="134" t="str">
        <f t="shared" si="26"/>
        <v/>
      </c>
    </row>
    <row r="215" spans="1:12" s="48" customFormat="1" ht="15.6" thickBot="1" x14ac:dyDescent="0.3">
      <c r="A215" s="842"/>
      <c r="B215" s="843"/>
      <c r="C215" s="157" t="str">
        <f t="array" ref="C215">IF(OR(IFERROR(INDEX('C'!$C$1:$C$2479, SMALL(IF($B$212 = 'C'!$A$1:$A$2479, ROW('C'!$A$1:$A$2479) -
ROW('C'!$A$2) + 2), ROW(4:4))),"")="DCOLLECTO1",IFERROR(INDEX('C'!$C$1:$C$2479, SMALL(IF($B$212 = 'C'!$A$1:$A$2479, ROW('C'!$A$1:$A$2479) -
ROW('C'!$A$2) + 2), ROW(4:4))),"")="DCOLLECTO2",IFERROR(INDEX('C'!$C$1:$C$2479, SMALL(IF($B$212 = 'C'!$A$1:$A$2479, ROW('C'!$A$1:$A$2479) -
ROW('C'!$A$2) + 2), ROW(4:4))),"")="DCOLLECTO3"),"",IFERROR(INDEX('C'!$C$1:$C$2479, SMALL(IF($B$212 = 'C'!$A$1:$A$2479, ROW('C'!$A$1:$A$2479) -
ROW('C'!$A$2) + 2), ROW(4:4))),""))</f>
        <v>NDEEBA ADMIN</v>
      </c>
      <c r="D215" s="132" t="str">
        <f t="array" ref="D215">IFERROR(INDEX('C'!$B$1:$B$2479, SMALL(IF($B$184 = 'C'!$A$1:$A$2479, ROW('C'!$A$1:$A$2479) -
ROW('C'!$A$2) + 2), ROW(#REF!))),"")</f>
        <v/>
      </c>
      <c r="E215" s="134">
        <f t="shared" si="24"/>
        <v>0</v>
      </c>
      <c r="F215" s="158">
        <f>SUMIF(Data!$N$2:$N$998,Disbursement!C215,Data!$D$2:$D$998)</f>
        <v>0</v>
      </c>
      <c r="G215" s="158">
        <f>IF(C215="",0,COUNTIF(Data!$N$2:$N$998,C215))</f>
        <v>0</v>
      </c>
      <c r="H215" s="158" t="str">
        <f>IF(C215="",0,CONCATENATE(COUNTIFS(Data!$N$2:$N$998,C215,Data!$O$2:$O$998,"New *")," New",", ",COUNTIFS(Data!$N$2:$N$998,C215,Data!$O$2:$O$998,"Repeat *")," Repeat"))</f>
        <v>0 New, 0 Repeat</v>
      </c>
      <c r="I215" s="132">
        <f>IF(OR(C215="DCOLLECTOR",C215="SAF2000",C215=""),"",VLOOKUP($C215,'C'!$C$1:$D$2479,2,FALSE))</f>
        <v>0</v>
      </c>
      <c r="J215" s="133">
        <f>IF(OR(C215="DCOLLECTOR",C215="SAF2000",C215=""),"",VLOOKUP($C215,'C'!$C$1:$E$2479,3,FALSE))</f>
        <v>0</v>
      </c>
      <c r="K215" s="134" t="str">
        <f t="shared" si="25"/>
        <v/>
      </c>
      <c r="L215" s="134" t="str">
        <f t="shared" si="26"/>
        <v/>
      </c>
    </row>
    <row r="216" spans="1:12" s="48" customFormat="1" ht="16.2" thickBot="1" x14ac:dyDescent="0.35">
      <c r="A216" s="843"/>
      <c r="B216" s="152" t="s">
        <v>2182</v>
      </c>
      <c r="C216" s="149">
        <f>COUNTIF(C212:C215,"?*")</f>
        <v>4</v>
      </c>
      <c r="D216" s="152"/>
      <c r="E216" s="151">
        <f>SUBTOTAL(9,E212:E215)</f>
        <v>0.22133588497080953</v>
      </c>
      <c r="F216" s="147">
        <f>SUBTOTAL(9,F212:F215)</f>
        <v>39169758</v>
      </c>
      <c r="G216" s="147">
        <f>SUBTOTAL(9,G212:G215)</f>
        <v>6</v>
      </c>
      <c r="H216" s="147" t="str">
        <f>IF(C212="",0,CONCATENATE(COUNTIFS(Data!$N$2:$N$998,C212,Data!$O$2:$O$998,"New *")," New"))</f>
        <v>6 New</v>
      </c>
      <c r="I216" s="149">
        <f>SUBTOTAL(9,I212:I215)</f>
        <v>0</v>
      </c>
      <c r="J216" s="150">
        <f>SUBTOTAL(9,J212:J215)</f>
        <v>0</v>
      </c>
      <c r="K216" s="151">
        <f>IF(OR(I216="",ISERROR(G216/I216)),0,(G216)/I216)</f>
        <v>0</v>
      </c>
      <c r="L216" s="151" t="str">
        <f>IF(OR(J216="",ISERROR(F216/J216)),"",F216/J216)</f>
        <v/>
      </c>
    </row>
    <row r="217" spans="1:12" s="330" customFormat="1" ht="16.2" thickBot="1" x14ac:dyDescent="0.3">
      <c r="A217" s="379" t="s">
        <v>2080</v>
      </c>
      <c r="B217" s="320"/>
      <c r="C217" s="320">
        <f>SUBTOTAL(9,C212:C216)</f>
        <v>4</v>
      </c>
      <c r="D217" s="320"/>
      <c r="E217" s="327">
        <f>SUBTOTAL(9,E212:E216)</f>
        <v>0.22133588497080953</v>
      </c>
      <c r="F217" s="328">
        <f>SUBTOTAL(9,F212:F216)</f>
        <v>39169758</v>
      </c>
      <c r="G217" s="328">
        <f>SUBTOTAL(9,G212:G216)</f>
        <v>6</v>
      </c>
      <c r="H217" s="328" t="str">
        <f>IF(C212="",0,CONCATENATE(COUNTIFS(Data!$N$2:$N$998,C212,Data!$O$2:$O$998,"New *")," New"))</f>
        <v>6 New</v>
      </c>
      <c r="I217" s="320">
        <f>SUBTOTAL(9,I212:I216)</f>
        <v>0</v>
      </c>
      <c r="J217" s="329">
        <f>SUBTOTAL(9,J212:J216)</f>
        <v>0</v>
      </c>
      <c r="K217" s="331">
        <f>IF(OR(I217="",ISERROR(G217/I217)),0,G217/I217)</f>
        <v>0</v>
      </c>
      <c r="L217" s="327">
        <f>IF(OR(J217="",ISERROR(F217/J217)),0,F217/J217)</f>
        <v>0</v>
      </c>
    </row>
    <row r="218" spans="1:12" s="238" customFormat="1" ht="16.2" hidden="1" thickTop="1" x14ac:dyDescent="0.3">
      <c r="A218" s="236"/>
      <c r="B218" s="237"/>
      <c r="C218" s="237"/>
      <c r="D218" s="237"/>
      <c r="E218" s="309"/>
      <c r="F218" s="310"/>
      <c r="G218" s="310"/>
      <c r="H218" s="310"/>
      <c r="I218" s="311"/>
      <c r="J218" s="312"/>
      <c r="K218" s="370"/>
      <c r="L218" s="313"/>
    </row>
    <row r="219" spans="1:12" ht="16.2" thickTop="1" x14ac:dyDescent="0.3">
      <c r="A219" s="159" t="s">
        <v>321</v>
      </c>
      <c r="B219" s="170"/>
      <c r="C219" s="160">
        <f>C101+C183+C211</f>
        <v>41</v>
      </c>
      <c r="D219" s="163"/>
      <c r="E219" s="314"/>
      <c r="F219" s="166">
        <f>F101+F183+F211+F217</f>
        <v>176969758</v>
      </c>
      <c r="G219" s="166">
        <f>G101+G183+G211+G217</f>
        <v>24</v>
      </c>
      <c r="H219" s="160" t="str">
        <f>CONCATENATE(COUNTIF(Data!$O$2:$O$998,"New *")," New",",",COUNTIF(Data!$O$2:$O$998,"Repeat *")," Repeats")</f>
        <v>14 New,10 Repeats</v>
      </c>
      <c r="I219" s="160">
        <f>I101+I183+I211+I217</f>
        <v>515</v>
      </c>
      <c r="J219" s="161">
        <f>J101+J183+J211+J217</f>
        <v>3800000000</v>
      </c>
      <c r="K219" s="315">
        <f>IF(I219="","",G219/I219)</f>
        <v>4.6601941747572817E-2</v>
      </c>
      <c r="L219" s="162">
        <f>IF(J219="","",F219/J219)</f>
        <v>4.657098894736842E-2</v>
      </c>
    </row>
    <row r="220" spans="1:12" s="240" customFormat="1" ht="15.6" x14ac:dyDescent="0.3">
      <c r="A220" s="360" t="s">
        <v>992</v>
      </c>
      <c r="B220" s="239"/>
      <c r="C220" s="239"/>
      <c r="D220" s="239"/>
      <c r="E220" s="316"/>
      <c r="F220" s="361">
        <f>(F219/G219)</f>
        <v>7373739.916666667</v>
      </c>
      <c r="G220" s="316"/>
      <c r="H220" s="316"/>
      <c r="I220" s="316"/>
      <c r="J220" s="316"/>
      <c r="K220" s="315"/>
      <c r="L220" s="317"/>
    </row>
    <row r="221" spans="1:12" ht="18" customHeight="1" x14ac:dyDescent="0.3">
      <c r="A221" s="167" t="s">
        <v>1004</v>
      </c>
      <c r="B221" s="362"/>
      <c r="C221" s="164"/>
      <c r="D221" s="164"/>
      <c r="E221" s="318"/>
      <c r="F221" s="165">
        <f>F219/Parameters!B17</f>
        <v>4.657098894736842E-2</v>
      </c>
      <c r="G221" s="318"/>
      <c r="H221" s="318"/>
      <c r="I221" s="318"/>
      <c r="J221" s="318"/>
      <c r="K221" s="371"/>
      <c r="L221" s="319"/>
    </row>
    <row r="222" spans="1:12" s="241" customFormat="1" x14ac:dyDescent="0.25">
      <c r="C222" s="241" t="s">
        <v>5398</v>
      </c>
      <c r="D222" s="241" t="s">
        <v>5399</v>
      </c>
      <c r="F222" s="242"/>
      <c r="I222" s="242"/>
      <c r="J222" s="242"/>
      <c r="K222" s="682"/>
      <c r="L222" s="242"/>
    </row>
    <row r="223" spans="1:12" x14ac:dyDescent="0.25">
      <c r="B223" s="135" t="s">
        <v>5709</v>
      </c>
      <c r="C223" s="812">
        <f>J219/2</f>
        <v>1900000000</v>
      </c>
      <c r="D223" s="813">
        <f>I219/2</f>
        <v>257.5</v>
      </c>
      <c r="I223"/>
      <c r="J223"/>
      <c r="K223"/>
      <c r="L223"/>
    </row>
    <row r="224" spans="1:12" x14ac:dyDescent="0.25">
      <c r="B224" s="135" t="s">
        <v>5710</v>
      </c>
      <c r="C224" s="812">
        <f>J219</f>
        <v>3800000000</v>
      </c>
      <c r="D224" s="813">
        <f>I219</f>
        <v>515</v>
      </c>
      <c r="I224"/>
      <c r="J224"/>
      <c r="K224"/>
      <c r="L224"/>
    </row>
    <row r="225" spans="2:12" x14ac:dyDescent="0.25">
      <c r="I225"/>
      <c r="J225"/>
      <c r="K225"/>
      <c r="L225"/>
    </row>
    <row r="233" spans="2:12" x14ac:dyDescent="0.25">
      <c r="B233" s="40"/>
      <c r="C233" s="40"/>
      <c r="D233" s="40"/>
    </row>
    <row r="234" spans="2:12" x14ac:dyDescent="0.25">
      <c r="B234" s="41"/>
      <c r="C234" s="41"/>
      <c r="D234" s="41"/>
    </row>
    <row r="235" spans="2:12" x14ac:dyDescent="0.25">
      <c r="B235" s="41"/>
      <c r="C235" s="41"/>
      <c r="D235" s="41"/>
    </row>
  </sheetData>
  <sheetProtection formatRows="0"/>
  <autoFilter ref="C1:C365" xr:uid="{00000000-0009-0000-0000-000001000000}"/>
  <mergeCells count="13">
    <mergeCell ref="A11:A100"/>
    <mergeCell ref="B11:B31"/>
    <mergeCell ref="B33:B55"/>
    <mergeCell ref="B74:B99"/>
    <mergeCell ref="B184:B209"/>
    <mergeCell ref="B57:B72"/>
    <mergeCell ref="A212:A216"/>
    <mergeCell ref="B212:B215"/>
    <mergeCell ref="A184:A210"/>
    <mergeCell ref="B130:B155"/>
    <mergeCell ref="B157:B181"/>
    <mergeCell ref="A102:A182"/>
    <mergeCell ref="B102:B128"/>
  </mergeCells>
  <printOptions horizontalCentered="1"/>
  <pageMargins left="0.70866141732283472" right="0.70866141732283472" top="0.74803149606299213" bottom="0.74803149606299213" header="0.31496062992125984" footer="0.31496062992125984"/>
  <pageSetup paperSize="9"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4" r:id="rId4" name="Branches_MLP">
              <controlPr defaultSize="0" print="0" autoFill="0" autoPict="0" macro="[0]!GroupBranchOnDisbursement">
                <anchor moveWithCells="1" sizeWithCells="1">
                  <from>
                    <xdr:col>2</xdr:col>
                    <xdr:colOff>30480</xdr:colOff>
                    <xdr:row>3</xdr:row>
                    <xdr:rowOff>106680</xdr:rowOff>
                  </from>
                  <to>
                    <xdr:col>2</xdr:col>
                    <xdr:colOff>1036320</xdr:colOff>
                    <xdr:row>6</xdr:row>
                    <xdr:rowOff>60960</xdr:rowOff>
                  </to>
                </anchor>
              </controlPr>
            </control>
          </mc:Choice>
        </mc:AlternateContent>
        <mc:AlternateContent xmlns:mc="http://schemas.openxmlformats.org/markup-compatibility/2006">
          <mc:Choice Requires="x14">
            <control shapeId="7175" r:id="rId5" name="Branches&amp;BLCs">
              <controlPr defaultSize="0" print="0" autoFill="0" autoPict="0" macro="[0]!GroupTeamsOnDisbursement">
                <anchor moveWithCells="1" sizeWithCells="1">
                  <from>
                    <xdr:col>2</xdr:col>
                    <xdr:colOff>1165860</xdr:colOff>
                    <xdr:row>3</xdr:row>
                    <xdr:rowOff>114300</xdr:rowOff>
                  </from>
                  <to>
                    <xdr:col>3</xdr:col>
                    <xdr:colOff>746760</xdr:colOff>
                    <xdr:row>6</xdr:row>
                    <xdr:rowOff>68580</xdr:rowOff>
                  </to>
                </anchor>
              </controlPr>
            </control>
          </mc:Choice>
        </mc:AlternateContent>
        <mc:AlternateContent xmlns:mc="http://schemas.openxmlformats.org/markup-compatibility/2006">
          <mc:Choice Requires="x14">
            <control shapeId="7176" r:id="rId6" name="Button 8">
              <controlPr defaultSize="0" print="0" autoFill="0" autoPict="0" macro="[0]!UnCollapsedDisbursedView">
                <anchor moveWithCells="1" sizeWithCells="1">
                  <from>
                    <xdr:col>4</xdr:col>
                    <xdr:colOff>22860</xdr:colOff>
                    <xdr:row>3</xdr:row>
                    <xdr:rowOff>114300</xdr:rowOff>
                  </from>
                  <to>
                    <xdr:col>4</xdr:col>
                    <xdr:colOff>990600</xdr:colOff>
                    <xdr:row>6</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B050"/>
    <pageSetUpPr fitToPage="1"/>
  </sheetPr>
  <dimension ref="A2:L318"/>
  <sheetViews>
    <sheetView showZeros="0" view="pageBreakPreview" topLeftCell="A103" zoomScale="83" zoomScaleNormal="100" zoomScaleSheetLayoutView="83" workbookViewId="0">
      <selection activeCell="H172" sqref="H172"/>
    </sheetView>
  </sheetViews>
  <sheetFormatPr defaultColWidth="9.109375" defaultRowHeight="13.2" x14ac:dyDescent="0.25"/>
  <cols>
    <col min="1" max="1" width="23.44140625" style="68" customWidth="1"/>
    <col min="2" max="2" width="22.5546875" style="68" bestFit="1" customWidth="1"/>
    <col min="3" max="3" width="19.109375" style="68" customWidth="1"/>
    <col min="4" max="4" width="15.6640625" style="68" customWidth="1"/>
    <col min="5" max="5" width="14.88671875" style="68" customWidth="1"/>
    <col min="6" max="6" width="21.33203125" style="68" customWidth="1"/>
    <col min="7" max="7" width="14.33203125" style="68" customWidth="1"/>
    <col min="8" max="8" width="12.109375" style="68" customWidth="1"/>
    <col min="9" max="9" width="18.6640625" style="68" bestFit="1" customWidth="1"/>
    <col min="10" max="10" width="11.88671875" style="68" customWidth="1"/>
    <col min="11" max="11" width="14.88671875" style="68" bestFit="1" customWidth="1"/>
    <col min="12" max="12" width="12.44140625" style="398" customWidth="1"/>
    <col min="13" max="13" width="10.88671875" style="68" customWidth="1"/>
    <col min="14" max="15" width="9.109375" style="68"/>
    <col min="16" max="16" width="17.33203125" style="68" customWidth="1"/>
    <col min="17" max="17" width="8.6640625" style="68" customWidth="1"/>
    <col min="18" max="16384" width="9.109375" style="68"/>
  </cols>
  <sheetData>
    <row r="2" spans="1:12" ht="16.8" x14ac:dyDescent="0.3">
      <c r="F2" s="73" t="s">
        <v>991</v>
      </c>
    </row>
    <row r="3" spans="1:12" x14ac:dyDescent="0.25">
      <c r="F3" s="227" t="str">
        <f>CONCATENATE("From  ", Parameters!$B$15)</f>
        <v>From  30-11-2017</v>
      </c>
    </row>
    <row r="4" spans="1:12" x14ac:dyDescent="0.25">
      <c r="J4" s="397"/>
    </row>
    <row r="9" spans="1:12" ht="8.25" customHeight="1" x14ac:dyDescent="0.25"/>
    <row r="10" spans="1:12" s="71" customFormat="1" ht="42.75" customHeight="1" x14ac:dyDescent="0.25">
      <c r="A10" s="596" t="s">
        <v>1463</v>
      </c>
      <c r="B10" s="593" t="s">
        <v>4876</v>
      </c>
      <c r="C10" s="593" t="s">
        <v>33</v>
      </c>
      <c r="D10" s="593" t="s">
        <v>965</v>
      </c>
      <c r="E10" s="594" t="s">
        <v>990</v>
      </c>
      <c r="F10" s="594" t="s">
        <v>989</v>
      </c>
      <c r="G10" s="594" t="s">
        <v>988</v>
      </c>
      <c r="H10" s="593" t="s">
        <v>1202</v>
      </c>
      <c r="I10" s="594" t="s">
        <v>1233</v>
      </c>
      <c r="J10" s="593" t="s">
        <v>1203</v>
      </c>
      <c r="K10" s="594" t="s">
        <v>1242</v>
      </c>
      <c r="L10" s="595" t="s">
        <v>2909</v>
      </c>
    </row>
    <row r="11" spans="1:12" s="71" customFormat="1" ht="15" customHeight="1" x14ac:dyDescent="0.25">
      <c r="A11" s="858" t="s">
        <v>1464</v>
      </c>
      <c r="B11" s="859" t="s">
        <v>968</v>
      </c>
      <c r="C11" s="81" t="str">
        <f t="array" ref="C11">IFERROR(INDEX('C'!$C$1:$C$2479, SMALL(IF($B$11 = 'C'!$A$1:$A$2479, ROW('C'!$A$1:$A$2479) -
ROW('C'!$A$2) + 2), ROW(1:1))),"")</f>
        <v>FDAGIRU</v>
      </c>
      <c r="D11" s="546" t="str">
        <f t="array" ref="D11">IFERROR(INDEX('C'!$B$1:$B$2479, SMALL(IF($B$11 = 'C'!$A$1:$A$2479, ROW('C'!$A$1:$A$2479) -
ROW('C'!$A$2) + 2), ROW(1:1))),"")</f>
        <v>SME</v>
      </c>
      <c r="E11" s="547">
        <f t="shared" ref="E11:E25" si="0">F11/$F$172</f>
        <v>5.1962021239878003E-2</v>
      </c>
      <c r="F11" s="548">
        <f>SUMIF('Global Portfolio'!$N$2:$N$2500,'General Porfolio'!C11,'Global Portfolio'!$E$2:$E$2500)</f>
        <v>860800525.74000025</v>
      </c>
      <c r="G11" s="546">
        <f>IF('General Porfolio'!C11="",0,COUNTIF('Global Portfolio'!$N$2:$N$2500,'General Porfolio'!C11))</f>
        <v>48</v>
      </c>
      <c r="H11" s="549">
        <f>IF( OR($C$11:$C$167="",ISERROR(VLOOKUP($C11,'PIVOT TABLE GLOBAL'!$A$4:$F$2500,3,FALSE))),"",VLOOKUP($C11,'PIVOT TABLE GLOBAL'!$A$4:$F$2500,3,FALSE)/F11)</f>
        <v>0.40587537778238703</v>
      </c>
      <c r="I11" s="550">
        <f>IF(OR($C$11:$C$167="",ISERROR(VLOOKUP($C11,'PIVOT TABLE GLOBAL'!$A$4:$G$2500,7,FALSE))),"",VLOOKUP($C11,'PIVOT TABLE GLOBAL'!$A$4:$G$2500,7,FALSE))</f>
        <v>25</v>
      </c>
      <c r="J11" s="551">
        <f>IF(OR($C$11:$C$167="",ISERROR(VLOOKUP($C11,'PIVOT TABLE GLOBAL'!$A$4:$F$2500,4,FALSE))),"",VLOOKUP($C11,'PIVOT TABLE GLOBAL'!$A$4:$F$2500,4,FALSE)/F11)</f>
        <v>0.12535143426781706</v>
      </c>
      <c r="K11" s="546">
        <f>IF(OR($C$11:$C$167="",ISERROR(VLOOKUP($C11,'PIVOT TABLE GLOBAL'!$A$4:$H$2500,8,FALSE))),"",VLOOKUP($C11,'PIVOT TABLE GLOBAL'!$A$4:$H$2500,8,FALSE))</f>
        <v>11</v>
      </c>
      <c r="L11" s="552" t="str">
        <f>IFERROR(IF(I11/G11*100&gt;=30,"STOP",IF(AND(I11/G11*100&gt;=15,I11/G11*100&lt;30),"WATCH","NORMAL")),"")</f>
        <v>STOP</v>
      </c>
    </row>
    <row r="12" spans="1:12" s="71" customFormat="1" ht="15" customHeight="1" x14ac:dyDescent="0.25">
      <c r="A12" s="853"/>
      <c r="B12" s="860"/>
      <c r="C12" s="81" t="str">
        <f t="array" ref="C12">IFERROR(INDEX('C'!$C$1:$C$2479, SMALL(IF($B$11 = 'C'!$A$1:$A$2479, ROW('C'!$A$1:$A$2479) -
ROW('C'!$A$2) + 2), ROW(2:2))),"")</f>
        <v>ENABBOSA</v>
      </c>
      <c r="D12" s="546" t="str">
        <f t="array" ref="D12">IFERROR(INDEX('C'!$B$1:$B$2479, SMALL(IF($B$11 = 'C'!$A$1:$A$2479, ROW('C'!$A$1:$A$2479) -
ROW('C'!$A$2) + 2), ROW(2:2))),"")</f>
        <v>SME</v>
      </c>
      <c r="E12" s="547">
        <f t="shared" si="0"/>
        <v>5.3902808330426398E-2</v>
      </c>
      <c r="F12" s="548">
        <f>SUMIF('Global Portfolio'!$N$2:$N$2500,'General Porfolio'!C12,'Global Portfolio'!$E$2:$E$2500)</f>
        <v>892951518.10000002</v>
      </c>
      <c r="G12" s="546">
        <f>IF('General Porfolio'!C12="",0,COUNTIF('Global Portfolio'!$N$2:$N$2500,'General Porfolio'!C12))</f>
        <v>79</v>
      </c>
      <c r="H12" s="549">
        <f>IF( OR($C$11:$C$167="",ISERROR(VLOOKUP($C12,'PIVOT TABLE GLOBAL'!$A$4:$F$2500,3,FALSE))),"",VLOOKUP($C12,'PIVOT TABLE GLOBAL'!$A$4:$F$2500,3,FALSE)/F12)</f>
        <v>0.43378147618157897</v>
      </c>
      <c r="I12" s="550">
        <f>IF(OR($C$11:$C$167="",ISERROR(VLOOKUP($C12,'PIVOT TABLE GLOBAL'!$A$4:$G$2500,7,FALSE))),"",VLOOKUP($C12,'PIVOT TABLE GLOBAL'!$A$4:$G$2500,7,FALSE))</f>
        <v>34</v>
      </c>
      <c r="J12" s="551">
        <f>IF(OR($C$11:$C$167="",ISERROR(VLOOKUP($C12,'PIVOT TABLE GLOBAL'!$A$4:$F$2500,4,FALSE))),"",VLOOKUP($C12,'PIVOT TABLE GLOBAL'!$A$4:$F$2500,4,FALSE)/F12)</f>
        <v>0.18639793647941388</v>
      </c>
      <c r="K12" s="546">
        <f>IF(OR($C$11:$C$167="",ISERROR(VLOOKUP($C12,'PIVOT TABLE GLOBAL'!$A$4:$H$2500,8,FALSE))),"",VLOOKUP($C12,'PIVOT TABLE GLOBAL'!$A$4:$H$2500,8,FALSE))</f>
        <v>8</v>
      </c>
      <c r="L12" s="552" t="str">
        <f t="shared" ref="L12:L25" si="1">IFERROR(IF(I12/G12*100&gt;=30,"STOP",IF(AND(I12/G12*100&gt;=15,I12/G12*100&lt;30),"WATCH","NORMAL")),"")</f>
        <v>STOP</v>
      </c>
    </row>
    <row r="13" spans="1:12" s="71" customFormat="1" ht="15" customHeight="1" x14ac:dyDescent="0.25">
      <c r="A13" s="853"/>
      <c r="B13" s="860"/>
      <c r="C13" s="81" t="str">
        <f t="array" ref="C13">IFERROR(INDEX('C'!$C$1:$C$2479, SMALL(IF($B$11 = 'C'!$A$1:$A$2479, ROW('C'!$A$1:$A$2479) -
ROW('C'!$A$2) + 2), ROW(3:3))),"")</f>
        <v>SNYUNGWE</v>
      </c>
      <c r="D13" s="546" t="str">
        <f t="array" ref="D13">IFERROR(INDEX('C'!$B$1:$B$2479, SMALL(IF($B$11 = 'C'!$A$1:$A$2479, ROW('C'!$A$1:$A$2479) -
ROW('C'!$A$2) + 2), ROW(3:3))),"")</f>
        <v>WTM</v>
      </c>
      <c r="E13" s="547">
        <f t="shared" si="0"/>
        <v>2.7441972020767945E-2</v>
      </c>
      <c r="F13" s="548">
        <f>SUMIF('Global Portfolio'!$N$2:$N$2500,'General Porfolio'!C13,'Global Portfolio'!$E$2:$E$2500)</f>
        <v>454602484.25999999</v>
      </c>
      <c r="G13" s="546">
        <f>IF('General Porfolio'!C13="",0,COUNTIF('Global Portfolio'!$N$2:$N$2500,'General Porfolio'!C13))</f>
        <v>52</v>
      </c>
      <c r="H13" s="549">
        <f>IF( OR($C$11:$C$167="",ISERROR(VLOOKUP($C13,'PIVOT TABLE GLOBAL'!$A$4:$F$2500,3,FALSE))),"",VLOOKUP($C13,'PIVOT TABLE GLOBAL'!$A$4:$F$2500,3,FALSE)/F13)</f>
        <v>0.28395577021565838</v>
      </c>
      <c r="I13" s="550">
        <f>IF(OR($C$11:$C$167="",ISERROR(VLOOKUP($C13,'PIVOT TABLE GLOBAL'!$A$4:$G$2500,7,FALSE))),"",VLOOKUP($C13,'PIVOT TABLE GLOBAL'!$A$4:$G$2500,7,FALSE))</f>
        <v>17</v>
      </c>
      <c r="J13" s="551">
        <f>IF(OR($C$11:$C$167="",ISERROR(VLOOKUP($C13,'PIVOT TABLE GLOBAL'!$A$4:$F$2500,4,FALSE))),"",VLOOKUP($C13,'PIVOT TABLE GLOBAL'!$A$4:$F$2500,4,FALSE)/F13)</f>
        <v>0.1599637713999148</v>
      </c>
      <c r="K13" s="546">
        <f>IF(OR($C$11:$C$167="",ISERROR(VLOOKUP($C13,'PIVOT TABLE GLOBAL'!$A$4:$H$2500,8,FALSE))),"",VLOOKUP($C13,'PIVOT TABLE GLOBAL'!$A$4:$H$2500,8,FALSE))</f>
        <v>11</v>
      </c>
      <c r="L13" s="552" t="str">
        <f t="shared" si="1"/>
        <v>STOP</v>
      </c>
    </row>
    <row r="14" spans="1:12" s="71" customFormat="1" ht="15.75" customHeight="1" x14ac:dyDescent="0.25">
      <c r="A14" s="853"/>
      <c r="B14" s="860"/>
      <c r="C14" s="81" t="str">
        <f t="array" ref="C14">IFERROR(INDEX('C'!$C$1:$C$2479, SMALL(IF($B$11 = 'C'!$A$1:$A$2479, ROW('C'!$A$1:$A$2479) -
ROW('C'!$A$2) + 2), ROW(4:4))),"")</f>
        <v>IKIRAGGA</v>
      </c>
      <c r="D14" s="546" t="str">
        <f t="array" ref="D14">IFERROR(INDEX('C'!$B$1:$B$2479, SMALL(IF($B$11 = 'C'!$A$1:$A$2479, ROW('C'!$A$1:$A$2479) -
ROW('C'!$A$2) + 2), ROW(4:4))),"")</f>
        <v>WTM</v>
      </c>
      <c r="E14" s="547">
        <f t="shared" si="0"/>
        <v>1.4248134627253099E-3</v>
      </c>
      <c r="F14" s="548">
        <f>SUMIF('Global Portfolio'!$N$2:$N$2500,'General Porfolio'!C14,'Global Portfolio'!$E$2:$E$2500)</f>
        <v>23603396.260000002</v>
      </c>
      <c r="G14" s="546">
        <f>IF('General Porfolio'!C14="",0,COUNTIF('Global Portfolio'!$N$2:$N$2500,'General Porfolio'!C14))</f>
        <v>3</v>
      </c>
      <c r="H14" s="549">
        <f>IF( OR($C$11:$C$167="",ISERROR(VLOOKUP($C14,'PIVOT TABLE GLOBAL'!$A$4:$F$2500,3,FALSE))),"",VLOOKUP($C14,'PIVOT TABLE GLOBAL'!$A$4:$F$2500,3,FALSE)/F14)</f>
        <v>0</v>
      </c>
      <c r="I14" s="550">
        <f>IF(OR($C$11:$C$167="",ISERROR(VLOOKUP($C14,'PIVOT TABLE GLOBAL'!$A$4:$G$2500,7,FALSE))),"",VLOOKUP($C14,'PIVOT TABLE GLOBAL'!$A$4:$G$2500,7,FALSE))</f>
        <v>0</v>
      </c>
      <c r="J14" s="551">
        <f>IF(OR($C$11:$C$167="",ISERROR(VLOOKUP($C14,'PIVOT TABLE GLOBAL'!$A$4:$F$2500,4,FALSE))),"",VLOOKUP($C14,'PIVOT TABLE GLOBAL'!$A$4:$F$2500,4,FALSE)/F14)</f>
        <v>0</v>
      </c>
      <c r="K14" s="546">
        <f>IF(OR($C$11:$C$167="",ISERROR(VLOOKUP($C14,'PIVOT TABLE GLOBAL'!$A$4:$H$2500,8,FALSE))),"",VLOOKUP($C14,'PIVOT TABLE GLOBAL'!$A$4:$H$2500,8,FALSE))</f>
        <v>0</v>
      </c>
      <c r="L14" s="552" t="str">
        <f t="shared" si="1"/>
        <v>NORMAL</v>
      </c>
    </row>
    <row r="15" spans="1:12" s="71" customFormat="1" ht="15.75" customHeight="1" thickBot="1" x14ac:dyDescent="0.3">
      <c r="A15" s="853"/>
      <c r="B15" s="860"/>
      <c r="C15" s="81" t="str">
        <f t="array" ref="C15">IFERROR(INDEX('C'!$C$1:$C$2479, SMALL(IF($B$11 = 'C'!$A$1:$A$2479, ROW('C'!$A$1:$A$2479) -
ROW('C'!$A$2) + 2), ROW(5:5))),"")</f>
        <v>IKAJABAGO</v>
      </c>
      <c r="D15" s="546" t="str">
        <f t="array" ref="D15">IFERROR(INDEX('C'!$B$1:$B$2479, SMALL(IF($B$11 = 'C'!$A$1:$A$2479, ROW('C'!$A$1:$A$2479) -
ROW('C'!$A$2) + 2), ROW(5:5))),"")</f>
        <v>WTM</v>
      </c>
      <c r="E15" s="547">
        <f t="shared" si="0"/>
        <v>0</v>
      </c>
      <c r="F15" s="548">
        <f>SUMIF('Global Portfolio'!$N$2:$N$2500,'General Porfolio'!C15,'Global Portfolio'!$E$2:$E$2500)</f>
        <v>0</v>
      </c>
      <c r="G15" s="546">
        <f>IF('General Porfolio'!C15="",0,COUNTIF('Global Portfolio'!$N$2:$N$2500,'General Porfolio'!C15))</f>
        <v>0</v>
      </c>
      <c r="H15" s="549" t="str">
        <f>IF( OR($C$11:$C$167="",ISERROR(VLOOKUP($C15,'PIVOT TABLE GLOBAL'!$A$4:$F$2500,3,FALSE))),"",VLOOKUP($C15,'PIVOT TABLE GLOBAL'!$A$4:$F$2500,3,FALSE)/F15)</f>
        <v/>
      </c>
      <c r="I15" s="550" t="str">
        <f>IF(OR($C$11:$C$167="",ISERROR(VLOOKUP($C15,'PIVOT TABLE GLOBAL'!$A$4:$G$2500,7,FALSE))),"",VLOOKUP($C15,'PIVOT TABLE GLOBAL'!$A$4:$G$2500,7,FALSE))</f>
        <v/>
      </c>
      <c r="J15" s="551" t="str">
        <f>IF(OR($C$11:$C$167="",ISERROR(VLOOKUP($C15,'PIVOT TABLE GLOBAL'!$A$4:$F$2500,4,FALSE))),"",VLOOKUP($C15,'PIVOT TABLE GLOBAL'!$A$4:$F$2500,4,FALSE)/F15)</f>
        <v/>
      </c>
      <c r="K15" s="546" t="str">
        <f>IF(OR($C$11:$C$167="",ISERROR(VLOOKUP($C15,'PIVOT TABLE GLOBAL'!$A$4:$H$2500,8,FALSE))),"",VLOOKUP($C15,'PIVOT TABLE GLOBAL'!$A$4:$H$2500,8,FALSE))</f>
        <v/>
      </c>
      <c r="L15" s="552" t="str">
        <f t="shared" si="1"/>
        <v/>
      </c>
    </row>
    <row r="16" spans="1:12" s="71" customFormat="1" ht="15" hidden="1" customHeight="1" thickBot="1" x14ac:dyDescent="0.3">
      <c r="A16" s="853"/>
      <c r="B16" s="860"/>
      <c r="C16" s="81" t="str">
        <f t="array" ref="C16">IFERROR(INDEX('C'!$C$1:$C$2479, SMALL(IF($B$11 = 'C'!$A$1:$A$2479, ROW('C'!$A$1:$A$2479) -
ROW('C'!$A$2) + 2), ROW(6:6))),"")</f>
        <v/>
      </c>
      <c r="D16" s="546" t="str">
        <f t="array" ref="D16">IFERROR(INDEX('C'!$B$1:$B$2479, SMALL(IF($B$11 = 'C'!$A$1:$A$2479, ROW('C'!$A$1:$A$2479) -
ROW('C'!$A$2) + 2), ROW(6:6))),"")</f>
        <v/>
      </c>
      <c r="E16" s="547">
        <f t="shared" si="0"/>
        <v>0</v>
      </c>
      <c r="F16" s="548">
        <f>SUMIF('Global Portfolio'!$N$2:$N$2500,'General Porfolio'!C16,'Global Portfolio'!$E$2:$E$2500)</f>
        <v>0</v>
      </c>
      <c r="G16" s="546">
        <f>IF('General Porfolio'!C16="",0,COUNTIF('Global Portfolio'!$N$2:$N$2500,'General Porfolio'!C16))</f>
        <v>0</v>
      </c>
      <c r="H16" s="549" t="str">
        <f>IF( OR($C$11:$C$167="",ISERROR(VLOOKUP($C16,'PIVOT TABLE GLOBAL'!$A$4:$F$2500,3,FALSE))),"",VLOOKUP($C16,'PIVOT TABLE GLOBAL'!$A$4:$F$2500,3,FALSE)/F16)</f>
        <v/>
      </c>
      <c r="I16" s="550" t="str">
        <f>IF(OR($C$11:$C$167="",ISERROR(VLOOKUP($C16,'PIVOT TABLE GLOBAL'!$A$4:$G$2500,7,FALSE))),"",VLOOKUP($C16,'PIVOT TABLE GLOBAL'!$A$4:$G$2500,7,FALSE))</f>
        <v/>
      </c>
      <c r="J16" s="551" t="str">
        <f>IF(OR($C$11:$C$167="",ISERROR(VLOOKUP($C16,'PIVOT TABLE GLOBAL'!$A$4:$F$2500,4,FALSE))),"",VLOOKUP($C16,'PIVOT TABLE GLOBAL'!$A$4:$F$2500,4,FALSE)/F16)</f>
        <v/>
      </c>
      <c r="K16" s="546" t="str">
        <f>IF(OR($C$11:$C$167="",ISERROR(VLOOKUP($C16,'PIVOT TABLE GLOBAL'!$A$4:$H$2500,8,FALSE))),"",VLOOKUP($C16,'PIVOT TABLE GLOBAL'!$A$4:$H$2500,8,FALSE))</f>
        <v/>
      </c>
      <c r="L16" s="552" t="str">
        <f t="shared" si="1"/>
        <v/>
      </c>
    </row>
    <row r="17" spans="1:12" s="71" customFormat="1" ht="15" hidden="1" customHeight="1" thickBot="1" x14ac:dyDescent="0.3">
      <c r="A17" s="853"/>
      <c r="B17" s="860"/>
      <c r="C17" s="81" t="str">
        <f t="array" ref="C17">IFERROR(INDEX('C'!$C$1:$C$2479, SMALL(IF($B$11 = 'C'!$A$1:$A$2479, ROW('C'!$A$1:$A$2479) -
ROW('C'!$A$2) + 2), ROW(7:7))),"")</f>
        <v/>
      </c>
      <c r="D17" s="546" t="str">
        <f t="array" ref="D17">IFERROR(INDEX('C'!$B$1:$B$2479, SMALL(IF($B$11 = 'C'!$A$1:$A$2479, ROW('C'!$A$1:$A$2479) -
ROW('C'!$A$2) + 2), ROW(7:7))),"")</f>
        <v/>
      </c>
      <c r="E17" s="547">
        <f t="shared" si="0"/>
        <v>0</v>
      </c>
      <c r="F17" s="548">
        <f>SUMIF('Global Portfolio'!$N$2:$N$2500,'General Porfolio'!C17,'Global Portfolio'!$E$2:$E$2500)</f>
        <v>0</v>
      </c>
      <c r="G17" s="546">
        <f>IF('General Porfolio'!C17="",0,COUNTIF('Global Portfolio'!$N$2:$N$2500,'General Porfolio'!C17))</f>
        <v>0</v>
      </c>
      <c r="H17" s="549" t="str">
        <f>IF( OR($C$11:$C$167="",ISERROR(VLOOKUP($C17,'PIVOT TABLE GLOBAL'!$A$4:$F$2500,3,FALSE))),"",VLOOKUP($C17,'PIVOT TABLE GLOBAL'!$A$4:$F$2500,3,FALSE)/F17)</f>
        <v/>
      </c>
      <c r="I17" s="550" t="str">
        <f>IF(OR($C$11:$C$167="",ISERROR(VLOOKUP($C17,'PIVOT TABLE GLOBAL'!$A$4:$G$2500,7,FALSE))),"",VLOOKUP($C17,'PIVOT TABLE GLOBAL'!$A$4:$G$2500,7,FALSE))</f>
        <v/>
      </c>
      <c r="J17" s="551" t="str">
        <f>IF(OR($C$11:$C$167="",ISERROR(VLOOKUP($C17,'PIVOT TABLE GLOBAL'!$A$4:$F$2500,4,FALSE))),"",VLOOKUP($C17,'PIVOT TABLE GLOBAL'!$A$4:$F$2500,4,FALSE)/F17)</f>
        <v/>
      </c>
      <c r="K17" s="546" t="str">
        <f>IF(OR($C$11:$C$167="",ISERROR(VLOOKUP($C17,'PIVOT TABLE GLOBAL'!$A$4:$H$2500,8,FALSE))),"",VLOOKUP($C17,'PIVOT TABLE GLOBAL'!$A$4:$H$2500,8,FALSE))</f>
        <v/>
      </c>
      <c r="L17" s="552" t="str">
        <f t="shared" si="1"/>
        <v/>
      </c>
    </row>
    <row r="18" spans="1:12" s="71" customFormat="1" ht="15" hidden="1" customHeight="1" thickBot="1" x14ac:dyDescent="0.3">
      <c r="A18" s="853"/>
      <c r="B18" s="860"/>
      <c r="C18" s="81" t="str">
        <f t="array" ref="C18">IFERROR(INDEX('C'!$C$1:$C$2479, SMALL(IF($B$11 = 'C'!$A$1:$A$2479, ROW('C'!$A$1:$A$2479) -
ROW('C'!$A$2) + 2), ROW(8:8))),"")</f>
        <v/>
      </c>
      <c r="D18" s="546" t="str">
        <f t="array" ref="D18">IFERROR(INDEX('C'!$B$1:$B$2479, SMALL(IF($B$11 = 'C'!$A$1:$A$2479, ROW('C'!$A$1:$A$2479) -
ROW('C'!$A$2) + 2), ROW(8:8))),"")</f>
        <v/>
      </c>
      <c r="E18" s="547">
        <f t="shared" si="0"/>
        <v>0</v>
      </c>
      <c r="F18" s="548">
        <f>SUMIF('Global Portfolio'!$N$2:$N$2500,'General Porfolio'!C18,'Global Portfolio'!$E$2:$E$2500)</f>
        <v>0</v>
      </c>
      <c r="G18" s="546">
        <f>IF('General Porfolio'!C18="",0,COUNTIF('Global Portfolio'!$N$2:$N$2500,'General Porfolio'!C18))</f>
        <v>0</v>
      </c>
      <c r="H18" s="549" t="str">
        <f>IF( OR($C$11:$C$167="",ISERROR(VLOOKUP($C18,'PIVOT TABLE GLOBAL'!$A$4:$F$2500,3,FALSE))),"",VLOOKUP($C18,'PIVOT TABLE GLOBAL'!$A$4:$F$2500,3,FALSE)/F18)</f>
        <v/>
      </c>
      <c r="I18" s="550" t="str">
        <f>IF(OR($C$11:$C$167="",ISERROR(VLOOKUP($C18,'PIVOT TABLE GLOBAL'!$A$4:$G$2500,7,FALSE))),"",VLOOKUP($C18,'PIVOT TABLE GLOBAL'!$A$4:$G$2500,7,FALSE))</f>
        <v/>
      </c>
      <c r="J18" s="551" t="str">
        <f>IF(OR($C$11:$C$167="",ISERROR(VLOOKUP($C18,'PIVOT TABLE GLOBAL'!$A$4:$F$2500,4,FALSE))),"",VLOOKUP($C18,'PIVOT TABLE GLOBAL'!$A$4:$F$2500,4,FALSE)/F18)</f>
        <v/>
      </c>
      <c r="K18" s="546" t="str">
        <f>IF(OR($C$11:$C$167="",ISERROR(VLOOKUP($C18,'PIVOT TABLE GLOBAL'!$A$4:$H$2500,8,FALSE))),"",VLOOKUP($C18,'PIVOT TABLE GLOBAL'!$A$4:$H$2500,8,FALSE))</f>
        <v/>
      </c>
      <c r="L18" s="552" t="str">
        <f t="shared" si="1"/>
        <v/>
      </c>
    </row>
    <row r="19" spans="1:12" s="71" customFormat="1" ht="15" hidden="1" customHeight="1" thickBot="1" x14ac:dyDescent="0.3">
      <c r="A19" s="853"/>
      <c r="B19" s="860"/>
      <c r="C19" s="81" t="str">
        <f t="array" ref="C19">IFERROR(INDEX('C'!$C$1:$C$2479, SMALL(IF($B$11 = 'C'!$A$1:$A$2479, ROW('C'!$A$1:$A$2479) -
ROW('C'!$A$2) + 2), ROW(9:9))),"")</f>
        <v/>
      </c>
      <c r="D19" s="546" t="str">
        <f t="array" ref="D19">IFERROR(INDEX('C'!$B$1:$B$2479, SMALL(IF($B$11 = 'C'!$A$1:$A$2479, ROW('C'!$A$1:$A$2479) -
ROW('C'!$A$2) + 2), ROW(9:9))),"")</f>
        <v/>
      </c>
      <c r="E19" s="547">
        <f t="shared" si="0"/>
        <v>0</v>
      </c>
      <c r="F19" s="548">
        <f>SUMIF('Global Portfolio'!$N$2:$N$2500,'General Porfolio'!C19,'Global Portfolio'!$E$2:$E$2500)</f>
        <v>0</v>
      </c>
      <c r="G19" s="546">
        <f>IF('General Porfolio'!C19="",0,COUNTIF('Global Portfolio'!$N$2:$N$2500,'General Porfolio'!C19))</f>
        <v>0</v>
      </c>
      <c r="H19" s="549" t="str">
        <f>IF( OR($C$11:$C$167="",ISERROR(VLOOKUP($C19,'PIVOT TABLE GLOBAL'!$A$4:$F$2500,3,FALSE))),"",VLOOKUP($C19,'PIVOT TABLE GLOBAL'!$A$4:$F$2500,3,FALSE)/F19)</f>
        <v/>
      </c>
      <c r="I19" s="550" t="str">
        <f>IF(OR($C$11:$C$167="",ISERROR(VLOOKUP($C19,'PIVOT TABLE GLOBAL'!$A$4:$G$2500,7,FALSE))),"",VLOOKUP($C19,'PIVOT TABLE GLOBAL'!$A$4:$G$2500,7,FALSE))</f>
        <v/>
      </c>
      <c r="J19" s="551" t="str">
        <f>IF(OR($C$11:$C$167="",ISERROR(VLOOKUP($C19,'PIVOT TABLE GLOBAL'!$A$4:$F$2500,4,FALSE))),"",VLOOKUP($C19,'PIVOT TABLE GLOBAL'!$A$4:$F$2500,4,FALSE)/F19)</f>
        <v/>
      </c>
      <c r="K19" s="546" t="str">
        <f>IF(OR($C$11:$C$167="",ISERROR(VLOOKUP($C19,'PIVOT TABLE GLOBAL'!$A$4:$H$2500,8,FALSE))),"",VLOOKUP($C19,'PIVOT TABLE GLOBAL'!$A$4:$H$2500,8,FALSE))</f>
        <v/>
      </c>
      <c r="L19" s="552" t="str">
        <f t="shared" si="1"/>
        <v/>
      </c>
    </row>
    <row r="20" spans="1:12" s="71" customFormat="1" ht="15" hidden="1" customHeight="1" thickBot="1" x14ac:dyDescent="0.3">
      <c r="A20" s="853"/>
      <c r="B20" s="860"/>
      <c r="C20" s="81" t="str">
        <f t="array" ref="C20">IFERROR(INDEX('C'!$C$1:$C$2479, SMALL(IF($B$11 = 'C'!$A$1:$A$2479, ROW('C'!$A$1:$A$2479) -
ROW('C'!$A$2) + 2), ROW(10:10))),"")</f>
        <v/>
      </c>
      <c r="D20" s="546" t="str">
        <f t="array" ref="D20">IFERROR(INDEX('C'!$B$1:$B$2479, SMALL(IF($B$11 = 'C'!$A$1:$A$2479, ROW('C'!$A$1:$A$2479) -
ROW('C'!$A$2) + 2), ROW(10:10))),"")</f>
        <v/>
      </c>
      <c r="E20" s="547">
        <f t="shared" si="0"/>
        <v>0</v>
      </c>
      <c r="F20" s="548">
        <f>SUMIF('Global Portfolio'!$N$2:$N$2500,'General Porfolio'!C20,'Global Portfolio'!$E$2:$E$2500)</f>
        <v>0</v>
      </c>
      <c r="G20" s="546">
        <f>IF('General Porfolio'!C20="",0,COUNTIF('Global Portfolio'!$N$2:$N$2500,'General Porfolio'!C20))</f>
        <v>0</v>
      </c>
      <c r="H20" s="549" t="str">
        <f>IF( OR($C$11:$C$167="",ISERROR(VLOOKUP($C20,'PIVOT TABLE GLOBAL'!$A$4:$F$2500,3,FALSE))),"",VLOOKUP($C20,'PIVOT TABLE GLOBAL'!$A$4:$F$2500,3,FALSE)/F20)</f>
        <v/>
      </c>
      <c r="I20" s="550" t="str">
        <f>IF(OR($C$11:$C$167="",ISERROR(VLOOKUP($C20,'PIVOT TABLE GLOBAL'!$A$4:$G$2500,7,FALSE))),"",VLOOKUP($C20,'PIVOT TABLE GLOBAL'!$A$4:$G$2500,7,FALSE))</f>
        <v/>
      </c>
      <c r="J20" s="551" t="str">
        <f>IF(OR($C$11:$C$167="",ISERROR(VLOOKUP($C20,'PIVOT TABLE GLOBAL'!$A$4:$F$2500,4,FALSE))),"",VLOOKUP($C20,'PIVOT TABLE GLOBAL'!$A$4:$F$2500,4,FALSE)/F20)</f>
        <v/>
      </c>
      <c r="K20" s="546" t="str">
        <f>IF(OR($C$11:$C$167="",ISERROR(VLOOKUP($C20,'PIVOT TABLE GLOBAL'!$A$4:$H$2500,8,FALSE))),"",VLOOKUP($C20,'PIVOT TABLE GLOBAL'!$A$4:$H$2500,8,FALSE))</f>
        <v/>
      </c>
      <c r="L20" s="552" t="str">
        <f t="shared" si="1"/>
        <v/>
      </c>
    </row>
    <row r="21" spans="1:12" s="71" customFormat="1" ht="15" hidden="1" customHeight="1" thickBot="1" x14ac:dyDescent="0.3">
      <c r="A21" s="853"/>
      <c r="B21" s="860"/>
      <c r="C21" s="81" t="str">
        <f t="array" ref="C21">IFERROR(INDEX('C'!$C$1:$C$2479, SMALL(IF($B$11 = 'C'!$A$1:$A$2479, ROW('C'!$A$1:$A$2479) -
ROW('C'!$A$2) + 2), ROW(11:11))),"")</f>
        <v/>
      </c>
      <c r="D21" s="546" t="str">
        <f t="array" ref="D21">IFERROR(INDEX('C'!$B$1:$B$2479, SMALL(IF($B$11 = 'C'!$A$1:$A$2479, ROW('C'!$A$1:$A$2479) -
ROW('C'!$A$2) + 2), ROW(11:11))),"")</f>
        <v/>
      </c>
      <c r="E21" s="547">
        <f t="shared" si="0"/>
        <v>0</v>
      </c>
      <c r="F21" s="548">
        <f>SUMIF('Global Portfolio'!$N$2:$N$2500,'General Porfolio'!C21,'Global Portfolio'!$E$2:$E$2500)</f>
        <v>0</v>
      </c>
      <c r="G21" s="546">
        <f>IF('General Porfolio'!C21="",0,COUNTIF('Global Portfolio'!$N$2:$N$2500,'General Porfolio'!C21))</f>
        <v>0</v>
      </c>
      <c r="H21" s="549" t="str">
        <f>IF( OR($C$11:$C$167="",ISERROR(VLOOKUP($C21,'PIVOT TABLE GLOBAL'!$A$4:$F$2500,3,FALSE))),"",VLOOKUP($C21,'PIVOT TABLE GLOBAL'!$A$4:$F$2500,3,FALSE)/F21)</f>
        <v/>
      </c>
      <c r="I21" s="550" t="str">
        <f>IF(OR($C$11:$C$167="",ISERROR(VLOOKUP($C21,'PIVOT TABLE GLOBAL'!$A$4:$G$2500,7,FALSE))),"",VLOOKUP($C21,'PIVOT TABLE GLOBAL'!$A$4:$G$2500,7,FALSE))</f>
        <v/>
      </c>
      <c r="J21" s="551" t="str">
        <f>IF(OR($C$11:$C$167="",ISERROR(VLOOKUP($C21,'PIVOT TABLE GLOBAL'!$A$4:$F$2500,4,FALSE))),"",VLOOKUP($C21,'PIVOT TABLE GLOBAL'!$A$4:$F$2500,4,FALSE)/F21)</f>
        <v/>
      </c>
      <c r="K21" s="546" t="str">
        <f>IF(OR($C$11:$C$167="",ISERROR(VLOOKUP($C21,'PIVOT TABLE GLOBAL'!$A$4:$H$2500,8,FALSE))),"",VLOOKUP($C21,'PIVOT TABLE GLOBAL'!$A$4:$H$2500,8,FALSE))</f>
        <v/>
      </c>
      <c r="L21" s="552" t="str">
        <f t="shared" si="1"/>
        <v/>
      </c>
    </row>
    <row r="22" spans="1:12" s="71" customFormat="1" ht="15" hidden="1" customHeight="1" thickBot="1" x14ac:dyDescent="0.3">
      <c r="A22" s="853"/>
      <c r="B22" s="860"/>
      <c r="C22" s="81" t="str">
        <f t="array" ref="C22">IFERROR(INDEX('C'!$C$1:$C$2479, SMALL(IF($B$11 = 'C'!$A$1:$A$2479, ROW('C'!$A$1:$A$2479) -
ROW('C'!$A$2) + 2), ROW(12:12))),"")</f>
        <v/>
      </c>
      <c r="D22" s="546" t="str">
        <f t="array" ref="D22">IFERROR(INDEX('C'!$B$1:$B$2479, SMALL(IF($B$11 = 'C'!$A$1:$A$2479, ROW('C'!$A$1:$A$2479) -
ROW('C'!$A$2) + 2), ROW(12:12))),"")</f>
        <v/>
      </c>
      <c r="E22" s="547">
        <f t="shared" si="0"/>
        <v>0</v>
      </c>
      <c r="F22" s="548">
        <f>SUMIF('Global Portfolio'!$N$2:$N$2500,'General Porfolio'!C22,'Global Portfolio'!$E$2:$E$2500)</f>
        <v>0</v>
      </c>
      <c r="G22" s="546">
        <f>IF('General Porfolio'!C22="",0,COUNTIF('Global Portfolio'!$N$2:$N$2500,'General Porfolio'!C22))</f>
        <v>0</v>
      </c>
      <c r="H22" s="549" t="str">
        <f>IF( OR($C$11:$C$167="",ISERROR(VLOOKUP($C22,'PIVOT TABLE GLOBAL'!$A$4:$F$2500,3,FALSE))),"",VLOOKUP($C22,'PIVOT TABLE GLOBAL'!$A$4:$F$2500,3,FALSE)/F22)</f>
        <v/>
      </c>
      <c r="I22" s="550" t="str">
        <f>IF(OR($C$11:$C$167="",ISERROR(VLOOKUP($C22,'PIVOT TABLE GLOBAL'!$A$4:$G$2500,7,FALSE))),"",VLOOKUP($C22,'PIVOT TABLE GLOBAL'!$A$4:$G$2500,7,FALSE))</f>
        <v/>
      </c>
      <c r="J22" s="551" t="str">
        <f>IF(OR($C$11:$C$167="",ISERROR(VLOOKUP($C22,'PIVOT TABLE GLOBAL'!$A$4:$F$2500,4,FALSE))),"",VLOOKUP($C22,'PIVOT TABLE GLOBAL'!$A$4:$F$2500,4,FALSE)/F22)</f>
        <v/>
      </c>
      <c r="K22" s="546" t="str">
        <f>IF(OR($C$11:$C$167="",ISERROR(VLOOKUP($C22,'PIVOT TABLE GLOBAL'!$A$4:$H$2500,8,FALSE))),"",VLOOKUP($C22,'PIVOT TABLE GLOBAL'!$A$4:$H$2500,8,FALSE))</f>
        <v/>
      </c>
      <c r="L22" s="552" t="str">
        <f t="shared" si="1"/>
        <v/>
      </c>
    </row>
    <row r="23" spans="1:12" s="71" customFormat="1" ht="15" hidden="1" customHeight="1" thickBot="1" x14ac:dyDescent="0.3">
      <c r="A23" s="853"/>
      <c r="B23" s="860"/>
      <c r="C23" s="81" t="str">
        <f t="array" ref="C23">IFERROR(INDEX('C'!$C$1:$C$2479, SMALL(IF($B$11 = 'C'!$A$1:$A$2479, ROW('C'!$A$1:$A$2479) -
ROW('C'!$A$2) + 2), ROW(13:13))),"")</f>
        <v/>
      </c>
      <c r="D23" s="546" t="str">
        <f t="array" ref="D23">IFERROR(INDEX('C'!$B$1:$B$2479, SMALL(IF($B$11 = 'C'!$A$1:$A$2479, ROW('C'!$A$1:$A$2479) -
ROW('C'!$A$2) + 2), ROW(13:13))),"")</f>
        <v/>
      </c>
      <c r="E23" s="547">
        <f t="shared" si="0"/>
        <v>0</v>
      </c>
      <c r="F23" s="548">
        <f>SUMIF('Global Portfolio'!$N$2:$N$2500,'General Porfolio'!C23,'Global Portfolio'!$E$2:$E$2500)</f>
        <v>0</v>
      </c>
      <c r="G23" s="546">
        <f>IF('General Porfolio'!C23="",0,COUNTIF('Global Portfolio'!$N$2:$N$2500,'General Porfolio'!C23))</f>
        <v>0</v>
      </c>
      <c r="H23" s="549" t="str">
        <f>IF( OR($C$11:$C$167="",ISERROR(VLOOKUP($C23,'PIVOT TABLE GLOBAL'!$A$4:$F$2500,3,FALSE))),"",VLOOKUP($C23,'PIVOT TABLE GLOBAL'!$A$4:$F$2500,3,FALSE)/F23)</f>
        <v/>
      </c>
      <c r="I23" s="550" t="str">
        <f>IF(OR($C$11:$C$167="",ISERROR(VLOOKUP($C23,'PIVOT TABLE GLOBAL'!$A$4:$G$2500,7,FALSE))),"",VLOOKUP($C23,'PIVOT TABLE GLOBAL'!$A$4:$G$2500,7,FALSE))</f>
        <v/>
      </c>
      <c r="J23" s="551" t="str">
        <f>IF(OR($C$11:$C$167="",ISERROR(VLOOKUP($C23,'PIVOT TABLE GLOBAL'!$A$4:$F$2500,4,FALSE))),"",VLOOKUP($C23,'PIVOT TABLE GLOBAL'!$A$4:$F$2500,4,FALSE)/F23)</f>
        <v/>
      </c>
      <c r="K23" s="546" t="str">
        <f>IF(OR($C$11:$C$167="",ISERROR(VLOOKUP($C23,'PIVOT TABLE GLOBAL'!$A$4:$H$2500,8,FALSE))),"",VLOOKUP($C23,'PIVOT TABLE GLOBAL'!$A$4:$H$2500,8,FALSE))</f>
        <v/>
      </c>
      <c r="L23" s="552" t="str">
        <f t="shared" si="1"/>
        <v/>
      </c>
    </row>
    <row r="24" spans="1:12" s="71" customFormat="1" ht="15" hidden="1" customHeight="1" thickBot="1" x14ac:dyDescent="0.3">
      <c r="A24" s="853"/>
      <c r="B24" s="860"/>
      <c r="C24" s="81" t="str">
        <f t="array" ref="C24">IFERROR(INDEX('C'!$C$1:$C$2479, SMALL(IF($B$11 = 'C'!$A$1:$A$2479, ROW('C'!$A$1:$A$2479) -
ROW('C'!$A$2) + 2), ROW(14:14))),"")</f>
        <v/>
      </c>
      <c r="D24" s="546" t="str">
        <f t="array" ref="D24">IFERROR(INDEX('C'!$B$1:$B$2479, SMALL(IF($B$11 = 'C'!$A$1:$A$2479, ROW('C'!$A$1:$A$2479) -
ROW('C'!$A$2) + 2), ROW(14:14))),"")</f>
        <v/>
      </c>
      <c r="E24" s="547">
        <f t="shared" si="0"/>
        <v>0</v>
      </c>
      <c r="F24" s="548">
        <f>SUMIF('Global Portfolio'!$N$2:$N$2500,'General Porfolio'!C24,'Global Portfolio'!$E$2:$E$2500)</f>
        <v>0</v>
      </c>
      <c r="G24" s="546">
        <f>IF('General Porfolio'!C24="",0,COUNTIF('Global Portfolio'!$N$2:$N$2500,'General Porfolio'!C24))</f>
        <v>0</v>
      </c>
      <c r="H24" s="549" t="str">
        <f>IF( OR($C$11:$C$167="",ISERROR(VLOOKUP($C24,'PIVOT TABLE GLOBAL'!$A$4:$F$2500,3,FALSE))),"",VLOOKUP($C24,'PIVOT TABLE GLOBAL'!$A$4:$F$2500,3,FALSE)/F24)</f>
        <v/>
      </c>
      <c r="I24" s="550" t="str">
        <f>IF(OR($C$11:$C$167="",ISERROR(VLOOKUP($C24,'PIVOT TABLE GLOBAL'!$A$4:$G$2500,7,FALSE))),"",VLOOKUP($C24,'PIVOT TABLE GLOBAL'!$A$4:$G$2500,7,FALSE))</f>
        <v/>
      </c>
      <c r="J24" s="551" t="str">
        <f>IF(OR($C$11:$C$167="",ISERROR(VLOOKUP($C24,'PIVOT TABLE GLOBAL'!$A$4:$F$2500,4,FALSE))),"",VLOOKUP($C24,'PIVOT TABLE GLOBAL'!$A$4:$F$2500,4,FALSE)/F24)</f>
        <v/>
      </c>
      <c r="K24" s="546" t="str">
        <f>IF(OR($C$11:$C$167="",ISERROR(VLOOKUP($C24,'PIVOT TABLE GLOBAL'!$A$4:$H$2500,8,FALSE))),"",VLOOKUP($C24,'PIVOT TABLE GLOBAL'!$A$4:$H$2500,8,FALSE))</f>
        <v/>
      </c>
      <c r="L24" s="552" t="str">
        <f t="shared" si="1"/>
        <v/>
      </c>
    </row>
    <row r="25" spans="1:12" s="71" customFormat="1" ht="3" hidden="1" customHeight="1" thickBot="1" x14ac:dyDescent="0.3">
      <c r="A25" s="853"/>
      <c r="B25" s="860"/>
      <c r="C25" s="81" t="str">
        <f t="array" ref="C25">IFERROR(INDEX('C'!$C$1:$C$2479, SMALL(IF($B$11 = 'C'!$A$1:$A$2479, ROW('C'!$A$1:$A$2479) -
ROW('C'!$A$2) + 2), ROW(15:15))),"")</f>
        <v/>
      </c>
      <c r="D25" s="546" t="str">
        <f t="array" ref="D25">IFERROR(INDEX('C'!$B$1:$B$2479, SMALL(IF($B$11 = 'C'!$A$1:$A$2479, ROW('C'!$A$1:$A$2479) -
ROW('C'!$A$2) + 2), ROW(15:15))),"")</f>
        <v/>
      </c>
      <c r="E25" s="547">
        <f t="shared" si="0"/>
        <v>0</v>
      </c>
      <c r="F25" s="548">
        <f>SUMIF('Global Portfolio'!$N$2:$N$2500,'General Porfolio'!C25,'Global Portfolio'!$E$2:$E$2500)</f>
        <v>0</v>
      </c>
      <c r="G25" s="546">
        <f>IF('General Porfolio'!C25="",0,COUNTIF('Global Portfolio'!$N$2:$N$2500,'General Porfolio'!C25))</f>
        <v>0</v>
      </c>
      <c r="H25" s="549" t="str">
        <f>IF( OR($C$11:$C$167="",ISERROR(VLOOKUP($C25,'PIVOT TABLE GLOBAL'!$A$4:$F$2500,3,FALSE))),"",VLOOKUP($C25,'PIVOT TABLE GLOBAL'!$A$4:$F$2500,3,FALSE)/F25)</f>
        <v/>
      </c>
      <c r="I25" s="550" t="str">
        <f>IF(OR($C$11:$C$167="",ISERROR(VLOOKUP($C25,'PIVOT TABLE GLOBAL'!$A$4:$G$2500,7,FALSE))),"",VLOOKUP($C25,'PIVOT TABLE GLOBAL'!$A$4:$G$2500,7,FALSE))</f>
        <v/>
      </c>
      <c r="J25" s="551" t="str">
        <f>IF(OR($C$11:$C$167="",ISERROR(VLOOKUP($C25,'PIVOT TABLE GLOBAL'!$A$4:$F$2500,4,FALSE))),"",VLOOKUP($C25,'PIVOT TABLE GLOBAL'!$A$4:$F$2500,4,FALSE)/F25)</f>
        <v/>
      </c>
      <c r="K25" s="546" t="str">
        <f>IF(OR($C$11:$C$167="",ISERROR(VLOOKUP($C25,'PIVOT TABLE GLOBAL'!$A$4:$H$2500,8,FALSE))),"",VLOOKUP($C25,'PIVOT TABLE GLOBAL'!$A$4:$H$2500,8,FALSE))</f>
        <v/>
      </c>
      <c r="L25" s="552" t="str">
        <f t="shared" si="1"/>
        <v/>
      </c>
    </row>
    <row r="26" spans="1:12" s="71" customFormat="1" ht="15.75" customHeight="1" thickTop="1" thickBot="1" x14ac:dyDescent="0.35">
      <c r="A26" s="853"/>
      <c r="B26" s="296" t="s">
        <v>1458</v>
      </c>
      <c r="C26" s="75">
        <f>COUNTIF(C11:C25,"?*")</f>
        <v>5</v>
      </c>
      <c r="D26" s="114"/>
      <c r="E26" s="85">
        <f>SUBTOTAL(9,E11:E25)</f>
        <v>0.13473161505379766</v>
      </c>
      <c r="F26" s="74">
        <f>SUBTOTAL(9,F11:F25)</f>
        <v>2231957924.3600006</v>
      </c>
      <c r="G26" s="75">
        <f>SUBTOTAL(9,G11:G25)</f>
        <v>182</v>
      </c>
      <c r="H26" s="204">
        <f>(IF(OR($C11="",ISERROR(VLOOKUP($C11,'PIVOT TABLE GLOBAL'!$A$4:$F$2500,3,FALSE))),0,VLOOKUP($C11,'PIVOT TABLE GLOBAL'!$A$4:$F$2500,3,FALSE))+IF(OR($C12="",ISERROR(VLOOKUP($C12,'PIVOT TABLE GLOBAL'!$A$4:$F$2500,3,FALSE))),0,VLOOKUP($C12,'PIVOT TABLE GLOBAL'!$A$4:$F$2500,3,FALSE))+IF(OR($C13="",ISERROR(VLOOKUP($C13,'PIVOT TABLE GLOBAL'!$A$4:$F$2500,3,FALSE))),0,VLOOKUP($C13,'PIVOT TABLE GLOBAL'!$A$4:$F$2500,3,FALSE))+IF(OR($C14="",ISERROR(VLOOKUP($C14,'PIVOT TABLE GLOBAL'!$A$4:$F$2500,3,FALSE))),0,VLOOKUP($C14,'PIVOT TABLE GLOBAL'!$A$4:$F$2500,3,FALSE))+IF(OR($C15="",ISERROR(VLOOKUP($C15,'PIVOT TABLE GLOBAL'!$A$4:$F$2500,3,FALSE))),0,VLOOKUP($C15,'PIVOT TABLE GLOBAL'!$A$4:$F$2500,3,FALSE))+IF(OR($C16="",ISERROR(VLOOKUP($C16,'PIVOT TABLE GLOBAL'!$A$4:$F$2500,3,FALSE))),0,VLOOKUP($C16,'PIVOT TABLE GLOBAL'!$A$4:$F$2500,3,FALSE))+IF(OR($C17="",ISERROR(VLOOKUP($C17,'PIVOT TABLE GLOBAL'!$A$4:$F$2500,3,FALSE))),0,VLOOKUP($C17,'PIVOT TABLE GLOBAL'!$A$4:$F$2500,3,FALSE))+IF(OR($C18="",ISERROR(VLOOKUP($C18,'PIVOT TABLE GLOBAL'!$A$4:$F$2500,3,FALSE))),0,VLOOKUP($C18,'PIVOT TABLE GLOBAL'!$A$4:$F$2500,3,FALSE))+IF(OR($C19="",ISERROR(VLOOKUP($C19,'PIVOT TABLE GLOBAL'!$A$4:$F$2500,3,FALSE))),0,VLOOKUP($C19,'PIVOT TABLE GLOBAL'!$A$4:$F$2500,3,FALSE))+IF(OR($C20="",ISERROR(VLOOKUP($C20,'PIVOT TABLE GLOBAL'!$A$4:$F$2500,3,FALSE))),0,VLOOKUP($C20,'PIVOT TABLE GLOBAL'!$A$4:$F$2500,3,FALSE))+IF(OR($C21="",ISERROR(VLOOKUP($C21,'PIVOT TABLE GLOBAL'!$A$4:$F$2500,3,FALSE))),0,VLOOKUP($C21,'PIVOT TABLE GLOBAL'!$A$4:$F$2500,3,FALSE))+IF(OR($C22="",ISERROR(VLOOKUP($C22,'PIVOT TABLE GLOBAL'!$A$4:$F$2500,3,FALSE))),0,VLOOKUP($C22,'PIVOT TABLE GLOBAL'!$A$4:$F$2500,3,FALSE))+IF(OR($C23="",ISERROR(VLOOKUP($C23,'PIVOT TABLE GLOBAL'!$A$4:$F$2500,3,FALSE))),0,VLOOKUP($C23,'PIVOT TABLE GLOBAL'!$A$4:$F$2500,3,FALSE))+IF(OR($C24="",ISERROR(VLOOKUP($C24,'PIVOT TABLE GLOBAL'!$A$4:$F$2500,3,FALSE))),0,VLOOKUP($C24,'PIVOT TABLE GLOBAL'!$A$4:$F$2500,3,FALSE))+IF(OR($C25="",ISERROR(VLOOKUP($C25,'PIVOT TABLE GLOBAL'!$A$4:$F$2500,3,FALSE))),0,VLOOKUP($C25,'PIVOT TABLE GLOBAL'!$A$4:$F$2500,3,FALSE)))/(F26)</f>
        <v>0.38791527177568341</v>
      </c>
      <c r="I26" s="110">
        <f>SUBTOTAL(9,I11:I25)</f>
        <v>76</v>
      </c>
      <c r="J26" s="116">
        <f>(IF(OR($C11="",ISERROR(VLOOKUP($C11,'PIVOT TABLE GLOBAL'!$A$4:$F$2500,4,FALSE))),0,VLOOKUP($C11,'PIVOT TABLE GLOBAL'!$A$4:$F$2500,4,FALSE))+IF(OR($C12="",ISERROR(VLOOKUP($C12,'PIVOT TABLE GLOBAL'!$A$4:$F$2500,4,FALSE))),0,VLOOKUP($C12,'PIVOT TABLE GLOBAL'!$A$4:$F$2500,4,FALSE))+IF(OR($C13="",ISERROR(VLOOKUP($C13,'PIVOT TABLE GLOBAL'!$A$4:$F$2500,4,FALSE))),0,VLOOKUP($C13,'PIVOT TABLE GLOBAL'!$A$4:$F$2500,4,FALSE))+IF(OR($C14="",ISERROR(VLOOKUP($C14,'PIVOT TABLE GLOBAL'!$A$4:$F$2500,4,FALSE))),0,VLOOKUP($C14,'PIVOT TABLE GLOBAL'!$A$4:$F$2500,4,FALSE))+IF(OR($C15="",ISERROR(VLOOKUP($C15,'PIVOT TABLE GLOBAL'!$A$4:$F$2500,4,FALSE))),0,VLOOKUP($C15,'PIVOT TABLE GLOBAL'!$A$4:$F$2500,4,FALSE))+IF(OR($C16="",ISERROR(VLOOKUP($C16,'PIVOT TABLE GLOBAL'!$A$4:$F$2500,4,FALSE))),0,VLOOKUP($C16,'PIVOT TABLE GLOBAL'!$A$4:$F$2500,4,FALSE))+IF(OR($C17="",ISERROR(VLOOKUP($C17,'PIVOT TABLE GLOBAL'!$A$4:$F$2500,4,FALSE))),0,VLOOKUP($C17,'PIVOT TABLE GLOBAL'!$A$4:$F$2500,4,FALSE))+IF(OR($C18="",ISERROR(VLOOKUP($C18,'PIVOT TABLE GLOBAL'!$A$4:$F$2500,4,FALSE))),0,VLOOKUP($C18,'PIVOT TABLE GLOBAL'!$A$4:$F$2500,4,FALSE))+IF(OR($C19="",ISERROR(VLOOKUP($C19,'PIVOT TABLE GLOBAL'!$A$4:$F$2500,4,FALSE))),0,VLOOKUP($C19,'PIVOT TABLE GLOBAL'!$A$4:$F$2500,4,FALSE))+IF(OR($C20="",ISERROR(VLOOKUP($C20,'PIVOT TABLE GLOBAL'!$A$4:$F$2500,4,FALSE))),0,VLOOKUP($C20,'PIVOT TABLE GLOBAL'!$A$4:$F$2500,4,FALSE))+IF(OR($C21="",ISERROR(VLOOKUP($C21,'PIVOT TABLE GLOBAL'!$A$4:$F$2500,4,FALSE))),0,VLOOKUP($C21,'PIVOT TABLE GLOBAL'!$A$4:$F$2500,4,FALSE))+IF(OR($C22="",ISERROR(VLOOKUP($C22,'PIVOT TABLE GLOBAL'!$A$4:$F$2500,4,FALSE))),0,VLOOKUP($C22,'PIVOT TABLE GLOBAL'!$A$4:$F$2500,4,FALSE))+IF(OR($C23="",ISERROR(VLOOKUP($C23,'PIVOT TABLE GLOBAL'!$A$4:$F$2500,4,FALSE))),0,VLOOKUP($C23,'PIVOT TABLE GLOBAL'!$A$4:$F$2500,4,FALSE))+IF(OR($C24="",ISERROR(VLOOKUP($C24,'PIVOT TABLE GLOBAL'!$A$4:$F$2500,4,FALSE))),0,VLOOKUP($C24,'PIVOT TABLE GLOBAL'!$A$4:$F$2500,4,FALSE))+IF(OR($C25="",ISERROR(VLOOKUP($C25,'PIVOT TABLE GLOBAL'!$A$4:$F$2500,4,FALSE))),0,VLOOKUP($C25,'PIVOT TABLE GLOBAL'!$A$4:$F$2500,4,FALSE)))/(F26)</f>
        <v>0.15549882233533555</v>
      </c>
      <c r="K26" s="75">
        <f>SUBTOTAL(9,K11:K25)</f>
        <v>30</v>
      </c>
      <c r="L26" s="403"/>
    </row>
    <row r="27" spans="1:12" s="71" customFormat="1" ht="15.75" customHeight="1" thickTop="1" x14ac:dyDescent="0.25">
      <c r="A27" s="853"/>
      <c r="B27" s="861" t="s">
        <v>969</v>
      </c>
      <c r="C27" s="82" t="str">
        <f t="array" ref="C27">IFERROR(INDEX('C'!$C$1:$C$2479, SMALL(IF($B$27 = 'C'!$A$1:$A$2479, ROW('C'!$A$1:$A$2479) -
ROW('C'!$A$2) + 2), ROW(1:1))),"")</f>
        <v>FOWEMBABAB</v>
      </c>
      <c r="D27" s="553" t="str">
        <f t="array" ref="D27">IFERROR(INDEX('C'!$B$1:$B$2479, SMALL(IF($B$27 = 'C'!$A$1:$A$2479, ROW('C'!$A$1:$A$2479) -
ROW('C'!$A$2) + 2), ROW(1:1))),"")</f>
        <v>SME</v>
      </c>
      <c r="E27" s="554">
        <f t="shared" ref="E27:E44" si="2">F27/$F$172</f>
        <v>3.3757669264199396E-2</v>
      </c>
      <c r="F27" s="555">
        <f>SUMIF('Global Portfolio'!$N$2:$N$2500,'General Porfolio'!C27,'Global Portfolio'!$E$2:$E$2500)</f>
        <v>559228043.03999996</v>
      </c>
      <c r="G27" s="553">
        <f>IF('General Porfolio'!C27="",0,COUNTIF('Global Portfolio'!$N$2:$N$2500,'General Porfolio'!C27))</f>
        <v>56</v>
      </c>
      <c r="H27" s="556">
        <f>IF(OR($C$11:$C$167="",ISERROR(VLOOKUP($C27,'PIVOT TABLE GLOBAL'!$A$4:$F$2500,3,FALSE))),"",VLOOKUP($C27,'PIVOT TABLE GLOBAL'!$A$4:$F$2500,3,FALSE)/F27)</f>
        <v>0.48659460441352764</v>
      </c>
      <c r="I27" s="557">
        <f>IF(OR($C$11:$C$167="",ISERROR(VLOOKUP($C27,'PIVOT TABLE GLOBAL'!$A$4:$G$2500,7,FALSE))),"",VLOOKUP($C27,'PIVOT TABLE GLOBAL'!$A$4:$G$2500,7,FALSE))</f>
        <v>30</v>
      </c>
      <c r="J27" s="558">
        <f>IF(OR($C$11:$C$167="",ISERROR(VLOOKUP($C27,'PIVOT TABLE GLOBAL'!$A$4:$F$2500,4,FALSE))),"",VLOOKUP($C27,'PIVOT TABLE GLOBAL'!$A$4:$F$2500,4,FALSE)/F27)</f>
        <v>0.13599099672574963</v>
      </c>
      <c r="K27" s="553">
        <f>IF(OR($C$11:$C$167="",ISERROR(VLOOKUP($C27,'PIVOT TABLE GLOBAL'!$A$4:$H$2500,8,FALSE))),"",VLOOKUP($C27,'PIVOT TABLE GLOBAL'!$A$4:$H$2500,8,FALSE))</f>
        <v>12</v>
      </c>
      <c r="L27" s="559" t="str">
        <f>IFERROR(IF(I27/G27*100&gt;=30,"STOP",IF(AND(I27/G27*100&gt;=15,I27/G27*100&lt;30),"WATCH","NORMAL")),"")</f>
        <v>STOP</v>
      </c>
    </row>
    <row r="28" spans="1:12" s="71" customFormat="1" ht="15" customHeight="1" x14ac:dyDescent="0.25">
      <c r="A28" s="853"/>
      <c r="B28" s="861"/>
      <c r="C28" s="82" t="str">
        <f t="array" ref="C28">IFERROR(INDEX('C'!$C$1:$C$2479, SMALL(IF($B$27 = 'C'!$A$1:$A$2479, ROW('C'!$A$1:$A$2479) -
ROW('C'!$A$2) + 2), ROW(2:2))),"")</f>
        <v>SAKASEGERE</v>
      </c>
      <c r="D28" s="553" t="str">
        <f t="array" ref="D28">IFERROR(INDEX('C'!$B$1:$B$2479, SMALL(IF($B$27 = 'C'!$A$1:$A$2479, ROW('C'!$A$1:$A$2479) -
ROW('C'!$A$2) + 2), ROW(2:2))),"")</f>
        <v>WMT</v>
      </c>
      <c r="E28" s="554">
        <f t="shared" si="2"/>
        <v>1.2130273677017052E-2</v>
      </c>
      <c r="F28" s="555">
        <f>SUMIF('Global Portfolio'!$N$2:$N$2500,'General Porfolio'!C28,'Global Portfolio'!$E$2:$E$2500)</f>
        <v>200949572.57999995</v>
      </c>
      <c r="G28" s="553">
        <f>IF('General Porfolio'!C28="",0,COUNTIF('Global Portfolio'!$N$2:$N$2500,'General Porfolio'!C28))</f>
        <v>32</v>
      </c>
      <c r="H28" s="560">
        <f>IF(OR($C$11:$C$167="",ISERROR(VLOOKUP($C28,'PIVOT TABLE GLOBAL'!$A$4:$F$2500,3,FALSE))),"",VLOOKUP($C28,'PIVOT TABLE GLOBAL'!$A$4:$F$2500,3,FALSE)/F28)</f>
        <v>0.35358489136230042</v>
      </c>
      <c r="I28" s="550">
        <f>IF(OR($C$11:$C$167="",ISERROR(VLOOKUP($C28,'PIVOT TABLE GLOBAL'!$A$4:$G$2500,7,FALSE))),"",VLOOKUP($C28,'PIVOT TABLE GLOBAL'!$A$4:$G$2500,7,FALSE))</f>
        <v>9</v>
      </c>
      <c r="J28" s="558">
        <f>IF(OR($C$11:$C$167="",ISERROR(VLOOKUP($C28,'PIVOT TABLE GLOBAL'!$A$4:$F$2500,4,FALSE))),"",VLOOKUP($C28,'PIVOT TABLE GLOBAL'!$A$4:$F$2500,4,FALSE)/F28)</f>
        <v>6.7820595958592328E-2</v>
      </c>
      <c r="K28" s="553">
        <f>IF(OR($C$11:$C$167="",ISERROR(VLOOKUP($C28,'PIVOT TABLE GLOBAL'!$A$4:$H$2500,8,FALSE))),"",VLOOKUP($C28,'PIVOT TABLE GLOBAL'!$A$4:$H$2500,8,FALSE))</f>
        <v>2</v>
      </c>
      <c r="L28" s="559" t="str">
        <f t="shared" ref="L28:L44" si="3">IFERROR(IF(I28/G28*100&gt;=30,"STOP",IF(AND(I28/G28*100&gt;=15,I28/G28*100&lt;30),"WATCH","NORMAL")),"")</f>
        <v>WATCH</v>
      </c>
    </row>
    <row r="29" spans="1:12" s="71" customFormat="1" ht="15" x14ac:dyDescent="0.25">
      <c r="A29" s="853"/>
      <c r="B29" s="861"/>
      <c r="C29" s="82" t="str">
        <f t="array" ref="C29">IFERROR(INDEX('C'!$C$1:$C$2479, SMALL(IF($B$27 = 'C'!$A$1:$A$2479, ROW('C'!$A$1:$A$2479) -
ROW('C'!$A$2) + 2), ROW(3:3))),"")</f>
        <v>AKAZOBA</v>
      </c>
      <c r="D29" s="553" t="str">
        <f t="array" ref="D29">IFERROR(INDEX('C'!$B$1:$B$2479, SMALL(IF($B$27 = 'C'!$A$1:$A$2479, ROW('C'!$A$1:$A$2479) -
ROW('C'!$A$2) + 2), ROW(3:3))),"")</f>
        <v>WTM</v>
      </c>
      <c r="E29" s="554">
        <f t="shared" si="2"/>
        <v>2.5993814084335067E-2</v>
      </c>
      <c r="F29" s="555">
        <f>SUMIF('Global Portfolio'!$N$2:$N$2500,'General Porfolio'!C29,'Global Portfolio'!$E$2:$E$2500)</f>
        <v>430612364.48999965</v>
      </c>
      <c r="G29" s="553">
        <f>IF('General Porfolio'!C29="",0,COUNTIF('Global Portfolio'!$N$2:$N$2500,'General Porfolio'!C29))</f>
        <v>57</v>
      </c>
      <c r="H29" s="560">
        <f>IF(OR($C$11:$C$167="",ISERROR(VLOOKUP($C29,'PIVOT TABLE GLOBAL'!$A$4:$F$2500,3,FALSE))),"",VLOOKUP($C29,'PIVOT TABLE GLOBAL'!$A$4:$F$2500,3,FALSE)/F29)</f>
        <v>0.24158628329961931</v>
      </c>
      <c r="I29" s="550">
        <f>IF(OR($C$11:$C$167="",ISERROR(VLOOKUP($C29,'PIVOT TABLE GLOBAL'!$A$4:$G$2500,7,FALSE))),"",VLOOKUP($C29,'PIVOT TABLE GLOBAL'!$A$4:$G$2500,7,FALSE))</f>
        <v>25</v>
      </c>
      <c r="J29" s="558">
        <f>IF(OR($C$11:$C$167="",ISERROR(VLOOKUP($C29,'PIVOT TABLE GLOBAL'!$A$4:$F$2500,4,FALSE))),"",VLOOKUP($C29,'PIVOT TABLE GLOBAL'!$A$4:$F$2500,4,FALSE)/F29)</f>
        <v>9.7282466493069916E-2</v>
      </c>
      <c r="K29" s="553">
        <f>IF(OR($C$11:$C$167="",ISERROR(VLOOKUP($C29,'PIVOT TABLE GLOBAL'!$A$4:$H$2500,8,FALSE))),"",VLOOKUP($C29,'PIVOT TABLE GLOBAL'!$A$4:$H$2500,8,FALSE))</f>
        <v>11</v>
      </c>
      <c r="L29" s="559" t="str">
        <f t="shared" si="3"/>
        <v>STOP</v>
      </c>
    </row>
    <row r="30" spans="1:12" s="71" customFormat="1" ht="15" x14ac:dyDescent="0.25">
      <c r="A30" s="853"/>
      <c r="B30" s="861"/>
      <c r="C30" s="82" t="str">
        <f t="array" ref="C30">IFERROR(INDEX('C'!$C$1:$C$2479, SMALL(IF($B$27 = 'C'!$A$1:$A$2479, ROW('C'!$A$1:$A$2479) -
ROW('C'!$A$2) + 2), ROW(4:4))),"")</f>
        <v>ESEMAKULA</v>
      </c>
      <c r="D30" s="553" t="str">
        <f t="array" ref="D30">IFERROR(INDEX('C'!$B$1:$B$2479, SMALL(IF($B$27 = 'C'!$A$1:$A$2479, ROW('C'!$A$1:$A$2479) -
ROW('C'!$A$2) + 2), ROW(4:4))),"")</f>
        <v>WTM</v>
      </c>
      <c r="E30" s="554">
        <f t="shared" si="2"/>
        <v>1.3805682548381428E-3</v>
      </c>
      <c r="F30" s="555">
        <f>SUMIF('Global Portfolio'!$N$2:$N$2500,'General Porfolio'!C30,'Global Portfolio'!$E$2:$E$2500)</f>
        <v>22870432.119999997</v>
      </c>
      <c r="G30" s="553">
        <f>IF('General Porfolio'!C30="",0,COUNTIF('Global Portfolio'!$N$2:$N$2500,'General Porfolio'!C30))</f>
        <v>7</v>
      </c>
      <c r="H30" s="560">
        <f>IF(OR($C$11:$C$167="",ISERROR(VLOOKUP($C30,'PIVOT TABLE GLOBAL'!$A$4:$F$2500,3,FALSE))),"",VLOOKUP($C30,'PIVOT TABLE GLOBAL'!$A$4:$F$2500,3,FALSE)/F30)</f>
        <v>0.37701075540500112</v>
      </c>
      <c r="I30" s="550">
        <f>IF(OR($C$11:$C$167="",ISERROR(VLOOKUP($C30,'PIVOT TABLE GLOBAL'!$A$4:$G$2500,7,FALSE))),"",VLOOKUP($C30,'PIVOT TABLE GLOBAL'!$A$4:$G$2500,7,FALSE))</f>
        <v>2</v>
      </c>
      <c r="J30" s="558">
        <f>IF(OR($C$11:$C$167="",ISERROR(VLOOKUP($C30,'PIVOT TABLE GLOBAL'!$A$4:$F$2500,4,FALSE))),"",VLOOKUP($C30,'PIVOT TABLE GLOBAL'!$A$4:$F$2500,4,FALSE)/F30)</f>
        <v>0</v>
      </c>
      <c r="K30" s="553">
        <f>IF(OR($C$11:$C$167="",ISERROR(VLOOKUP($C30,'PIVOT TABLE GLOBAL'!$A$4:$H$2500,8,FALSE))),"",VLOOKUP($C30,'PIVOT TABLE GLOBAL'!$A$4:$H$2500,8,FALSE))</f>
        <v>0</v>
      </c>
      <c r="L30" s="559" t="str">
        <f t="shared" si="3"/>
        <v>WATCH</v>
      </c>
    </row>
    <row r="31" spans="1:12" s="71" customFormat="1" ht="15" customHeight="1" x14ac:dyDescent="0.25">
      <c r="A31" s="853"/>
      <c r="B31" s="861"/>
      <c r="C31" s="82" t="str">
        <f t="array" ref="C31">IFERROR(INDEX('C'!$C$1:$C$2479, SMALL(IF($B$27 = 'C'!$A$1:$A$2479, ROW('C'!$A$1:$A$2479) -
ROW('C'!$A$2) + 2), ROW(5:5))),"")</f>
        <v>VAOME</v>
      </c>
      <c r="D31" s="553" t="str">
        <f t="array" ref="D31">IFERROR(INDEX('C'!$B$1:$B$2479, SMALL(IF($B$27 = 'C'!$A$1:$A$2479, ROW('C'!$A$1:$A$2479) -
ROW('C'!$A$2) + 2), ROW(5:5))),"")</f>
        <v>WTM</v>
      </c>
      <c r="E31" s="554">
        <f t="shared" si="2"/>
        <v>0</v>
      </c>
      <c r="F31" s="555">
        <f>SUMIF('Global Portfolio'!$N$2:$N$2500,'General Porfolio'!C31,'Global Portfolio'!$E$2:$E$2500)</f>
        <v>0</v>
      </c>
      <c r="G31" s="553">
        <f>IF('General Porfolio'!C31="",0,COUNTIF('Global Portfolio'!$N$2:$N$2500,'General Porfolio'!C31))</f>
        <v>0</v>
      </c>
      <c r="H31" s="560" t="str">
        <f>IF(OR($C$11:$C$167="",ISERROR(VLOOKUP($C31,'PIVOT TABLE GLOBAL'!$A$4:$F$2500,3,FALSE))),"",VLOOKUP($C31,'PIVOT TABLE GLOBAL'!$A$4:$F$2500,3,FALSE)/F31)</f>
        <v/>
      </c>
      <c r="I31" s="550" t="str">
        <f>IF(OR($C$11:$C$167="",ISERROR(VLOOKUP($C31,'PIVOT TABLE GLOBAL'!$A$4:$G$2500,7,FALSE))),"",VLOOKUP($C31,'PIVOT TABLE GLOBAL'!$A$4:$G$2500,7,FALSE))</f>
        <v/>
      </c>
      <c r="J31" s="558" t="str">
        <f>IF(OR($C$11:$C$167="",ISERROR(VLOOKUP($C31,'PIVOT TABLE GLOBAL'!$A$4:$F$2500,4,FALSE))),"",VLOOKUP($C31,'PIVOT TABLE GLOBAL'!$A$4:$F$2500,4,FALSE)/F31)</f>
        <v/>
      </c>
      <c r="K31" s="553" t="str">
        <f>IF(OR($C$11:$C$167="",ISERROR(VLOOKUP($C31,'PIVOT TABLE GLOBAL'!$A$4:$H$2500,8,FALSE))),"",VLOOKUP($C31,'PIVOT TABLE GLOBAL'!$A$4:$H$2500,8,FALSE))</f>
        <v/>
      </c>
      <c r="L31" s="559" t="str">
        <f t="shared" si="3"/>
        <v/>
      </c>
    </row>
    <row r="32" spans="1:12" s="71" customFormat="1" ht="15.6" thickBot="1" x14ac:dyDescent="0.3">
      <c r="A32" s="853"/>
      <c r="B32" s="861"/>
      <c r="C32" s="82" t="str">
        <f t="array" ref="C32">IFERROR(INDEX('C'!$C$1:$C$2479, SMALL(IF($B$27 = 'C'!$A$1:$A$2479, ROW('C'!$A$1:$A$2479) -
ROW('C'!$A$2) + 2), ROW(6:6))),"")</f>
        <v>RMALE</v>
      </c>
      <c r="D32" s="553" t="str">
        <f t="array" ref="D32">IFERROR(INDEX('C'!$B$1:$B$2479, SMALL(IF($B$27 = 'C'!$A$1:$A$2479, ROW('C'!$A$1:$A$2479) -
ROW('C'!$A$2) + 2), ROW(6:6))),"")</f>
        <v>WTM</v>
      </c>
      <c r="E32" s="554">
        <f t="shared" si="2"/>
        <v>8.575621373535635E-4</v>
      </c>
      <c r="F32" s="555">
        <f>SUMIF('Global Portfolio'!$N$2:$N$2500,'General Porfolio'!C32,'Global Portfolio'!$E$2:$E$2500)</f>
        <v>14206336.109999999</v>
      </c>
      <c r="G32" s="553">
        <f>IF('General Porfolio'!C32="",0,COUNTIF('Global Portfolio'!$N$2:$N$2500,'General Porfolio'!C32))</f>
        <v>3</v>
      </c>
      <c r="H32" s="560">
        <f>IF(OR($C$11:$C$167="",ISERROR(VLOOKUP($C32,'PIVOT TABLE GLOBAL'!$A$4:$F$2500,3,FALSE))),"",VLOOKUP($C32,'PIVOT TABLE GLOBAL'!$A$4:$F$2500,3,FALSE)/F32)</f>
        <v>0.35194086647581085</v>
      </c>
      <c r="I32" s="550">
        <f>IF(OR($C$11:$C$167="",ISERROR(VLOOKUP($C32,'PIVOT TABLE GLOBAL'!$A$4:$G$2500,7,FALSE))),"",VLOOKUP($C32,'PIVOT TABLE GLOBAL'!$A$4:$G$2500,7,FALSE))</f>
        <v>1</v>
      </c>
      <c r="J32" s="558">
        <f>IF(OR($C$11:$C$167="",ISERROR(VLOOKUP($C32,'PIVOT TABLE GLOBAL'!$A$4:$F$2500,4,FALSE))),"",VLOOKUP($C32,'PIVOT TABLE GLOBAL'!$A$4:$F$2500,4,FALSE)/F32)</f>
        <v>0</v>
      </c>
      <c r="K32" s="553">
        <f>IF(OR($C$11:$C$167="",ISERROR(VLOOKUP($C32,'PIVOT TABLE GLOBAL'!$A$4:$H$2500,8,FALSE))),"",VLOOKUP($C32,'PIVOT TABLE GLOBAL'!$A$4:$H$2500,8,FALSE))</f>
        <v>0</v>
      </c>
      <c r="L32" s="559" t="str">
        <f t="shared" si="3"/>
        <v>STOP</v>
      </c>
    </row>
    <row r="33" spans="1:12" s="71" customFormat="1" ht="15.6" hidden="1" thickBot="1" x14ac:dyDescent="0.3">
      <c r="A33" s="853"/>
      <c r="B33" s="861"/>
      <c r="C33" s="82" t="str">
        <f t="array" ref="C33">IFERROR(INDEX('C'!$C$1:$C$2479, SMALL(IF($B$27 = 'C'!$A$1:$A$2479, ROW('C'!$A$1:$A$2479) -
ROW('C'!$A$2) + 2), ROW(7:7))),"")</f>
        <v/>
      </c>
      <c r="D33" s="553" t="str">
        <f t="array" ref="D33">IFERROR(INDEX('C'!$B$1:$B$2479, SMALL(IF($B$27 = 'C'!$A$1:$A$2479, ROW('C'!$A$1:$A$2479) -
ROW('C'!$A$2) + 2), ROW(7:7))),"")</f>
        <v/>
      </c>
      <c r="E33" s="554">
        <f t="shared" si="2"/>
        <v>0</v>
      </c>
      <c r="F33" s="555">
        <f>SUMIF('Global Portfolio'!$N$2:$N$2500,'General Porfolio'!C33,'Global Portfolio'!$E$2:$E$2500)</f>
        <v>0</v>
      </c>
      <c r="G33" s="553">
        <f>IF('General Porfolio'!C33="",0,COUNTIF('Global Portfolio'!$N$2:$N$2500,'General Porfolio'!C33))</f>
        <v>0</v>
      </c>
      <c r="H33" s="560" t="str">
        <f>IF(OR($C$11:$C$167="",ISERROR(VLOOKUP($C33,'PIVOT TABLE GLOBAL'!$A$4:$F$2500,3,FALSE))),"",VLOOKUP($C33,'PIVOT TABLE GLOBAL'!$A$4:$F$2500,3,FALSE)/F33)</f>
        <v/>
      </c>
      <c r="I33" s="550" t="str">
        <f>IF(OR($C$11:$C$167="",ISERROR(VLOOKUP($C33,'PIVOT TABLE GLOBAL'!$A$4:$G$2500,7,FALSE))),"",VLOOKUP($C33,'PIVOT TABLE GLOBAL'!$A$4:$G$2500,7,FALSE))</f>
        <v/>
      </c>
      <c r="J33" s="558" t="str">
        <f>IF(OR($C$11:$C$167="",ISERROR(VLOOKUP($C33,'PIVOT TABLE GLOBAL'!$A$4:$F$2500,4,FALSE))),"",VLOOKUP($C33,'PIVOT TABLE GLOBAL'!$A$4:$F$2500,4,FALSE)/F33)</f>
        <v/>
      </c>
      <c r="K33" s="553" t="str">
        <f>IF(OR($C$11:$C$167="",ISERROR(VLOOKUP($C33,'PIVOT TABLE GLOBAL'!$A$4:$H$2500,8,FALSE))),"",VLOOKUP($C33,'PIVOT TABLE GLOBAL'!$A$4:$H$2500,8,FALSE))</f>
        <v/>
      </c>
      <c r="L33" s="559" t="str">
        <f t="shared" si="3"/>
        <v/>
      </c>
    </row>
    <row r="34" spans="1:12" s="71" customFormat="1" ht="15" hidden="1" x14ac:dyDescent="0.25">
      <c r="A34" s="853"/>
      <c r="B34" s="861"/>
      <c r="C34" s="82" t="str">
        <f t="array" ref="C34">IFERROR(INDEX('C'!$C$1:$C$2479, SMALL(IF($B$27 = 'C'!$A$1:$A$2479, ROW('C'!$A$1:$A$2479) -
ROW('C'!$A$2) + 2), ROW(8:8))),"")</f>
        <v/>
      </c>
      <c r="D34" s="553" t="str">
        <f t="array" ref="D34">IFERROR(INDEX('C'!$B$1:$B$2479, SMALL(IF($B$27 = 'C'!$A$1:$A$2479, ROW('C'!$A$1:$A$2479) -
ROW('C'!$A$2) + 2), ROW(8:8))),"")</f>
        <v/>
      </c>
      <c r="E34" s="554">
        <f t="shared" si="2"/>
        <v>0</v>
      </c>
      <c r="F34" s="555">
        <f>SUMIF('Global Portfolio'!$N$2:$N$2500,'General Porfolio'!C34,'Global Portfolio'!$E$2:$E$2500)</f>
        <v>0</v>
      </c>
      <c r="G34" s="553">
        <f>IF('General Porfolio'!C34="",0,COUNTIF('Global Portfolio'!$N$2:$N$2500,'General Porfolio'!C34))</f>
        <v>0</v>
      </c>
      <c r="H34" s="560" t="str">
        <f>IF(OR($C$11:$C$167="",ISERROR(VLOOKUP($C34,'PIVOT TABLE GLOBAL'!$A$4:$F$2500,3,FALSE))),"",VLOOKUP($C34,'PIVOT TABLE GLOBAL'!$A$4:$F$2500,3,FALSE)/F34)</f>
        <v/>
      </c>
      <c r="I34" s="550" t="str">
        <f>IF(OR($C$11:$C$167="",ISERROR(VLOOKUP($C34,'PIVOT TABLE GLOBAL'!$A$4:$G$2500,7,FALSE))),"",VLOOKUP($C34,'PIVOT TABLE GLOBAL'!$A$4:$G$2500,7,FALSE))</f>
        <v/>
      </c>
      <c r="J34" s="558" t="str">
        <f>IF(OR($C$11:$C$167="",ISERROR(VLOOKUP($C34,'PIVOT TABLE GLOBAL'!$A$4:$F$2500,4,FALSE))),"",VLOOKUP($C34,'PIVOT TABLE GLOBAL'!$A$4:$F$2500,4,FALSE)/F34)</f>
        <v/>
      </c>
      <c r="K34" s="553" t="str">
        <f>IF(OR($C$11:$C$167="",ISERROR(VLOOKUP($C34,'PIVOT TABLE GLOBAL'!$A$4:$H$2500,8,FALSE))),"",VLOOKUP($C34,'PIVOT TABLE GLOBAL'!$A$4:$H$2500,8,FALSE))</f>
        <v/>
      </c>
      <c r="L34" s="559" t="str">
        <f t="shared" si="3"/>
        <v/>
      </c>
    </row>
    <row r="35" spans="1:12" s="71" customFormat="1" ht="15" hidden="1" x14ac:dyDescent="0.25">
      <c r="A35" s="853"/>
      <c r="B35" s="861"/>
      <c r="C35" s="82" t="str">
        <f t="array" ref="C35">IFERROR(INDEX('C'!$C$1:$C$2479, SMALL(IF($B$27 = 'C'!$A$1:$A$2479, ROW('C'!$A$1:$A$2479) -
ROW('C'!$A$2) + 2), ROW(9:9))),"")</f>
        <v/>
      </c>
      <c r="D35" s="553" t="str">
        <f t="array" ref="D35">IFERROR(INDEX('C'!$B$1:$B$2479, SMALL(IF($B$27 = 'C'!$A$1:$A$2479, ROW('C'!$A$1:$A$2479) -
ROW('C'!$A$2) + 2), ROW(9:9))),"")</f>
        <v/>
      </c>
      <c r="E35" s="554">
        <f t="shared" si="2"/>
        <v>0</v>
      </c>
      <c r="F35" s="555">
        <f>SUMIF('Global Portfolio'!$N$2:$N$2500,'General Porfolio'!C35,'Global Portfolio'!$E$2:$E$2500)</f>
        <v>0</v>
      </c>
      <c r="G35" s="553">
        <f>IF('General Porfolio'!C35="",0,COUNTIF('Global Portfolio'!$N$2:$N$2500,'General Porfolio'!C35))</f>
        <v>0</v>
      </c>
      <c r="H35" s="560" t="str">
        <f>IF(OR($C$11:$C$167="",ISERROR(VLOOKUP($C35,'PIVOT TABLE GLOBAL'!$A$4:$F$2500,3,FALSE))),"",VLOOKUP($C35,'PIVOT TABLE GLOBAL'!$A$4:$F$2500,3,FALSE)/F35)</f>
        <v/>
      </c>
      <c r="I35" s="550" t="str">
        <f>IF(OR($C$11:$C$167="",ISERROR(VLOOKUP($C35,'PIVOT TABLE GLOBAL'!$A$4:$G$2500,7,FALSE))),"",VLOOKUP($C35,'PIVOT TABLE GLOBAL'!$A$4:$G$2500,7,FALSE))</f>
        <v/>
      </c>
      <c r="J35" s="558" t="str">
        <f>IF(OR($C$11:$C$167="",ISERROR(VLOOKUP($C35,'PIVOT TABLE GLOBAL'!$A$4:$F$2500,4,FALSE))),"",VLOOKUP($C35,'PIVOT TABLE GLOBAL'!$A$4:$F$2500,4,FALSE)/F35)</f>
        <v/>
      </c>
      <c r="K35" s="553" t="str">
        <f>IF(OR($C$11:$C$167="",ISERROR(VLOOKUP($C35,'PIVOT TABLE GLOBAL'!$A$4:$H$2500,8,FALSE))),"",VLOOKUP($C35,'PIVOT TABLE GLOBAL'!$A$4:$H$2500,8,FALSE))</f>
        <v/>
      </c>
      <c r="L35" s="559" t="str">
        <f t="shared" si="3"/>
        <v/>
      </c>
    </row>
    <row r="36" spans="1:12" s="71" customFormat="1" ht="15" hidden="1" x14ac:dyDescent="0.25">
      <c r="A36" s="853"/>
      <c r="B36" s="861"/>
      <c r="C36" s="82" t="str">
        <f t="array" ref="C36">IFERROR(INDEX('C'!$C$1:$C$2479, SMALL(IF($B$27 = 'C'!$A$1:$A$2479, ROW('C'!$A$1:$A$2479) -
ROW('C'!$A$2) + 2), ROW(10:10))),"")</f>
        <v/>
      </c>
      <c r="D36" s="553" t="str">
        <f t="array" ref="D36">IFERROR(INDEX('C'!$B$1:$B$2479, SMALL(IF($B$27 = 'C'!$A$1:$A$2479, ROW('C'!$A$1:$A$2479) -
ROW('C'!$A$2) + 2), ROW(10:10))),"")</f>
        <v/>
      </c>
      <c r="E36" s="554">
        <f t="shared" si="2"/>
        <v>0</v>
      </c>
      <c r="F36" s="555">
        <f>SUMIF('Global Portfolio'!$N$2:$N$2500,'General Porfolio'!C36,'Global Portfolio'!$E$2:$E$2500)</f>
        <v>0</v>
      </c>
      <c r="G36" s="553">
        <f>IF('General Porfolio'!C36="",0,COUNTIF('Global Portfolio'!$N$2:$N$2500,'General Porfolio'!C36))</f>
        <v>0</v>
      </c>
      <c r="H36" s="560" t="str">
        <f>IF(OR($C$11:$C$167="",ISERROR(VLOOKUP($C36,'PIVOT TABLE GLOBAL'!$A$4:$F$2500,3,FALSE))),"",VLOOKUP($C36,'PIVOT TABLE GLOBAL'!$A$4:$F$2500,3,FALSE)/F36)</f>
        <v/>
      </c>
      <c r="I36" s="550" t="str">
        <f>IF(OR($C$11:$C$167="",ISERROR(VLOOKUP($C36,'PIVOT TABLE GLOBAL'!$A$4:$G$2500,7,FALSE))),"",VLOOKUP($C36,'PIVOT TABLE GLOBAL'!$A$4:$G$2500,7,FALSE))</f>
        <v/>
      </c>
      <c r="J36" s="558" t="str">
        <f>IF(OR($C$11:$C$167="",ISERROR(VLOOKUP($C36,'PIVOT TABLE GLOBAL'!$A$4:$F$2500,4,FALSE))),"",VLOOKUP($C36,'PIVOT TABLE GLOBAL'!$A$4:$F$2500,4,FALSE)/F36)</f>
        <v/>
      </c>
      <c r="K36" s="553" t="str">
        <f>IF(OR($C$11:$C$167="",ISERROR(VLOOKUP($C36,'PIVOT TABLE GLOBAL'!$A$4:$H$2500,8,FALSE))),"",VLOOKUP($C36,'PIVOT TABLE GLOBAL'!$A$4:$H$2500,8,FALSE))</f>
        <v/>
      </c>
      <c r="L36" s="559" t="str">
        <f t="shared" si="3"/>
        <v/>
      </c>
    </row>
    <row r="37" spans="1:12" s="71" customFormat="1" ht="15" hidden="1" x14ac:dyDescent="0.25">
      <c r="A37" s="853"/>
      <c r="B37" s="861"/>
      <c r="C37" s="82" t="str">
        <f t="array" ref="C37">IFERROR(INDEX('C'!$C$1:$C$2479, SMALL(IF($B$27 = 'C'!$A$1:$A$2479, ROW('C'!$A$1:$A$2479) -
ROW('C'!$A$2) + 2), ROW(11:11))),"")</f>
        <v/>
      </c>
      <c r="D37" s="553" t="str">
        <f t="array" ref="D37">IFERROR(INDEX('C'!$B$1:$B$2479, SMALL(IF($B$27 = 'C'!$A$1:$A$2479, ROW('C'!$A$1:$A$2479) -
ROW('C'!$A$2) + 2), ROW(11:11))),"")</f>
        <v/>
      </c>
      <c r="E37" s="554">
        <f t="shared" si="2"/>
        <v>0</v>
      </c>
      <c r="F37" s="555">
        <f>SUMIF('Global Portfolio'!$N$2:$N$2500,'General Porfolio'!C37,'Global Portfolio'!$E$2:$E$2500)</f>
        <v>0</v>
      </c>
      <c r="G37" s="553">
        <f>IF('General Porfolio'!C37="",0,COUNTIF('Global Portfolio'!$N$2:$N$2500,'General Porfolio'!C37))</f>
        <v>0</v>
      </c>
      <c r="H37" s="560" t="str">
        <f>IF(OR($C$11:$C$167="",ISERROR(VLOOKUP($C37,'PIVOT TABLE GLOBAL'!$A$4:$F$2500,3,FALSE))),"",VLOOKUP($C37,'PIVOT TABLE GLOBAL'!$A$4:$F$2500,3,FALSE)/F37)</f>
        <v/>
      </c>
      <c r="I37" s="550" t="str">
        <f>IF(OR($C$11:$C$167="",ISERROR(VLOOKUP($C37,'PIVOT TABLE GLOBAL'!$A$4:$G$2500,7,FALSE))),"",VLOOKUP($C37,'PIVOT TABLE GLOBAL'!$A$4:$G$2500,7,FALSE))</f>
        <v/>
      </c>
      <c r="J37" s="558" t="str">
        <f>IF(OR($C$11:$C$167="",ISERROR(VLOOKUP($C37,'PIVOT TABLE GLOBAL'!$A$4:$F$2500,4,FALSE))),"",VLOOKUP($C37,'PIVOT TABLE GLOBAL'!$A$4:$F$2500,4,FALSE)/F37)</f>
        <v/>
      </c>
      <c r="K37" s="553" t="str">
        <f>IF(OR($C$11:$C$167="",ISERROR(VLOOKUP($C37,'PIVOT TABLE GLOBAL'!$A$4:$H$2500,8,FALSE))),"",VLOOKUP($C37,'PIVOT TABLE GLOBAL'!$A$4:$H$2500,8,FALSE))</f>
        <v/>
      </c>
      <c r="L37" s="559" t="str">
        <f t="shared" si="3"/>
        <v/>
      </c>
    </row>
    <row r="38" spans="1:12" s="71" customFormat="1" ht="15" hidden="1" x14ac:dyDescent="0.25">
      <c r="A38" s="853"/>
      <c r="B38" s="861"/>
      <c r="C38" s="82" t="str">
        <f t="array" ref="C38">IFERROR(INDEX('C'!$C$1:$C$2479, SMALL(IF($B$27 = 'C'!$A$1:$A$2479, ROW('C'!$A$1:$A$2479) -
ROW('C'!$A$2) + 2), ROW(12:12))),"")</f>
        <v/>
      </c>
      <c r="D38" s="553" t="str">
        <f t="array" ref="D38">IFERROR(INDEX('C'!$B$1:$B$2479, SMALL(IF($B$27 = 'C'!$A$1:$A$2479, ROW('C'!$A$1:$A$2479) -
ROW('C'!$A$2) + 2), ROW(12:12))),"")</f>
        <v/>
      </c>
      <c r="E38" s="554">
        <f t="shared" si="2"/>
        <v>0</v>
      </c>
      <c r="F38" s="555">
        <f>SUMIF('Global Portfolio'!$N$2:$N$2500,'General Porfolio'!C38,'Global Portfolio'!$E$2:$E$2500)</f>
        <v>0</v>
      </c>
      <c r="G38" s="553">
        <f>IF('General Porfolio'!C38="",0,COUNTIF('Global Portfolio'!$N$2:$N$2500,'General Porfolio'!C38))</f>
        <v>0</v>
      </c>
      <c r="H38" s="560" t="str">
        <f>IF(OR($C$11:$C$167="",ISERROR(VLOOKUP($C38,'PIVOT TABLE GLOBAL'!$A$4:$F$2500,3,FALSE))),"",VLOOKUP($C38,'PIVOT TABLE GLOBAL'!$A$4:$F$2500,3,FALSE)/F38)</f>
        <v/>
      </c>
      <c r="I38" s="550" t="str">
        <f>IF(OR($C$11:$C$167="",ISERROR(VLOOKUP($C38,'PIVOT TABLE GLOBAL'!$A$4:$G$2500,7,FALSE))),"",VLOOKUP($C38,'PIVOT TABLE GLOBAL'!$A$4:$G$2500,7,FALSE))</f>
        <v/>
      </c>
      <c r="J38" s="558" t="str">
        <f>IF(OR($C$11:$C$167="",ISERROR(VLOOKUP($C38,'PIVOT TABLE GLOBAL'!$A$4:$F$2500,4,FALSE))),"",VLOOKUP($C38,'PIVOT TABLE GLOBAL'!$A$4:$F$2500,4,FALSE)/F38)</f>
        <v/>
      </c>
      <c r="K38" s="553" t="str">
        <f>IF(OR($C$11:$C$167="",ISERROR(VLOOKUP($C38,'PIVOT TABLE GLOBAL'!$A$4:$H$2500,8,FALSE))),"",VLOOKUP($C38,'PIVOT TABLE GLOBAL'!$A$4:$H$2500,8,FALSE))</f>
        <v/>
      </c>
      <c r="L38" s="559" t="str">
        <f t="shared" si="3"/>
        <v/>
      </c>
    </row>
    <row r="39" spans="1:12" s="71" customFormat="1" ht="15" hidden="1" x14ac:dyDescent="0.25">
      <c r="A39" s="853"/>
      <c r="B39" s="861"/>
      <c r="C39" s="82" t="str">
        <f t="array" ref="C39">IFERROR(INDEX('C'!$C$1:$C$2479, SMALL(IF($B$27 = 'C'!$A$1:$A$2479, ROW('C'!$A$1:$A$2479) -
ROW('C'!$A$2) + 2), ROW(13:13))),"")</f>
        <v/>
      </c>
      <c r="D39" s="553" t="str">
        <f t="array" ref="D39">IFERROR(INDEX('C'!$B$1:$B$2479, SMALL(IF($B$27 = 'C'!$A$1:$A$2479, ROW('C'!$A$1:$A$2479) -
ROW('C'!$A$2) + 2), ROW(13:13))),"")</f>
        <v/>
      </c>
      <c r="E39" s="554">
        <f t="shared" si="2"/>
        <v>0</v>
      </c>
      <c r="F39" s="555">
        <f>SUMIF('Global Portfolio'!$N$2:$N$2500,'General Porfolio'!C39,'Global Portfolio'!$E$2:$E$2500)</f>
        <v>0</v>
      </c>
      <c r="G39" s="553">
        <f>IF('General Porfolio'!C39="",0,COUNTIF('Global Portfolio'!$N$2:$N$2500,'General Porfolio'!C39))</f>
        <v>0</v>
      </c>
      <c r="H39" s="560" t="str">
        <f>IF(OR($C$11:$C$167="",ISERROR(VLOOKUP($C39,'PIVOT TABLE GLOBAL'!$A$4:$F$2500,3,FALSE))),"",VLOOKUP($C39,'PIVOT TABLE GLOBAL'!$A$4:$F$2500,3,FALSE)/F39)</f>
        <v/>
      </c>
      <c r="I39" s="550" t="str">
        <f>IF(OR($C$11:$C$167="",ISERROR(VLOOKUP($C39,'PIVOT TABLE GLOBAL'!$A$4:$G$2500,7,FALSE))),"",VLOOKUP($C39,'PIVOT TABLE GLOBAL'!$A$4:$G$2500,7,FALSE))</f>
        <v/>
      </c>
      <c r="J39" s="558" t="str">
        <f>IF(OR($C$11:$C$167="",ISERROR(VLOOKUP($C39,'PIVOT TABLE GLOBAL'!$A$4:$F$2500,4,FALSE))),"",VLOOKUP($C39,'PIVOT TABLE GLOBAL'!$A$4:$F$2500,4,FALSE)/F39)</f>
        <v/>
      </c>
      <c r="K39" s="553" t="str">
        <f>IF(OR($C$11:$C$167="",ISERROR(VLOOKUP($C39,'PIVOT TABLE GLOBAL'!$A$4:$H$2500,8,FALSE))),"",VLOOKUP($C39,'PIVOT TABLE GLOBAL'!$A$4:$H$2500,8,FALSE))</f>
        <v/>
      </c>
      <c r="L39" s="559" t="str">
        <f t="shared" si="3"/>
        <v/>
      </c>
    </row>
    <row r="40" spans="1:12" s="71" customFormat="1" ht="15" hidden="1" x14ac:dyDescent="0.25">
      <c r="A40" s="853"/>
      <c r="B40" s="861"/>
      <c r="C40" s="82" t="str">
        <f t="array" ref="C40">IFERROR(INDEX('C'!$C$1:$C$2479, SMALL(IF($B$27 = 'C'!$A$1:$A$2479, ROW('C'!$A$1:$A$2479) -
ROW('C'!$A$2) + 2), ROW(14:14))),"")</f>
        <v/>
      </c>
      <c r="D40" s="553" t="str">
        <f t="array" ref="D40">IFERROR(INDEX('C'!$B$1:$B$2479, SMALL(IF($B$27 = 'C'!$A$1:$A$2479, ROW('C'!$A$1:$A$2479) -
ROW('C'!$A$2) + 2), ROW(14:14))),"")</f>
        <v/>
      </c>
      <c r="E40" s="554">
        <f t="shared" si="2"/>
        <v>0</v>
      </c>
      <c r="F40" s="555">
        <f>SUMIF('Global Portfolio'!$N$2:$N$2500,'General Porfolio'!C40,'Global Portfolio'!$E$2:$E$2500)</f>
        <v>0</v>
      </c>
      <c r="G40" s="553">
        <f>IF('General Porfolio'!C40="",0,COUNTIF('Global Portfolio'!$N$2:$N$2500,'General Porfolio'!C40))</f>
        <v>0</v>
      </c>
      <c r="H40" s="560" t="str">
        <f>IF(OR($C$11:$C$167="",ISERROR(VLOOKUP($C40,'PIVOT TABLE GLOBAL'!$A$4:$F$2500,3,FALSE))),"",VLOOKUP($C40,'PIVOT TABLE GLOBAL'!$A$4:$F$2500,3,FALSE)/F40)</f>
        <v/>
      </c>
      <c r="I40" s="550" t="str">
        <f>IF(OR($C$11:$C$167="",ISERROR(VLOOKUP($C40,'PIVOT TABLE GLOBAL'!$A$4:$G$2500,7,FALSE))),"",VLOOKUP($C40,'PIVOT TABLE GLOBAL'!$A$4:$G$2500,7,FALSE))</f>
        <v/>
      </c>
      <c r="J40" s="558" t="str">
        <f>IF(OR($C$11:$C$167="",ISERROR(VLOOKUP($C40,'PIVOT TABLE GLOBAL'!$A$4:$F$2500,4,FALSE))),"",VLOOKUP($C40,'PIVOT TABLE GLOBAL'!$A$4:$F$2500,4,FALSE)/F40)</f>
        <v/>
      </c>
      <c r="K40" s="553" t="str">
        <f>IF(OR($C$11:$C$167="",ISERROR(VLOOKUP($C40,'PIVOT TABLE GLOBAL'!$A$4:$H$2500,8,FALSE))),"",VLOOKUP($C40,'PIVOT TABLE GLOBAL'!$A$4:$H$2500,8,FALSE))</f>
        <v/>
      </c>
      <c r="L40" s="559" t="str">
        <f t="shared" si="3"/>
        <v/>
      </c>
    </row>
    <row r="41" spans="1:12" s="71" customFormat="1" ht="15" hidden="1" x14ac:dyDescent="0.25">
      <c r="A41" s="853"/>
      <c r="B41" s="861"/>
      <c r="C41" s="82" t="str">
        <f t="array" ref="C41">IFERROR(INDEX('C'!$C$1:$C$2479, SMALL(IF($B$27 = 'C'!$A$1:$A$2479, ROW('C'!$A$1:$A$2479) -
ROW('C'!$A$2) + 2), ROW(15:15))),"")</f>
        <v/>
      </c>
      <c r="D41" s="553" t="str">
        <f t="array" ref="D41">IFERROR(INDEX('C'!$B$1:$B$2479, SMALL(IF($B$27 = 'C'!$A$1:$A$2479, ROW('C'!$A$1:$A$2479) -
ROW('C'!$A$2) + 2), ROW(15:15))),"")</f>
        <v/>
      </c>
      <c r="E41" s="554">
        <f t="shared" si="2"/>
        <v>0</v>
      </c>
      <c r="F41" s="555">
        <f>SUMIF('Global Portfolio'!$N$2:$N$2500,'General Porfolio'!C41,'Global Portfolio'!$E$2:$E$2500)</f>
        <v>0</v>
      </c>
      <c r="G41" s="553">
        <f>IF('General Porfolio'!C41="",0,COUNTIF('Global Portfolio'!$N$2:$N$2500,'General Porfolio'!C41))</f>
        <v>0</v>
      </c>
      <c r="H41" s="560" t="str">
        <f>IF(OR($C$11:$C$167="",ISERROR(VLOOKUP($C41,'PIVOT TABLE GLOBAL'!$A$4:$F$2500,3,FALSE))),"",VLOOKUP($C41,'PIVOT TABLE GLOBAL'!$A$4:$F$2500,3,FALSE)/F41)</f>
        <v/>
      </c>
      <c r="I41" s="550" t="str">
        <f>IF(OR($C$11:$C$167="",ISERROR(VLOOKUP($C41,'PIVOT TABLE GLOBAL'!$A$4:$G$2500,7,FALSE))),"",VLOOKUP($C41,'PIVOT TABLE GLOBAL'!$A$4:$G$2500,7,FALSE))</f>
        <v/>
      </c>
      <c r="J41" s="558" t="str">
        <f>IF(OR($C$11:$C$167="",ISERROR(VLOOKUP($C41,'PIVOT TABLE GLOBAL'!$A$4:$F$2500,4,FALSE))),"",VLOOKUP($C41,'PIVOT TABLE GLOBAL'!$A$4:$F$2500,4,FALSE)/F41)</f>
        <v/>
      </c>
      <c r="K41" s="553" t="str">
        <f>IF(OR($C$11:$C$167="",ISERROR(VLOOKUP($C41,'PIVOT TABLE GLOBAL'!$A$4:$H$2500,8,FALSE))),"",VLOOKUP($C41,'PIVOT TABLE GLOBAL'!$A$4:$H$2500,8,FALSE))</f>
        <v/>
      </c>
      <c r="L41" s="559" t="str">
        <f t="shared" si="3"/>
        <v/>
      </c>
    </row>
    <row r="42" spans="1:12" s="71" customFormat="1" ht="15" hidden="1" x14ac:dyDescent="0.25">
      <c r="A42" s="853"/>
      <c r="B42" s="861"/>
      <c r="C42" s="82" t="str">
        <f t="array" ref="C42">IFERROR(INDEX('C'!$C$1:$C$2479, SMALL(IF($B$27 = 'C'!$A$1:$A$2479, ROW('C'!$A$1:$A$2479) -
ROW('C'!$A$2) + 2), ROW(16:16))),"")</f>
        <v/>
      </c>
      <c r="D42" s="553" t="str">
        <f t="array" ref="D42">IFERROR(INDEX('C'!$B$1:$B$2479, SMALL(IF($B$27 = 'C'!$A$1:$A$2479, ROW('C'!$A$1:$A$2479) -
ROW('C'!$A$2) + 2), ROW(16:16))),"")</f>
        <v/>
      </c>
      <c r="E42" s="554">
        <f t="shared" si="2"/>
        <v>0</v>
      </c>
      <c r="F42" s="555">
        <f>SUMIF('Global Portfolio'!$N$2:$N$2500,'General Porfolio'!C42,'Global Portfolio'!$E$2:$E$2500)</f>
        <v>0</v>
      </c>
      <c r="G42" s="553">
        <f>IF('General Porfolio'!C42="",0,COUNTIF('Global Portfolio'!$N$2:$N$2500,'General Porfolio'!C42))</f>
        <v>0</v>
      </c>
      <c r="H42" s="560" t="str">
        <f>IF(OR($C$11:$C$167="",ISERROR(VLOOKUP($C42,'PIVOT TABLE GLOBAL'!$A$4:$F$2500,3,FALSE))),"",VLOOKUP($C42,'PIVOT TABLE GLOBAL'!$A$4:$F$2500,3,FALSE)/F42)</f>
        <v/>
      </c>
      <c r="I42" s="550" t="str">
        <f>IF(OR($C$11:$C$167="",ISERROR(VLOOKUP($C42,'PIVOT TABLE GLOBAL'!$A$4:$G$2500,7,FALSE))),"",VLOOKUP($C42,'PIVOT TABLE GLOBAL'!$A$4:$G$2500,7,FALSE))</f>
        <v/>
      </c>
      <c r="J42" s="558" t="str">
        <f>IF(OR($C$11:$C$167="",ISERROR(VLOOKUP($C42,'PIVOT TABLE GLOBAL'!$A$4:$F$2500,4,FALSE))),"",VLOOKUP($C42,'PIVOT TABLE GLOBAL'!$A$4:$F$2500,4,FALSE)/F42)</f>
        <v/>
      </c>
      <c r="K42" s="553" t="str">
        <f>IF(OR($C$11:$C$167="",ISERROR(VLOOKUP($C42,'PIVOT TABLE GLOBAL'!$A$4:$H$2500,8,FALSE))),"",VLOOKUP($C42,'PIVOT TABLE GLOBAL'!$A$4:$H$2500,8,FALSE))</f>
        <v/>
      </c>
      <c r="L42" s="559" t="str">
        <f t="shared" si="3"/>
        <v/>
      </c>
    </row>
    <row r="43" spans="1:12" s="71" customFormat="1" ht="15" hidden="1" x14ac:dyDescent="0.25">
      <c r="A43" s="853"/>
      <c r="B43" s="861"/>
      <c r="C43" s="82" t="str">
        <f t="array" ref="C43">IFERROR(INDEX('C'!$C$1:$C$2479, SMALL(IF($B$27 = 'C'!$A$1:$A$2479, ROW('C'!$A$1:$A$2479) -
ROW('C'!$A$2) + 2), ROW(17:17))),"")</f>
        <v/>
      </c>
      <c r="D43" s="553" t="str">
        <f t="array" ref="D43">IFERROR(INDEX('C'!$B$1:$B$2479, SMALL(IF($B$27 = 'C'!$A$1:$A$2479, ROW('C'!$A$1:$A$2479) -
ROW('C'!$A$2) + 2), ROW(17:17))),"")</f>
        <v/>
      </c>
      <c r="E43" s="554">
        <f t="shared" si="2"/>
        <v>0</v>
      </c>
      <c r="F43" s="555">
        <f>SUMIF('Global Portfolio'!$N$2:$N$2500,'General Porfolio'!C43,'Global Portfolio'!$E$2:$E$2500)</f>
        <v>0</v>
      </c>
      <c r="G43" s="553">
        <f>IF('General Porfolio'!C43="",0,COUNTIF('Global Portfolio'!$N$2:$N$2500,'General Porfolio'!C43))</f>
        <v>0</v>
      </c>
      <c r="H43" s="560" t="str">
        <f>IF(OR($C$11:$C$167="",ISERROR(VLOOKUP($C43,'PIVOT TABLE GLOBAL'!$A$4:$F$2500,3,FALSE))),"",VLOOKUP($C43,'PIVOT TABLE GLOBAL'!$A$4:$F$2500,3,FALSE)/F43)</f>
        <v/>
      </c>
      <c r="I43" s="550" t="str">
        <f>IF(OR($C$11:$C$167="",ISERROR(VLOOKUP($C43,'PIVOT TABLE GLOBAL'!$A$4:$G$2500,7,FALSE))),"",VLOOKUP($C43,'PIVOT TABLE GLOBAL'!$A$4:$G$2500,7,FALSE))</f>
        <v/>
      </c>
      <c r="J43" s="558" t="str">
        <f>IF(OR($C$11:$C$167="",ISERROR(VLOOKUP($C43,'PIVOT TABLE GLOBAL'!$A$4:$F$2500,4,FALSE))),"",VLOOKUP($C43,'PIVOT TABLE GLOBAL'!$A$4:$F$2500,4,FALSE)/F43)</f>
        <v/>
      </c>
      <c r="K43" s="553" t="str">
        <f>IF(OR($C$11:$C$167="",ISERROR(VLOOKUP($C43,'PIVOT TABLE GLOBAL'!$A$4:$H$2500,8,FALSE))),"",VLOOKUP($C43,'PIVOT TABLE GLOBAL'!$A$4:$H$2500,8,FALSE))</f>
        <v/>
      </c>
      <c r="L43" s="559" t="str">
        <f t="shared" si="3"/>
        <v/>
      </c>
    </row>
    <row r="44" spans="1:12" s="71" customFormat="1" ht="0.75" hidden="1" customHeight="1" thickBot="1" x14ac:dyDescent="0.3">
      <c r="A44" s="853"/>
      <c r="B44" s="861"/>
      <c r="C44" s="82" t="str">
        <f t="array" ref="C44">IFERROR(INDEX('C'!$C$1:$C$2479, SMALL(IF($B$27 = 'C'!$A$1:$A$2479, ROW('C'!$A$1:$A$2479) -
ROW('C'!$A$2) + 2), ROW(18:18))),"")</f>
        <v/>
      </c>
      <c r="D44" s="553" t="str">
        <f t="array" ref="D44">IFERROR(INDEX('C'!$B$1:$B$2479, SMALL(IF($B$27 = 'C'!$A$1:$A$2479, ROW('C'!$A$1:$A$2479) -
ROW('C'!$A$2) + 2), ROW(18:18))),"")</f>
        <v/>
      </c>
      <c r="E44" s="554">
        <f t="shared" si="2"/>
        <v>0</v>
      </c>
      <c r="F44" s="555">
        <f>SUMIF('Global Portfolio'!$N$2:$N$2500,'General Porfolio'!C44,'Global Portfolio'!$E$2:$E$2500)</f>
        <v>0</v>
      </c>
      <c r="G44" s="553">
        <f>IF('General Porfolio'!C44="",0,COUNTIF('Global Portfolio'!$N$2:$N$2500,'General Porfolio'!C44))</f>
        <v>0</v>
      </c>
      <c r="H44" s="560" t="str">
        <f>IF(OR($C$11:$C$167="",ISERROR(VLOOKUP($C44,'PIVOT TABLE GLOBAL'!$A$4:$F$2500,3,FALSE))),"",VLOOKUP($C44,'PIVOT TABLE GLOBAL'!$A$4:$F$2500,3,FALSE)/F44)</f>
        <v/>
      </c>
      <c r="I44" s="550" t="str">
        <f>IF(OR($C$11:$C$167="",ISERROR(VLOOKUP($C44,'PIVOT TABLE GLOBAL'!$A$4:$G$2500,7,FALSE))),"",VLOOKUP($C44,'PIVOT TABLE GLOBAL'!$A$4:$G$2500,7,FALSE))</f>
        <v/>
      </c>
      <c r="J44" s="558" t="str">
        <f>IF(OR($C$11:$C$167="",ISERROR(VLOOKUP($C44,'PIVOT TABLE GLOBAL'!$A$4:$F$2500,4,FALSE))),"",VLOOKUP($C44,'PIVOT TABLE GLOBAL'!$A$4:$F$2500,4,FALSE)/F44)</f>
        <v/>
      </c>
      <c r="K44" s="553" t="str">
        <f>IF(OR($C$11:$C$167="",ISERROR(VLOOKUP($C44,'PIVOT TABLE GLOBAL'!$A$4:$H$2500,8,FALSE))),"",VLOOKUP($C44,'PIVOT TABLE GLOBAL'!$A$4:$H$2500,8,FALSE))</f>
        <v/>
      </c>
      <c r="L44" s="559" t="str">
        <f t="shared" si="3"/>
        <v/>
      </c>
    </row>
    <row r="45" spans="1:12" s="71" customFormat="1" ht="18.75" customHeight="1" thickTop="1" thickBot="1" x14ac:dyDescent="0.35">
      <c r="A45" s="853"/>
      <c r="B45" s="296" t="s">
        <v>983</v>
      </c>
      <c r="C45" s="75">
        <f>COUNTIF(C27:C44,"?*")</f>
        <v>6</v>
      </c>
      <c r="D45" s="114"/>
      <c r="E45" s="357">
        <f>SUBTOTAL(9,E27:E44)</f>
        <v>7.4119887417743224E-2</v>
      </c>
      <c r="F45" s="74">
        <f>SUBTOTAL(9,F27:F44)</f>
        <v>1227866748.3399994</v>
      </c>
      <c r="G45" s="75">
        <f>SUBTOTAL(9,G27:G44)</f>
        <v>155</v>
      </c>
      <c r="H45" s="115">
        <f>(IF(OR($C27="",ISERROR(VLOOKUP($C27,'PIVOT TABLE GLOBAL'!$A$4:$F$2500,3,FALSE))),0,VLOOKUP($C27,'PIVOT TABLE GLOBAL'!$A$4:$F$2500,3,FALSE))+IF(OR($C28="",ISERROR(VLOOKUP($C28,'PIVOT TABLE GLOBAL'!$A$4:$F$2500,3,FALSE))),0,VLOOKUP($C28,'PIVOT TABLE GLOBAL'!$A$4:$F$2500,3,FALSE))+IF(OR($C29="",ISERROR(VLOOKUP($C29,'PIVOT TABLE GLOBAL'!$A$4:$F$2500,3,FALSE))),0,VLOOKUP($C29,'PIVOT TABLE GLOBAL'!$A$4:$F$2500,3,FALSE))+IF(OR($C30="",ISERROR(VLOOKUP($C30,'PIVOT TABLE GLOBAL'!$A$4:$F$2500,3,FALSE))),0,VLOOKUP($C30,'PIVOT TABLE GLOBAL'!$A$4:$F$2500,3,FALSE))+IF(OR($C31="",ISERROR(VLOOKUP($C31,'PIVOT TABLE GLOBAL'!$A$4:$F$2500,3,FALSE))),0,VLOOKUP($C31,'PIVOT TABLE GLOBAL'!$A$4:$F$2500,3,FALSE))+IF(OR($C32="",ISERROR(VLOOKUP($C32,'PIVOT TABLE GLOBAL'!$A$4:$F$2500,3,FALSE))),0,VLOOKUP($C32,'PIVOT TABLE GLOBAL'!$A$4:$F$2500,3,FALSE))+IF(OR($C33="",ISERROR(VLOOKUP($C33,'PIVOT TABLE GLOBAL'!$A$4:$F$2500,3,FALSE))),0,VLOOKUP($C33,'PIVOT TABLE GLOBAL'!$A$4:$F$2500,3,FALSE))+IF(OR($C34="",ISERROR(VLOOKUP($C34,'PIVOT TABLE GLOBAL'!$A$4:$F$2500,3,FALSE))),0,VLOOKUP($C34,'PIVOT TABLE GLOBAL'!$A$4:$F$2500,3,FALSE))+IF(OR($C35="",ISERROR(VLOOKUP($C35,'PIVOT TABLE GLOBAL'!$A$4:$F$2500,3,FALSE))),0,VLOOKUP($C35,'PIVOT TABLE GLOBAL'!$A$4:$F$2500,3,FALSE))+IF(OR($C36="",ISERROR(VLOOKUP($C36,'PIVOT TABLE GLOBAL'!$A$4:$F$2500,3,FALSE))),0,VLOOKUP($C36,'PIVOT TABLE GLOBAL'!$A$4:$F$2500,3,FALSE))+IF(OR($C37="",ISERROR(VLOOKUP($C37,'PIVOT TABLE GLOBAL'!$A$4:$F$2500,3,FALSE))),0,VLOOKUP($C37,'PIVOT TABLE GLOBAL'!$A$4:$F$2500,3,FALSE))+IF(OR($C38="",ISERROR(VLOOKUP($C38,'PIVOT TABLE GLOBAL'!$A$4:$F$2500,3,FALSE))),0,VLOOKUP($C38,'PIVOT TABLE GLOBAL'!$A$4:$F$2500,3,FALSE))+IF(OR($C39="",ISERROR(VLOOKUP($C39,'PIVOT TABLE GLOBAL'!$A$4:$F$2500,3,FALSE))),0,VLOOKUP($C39,'PIVOT TABLE GLOBAL'!$A$4:$F$2500,3,FALSE))+IF(OR($C40="",ISERROR(VLOOKUP($C40,'PIVOT TABLE GLOBAL'!$A$4:$F$2500,3,FALSE))),0,VLOOKUP($C40,'PIVOT TABLE GLOBAL'!$A$4:$F$2500,3,FALSE))+IF(OR($C41="",ISERROR(VLOOKUP($C41,'PIVOT TABLE GLOBAL'!$A$4:$F$2500,3,FALSE))),0,VLOOKUP($C41,'PIVOT TABLE GLOBAL'!$A$4:$F$2500,3,FALSE))+IF(OR($C42="",ISERROR(VLOOKUP($C42,'PIVOT TABLE GLOBAL'!$A$4:$F$2500,3,FALSE))),0,VLOOKUP($C42,'PIVOT TABLE GLOBAL'!$A$4:$F$2500,3,FALSE))+IF(OR($C43="",ISERROR(VLOOKUP($C43,'PIVOT TABLE GLOBAL'!$A$4:$F$2500,3,FALSE))),0,VLOOKUP($C43,'PIVOT TABLE GLOBAL'!$A$4:$F$2500,3,FALSE))+IF(OR($C44="",ISERROR(VLOOKUP($C44,'PIVOT TABLE GLOBAL'!$A$4:$F$2500,3,FALSE))),0,VLOOKUP($C44,'PIVOT TABLE GLOBAL'!$A$4:$F$2500,3,FALSE)))/(F45)</f>
        <v>0.3753031927959638</v>
      </c>
      <c r="I45" s="110">
        <f>SUBTOTAL(9,I27:I44)</f>
        <v>67</v>
      </c>
      <c r="J45" s="116">
        <f>(IF(OR($C27="",ISERROR(VLOOKUP($C27,'PIVOT TABLE GLOBAL'!$A$4:$F$2500,4,FALSE))),0,VLOOKUP($C27,'PIVOT TABLE GLOBAL'!$A$4:$F$2500,4,FALSE))+IF(OR($C28="",ISERROR(VLOOKUP($C28,'PIVOT TABLE GLOBAL'!$A$4:$F$2500,4,FALSE))),0,VLOOKUP($C28,'PIVOT TABLE GLOBAL'!$A$4:$F$2500,4,FALSE))+IF(OR($C29="",ISERROR(VLOOKUP($C29,'PIVOT TABLE GLOBAL'!$A$4:$F$2500,4,FALSE))),0,VLOOKUP($C29,'PIVOT TABLE GLOBAL'!$A$4:$F$2500,4,FALSE))+IF(OR($C30="",ISERROR(VLOOKUP($C30,'PIVOT TABLE GLOBAL'!$A$4:$F$2500,4,FALSE))),0,VLOOKUP($C30,'PIVOT TABLE GLOBAL'!$A$4:$F$2500,4,FALSE))+IF(OR($C31="",ISERROR(VLOOKUP($C31,'PIVOT TABLE GLOBAL'!$A$4:$F$2500,4,FALSE))),0,VLOOKUP($C31,'PIVOT TABLE GLOBAL'!$A$4:$F$2500,4,FALSE))+IF(OR($C32="",ISERROR(VLOOKUP($C32,'PIVOT TABLE GLOBAL'!$A$4:$F$2500,4,FALSE))),0,VLOOKUP($C32,'PIVOT TABLE GLOBAL'!$A$4:$F$2500,4,FALSE))+IF(OR($C33="",ISERROR(VLOOKUP($C33,'PIVOT TABLE GLOBAL'!$A$4:$F$2500,4,FALSE))),0,VLOOKUP($C33,'PIVOT TABLE GLOBAL'!$A$4:$F$2500,4,FALSE))+IF(OR($C34="",ISERROR(VLOOKUP($C34,'PIVOT TABLE GLOBAL'!$A$4:$F$2500,4,FALSE))),0,VLOOKUP($C34,'PIVOT TABLE GLOBAL'!$A$4:$F$2500,4,FALSE))+IF(OR($C35="",ISERROR(VLOOKUP($C35,'PIVOT TABLE GLOBAL'!$A$4:$F$2500,4,FALSE))),0,VLOOKUP($C35,'PIVOT TABLE GLOBAL'!$A$4:$F$2500,4,FALSE))+IF(OR($C36="",ISERROR(VLOOKUP($C36,'PIVOT TABLE GLOBAL'!$A$4:$F$2500,4,FALSE))),0,VLOOKUP($C36,'PIVOT TABLE GLOBAL'!$A$4:$F$2500,4,FALSE))+IF(OR($C37="",ISERROR(VLOOKUP($C37,'PIVOT TABLE GLOBAL'!$A$4:$F$2500,4,FALSE))),0,VLOOKUP($C37,'PIVOT TABLE GLOBAL'!$A$4:$F$2500,4,FALSE))+IF(OR($C38="",ISERROR(VLOOKUP($C38,'PIVOT TABLE GLOBAL'!$A$4:$F$2500,4,FALSE))),0,VLOOKUP($C38,'PIVOT TABLE GLOBAL'!$A$4:$F$2500,4,FALSE))+IF(OR($C39="",ISERROR(VLOOKUP($C39,'PIVOT TABLE GLOBAL'!$A$4:$F$2500,4,FALSE))),0,VLOOKUP($C39,'PIVOT TABLE GLOBAL'!$A$4:$F$2500,4,FALSE))+IF(OR($C40="",ISERROR(VLOOKUP($C40,'PIVOT TABLE GLOBAL'!$A$4:$F$2500,4,FALSE))),0,VLOOKUP($C40,'PIVOT TABLE GLOBAL'!$A$4:$F$2500,4,FALSE))+IF(OR($C41="",ISERROR(VLOOKUP($C41,'PIVOT TABLE GLOBAL'!$A$4:$F$2500,4,FALSE))),0,VLOOKUP($C41,'PIVOT TABLE GLOBAL'!$A$4:$F$2500,4,FALSE))+IF(OR($C42="",ISERROR(VLOOKUP($C42,'PIVOT TABLE GLOBAL'!$A$4:$F$2500,4,FALSE))),0,VLOOKUP($C42,'PIVOT TABLE GLOBAL'!$A$4:$F$2500,4,FALSE))+IF(OR($C43="",ISERROR(VLOOKUP($C43,'PIVOT TABLE GLOBAL'!$A$4:$F$2500,4,FALSE))),0,VLOOKUP($C43,'PIVOT TABLE GLOBAL'!$A$4:$F$2500,4,FALSE))+IF(OR($C44="",ISERROR(VLOOKUP($C44,'PIVOT TABLE GLOBAL'!$A$4:$F$2500,4,FALSE))),0,VLOOKUP($C44,'PIVOT TABLE GLOBAL'!$A$4:$F$2500,4,FALSE)))/(F45)</f>
        <v>0.10715293971261454</v>
      </c>
      <c r="K45" s="75">
        <f>SUBTOTAL(9,K27:K44)</f>
        <v>25</v>
      </c>
      <c r="L45" s="403"/>
    </row>
    <row r="46" spans="1:12" s="71" customFormat="1" ht="15.75" customHeight="1" thickTop="1" x14ac:dyDescent="0.25">
      <c r="A46" s="853"/>
      <c r="B46" s="861" t="s">
        <v>4682</v>
      </c>
      <c r="C46" s="82" t="str">
        <f t="array" ref="C46">IFERROR(INDEX('C'!$C$1:$C$2479, SMALL(IF($B$46 = 'C'!$A$1:$A$2479, ROW('C'!$A$1:$A$2479) -
ROW('C'!$A$2) + 2), ROW(1:1))),"")</f>
        <v>CKAWEESA</v>
      </c>
      <c r="D46" s="553" t="str">
        <f t="array" ref="D46">IFERROR(INDEX('C'!$B$1:$B$2479, SMALL(IF($B$46 = 'C'!$A$1:$A$2479, ROW('C'!$A$1:$A$2479) -
ROW('C'!$A$2) + 2), ROW(1:1))),"")</f>
        <v>WTM</v>
      </c>
      <c r="E46" s="561">
        <f t="shared" ref="E46:E62" si="4">F46/$F$172</f>
        <v>2.6030823420388058E-3</v>
      </c>
      <c r="F46" s="555">
        <f>SUMIF('Global Portfolio'!$N$2:$N$2500,'General Porfolio'!C46,'Global Portfolio'!$E$2:$E$2500)</f>
        <v>43122545.950000003</v>
      </c>
      <c r="G46" s="553">
        <f>IF('General Porfolio'!C46="",0,COUNTIF('Global Portfolio'!$N$2:$N$2500,'General Porfolio'!C46))</f>
        <v>13</v>
      </c>
      <c r="H46" s="556">
        <f>IF(OR($C$11:$C$167="",ISERROR(VLOOKUP($C46,'PIVOT TABLE GLOBAL'!$A$4:$F$2500,3,FALSE))),"",VLOOKUP($C46,'PIVOT TABLE GLOBAL'!$A$4:$F$2500,3,FALSE)/F46)</f>
        <v>0.4747406596479028</v>
      </c>
      <c r="I46" s="562">
        <f>IF(OR($C$11:$C$167="",ISERROR(VLOOKUP($C46,'PIVOT TABLE GLOBAL'!$A$4:$G$2500,7,FALSE))),"",VLOOKUP($C46,'PIVOT TABLE GLOBAL'!$A$4:$G$2500,7,FALSE))</f>
        <v>2</v>
      </c>
      <c r="J46" s="558">
        <f>IF(OR($C$11:$C$167="",ISERROR(VLOOKUP($C46,'PIVOT TABLE GLOBAL'!$A$4:$F$2500,4,FALSE))),"",VLOOKUP($C46,'PIVOT TABLE GLOBAL'!$A$4:$F$2500,4,FALSE)/F46)</f>
        <v>0</v>
      </c>
      <c r="K46" s="553">
        <f>IF(OR($C$11:$C$167="",ISERROR(VLOOKUP($C46,'PIVOT TABLE GLOBAL'!$A$4:$H$2500,8,FALSE))),"",VLOOKUP($C46,'PIVOT TABLE GLOBAL'!$A$4:$H$2500,8,FALSE))</f>
        <v>0</v>
      </c>
      <c r="L46" s="559" t="str">
        <f>IFERROR(IF(I46/G46*100&gt;=30,"STOP",IF(AND(I46/G46*100&gt;=15,I46/G46*100&lt;30),"WATCH","NORMAL")),"")</f>
        <v>WATCH</v>
      </c>
    </row>
    <row r="47" spans="1:12" s="71" customFormat="1" ht="15" customHeight="1" x14ac:dyDescent="0.25">
      <c r="A47" s="853"/>
      <c r="B47" s="861"/>
      <c r="C47" s="82" t="str">
        <f t="array" ref="C47">IFERROR(INDEX('C'!$C$1:$C$2479, SMALL(IF($B$46 = 'C'!$A$1:$A$2479, ROW('C'!$A$1:$A$2479) -
ROW('C'!$A$2) + 2), ROW(2:2))),"")</f>
        <v>DONGODIA</v>
      </c>
      <c r="D47" s="553" t="str">
        <f t="array" ref="D47">IFERROR(INDEX('C'!$B$1:$B$2479, SMALL(IF($B$46 = 'C'!$A$1:$A$2479, ROW('C'!$A$1:$A$2479) -
ROW('C'!$A$2) + 2), ROW(3:3))),"")</f>
        <v>WTM</v>
      </c>
      <c r="E47" s="561">
        <f t="shared" si="4"/>
        <v>2.0504701977053529E-3</v>
      </c>
      <c r="F47" s="555">
        <f>SUMIF('Global Portfolio'!$N$2:$N$2500,'General Porfolio'!C47,'Global Portfolio'!$E$2:$E$2500)</f>
        <v>33967997.820000008</v>
      </c>
      <c r="G47" s="553">
        <f>IF('General Porfolio'!C47="",0,COUNTIF('Global Portfolio'!$N$2:$N$2500,'General Porfolio'!C47))</f>
        <v>8</v>
      </c>
      <c r="H47" s="560">
        <f>IF(OR($C$11:$C$167="",ISERROR(VLOOKUP($C47,'PIVOT TABLE GLOBAL'!$A$4:$F$2500,3,FALSE))),"",VLOOKUP($C47,'PIVOT TABLE GLOBAL'!$A$4:$F$2500,3,FALSE)/F47)</f>
        <v>9.4529910682854573E-2</v>
      </c>
      <c r="I47" s="563">
        <f>IF(OR($C$11:$C$167="",ISERROR(VLOOKUP($C47,'PIVOT TABLE GLOBAL'!$A$4:$G$2500,7,FALSE))),"",VLOOKUP($C47,'PIVOT TABLE GLOBAL'!$A$4:$G$2500,7,FALSE))</f>
        <v>2</v>
      </c>
      <c r="J47" s="558">
        <f>IF(OR($C$11:$C$167="",ISERROR(VLOOKUP($C47,'PIVOT TABLE GLOBAL'!$A$4:$F$2500,4,FALSE))),"",VLOOKUP($C47,'PIVOT TABLE GLOBAL'!$A$4:$F$2500,4,FALSE)/F47)</f>
        <v>5.6127222455173827E-2</v>
      </c>
      <c r="K47" s="553">
        <f>IF(OR($C$11:$C$167="",ISERROR(VLOOKUP($C47,'PIVOT TABLE GLOBAL'!$A$4:$H$2500,8,FALSE))),"",VLOOKUP($C47,'PIVOT TABLE GLOBAL'!$A$4:$H$2500,8,FALSE))</f>
        <v>1</v>
      </c>
      <c r="L47" s="559" t="str">
        <f t="shared" ref="L47:L62" si="5">IFERROR(IF(I47/G47*100&gt;=30,"STOP",IF(AND(I47/G47*100&gt;=15,I47/G47*100&lt;30),"WATCH","NORMAL")),"")</f>
        <v>WATCH</v>
      </c>
    </row>
    <row r="48" spans="1:12" s="71" customFormat="1" ht="15" customHeight="1" x14ac:dyDescent="0.25">
      <c r="A48" s="853"/>
      <c r="B48" s="861"/>
      <c r="C48" s="82" t="str">
        <f t="array" ref="C48">IFERROR(INDEX('C'!$C$1:$C$2479, SMALL(IF($B$46 = 'C'!$A$1:$A$2479, ROW('C'!$A$1:$A$2479) -
ROW('C'!$A$2) + 2), ROW(3:3))),"")</f>
        <v>EMUBAJE</v>
      </c>
      <c r="D48" s="553" t="str">
        <f t="array" ref="D48">IFERROR(INDEX('C'!$B$1:$B$2479, SMALL(IF($B$46 = 'C'!$A$1:$A$2479, ROW('C'!$A$1:$A$2479) -
ROW('C'!$A$2) + 2), ROW(4:4))),"")</f>
        <v>WTM</v>
      </c>
      <c r="E48" s="561">
        <f t="shared" si="4"/>
        <v>4.6890413441157503E-3</v>
      </c>
      <c r="F48" s="555">
        <f>SUMIF('Global Portfolio'!$N$2:$N$2500,'General Porfolio'!C48,'Global Portfolio'!$E$2:$E$2500)</f>
        <v>77678449.719999999</v>
      </c>
      <c r="G48" s="553">
        <f>IF('General Porfolio'!C48="",0,COUNTIF('Global Portfolio'!$N$2:$N$2500,'General Porfolio'!C48))</f>
        <v>18</v>
      </c>
      <c r="H48" s="560">
        <f>IF(OR($C$11:$C$167="",ISERROR(VLOOKUP($C48,'PIVOT TABLE GLOBAL'!$A$4:$F$2500,3,FALSE))),"",VLOOKUP($C48,'PIVOT TABLE GLOBAL'!$A$4:$F$2500,3,FALSE)/F48)</f>
        <v>0.10981633182367276</v>
      </c>
      <c r="I48" s="563">
        <f>IF(OR($C$11:$C$167="",ISERROR(VLOOKUP($C48,'PIVOT TABLE GLOBAL'!$A$4:$G$2500,7,FALSE))),"",VLOOKUP($C48,'PIVOT TABLE GLOBAL'!$A$4:$G$2500,7,FALSE))</f>
        <v>3</v>
      </c>
      <c r="J48" s="558">
        <f>IF(OR($C$11:$C$167="",ISERROR(VLOOKUP($C48,'PIVOT TABLE GLOBAL'!$A$4:$F$2500,4,FALSE))),"",VLOOKUP($C48,'PIVOT TABLE GLOBAL'!$A$4:$F$2500,4,FALSE)/F48)</f>
        <v>0</v>
      </c>
      <c r="K48" s="553">
        <f>IF(OR($C$11:$C$167="",ISERROR(VLOOKUP($C48,'PIVOT TABLE GLOBAL'!$A$4:$H$2500,8,FALSE))),"",VLOOKUP($C48,'PIVOT TABLE GLOBAL'!$A$4:$H$2500,8,FALSE))</f>
        <v>0</v>
      </c>
      <c r="L48" s="559" t="str">
        <f t="shared" si="5"/>
        <v>WATCH</v>
      </c>
    </row>
    <row r="49" spans="1:12" s="71" customFormat="1" ht="15" customHeight="1" x14ac:dyDescent="0.25">
      <c r="A49" s="853"/>
      <c r="B49" s="861"/>
      <c r="C49" s="82" t="str">
        <f t="array" ref="C49">IFERROR(INDEX('C'!$C$1:$C$2479, SMALL(IF($B$46 = 'C'!$A$1:$A$2479, ROW('C'!$A$1:$A$2479) -
ROW('C'!$A$2) + 2), ROW(4:4))),"")</f>
        <v>FMUZANIRABANDI</v>
      </c>
      <c r="D49" s="553" t="str">
        <f t="array" ref="D49">IFERROR(INDEX('C'!$B$1:$B$2479, SMALL(IF($B$46 = 'C'!$A$1:$A$2479, ROW('C'!$A$1:$A$2479) -
ROW('C'!$A$2) + 2), ROW(5:5))),"")</f>
        <v>WTM</v>
      </c>
      <c r="E49" s="561">
        <f t="shared" si="4"/>
        <v>3.8529658950731886E-3</v>
      </c>
      <c r="F49" s="555">
        <f>SUMIF('Global Portfolio'!$N$2:$N$2500,'General Porfolio'!C49,'Global Portfolio'!$E$2:$E$2500)</f>
        <v>63828061.129999995</v>
      </c>
      <c r="G49" s="553">
        <f>IF('General Porfolio'!C49="",0,COUNTIF('Global Portfolio'!$N$2:$N$2500,'General Porfolio'!C49))</f>
        <v>5</v>
      </c>
      <c r="H49" s="560">
        <f>IF(OR($C$11:$C$167="",ISERROR(VLOOKUP($C49,'PIVOT TABLE GLOBAL'!$A$4:$F$2500,3,FALSE))),"",VLOOKUP($C49,'PIVOT TABLE GLOBAL'!$A$4:$F$2500,3,FALSE)/F49)</f>
        <v>0.19875269709606486</v>
      </c>
      <c r="I49" s="563">
        <f>IF(OR($C$11:$C$167="",ISERROR(VLOOKUP($C49,'PIVOT TABLE GLOBAL'!$A$4:$G$2500,7,FALSE))),"",VLOOKUP($C49,'PIVOT TABLE GLOBAL'!$A$4:$G$2500,7,FALSE))</f>
        <v>1</v>
      </c>
      <c r="J49" s="558">
        <f>IF(OR($C$11:$C$167="",ISERROR(VLOOKUP($C49,'PIVOT TABLE GLOBAL'!$A$4:$F$2500,4,FALSE))),"",VLOOKUP($C49,'PIVOT TABLE GLOBAL'!$A$4:$F$2500,4,FALSE)/F49)</f>
        <v>0</v>
      </c>
      <c r="K49" s="553">
        <f>IF(OR($C$11:$C$167="",ISERROR(VLOOKUP($C49,'PIVOT TABLE GLOBAL'!$A$4:$H$2500,8,FALSE))),"",VLOOKUP($C49,'PIVOT TABLE GLOBAL'!$A$4:$H$2500,8,FALSE))</f>
        <v>0</v>
      </c>
      <c r="L49" s="559" t="str">
        <f t="shared" si="5"/>
        <v>WATCH</v>
      </c>
    </row>
    <row r="50" spans="1:12" s="71" customFormat="1" ht="18" customHeight="1" thickBot="1" x14ac:dyDescent="0.3">
      <c r="A50" s="853"/>
      <c r="B50" s="861"/>
      <c r="C50" s="82" t="str">
        <f t="array" ref="C50">IFERROR(INDEX('C'!$C$1:$C$2479, SMALL(IF($B$46 = 'C'!$A$1:$A$2479, ROW('C'!$A$1:$A$2479) -
ROW('C'!$A$2) + 2), ROW(5:5))),"")</f>
        <v>TKUSHEMERERWA</v>
      </c>
      <c r="D50" s="553" t="str">
        <f t="array" ref="D50">IFERROR(INDEX('C'!$B$1:$B$2479, SMALL(IF($B$46 = 'C'!$A$1:$A$2479, ROW('C'!$A$1:$A$2479) -
ROW('C'!$A$2) + 2), ROW(6:6))),"")</f>
        <v/>
      </c>
      <c r="E50" s="561">
        <f t="shared" si="4"/>
        <v>9.7258103577208606E-4</v>
      </c>
      <c r="F50" s="555">
        <f>SUMIF('Global Portfolio'!$N$2:$N$2500,'General Porfolio'!C50,'Global Portfolio'!$E$2:$E$2500)</f>
        <v>16111734.050000001</v>
      </c>
      <c r="G50" s="553">
        <f>IF('General Porfolio'!C50="",0,COUNTIF('Global Portfolio'!$N$2:$N$2500,'General Porfolio'!C50))</f>
        <v>4</v>
      </c>
      <c r="H50" s="560">
        <f>IF(OR($C$11:$C$167="",ISERROR(VLOOKUP($C50,'PIVOT TABLE GLOBAL'!$A$4:$F$2500,3,FALSE))),"",VLOOKUP($C50,'PIVOT TABLE GLOBAL'!$A$4:$F$2500,3,FALSE)/F50)</f>
        <v>0</v>
      </c>
      <c r="I50" s="563">
        <f>IF(OR($C$11:$C$167="",ISERROR(VLOOKUP($C50,'PIVOT TABLE GLOBAL'!$A$4:$G$2500,7,FALSE))),"",VLOOKUP($C50,'PIVOT TABLE GLOBAL'!$A$4:$G$2500,7,FALSE))</f>
        <v>0</v>
      </c>
      <c r="J50" s="558">
        <f>IF(OR($C$11:$C$167="",ISERROR(VLOOKUP($C50,'PIVOT TABLE GLOBAL'!$A$4:$F$2500,4,FALSE))),"",VLOOKUP($C50,'PIVOT TABLE GLOBAL'!$A$4:$F$2500,4,FALSE)/F50)</f>
        <v>0</v>
      </c>
      <c r="K50" s="553">
        <f>IF(OR($C$11:$C$167="",ISERROR(VLOOKUP($C50,'PIVOT TABLE GLOBAL'!$A$4:$H$2500,8,FALSE))),"",VLOOKUP($C50,'PIVOT TABLE GLOBAL'!$A$4:$H$2500,8,FALSE))</f>
        <v>0</v>
      </c>
      <c r="L50" s="559" t="str">
        <f t="shared" si="5"/>
        <v>NORMAL</v>
      </c>
    </row>
    <row r="51" spans="1:12" s="71" customFormat="1" ht="15.6" hidden="1" thickBot="1" x14ac:dyDescent="0.3">
      <c r="A51" s="853"/>
      <c r="B51" s="861"/>
      <c r="C51" s="82" t="str">
        <f t="array" ref="C51">IFERROR(INDEX('C'!$C$1:$C$2479, SMALL(IF($B$46 = 'C'!$A$1:$A$2479, ROW('C'!$A$1:$A$2479) -
ROW('C'!$A$2) + 2), ROW(6:6))),"")</f>
        <v/>
      </c>
      <c r="D51" s="553" t="str">
        <f t="array" ref="D51">IFERROR(INDEX('C'!$B$1:$B$2479, SMALL(IF($B$46 = 'C'!$A$1:$A$2479, ROW('C'!$A$1:$A$2479) -
ROW('C'!$A$2) + 2), ROW(7:7))),"")</f>
        <v/>
      </c>
      <c r="E51" s="561">
        <f t="shared" si="4"/>
        <v>0</v>
      </c>
      <c r="F51" s="555">
        <f>SUMIF('Global Portfolio'!$N$2:$N$2500,'General Porfolio'!C51,'Global Portfolio'!$E$2:$E$2500)</f>
        <v>0</v>
      </c>
      <c r="G51" s="553">
        <f>IF('General Porfolio'!C51="",0,COUNTIF('Global Portfolio'!$N$2:$N$2500,'General Porfolio'!C51))</f>
        <v>0</v>
      </c>
      <c r="H51" s="560" t="str">
        <f>IF(OR($C$11:$C$167="",ISERROR(VLOOKUP($C51,'PIVOT TABLE GLOBAL'!$A$4:$F$2500,3,FALSE))),"",VLOOKUP($C51,'PIVOT TABLE GLOBAL'!$A$4:$F$2500,3,FALSE)/F51)</f>
        <v/>
      </c>
      <c r="I51" s="563" t="str">
        <f>IF(OR($C$11:$C$167="",ISERROR(VLOOKUP($C51,'PIVOT TABLE GLOBAL'!$A$4:$G$2500,7,FALSE))),"",VLOOKUP($C51,'PIVOT TABLE GLOBAL'!$A$4:$G$2500,7,FALSE))</f>
        <v/>
      </c>
      <c r="J51" s="558" t="str">
        <f>IF(OR($C$11:$C$167="",ISERROR(VLOOKUP($C51,'PIVOT TABLE GLOBAL'!$A$4:$F$2500,4,FALSE))),"",VLOOKUP($C51,'PIVOT TABLE GLOBAL'!$A$4:$F$2500,4,FALSE)/F51)</f>
        <v/>
      </c>
      <c r="K51" s="553" t="str">
        <f>IF(OR($C$11:$C$167="",ISERROR(VLOOKUP($C51,'PIVOT TABLE GLOBAL'!$A$4:$H$2500,8,FALSE))),"",VLOOKUP($C51,'PIVOT TABLE GLOBAL'!$A$4:$H$2500,8,FALSE))</f>
        <v/>
      </c>
      <c r="L51" s="559" t="str">
        <f t="shared" si="5"/>
        <v/>
      </c>
    </row>
    <row r="52" spans="1:12" s="71" customFormat="1" ht="15.6" hidden="1" thickBot="1" x14ac:dyDescent="0.3">
      <c r="A52" s="853"/>
      <c r="B52" s="861"/>
      <c r="C52" s="82" t="str">
        <f t="array" ref="C52">IFERROR(INDEX('C'!$C$1:$C$2479, SMALL(IF($B$46 = 'C'!$A$1:$A$2479, ROW('C'!$A$1:$A$2479) -
ROW('C'!$A$2) + 2), ROW(7:7))),"")</f>
        <v/>
      </c>
      <c r="D52" s="553" t="str">
        <f t="array" ref="D52">IFERROR(INDEX('C'!$B$1:$B$2479, SMALL(IF($B$46 = 'C'!$A$1:$A$2479, ROW('C'!$A$1:$A$2479) -
ROW('C'!$A$2) + 2), ROW(8:8))),"")</f>
        <v/>
      </c>
      <c r="E52" s="561">
        <f t="shared" si="4"/>
        <v>0</v>
      </c>
      <c r="F52" s="555">
        <f>SUMIF('Global Portfolio'!$N$2:$N$2500,'General Porfolio'!C52,'Global Portfolio'!$E$2:$E$2500)</f>
        <v>0</v>
      </c>
      <c r="G52" s="553">
        <f>IF('General Porfolio'!C52="",0,COUNTIF('Global Portfolio'!$N$2:$N$2500,'General Porfolio'!C52))</f>
        <v>0</v>
      </c>
      <c r="H52" s="560" t="str">
        <f>IF(OR($C$11:$C$167="",ISERROR(VLOOKUP($C52,'PIVOT TABLE GLOBAL'!$A$4:$F$2500,3,FALSE))),"",VLOOKUP($C52,'PIVOT TABLE GLOBAL'!$A$4:$F$2500,3,FALSE)/F52)</f>
        <v/>
      </c>
      <c r="I52" s="563" t="str">
        <f>IF(OR($C$11:$C$167="",ISERROR(VLOOKUP($C52,'PIVOT TABLE GLOBAL'!$A$4:$G$2500,7,FALSE))),"",VLOOKUP($C52,'PIVOT TABLE GLOBAL'!$A$4:$G$2500,7,FALSE))</f>
        <v/>
      </c>
      <c r="J52" s="558" t="str">
        <f>IF(OR($C$11:$C$167="",ISERROR(VLOOKUP($C52,'PIVOT TABLE GLOBAL'!$A$4:$F$2500,4,FALSE))),"",VLOOKUP($C52,'PIVOT TABLE GLOBAL'!$A$4:$F$2500,4,FALSE)/F52)</f>
        <v/>
      </c>
      <c r="K52" s="553" t="str">
        <f>IF(OR($C$11:$C$167="",ISERROR(VLOOKUP($C52,'PIVOT TABLE GLOBAL'!$A$4:$H$2500,8,FALSE))),"",VLOOKUP($C52,'PIVOT TABLE GLOBAL'!$A$4:$H$2500,8,FALSE))</f>
        <v/>
      </c>
      <c r="L52" s="559" t="str">
        <f t="shared" si="5"/>
        <v/>
      </c>
    </row>
    <row r="53" spans="1:12" s="71" customFormat="1" ht="15" hidden="1" x14ac:dyDescent="0.25">
      <c r="A53" s="853"/>
      <c r="B53" s="861"/>
      <c r="C53" s="82" t="str">
        <f t="array" ref="C53">IFERROR(INDEX('C'!$C$1:$C$2479, SMALL(IF($B$46 = 'C'!$A$1:$A$2479, ROW('C'!$A$1:$A$2479) -
ROW('C'!$A$2) + 2), ROW(8:8))),"")</f>
        <v/>
      </c>
      <c r="D53" s="553" t="str">
        <f t="array" ref="D53">IFERROR(INDEX('C'!$B$1:$B$2479, SMALL(IF($B$46 = 'C'!$A$1:$A$2479, ROW('C'!$A$1:$A$2479) -
ROW('C'!$A$2) + 2), ROW(9:9))),"")</f>
        <v/>
      </c>
      <c r="E53" s="561">
        <f t="shared" si="4"/>
        <v>0</v>
      </c>
      <c r="F53" s="555">
        <f>SUMIF('Global Portfolio'!$N$2:$N$2500,'General Porfolio'!C53,'Global Portfolio'!$E$2:$E$2500)</f>
        <v>0</v>
      </c>
      <c r="G53" s="553">
        <f>IF('General Porfolio'!C53="",0,COUNTIF('Global Portfolio'!$N$2:$N$2500,'General Porfolio'!C53))</f>
        <v>0</v>
      </c>
      <c r="H53" s="560" t="str">
        <f>IF(OR($C$11:$C$167="",ISERROR(VLOOKUP($C53,'PIVOT TABLE GLOBAL'!$A$4:$F$2500,3,FALSE))),"",VLOOKUP($C53,'PIVOT TABLE GLOBAL'!$A$4:$F$2500,3,FALSE)/F53)</f>
        <v/>
      </c>
      <c r="I53" s="563" t="str">
        <f>IF(OR($C$11:$C$167="",ISERROR(VLOOKUP($C53,'PIVOT TABLE GLOBAL'!$A$4:$G$2500,7,FALSE))),"",VLOOKUP($C53,'PIVOT TABLE GLOBAL'!$A$4:$G$2500,7,FALSE))</f>
        <v/>
      </c>
      <c r="J53" s="558" t="str">
        <f>IF(OR($C$11:$C$167="",ISERROR(VLOOKUP($C53,'PIVOT TABLE GLOBAL'!$A$4:$F$2500,4,FALSE))),"",VLOOKUP($C53,'PIVOT TABLE GLOBAL'!$A$4:$F$2500,4,FALSE)/F53)</f>
        <v/>
      </c>
      <c r="K53" s="553" t="str">
        <f>IF(OR($C$11:$C$167="",ISERROR(VLOOKUP($C53,'PIVOT TABLE GLOBAL'!$A$4:$H$2500,8,FALSE))),"",VLOOKUP($C53,'PIVOT TABLE GLOBAL'!$A$4:$H$2500,8,FALSE))</f>
        <v/>
      </c>
      <c r="L53" s="559" t="str">
        <f t="shared" si="5"/>
        <v/>
      </c>
    </row>
    <row r="54" spans="1:12" s="71" customFormat="1" ht="15" hidden="1" x14ac:dyDescent="0.25">
      <c r="A54" s="853"/>
      <c r="B54" s="861"/>
      <c r="C54" s="82" t="str">
        <f t="array" ref="C54">IFERROR(INDEX('C'!$C$1:$C$2479, SMALL(IF($B$46 = 'C'!$A$1:$A$2479, ROW('C'!$A$1:$A$2479) -
ROW('C'!$A$2) + 2), ROW(9:9))),"")</f>
        <v/>
      </c>
      <c r="D54" s="553" t="str">
        <f t="array" ref="D54">IFERROR(INDEX('C'!$B$1:$B$2479, SMALL(IF($B$46 = 'C'!$A$1:$A$2479, ROW('C'!$A$1:$A$2479) -
ROW('C'!$A$2) + 2), ROW(10:10))),"")</f>
        <v/>
      </c>
      <c r="E54" s="561">
        <f t="shared" si="4"/>
        <v>0</v>
      </c>
      <c r="F54" s="555">
        <f>SUMIF('Global Portfolio'!$N$2:$N$2500,'General Porfolio'!C54,'Global Portfolio'!$E$2:$E$2500)</f>
        <v>0</v>
      </c>
      <c r="G54" s="553">
        <f>IF('General Porfolio'!C54="",0,COUNTIF('Global Portfolio'!$N$2:$N$2500,'General Porfolio'!C54))</f>
        <v>0</v>
      </c>
      <c r="H54" s="560" t="str">
        <f>IF(OR($C$11:$C$167="",ISERROR(VLOOKUP($C54,'PIVOT TABLE GLOBAL'!$A$4:$F$2500,3,FALSE))),"",VLOOKUP($C54,'PIVOT TABLE GLOBAL'!$A$4:$F$2500,3,FALSE)/F54)</f>
        <v/>
      </c>
      <c r="I54" s="563" t="str">
        <f>IF(OR($C$11:$C$167="",ISERROR(VLOOKUP($C54,'PIVOT TABLE GLOBAL'!$A$4:$G$2500,7,FALSE))),"",VLOOKUP($C54,'PIVOT TABLE GLOBAL'!$A$4:$G$2500,7,FALSE))</f>
        <v/>
      </c>
      <c r="J54" s="558" t="str">
        <f>IF(OR($C$11:$C$167="",ISERROR(VLOOKUP($C54,'PIVOT TABLE GLOBAL'!$A$4:$F$2500,4,FALSE))),"",VLOOKUP($C54,'PIVOT TABLE GLOBAL'!$A$4:$F$2500,4,FALSE)/F54)</f>
        <v/>
      </c>
      <c r="K54" s="553" t="str">
        <f>IF(OR($C$11:$C$167="",ISERROR(VLOOKUP($C54,'PIVOT TABLE GLOBAL'!$A$4:$H$2500,8,FALSE))),"",VLOOKUP($C54,'PIVOT TABLE GLOBAL'!$A$4:$H$2500,8,FALSE))</f>
        <v/>
      </c>
      <c r="L54" s="559" t="str">
        <f t="shared" si="5"/>
        <v/>
      </c>
    </row>
    <row r="55" spans="1:12" s="71" customFormat="1" ht="15" hidden="1" x14ac:dyDescent="0.25">
      <c r="A55" s="853"/>
      <c r="B55" s="861"/>
      <c r="C55" s="82" t="str">
        <f t="array" ref="C55">IFERROR(INDEX('C'!$C$1:$C$2479, SMALL(IF($B$46 = 'C'!$A$1:$A$2479, ROW('C'!$A$1:$A$2479) -
ROW('C'!$A$2) + 2), ROW(10:10))),"")</f>
        <v/>
      </c>
      <c r="D55" s="553" t="str">
        <f t="array" ref="D55">IFERROR(INDEX('C'!$B$1:$B$2479, SMALL(IF($B$46 = 'C'!$A$1:$A$2479, ROW('C'!$A$1:$A$2479) -
ROW('C'!$A$2) + 2), ROW(11:11))),"")</f>
        <v/>
      </c>
      <c r="E55" s="561">
        <f t="shared" si="4"/>
        <v>0</v>
      </c>
      <c r="F55" s="555">
        <f>SUMIF('Global Portfolio'!$N$2:$N$2500,'General Porfolio'!C55,'Global Portfolio'!$E$2:$E$2500)</f>
        <v>0</v>
      </c>
      <c r="G55" s="553">
        <f>IF('General Porfolio'!C55="",0,COUNTIF('Global Portfolio'!$N$2:$N$2500,'General Porfolio'!C55))</f>
        <v>0</v>
      </c>
      <c r="H55" s="560" t="str">
        <f>IF(OR($C$11:$C$167="",ISERROR(VLOOKUP($C55,'PIVOT TABLE GLOBAL'!$A$4:$F$2500,3,FALSE))),"",VLOOKUP($C55,'PIVOT TABLE GLOBAL'!$A$4:$F$2500,3,FALSE)/F55)</f>
        <v/>
      </c>
      <c r="I55" s="563" t="str">
        <f>IF(OR($C$11:$C$167="",ISERROR(VLOOKUP($C55,'PIVOT TABLE GLOBAL'!$A$4:$G$2500,7,FALSE))),"",VLOOKUP($C55,'PIVOT TABLE GLOBAL'!$A$4:$G$2500,7,FALSE))</f>
        <v/>
      </c>
      <c r="J55" s="558" t="str">
        <f>IF(OR($C$11:$C$167="",ISERROR(VLOOKUP($C55,'PIVOT TABLE GLOBAL'!$A$4:$F$2500,4,FALSE))),"",VLOOKUP($C55,'PIVOT TABLE GLOBAL'!$A$4:$F$2500,4,FALSE)/F55)</f>
        <v/>
      </c>
      <c r="K55" s="553" t="str">
        <f>IF(OR($C$11:$C$167="",ISERROR(VLOOKUP($C55,'PIVOT TABLE GLOBAL'!$A$4:$H$2500,8,FALSE))),"",VLOOKUP($C55,'PIVOT TABLE GLOBAL'!$A$4:$H$2500,8,FALSE))</f>
        <v/>
      </c>
      <c r="L55" s="559" t="str">
        <f t="shared" si="5"/>
        <v/>
      </c>
    </row>
    <row r="56" spans="1:12" s="71" customFormat="1" ht="15" hidden="1" x14ac:dyDescent="0.25">
      <c r="A56" s="853"/>
      <c r="B56" s="861"/>
      <c r="C56" s="82" t="str">
        <f t="array" ref="C56">IFERROR(INDEX('C'!$C$1:$C$2479, SMALL(IF($B$46 = 'C'!$A$1:$A$2479, ROW('C'!$A$1:$A$2479) -
ROW('C'!$A$2) + 2), ROW(11:11))),"")</f>
        <v/>
      </c>
      <c r="D56" s="553" t="str">
        <f t="array" ref="D56">IFERROR(INDEX('C'!$B$1:$B$2479, SMALL(IF($B$46 = 'C'!$A$1:$A$2479, ROW('C'!$A$1:$A$2479) -
ROW('C'!$A$2) + 2), ROW(12:12))),"")</f>
        <v/>
      </c>
      <c r="E56" s="561">
        <f t="shared" si="4"/>
        <v>0</v>
      </c>
      <c r="F56" s="555">
        <f>SUMIF('Global Portfolio'!$N$2:$N$2500,'General Porfolio'!C56,'Global Portfolio'!$E$2:$E$2500)</f>
        <v>0</v>
      </c>
      <c r="G56" s="553">
        <f>IF('General Porfolio'!C56="",0,COUNTIF('Global Portfolio'!$N$2:$N$2500,'General Porfolio'!C56))</f>
        <v>0</v>
      </c>
      <c r="H56" s="560" t="str">
        <f>IF(OR($C$11:$C$167="",ISERROR(VLOOKUP($C56,'PIVOT TABLE GLOBAL'!$A$4:$F$2500,3,FALSE))),"",VLOOKUP($C56,'PIVOT TABLE GLOBAL'!$A$4:$F$2500,3,FALSE)/F56)</f>
        <v/>
      </c>
      <c r="I56" s="563" t="str">
        <f>IF(OR($C$11:$C$167="",ISERROR(VLOOKUP($C56,'PIVOT TABLE GLOBAL'!$A$4:$G$2500,7,FALSE))),"",VLOOKUP($C56,'PIVOT TABLE GLOBAL'!$A$4:$G$2500,7,FALSE))</f>
        <v/>
      </c>
      <c r="J56" s="558" t="str">
        <f>IF(OR($C$11:$C$167="",ISERROR(VLOOKUP($C56,'PIVOT TABLE GLOBAL'!$A$4:$F$2500,4,FALSE))),"",VLOOKUP($C56,'PIVOT TABLE GLOBAL'!$A$4:$F$2500,4,FALSE)/F56)</f>
        <v/>
      </c>
      <c r="K56" s="553" t="str">
        <f>IF(OR($C$11:$C$167="",ISERROR(VLOOKUP($C56,'PIVOT TABLE GLOBAL'!$A$4:$H$2500,8,FALSE))),"",VLOOKUP($C56,'PIVOT TABLE GLOBAL'!$A$4:$H$2500,8,FALSE))</f>
        <v/>
      </c>
      <c r="L56" s="559" t="str">
        <f t="shared" si="5"/>
        <v/>
      </c>
    </row>
    <row r="57" spans="1:12" s="71" customFormat="1" ht="15" hidden="1" x14ac:dyDescent="0.25">
      <c r="A57" s="853"/>
      <c r="B57" s="861"/>
      <c r="C57" s="82" t="str">
        <f t="array" ref="C57">IFERROR(INDEX('C'!$C$1:$C$2479, SMALL(IF($B$46 = 'C'!$A$1:$A$2479, ROW('C'!$A$1:$A$2479) -
ROW('C'!$A$2) + 2), ROW(12:12))),"")</f>
        <v/>
      </c>
      <c r="D57" s="553" t="str">
        <f t="array" ref="D57">IFERROR(INDEX('C'!$B$1:$B$2479, SMALL(IF($B$46 = 'C'!$A$1:$A$2479, ROW('C'!$A$1:$A$2479) -
ROW('C'!$A$2) + 2), ROW(13:13))),"")</f>
        <v/>
      </c>
      <c r="E57" s="561">
        <f t="shared" si="4"/>
        <v>0</v>
      </c>
      <c r="F57" s="555">
        <f>SUMIF('Global Portfolio'!$N$2:$N$2500,'General Porfolio'!C57,'Global Portfolio'!$E$2:$E$2500)</f>
        <v>0</v>
      </c>
      <c r="G57" s="553">
        <f>IF('General Porfolio'!C57="",0,COUNTIF('Global Portfolio'!$N$2:$N$2500,'General Porfolio'!C57))</f>
        <v>0</v>
      </c>
      <c r="H57" s="560" t="str">
        <f>IF(OR($C$11:$C$167="",ISERROR(VLOOKUP($C57,'PIVOT TABLE GLOBAL'!$A$4:$F$2500,3,FALSE))),"",VLOOKUP($C57,'PIVOT TABLE GLOBAL'!$A$4:$F$2500,3,FALSE)/F57)</f>
        <v/>
      </c>
      <c r="I57" s="563" t="str">
        <f>IF(OR($C$11:$C$167="",ISERROR(VLOOKUP($C57,'PIVOT TABLE GLOBAL'!$A$4:$G$2500,7,FALSE))),"",VLOOKUP($C57,'PIVOT TABLE GLOBAL'!$A$4:$G$2500,7,FALSE))</f>
        <v/>
      </c>
      <c r="J57" s="558" t="str">
        <f>IF(OR($C$11:$C$167="",ISERROR(VLOOKUP($C57,'PIVOT TABLE GLOBAL'!$A$4:$F$2500,4,FALSE))),"",VLOOKUP($C57,'PIVOT TABLE GLOBAL'!$A$4:$F$2500,4,FALSE)/F57)</f>
        <v/>
      </c>
      <c r="K57" s="553" t="str">
        <f>IF(OR($C$11:$C$167="",ISERROR(VLOOKUP($C57,'PIVOT TABLE GLOBAL'!$A$4:$H$2500,8,FALSE))),"",VLOOKUP($C57,'PIVOT TABLE GLOBAL'!$A$4:$H$2500,8,FALSE))</f>
        <v/>
      </c>
      <c r="L57" s="559" t="str">
        <f t="shared" si="5"/>
        <v/>
      </c>
    </row>
    <row r="58" spans="1:12" s="71" customFormat="1" ht="15" hidden="1" x14ac:dyDescent="0.25">
      <c r="A58" s="853"/>
      <c r="B58" s="861"/>
      <c r="C58" s="82" t="str">
        <f t="array" ref="C58">IFERROR(INDEX('C'!$C$1:$C$2479, SMALL(IF($B$46 = 'C'!$A$1:$A$2479, ROW('C'!$A$1:$A$2479) -
ROW('C'!$A$2) + 2), ROW(13:13))),"")</f>
        <v/>
      </c>
      <c r="D58" s="553" t="str">
        <f t="array" ref="D58">IFERROR(INDEX('C'!$B$1:$B$2479, SMALL(IF($B$46 = 'C'!$A$1:$A$2479, ROW('C'!$A$1:$A$2479) -
ROW('C'!$A$2) + 2), ROW(14:14))),"")</f>
        <v/>
      </c>
      <c r="E58" s="561">
        <f t="shared" si="4"/>
        <v>0</v>
      </c>
      <c r="F58" s="555">
        <f>SUMIF('Global Portfolio'!$N$2:$N$2500,'General Porfolio'!C58,'Global Portfolio'!$E$2:$E$2500)</f>
        <v>0</v>
      </c>
      <c r="G58" s="553">
        <f>IF('General Porfolio'!C58="",0,COUNTIF('Global Portfolio'!$N$2:$N$2500,'General Porfolio'!C58))</f>
        <v>0</v>
      </c>
      <c r="H58" s="560" t="str">
        <f>IF(OR($C$11:$C$167="",ISERROR(VLOOKUP($C58,'PIVOT TABLE GLOBAL'!$A$4:$F$2500,3,FALSE))),"",VLOOKUP($C58,'PIVOT TABLE GLOBAL'!$A$4:$F$2500,3,FALSE)/F58)</f>
        <v/>
      </c>
      <c r="I58" s="563" t="str">
        <f>IF(OR($C$11:$C$167="",ISERROR(VLOOKUP($C58,'PIVOT TABLE GLOBAL'!$A$4:$G$2500,7,FALSE))),"",VLOOKUP($C58,'PIVOT TABLE GLOBAL'!$A$4:$G$2500,7,FALSE))</f>
        <v/>
      </c>
      <c r="J58" s="558" t="str">
        <f>IF(OR($C$11:$C$167="",ISERROR(VLOOKUP($C58,'PIVOT TABLE GLOBAL'!$A$4:$F$2500,4,FALSE))),"",VLOOKUP($C58,'PIVOT TABLE GLOBAL'!$A$4:$F$2500,4,FALSE)/F58)</f>
        <v/>
      </c>
      <c r="K58" s="553" t="str">
        <f>IF(OR($C$11:$C$167="",ISERROR(VLOOKUP($C58,'PIVOT TABLE GLOBAL'!$A$4:$H$2500,8,FALSE))),"",VLOOKUP($C58,'PIVOT TABLE GLOBAL'!$A$4:$H$2500,8,FALSE))</f>
        <v/>
      </c>
      <c r="L58" s="559" t="str">
        <f t="shared" si="5"/>
        <v/>
      </c>
    </row>
    <row r="59" spans="1:12" s="71" customFormat="1" ht="15" hidden="1" x14ac:dyDescent="0.25">
      <c r="A59" s="853"/>
      <c r="B59" s="861"/>
      <c r="C59" s="82" t="str">
        <f t="array" ref="C59">IFERROR(INDEX('C'!$C$1:$C$2479, SMALL(IF($B$46 = 'C'!$A$1:$A$2479, ROW('C'!$A$1:$A$2479) -
ROW('C'!$A$2) + 2), ROW(14:14))),"")</f>
        <v/>
      </c>
      <c r="D59" s="553" t="str">
        <f t="array" ref="D59">IFERROR(INDEX('C'!$B$1:$B$2479, SMALL(IF($B$46 = 'C'!$A$1:$A$2479, ROW('C'!$A$1:$A$2479) -
ROW('C'!$A$2) + 2), ROW(15:15))),"")</f>
        <v/>
      </c>
      <c r="E59" s="561">
        <f t="shared" si="4"/>
        <v>0</v>
      </c>
      <c r="F59" s="555">
        <f>SUMIF('Global Portfolio'!$N$2:$N$2500,'General Porfolio'!C59,'Global Portfolio'!$E$2:$E$2500)</f>
        <v>0</v>
      </c>
      <c r="G59" s="553">
        <f>IF('General Porfolio'!C59="",0,COUNTIF('Global Portfolio'!$N$2:$N$2500,'General Porfolio'!C59))</f>
        <v>0</v>
      </c>
      <c r="H59" s="560" t="str">
        <f>IF(OR($C$11:$C$167="",ISERROR(VLOOKUP($C59,'PIVOT TABLE GLOBAL'!$A$4:$F$2500,3,FALSE))),"",VLOOKUP($C59,'PIVOT TABLE GLOBAL'!$A$4:$F$2500,3,FALSE)/F59)</f>
        <v/>
      </c>
      <c r="I59" s="563" t="str">
        <f>IF(OR($C$11:$C$167="",ISERROR(VLOOKUP($C59,'PIVOT TABLE GLOBAL'!$A$4:$G$2500,7,FALSE))),"",VLOOKUP($C59,'PIVOT TABLE GLOBAL'!$A$4:$G$2500,7,FALSE))</f>
        <v/>
      </c>
      <c r="J59" s="558" t="str">
        <f>IF(OR($C$11:$C$167="",ISERROR(VLOOKUP($C59,'PIVOT TABLE GLOBAL'!$A$4:$F$2500,4,FALSE))),"",VLOOKUP($C59,'PIVOT TABLE GLOBAL'!$A$4:$F$2500,4,FALSE)/F59)</f>
        <v/>
      </c>
      <c r="K59" s="553" t="str">
        <f>IF(OR($C$11:$C$167="",ISERROR(VLOOKUP($C59,'PIVOT TABLE GLOBAL'!$A$4:$H$2500,8,FALSE))),"",VLOOKUP($C59,'PIVOT TABLE GLOBAL'!$A$4:$H$2500,8,FALSE))</f>
        <v/>
      </c>
      <c r="L59" s="559" t="str">
        <f t="shared" si="5"/>
        <v/>
      </c>
    </row>
    <row r="60" spans="1:12" s="71" customFormat="1" ht="15" hidden="1" x14ac:dyDescent="0.25">
      <c r="A60" s="853"/>
      <c r="B60" s="861"/>
      <c r="C60" s="82" t="str">
        <f t="array" ref="C60">IFERROR(INDEX('C'!$C$1:$C$2479, SMALL(IF($B$46 = 'C'!$A$1:$A$2479, ROW('C'!$A$1:$A$2479) -
ROW('C'!$A$2) + 2), ROW(15:15))),"")</f>
        <v/>
      </c>
      <c r="D60" s="553" t="str">
        <f t="array" ref="D60">IFERROR(INDEX('C'!$B$1:$B$2479, SMALL(IF($B$46 = 'C'!$A$1:$A$2479, ROW('C'!$A$1:$A$2479) -
ROW('C'!$A$2) + 2), ROW(16:16))),"")</f>
        <v/>
      </c>
      <c r="E60" s="561">
        <f t="shared" si="4"/>
        <v>0</v>
      </c>
      <c r="F60" s="555">
        <f>SUMIF('Global Portfolio'!$N$2:$N$2500,'General Porfolio'!C60,'Global Portfolio'!$E$2:$E$2500)</f>
        <v>0</v>
      </c>
      <c r="G60" s="553">
        <f>IF('General Porfolio'!C60="",0,COUNTIF('Global Portfolio'!$N$2:$N$2500,'General Porfolio'!C60))</f>
        <v>0</v>
      </c>
      <c r="H60" s="560" t="str">
        <f>IF(OR($C$11:$C$167="",ISERROR(VLOOKUP($C60,'PIVOT TABLE GLOBAL'!$A$4:$F$2500,3,FALSE))),"",VLOOKUP($C60,'PIVOT TABLE GLOBAL'!$A$4:$F$2500,3,FALSE)/F60)</f>
        <v/>
      </c>
      <c r="I60" s="563" t="str">
        <f>IF(OR($C$11:$C$167="",ISERROR(VLOOKUP($C60,'PIVOT TABLE GLOBAL'!$A$4:$G$2500,7,FALSE))),"",VLOOKUP($C60,'PIVOT TABLE GLOBAL'!$A$4:$G$2500,7,FALSE))</f>
        <v/>
      </c>
      <c r="J60" s="558" t="str">
        <f>IF(OR($C$11:$C$167="",ISERROR(VLOOKUP($C60,'PIVOT TABLE GLOBAL'!$A$4:$F$2500,4,FALSE))),"",VLOOKUP($C60,'PIVOT TABLE GLOBAL'!$A$4:$F$2500,4,FALSE)/F60)</f>
        <v/>
      </c>
      <c r="K60" s="553" t="str">
        <f>IF(OR($C$11:$C$167="",ISERROR(VLOOKUP($C60,'PIVOT TABLE GLOBAL'!$A$4:$H$2500,8,FALSE))),"",VLOOKUP($C60,'PIVOT TABLE GLOBAL'!$A$4:$H$2500,8,FALSE))</f>
        <v/>
      </c>
      <c r="L60" s="559" t="str">
        <f t="shared" si="5"/>
        <v/>
      </c>
    </row>
    <row r="61" spans="1:12" s="71" customFormat="1" ht="15" hidden="1" x14ac:dyDescent="0.25">
      <c r="A61" s="853"/>
      <c r="B61" s="861"/>
      <c r="C61" s="82" t="str">
        <f t="array" ref="C61">IFERROR(INDEX('C'!$C$1:$C$2479, SMALL(IF($B$46 = 'C'!$A$1:$A$2479, ROW('C'!$A$1:$A$2479) -
ROW('C'!$A$2) + 2), ROW(16:16))),"")</f>
        <v/>
      </c>
      <c r="D61" s="553" t="str">
        <f t="array" ref="D61">IFERROR(INDEX('C'!$B$1:$B$2479, SMALL(IF($B$46 = 'C'!$A$1:$A$2479, ROW('C'!$A$1:$A$2479) -
ROW('C'!$A$2) + 2), ROW(17:17))),"")</f>
        <v/>
      </c>
      <c r="E61" s="561">
        <f t="shared" si="4"/>
        <v>0</v>
      </c>
      <c r="F61" s="555">
        <f>SUMIF('Global Portfolio'!$N$2:$N$2500,'General Porfolio'!C61,'Global Portfolio'!$E$2:$E$2500)</f>
        <v>0</v>
      </c>
      <c r="G61" s="553">
        <f>IF('General Porfolio'!C61="",0,COUNTIF('Global Portfolio'!$N$2:$N$2500,'General Porfolio'!C61))</f>
        <v>0</v>
      </c>
      <c r="H61" s="560" t="str">
        <f>IF(OR($C$11:$C$167="",ISERROR(VLOOKUP($C61,'PIVOT TABLE GLOBAL'!$A$4:$F$2500,3,FALSE))),"",VLOOKUP($C61,'PIVOT TABLE GLOBAL'!$A$4:$F$2500,3,FALSE)/F61)</f>
        <v/>
      </c>
      <c r="I61" s="563" t="str">
        <f>IF(OR($C$11:$C$167="",ISERROR(VLOOKUP($C61,'PIVOT TABLE GLOBAL'!$A$4:$G$2500,7,FALSE))),"",VLOOKUP($C61,'PIVOT TABLE GLOBAL'!$A$4:$G$2500,7,FALSE))</f>
        <v/>
      </c>
      <c r="J61" s="558" t="str">
        <f>IF(OR($C$11:$C$167="",ISERROR(VLOOKUP($C61,'PIVOT TABLE GLOBAL'!$A$4:$F$2500,4,FALSE))),"",VLOOKUP($C61,'PIVOT TABLE GLOBAL'!$A$4:$F$2500,4,FALSE)/F61)</f>
        <v/>
      </c>
      <c r="K61" s="553" t="str">
        <f>IF(OR($C$11:$C$167="",ISERROR(VLOOKUP($C61,'PIVOT TABLE GLOBAL'!$A$4:$H$2500,8,FALSE))),"",VLOOKUP($C61,'PIVOT TABLE GLOBAL'!$A$4:$H$2500,8,FALSE))</f>
        <v/>
      </c>
      <c r="L61" s="559" t="str">
        <f t="shared" si="5"/>
        <v/>
      </c>
    </row>
    <row r="62" spans="1:12" s="71" customFormat="1" ht="15.6" hidden="1" thickBot="1" x14ac:dyDescent="0.3">
      <c r="A62" s="853"/>
      <c r="B62" s="861"/>
      <c r="C62" s="82" t="str">
        <f t="array" ref="C62">IFERROR(INDEX('C'!$C$1:$C$2479, SMALL(IF($B$46 = 'C'!$A$1:$A$2479, ROW('C'!$A$1:$A$2479) -
ROW('C'!$A$2) + 2), ROW(17:17))),"")</f>
        <v/>
      </c>
      <c r="D62" s="553" t="str">
        <f t="array" ref="D62">IFERROR(INDEX('C'!$B$1:$B$2479, SMALL(IF($B$46 = 'C'!$A$1:$A$2479, ROW('C'!$A$1:$A$2479) -
ROW('C'!$A$2) + 2), ROW(18:18))),"")</f>
        <v/>
      </c>
      <c r="E62" s="561">
        <f t="shared" si="4"/>
        <v>0</v>
      </c>
      <c r="F62" s="555">
        <f>SUMIF('Global Portfolio'!$N$2:$N$2500,'General Porfolio'!C62,'Global Portfolio'!$E$2:$E$2500)</f>
        <v>0</v>
      </c>
      <c r="G62" s="553">
        <f>IF('General Porfolio'!C62="",0,COUNTIF('Global Portfolio'!$N$2:$N$2500,'General Porfolio'!C62))</f>
        <v>0</v>
      </c>
      <c r="H62" s="560" t="str">
        <f>IF(OR($C$11:$C$167="",ISERROR(VLOOKUP($C62,'PIVOT TABLE GLOBAL'!$A$4:$F$2500,3,FALSE))),"",VLOOKUP($C62,'PIVOT TABLE GLOBAL'!$A$4:$F$2500,3,FALSE)/F62)</f>
        <v/>
      </c>
      <c r="I62" s="563" t="str">
        <f>IF(OR($C$11:$C$167="",ISERROR(VLOOKUP($C62,'PIVOT TABLE GLOBAL'!$A$4:$G$2500,7,FALSE))),"",VLOOKUP($C62,'PIVOT TABLE GLOBAL'!$A$4:$G$2500,7,FALSE))</f>
        <v/>
      </c>
      <c r="J62" s="558" t="str">
        <f>IF(OR($C$11:$C$167="",ISERROR(VLOOKUP($C62,'PIVOT TABLE GLOBAL'!$A$4:$F$2500,4,FALSE))),"",VLOOKUP($C62,'PIVOT TABLE GLOBAL'!$A$4:$F$2500,4,FALSE)/F62)</f>
        <v/>
      </c>
      <c r="K62" s="553" t="str">
        <f>IF(OR($C$11:$C$167="",ISERROR(VLOOKUP($C62,'PIVOT TABLE GLOBAL'!$A$4:$H$2500,8,FALSE))),"",VLOOKUP($C62,'PIVOT TABLE GLOBAL'!$A$4:$H$2500,8,FALSE))</f>
        <v/>
      </c>
      <c r="L62" s="559" t="str">
        <f t="shared" si="5"/>
        <v/>
      </c>
    </row>
    <row r="63" spans="1:12" s="71" customFormat="1" ht="17.25" customHeight="1" thickTop="1" thickBot="1" x14ac:dyDescent="0.35">
      <c r="A63" s="853"/>
      <c r="B63" s="296" t="s">
        <v>4824</v>
      </c>
      <c r="C63" s="75">
        <f>COUNTIF(C46:C62,"?*")</f>
        <v>5</v>
      </c>
      <c r="D63" s="114"/>
      <c r="E63" s="357">
        <f>SUBTOTAL(9,E46:E62)</f>
        <v>1.4168140814705184E-2</v>
      </c>
      <c r="F63" s="74">
        <f>SUBTOTAL(9,F46:F62)</f>
        <v>234708788.67000002</v>
      </c>
      <c r="G63" s="75">
        <f>SUBTOTAL(9,G46:G62)</f>
        <v>48</v>
      </c>
      <c r="H63" s="115">
        <f>(IF(OR($C46="",ISERROR(VLOOKUP($C46,'PIVOT TABLE GLOBAL'!$A$4:$F$2500,3,FALSE))),0,VLOOKUP($C46,'PIVOT TABLE GLOBAL'!$A$4:$F$2500,3,FALSE))+IF(OR($C47="",ISERROR(VLOOKUP($C47,'PIVOT TABLE GLOBAL'!$A$4:$F$2500,3,FALSE))),0,VLOOKUP($C47,'PIVOT TABLE GLOBAL'!$A$4:$F$2500,3,FALSE))+IF(OR($C48="",ISERROR(VLOOKUP($C48,'PIVOT TABLE GLOBAL'!$A$4:$F$2500,3,FALSE))),0,VLOOKUP($C48,'PIVOT TABLE GLOBAL'!$A$4:$F$2500,3,FALSE))+IF(OR($C49="",ISERROR(VLOOKUP($C49,'PIVOT TABLE GLOBAL'!$A$4:$F$2500,3,FALSE))),0,VLOOKUP($C49,'PIVOT TABLE GLOBAL'!$A$4:$F$2500,3,FALSE))+IF(OR($C50="",ISERROR(VLOOKUP($C50,'PIVOT TABLE GLOBAL'!$A$4:$F$2500,3,FALSE))),0,VLOOKUP($C50,'PIVOT TABLE GLOBAL'!$A$4:$F$2500,3,FALSE))+IF(OR($C51="",ISERROR(VLOOKUP($C51,'PIVOT TABLE GLOBAL'!$A$4:$F$2500,3,FALSE))),0,VLOOKUP($C51,'PIVOT TABLE GLOBAL'!$A$4:$F$2500,3,FALSE))+IF(OR($C52="",ISERROR(VLOOKUP($C52,'PIVOT TABLE GLOBAL'!$A$4:$F$2500,3,FALSE))),0,VLOOKUP($C52,'PIVOT TABLE GLOBAL'!$A$4:$F$2500,3,FALSE))+IF(OR($C53="",ISERROR(VLOOKUP($C53,'PIVOT TABLE GLOBAL'!$A$4:$F$2500,3,FALSE))),0,VLOOKUP($C53,'PIVOT TABLE GLOBAL'!$A$4:$F$2500,3,FALSE))+IF(OR($C54="",ISERROR(VLOOKUP($C54,'PIVOT TABLE GLOBAL'!$A$4:$F$2500,3,FALSE))),0,VLOOKUP($C54,'PIVOT TABLE GLOBAL'!$A$4:$F$2500,3,FALSE))+IF(OR($C55="",ISERROR(VLOOKUP($C55,'PIVOT TABLE GLOBAL'!$A$4:$F$2500,3,FALSE))),0,VLOOKUP($C55,'PIVOT TABLE GLOBAL'!$A$4:$F$2500,3,FALSE))+IF(OR($C56="",ISERROR(VLOOKUP($C56,'PIVOT TABLE GLOBAL'!$A$4:$F$2500,3,FALSE))),0,VLOOKUP($C56,'PIVOT TABLE GLOBAL'!$A$4:$F$2500,3,FALSE))+IF(OR($C57="",ISERROR(VLOOKUP($C57,'PIVOT TABLE GLOBAL'!$A$4:$F$2500,3,FALSE))),0,VLOOKUP($C57,'PIVOT TABLE GLOBAL'!$A$4:$F$2500,3,FALSE))+IF(OR($C58="",ISERROR(VLOOKUP($C58,'PIVOT TABLE GLOBAL'!$A$4:$F$2500,3,FALSE))),0,VLOOKUP($C58,'PIVOT TABLE GLOBAL'!$A$4:$F$2500,3,FALSE))+IF(OR($C59="",ISERROR(VLOOKUP($C59,'PIVOT TABLE GLOBAL'!$A$4:$F$2500,3,FALSE))),0,VLOOKUP($C59,'PIVOT TABLE GLOBAL'!$A$4:$F$2500,3,FALSE))+IF(OR($C60="",ISERROR(VLOOKUP($C60,'PIVOT TABLE GLOBAL'!$A$4:$F$2500,3,FALSE))),0,VLOOKUP($C60,'PIVOT TABLE GLOBAL'!$A$4:$F$2500,3,FALSE))+IF(OR($C61="",ISERROR(VLOOKUP($C61,'PIVOT TABLE GLOBAL'!$A$4:$F$2500,3,FALSE))),0,VLOOKUP($C61,'PIVOT TABLE GLOBAL'!$A$4:$F$2500,3,FALSE))+IF(OR($C62="",ISERROR(VLOOKUP($C62,'PIVOT TABLE GLOBAL'!$A$4:$F$2500,3,FALSE))),0,VLOOKUP($C62,'PIVOT TABLE GLOBAL'!$A$4:$F$2500,3,FALSE)))/(F63)</f>
        <v>0.19129824526140102</v>
      </c>
      <c r="I63" s="110">
        <f>SUBTOTAL(9,I46:I62)</f>
        <v>8</v>
      </c>
      <c r="J63" s="116">
        <f>(IF(OR($C46="",ISERROR(VLOOKUP($C46,'PIVOT TABLE GLOBAL'!$A$4:$F$2500,4,FALSE))),0,VLOOKUP($C46,'PIVOT TABLE GLOBAL'!$A$4:$F$2500,4,FALSE))+IF(OR($C47="",ISERROR(VLOOKUP($C47,'PIVOT TABLE GLOBAL'!$A$4:$F$2500,4,FALSE))),0,VLOOKUP($C47,'PIVOT TABLE GLOBAL'!$A$4:$F$2500,4,FALSE))+IF(OR($C48="",ISERROR(VLOOKUP($C48,'PIVOT TABLE GLOBAL'!$A$4:$F$2500,4,FALSE))),0,VLOOKUP($C48,'PIVOT TABLE GLOBAL'!$A$4:$F$2500,4,FALSE))+IF(OR($C49="",ISERROR(VLOOKUP($C49,'PIVOT TABLE GLOBAL'!$A$4:$F$2500,4,FALSE))),0,VLOOKUP($C49,'PIVOT TABLE GLOBAL'!$A$4:$F$2500,4,FALSE))+IF(OR($C50="",ISERROR(VLOOKUP($C50,'PIVOT TABLE GLOBAL'!$A$4:$F$2500,4,FALSE))),0,VLOOKUP($C50,'PIVOT TABLE GLOBAL'!$A$4:$F$2500,4,FALSE))+IF(OR($C51="",ISERROR(VLOOKUP($C51,'PIVOT TABLE GLOBAL'!$A$4:$F$2500,4,FALSE))),0,VLOOKUP($C51,'PIVOT TABLE GLOBAL'!$A$4:$F$2500,4,FALSE))+IF(OR($C52="",ISERROR(VLOOKUP($C52,'PIVOT TABLE GLOBAL'!$A$4:$F$2500,4,FALSE))),0,VLOOKUP($C52,'PIVOT TABLE GLOBAL'!$A$4:$F$2500,4,FALSE))+IF(OR($C53="",ISERROR(VLOOKUP($C53,'PIVOT TABLE GLOBAL'!$A$4:$F$2500,4,FALSE))),0,VLOOKUP($C53,'PIVOT TABLE GLOBAL'!$A$4:$F$2500,4,FALSE))+IF(OR($C54="",ISERROR(VLOOKUP($C54,'PIVOT TABLE GLOBAL'!$A$4:$F$2500,4,FALSE))),0,VLOOKUP($C54,'PIVOT TABLE GLOBAL'!$A$4:$F$2500,4,FALSE))+IF(OR($C55="",ISERROR(VLOOKUP($C55,'PIVOT TABLE GLOBAL'!$A$4:$F$2500,4,FALSE))),0,VLOOKUP($C55,'PIVOT TABLE GLOBAL'!$A$4:$F$2500,4,FALSE))+IF(OR($C56="",ISERROR(VLOOKUP($C56,'PIVOT TABLE GLOBAL'!$A$4:$F$2500,4,FALSE))),0,VLOOKUP($C56,'PIVOT TABLE GLOBAL'!$A$4:$F$2500,4,FALSE))+IF(OR($C57="",ISERROR(VLOOKUP($C57,'PIVOT TABLE GLOBAL'!$A$4:$F$2500,4,FALSE))),0,VLOOKUP($C57,'PIVOT TABLE GLOBAL'!$A$4:$F$2500,4,FALSE))+IF(OR($C58="",ISERROR(VLOOKUP($C58,'PIVOT TABLE GLOBAL'!$A$4:$F$2500,4,FALSE))),0,VLOOKUP($C58,'PIVOT TABLE GLOBAL'!$A$4:$F$2500,4,FALSE))+IF(OR($C59="",ISERROR(VLOOKUP($C59,'PIVOT TABLE GLOBAL'!$A$4:$F$2500,4,FALSE))),0,VLOOKUP($C59,'PIVOT TABLE GLOBAL'!$A$4:$F$2500,4,FALSE))+IF(OR($C60="",ISERROR(VLOOKUP($C60,'PIVOT TABLE GLOBAL'!$A$4:$F$2500,4,FALSE))),0,VLOOKUP($C60,'PIVOT TABLE GLOBAL'!$A$4:$F$2500,4,FALSE))+IF(OR($C61="",ISERROR(VLOOKUP($C61,'PIVOT TABLE GLOBAL'!$A$4:$F$2500,4,FALSE))),0,VLOOKUP($C61,'PIVOT TABLE GLOBAL'!$A$4:$F$2500,4,FALSE))+IF(OR($C62="",ISERROR(VLOOKUP($C62,'PIVOT TABLE GLOBAL'!$A$4:$F$2500,4,FALSE))),0,VLOOKUP($C62,'PIVOT TABLE GLOBAL'!$A$4:$F$2500,4,FALSE)))/(F63)</f>
        <v>8.1229568811783011E-3</v>
      </c>
      <c r="K63" s="75">
        <f>SUBTOTAL(9,K46:K62)</f>
        <v>1</v>
      </c>
      <c r="L63" s="403"/>
    </row>
    <row r="64" spans="1:12" s="71" customFormat="1" ht="15" customHeight="1" thickTop="1" x14ac:dyDescent="0.25">
      <c r="A64" s="853"/>
      <c r="B64" s="851" t="s">
        <v>1635</v>
      </c>
      <c r="C64" s="202" t="str">
        <f t="array" ref="C64">IFERROR(INDEX('C'!$C$1:$C$2479, SMALL(IF($B$64 = 'C'!$A$1:$A$2479, ROW('C'!$A$1:$A$2479) -
ROW('C'!$A$2) + 2), ROW(1:1))),"")</f>
        <v>GNALUBWAMA</v>
      </c>
      <c r="D64" s="543" t="str">
        <f t="array" ref="D64">IFERROR(INDEX('C'!$B$1:$B$2479, SMALL(IF($B$64 = 'C'!$A$1:$A$2479, ROW('C'!$A$1:$A$2479) -
ROW('C'!$A$2) + 2), ROW(1:1))),"")</f>
        <v>HOUSING</v>
      </c>
      <c r="E64" s="564">
        <f t="shared" ref="E64:E82" si="6">F64/$F$172</f>
        <v>8.7093672026822944E-2</v>
      </c>
      <c r="F64" s="565">
        <f>SUMIF('Global Portfolio'!$N$2:$N$2500,'General Porfolio'!C64,'Global Portfolio'!$E$2:$E$2500)</f>
        <v>1442789885.3900003</v>
      </c>
      <c r="G64" s="566">
        <f>IF('General Porfolio'!C64="",0,COUNTIF('Global Portfolio'!$N$2:$N$2500,'General Porfolio'!C64))</f>
        <v>78</v>
      </c>
      <c r="H64" s="567">
        <f>IF(OR($C$11:$C$167="",ISERROR(VLOOKUP($C64,'PIVOT TABLE GLOBAL'!$A$4:$F$2500,3,FALSE))),"",VLOOKUP($C64,'PIVOT TABLE GLOBAL'!$A$4:$F$2500,3,FALSE)/F64)</f>
        <v>0.421345040900169</v>
      </c>
      <c r="I64" s="568">
        <f>IF(OR($C$11:$C$167="",ISERROR(VLOOKUP($C64,'PIVOT TABLE GLOBAL'!$A$4:$G$2500,7,FALSE))),"",VLOOKUP($C64,'PIVOT TABLE GLOBAL'!$A$4:$G$2500,7,FALSE))</f>
        <v>31</v>
      </c>
      <c r="J64" s="569">
        <f>IF(OR($C$11:$C$167="",ISERROR(VLOOKUP($C64,'PIVOT TABLE GLOBAL'!$A$4:$F$2500,4,FALSE))),"",VLOOKUP($C64,'PIVOT TABLE GLOBAL'!$A$4:$F$2500,4,FALSE)/F64)</f>
        <v>4.0513171295347594E-2</v>
      </c>
      <c r="K64" s="566">
        <f>IF(OR($C$11:$C$167="",ISERROR(VLOOKUP($C64,'PIVOT TABLE GLOBAL'!$A$4:$H$2500,8,FALSE))),"",VLOOKUP($C64,'PIVOT TABLE GLOBAL'!$A$4:$H$2500,8,FALSE))</f>
        <v>5</v>
      </c>
      <c r="L64" s="559" t="str">
        <f>IFERROR(IF(I64/G64*100&gt;=30,"STOP",IF(AND(I64/G64*100&gt;=15,I64/G64*100&lt;30),"WATCH","NORMAL")),"")</f>
        <v>STOP</v>
      </c>
    </row>
    <row r="65" spans="1:12" s="71" customFormat="1" ht="15" customHeight="1" x14ac:dyDescent="0.25">
      <c r="A65" s="853"/>
      <c r="B65" s="844"/>
      <c r="C65" s="202" t="str">
        <f t="array" ref="C65">IFERROR(INDEX('C'!$C$1:$C$2479, SMALL(IF($B$64 = 'C'!$A$1:$A$2479, ROW('C'!$A$1:$A$2479) -
ROW('C'!$A$2) + 2), ROW(2:2))),"")</f>
        <v>MMBABAZI</v>
      </c>
      <c r="D65" s="543" t="str">
        <f t="array" ref="D65">IFERROR(INDEX('C'!$B$1:$B$2479, SMALL(IF($B$64 = 'C'!$A$1:$A$2479, ROW('C'!$A$1:$A$2479) -
ROW('C'!$A$2) + 2), ROW(2:2))),"")</f>
        <v>HOUSING</v>
      </c>
      <c r="E65" s="570">
        <f t="shared" si="6"/>
        <v>4.4730126324513869E-2</v>
      </c>
      <c r="F65" s="571">
        <f>SUMIF('Global Portfolio'!$N$2:$N$2500,'General Porfolio'!C65,'Global Portfolio'!$E$2:$E$2500)</f>
        <v>740997277.19999993</v>
      </c>
      <c r="G65" s="543">
        <f>IF('General Porfolio'!C65="",0,COUNTIF('Global Portfolio'!$N$2:$N$2500,'General Porfolio'!C65))</f>
        <v>61</v>
      </c>
      <c r="H65" s="572">
        <f>IF(OR($C$11:$C$167="",ISERROR(VLOOKUP($C65,'PIVOT TABLE GLOBAL'!$A$4:$F$2500,3,FALSE))),"",VLOOKUP($C65,'PIVOT TABLE GLOBAL'!$A$4:$F$2500,3,FALSE)/F65)</f>
        <v>0.3721333357282679</v>
      </c>
      <c r="I65" s="573">
        <f>IF(OR($C$11:$C$167="",ISERROR(VLOOKUP($C65,'PIVOT TABLE GLOBAL'!$A$4:$G$2500,7,FALSE))),"",VLOOKUP($C65,'PIVOT TABLE GLOBAL'!$A$4:$G$2500,7,FALSE))</f>
        <v>29</v>
      </c>
      <c r="J65" s="574">
        <f>IF(OR($C$11:$C$167="",ISERROR(VLOOKUP($C65,'PIVOT TABLE GLOBAL'!$A$4:$F$2500,4,FALSE))),"",VLOOKUP($C65,'PIVOT TABLE GLOBAL'!$A$4:$F$2500,4,FALSE)/F65)</f>
        <v>9.0021247975511476E-2</v>
      </c>
      <c r="K65" s="543">
        <f>IF(OR($C$11:$C$167="",ISERROR(VLOOKUP($C65,'PIVOT TABLE GLOBAL'!$A$4:$H$2500,8,FALSE))),"",VLOOKUP($C65,'PIVOT TABLE GLOBAL'!$A$4:$H$2500,8,FALSE))</f>
        <v>12</v>
      </c>
      <c r="L65" s="559" t="str">
        <f t="shared" ref="L65:L82" si="7">IFERROR(IF(I65/G65*100&gt;=30,"STOP",IF(AND(I65/G65*100&gt;=15,I65/G65*100&lt;30),"WATCH","NORMAL")),"")</f>
        <v>STOP</v>
      </c>
    </row>
    <row r="66" spans="1:12" s="71" customFormat="1" ht="12.75" customHeight="1" x14ac:dyDescent="0.25">
      <c r="A66" s="853"/>
      <c r="B66" s="844"/>
      <c r="C66" s="202" t="str">
        <f t="array" ref="C66">IFERROR(INDEX('C'!$C$1:$C$2479, SMALL(IF($B$64 = 'C'!$A$1:$A$2479, ROW('C'!$A$1:$A$2479) -
ROW('C'!$A$2) + 2), ROW(3:3))),"")</f>
        <v>PNAMPIJJA</v>
      </c>
      <c r="D66" s="543" t="str">
        <f t="array" ref="D66">IFERROR(INDEX('C'!$B$1:$B$2479, SMALL(IF($B$64 = 'C'!$A$1:$A$2479, ROW('C'!$A$1:$A$2479) -
ROW('C'!$A$2) + 2), ROW(3:3))),"")</f>
        <v>WMT</v>
      </c>
      <c r="E66" s="570">
        <f t="shared" si="6"/>
        <v>1.9101933904493901E-2</v>
      </c>
      <c r="F66" s="571">
        <f>SUMIF('Global Portfolio'!$N$2:$N$2500,'General Porfolio'!C66,'Global Portfolio'!$E$2:$E$2500)</f>
        <v>316441784.88999999</v>
      </c>
      <c r="G66" s="543">
        <f>IF('General Porfolio'!C66="",0,COUNTIF('Global Portfolio'!$N$2:$N$2500,'General Porfolio'!C66))</f>
        <v>38</v>
      </c>
      <c r="H66" s="572">
        <f>IF(OR($C$11:$C$167="",ISERROR(VLOOKUP($C66,'PIVOT TABLE GLOBAL'!$A$4:$F$2500,3,FALSE))),"",VLOOKUP($C66,'PIVOT TABLE GLOBAL'!$A$4:$F$2500,3,FALSE)/F66)</f>
        <v>0.3821395290512451</v>
      </c>
      <c r="I66" s="573">
        <f>IF(OR($C$11:$C$167="",ISERROR(VLOOKUP($C66,'PIVOT TABLE GLOBAL'!$A$4:$G$2500,7,FALSE))),"",VLOOKUP($C66,'PIVOT TABLE GLOBAL'!$A$4:$G$2500,7,FALSE))</f>
        <v>8</v>
      </c>
      <c r="J66" s="574">
        <f>IF(OR($C$11:$C$167="",ISERROR(VLOOKUP($C66,'PIVOT TABLE GLOBAL'!$A$4:$F$2500,4,FALSE))),"",VLOOKUP($C66,'PIVOT TABLE GLOBAL'!$A$4:$F$2500,4,FALSE)/F66)</f>
        <v>0.12979773715496437</v>
      </c>
      <c r="K66" s="543">
        <f>IF(OR($C$11:$C$167="",ISERROR(VLOOKUP($C66,'PIVOT TABLE GLOBAL'!$A$4:$H$2500,8,FALSE))),"",VLOOKUP($C66,'PIVOT TABLE GLOBAL'!$A$4:$H$2500,8,FALSE))</f>
        <v>3</v>
      </c>
      <c r="L66" s="559" t="str">
        <f t="shared" si="7"/>
        <v>WATCH</v>
      </c>
    </row>
    <row r="67" spans="1:12" s="71" customFormat="1" ht="15" x14ac:dyDescent="0.25">
      <c r="A67" s="853"/>
      <c r="B67" s="844"/>
      <c r="C67" s="202" t="str">
        <f t="array" ref="C67">IFERROR(INDEX('C'!$C$1:$C$2479, SMALL(IF($B$64 = 'C'!$A$1:$A$2479, ROW('C'!$A$1:$A$2479) -
ROW('C'!$A$2) + 2), ROW(4:4))),"")</f>
        <v>JNATUHWEZA</v>
      </c>
      <c r="D67" s="543" t="str">
        <f t="array" ref="D67">IFERROR(INDEX('C'!$B$1:$B$2479, SMALL(IF($B$64 = 'C'!$A$1:$A$2479, ROW('C'!$A$1:$A$2479) -
ROW('C'!$A$2) + 2), ROW(4:4))),"")</f>
        <v>WTM</v>
      </c>
      <c r="E67" s="570">
        <f t="shared" si="6"/>
        <v>1.5096702140601688E-2</v>
      </c>
      <c r="F67" s="571">
        <f>SUMIF('Global Portfolio'!$N$2:$N$2500,'General Porfolio'!C67,'Global Portfolio'!$E$2:$E$2500)</f>
        <v>250091294.17000005</v>
      </c>
      <c r="G67" s="543">
        <f>IF('General Porfolio'!C67="",0,COUNTIF('Global Portfolio'!$N$2:$N$2500,'General Porfolio'!C67))</f>
        <v>32</v>
      </c>
      <c r="H67" s="572">
        <f>IF(OR($C$11:$C$167="",ISERROR(VLOOKUP($C67,'PIVOT TABLE GLOBAL'!$A$4:$F$2500,3,FALSE))),"",VLOOKUP($C67,'PIVOT TABLE GLOBAL'!$A$4:$F$2500,3,FALSE)/F67)</f>
        <v>0.19877872508511873</v>
      </c>
      <c r="I67" s="573">
        <f>IF(OR($C$11:$C$167="",ISERROR(VLOOKUP($C67,'PIVOT TABLE GLOBAL'!$A$4:$G$2500,7,FALSE))),"",VLOOKUP($C67,'PIVOT TABLE GLOBAL'!$A$4:$G$2500,7,FALSE))</f>
        <v>7</v>
      </c>
      <c r="J67" s="574">
        <f>IF(OR($C$11:$C$167="",ISERROR(VLOOKUP($C67,'PIVOT TABLE GLOBAL'!$A$4:$F$2500,4,FALSE))),"",VLOOKUP($C67,'PIVOT TABLE GLOBAL'!$A$4:$F$2500,4,FALSE)/F67)</f>
        <v>2.1187715820279961E-2</v>
      </c>
      <c r="K67" s="543">
        <f>IF(OR($C$11:$C$167="",ISERROR(VLOOKUP($C67,'PIVOT TABLE GLOBAL'!$A$4:$H$2500,8,FALSE))),"",VLOOKUP($C67,'PIVOT TABLE GLOBAL'!$A$4:$H$2500,8,FALSE))</f>
        <v>3</v>
      </c>
      <c r="L67" s="559" t="str">
        <f t="shared" si="7"/>
        <v>WATCH</v>
      </c>
    </row>
    <row r="68" spans="1:12" s="71" customFormat="1" ht="15" x14ac:dyDescent="0.25">
      <c r="A68" s="853"/>
      <c r="B68" s="844"/>
      <c r="C68" s="202" t="str">
        <f t="array" ref="C68">IFERROR(INDEX('C'!$C$1:$C$2479, SMALL(IF($B$64 = 'C'!$A$1:$A$2479, ROW('C'!$A$1:$A$2479) -
ROW('C'!$A$2) + 2), ROW(5:5))),"")</f>
        <v>CNANYONGA</v>
      </c>
      <c r="D68" s="543" t="str">
        <f t="array" ref="D68">IFERROR(INDEX('C'!$B$1:$B$2479, SMALL(IF($B$64 = 'C'!$A$1:$A$2479, ROW('C'!$A$1:$A$2479) -
ROW('C'!$A$2) + 2), ROW(5:5))),"")</f>
        <v>WTM</v>
      </c>
      <c r="E68" s="570">
        <f t="shared" si="6"/>
        <v>3.6249724421454688E-2</v>
      </c>
      <c r="F68" s="571">
        <f>SUMIF('Global Portfolio'!$N$2:$N$2500,'General Porfolio'!C68,'Global Portfolio'!$E$2:$E$2500)</f>
        <v>600511317.5999999</v>
      </c>
      <c r="G68" s="543">
        <f>IF('General Porfolio'!C68="",0,COUNTIF('Global Portfolio'!$N$2:$N$2500,'General Porfolio'!C68))</f>
        <v>50</v>
      </c>
      <c r="H68" s="572">
        <f>IF(OR($C$11:$C$167="",ISERROR(VLOOKUP($C68,'PIVOT TABLE GLOBAL'!$A$4:$F$2500,3,FALSE))),"",VLOOKUP($C68,'PIVOT TABLE GLOBAL'!$A$4:$F$2500,3,FALSE)/F68)</f>
        <v>0.45522575956193778</v>
      </c>
      <c r="I68" s="573">
        <f>IF(OR($C$11:$C$167="",ISERROR(VLOOKUP($C68,'PIVOT TABLE GLOBAL'!$A$4:$G$2500,7,FALSE))),"",VLOOKUP($C68,'PIVOT TABLE GLOBAL'!$A$4:$G$2500,7,FALSE))</f>
        <v>22</v>
      </c>
      <c r="J68" s="574">
        <f>IF(OR($C$11:$C$167="",ISERROR(VLOOKUP($C68,'PIVOT TABLE GLOBAL'!$A$4:$F$2500,4,FALSE))),"",VLOOKUP($C68,'PIVOT TABLE GLOBAL'!$A$4:$F$2500,4,FALSE)/F68)</f>
        <v>3.4062630262740611E-2</v>
      </c>
      <c r="K68" s="543">
        <f>IF(OR($C$11:$C$167="",ISERROR(VLOOKUP($C68,'PIVOT TABLE GLOBAL'!$A$4:$H$2500,8,FALSE))),"",VLOOKUP($C68,'PIVOT TABLE GLOBAL'!$A$4:$H$2500,8,FALSE))</f>
        <v>4</v>
      </c>
      <c r="L68" s="559" t="str">
        <f t="shared" si="7"/>
        <v>STOP</v>
      </c>
    </row>
    <row r="69" spans="1:12" s="71" customFormat="1" ht="15" x14ac:dyDescent="0.25">
      <c r="A69" s="853"/>
      <c r="B69" s="844"/>
      <c r="C69" s="202" t="str">
        <f t="array" ref="C69">IFERROR(INDEX('C'!$C$1:$C$2479, SMALL(IF($B$64 = 'C'!$A$1:$A$2479, ROW('C'!$A$1:$A$2479) -
ROW('C'!$A$2) + 2), ROW(6:6))),"")</f>
        <v>AKITENDA</v>
      </c>
      <c r="D69" s="543" t="str">
        <f t="array" ref="D69">IFERROR(INDEX('C'!$B$1:$B$2479, SMALL(IF($B$64 = 'C'!$A$1:$A$2479, ROW('C'!$A$1:$A$2479) -
ROW('C'!$A$2) + 2), ROW(6:6))),"")</f>
        <v>WTM</v>
      </c>
      <c r="E69" s="570">
        <f t="shared" si="6"/>
        <v>0</v>
      </c>
      <c r="F69" s="571">
        <f>SUMIF('Global Portfolio'!$N$2:$N$2500,'General Porfolio'!C69,'Global Portfolio'!$E$2:$E$2500)</f>
        <v>0</v>
      </c>
      <c r="G69" s="543">
        <f>IF('General Porfolio'!C69="",0,COUNTIF('Global Portfolio'!$N$2:$N$2500,'General Porfolio'!C69))</f>
        <v>0</v>
      </c>
      <c r="H69" s="572" t="str">
        <f>IF(OR($C$11:$C$167="",ISERROR(VLOOKUP($C69,'PIVOT TABLE GLOBAL'!$A$4:$F$2500,3,FALSE))),"",VLOOKUP($C69,'PIVOT TABLE GLOBAL'!$A$4:$F$2500,3,FALSE)/F69)</f>
        <v/>
      </c>
      <c r="I69" s="573" t="str">
        <f>IF(OR($C$11:$C$167="",ISERROR(VLOOKUP($C69,'PIVOT TABLE GLOBAL'!$A$4:$G$2500,7,FALSE))),"",VLOOKUP($C69,'PIVOT TABLE GLOBAL'!$A$4:$G$2500,7,FALSE))</f>
        <v/>
      </c>
      <c r="J69" s="574" t="str">
        <f>IF(OR($C$11:$C$167="",ISERROR(VLOOKUP($C69,'PIVOT TABLE GLOBAL'!$A$4:$F$2500,4,FALSE))),"",VLOOKUP($C69,'PIVOT TABLE GLOBAL'!$A$4:$F$2500,4,FALSE)/F69)</f>
        <v/>
      </c>
      <c r="K69" s="543" t="str">
        <f>IF(OR($C$11:$C$167="",ISERROR(VLOOKUP($C69,'PIVOT TABLE GLOBAL'!$A$4:$H$2500,8,FALSE))),"",VLOOKUP($C69,'PIVOT TABLE GLOBAL'!$A$4:$H$2500,8,FALSE))</f>
        <v/>
      </c>
      <c r="L69" s="559" t="str">
        <f t="shared" si="7"/>
        <v/>
      </c>
    </row>
    <row r="70" spans="1:12" s="71" customFormat="1" ht="15.6" thickBot="1" x14ac:dyDescent="0.3">
      <c r="A70" s="853"/>
      <c r="B70" s="844"/>
      <c r="C70" s="202" t="str">
        <f t="array" ref="C70">IFERROR(INDEX('C'!$C$1:$C$2479, SMALL(IF($B$64 = 'C'!$A$1:$A$2479, ROW('C'!$A$1:$A$2479) -
ROW('C'!$A$2) + 2), ROW(7:7))),"")</f>
        <v>FASABA</v>
      </c>
      <c r="D70" s="543" t="str">
        <f t="array" ref="D70">IFERROR(INDEX('C'!$B$1:$B$2479, SMALL(IF($B$64 = 'C'!$A$1:$A$2479, ROW('C'!$A$1:$A$2479) -
ROW('C'!$A$2) + 2), ROW(7:7))),"")</f>
        <v>WTM</v>
      </c>
      <c r="E70" s="570">
        <f t="shared" si="6"/>
        <v>2.1907221328069269E-3</v>
      </c>
      <c r="F70" s="571">
        <f>SUMIF('Global Portfolio'!$N$2:$N$2500,'General Porfolio'!C70,'Global Portfolio'!$E$2:$E$2500)</f>
        <v>36291405.119999997</v>
      </c>
      <c r="G70" s="543">
        <f>IF('General Porfolio'!C70="",0,COUNTIF('Global Portfolio'!$N$2:$N$2500,'General Porfolio'!C70))</f>
        <v>4</v>
      </c>
      <c r="H70" s="572">
        <f>IF(OR($C$11:$C$167="",ISERROR(VLOOKUP($C70,'PIVOT TABLE GLOBAL'!$A$4:$F$2500,3,FALSE))),"",VLOOKUP($C70,'PIVOT TABLE GLOBAL'!$A$4:$F$2500,3,FALSE)/F70)</f>
        <v>0</v>
      </c>
      <c r="I70" s="573">
        <f>IF(OR($C$11:$C$167="",ISERROR(VLOOKUP($C70,'PIVOT TABLE GLOBAL'!$A$4:$G$2500,7,FALSE))),"",VLOOKUP($C70,'PIVOT TABLE GLOBAL'!$A$4:$G$2500,7,FALSE))</f>
        <v>0</v>
      </c>
      <c r="J70" s="574">
        <f>IF(OR($C$11:$C$167="",ISERROR(VLOOKUP($C70,'PIVOT TABLE GLOBAL'!$A$4:$F$2500,4,FALSE))),"",VLOOKUP($C70,'PIVOT TABLE GLOBAL'!$A$4:$F$2500,4,FALSE)/F70)</f>
        <v>0</v>
      </c>
      <c r="K70" s="543">
        <f>IF(OR($C$11:$C$167="",ISERROR(VLOOKUP($C70,'PIVOT TABLE GLOBAL'!$A$4:$H$2500,8,FALSE))),"",VLOOKUP($C70,'PIVOT TABLE GLOBAL'!$A$4:$H$2500,8,FALSE))</f>
        <v>0</v>
      </c>
      <c r="L70" s="559" t="str">
        <f t="shared" si="7"/>
        <v>NORMAL</v>
      </c>
    </row>
    <row r="71" spans="1:12" s="71" customFormat="1" ht="15.6" hidden="1" thickBot="1" x14ac:dyDescent="0.3">
      <c r="A71" s="853"/>
      <c r="B71" s="844"/>
      <c r="C71" s="202" t="str">
        <f t="array" ref="C71">IFERROR(INDEX('C'!$C$1:$C$2479, SMALL(IF($B$64 = 'C'!$A$1:$A$2479, ROW('C'!$A$1:$A$2479) -
ROW('C'!$A$2) + 2), ROW(8:8))),"")</f>
        <v/>
      </c>
      <c r="D71" s="543" t="str">
        <f t="array" ref="D71">IFERROR(INDEX('C'!$B$1:$B$2479, SMALL(IF($B$64 = 'C'!$A$1:$A$2479, ROW('C'!$A$1:$A$2479) -
ROW('C'!$A$2) + 2), ROW(8:8))),"")</f>
        <v/>
      </c>
      <c r="E71" s="570">
        <f t="shared" si="6"/>
        <v>0</v>
      </c>
      <c r="F71" s="571">
        <f>SUMIF('Global Portfolio'!$N$2:$N$2500,'General Porfolio'!C71,'Global Portfolio'!$E$2:$E$2500)</f>
        <v>0</v>
      </c>
      <c r="G71" s="543">
        <f>IF('General Porfolio'!C71="",0,COUNTIF('Global Portfolio'!$N$2:$N$2500,'General Porfolio'!C71))</f>
        <v>0</v>
      </c>
      <c r="H71" s="572" t="str">
        <f>IF(OR($C$11:$C$167="",ISERROR(VLOOKUP($C71,'PIVOT TABLE GLOBAL'!$A$4:$F$2500,3,FALSE))),"",VLOOKUP($C71,'PIVOT TABLE GLOBAL'!$A$4:$F$2500,3,FALSE)/F71)</f>
        <v/>
      </c>
      <c r="I71" s="573" t="str">
        <f>IF(OR($C$11:$C$167="",ISERROR(VLOOKUP($C71,'PIVOT TABLE GLOBAL'!$A$4:$G$2500,7,FALSE))),"",VLOOKUP($C71,'PIVOT TABLE GLOBAL'!$A$4:$G$2500,7,FALSE))</f>
        <v/>
      </c>
      <c r="J71" s="574" t="str">
        <f>IF(OR($C$11:$C$167="",ISERROR(VLOOKUP($C71,'PIVOT TABLE GLOBAL'!$A$4:$F$2500,4,FALSE))),"",VLOOKUP($C71,'PIVOT TABLE GLOBAL'!$A$4:$F$2500,4,FALSE)/F71)</f>
        <v/>
      </c>
      <c r="K71" s="543" t="str">
        <f>IF(OR($C$11:$C$167="",ISERROR(VLOOKUP($C71,'PIVOT TABLE GLOBAL'!$A$4:$H$2500,8,FALSE))),"",VLOOKUP($C71,'PIVOT TABLE GLOBAL'!$A$4:$H$2500,8,FALSE))</f>
        <v/>
      </c>
      <c r="L71" s="559" t="str">
        <f t="shared" si="7"/>
        <v/>
      </c>
    </row>
    <row r="72" spans="1:12" s="71" customFormat="1" ht="15" hidden="1" x14ac:dyDescent="0.25">
      <c r="A72" s="853"/>
      <c r="B72" s="844"/>
      <c r="C72" s="202" t="str">
        <f t="array" ref="C72">IFERROR(INDEX('C'!$C$1:$C$2479, SMALL(IF($B$64 = 'C'!$A$1:$A$2479, ROW('C'!$A$1:$A$2479) -
ROW('C'!$A$2) + 2), ROW(9:9))),"")</f>
        <v/>
      </c>
      <c r="D72" s="543" t="str">
        <f t="array" ref="D72">IFERROR(INDEX('C'!$B$1:$B$2479, SMALL(IF($B$64 = 'C'!$A$1:$A$2479, ROW('C'!$A$1:$A$2479) -
ROW('C'!$A$2) + 2), ROW(9:9))),"")</f>
        <v/>
      </c>
      <c r="E72" s="570">
        <f t="shared" si="6"/>
        <v>0</v>
      </c>
      <c r="F72" s="571">
        <f>SUMIF('Global Portfolio'!$N$2:$N$2500,'General Porfolio'!C72,'Global Portfolio'!$E$2:$E$2500)</f>
        <v>0</v>
      </c>
      <c r="G72" s="543">
        <f>IF('General Porfolio'!C72="",0,COUNTIF('Global Portfolio'!$N$2:$N$2500,'General Porfolio'!C72))</f>
        <v>0</v>
      </c>
      <c r="H72" s="572" t="str">
        <f>IF(OR($C$11:$C$167="",ISERROR(VLOOKUP($C72,'PIVOT TABLE GLOBAL'!$A$4:$F$2500,3,FALSE))),"",VLOOKUP($C72,'PIVOT TABLE GLOBAL'!$A$4:$F$2500,3,FALSE)/F72)</f>
        <v/>
      </c>
      <c r="I72" s="573" t="str">
        <f>IF(OR($C$11:$C$167="",ISERROR(VLOOKUP($C72,'PIVOT TABLE GLOBAL'!$A$4:$G$2500,7,FALSE))),"",VLOOKUP($C72,'PIVOT TABLE GLOBAL'!$A$4:$G$2500,7,FALSE))</f>
        <v/>
      </c>
      <c r="J72" s="574" t="str">
        <f>IF(OR($C$11:$C$167="",ISERROR(VLOOKUP($C72,'PIVOT TABLE GLOBAL'!$A$4:$F$2500,4,FALSE))),"",VLOOKUP($C72,'PIVOT TABLE GLOBAL'!$A$4:$F$2500,4,FALSE)/F72)</f>
        <v/>
      </c>
      <c r="K72" s="543" t="str">
        <f>IF(OR($C$11:$C$167="",ISERROR(VLOOKUP($C72,'PIVOT TABLE GLOBAL'!$A$4:$H$2500,8,FALSE))),"",VLOOKUP($C72,'PIVOT TABLE GLOBAL'!$A$4:$H$2500,8,FALSE))</f>
        <v/>
      </c>
      <c r="L72" s="559" t="str">
        <f t="shared" si="7"/>
        <v/>
      </c>
    </row>
    <row r="73" spans="1:12" s="71" customFormat="1" ht="15" hidden="1" x14ac:dyDescent="0.25">
      <c r="A73" s="853"/>
      <c r="B73" s="844"/>
      <c r="C73" s="202" t="str">
        <f t="array" ref="C73">IFERROR(INDEX('C'!$C$1:$C$2479, SMALL(IF($B$64 = 'C'!$A$1:$A$2479, ROW('C'!$A$1:$A$2479) -
ROW('C'!$A$2) + 2), ROW(10:10))),"")</f>
        <v/>
      </c>
      <c r="D73" s="543" t="str">
        <f t="array" ref="D73">IFERROR(INDEX('C'!$B$1:$B$2479, SMALL(IF($B$64 = 'C'!$A$1:$A$2479, ROW('C'!$A$1:$A$2479) -
ROW('C'!$A$2) + 2), ROW(10:10))),"")</f>
        <v/>
      </c>
      <c r="E73" s="570">
        <f t="shared" si="6"/>
        <v>0</v>
      </c>
      <c r="F73" s="571">
        <f>SUMIF('Global Portfolio'!$N$2:$N$2500,'General Porfolio'!C73,'Global Portfolio'!$E$2:$E$2500)</f>
        <v>0</v>
      </c>
      <c r="G73" s="543">
        <f>IF('General Porfolio'!C73="",0,COUNTIF('Global Portfolio'!$N$2:$N$2500,'General Porfolio'!C73))</f>
        <v>0</v>
      </c>
      <c r="H73" s="572" t="str">
        <f>IF(OR($C$11:$C$167="",ISERROR(VLOOKUP($C73,'PIVOT TABLE GLOBAL'!$A$4:$F$2500,3,FALSE))),"",VLOOKUP($C73,'PIVOT TABLE GLOBAL'!$A$4:$F$2500,3,FALSE)/F73)</f>
        <v/>
      </c>
      <c r="I73" s="573" t="str">
        <f>IF(OR($C$11:$C$167="",ISERROR(VLOOKUP($C73,'PIVOT TABLE GLOBAL'!$A$4:$G$2500,7,FALSE))),"",VLOOKUP($C73,'PIVOT TABLE GLOBAL'!$A$4:$G$2500,7,FALSE))</f>
        <v/>
      </c>
      <c r="J73" s="574" t="str">
        <f>IF(OR($C$11:$C$167="",ISERROR(VLOOKUP($C73,'PIVOT TABLE GLOBAL'!$A$4:$F$2500,4,FALSE))),"",VLOOKUP($C73,'PIVOT TABLE GLOBAL'!$A$4:$F$2500,4,FALSE)/F73)</f>
        <v/>
      </c>
      <c r="K73" s="543" t="str">
        <f>IF(OR($C$11:$C$167="",ISERROR(VLOOKUP($C73,'PIVOT TABLE GLOBAL'!$A$4:$H$2500,8,FALSE))),"",VLOOKUP($C73,'PIVOT TABLE GLOBAL'!$A$4:$H$2500,8,FALSE))</f>
        <v/>
      </c>
      <c r="L73" s="559" t="str">
        <f t="shared" si="7"/>
        <v/>
      </c>
    </row>
    <row r="74" spans="1:12" s="71" customFormat="1" ht="15" hidden="1" x14ac:dyDescent="0.25">
      <c r="A74" s="853"/>
      <c r="B74" s="844"/>
      <c r="C74" s="202" t="str">
        <f t="array" ref="C74">IFERROR(INDEX('C'!$C$1:$C$2479, SMALL(IF($B$64 = 'C'!$A$1:$A$2479, ROW('C'!$A$1:$A$2479) -
ROW('C'!$A$2) + 2), ROW(11:11))),"")</f>
        <v/>
      </c>
      <c r="D74" s="543" t="str">
        <f t="array" ref="D74">IFERROR(INDEX('C'!$B$1:$B$2479, SMALL(IF($B$64 = 'C'!$A$1:$A$2479, ROW('C'!$A$1:$A$2479) -
ROW('C'!$A$2) + 2), ROW(11:11))),"")</f>
        <v/>
      </c>
      <c r="E74" s="570">
        <f t="shared" si="6"/>
        <v>0</v>
      </c>
      <c r="F74" s="571">
        <f>SUMIF('Global Portfolio'!$N$2:$N$2500,'General Porfolio'!C74,'Global Portfolio'!$E$2:$E$2500)</f>
        <v>0</v>
      </c>
      <c r="G74" s="543">
        <f>IF('General Porfolio'!C74="",0,COUNTIF('Global Portfolio'!$N$2:$N$2500,'General Porfolio'!C74))</f>
        <v>0</v>
      </c>
      <c r="H74" s="572" t="str">
        <f>IF(OR($C$11:$C$167="",ISERROR(VLOOKUP($C74,'PIVOT TABLE GLOBAL'!$A$4:$F$2500,3,FALSE))),"",VLOOKUP($C74,'PIVOT TABLE GLOBAL'!$A$4:$F$2500,3,FALSE)/F74)</f>
        <v/>
      </c>
      <c r="I74" s="573" t="str">
        <f>IF(OR($C$11:$C$167="",ISERROR(VLOOKUP($C74,'PIVOT TABLE GLOBAL'!$A$4:$G$2500,7,FALSE))),"",VLOOKUP($C74,'PIVOT TABLE GLOBAL'!$A$4:$G$2500,7,FALSE))</f>
        <v/>
      </c>
      <c r="J74" s="574" t="str">
        <f>IF(OR($C$11:$C$167="",ISERROR(VLOOKUP($C74,'PIVOT TABLE GLOBAL'!$A$4:$F$2500,4,FALSE))),"",VLOOKUP($C74,'PIVOT TABLE GLOBAL'!$A$4:$F$2500,4,FALSE)/F74)</f>
        <v/>
      </c>
      <c r="K74" s="543" t="str">
        <f>IF(OR($C$11:$C$167="",ISERROR(VLOOKUP($C74,'PIVOT TABLE GLOBAL'!$A$4:$H$2500,8,FALSE))),"",VLOOKUP($C74,'PIVOT TABLE GLOBAL'!$A$4:$H$2500,8,FALSE))</f>
        <v/>
      </c>
      <c r="L74" s="559" t="str">
        <f t="shared" si="7"/>
        <v/>
      </c>
    </row>
    <row r="75" spans="1:12" s="71" customFormat="1" ht="15" hidden="1" x14ac:dyDescent="0.25">
      <c r="A75" s="853"/>
      <c r="B75" s="844"/>
      <c r="C75" s="202" t="str">
        <f t="array" ref="C75">IFERROR(INDEX('C'!$C$1:$C$2479, SMALL(IF($B$64 = 'C'!$A$1:$A$2479, ROW('C'!$A$1:$A$2479) -
ROW('C'!$A$2) + 2), ROW(12:12))),"")</f>
        <v/>
      </c>
      <c r="D75" s="543" t="str">
        <f t="array" ref="D75">IFERROR(INDEX('C'!$B$1:$B$2479, SMALL(IF($B$64 = 'C'!$A$1:$A$2479, ROW('C'!$A$1:$A$2479) -
ROW('C'!$A$2) + 2), ROW(12:12))),"")</f>
        <v/>
      </c>
      <c r="E75" s="570">
        <f t="shared" si="6"/>
        <v>0</v>
      </c>
      <c r="F75" s="571">
        <f>SUMIF('Global Portfolio'!$N$2:$N$2500,'General Porfolio'!C75,'Global Portfolio'!$E$2:$E$2500)</f>
        <v>0</v>
      </c>
      <c r="G75" s="543">
        <f>IF('General Porfolio'!C75="",0,COUNTIF('Global Portfolio'!$N$2:$N$2500,'General Porfolio'!C75))</f>
        <v>0</v>
      </c>
      <c r="H75" s="572" t="str">
        <f>IF(OR($C$11:$C$167="",ISERROR(VLOOKUP($C75,'PIVOT TABLE GLOBAL'!$A$4:$F$2500,3,FALSE))),"",VLOOKUP($C75,'PIVOT TABLE GLOBAL'!$A$4:$F$2500,3,FALSE)/F75)</f>
        <v/>
      </c>
      <c r="I75" s="573" t="str">
        <f>IF(OR($C$11:$C$167="",ISERROR(VLOOKUP($C75,'PIVOT TABLE GLOBAL'!$A$4:$G$2500,7,FALSE))),"",VLOOKUP($C75,'PIVOT TABLE GLOBAL'!$A$4:$G$2500,7,FALSE))</f>
        <v/>
      </c>
      <c r="J75" s="574" t="str">
        <f>IF(OR($C$11:$C$167="",ISERROR(VLOOKUP($C75,'PIVOT TABLE GLOBAL'!$A$4:$F$2500,4,FALSE))),"",VLOOKUP($C75,'PIVOT TABLE GLOBAL'!$A$4:$F$2500,4,FALSE)/F75)</f>
        <v/>
      </c>
      <c r="K75" s="543" t="str">
        <f>IF(OR($C$11:$C$167="",ISERROR(VLOOKUP($C75,'PIVOT TABLE GLOBAL'!$A$4:$H$2500,8,FALSE))),"",VLOOKUP($C75,'PIVOT TABLE GLOBAL'!$A$4:$H$2500,8,FALSE))</f>
        <v/>
      </c>
      <c r="L75" s="559" t="str">
        <f t="shared" si="7"/>
        <v/>
      </c>
    </row>
    <row r="76" spans="1:12" s="71" customFormat="1" ht="15" hidden="1" x14ac:dyDescent="0.25">
      <c r="A76" s="853"/>
      <c r="B76" s="844"/>
      <c r="C76" s="202" t="str">
        <f t="array" ref="C76">IFERROR(INDEX('C'!$C$1:$C$2479, SMALL(IF($B$64 = 'C'!$A$1:$A$2479, ROW('C'!$A$1:$A$2479) -
ROW('C'!$A$2) + 2), ROW(13:13))),"")</f>
        <v/>
      </c>
      <c r="D76" s="543" t="str">
        <f t="array" ref="D76">IFERROR(INDEX('C'!$B$1:$B$2479, SMALL(IF($B$64 = 'C'!$A$1:$A$2479, ROW('C'!$A$1:$A$2479) -
ROW('C'!$A$2) + 2), ROW(13:13))),"")</f>
        <v/>
      </c>
      <c r="E76" s="570">
        <f t="shared" si="6"/>
        <v>0</v>
      </c>
      <c r="F76" s="571">
        <f>SUMIF('Global Portfolio'!$N$2:$N$2500,'General Porfolio'!C76,'Global Portfolio'!$E$2:$E$2500)</f>
        <v>0</v>
      </c>
      <c r="G76" s="543">
        <f>IF('General Porfolio'!C76="",0,COUNTIF('Global Portfolio'!$N$2:$N$2500,'General Porfolio'!C76))</f>
        <v>0</v>
      </c>
      <c r="H76" s="572" t="str">
        <f>IF(OR($C$11:$C$167="",ISERROR(VLOOKUP($C76,'PIVOT TABLE GLOBAL'!$A$4:$F$2500,3,FALSE))),"",VLOOKUP($C76,'PIVOT TABLE GLOBAL'!$A$4:$F$2500,3,FALSE)/F76)</f>
        <v/>
      </c>
      <c r="I76" s="573" t="str">
        <f>IF(OR($C$11:$C$167="",ISERROR(VLOOKUP($C76,'PIVOT TABLE GLOBAL'!$A$4:$G$2500,7,FALSE))),"",VLOOKUP($C76,'PIVOT TABLE GLOBAL'!$A$4:$G$2500,7,FALSE))</f>
        <v/>
      </c>
      <c r="J76" s="574" t="str">
        <f>IF(OR($C$11:$C$167="",ISERROR(VLOOKUP($C76,'PIVOT TABLE GLOBAL'!$A$4:$F$2500,4,FALSE))),"",VLOOKUP($C76,'PIVOT TABLE GLOBAL'!$A$4:$F$2500,4,FALSE)/F76)</f>
        <v/>
      </c>
      <c r="K76" s="543" t="str">
        <f>IF(OR($C$11:$C$167="",ISERROR(VLOOKUP($C76,'PIVOT TABLE GLOBAL'!$A$4:$H$2500,8,FALSE))),"",VLOOKUP($C76,'PIVOT TABLE GLOBAL'!$A$4:$H$2500,8,FALSE))</f>
        <v/>
      </c>
      <c r="L76" s="559" t="str">
        <f t="shared" si="7"/>
        <v/>
      </c>
    </row>
    <row r="77" spans="1:12" s="71" customFormat="1" ht="15" hidden="1" x14ac:dyDescent="0.25">
      <c r="A77" s="853"/>
      <c r="B77" s="844"/>
      <c r="C77" s="202" t="str">
        <f t="array" ref="C77">IFERROR(INDEX('C'!$C$1:$C$2479, SMALL(IF($B$64 = 'C'!$A$1:$A$2479, ROW('C'!$A$1:$A$2479) -
ROW('C'!$A$2) + 2), ROW(14:14))),"")</f>
        <v/>
      </c>
      <c r="D77" s="543" t="str">
        <f t="array" ref="D77">IFERROR(INDEX('C'!$B$1:$B$2479, SMALL(IF($B$64 = 'C'!$A$1:$A$2479, ROW('C'!$A$1:$A$2479) -
ROW('C'!$A$2) + 2), ROW(14:14))),"")</f>
        <v/>
      </c>
      <c r="E77" s="570">
        <f t="shared" si="6"/>
        <v>0</v>
      </c>
      <c r="F77" s="571">
        <f>SUMIF('Global Portfolio'!$N$2:$N$2500,'General Porfolio'!C77,'Global Portfolio'!$E$2:$E$2500)</f>
        <v>0</v>
      </c>
      <c r="G77" s="543">
        <f>IF('General Porfolio'!C77="",0,COUNTIF('Global Portfolio'!$N$2:$N$2500,'General Porfolio'!C77))</f>
        <v>0</v>
      </c>
      <c r="H77" s="572" t="str">
        <f>IF(OR($C$11:$C$167="",ISERROR(VLOOKUP($C77,'PIVOT TABLE GLOBAL'!$A$4:$F$2500,3,FALSE))),"",VLOOKUP($C77,'PIVOT TABLE GLOBAL'!$A$4:$F$2500,3,FALSE)/F77)</f>
        <v/>
      </c>
      <c r="I77" s="573" t="str">
        <f>IF(OR($C$11:$C$167="",ISERROR(VLOOKUP($C77,'PIVOT TABLE GLOBAL'!$A$4:$G$2500,7,FALSE))),"",VLOOKUP($C77,'PIVOT TABLE GLOBAL'!$A$4:$G$2500,7,FALSE))</f>
        <v/>
      </c>
      <c r="J77" s="574" t="str">
        <f>IF(OR($C$11:$C$167="",ISERROR(VLOOKUP($C77,'PIVOT TABLE GLOBAL'!$A$4:$F$2500,4,FALSE))),"",VLOOKUP($C77,'PIVOT TABLE GLOBAL'!$A$4:$F$2500,4,FALSE)/F77)</f>
        <v/>
      </c>
      <c r="K77" s="543" t="str">
        <f>IF(OR($C$11:$C$167="",ISERROR(VLOOKUP($C77,'PIVOT TABLE GLOBAL'!$A$4:$H$2500,8,FALSE))),"",VLOOKUP($C77,'PIVOT TABLE GLOBAL'!$A$4:$H$2500,8,FALSE))</f>
        <v/>
      </c>
      <c r="L77" s="559" t="str">
        <f t="shared" si="7"/>
        <v/>
      </c>
    </row>
    <row r="78" spans="1:12" s="71" customFormat="1" ht="15" hidden="1" x14ac:dyDescent="0.25">
      <c r="A78" s="853"/>
      <c r="B78" s="844"/>
      <c r="C78" s="202" t="str">
        <f t="array" ref="C78">IFERROR(INDEX('C'!$C$1:$C$2479, SMALL(IF($B$64 = 'C'!$A$1:$A$2479, ROW('C'!$A$1:$A$2479) -
ROW('C'!$A$2) + 2), ROW(15:15))),"")</f>
        <v/>
      </c>
      <c r="D78" s="543" t="str">
        <f t="array" ref="D78">IFERROR(INDEX('C'!$B$1:$B$2479, SMALL(IF($B$64 = 'C'!$A$1:$A$2479, ROW('C'!$A$1:$A$2479) -
ROW('C'!$A$2) + 2), ROW(15:15))),"")</f>
        <v/>
      </c>
      <c r="E78" s="570">
        <f t="shared" si="6"/>
        <v>0</v>
      </c>
      <c r="F78" s="571">
        <f>SUMIF('Global Portfolio'!$N$2:$N$2500,'General Porfolio'!C78,'Global Portfolio'!$E$2:$E$2500)</f>
        <v>0</v>
      </c>
      <c r="G78" s="543">
        <f>IF('General Porfolio'!C78="",0,COUNTIF('Global Portfolio'!$N$2:$N$2500,'General Porfolio'!C78))</f>
        <v>0</v>
      </c>
      <c r="H78" s="572" t="str">
        <f>IF(OR($C$11:$C$167="",ISERROR(VLOOKUP($C78,'PIVOT TABLE GLOBAL'!$A$4:$F$2500,3,FALSE))),"",VLOOKUP($C78,'PIVOT TABLE GLOBAL'!$A$4:$F$2500,3,FALSE)/F78)</f>
        <v/>
      </c>
      <c r="I78" s="573" t="str">
        <f>IF(OR($C$11:$C$167="",ISERROR(VLOOKUP($C78,'PIVOT TABLE GLOBAL'!$A$4:$G$2500,7,FALSE))),"",VLOOKUP($C78,'PIVOT TABLE GLOBAL'!$A$4:$G$2500,7,FALSE))</f>
        <v/>
      </c>
      <c r="J78" s="574" t="str">
        <f>IF(OR($C$11:$C$167="",ISERROR(VLOOKUP($C78,'PIVOT TABLE GLOBAL'!$A$4:$F$2500,4,FALSE))),"",VLOOKUP($C78,'PIVOT TABLE GLOBAL'!$A$4:$F$2500,4,FALSE)/F78)</f>
        <v/>
      </c>
      <c r="K78" s="543" t="str">
        <f>IF(OR($C$11:$C$167="",ISERROR(VLOOKUP($C78,'PIVOT TABLE GLOBAL'!$A$4:$H$2500,8,FALSE))),"",VLOOKUP($C78,'PIVOT TABLE GLOBAL'!$A$4:$H$2500,8,FALSE))</f>
        <v/>
      </c>
      <c r="L78" s="559" t="str">
        <f t="shared" si="7"/>
        <v/>
      </c>
    </row>
    <row r="79" spans="1:12" s="71" customFormat="1" ht="15" hidden="1" x14ac:dyDescent="0.25">
      <c r="A79" s="853"/>
      <c r="B79" s="844"/>
      <c r="C79" s="202" t="str">
        <f t="array" ref="C79">IFERROR(INDEX('C'!$C$1:$C$2479, SMALL(IF($B$64 = 'C'!$A$1:$A$2479, ROW('C'!$A$1:$A$2479) -
ROW('C'!$A$2) + 2), ROW(16:16))),"")</f>
        <v/>
      </c>
      <c r="D79" s="543" t="str">
        <f t="array" ref="D79">IFERROR(INDEX('C'!$B$1:$B$2479, SMALL(IF($B$64 = 'C'!$A$1:$A$2479, ROW('C'!$A$1:$A$2479) -
ROW('C'!$A$2) + 2), ROW(16:16))),"")</f>
        <v/>
      </c>
      <c r="E79" s="570">
        <f t="shared" si="6"/>
        <v>0</v>
      </c>
      <c r="F79" s="571">
        <f>SUMIF('Global Portfolio'!$N$2:$N$2500,'General Porfolio'!C79,'Global Portfolio'!$E$2:$E$2500)</f>
        <v>0</v>
      </c>
      <c r="G79" s="543">
        <f>IF('General Porfolio'!C79="",0,COUNTIF('Global Portfolio'!$N$2:$N$2500,'General Porfolio'!C79))</f>
        <v>0</v>
      </c>
      <c r="H79" s="572" t="str">
        <f>IF(OR($C$11:$C$167="",ISERROR(VLOOKUP($C79,'PIVOT TABLE GLOBAL'!$A$4:$F$2500,3,FALSE))),"",VLOOKUP($C79,'PIVOT TABLE GLOBAL'!$A$4:$F$2500,3,FALSE)/F79)</f>
        <v/>
      </c>
      <c r="I79" s="573" t="str">
        <f>IF(OR($C$11:$C$167="",ISERROR(VLOOKUP($C79,'PIVOT TABLE GLOBAL'!$A$4:$G$2500,7,FALSE))),"",VLOOKUP($C79,'PIVOT TABLE GLOBAL'!$A$4:$G$2500,7,FALSE))</f>
        <v/>
      </c>
      <c r="J79" s="574" t="str">
        <f>IF(OR($C$11:$C$167="",ISERROR(VLOOKUP($C79,'PIVOT TABLE GLOBAL'!$A$4:$F$2500,4,FALSE))),"",VLOOKUP($C79,'PIVOT TABLE GLOBAL'!$A$4:$F$2500,4,FALSE)/F79)</f>
        <v/>
      </c>
      <c r="K79" s="543" t="str">
        <f>IF(OR($C$11:$C$167="",ISERROR(VLOOKUP($C79,'PIVOT TABLE GLOBAL'!$A$4:$H$2500,8,FALSE))),"",VLOOKUP($C79,'PIVOT TABLE GLOBAL'!$A$4:$H$2500,8,FALSE))</f>
        <v/>
      </c>
      <c r="L79" s="559" t="str">
        <f t="shared" si="7"/>
        <v/>
      </c>
    </row>
    <row r="80" spans="1:12" s="71" customFormat="1" ht="15" hidden="1" x14ac:dyDescent="0.25">
      <c r="A80" s="853"/>
      <c r="B80" s="844"/>
      <c r="C80" s="202" t="str">
        <f t="array" ref="C80">IFERROR(INDEX('C'!$C$1:$C$2479, SMALL(IF($B$64 = 'C'!$A$1:$A$2479, ROW('C'!$A$1:$A$2479) -
ROW('C'!$A$2) + 2), ROW(17:17))),"")</f>
        <v/>
      </c>
      <c r="D80" s="543" t="str">
        <f t="array" ref="D80">IFERROR(INDEX('C'!$B$1:$B$2479, SMALL(IF($B$64 = 'C'!$A$1:$A$2479, ROW('C'!$A$1:$A$2479) -
ROW('C'!$A$2) + 2), ROW(17:17))),"")</f>
        <v/>
      </c>
      <c r="E80" s="570">
        <f t="shared" si="6"/>
        <v>0</v>
      </c>
      <c r="F80" s="571">
        <f>SUMIF('Global Portfolio'!$N$2:$N$2500,'General Porfolio'!C80,'Global Portfolio'!$E$2:$E$2500)</f>
        <v>0</v>
      </c>
      <c r="G80" s="543">
        <f>IF('General Porfolio'!C80="",0,COUNTIF('Global Portfolio'!$N$2:$N$2500,'General Porfolio'!C80))</f>
        <v>0</v>
      </c>
      <c r="H80" s="572" t="str">
        <f>IF(OR($C$11:$C$167="",ISERROR(VLOOKUP($C80,'PIVOT TABLE GLOBAL'!$A$4:$F$2500,3,FALSE))),"",VLOOKUP($C80,'PIVOT TABLE GLOBAL'!$A$4:$F$2500,3,FALSE)/F80)</f>
        <v/>
      </c>
      <c r="I80" s="573" t="str">
        <f>IF(OR($C$11:$C$167="",ISERROR(VLOOKUP($C80,'PIVOT TABLE GLOBAL'!$A$4:$G$2500,7,FALSE))),"",VLOOKUP($C80,'PIVOT TABLE GLOBAL'!$A$4:$G$2500,7,FALSE))</f>
        <v/>
      </c>
      <c r="J80" s="574" t="str">
        <f>IF(OR($C$11:$C$167="",ISERROR(VLOOKUP($C80,'PIVOT TABLE GLOBAL'!$A$4:$F$2500,4,FALSE))),"",VLOOKUP($C80,'PIVOT TABLE GLOBAL'!$A$4:$F$2500,4,FALSE)/F80)</f>
        <v/>
      </c>
      <c r="K80" s="543" t="str">
        <f>IF(OR($C$11:$C$167="",ISERROR(VLOOKUP($C80,'PIVOT TABLE GLOBAL'!$A$4:$H$2500,8,FALSE))),"",VLOOKUP($C80,'PIVOT TABLE GLOBAL'!$A$4:$H$2500,8,FALSE))</f>
        <v/>
      </c>
      <c r="L80" s="559" t="str">
        <f t="shared" si="7"/>
        <v/>
      </c>
    </row>
    <row r="81" spans="1:12" s="71" customFormat="1" ht="15" hidden="1" x14ac:dyDescent="0.25">
      <c r="A81" s="853"/>
      <c r="B81" s="844"/>
      <c r="C81" s="202" t="str">
        <f t="array" ref="C81">IFERROR(INDEX('C'!$C$1:$C$2479, SMALL(IF($B$64 = 'C'!$A$1:$A$2479, ROW('C'!$A$1:$A$2479) -
ROW('C'!$A$2) + 2), ROW(18:18))),"")</f>
        <v/>
      </c>
      <c r="D81" s="543" t="str">
        <f t="array" ref="D81">IFERROR(INDEX('C'!$B$1:$B$2479, SMALL(IF($B$64 = 'C'!$A$1:$A$2479, ROW('C'!$A$1:$A$2479) -
ROW('C'!$A$2) + 2), ROW(19:19))),"")</f>
        <v/>
      </c>
      <c r="E81" s="570">
        <f t="shared" si="6"/>
        <v>0</v>
      </c>
      <c r="F81" s="571">
        <f>SUMIF('Global Portfolio'!$N$2:$N$2500,'General Porfolio'!C81,'Global Portfolio'!$E$2:$E$2500)</f>
        <v>0</v>
      </c>
      <c r="G81" s="543">
        <f>IF('General Porfolio'!C81="",0,COUNTIF('Global Portfolio'!$N$2:$N$2500,'General Porfolio'!C81))</f>
        <v>0</v>
      </c>
      <c r="H81" s="572" t="str">
        <f>IF(OR($C$11:$C$167="",ISERROR(VLOOKUP($C81,'PIVOT TABLE GLOBAL'!$A$4:$F$2500,3,FALSE))),"",VLOOKUP($C81,'PIVOT TABLE GLOBAL'!$A$4:$F$2500,3,FALSE)/F81)</f>
        <v/>
      </c>
      <c r="I81" s="573" t="str">
        <f>IF(OR($C$11:$C$167="",ISERROR(VLOOKUP($C81,'PIVOT TABLE GLOBAL'!$A$4:$G$2500,7,FALSE))),"",VLOOKUP($C81,'PIVOT TABLE GLOBAL'!$A$4:$G$2500,7,FALSE))</f>
        <v/>
      </c>
      <c r="J81" s="574" t="str">
        <f>IF(OR($C$11:$C$167="",ISERROR(VLOOKUP($C81,'PIVOT TABLE GLOBAL'!$A$4:$F$2500,4,FALSE))),"",VLOOKUP($C81,'PIVOT TABLE GLOBAL'!$A$4:$F$2500,4,FALSE)/F81)</f>
        <v/>
      </c>
      <c r="K81" s="543" t="str">
        <f>IF(OR($C$11:$C$167="",ISERROR(VLOOKUP($C81,'PIVOT TABLE GLOBAL'!$A$4:$H$2500,8,FALSE))),"",VLOOKUP($C81,'PIVOT TABLE GLOBAL'!$A$4:$H$2500,8,FALSE))</f>
        <v/>
      </c>
      <c r="L81" s="559" t="str">
        <f t="shared" si="7"/>
        <v/>
      </c>
    </row>
    <row r="82" spans="1:12" s="71" customFormat="1" ht="15.6" hidden="1" thickBot="1" x14ac:dyDescent="0.3">
      <c r="A82" s="853"/>
      <c r="B82" s="844"/>
      <c r="C82" s="202" t="str">
        <f t="array" ref="C82">IFERROR(INDEX('C'!$C$1:$C$2479, SMALL(IF($B$64 = 'C'!$A$1:$A$2479, ROW('C'!$A$1:$A$2479) -
ROW('C'!$A$2) + 2), ROW(19:19))),"")</f>
        <v/>
      </c>
      <c r="D82" s="543" t="str">
        <f t="array" ref="D82">IFERROR(INDEX('C'!$B$1:$B$2479, SMALL(IF($B$64 = 'C'!$A$1:$A$2479, ROW('C'!$A$1:$A$2479) -
ROW('C'!$A$2) + 2), ROW(20:20))),"")</f>
        <v/>
      </c>
      <c r="E82" s="570">
        <f t="shared" si="6"/>
        <v>0</v>
      </c>
      <c r="F82" s="571">
        <f>SUMIF('Global Portfolio'!$N$2:$N$2500,'General Porfolio'!C82,'Global Portfolio'!$E$2:$E$2500)</f>
        <v>0</v>
      </c>
      <c r="G82" s="543">
        <f>IF('General Porfolio'!C82="",0,COUNTIF('Global Portfolio'!$N$2:$N$2500,'General Porfolio'!C82))</f>
        <v>0</v>
      </c>
      <c r="H82" s="572" t="str">
        <f>IF(OR($C$11:$C$167="",ISERROR(VLOOKUP($C82,'PIVOT TABLE GLOBAL'!$A$4:$F$2500,3,FALSE))),"",VLOOKUP($C82,'PIVOT TABLE GLOBAL'!$A$4:$F$2500,3,FALSE)/F82)</f>
        <v/>
      </c>
      <c r="I82" s="573" t="str">
        <f>IF(OR($C$11:$C$167="",ISERROR(VLOOKUP($C82,'PIVOT TABLE GLOBAL'!$A$4:$G$2500,7,FALSE))),"",VLOOKUP($C82,'PIVOT TABLE GLOBAL'!$A$4:$G$2500,7,FALSE))</f>
        <v/>
      </c>
      <c r="J82" s="574" t="str">
        <f>IF(OR($C$11:$C$167="",ISERROR(VLOOKUP($C82,'PIVOT TABLE GLOBAL'!$A$4:$F$2500,4,FALSE))),"",VLOOKUP($C82,'PIVOT TABLE GLOBAL'!$A$4:$F$2500,4,FALSE)/F82)</f>
        <v/>
      </c>
      <c r="K82" s="543" t="str">
        <f>IF(OR($C$11:$C$167="",ISERROR(VLOOKUP($C82,'PIVOT TABLE GLOBAL'!$A$4:$H$2500,8,FALSE))),"",VLOOKUP($C82,'PIVOT TABLE GLOBAL'!$A$4:$H$2500,8,FALSE))</f>
        <v/>
      </c>
      <c r="L82" s="559" t="str">
        <f t="shared" si="7"/>
        <v/>
      </c>
    </row>
    <row r="83" spans="1:12" s="71" customFormat="1" ht="15" customHeight="1" thickBot="1" x14ac:dyDescent="0.35">
      <c r="A83" s="853"/>
      <c r="B83" s="300" t="s">
        <v>1636</v>
      </c>
      <c r="C83" s="195">
        <f>COUNTIF(C64:C82,"?*")</f>
        <v>7</v>
      </c>
      <c r="D83" s="193"/>
      <c r="E83" s="359">
        <f>SUBTOTAL(9,E64:E82)</f>
        <v>0.20446288095069404</v>
      </c>
      <c r="F83" s="194">
        <f>SUBTOTAL(9,F64:F82)</f>
        <v>3387122964.3699999</v>
      </c>
      <c r="G83" s="195">
        <f>SUBTOTAL(9,G64:G82)</f>
        <v>263</v>
      </c>
      <c r="H83" s="196">
        <f>(IF(OR($C64="",ISERROR(VLOOKUP($C64,'PIVOT TABLE GLOBAL'!$A$4:$F$2500,3,FALSE))),0,VLOOKUP($C64,'PIVOT TABLE GLOBAL'!$A$4:$F$2500,3,FALSE))+IF(OR($C65="",ISERROR(VLOOKUP($C65,'PIVOT TABLE GLOBAL'!$A$4:$F$2500,3,FALSE))),0,VLOOKUP($C65,'PIVOT TABLE GLOBAL'!$A$4:$F$2500,3,FALSE))+IF(OR($C66="",ISERROR(VLOOKUP($C66,'PIVOT TABLE GLOBAL'!$A$4:$F$2500,3,FALSE))),0,VLOOKUP($C66,'PIVOT TABLE GLOBAL'!$A$4:$F$2500,3,FALSE))+IF(OR($C67="",ISERROR(VLOOKUP($C67,'PIVOT TABLE GLOBAL'!$A$4:$F$2500,3,FALSE))),0,VLOOKUP($C67,'PIVOT TABLE GLOBAL'!$A$4:$F$2500,3,FALSE))+IF(OR($C68="",ISERROR(VLOOKUP($C68,'PIVOT TABLE GLOBAL'!$A$4:$F$2500,3,FALSE))),0,VLOOKUP($C68,'PIVOT TABLE GLOBAL'!$A$4:$F$2500,3,FALSE))+IF(OR($C69="",ISERROR(VLOOKUP($C69,'PIVOT TABLE GLOBAL'!$A$4:$F$2500,3,FALSE))),0,VLOOKUP($C69,'PIVOT TABLE GLOBAL'!$A$4:$F$2500,3,FALSE))+IF(OR($C70="",ISERROR(VLOOKUP($C70,'PIVOT TABLE GLOBAL'!$A$4:$F$2500,3,FALSE))),0,VLOOKUP($C70,'PIVOT TABLE GLOBAL'!$A$4:$F$2500,3,FALSE))+IF(OR($C71="",ISERROR(VLOOKUP($C71,'PIVOT TABLE GLOBAL'!$A$4:$F$2500,3,FALSE))),0,VLOOKUP($C71,'PIVOT TABLE GLOBAL'!$A$4:$F$2500,3,FALSE))+IF(OR($C72="",ISERROR(VLOOKUP($C72,'PIVOT TABLE GLOBAL'!$A$4:$F$2500,3,FALSE))),0,VLOOKUP($C72,'PIVOT TABLE GLOBAL'!$A$4:$F$2500,3,FALSE))+IF(OR($C73="",ISERROR(VLOOKUP($C73,'PIVOT TABLE GLOBAL'!$A$4:$F$2500,3,FALSE))),0,VLOOKUP($C73,'PIVOT TABLE GLOBAL'!$A$4:$F$2500,3,FALSE))+IF(OR($C74="",ISERROR(VLOOKUP($C74,'PIVOT TABLE GLOBAL'!$A$4:$F$2500,3,FALSE))),0,VLOOKUP($C74,'PIVOT TABLE GLOBAL'!$A$4:$F$2500,3,FALSE))+IF(OR($C75="",ISERROR(VLOOKUP($C75,'PIVOT TABLE GLOBAL'!$A$4:$F$2500,3,FALSE))),0,VLOOKUP($C75,'PIVOT TABLE GLOBAL'!$A$4:$F$2500,3,FALSE))+IF(OR($C76="",ISERROR(VLOOKUP($C76,'PIVOT TABLE GLOBAL'!$A$4:$F$2500,3,FALSE))),0,VLOOKUP($C76,'PIVOT TABLE GLOBAL'!$A$4:$F$2500,3,FALSE))+IF(OR($C77="",ISERROR(VLOOKUP($C77,'PIVOT TABLE GLOBAL'!$A$4:$F$2500,3,FALSE))),0,VLOOKUP($C77,'PIVOT TABLE GLOBAL'!$A$4:$F$2500,3,FALSE))+IF(OR($C78="",ISERROR(VLOOKUP($C78,'PIVOT TABLE GLOBAL'!$A$4:$F$2500,3,FALSE))),0,VLOOKUP($C78,'PIVOT TABLE GLOBAL'!$A$4:$F$2500,3,FALSE))+IF(OR($C79="",ISERROR(VLOOKUP($C79,'PIVOT TABLE GLOBAL'!$A$4:$F$2500,3,FALSE))),0,VLOOKUP($C79,'PIVOT TABLE GLOBAL'!$A$4:$F$2500,3,FALSE))+IF(OR($C80="",ISERROR(VLOOKUP($C80,'PIVOT TABLE GLOBAL'!$A$4:$F$2500,3,FALSE))),0,VLOOKUP($C80,'PIVOT TABLE GLOBAL'!$A$4:$F$2500,3,FALSE))+IF(OR($C81="",ISERROR(VLOOKUP($C81,'PIVOT TABLE GLOBAL'!$A$4:$F$2500,3,FALSE))),0,VLOOKUP($C81,'PIVOT TABLE GLOBAL'!$A$4:$F$2500,3,FALSE))+IF(OR($C82="",ISERROR(VLOOKUP($C82,'PIVOT TABLE GLOBAL'!$A$4:$F$2500,3,FALSE))),0,VLOOKUP($C82,'PIVOT TABLE GLOBAL'!$A$4:$F$2500,3,FALSE)))/(F83)</f>
        <v>0.39197517471496468</v>
      </c>
      <c r="I83" s="197">
        <f>SUBTOTAL(9,I64:I82)</f>
        <v>97</v>
      </c>
      <c r="J83" s="198">
        <f>(IF(OR($C64="",ISERROR(VLOOKUP($C64,'PIVOT TABLE GLOBAL'!$A$4:$F$2500,4,FALSE))),0,VLOOKUP($C64,'PIVOT TABLE GLOBAL'!$A$4:$F$2500,4,FALSE))+IF(OR($C65="",ISERROR(VLOOKUP($C65,'PIVOT TABLE GLOBAL'!$A$4:$F$2500,4,FALSE))),0,VLOOKUP($C65,'PIVOT TABLE GLOBAL'!$A$4:$F$2500,4,FALSE))+IF(OR($C66="",ISERROR(VLOOKUP($C66,'PIVOT TABLE GLOBAL'!$A$4:$F$2500,4,FALSE))),0,VLOOKUP($C66,'PIVOT TABLE GLOBAL'!$A$4:$F$2500,4,FALSE))+IF(OR($C67="",ISERROR(VLOOKUP($C67,'PIVOT TABLE GLOBAL'!$A$4:$F$2500,4,FALSE))),0,VLOOKUP($C67,'PIVOT TABLE GLOBAL'!$A$4:$F$2500,4,FALSE))+IF(OR($C68="",ISERROR(VLOOKUP($C68,'PIVOT TABLE GLOBAL'!$A$4:$F$2500,4,FALSE))),0,VLOOKUP($C68,'PIVOT TABLE GLOBAL'!$A$4:$F$2500,4,FALSE))+IF(OR($C69="",ISERROR(VLOOKUP($C69,'PIVOT TABLE GLOBAL'!$A$4:$F$2500,4,FALSE))),0,VLOOKUP($C69,'PIVOT TABLE GLOBAL'!$A$4:$F$2500,4,FALSE))+IF(OR($C70="",ISERROR(VLOOKUP($C70,'PIVOT TABLE GLOBAL'!$A$4:$F$2500,4,FALSE))),0,VLOOKUP($C70,'PIVOT TABLE GLOBAL'!$A$4:$F$2500,4,FALSE))+IF(OR($C71="",ISERROR(VLOOKUP($C71,'PIVOT TABLE GLOBAL'!$A$4:$F$2500,4,FALSE))),0,VLOOKUP($C71,'PIVOT TABLE GLOBAL'!$A$4:$F$2500,4,FALSE))+IF(OR($C72="",ISERROR(VLOOKUP($C72,'PIVOT TABLE GLOBAL'!$A$4:$F$2500,4,FALSE))),0,VLOOKUP($C72,'PIVOT TABLE GLOBAL'!$A$4:$F$2500,4,FALSE))+IF(OR($C73="",ISERROR(VLOOKUP($C73,'PIVOT TABLE GLOBAL'!$A$4:$F$2500,4,FALSE))),0,VLOOKUP($C73,'PIVOT TABLE GLOBAL'!$A$4:$F$2500,4,FALSE))+IF(OR($C74="",ISERROR(VLOOKUP($C74,'PIVOT TABLE GLOBAL'!$A$4:$F$2500,4,FALSE))),0,VLOOKUP($C74,'PIVOT TABLE GLOBAL'!$A$4:$F$2500,4,FALSE))+IF(OR($C75="",ISERROR(VLOOKUP($C75,'PIVOT TABLE GLOBAL'!$A$4:$F$2500,4,FALSE))),0,VLOOKUP($C75,'PIVOT TABLE GLOBAL'!$A$4:$F$2500,4,FALSE))+IF(OR($C76="",ISERROR(VLOOKUP($C76,'PIVOT TABLE GLOBAL'!$A$4:$F$2500,4,FALSE))),0,VLOOKUP($C76,'PIVOT TABLE GLOBAL'!$A$4:$F$2500,4,FALSE))+IF(OR($C77="",ISERROR(VLOOKUP($C77,'PIVOT TABLE GLOBAL'!$A$4:$F$2500,4,FALSE))),0,VLOOKUP($C77,'PIVOT TABLE GLOBAL'!$A$4:$F$2500,4,FALSE))+IF(OR($C78="",ISERROR(VLOOKUP($C78,'PIVOT TABLE GLOBAL'!$A$4:$F$2500,4,FALSE))),0,VLOOKUP($C78,'PIVOT TABLE GLOBAL'!$A$4:$F$2500,4,FALSE))+IF(OR($C79="",ISERROR(VLOOKUP($C79,'PIVOT TABLE GLOBAL'!$A$4:$F$2500,4,FALSE))),0,VLOOKUP($C79,'PIVOT TABLE GLOBAL'!$A$4:$F$2500,4,FALSE))+IF(OR($C80="",ISERROR(VLOOKUP($C80,'PIVOT TABLE GLOBAL'!$A$4:$F$2500,4,FALSE))),0,VLOOKUP($C80,'PIVOT TABLE GLOBAL'!$A$4:$F$2500,4,FALSE))+IF(OR($C81="",ISERROR(VLOOKUP($C81,'PIVOT TABLE GLOBAL'!$A$4:$F$2500,4,FALSE))),0,VLOOKUP($C81,'PIVOT TABLE GLOBAL'!$A$4:$F$2500,4,FALSE))+IF(OR($C82="",ISERROR(VLOOKUP($C82,'PIVOT TABLE GLOBAL'!$A$4:$F$2500,4,FALSE))),0,VLOOKUP($C82,'PIVOT TABLE GLOBAL'!$A$4:$F$2500,4,FALSE)))/(F83)</f>
        <v>5.6680782274377485E-2</v>
      </c>
      <c r="K83" s="195">
        <f>SUBTOTAL(9,K64:K82)</f>
        <v>27</v>
      </c>
      <c r="L83" s="404"/>
    </row>
    <row r="84" spans="1:12" s="71" customFormat="1" ht="16.8" thickTop="1" thickBot="1" x14ac:dyDescent="0.35">
      <c r="A84" s="185" t="s">
        <v>1460</v>
      </c>
      <c r="B84" s="297"/>
      <c r="C84" s="181">
        <f>SUBTOTAL(9,C11:C83)</f>
        <v>23</v>
      </c>
      <c r="D84" s="178"/>
      <c r="E84" s="179">
        <f>F84/F172</f>
        <v>0.42748252423694011</v>
      </c>
      <c r="F84" s="180">
        <f>SUBTOTAL(9,F11:F83)</f>
        <v>7081656425.7400007</v>
      </c>
      <c r="G84" s="181">
        <f>SUBTOTAL(9,G11:G83)</f>
        <v>648</v>
      </c>
      <c r="H84" s="182">
        <f>(F26*H26+F45*H45+F63*H63+F83*H83)/F84</f>
        <v>0.38115381609719168</v>
      </c>
      <c r="I84" s="183">
        <f>SUBTOTAL(9,I11:I83)</f>
        <v>248</v>
      </c>
      <c r="J84" s="184">
        <f>(F26*J26+F45*J45+F63*J63+F83*J83)/F84</f>
        <v>9.4967565300899781E-2</v>
      </c>
      <c r="K84" s="181">
        <f>SUBTOTAL(9,K11:K83)</f>
        <v>83</v>
      </c>
      <c r="L84" s="402"/>
    </row>
    <row r="85" spans="1:12" s="71" customFormat="1" ht="15.75" customHeight="1" thickTop="1" x14ac:dyDescent="0.25">
      <c r="A85" s="862" t="s">
        <v>967</v>
      </c>
      <c r="B85" s="861" t="s">
        <v>966</v>
      </c>
      <c r="C85" s="82" t="str">
        <f t="array" ref="C85">IFERROR(INDEX('C'!$C$1:$C$2479, SMALL(IF($B$85 = 'C'!$A$1:$A$2479, ROW('C'!$A$1:$A$2479) -
ROW('C'!$A$2) + 2), ROW(1:1))),"")</f>
        <v>CNAKAYIKI</v>
      </c>
      <c r="D85" s="553" t="str">
        <f t="array" ref="D85">IFERROR(INDEX('C'!$B$1:$B$2479, SMALL(IF($B$85 = 'C'!$A$1:$A$2479, ROW('C'!$A$1:$A$2479) -
ROW('C'!$A$2) + 2), ROW(1:1))),"")</f>
        <v>HOUSING</v>
      </c>
      <c r="E85" s="554">
        <f t="shared" ref="E85:E102" si="8">F85/$F$172</f>
        <v>5.3081010191955887E-2</v>
      </c>
      <c r="F85" s="555">
        <f>SUMIF('Global Portfolio'!$N$2:$N$2500,C85,'Global Portfolio'!$E$2:$E$2500)</f>
        <v>879337646.79999995</v>
      </c>
      <c r="G85" s="553">
        <f>IF('General Porfolio'!C85="",0,COUNTIF('Global Portfolio'!$N$2:$N$2500,'General Porfolio'!C85))</f>
        <v>63</v>
      </c>
      <c r="H85" s="558">
        <f>IF(OR($C$11:$C$3168="",ISERROR(VLOOKUP($C85,'PIVOT TABLE GLOBAL'!$A$4:$F$2500,3,FALSE))),"",VLOOKUP($C85,'PIVOT TABLE GLOBAL'!$A$4:$F$2500,3,FALSE)/F85)</f>
        <v>0.50475541375399691</v>
      </c>
      <c r="I85" s="559">
        <f>IF(OR($C$11:$C$167="",ISERROR(VLOOKUP($C85,'PIVOT TABLE GLOBAL'!$A$4:$G$2500,7,FALSE))),"",VLOOKUP($C85,'PIVOT TABLE GLOBAL'!$A$4:$G$2500,7,FALSE))</f>
        <v>35</v>
      </c>
      <c r="J85" s="558">
        <f>IF(OR($C$11:$C$167="",ISERROR(VLOOKUP($C85,'PIVOT TABLE GLOBAL'!$A$4:$F$2500,4,FALSE))),"",VLOOKUP($C85,'PIVOT TABLE GLOBAL'!$A$4:$F$2500,4,FALSE)/F85)</f>
        <v>0.24420768094197332</v>
      </c>
      <c r="K85" s="553">
        <f>IF(OR($C$11:$C$3168="",ISERROR(VLOOKUP($C85,'PIVOT TABLE GLOBAL'!$A$4:$H$2500,8,FALSE))),"",VLOOKUP($C85,'PIVOT TABLE GLOBAL'!$A$4:$H$2500,8,FALSE))</f>
        <v>19</v>
      </c>
      <c r="L85" s="559" t="str">
        <f>IFERROR(IF(I85/G85*100&gt;=30,"STOP",IF(AND(I85/G85*100&gt;=15,I85/G85*100&lt;30),"WATCH","NORMAL")),"")</f>
        <v>STOP</v>
      </c>
    </row>
    <row r="86" spans="1:12" s="71" customFormat="1" ht="15" customHeight="1" x14ac:dyDescent="0.25">
      <c r="A86" s="853"/>
      <c r="B86" s="861"/>
      <c r="C86" s="82" t="str">
        <f t="array" ref="C86">IFERROR(INDEX('C'!$C$1:$C$2479, SMALL(IF($B$85 = 'C'!$A$1:$A$2479, ROW('C'!$A$1:$A$2479) -
ROW('C'!$A$2) + 2), ROW(2:2))),"")</f>
        <v>EKOBUSINGE</v>
      </c>
      <c r="D86" s="553" t="str">
        <f t="array" ref="D86">IFERROR(INDEX('C'!$B$1:$B$2479, SMALL(IF($B$85 = 'C'!$A$1:$A$2479, ROW('C'!$A$1:$A$2479) -
ROW('C'!$A$2) + 2), ROW(2:2))),"")</f>
        <v>SME</v>
      </c>
      <c r="E86" s="554">
        <f t="shared" si="8"/>
        <v>6.3650186979961859E-2</v>
      </c>
      <c r="F86" s="555">
        <f>SUMIF('Global Portfolio'!$N$2:$N$2500,C86,'Global Portfolio'!$E$2:$E$2500)</f>
        <v>1054426157.9600002</v>
      </c>
      <c r="G86" s="553">
        <f>IF('General Porfolio'!C86="",0,COUNTIF('Global Portfolio'!$N$2:$N$2500,'General Porfolio'!C86))</f>
        <v>66</v>
      </c>
      <c r="H86" s="558">
        <f>IF(OR($C$11:$C$3168="",ISERROR(VLOOKUP($C86,'PIVOT TABLE GLOBAL'!$A$4:$F$2500,3,FALSE))),"",VLOOKUP($C86,'PIVOT TABLE GLOBAL'!$A$4:$F$2500,3,FALSE)/F86)</f>
        <v>0.45262801182148316</v>
      </c>
      <c r="I86" s="559">
        <f>IF(OR($C$11:$C$167="",ISERROR(VLOOKUP($C86,'PIVOT TABLE GLOBAL'!$A$4:$G$2500,7,FALSE))),"",VLOOKUP($C86,'PIVOT TABLE GLOBAL'!$A$4:$G$2500,7,FALSE))</f>
        <v>31</v>
      </c>
      <c r="J86" s="558">
        <f>IF(OR($C$11:$C$167="",ISERROR(VLOOKUP($C86,'PIVOT TABLE GLOBAL'!$A$4:$F$2500,4,FALSE))),"",VLOOKUP($C86,'PIVOT TABLE GLOBAL'!$A$4:$F$2500,4,FALSE)/F86)</f>
        <v>4.8148693833832162E-2</v>
      </c>
      <c r="K86" s="553">
        <f>IF(OR($C$11:$C$3168="",ISERROR(VLOOKUP($C86,'PIVOT TABLE GLOBAL'!$A$4:$H$2500,8,FALSE))),"",VLOOKUP($C86,'PIVOT TABLE GLOBAL'!$A$4:$H$2500,8,FALSE))</f>
        <v>6</v>
      </c>
      <c r="L86" s="559" t="str">
        <f t="shared" ref="L86:L102" si="9">IFERROR(IF(I86/G86*100&gt;=30,"STOP",IF(AND(I86/G86*100&gt;=15,I86/G86*100&lt;30),"WATCH","NORMAL")),"")</f>
        <v>STOP</v>
      </c>
    </row>
    <row r="87" spans="1:12" s="71" customFormat="1" ht="15" customHeight="1" x14ac:dyDescent="0.25">
      <c r="A87" s="853"/>
      <c r="B87" s="861"/>
      <c r="C87" s="82" t="str">
        <f t="array" ref="C87">IFERROR(INDEX('C'!$C$1:$C$2479, SMALL(IF($B$85 = 'C'!$A$1:$A$2479, ROW('C'!$A$1:$A$2479) -
ROW('C'!$A$2) + 2), ROW(3:3))),"")</f>
        <v>ANABISERE</v>
      </c>
      <c r="D87" s="553" t="str">
        <f t="array" ref="D87">IFERROR(INDEX('C'!$B$1:$B$2479, SMALL(IF($B$85 = 'C'!$A$1:$A$2479, ROW('C'!$A$1:$A$2479) -
ROW('C'!$A$2) + 2), ROW(3:3))),"")</f>
        <v>SME</v>
      </c>
      <c r="E87" s="554">
        <f t="shared" si="8"/>
        <v>5.1709277209613061E-2</v>
      </c>
      <c r="F87" s="555">
        <f>SUMIF('Global Portfolio'!$N$2:$N$2500,C87,'Global Portfolio'!$E$2:$E$2500)</f>
        <v>856613579.40999985</v>
      </c>
      <c r="G87" s="553">
        <f>IF('General Porfolio'!C87="",0,COUNTIF('Global Portfolio'!$N$2:$N$2500,'General Porfolio'!C87))</f>
        <v>61</v>
      </c>
      <c r="H87" s="558">
        <f>IF(OR($C$11:$C$3168="",ISERROR(VLOOKUP($C87,'PIVOT TABLE GLOBAL'!$A$4:$F$2500,3,FALSE))),"",VLOOKUP($C87,'PIVOT TABLE GLOBAL'!$A$4:$F$2500,3,FALSE)/F87)</f>
        <v>0.40147814450580172</v>
      </c>
      <c r="I87" s="559">
        <f>IF(OR($C$11:$C$167="",ISERROR(VLOOKUP($C87,'PIVOT TABLE GLOBAL'!$A$4:$G$2500,7,FALSE))),"",VLOOKUP($C87,'PIVOT TABLE GLOBAL'!$A$4:$G$2500,7,FALSE))</f>
        <v>32</v>
      </c>
      <c r="J87" s="558">
        <f>IF(OR($C$11:$C$167="",ISERROR(VLOOKUP($C87,'PIVOT TABLE GLOBAL'!$A$4:$F$2500,4,FALSE))),"",VLOOKUP($C87,'PIVOT TABLE GLOBAL'!$A$4:$F$2500,4,FALSE)/F87)</f>
        <v>0.17413735340588585</v>
      </c>
      <c r="K87" s="553">
        <f>IF(OR($C$11:$C$3168="",ISERROR(VLOOKUP($C87,'PIVOT TABLE GLOBAL'!$A$4:$H$2500,8,FALSE))),"",VLOOKUP($C87,'PIVOT TABLE GLOBAL'!$A$4:$H$2500,8,FALSE))</f>
        <v>10</v>
      </c>
      <c r="L87" s="559" t="str">
        <f t="shared" si="9"/>
        <v>STOP</v>
      </c>
    </row>
    <row r="88" spans="1:12" s="71" customFormat="1" ht="12" customHeight="1" thickBot="1" x14ac:dyDescent="0.3">
      <c r="A88" s="853"/>
      <c r="B88" s="861"/>
      <c r="C88" s="82" t="str">
        <f t="array" ref="C88">IFERROR(INDEX('C'!$C$1:$C$2479, SMALL(IF($B$85 = 'C'!$A$1:$A$2479, ROW('C'!$A$1:$A$2479) -
ROW('C'!$A$2) + 2), ROW(4:4))),"")</f>
        <v>AMWEBE</v>
      </c>
      <c r="D88" s="553" t="str">
        <f t="array" ref="D88">IFERROR(INDEX('C'!$B$1:$B$2479, SMALL(IF($B$85 = 'C'!$A$1:$A$2479, ROW('C'!$A$1:$A$2479) -
ROW('C'!$A$2) + 2), ROW(4:4))),"")</f>
        <v>WTM</v>
      </c>
      <c r="E88" s="554">
        <f t="shared" si="8"/>
        <v>2.3623861299843767E-2</v>
      </c>
      <c r="F88" s="555">
        <f>SUMIF('Global Portfolio'!$N$2:$N$2500,C88,'Global Portfolio'!$E$2:$E$2500)</f>
        <v>391351832.3900001</v>
      </c>
      <c r="G88" s="553">
        <f>IF('General Porfolio'!C88="",0,COUNTIF('Global Portfolio'!$N$2:$N$2500,'General Porfolio'!C88))</f>
        <v>31</v>
      </c>
      <c r="H88" s="558">
        <f>IF(OR($C$11:$C$3168="",ISERROR(VLOOKUP($C88,'PIVOT TABLE GLOBAL'!$A$4:$F$2500,3,FALSE))),"",VLOOKUP($C88,'PIVOT TABLE GLOBAL'!$A$4:$F$2500,3,FALSE)/F88)</f>
        <v>0.43212975203721371</v>
      </c>
      <c r="I88" s="559">
        <f>IF(OR($C$11:$C$167="",ISERROR(VLOOKUP($C88,'PIVOT TABLE GLOBAL'!$A$4:$G$2500,7,FALSE))),"",VLOOKUP($C88,'PIVOT TABLE GLOBAL'!$A$4:$G$2500,7,FALSE))</f>
        <v>14</v>
      </c>
      <c r="J88" s="558">
        <f>IF(OR($C$11:$C$167="",ISERROR(VLOOKUP($C88,'PIVOT TABLE GLOBAL'!$A$4:$F$2500,4,FALSE))),"",VLOOKUP($C88,'PIVOT TABLE GLOBAL'!$A$4:$F$2500,4,FALSE)/F88)</f>
        <v>0.12763779677469669</v>
      </c>
      <c r="K88" s="553">
        <f>IF(OR($C$11:$C$3168="",ISERROR(VLOOKUP($C88,'PIVOT TABLE GLOBAL'!$A$4:$H$2500,8,FALSE))),"",VLOOKUP($C88,'PIVOT TABLE GLOBAL'!$A$4:$H$2500,8,FALSE))</f>
        <v>3</v>
      </c>
      <c r="L88" s="559" t="str">
        <f t="shared" si="9"/>
        <v>STOP</v>
      </c>
    </row>
    <row r="89" spans="1:12" s="71" customFormat="1" ht="15" hidden="1" customHeight="1" thickBot="1" x14ac:dyDescent="0.3">
      <c r="A89" s="853"/>
      <c r="B89" s="861"/>
      <c r="C89" s="82" t="str">
        <f t="array" ref="C89">IFERROR(INDEX('C'!$C$1:$C$2479, SMALL(IF($B$85 = 'C'!$A$1:$A$2479, ROW('C'!$A$1:$A$2479) -
ROW('C'!$A$2) + 2), ROW(5:5))),"")</f>
        <v/>
      </c>
      <c r="D89" s="553" t="str">
        <f t="array" ref="D89">IFERROR(INDEX('C'!$B$1:$B$2479, SMALL(IF($B$85 = 'C'!$A$1:$A$2479, ROW('C'!$A$1:$A$2479) -
ROW('C'!$A$2) + 2), ROW(5:5))),"")</f>
        <v/>
      </c>
      <c r="E89" s="554">
        <f t="shared" si="8"/>
        <v>0</v>
      </c>
      <c r="F89" s="555">
        <f>SUMIF('Global Portfolio'!$N$2:$N$2500,C89,'Global Portfolio'!$E$2:$E$2500)</f>
        <v>0</v>
      </c>
      <c r="G89" s="553">
        <f>IF('General Porfolio'!C89="",0,COUNTIF('Global Portfolio'!$N$2:$N$2500,'General Porfolio'!C89))</f>
        <v>0</v>
      </c>
      <c r="H89" s="558" t="str">
        <f>IF(OR($C$11:$C$3168="",ISERROR(VLOOKUP($C89,'PIVOT TABLE GLOBAL'!$A$4:$F$2500,3,FALSE))),"",VLOOKUP($C89,'PIVOT TABLE GLOBAL'!$A$4:$F$2500,3,FALSE)/F89)</f>
        <v/>
      </c>
      <c r="I89" s="559" t="str">
        <f>IF(OR($C$11:$C$167="",ISERROR(VLOOKUP($C89,'PIVOT TABLE GLOBAL'!$A$4:$G$2500,7,FALSE))),"",VLOOKUP($C89,'PIVOT TABLE GLOBAL'!$A$4:$G$2500,7,FALSE))</f>
        <v/>
      </c>
      <c r="J89" s="558" t="str">
        <f>IF(OR($C$11:$C$167="",ISERROR(VLOOKUP($C89,'PIVOT TABLE GLOBAL'!$A$4:$F$2500,4,FALSE))),"",VLOOKUP($C89,'PIVOT TABLE GLOBAL'!$A$4:$F$2500,4,FALSE)/F89)</f>
        <v/>
      </c>
      <c r="K89" s="553" t="str">
        <f>IF(OR($C$11:$C$3168="",ISERROR(VLOOKUP($C89,'PIVOT TABLE GLOBAL'!$A$4:$H$2500,8,FALSE))),"",VLOOKUP($C89,'PIVOT TABLE GLOBAL'!$A$4:$H$2500,8,FALSE))</f>
        <v/>
      </c>
      <c r="L89" s="559" t="str">
        <f t="shared" si="9"/>
        <v/>
      </c>
    </row>
    <row r="90" spans="1:12" s="71" customFormat="1" ht="15" hidden="1" customHeight="1" x14ac:dyDescent="0.25">
      <c r="A90" s="853"/>
      <c r="B90" s="861"/>
      <c r="C90" s="82" t="str">
        <f t="array" ref="C90">IFERROR(INDEX('C'!$C$1:$C$2479, SMALL(IF($B$85 = 'C'!$A$1:$A$2479, ROW('C'!$A$1:$A$2479) -
ROW('C'!$A$2) + 2), ROW(6:6))),"")</f>
        <v/>
      </c>
      <c r="D90" s="553" t="str">
        <f t="array" ref="D90">IFERROR(INDEX('C'!$B$1:$B$2479, SMALL(IF($B$85 = 'C'!$A$1:$A$2479, ROW('C'!$A$1:$A$2479) -
ROW('C'!$A$2) + 2), ROW(6:6))),"")</f>
        <v/>
      </c>
      <c r="E90" s="554">
        <f t="shared" si="8"/>
        <v>0</v>
      </c>
      <c r="F90" s="555">
        <f>SUMIF('Global Portfolio'!$N$2:$N$2500,C90,'Global Portfolio'!$E$2:$E$2500)</f>
        <v>0</v>
      </c>
      <c r="G90" s="553">
        <f>IF('General Porfolio'!C90="",0,COUNTIF('Global Portfolio'!$N$2:$N$2500,'General Porfolio'!C90))</f>
        <v>0</v>
      </c>
      <c r="H90" s="558" t="str">
        <f>IF(OR($C$11:$C$3168="",ISERROR(VLOOKUP($C90,'PIVOT TABLE GLOBAL'!$A$4:$F$2500,3,FALSE))),"",VLOOKUP($C90,'PIVOT TABLE GLOBAL'!$A$4:$F$2500,3,FALSE)/F90)</f>
        <v/>
      </c>
      <c r="I90" s="559" t="str">
        <f>IF(OR($C$11:$C$167="",ISERROR(VLOOKUP($C90,'PIVOT TABLE GLOBAL'!$A$4:$G$2500,7,FALSE))),"",VLOOKUP($C90,'PIVOT TABLE GLOBAL'!$A$4:$G$2500,7,FALSE))</f>
        <v/>
      </c>
      <c r="J90" s="558" t="str">
        <f>IF(OR($C$11:$C$167="",ISERROR(VLOOKUP($C90,'PIVOT TABLE GLOBAL'!$A$4:$F$2500,4,FALSE))),"",VLOOKUP($C90,'PIVOT TABLE GLOBAL'!$A$4:$F$2500,4,FALSE)/F90)</f>
        <v/>
      </c>
      <c r="K90" s="553" t="str">
        <f>IF(OR($C$11:$C$3168="",ISERROR(VLOOKUP($C90,'PIVOT TABLE GLOBAL'!$A$4:$H$2500,8,FALSE))),"",VLOOKUP($C90,'PIVOT TABLE GLOBAL'!$A$4:$H$2500,8,FALSE))</f>
        <v/>
      </c>
      <c r="L90" s="559" t="str">
        <f t="shared" si="9"/>
        <v/>
      </c>
    </row>
    <row r="91" spans="1:12" s="71" customFormat="1" ht="15" hidden="1" customHeight="1" x14ac:dyDescent="0.25">
      <c r="A91" s="853"/>
      <c r="B91" s="861"/>
      <c r="C91" s="82" t="str">
        <f t="array" ref="C91">IFERROR(INDEX('C'!$C$1:$C$2479, SMALL(IF($B$85 = 'C'!$A$1:$A$2479, ROW('C'!$A$1:$A$2479) -
ROW('C'!$A$2) + 2), ROW(7:7))),"")</f>
        <v/>
      </c>
      <c r="D91" s="553" t="str">
        <f t="array" ref="D91">IFERROR(INDEX('C'!$B$1:$B$2479, SMALL(IF($B$85 = 'C'!$A$1:$A$2479, ROW('C'!$A$1:$A$2479) -
ROW('C'!$A$2) + 2), ROW(7:7))),"")</f>
        <v/>
      </c>
      <c r="E91" s="554">
        <f t="shared" si="8"/>
        <v>0</v>
      </c>
      <c r="F91" s="555">
        <f>SUMIF('Global Portfolio'!$N$2:$N$2500,C91,'Global Portfolio'!$E$2:$E$2500)</f>
        <v>0</v>
      </c>
      <c r="G91" s="553">
        <f>IF('General Porfolio'!C91="",0,COUNTIF('Global Portfolio'!$N$2:$N$2500,'General Porfolio'!C91))</f>
        <v>0</v>
      </c>
      <c r="H91" s="558" t="str">
        <f>IF(OR($C$11:$C$3168="",ISERROR(VLOOKUP($C91,'PIVOT TABLE GLOBAL'!$A$4:$F$2500,3,FALSE))),"",VLOOKUP($C91,'PIVOT TABLE GLOBAL'!$A$4:$F$2500,3,FALSE)/F91)</f>
        <v/>
      </c>
      <c r="I91" s="559" t="str">
        <f>IF(OR($C$11:$C$167="",ISERROR(VLOOKUP($C91,'PIVOT TABLE GLOBAL'!$A$4:$G$2500,7,FALSE))),"",VLOOKUP($C91,'PIVOT TABLE GLOBAL'!$A$4:$G$2500,7,FALSE))</f>
        <v/>
      </c>
      <c r="J91" s="558" t="str">
        <f>IF(OR($C$11:$C$167="",ISERROR(VLOOKUP($C91,'PIVOT TABLE GLOBAL'!$A$4:$F$2500,4,FALSE))),"",VLOOKUP($C91,'PIVOT TABLE GLOBAL'!$A$4:$F$2500,4,FALSE)/F91)</f>
        <v/>
      </c>
      <c r="K91" s="553" t="str">
        <f>IF(OR($C$11:$C$3168="",ISERROR(VLOOKUP($C91,'PIVOT TABLE GLOBAL'!$A$4:$H$2500,8,FALSE))),"",VLOOKUP($C91,'PIVOT TABLE GLOBAL'!$A$4:$H$2500,8,FALSE))</f>
        <v/>
      </c>
      <c r="L91" s="559" t="str">
        <f t="shared" si="9"/>
        <v/>
      </c>
    </row>
    <row r="92" spans="1:12" s="71" customFormat="1" ht="15" hidden="1" customHeight="1" x14ac:dyDescent="0.25">
      <c r="A92" s="853"/>
      <c r="B92" s="861"/>
      <c r="C92" s="82" t="str">
        <f t="array" ref="C92">IFERROR(INDEX('C'!$C$1:$C$2479, SMALL(IF($B$85 = 'C'!$A$1:$A$2479, ROW('C'!$A$1:$A$2479) -
ROW('C'!$A$2) + 2), ROW(8:8))),"")</f>
        <v/>
      </c>
      <c r="D92" s="553" t="str">
        <f t="array" ref="D92">IFERROR(INDEX('C'!$B$1:$B$2479, SMALL(IF($B$85 = 'C'!$A$1:$A$2479, ROW('C'!$A$1:$A$2479) -
ROW('C'!$A$2) + 2), ROW(8:8))),"")</f>
        <v/>
      </c>
      <c r="E92" s="554">
        <f t="shared" si="8"/>
        <v>0</v>
      </c>
      <c r="F92" s="555">
        <f>SUMIF('Global Portfolio'!$N$2:$N$2500,C92,'Global Portfolio'!$E$2:$E$2500)</f>
        <v>0</v>
      </c>
      <c r="G92" s="553">
        <f>IF('General Porfolio'!C92="",0,COUNTIF('Global Portfolio'!$N$2:$N$2500,'General Porfolio'!C92))</f>
        <v>0</v>
      </c>
      <c r="H92" s="558" t="str">
        <f>IF(OR($C$11:$C$3168="",ISERROR(VLOOKUP($C92,'PIVOT TABLE GLOBAL'!$A$4:$F$2500,3,FALSE))),"",VLOOKUP($C92,'PIVOT TABLE GLOBAL'!$A$4:$F$2500,3,FALSE)/F92)</f>
        <v/>
      </c>
      <c r="I92" s="559" t="str">
        <f>IF(OR($C$11:$C$167="",ISERROR(VLOOKUP($C92,'PIVOT TABLE GLOBAL'!$A$4:$G$2500,7,FALSE))),"",VLOOKUP($C92,'PIVOT TABLE GLOBAL'!$A$4:$G$2500,7,FALSE))</f>
        <v/>
      </c>
      <c r="J92" s="558" t="str">
        <f>IF(OR($C$11:$C$167="",ISERROR(VLOOKUP($C92,'PIVOT TABLE GLOBAL'!$A$4:$F$2500,4,FALSE))),"",VLOOKUP($C92,'PIVOT TABLE GLOBAL'!$A$4:$F$2500,4,FALSE)/F92)</f>
        <v/>
      </c>
      <c r="K92" s="553" t="str">
        <f>IF(OR($C$11:$C$3168="",ISERROR(VLOOKUP($C92,'PIVOT TABLE GLOBAL'!$A$4:$H$2500,8,FALSE))),"",VLOOKUP($C92,'PIVOT TABLE GLOBAL'!$A$4:$H$2500,8,FALSE))</f>
        <v/>
      </c>
      <c r="L92" s="559" t="str">
        <f t="shared" si="9"/>
        <v/>
      </c>
    </row>
    <row r="93" spans="1:12" s="71" customFormat="1" ht="15" hidden="1" customHeight="1" x14ac:dyDescent="0.25">
      <c r="A93" s="853"/>
      <c r="B93" s="861"/>
      <c r="C93" s="82" t="str">
        <f t="array" ref="C93">IFERROR(INDEX('C'!$C$1:$C$2479, SMALL(IF($B$85 = 'C'!$A$1:$A$2479, ROW('C'!$A$1:$A$2479) -
ROW('C'!$A$2) + 2), ROW(9:9))),"")</f>
        <v/>
      </c>
      <c r="D93" s="553" t="str">
        <f t="array" ref="D93">IFERROR(INDEX('C'!$B$1:$B$2479, SMALL(IF($B$85 = 'C'!$A$1:$A$2479, ROW('C'!$A$1:$A$2479) -
ROW('C'!$A$2) + 2), ROW(9:9))),"")</f>
        <v/>
      </c>
      <c r="E93" s="554">
        <f t="shared" si="8"/>
        <v>0</v>
      </c>
      <c r="F93" s="555">
        <f>SUMIF('Global Portfolio'!$N$2:$N$2500,C93,'Global Portfolio'!$E$2:$E$2500)</f>
        <v>0</v>
      </c>
      <c r="G93" s="553">
        <f>IF('General Porfolio'!C93="",0,COUNTIF('Global Portfolio'!$N$2:$N$2500,'General Porfolio'!C93))</f>
        <v>0</v>
      </c>
      <c r="H93" s="558" t="str">
        <f>IF(OR($C$11:$C$3168="",ISERROR(VLOOKUP($C93,'PIVOT TABLE GLOBAL'!$A$4:$F$2500,3,FALSE))),"",VLOOKUP($C93,'PIVOT TABLE GLOBAL'!$A$4:$F$2500,3,FALSE)/F93)</f>
        <v/>
      </c>
      <c r="I93" s="559" t="str">
        <f>IF(OR($C$11:$C$167="",ISERROR(VLOOKUP($C93,'PIVOT TABLE GLOBAL'!$A$4:$G$2500,7,FALSE))),"",VLOOKUP($C93,'PIVOT TABLE GLOBAL'!$A$4:$G$2500,7,FALSE))</f>
        <v/>
      </c>
      <c r="J93" s="558" t="str">
        <f>IF(OR($C$11:$C$167="",ISERROR(VLOOKUP($C93,'PIVOT TABLE GLOBAL'!$A$4:$F$2500,4,FALSE))),"",VLOOKUP($C93,'PIVOT TABLE GLOBAL'!$A$4:$F$2500,4,FALSE)/F93)</f>
        <v/>
      </c>
      <c r="K93" s="553" t="str">
        <f>IF(OR($C$11:$C$3168="",ISERROR(VLOOKUP($C93,'PIVOT TABLE GLOBAL'!$A$4:$H$2500,8,FALSE))),"",VLOOKUP($C93,'PIVOT TABLE GLOBAL'!$A$4:$H$2500,8,FALSE))</f>
        <v/>
      </c>
      <c r="L93" s="559" t="str">
        <f t="shared" si="9"/>
        <v/>
      </c>
    </row>
    <row r="94" spans="1:12" s="71" customFormat="1" ht="15" hidden="1" customHeight="1" x14ac:dyDescent="0.25">
      <c r="A94" s="853"/>
      <c r="B94" s="861"/>
      <c r="C94" s="82" t="str">
        <f t="array" ref="C94">IFERROR(INDEX('C'!$C$1:$C$2479, SMALL(IF($B$85 = 'C'!$A$1:$A$2479, ROW('C'!$A$1:$A$2479) -
ROW('C'!$A$2) + 2), ROW(10:10))),"")</f>
        <v/>
      </c>
      <c r="D94" s="553" t="str">
        <f t="array" ref="D94">IFERROR(INDEX('C'!$B$1:$B$2479, SMALL(IF($B$85 = 'C'!$A$1:$A$2479, ROW('C'!$A$1:$A$2479) -
ROW('C'!$A$2) + 2), ROW(10:10))),"")</f>
        <v/>
      </c>
      <c r="E94" s="554">
        <f t="shared" si="8"/>
        <v>0</v>
      </c>
      <c r="F94" s="555">
        <f>SUMIF('Global Portfolio'!$N$2:$N$2500,C94,'Global Portfolio'!$E$2:$E$2500)</f>
        <v>0</v>
      </c>
      <c r="G94" s="553">
        <f>IF('General Porfolio'!C94="",0,COUNTIF('Global Portfolio'!$N$2:$N$2500,'General Porfolio'!C94))</f>
        <v>0</v>
      </c>
      <c r="H94" s="558" t="str">
        <f>IF(OR($C$11:$C$3168="",ISERROR(VLOOKUP($C94,'PIVOT TABLE GLOBAL'!$A$4:$F$2500,3,FALSE))),"",VLOOKUP($C94,'PIVOT TABLE GLOBAL'!$A$4:$F$2500,3,FALSE)/F94)</f>
        <v/>
      </c>
      <c r="I94" s="559" t="str">
        <f>IF(OR($C$11:$C$167="",ISERROR(VLOOKUP($C94,'PIVOT TABLE GLOBAL'!$A$4:$G$2500,7,FALSE))),"",VLOOKUP($C94,'PIVOT TABLE GLOBAL'!$A$4:$G$2500,7,FALSE))</f>
        <v/>
      </c>
      <c r="J94" s="558" t="str">
        <f>IF(OR($C$11:$C$167="",ISERROR(VLOOKUP($C94,'PIVOT TABLE GLOBAL'!$A$4:$F$2500,4,FALSE))),"",VLOOKUP($C94,'PIVOT TABLE GLOBAL'!$A$4:$F$2500,4,FALSE)/F94)</f>
        <v/>
      </c>
      <c r="K94" s="553" t="str">
        <f>IF(OR($C$11:$C$3168="",ISERROR(VLOOKUP($C94,'PIVOT TABLE GLOBAL'!$A$4:$H$2500,8,FALSE))),"",VLOOKUP($C94,'PIVOT TABLE GLOBAL'!$A$4:$H$2500,8,FALSE))</f>
        <v/>
      </c>
      <c r="L94" s="559" t="str">
        <f t="shared" si="9"/>
        <v/>
      </c>
    </row>
    <row r="95" spans="1:12" s="71" customFormat="1" ht="15" hidden="1" customHeight="1" x14ac:dyDescent="0.25">
      <c r="A95" s="853"/>
      <c r="B95" s="861"/>
      <c r="C95" s="82" t="str">
        <f t="array" ref="C95">IFERROR(INDEX('C'!$C$1:$C$2479, SMALL(IF($B$85 = 'C'!$A$1:$A$2479, ROW('C'!$A$1:$A$2479) -
ROW('C'!$A$2) + 2), ROW(11:11))),"")</f>
        <v/>
      </c>
      <c r="D95" s="553" t="str">
        <f t="array" ref="D95">IFERROR(INDEX('C'!$B$1:$B$2479, SMALL(IF($B$85 = 'C'!$A$1:$A$2479, ROW('C'!$A$1:$A$2479) -
ROW('C'!$A$2) + 2), ROW(11:11))),"")</f>
        <v/>
      </c>
      <c r="E95" s="554">
        <f t="shared" si="8"/>
        <v>0</v>
      </c>
      <c r="F95" s="555">
        <f>SUMIF('Global Portfolio'!$N$2:$N$2500,C95,'Global Portfolio'!$E$2:$E$2500)</f>
        <v>0</v>
      </c>
      <c r="G95" s="553">
        <f>IF('General Porfolio'!C95="",0,COUNTIF('Global Portfolio'!$N$2:$N$2500,'General Porfolio'!C95))</f>
        <v>0</v>
      </c>
      <c r="H95" s="558" t="str">
        <f>IF(OR($C$11:$C$3168="",ISERROR(VLOOKUP($C95,'PIVOT TABLE GLOBAL'!$A$4:$F$2500,3,FALSE))),"",VLOOKUP($C95,'PIVOT TABLE GLOBAL'!$A$4:$F$2500,3,FALSE)/F95)</f>
        <v/>
      </c>
      <c r="I95" s="559" t="str">
        <f>IF(OR($C$11:$C$167="",ISERROR(VLOOKUP($C95,'PIVOT TABLE GLOBAL'!$A$4:$G$2500,7,FALSE))),"",VLOOKUP($C95,'PIVOT TABLE GLOBAL'!$A$4:$G$2500,7,FALSE))</f>
        <v/>
      </c>
      <c r="J95" s="558" t="str">
        <f>IF(OR($C$11:$C$167="",ISERROR(VLOOKUP($C95,'PIVOT TABLE GLOBAL'!$A$4:$F$2500,4,FALSE))),"",VLOOKUP($C95,'PIVOT TABLE GLOBAL'!$A$4:$F$2500,4,FALSE)/F95)</f>
        <v/>
      </c>
      <c r="K95" s="553" t="str">
        <f>IF(OR($C$11:$C$3168="",ISERROR(VLOOKUP($C95,'PIVOT TABLE GLOBAL'!$A$4:$H$2500,8,FALSE))),"",VLOOKUP($C95,'PIVOT TABLE GLOBAL'!$A$4:$H$2500,8,FALSE))</f>
        <v/>
      </c>
      <c r="L95" s="559" t="str">
        <f t="shared" si="9"/>
        <v/>
      </c>
    </row>
    <row r="96" spans="1:12" s="71" customFormat="1" ht="15" hidden="1" customHeight="1" x14ac:dyDescent="0.25">
      <c r="A96" s="853"/>
      <c r="B96" s="861"/>
      <c r="C96" s="82" t="str">
        <f t="array" ref="C96">IFERROR(INDEX('C'!$C$1:$C$2479, SMALL(IF($B$85 = 'C'!$A$1:$A$2479, ROW('C'!$A$1:$A$2479) -
ROW('C'!$A$2) + 2), ROW(12:12))),"")</f>
        <v/>
      </c>
      <c r="D96" s="553" t="str">
        <f t="array" ref="D96">IFERROR(INDEX('C'!$B$1:$B$2479, SMALL(IF($B$85 = 'C'!$A$1:$A$2479, ROW('C'!$A$1:$A$2479) -
ROW('C'!$A$2) + 2), ROW(12:12))),"")</f>
        <v/>
      </c>
      <c r="E96" s="554">
        <f t="shared" si="8"/>
        <v>0</v>
      </c>
      <c r="F96" s="555">
        <f>SUMIF('Global Portfolio'!$N$2:$N$2500,C96,'Global Portfolio'!$E$2:$E$2500)</f>
        <v>0</v>
      </c>
      <c r="G96" s="553">
        <f>IF('General Porfolio'!C96="",0,COUNTIF('Global Portfolio'!$N$2:$N$2500,'General Porfolio'!C96))</f>
        <v>0</v>
      </c>
      <c r="H96" s="558" t="str">
        <f>IF(OR($C$11:$C$3168="",ISERROR(VLOOKUP($C96,'PIVOT TABLE GLOBAL'!$A$4:$F$2500,3,FALSE))),"",VLOOKUP($C96,'PIVOT TABLE GLOBAL'!$A$4:$F$2500,3,FALSE)/F96)</f>
        <v/>
      </c>
      <c r="I96" s="559" t="str">
        <f>IF(OR($C$11:$C$167="",ISERROR(VLOOKUP($C96,'PIVOT TABLE GLOBAL'!$A$4:$G$2500,7,FALSE))),"",VLOOKUP($C96,'PIVOT TABLE GLOBAL'!$A$4:$G$2500,7,FALSE))</f>
        <v/>
      </c>
      <c r="J96" s="558" t="str">
        <f>IF(OR($C$11:$C$167="",ISERROR(VLOOKUP($C96,'PIVOT TABLE GLOBAL'!$A$4:$F$2500,4,FALSE))),"",VLOOKUP($C96,'PIVOT TABLE GLOBAL'!$A$4:$F$2500,4,FALSE)/F96)</f>
        <v/>
      </c>
      <c r="K96" s="553" t="str">
        <f>IF(OR($C$11:$C$3168="",ISERROR(VLOOKUP($C96,'PIVOT TABLE GLOBAL'!$A$4:$H$2500,8,FALSE))),"",VLOOKUP($C96,'PIVOT TABLE GLOBAL'!$A$4:$H$2500,8,FALSE))</f>
        <v/>
      </c>
      <c r="L96" s="559" t="str">
        <f t="shared" si="9"/>
        <v/>
      </c>
    </row>
    <row r="97" spans="1:12" s="71" customFormat="1" ht="15" hidden="1" customHeight="1" x14ac:dyDescent="0.25">
      <c r="A97" s="853"/>
      <c r="B97" s="861"/>
      <c r="C97" s="82" t="str">
        <f t="array" ref="C97">IFERROR(INDEX('C'!$C$1:$C$2479, SMALL(IF($B$85 = 'C'!$A$1:$A$2479, ROW('C'!$A$1:$A$2479) -
ROW('C'!$A$2) + 2), ROW(13:13))),"")</f>
        <v/>
      </c>
      <c r="D97" s="553" t="str">
        <f t="array" ref="D97">IFERROR(INDEX('C'!$B$1:$B$2479, SMALL(IF($B$85 = 'C'!$A$1:$A$2479, ROW('C'!$A$1:$A$2479) -
ROW('C'!$A$2) + 2), ROW(13:13))),"")</f>
        <v/>
      </c>
      <c r="E97" s="554">
        <f t="shared" si="8"/>
        <v>0</v>
      </c>
      <c r="F97" s="555">
        <f>SUMIF('Global Portfolio'!$N$2:$N$2500,C97,'Global Portfolio'!$E$2:$E$2500)</f>
        <v>0</v>
      </c>
      <c r="G97" s="553">
        <f>IF('General Porfolio'!C97="",0,COUNTIF('Global Portfolio'!$N$2:$N$2500,'General Porfolio'!C97))</f>
        <v>0</v>
      </c>
      <c r="H97" s="558" t="str">
        <f>IF(OR($C$11:$C$3168="",ISERROR(VLOOKUP($C97,'PIVOT TABLE GLOBAL'!$A$4:$F$2500,3,FALSE))),"",VLOOKUP($C97,'PIVOT TABLE GLOBAL'!$A$4:$F$2500,3,FALSE)/F97)</f>
        <v/>
      </c>
      <c r="I97" s="559" t="str">
        <f>IF(OR($C$11:$C$167="",ISERROR(VLOOKUP($C97,'PIVOT TABLE GLOBAL'!$A$4:$G$2500,7,FALSE))),"",VLOOKUP($C97,'PIVOT TABLE GLOBAL'!$A$4:$G$2500,7,FALSE))</f>
        <v/>
      </c>
      <c r="J97" s="558" t="str">
        <f>IF(OR($C$11:$C$167="",ISERROR(VLOOKUP($C97,'PIVOT TABLE GLOBAL'!$A$4:$F$2500,4,FALSE))),"",VLOOKUP($C97,'PIVOT TABLE GLOBAL'!$A$4:$F$2500,4,FALSE)/F97)</f>
        <v/>
      </c>
      <c r="K97" s="553" t="str">
        <f>IF(OR($C$11:$C$3168="",ISERROR(VLOOKUP($C97,'PIVOT TABLE GLOBAL'!$A$4:$H$2500,8,FALSE))),"",VLOOKUP($C97,'PIVOT TABLE GLOBAL'!$A$4:$H$2500,8,FALSE))</f>
        <v/>
      </c>
      <c r="L97" s="559" t="str">
        <f t="shared" si="9"/>
        <v/>
      </c>
    </row>
    <row r="98" spans="1:12" s="71" customFormat="1" ht="15" hidden="1" customHeight="1" x14ac:dyDescent="0.25">
      <c r="A98" s="853"/>
      <c r="B98" s="861"/>
      <c r="C98" s="82" t="str">
        <f t="array" ref="C98">IFERROR(INDEX('C'!$C$1:$C$2479, SMALL(IF($B$85 = 'C'!$A$1:$A$2479, ROW('C'!$A$1:$A$2479) -
ROW('C'!$A$2) + 2), ROW(14:14))),"")</f>
        <v/>
      </c>
      <c r="D98" s="553" t="str">
        <f t="array" ref="D98">IFERROR(INDEX('C'!$B$1:$B$2479, SMALL(IF($B$85 = 'C'!$A$1:$A$2479, ROW('C'!$A$1:$A$2479) -
ROW('C'!$A$2) + 2), ROW(14:14))),"")</f>
        <v/>
      </c>
      <c r="E98" s="554">
        <f t="shared" si="8"/>
        <v>0</v>
      </c>
      <c r="F98" s="555">
        <f>SUMIF('Global Portfolio'!$N$2:$N$2500,C98,'Global Portfolio'!$E$2:$E$2500)</f>
        <v>0</v>
      </c>
      <c r="G98" s="553">
        <f>IF('General Porfolio'!C98="",0,COUNTIF('Global Portfolio'!$N$2:$N$2500,'General Porfolio'!C98))</f>
        <v>0</v>
      </c>
      <c r="H98" s="558" t="str">
        <f>IF(OR($C$11:$C$3168="",ISERROR(VLOOKUP($C98,'PIVOT TABLE GLOBAL'!$A$4:$F$2500,3,FALSE))),"",VLOOKUP($C98,'PIVOT TABLE GLOBAL'!$A$4:$F$2500,3,FALSE)/F98)</f>
        <v/>
      </c>
      <c r="I98" s="559" t="str">
        <f>IF(OR($C$11:$C$167="",ISERROR(VLOOKUP($C98,'PIVOT TABLE GLOBAL'!$A$4:$G$2500,7,FALSE))),"",VLOOKUP($C98,'PIVOT TABLE GLOBAL'!$A$4:$G$2500,7,FALSE))</f>
        <v/>
      </c>
      <c r="J98" s="558" t="str">
        <f>IF(OR($C$11:$C$167="",ISERROR(VLOOKUP($C98,'PIVOT TABLE GLOBAL'!$A$4:$F$2500,4,FALSE))),"",VLOOKUP($C98,'PIVOT TABLE GLOBAL'!$A$4:$F$2500,4,FALSE)/F98)</f>
        <v/>
      </c>
      <c r="K98" s="553" t="str">
        <f>IF(OR($C$11:$C$3168="",ISERROR(VLOOKUP($C98,'PIVOT TABLE GLOBAL'!$A$4:$H$2500,8,FALSE))),"",VLOOKUP($C98,'PIVOT TABLE GLOBAL'!$A$4:$H$2500,8,FALSE))</f>
        <v/>
      </c>
      <c r="L98" s="559" t="str">
        <f t="shared" si="9"/>
        <v/>
      </c>
    </row>
    <row r="99" spans="1:12" s="71" customFormat="1" ht="15" hidden="1" customHeight="1" x14ac:dyDescent="0.25">
      <c r="A99" s="853"/>
      <c r="B99" s="861"/>
      <c r="C99" s="82" t="str">
        <f t="array" ref="C99">IFERROR(INDEX('C'!$C$1:$C$2479, SMALL(IF($B$85 = 'C'!$A$1:$A$2479, ROW('C'!$A$1:$A$2479) -
ROW('C'!$A$2) + 2), ROW(15:15))),"")</f>
        <v/>
      </c>
      <c r="D99" s="553" t="str">
        <f t="array" ref="D99">IFERROR(INDEX('C'!$B$1:$B$2479, SMALL(IF($B$85 = 'C'!$A$1:$A$2479, ROW('C'!$A$1:$A$2479) -
ROW('C'!$A$2) + 2), ROW(15:15))),"")</f>
        <v/>
      </c>
      <c r="E99" s="554">
        <f t="shared" si="8"/>
        <v>0</v>
      </c>
      <c r="F99" s="555">
        <f>SUMIF('Global Portfolio'!$N$2:$N$2500,C99,'Global Portfolio'!$E$2:$E$2500)</f>
        <v>0</v>
      </c>
      <c r="G99" s="553">
        <f>IF('General Porfolio'!C99="",0,COUNTIF('Global Portfolio'!$N$2:$N$2500,'General Porfolio'!C99))</f>
        <v>0</v>
      </c>
      <c r="H99" s="558" t="str">
        <f>IF(OR($C$11:$C$3168="",ISERROR(VLOOKUP($C99,'PIVOT TABLE GLOBAL'!$A$4:$F$2500,3,FALSE))),"",VLOOKUP($C99,'PIVOT TABLE GLOBAL'!$A$4:$F$2500,3,FALSE)/F99)</f>
        <v/>
      </c>
      <c r="I99" s="559" t="str">
        <f>IF(OR($C$11:$C$167="",ISERROR(VLOOKUP($C99,'PIVOT TABLE GLOBAL'!$A$4:$G$2500,7,FALSE))),"",VLOOKUP($C99,'PIVOT TABLE GLOBAL'!$A$4:$G$2500,7,FALSE))</f>
        <v/>
      </c>
      <c r="J99" s="558" t="str">
        <f>IF(OR($C$11:$C$167="",ISERROR(VLOOKUP($C99,'PIVOT TABLE GLOBAL'!$A$4:$F$2500,4,FALSE))),"",VLOOKUP($C99,'PIVOT TABLE GLOBAL'!$A$4:$F$2500,4,FALSE)/F99)</f>
        <v/>
      </c>
      <c r="K99" s="553" t="str">
        <f>IF(OR($C$11:$C$3168="",ISERROR(VLOOKUP($C99,'PIVOT TABLE GLOBAL'!$A$4:$H$2500,8,FALSE))),"",VLOOKUP($C99,'PIVOT TABLE GLOBAL'!$A$4:$H$2500,8,FALSE))</f>
        <v/>
      </c>
      <c r="L99" s="559" t="str">
        <f t="shared" si="9"/>
        <v/>
      </c>
    </row>
    <row r="100" spans="1:12" s="71" customFormat="1" ht="15" hidden="1" customHeight="1" x14ac:dyDescent="0.25">
      <c r="A100" s="853"/>
      <c r="B100" s="861"/>
      <c r="C100" s="82" t="str">
        <f t="array" ref="C100">IFERROR(INDEX('C'!$C$1:$C$2479, SMALL(IF($B$85 = 'C'!$A$1:$A$2479, ROW('C'!$A$1:$A$2479) -
ROW('C'!$A$2) + 2), ROW(16:16))),"")</f>
        <v/>
      </c>
      <c r="D100" s="553" t="str">
        <f t="array" ref="D100">IFERROR(INDEX('C'!$B$1:$B$2479, SMALL(IF($B$85 = 'C'!$A$1:$A$2479, ROW('C'!$A$1:$A$2479) -
ROW('C'!$A$2) + 2), ROW(16:16))),"")</f>
        <v/>
      </c>
      <c r="E100" s="554">
        <f t="shared" si="8"/>
        <v>0</v>
      </c>
      <c r="F100" s="555">
        <f>SUMIF('Global Portfolio'!$N$2:$N$2500,C100,'Global Portfolio'!$E$2:$E$2500)</f>
        <v>0</v>
      </c>
      <c r="G100" s="553">
        <f>IF('General Porfolio'!C100="",0,COUNTIF('Global Portfolio'!$N$2:$N$2500,'General Porfolio'!C100))</f>
        <v>0</v>
      </c>
      <c r="H100" s="558" t="str">
        <f>IF(OR($C$11:$C$3168="",ISERROR(VLOOKUP($C100,'PIVOT TABLE GLOBAL'!$A$4:$F$2500,3,FALSE))),"",VLOOKUP($C100,'PIVOT TABLE GLOBAL'!$A$4:$F$2500,3,FALSE)/F100)</f>
        <v/>
      </c>
      <c r="I100" s="559" t="str">
        <f>IF(OR($C$11:$C$167="",ISERROR(VLOOKUP($C100,'PIVOT TABLE GLOBAL'!$A$4:$G$2500,7,FALSE))),"",VLOOKUP($C100,'PIVOT TABLE GLOBAL'!$A$4:$G$2500,7,FALSE))</f>
        <v/>
      </c>
      <c r="J100" s="558" t="str">
        <f>IF(OR($C$11:$C$167="",ISERROR(VLOOKUP($C100,'PIVOT TABLE GLOBAL'!$A$4:$F$2500,4,FALSE))),"",VLOOKUP($C100,'PIVOT TABLE GLOBAL'!$A$4:$F$2500,4,FALSE)/F100)</f>
        <v/>
      </c>
      <c r="K100" s="553" t="str">
        <f>IF(OR($C$11:$C$3168="",ISERROR(VLOOKUP($C100,'PIVOT TABLE GLOBAL'!$A$4:$H$2500,8,FALSE))),"",VLOOKUP($C100,'PIVOT TABLE GLOBAL'!$A$4:$H$2500,8,FALSE))</f>
        <v/>
      </c>
      <c r="L100" s="559" t="str">
        <f t="shared" si="9"/>
        <v/>
      </c>
    </row>
    <row r="101" spans="1:12" s="71" customFormat="1" ht="15" hidden="1" customHeight="1" x14ac:dyDescent="0.25">
      <c r="A101" s="853"/>
      <c r="B101" s="861"/>
      <c r="C101" s="82" t="str">
        <f t="array" ref="C101">IFERROR(INDEX('C'!$C$1:$C$2479, SMALL(IF($B$85 = 'C'!$A$1:$A$2479, ROW('C'!$A$1:$A$2479) -
ROW('C'!$A$2) + 2), ROW(17:17))),"")</f>
        <v/>
      </c>
      <c r="D101" s="553" t="str">
        <f t="array" ref="D101">IFERROR(INDEX('C'!$B$1:$B$2479, SMALL(IF($B$85 = 'C'!$A$1:$A$2479, ROW('C'!$A$1:$A$2479) -
ROW('C'!$A$2) + 2), ROW(17:17))),"")</f>
        <v/>
      </c>
      <c r="E101" s="554">
        <f t="shared" si="8"/>
        <v>0</v>
      </c>
      <c r="F101" s="555">
        <f>SUMIF('Global Portfolio'!$N$2:$N$2500,C101,'Global Portfolio'!$E$2:$E$2500)</f>
        <v>0</v>
      </c>
      <c r="G101" s="553">
        <f>IF('General Porfolio'!C101="",0,COUNTIF('Global Portfolio'!$N$2:$N$2500,'General Porfolio'!C101))</f>
        <v>0</v>
      </c>
      <c r="H101" s="558" t="str">
        <f>IF(OR($C$11:$C$3168="",ISERROR(VLOOKUP($C101,'PIVOT TABLE GLOBAL'!$A$4:$F$2500,3,FALSE))),"",VLOOKUP($C101,'PIVOT TABLE GLOBAL'!$A$4:$F$2500,3,FALSE)/F101)</f>
        <v/>
      </c>
      <c r="I101" s="559" t="str">
        <f>IF(OR($C$11:$C$167="",ISERROR(VLOOKUP($C101,'PIVOT TABLE GLOBAL'!$A$4:$G$2500,7,FALSE))),"",VLOOKUP($C101,'PIVOT TABLE GLOBAL'!$A$4:$G$2500,7,FALSE))</f>
        <v/>
      </c>
      <c r="J101" s="558" t="str">
        <f>IF(OR($C$11:$C$167="",ISERROR(VLOOKUP($C101,'PIVOT TABLE GLOBAL'!$A$4:$F$2500,4,FALSE))),"",VLOOKUP($C101,'PIVOT TABLE GLOBAL'!$A$4:$F$2500,4,FALSE)/F101)</f>
        <v/>
      </c>
      <c r="K101" s="553" t="str">
        <f>IF(OR($C$11:$C$3168="",ISERROR(VLOOKUP($C101,'PIVOT TABLE GLOBAL'!$A$4:$H$2500,8,FALSE))),"",VLOOKUP($C101,'PIVOT TABLE GLOBAL'!$A$4:$H$2500,8,FALSE))</f>
        <v/>
      </c>
      <c r="L101" s="559" t="str">
        <f t="shared" si="9"/>
        <v/>
      </c>
    </row>
    <row r="102" spans="1:12" s="71" customFormat="1" ht="15.6" hidden="1" thickBot="1" x14ac:dyDescent="0.3">
      <c r="A102" s="853"/>
      <c r="B102" s="861"/>
      <c r="C102" s="82" t="str">
        <f t="array" ref="C102">IFERROR(INDEX('C'!$C$1:$C$2479, SMALL(IF($B$85 = 'C'!$A$1:$A$2479, ROW('C'!$A$1:$A$2479) -
ROW('C'!$A$2) + 2), ROW(18:18))),"")</f>
        <v/>
      </c>
      <c r="D102" s="553" t="str">
        <f t="array" ref="D102">IFERROR(INDEX('C'!$B$1:$B$2479, SMALL(IF($B$85 = 'C'!$A$1:$A$2479, ROW('C'!$A$1:$A$2479) -
ROW('C'!$A$2) + 2), ROW(18:18))),"")</f>
        <v/>
      </c>
      <c r="E102" s="554">
        <f t="shared" si="8"/>
        <v>0</v>
      </c>
      <c r="F102" s="555">
        <f>SUMIF('Global Portfolio'!$N$2:$N$2500,C102,'Global Portfolio'!$E$2:$E$2500)</f>
        <v>0</v>
      </c>
      <c r="G102" s="553">
        <f>IF('General Porfolio'!C102="",0,COUNTIF('Global Portfolio'!$N$2:$N$2500,'General Porfolio'!C102))</f>
        <v>0</v>
      </c>
      <c r="H102" s="558" t="str">
        <f>IF(OR($C$11:$C$3168="",ISERROR(VLOOKUP($C102,'PIVOT TABLE GLOBAL'!$A$4:$F$2500,3,FALSE))),"",VLOOKUP($C102,'PIVOT TABLE GLOBAL'!$A$4:$F$2500,3,FALSE)/F102)</f>
        <v/>
      </c>
      <c r="I102" s="559" t="str">
        <f>IF(OR($C$11:$C$167="",ISERROR(VLOOKUP($C102,'PIVOT TABLE GLOBAL'!$A$4:$G$2500,7,FALSE))),"",VLOOKUP($C102,'PIVOT TABLE GLOBAL'!$A$4:$G$2500,7,FALSE))</f>
        <v/>
      </c>
      <c r="J102" s="558" t="str">
        <f>IF(OR($C$11:$C$167="",ISERROR(VLOOKUP($C102,'PIVOT TABLE GLOBAL'!$A$4:$F$2500,4,FALSE))),"",VLOOKUP($C102,'PIVOT TABLE GLOBAL'!$A$4:$F$2500,4,FALSE)/F102)</f>
        <v/>
      </c>
      <c r="K102" s="553" t="str">
        <f>IF(OR($C$11:$C$3168="",ISERROR(VLOOKUP($C102,'PIVOT TABLE GLOBAL'!$A$4:$H$2500,8,FALSE))),"",VLOOKUP($C102,'PIVOT TABLE GLOBAL'!$A$4:$H$2500,8,FALSE))</f>
        <v/>
      </c>
      <c r="L102" s="559" t="str">
        <f t="shared" si="9"/>
        <v/>
      </c>
    </row>
    <row r="103" spans="1:12" s="71" customFormat="1" ht="15.75" customHeight="1" thickTop="1" thickBot="1" x14ac:dyDescent="0.35">
      <c r="A103" s="853"/>
      <c r="B103" s="296" t="s">
        <v>1465</v>
      </c>
      <c r="C103" s="75">
        <f>COUNTIF(C85:C102,"?*")</f>
        <v>4</v>
      </c>
      <c r="D103" s="114"/>
      <c r="E103" s="85">
        <f>SUBTOTAL(9,E85:E102)</f>
        <v>0.19206433568137457</v>
      </c>
      <c r="F103" s="74">
        <f>SUBTOTAL(9,F85:F102)</f>
        <v>3181729216.5600004</v>
      </c>
      <c r="G103" s="75">
        <f>SUBTOTAL(9,G85:G102)</f>
        <v>221</v>
      </c>
      <c r="H103" s="115">
        <f>(IF(OR($C85="",ISERROR(VLOOKUP($C85,'PIVOT TABLE GLOBAL'!$A$4:$F$2500,3,FALSE))),0,VLOOKUP($C85,'PIVOT TABLE GLOBAL'!$A$4:$F$2500,3,FALSE))+IF(OR($C86="",ISERROR(VLOOKUP($C86,'PIVOT TABLE GLOBAL'!$A$4:$F$2500,3,FALSE))),0,VLOOKUP($C86,'PIVOT TABLE GLOBAL'!$A$4:$F$2500,3,FALSE))+IF(OR($C87="",ISERROR(VLOOKUP($C87,'PIVOT TABLE GLOBAL'!$A$4:$F$2500,3,FALSE))),0,VLOOKUP($C87,'PIVOT TABLE GLOBAL'!$A$4:$F$2500,3,FALSE))+IF(OR($C88="",ISERROR(VLOOKUP($C88,'PIVOT TABLE GLOBAL'!$A$4:$F$2500,3,FALSE))),0,VLOOKUP($C88,'PIVOT TABLE GLOBAL'!$A$4:$F$2500,3,FALSE))+IF(OR($C89="",ISERROR(VLOOKUP($C89,'PIVOT TABLE GLOBAL'!$A$4:$F$2500,3,FALSE))),0,VLOOKUP($C89,'PIVOT TABLE GLOBAL'!$A$4:$F$2500,3,FALSE))+IF(OR($C90="",ISERROR(VLOOKUP($C90,'PIVOT TABLE GLOBAL'!$A$4:$F$2500,3,FALSE))),0,VLOOKUP($C90,'PIVOT TABLE GLOBAL'!$A$4:$F$2500,3,FALSE))+IF(OR($C91="",ISERROR(VLOOKUP($C91,'PIVOT TABLE GLOBAL'!$A$4:$F$2500,3,FALSE))),0,VLOOKUP($C91,'PIVOT TABLE GLOBAL'!$A$4:$F$2500,3,FALSE))+IF(OR($C92="",ISERROR(VLOOKUP($C92,'PIVOT TABLE GLOBAL'!$A$4:$F$2500,3,FALSE))),0,VLOOKUP($C92,'PIVOT TABLE GLOBAL'!$A$4:$F$2500,3,FALSE))+IF(OR($C93="",ISERROR(VLOOKUP($C93,'PIVOT TABLE GLOBAL'!$A$4:$F$2500,3,FALSE))),0,VLOOKUP($C93,'PIVOT TABLE GLOBAL'!$A$4:$F$2500,3,FALSE))+IF(OR($C94="",ISERROR(VLOOKUP($C94,'PIVOT TABLE GLOBAL'!$A$4:$F$2500,3,FALSE))),0,VLOOKUP($C94,'PIVOT TABLE GLOBAL'!$A$4:$F$2500,3,FALSE))+IF(OR($C95="",ISERROR(VLOOKUP($C95,'PIVOT TABLE GLOBAL'!$A$4:$F$2500,3,FALSE))),0,VLOOKUP($C95,'PIVOT TABLE GLOBAL'!$A$4:$F$2500,3,FALSE))+IF(OR($C96="",ISERROR(VLOOKUP($C96,'PIVOT TABLE GLOBAL'!$A$4:$F$2500,3,FALSE))),0,VLOOKUP($C96,'PIVOT TABLE GLOBAL'!$A$4:$F$2500,3,FALSE))+IF(OR($C97="",ISERROR(VLOOKUP($C97,'PIVOT TABLE GLOBAL'!$A$4:$F$2500,3,FALSE))),0,VLOOKUP($C97,'PIVOT TABLE GLOBAL'!$A$4:$F$2500,3,FALSE))+IF(OR($C98="",ISERROR(VLOOKUP($C98,'PIVOT TABLE GLOBAL'!$A$4:$F$2500,3,FALSE))),0,VLOOKUP($C98,'PIVOT TABLE GLOBAL'!$A$4:$F$2500,3,FALSE))+IF(OR($C99="",ISERROR(VLOOKUP($C99,'PIVOT TABLE GLOBAL'!$A$4:$F$2500,3,FALSE))),0,VLOOKUP($C99,'PIVOT TABLE GLOBAL'!$A$4:$F$2500,3,FALSE))+IF(OR($C100="",ISERROR(VLOOKUP($C100,'PIVOT TABLE GLOBAL'!$A$4:$F$2500,3,FALSE))),0,VLOOKUP($C100,'PIVOT TABLE GLOBAL'!$A$4:$F$2500,3,FALSE))+IF(OR($C101="",ISERROR(VLOOKUP($C101,'PIVOT TABLE GLOBAL'!$A$4:$F$2500,3,FALSE))),0,VLOOKUP($C101,'PIVOT TABLE GLOBAL'!$A$4:$F$2500,3,FALSE))+IF(OR($C102="",ISERROR(VLOOKUP($C102,'PIVOT TABLE GLOBAL'!$A$4:$F$2500,3,FALSE))),0,VLOOKUP($C102,'PIVOT TABLE GLOBAL'!$A$4:$F$2500,3,FALSE)))/(F103)</f>
        <v>0.45074220850589952</v>
      </c>
      <c r="I103" s="110">
        <f>SUBTOTAL(9,I85:I102)</f>
        <v>112</v>
      </c>
      <c r="J103" s="116">
        <f>(IF(OR($C85="",ISERROR(VLOOKUP($C85,'PIVOT TABLE GLOBAL'!$A$4:$F$2500,4,FALSE))),0,VLOOKUP($C85,'PIVOT TABLE GLOBAL'!$A$4:$F$2500,4,FALSE))+IF(OR($C86="",ISERROR(VLOOKUP($C86,'PIVOT TABLE GLOBAL'!$A$4:$F$2500,4,FALSE))),0,VLOOKUP($C86,'PIVOT TABLE GLOBAL'!$A$4:$F$2500,4,FALSE))+IF(OR($C87="",ISERROR(VLOOKUP($C87,'PIVOT TABLE GLOBAL'!$A$4:$F$2500,4,FALSE))),0,VLOOKUP($C87,'PIVOT TABLE GLOBAL'!$A$4:$F$2500,4,FALSE))+IF(OR($C88="",ISERROR(VLOOKUP($C88,'PIVOT TABLE GLOBAL'!$A$4:$F$2500,4,FALSE))),0,VLOOKUP($C88,'PIVOT TABLE GLOBAL'!$A$4:$F$2500,4,FALSE))+IF(OR($C89="",ISERROR(VLOOKUP($C89,'PIVOT TABLE GLOBAL'!$A$4:$F$2500,4,FALSE))),0,VLOOKUP($C89,'PIVOT TABLE GLOBAL'!$A$4:$F$2500,4,FALSE))+IF(OR($C90="",ISERROR(VLOOKUP($C90,'PIVOT TABLE GLOBAL'!$A$4:$F$2500,4,FALSE))),0,VLOOKUP($C90,'PIVOT TABLE GLOBAL'!$A$4:$F$2500,4,FALSE))+IF(OR($C91="",ISERROR(VLOOKUP($C91,'PIVOT TABLE GLOBAL'!$A$4:$F$2500,4,FALSE))),0,VLOOKUP($C91,'PIVOT TABLE GLOBAL'!$A$4:$F$2500,4,FALSE))+IF(OR($C92="",ISERROR(VLOOKUP($C92,'PIVOT TABLE GLOBAL'!$A$4:$F$2500,4,FALSE))),0,VLOOKUP($C92,'PIVOT TABLE GLOBAL'!$A$4:$F$2500,4,FALSE))+IF(OR($C93="",ISERROR(VLOOKUP($C93,'PIVOT TABLE GLOBAL'!$A$4:$F$2500,4,FALSE))),0,VLOOKUP($C93,'PIVOT TABLE GLOBAL'!$A$4:$F$2500,4,FALSE))+IF(OR($C94="",ISERROR(VLOOKUP($C94,'PIVOT TABLE GLOBAL'!$A$4:$F$2500,4,FALSE))),0,VLOOKUP($C94,'PIVOT TABLE GLOBAL'!$A$4:$F$2500,4,FALSE))+IF(OR($C95="",ISERROR(VLOOKUP($C95,'PIVOT TABLE GLOBAL'!$A$4:$F$2500,4,FALSE))),0,VLOOKUP($C95,'PIVOT TABLE GLOBAL'!$A$4:$F$2500,4,FALSE))+IF(OR($C96="",ISERROR(VLOOKUP($C96,'PIVOT TABLE GLOBAL'!$A$4:$F$2500,4,FALSE))),0,VLOOKUP($C96,'PIVOT TABLE GLOBAL'!$A$4:$F$2500,4,FALSE))+IF(OR($C97="",ISERROR(VLOOKUP($C97,'PIVOT TABLE GLOBAL'!$A$4:$F$2500,4,FALSE))),0,VLOOKUP($C97,'PIVOT TABLE GLOBAL'!$A$4:$F$2500,4,FALSE))+IF(OR($C98="",ISERROR(VLOOKUP($C98,'PIVOT TABLE GLOBAL'!$A$4:$F$2500,4,FALSE))),0,VLOOKUP($C98,'PIVOT TABLE GLOBAL'!$A$4:$F$2500,4,FALSE))+IF(OR($C99="",ISERROR(VLOOKUP($C99,'PIVOT TABLE GLOBAL'!$A$4:$F$2500,4,FALSE))),0,VLOOKUP($C99,'PIVOT TABLE GLOBAL'!$A$4:$F$2500,4,FALSE))+IF(OR($C100="",ISERROR(VLOOKUP($C100,'PIVOT TABLE GLOBAL'!$A$4:$F$2500,4,FALSE))),0,VLOOKUP($C100,'PIVOT TABLE GLOBAL'!$A$4:$F$2500,4,FALSE))+IF(OR($C101="",ISERROR(VLOOKUP($C101,'PIVOT TABLE GLOBAL'!$A$4:$F$2500,4,FALSE))),0,VLOOKUP($C101,'PIVOT TABLE GLOBAL'!$A$4:$F$2500,4,FALSE))+IF(OR($C102="",ISERROR(VLOOKUP($C102,'PIVOT TABLE GLOBAL'!$A$4:$F$2500,4,FALSE))),0,VLOOKUP($C102,'PIVOT TABLE GLOBAL'!$A$4:$F$2500,4,FALSE)))/(F103)</f>
        <v>0.14603064100544211</v>
      </c>
      <c r="K103" s="75">
        <f>SUBTOTAL(9,K85:K102)</f>
        <v>38</v>
      </c>
      <c r="L103" s="403"/>
    </row>
    <row r="104" spans="1:12" s="71" customFormat="1" ht="15.75" customHeight="1" thickTop="1" x14ac:dyDescent="0.25">
      <c r="A104" s="853"/>
      <c r="B104" s="861" t="s">
        <v>971</v>
      </c>
      <c r="C104" s="82" t="str">
        <f t="array" ref="C104">IFERROR(INDEX('C'!$C$1:$C$2479, SMALL(IF($B$104 = 'C'!$A$1:$A$2479, ROW('C'!$A$1:$A$2479) -
ROW('C'!$A$2) + 2), ROW(1:1))),"")</f>
        <v>EMATEGA</v>
      </c>
      <c r="D104" s="553" t="str">
        <f t="array" ref="D104">IFERROR(INDEX('C'!$B$1:$B$2479, SMALL(IF($B$104 = 'C'!$A$1:$A$2479, ROW('C'!$A$1:$A$2479) -
ROW('C'!$A$2) + 2), ROW(1:1))),"")</f>
        <v>HOUSING</v>
      </c>
      <c r="E104" s="554">
        <f t="shared" ref="E104:E122" si="10">F104/$F$172</f>
        <v>5.9749014316773763E-2</v>
      </c>
      <c r="F104" s="555">
        <f>SUMIF('Global Portfolio'!$N$2:$N$2500,C104,'Global Portfolio'!$E$2:$E$2500)</f>
        <v>989799505.65999985</v>
      </c>
      <c r="G104" s="553">
        <f>IF('General Porfolio'!C104="",0,COUNTIF('Global Portfolio'!$N$2:$N$2500,'General Porfolio'!C104))</f>
        <v>46</v>
      </c>
      <c r="H104" s="556">
        <f>IF(OR($C$11:$C$167="",ISERROR(VLOOKUP($C104,'PIVOT TABLE GLOBAL'!$A$4:$F$2500,3,FALSE))),"",VLOOKUP($C104,'PIVOT TABLE GLOBAL'!$A$4:$F$2500,3,FALSE)/F104)</f>
        <v>0.54675280592218845</v>
      </c>
      <c r="I104" s="557">
        <f>IF(OR($C$11:$C$167="",ISERROR(VLOOKUP($C104,'PIVOT TABLE GLOBAL'!$A$4:$G$2500,7,FALSE))),"",VLOOKUP($C104,'PIVOT TABLE GLOBAL'!$A$4:$G$2500,7,FALSE))</f>
        <v>23</v>
      </c>
      <c r="J104" s="558">
        <f>IF(OR($C$11:$C$167="",ISERROR(VLOOKUP($C104,'PIVOT TABLE GLOBAL'!$A$4:$F$2500,4,FALSE))),"",VLOOKUP($C104,'PIVOT TABLE GLOBAL'!$A$4:$F$2500,4,FALSE)/F104)</f>
        <v>3.1774209524411741E-2</v>
      </c>
      <c r="K104" s="553">
        <f>IF(OR($C$11:$C$167="",ISERROR(VLOOKUP($C104,'PIVOT TABLE GLOBAL'!$A$4:$H$2500,8,FALSE))),"",VLOOKUP($C104,'PIVOT TABLE GLOBAL'!$A$4:$H$2500,8,FALSE))</f>
        <v>4</v>
      </c>
      <c r="L104" s="559" t="str">
        <f>IFERROR(IF(I104/G104*100&gt;=30,"STOP",IF(AND(I104/G104*100&gt;=15,I104/G104*100&lt;30),"WATCH","NORMAL")),"")</f>
        <v>STOP</v>
      </c>
    </row>
    <row r="105" spans="1:12" s="71" customFormat="1" ht="15" customHeight="1" x14ac:dyDescent="0.25">
      <c r="A105" s="853"/>
      <c r="B105" s="861"/>
      <c r="C105" s="82" t="str">
        <f t="array" ref="C105">IFERROR(INDEX('C'!$C$1:$C$2479, SMALL(IF($B$104 = 'C'!$A$1:$A$2479, ROW('C'!$A$1:$A$2479) -
ROW('C'!$A$2) + 2), ROW(2:2))),"")</f>
        <v>IMUGARUKIR</v>
      </c>
      <c r="D105" s="553" t="str">
        <f t="array" ref="D105">IFERROR(INDEX('C'!$B$1:$B$2479, SMALL(IF($B$104 = 'C'!$A$1:$A$2479, ROW('C'!$A$1:$A$2479) -
ROW('C'!$A$2) + 2), ROW(2:2))),"")</f>
        <v>SME</v>
      </c>
      <c r="E105" s="554">
        <f t="shared" si="10"/>
        <v>5.686140161596312E-2</v>
      </c>
      <c r="F105" s="555">
        <f>SUMIF('Global Portfolio'!$N$2:$N$2500,C105,'Global Portfolio'!$E$2:$E$2500)</f>
        <v>941963442.4799999</v>
      </c>
      <c r="G105" s="553">
        <f>IF('General Porfolio'!C105="",0,COUNTIF('Global Portfolio'!$N$2:$N$2500,'General Porfolio'!C105))</f>
        <v>66</v>
      </c>
      <c r="H105" s="560">
        <f>IF(OR($C$11:$C$167="",ISERROR(VLOOKUP($C105,'PIVOT TABLE GLOBAL'!$A$4:$F$2500,3,FALSE))),"",VLOOKUP($C105,'PIVOT TABLE GLOBAL'!$A$4:$F$2500,3,FALSE)/F105)</f>
        <v>0.38960138517030829</v>
      </c>
      <c r="I105" s="550">
        <f>IF(OR($C$11:$C$167="",ISERROR(VLOOKUP($C105,'PIVOT TABLE GLOBAL'!$A$4:$G$2500,7,FALSE))),"",VLOOKUP($C105,'PIVOT TABLE GLOBAL'!$A$4:$G$2500,7,FALSE))</f>
        <v>28</v>
      </c>
      <c r="J105" s="558">
        <f>IF(OR($C$11:$C$167="",ISERROR(VLOOKUP($C105,'PIVOT TABLE GLOBAL'!$A$4:$F$2500,4,FALSE))),"",VLOOKUP($C105,'PIVOT TABLE GLOBAL'!$A$4:$F$2500,4,FALSE)/F105)</f>
        <v>0.10147747578009597</v>
      </c>
      <c r="K105" s="553">
        <f>IF(OR($C$11:$C$167="",ISERROR(VLOOKUP($C105,'PIVOT TABLE GLOBAL'!$A$4:$H$2500,8,FALSE))),"",VLOOKUP($C105,'PIVOT TABLE GLOBAL'!$A$4:$H$2500,8,FALSE))</f>
        <v>11</v>
      </c>
      <c r="L105" s="559" t="str">
        <f>IFERROR(IF(I105/G105*100&gt;=30,"STOP",IF(AND(I105/G105*100&gt;=15,I105/G105*100&lt;30),"WATCH","NORMAL")),"")</f>
        <v>STOP</v>
      </c>
    </row>
    <row r="106" spans="1:12" s="71" customFormat="1" ht="15" customHeight="1" x14ac:dyDescent="0.25">
      <c r="A106" s="853"/>
      <c r="B106" s="861"/>
      <c r="C106" s="82" t="str">
        <f t="array" ref="C106">IFERROR(INDEX('C'!$C$1:$C$2479, SMALL(IF($B$104 = 'C'!$A$1:$A$2479, ROW('C'!$A$1:$A$2479) -
ROW('C'!$A$2) + 2), ROW(3:3))),"")</f>
        <v>FKATUA</v>
      </c>
      <c r="D106" s="553" t="str">
        <f t="array" ref="D106">IFERROR(INDEX('C'!$B$1:$B$2479, SMALL(IF($B$104 = 'C'!$A$1:$A$2479, ROW('C'!$A$1:$A$2479) -
ROW('C'!$A$2) + 2), ROW(3:3))),"")</f>
        <v>WMT</v>
      </c>
      <c r="E106" s="554">
        <f t="shared" si="10"/>
        <v>1.5396264155210134E-2</v>
      </c>
      <c r="F106" s="555">
        <f>SUMIF('Global Portfolio'!$N$2:$N$2500,C106,'Global Portfolio'!$E$2:$E$2500)</f>
        <v>255053825.1399999</v>
      </c>
      <c r="G106" s="553">
        <f>IF('General Porfolio'!C106="",0,COUNTIF('Global Portfolio'!$N$2:$N$2500,'General Porfolio'!C106))</f>
        <v>42</v>
      </c>
      <c r="H106" s="560">
        <f>IF(OR($C$11:$C$167="",ISERROR(VLOOKUP($C106,'PIVOT TABLE GLOBAL'!$A$4:$F$2500,3,FALSE))),"",VLOOKUP($C106,'PIVOT TABLE GLOBAL'!$A$4:$F$2500,3,FALSE)/F106)</f>
        <v>0.37651304585331435</v>
      </c>
      <c r="I106" s="550">
        <f>IF(OR($C$11:$C$167="",ISERROR(VLOOKUP($C106,'PIVOT TABLE GLOBAL'!$A$4:$G$2500,7,FALSE))),"",VLOOKUP($C106,'PIVOT TABLE GLOBAL'!$A$4:$G$2500,7,FALSE))</f>
        <v>18</v>
      </c>
      <c r="J106" s="558">
        <f>IF(OR($C$11:$C$167="",ISERROR(VLOOKUP($C106,'PIVOT TABLE GLOBAL'!$A$4:$F$2500,4,FALSE))),"",VLOOKUP($C106,'PIVOT TABLE GLOBAL'!$A$4:$F$2500,4,FALSE)/F106)</f>
        <v>0.15210739897237369</v>
      </c>
      <c r="K106" s="553">
        <f>IF(OR($C$11:$C$167="",ISERROR(VLOOKUP($C106,'PIVOT TABLE GLOBAL'!$A$4:$H$2500,8,FALSE))),"",VLOOKUP($C106,'PIVOT TABLE GLOBAL'!$A$4:$H$2500,8,FALSE))</f>
        <v>9</v>
      </c>
      <c r="L106" s="559" t="str">
        <f t="shared" ref="L106:L122" si="11">IFERROR(IF(I106/G106*100&gt;=30,"STOP",IF(AND(I106/G106*100&gt;=15,I106/G106*100&lt;30),"WATCH","NORMAL")),"")</f>
        <v>STOP</v>
      </c>
    </row>
    <row r="107" spans="1:12" s="71" customFormat="1" ht="12.75" customHeight="1" x14ac:dyDescent="0.25">
      <c r="A107" s="853"/>
      <c r="B107" s="861"/>
      <c r="C107" s="82" t="str">
        <f t="array" ref="C107">IFERROR(INDEX('C'!$C$1:$C$2479, SMALL(IF($B$104 = 'C'!$A$1:$A$2479, ROW('C'!$A$1:$A$2479) -
ROW('C'!$A$2) + 2), ROW(4:4))),"")</f>
        <v>MBIRABWA</v>
      </c>
      <c r="D107" s="553" t="str">
        <f t="array" ref="D107">IFERROR(INDEX('C'!$B$1:$B$2479, SMALL(IF($B$104 = 'C'!$A$1:$A$2479, ROW('C'!$A$1:$A$2479) -
ROW('C'!$A$2) + 2), ROW(4:4))),"")</f>
        <v>HOUSING</v>
      </c>
      <c r="E107" s="554">
        <f t="shared" si="10"/>
        <v>2.5538680080691985E-2</v>
      </c>
      <c r="F107" s="555">
        <f>SUMIF('Global Portfolio'!$N$2:$N$2500,C107,'Global Portfolio'!$E$2:$E$2500)</f>
        <v>423072634.89000005</v>
      </c>
      <c r="G107" s="553">
        <f>IF('General Porfolio'!C107="",0,COUNTIF('Global Portfolio'!$N$2:$N$2500,'General Porfolio'!C107))</f>
        <v>45</v>
      </c>
      <c r="H107" s="560">
        <f>IF(OR($C$11:$C$167="",ISERROR(VLOOKUP($C107,'PIVOT TABLE GLOBAL'!$A$4:$F$2500,3,FALSE))),"",VLOOKUP($C107,'PIVOT TABLE GLOBAL'!$A$4:$F$2500,3,FALSE)/F107)</f>
        <v>0.39253880590310286</v>
      </c>
      <c r="I107" s="550">
        <f>IF(OR($C$11:$C$167="",ISERROR(VLOOKUP($C107,'PIVOT TABLE GLOBAL'!$A$4:$G$2500,7,FALSE))),"",VLOOKUP($C107,'PIVOT TABLE GLOBAL'!$A$4:$G$2500,7,FALSE))</f>
        <v>17</v>
      </c>
      <c r="J107" s="558">
        <f>IF(OR($C$11:$C$167="",ISERROR(VLOOKUP($C107,'PIVOT TABLE GLOBAL'!$A$4:$F$2500,4,FALSE))),"",VLOOKUP($C107,'PIVOT TABLE GLOBAL'!$A$4:$F$2500,4,FALSE)/F107)</f>
        <v>8.3659008291099915E-2</v>
      </c>
      <c r="K107" s="553">
        <f>IF(OR($C$11:$C$167="",ISERROR(VLOOKUP($C107,'PIVOT TABLE GLOBAL'!$A$4:$H$2500,8,FALSE))),"",VLOOKUP($C107,'PIVOT TABLE GLOBAL'!$A$4:$H$2500,8,FALSE))</f>
        <v>7</v>
      </c>
      <c r="L107" s="559" t="str">
        <f t="shared" si="11"/>
        <v>STOP</v>
      </c>
    </row>
    <row r="108" spans="1:12" s="71" customFormat="1" ht="17.25" customHeight="1" thickBot="1" x14ac:dyDescent="0.3">
      <c r="A108" s="853"/>
      <c r="B108" s="861"/>
      <c r="C108" s="82" t="str">
        <f t="array" ref="C108">IFERROR(INDEX('C'!$C$1:$C$2479, SMALL(IF($B$104 = 'C'!$A$1:$A$2479, ROW('C'!$A$1:$A$2479) -
ROW('C'!$A$2) + 2), ROW(5:5))),"")</f>
        <v>SMIREMBE</v>
      </c>
      <c r="D108" s="553" t="str">
        <f t="array" ref="D108">IFERROR(INDEX('C'!$B$1:$B$2479, SMALL(IF($B$104 = 'C'!$A$1:$A$2479, ROW('C'!$A$1:$A$2479) -
ROW('C'!$A$2) + 2), ROW(5:5))),"")</f>
        <v>WTM</v>
      </c>
      <c r="E108" s="554">
        <f t="shared" si="10"/>
        <v>2.0211944639106239E-3</v>
      </c>
      <c r="F108" s="555">
        <f>SUMIF('Global Portfolio'!$N$2:$N$2500,C108,'Global Portfolio'!$E$2:$E$2500)</f>
        <v>33483017.32</v>
      </c>
      <c r="G108" s="553">
        <f>IF('General Porfolio'!C108="",0,COUNTIF('Global Portfolio'!$N$2:$N$2500,'General Porfolio'!C108))</f>
        <v>9</v>
      </c>
      <c r="H108" s="560">
        <f>IF(OR($C$11:$C$167="",ISERROR(VLOOKUP($C108,'PIVOT TABLE GLOBAL'!$A$4:$F$2500,3,FALSE))),"",VLOOKUP($C108,'PIVOT TABLE GLOBAL'!$A$4:$F$2500,3,FALSE)/F108)</f>
        <v>0.34613896140946715</v>
      </c>
      <c r="I108" s="550">
        <f>IF(OR($C$11:$C$167="",ISERROR(VLOOKUP($C108,'PIVOT TABLE GLOBAL'!$A$4:$G$2500,7,FALSE))),"",VLOOKUP($C108,'PIVOT TABLE GLOBAL'!$A$4:$G$2500,7,FALSE))</f>
        <v>2</v>
      </c>
      <c r="J108" s="558">
        <f>IF(OR($C$11:$C$167="",ISERROR(VLOOKUP($C108,'PIVOT TABLE GLOBAL'!$A$4:$F$2500,4,FALSE))),"",VLOOKUP($C108,'PIVOT TABLE GLOBAL'!$A$4:$F$2500,4,FALSE)/F108)</f>
        <v>0</v>
      </c>
      <c r="K108" s="553">
        <f>IF(OR($C$11:$C$167="",ISERROR(VLOOKUP($C108,'PIVOT TABLE GLOBAL'!$A$4:$H$2500,8,FALSE))),"",VLOOKUP($C108,'PIVOT TABLE GLOBAL'!$A$4:$H$2500,8,FALSE))</f>
        <v>0</v>
      </c>
      <c r="L108" s="559" t="str">
        <f t="shared" si="11"/>
        <v>WATCH</v>
      </c>
    </row>
    <row r="109" spans="1:12" s="71" customFormat="1" ht="15" hidden="1" customHeight="1" thickBot="1" x14ac:dyDescent="0.3">
      <c r="A109" s="853"/>
      <c r="B109" s="861"/>
      <c r="C109" s="82" t="str">
        <f t="array" ref="C109">IFERROR(INDEX('C'!$C$1:$C$2479, SMALL(IF($B$104 = 'C'!$A$1:$A$2479, ROW('C'!$A$1:$A$2479) -
ROW('C'!$A$2) + 2), ROW(6:6))),"")</f>
        <v/>
      </c>
      <c r="D109" s="553" t="str">
        <f t="array" ref="D109">IFERROR(INDEX('C'!$B$1:$B$2479, SMALL(IF($B$104 = 'C'!$A$1:$A$2479, ROW('C'!$A$1:$A$2479) -
ROW('C'!$A$2) + 2), ROW(6:6))),"")</f>
        <v/>
      </c>
      <c r="E109" s="554">
        <f t="shared" si="10"/>
        <v>0</v>
      </c>
      <c r="F109" s="555">
        <f>SUMIF('Global Portfolio'!$N$2:$N$2500,C109,'Global Portfolio'!$E$2:$E$2500)</f>
        <v>0</v>
      </c>
      <c r="G109" s="553">
        <f>IF('General Porfolio'!C109="",0,COUNTIF('Global Portfolio'!$N$2:$N$2500,'General Porfolio'!C109))</f>
        <v>0</v>
      </c>
      <c r="H109" s="560" t="str">
        <f>IF(OR($C$11:$C$167="",ISERROR(VLOOKUP($C109,'PIVOT TABLE GLOBAL'!$A$4:$F$2500,3,FALSE))),"",VLOOKUP($C109,'PIVOT TABLE GLOBAL'!$A$4:$F$2500,3,FALSE)/F109)</f>
        <v/>
      </c>
      <c r="I109" s="550" t="str">
        <f>IF(OR($C$11:$C$167="",ISERROR(VLOOKUP($C109,'PIVOT TABLE GLOBAL'!$A$4:$G$2500,7,FALSE))),"",VLOOKUP($C109,'PIVOT TABLE GLOBAL'!$A$4:$G$2500,7,FALSE))</f>
        <v/>
      </c>
      <c r="J109" s="558" t="str">
        <f>IF(OR($C$11:$C$167="",ISERROR(VLOOKUP($C109,'PIVOT TABLE GLOBAL'!$A$4:$F$2500,4,FALSE))),"",VLOOKUP($C109,'PIVOT TABLE GLOBAL'!$A$4:$F$2500,4,FALSE)/F109)</f>
        <v/>
      </c>
      <c r="K109" s="553" t="str">
        <f>IF(OR($C$11:$C$167="",ISERROR(VLOOKUP($C109,'PIVOT TABLE GLOBAL'!$A$4:$H$2500,8,FALSE))),"",VLOOKUP($C109,'PIVOT TABLE GLOBAL'!$A$4:$H$2500,8,FALSE))</f>
        <v/>
      </c>
      <c r="L109" s="559" t="str">
        <f t="shared" si="11"/>
        <v/>
      </c>
    </row>
    <row r="110" spans="1:12" s="71" customFormat="1" ht="15" hidden="1" customHeight="1" thickBot="1" x14ac:dyDescent="0.3">
      <c r="A110" s="853"/>
      <c r="B110" s="861"/>
      <c r="C110" s="82" t="str">
        <f t="array" ref="C110">IFERROR(INDEX('C'!$C$1:$C$2479, SMALL(IF($B$104 = 'C'!$A$1:$A$2479, ROW('C'!$A$1:$A$2479) -
ROW('C'!$A$2) + 2), ROW(7:7))),"")</f>
        <v/>
      </c>
      <c r="D110" s="553" t="str">
        <f t="array" ref="D110">IFERROR(INDEX('C'!$B$1:$B$2479, SMALL(IF($B$104 = 'C'!$A$1:$A$2479, ROW('C'!$A$1:$A$2479) -
ROW('C'!$A$2) + 2), ROW(7:7))),"")</f>
        <v/>
      </c>
      <c r="E110" s="554">
        <f t="shared" si="10"/>
        <v>0</v>
      </c>
      <c r="F110" s="555">
        <f>SUMIF('Global Portfolio'!$N$2:$N$2500,C110,'Global Portfolio'!$E$2:$E$2500)</f>
        <v>0</v>
      </c>
      <c r="G110" s="553">
        <f>IF('General Porfolio'!C110="",0,COUNTIF('Global Portfolio'!$N$2:$N$2500,'General Porfolio'!C110))</f>
        <v>0</v>
      </c>
      <c r="H110" s="560" t="str">
        <f>IF(OR($C$11:$C$167="",ISERROR(VLOOKUP($C110,'PIVOT TABLE GLOBAL'!$A$4:$F$2500,3,FALSE))),"",VLOOKUP($C110,'PIVOT TABLE GLOBAL'!$A$4:$F$2500,3,FALSE)/F110)</f>
        <v/>
      </c>
      <c r="I110" s="550" t="str">
        <f>IF(OR($C$11:$C$167="",ISERROR(VLOOKUP($C110,'PIVOT TABLE GLOBAL'!$A$4:$G$2500,7,FALSE))),"",VLOOKUP($C110,'PIVOT TABLE GLOBAL'!$A$4:$G$2500,7,FALSE))</f>
        <v/>
      </c>
      <c r="J110" s="558" t="str">
        <f>IF(OR($C$11:$C$167="",ISERROR(VLOOKUP($C110,'PIVOT TABLE GLOBAL'!$A$4:$F$2500,4,FALSE))),"",VLOOKUP($C110,'PIVOT TABLE GLOBAL'!$A$4:$F$2500,4,FALSE)/F110)</f>
        <v/>
      </c>
      <c r="K110" s="553" t="str">
        <f>IF(OR($C$11:$C$167="",ISERROR(VLOOKUP($C110,'PIVOT TABLE GLOBAL'!$A$4:$H$2500,8,FALSE))),"",VLOOKUP($C110,'PIVOT TABLE GLOBAL'!$A$4:$H$2500,8,FALSE))</f>
        <v/>
      </c>
      <c r="L110" s="559" t="str">
        <f t="shared" si="11"/>
        <v/>
      </c>
    </row>
    <row r="111" spans="1:12" s="71" customFormat="1" ht="15" hidden="1" customHeight="1" thickBot="1" x14ac:dyDescent="0.3">
      <c r="A111" s="853"/>
      <c r="B111" s="861"/>
      <c r="C111" s="82" t="str">
        <f t="array" ref="C111">IFERROR(INDEX('C'!$C$1:$C$2479, SMALL(IF($B$104 = 'C'!$A$1:$A$2479, ROW('C'!$A$1:$A$2479) -
ROW('C'!$A$2) + 2), ROW(8:8))),"")</f>
        <v/>
      </c>
      <c r="D111" s="553" t="str">
        <f t="array" ref="D111">IFERROR(INDEX('C'!$B$1:$B$2479, SMALL(IF($B$104 = 'C'!$A$1:$A$2479, ROW('C'!$A$1:$A$2479) -
ROW('C'!$A$2) + 2), ROW(8:8))),"")</f>
        <v/>
      </c>
      <c r="E111" s="554">
        <f t="shared" si="10"/>
        <v>0</v>
      </c>
      <c r="F111" s="555">
        <f>SUMIF('Global Portfolio'!$N$2:$N$2500,C111,'Global Portfolio'!$E$2:$E$2500)</f>
        <v>0</v>
      </c>
      <c r="G111" s="553">
        <f>IF('General Porfolio'!C111="",0,COUNTIF('Global Portfolio'!$N$2:$N$2500,'General Porfolio'!C111))</f>
        <v>0</v>
      </c>
      <c r="H111" s="560" t="str">
        <f>IF(OR($C$11:$C$167="",ISERROR(VLOOKUP($C111,'PIVOT TABLE GLOBAL'!$A$4:$F$2500,3,FALSE))),"",VLOOKUP($C111,'PIVOT TABLE GLOBAL'!$A$4:$F$2500,3,FALSE)/F111)</f>
        <v/>
      </c>
      <c r="I111" s="550" t="str">
        <f>IF(OR($C$11:$C$167="",ISERROR(VLOOKUP($C111,'PIVOT TABLE GLOBAL'!$A$4:$G$2500,7,FALSE))),"",VLOOKUP($C111,'PIVOT TABLE GLOBAL'!$A$4:$G$2500,7,FALSE))</f>
        <v/>
      </c>
      <c r="J111" s="558" t="str">
        <f>IF(OR($C$11:$C$167="",ISERROR(VLOOKUP($C111,'PIVOT TABLE GLOBAL'!$A$4:$F$2500,4,FALSE))),"",VLOOKUP($C111,'PIVOT TABLE GLOBAL'!$A$4:$F$2500,4,FALSE)/F111)</f>
        <v/>
      </c>
      <c r="K111" s="553" t="str">
        <f>IF(OR($C$11:$C$167="",ISERROR(VLOOKUP($C111,'PIVOT TABLE GLOBAL'!$A$4:$H$2500,8,FALSE))),"",VLOOKUP($C111,'PIVOT TABLE GLOBAL'!$A$4:$H$2500,8,FALSE))</f>
        <v/>
      </c>
      <c r="L111" s="559" t="str">
        <f t="shared" si="11"/>
        <v/>
      </c>
    </row>
    <row r="112" spans="1:12" s="71" customFormat="1" ht="15" hidden="1" customHeight="1" thickBot="1" x14ac:dyDescent="0.3">
      <c r="A112" s="853"/>
      <c r="B112" s="861"/>
      <c r="C112" s="82" t="str">
        <f t="array" ref="C112">IFERROR(INDEX('C'!$C$1:$C$2479, SMALL(IF($B$104 = 'C'!$A$1:$A$2479, ROW('C'!$A$1:$A$2479) -
ROW('C'!$A$2) + 2), ROW(9:9))),"")</f>
        <v/>
      </c>
      <c r="D112" s="553" t="str">
        <f t="array" ref="D112">IFERROR(INDEX('C'!$B$1:$B$2479, SMALL(IF($B$104 = 'C'!$A$1:$A$2479, ROW('C'!$A$1:$A$2479) -
ROW('C'!$A$2) + 2), ROW(9:9))),"")</f>
        <v/>
      </c>
      <c r="E112" s="554">
        <f t="shared" si="10"/>
        <v>0</v>
      </c>
      <c r="F112" s="555">
        <f>SUMIF('Global Portfolio'!$N$2:$N$2500,C112,'Global Portfolio'!$E$2:$E$2500)</f>
        <v>0</v>
      </c>
      <c r="G112" s="553">
        <f>IF('General Porfolio'!C112="",0,COUNTIF('Global Portfolio'!$N$2:$N$2500,'General Porfolio'!C112))</f>
        <v>0</v>
      </c>
      <c r="H112" s="560" t="str">
        <f>IF(OR($C$11:$C$167="",ISERROR(VLOOKUP($C112,'PIVOT TABLE GLOBAL'!$A$4:$F$2500,3,FALSE))),"",VLOOKUP($C112,'PIVOT TABLE GLOBAL'!$A$4:$F$2500,3,FALSE)/F112)</f>
        <v/>
      </c>
      <c r="I112" s="550" t="str">
        <f>IF(OR($C$11:$C$167="",ISERROR(VLOOKUP($C112,'PIVOT TABLE GLOBAL'!$A$4:$G$2500,7,FALSE))),"",VLOOKUP($C112,'PIVOT TABLE GLOBAL'!$A$4:$G$2500,7,FALSE))</f>
        <v/>
      </c>
      <c r="J112" s="558" t="str">
        <f>IF(OR($C$11:$C$167="",ISERROR(VLOOKUP($C112,'PIVOT TABLE GLOBAL'!$A$4:$F$2500,4,FALSE))),"",VLOOKUP($C112,'PIVOT TABLE GLOBAL'!$A$4:$F$2500,4,FALSE)/F112)</f>
        <v/>
      </c>
      <c r="K112" s="553" t="str">
        <f>IF(OR($C$11:$C$167="",ISERROR(VLOOKUP($C112,'PIVOT TABLE GLOBAL'!$A$4:$H$2500,8,FALSE))),"",VLOOKUP($C112,'PIVOT TABLE GLOBAL'!$A$4:$H$2500,8,FALSE))</f>
        <v/>
      </c>
      <c r="L112" s="559" t="str">
        <f t="shared" si="11"/>
        <v/>
      </c>
    </row>
    <row r="113" spans="1:12" s="71" customFormat="1" ht="15" hidden="1" customHeight="1" thickBot="1" x14ac:dyDescent="0.3">
      <c r="A113" s="853"/>
      <c r="B113" s="861"/>
      <c r="C113" s="82" t="str">
        <f t="array" ref="C113">IFERROR(INDEX('C'!$C$1:$C$2479, SMALL(IF($B$104 = 'C'!$A$1:$A$2479, ROW('C'!$A$1:$A$2479) -
ROW('C'!$A$2) + 2), ROW(10:10))),"")</f>
        <v/>
      </c>
      <c r="D113" s="553" t="str">
        <f t="array" ref="D113">IFERROR(INDEX('C'!$B$1:$B$2479, SMALL(IF($B$104 = 'C'!$A$1:$A$2479, ROW('C'!$A$1:$A$2479) -
ROW('C'!$A$2) + 2), ROW(10:10))),"")</f>
        <v/>
      </c>
      <c r="E113" s="554">
        <f t="shared" si="10"/>
        <v>0</v>
      </c>
      <c r="F113" s="555">
        <f>SUMIF('Global Portfolio'!$N$2:$N$2500,C113,'Global Portfolio'!$E$2:$E$2500)</f>
        <v>0</v>
      </c>
      <c r="G113" s="553">
        <f>IF('General Porfolio'!C113="",0,COUNTIF('Global Portfolio'!$N$2:$N$2500,'General Porfolio'!C113))</f>
        <v>0</v>
      </c>
      <c r="H113" s="560" t="str">
        <f>IF(OR($C$11:$C$167="",ISERROR(VLOOKUP($C113,'PIVOT TABLE GLOBAL'!$A$4:$F$2500,3,FALSE))),"",VLOOKUP($C113,'PIVOT TABLE GLOBAL'!$A$4:$F$2500,3,FALSE)/F113)</f>
        <v/>
      </c>
      <c r="I113" s="550" t="str">
        <f>IF(OR($C$11:$C$167="",ISERROR(VLOOKUP($C113,'PIVOT TABLE GLOBAL'!$A$4:$G$2500,7,FALSE))),"",VLOOKUP($C113,'PIVOT TABLE GLOBAL'!$A$4:$G$2500,7,FALSE))</f>
        <v/>
      </c>
      <c r="J113" s="558" t="str">
        <f>IF(OR($C$11:$C$167="",ISERROR(VLOOKUP($C113,'PIVOT TABLE GLOBAL'!$A$4:$F$2500,4,FALSE))),"",VLOOKUP($C113,'PIVOT TABLE GLOBAL'!$A$4:$F$2500,4,FALSE)/F113)</f>
        <v/>
      </c>
      <c r="K113" s="553" t="str">
        <f>IF(OR($C$11:$C$167="",ISERROR(VLOOKUP($C113,'PIVOT TABLE GLOBAL'!$A$4:$H$2500,8,FALSE))),"",VLOOKUP($C113,'PIVOT TABLE GLOBAL'!$A$4:$H$2500,8,FALSE))</f>
        <v/>
      </c>
      <c r="L113" s="559" t="str">
        <f t="shared" si="11"/>
        <v/>
      </c>
    </row>
    <row r="114" spans="1:12" s="71" customFormat="1" ht="15" hidden="1" customHeight="1" thickBot="1" x14ac:dyDescent="0.3">
      <c r="A114" s="853"/>
      <c r="B114" s="861"/>
      <c r="C114" s="82" t="str">
        <f t="array" ref="C114">IFERROR(INDEX('C'!$C$1:$C$2479, SMALL(IF($B$104 = 'C'!$A$1:$A$2479, ROW('C'!$A$1:$A$2479) -
ROW('C'!$A$2) + 2), ROW(11:11))),"")</f>
        <v/>
      </c>
      <c r="D114" s="553" t="str">
        <f t="array" ref="D114">IFERROR(INDEX('C'!$B$1:$B$2479, SMALL(IF($B$104 = 'C'!$A$1:$A$2479, ROW('C'!$A$1:$A$2479) -
ROW('C'!$A$2) + 2), ROW(11:11))),"")</f>
        <v/>
      </c>
      <c r="E114" s="554">
        <f t="shared" si="10"/>
        <v>0</v>
      </c>
      <c r="F114" s="555">
        <f>SUMIF('Global Portfolio'!$N$2:$N$2500,C114,'Global Portfolio'!$E$2:$E$2500)</f>
        <v>0</v>
      </c>
      <c r="G114" s="553">
        <f>IF('General Porfolio'!C114="",0,COUNTIF('Global Portfolio'!$N$2:$N$2500,'General Porfolio'!C114))</f>
        <v>0</v>
      </c>
      <c r="H114" s="560" t="str">
        <f>IF(OR($C$11:$C$167="",ISERROR(VLOOKUP($C114,'PIVOT TABLE GLOBAL'!$A$4:$F$2500,3,FALSE))),"",VLOOKUP($C114,'PIVOT TABLE GLOBAL'!$A$4:$F$2500,3,FALSE)/F114)</f>
        <v/>
      </c>
      <c r="I114" s="550" t="str">
        <f>IF(OR($C$11:$C$167="",ISERROR(VLOOKUP($C114,'PIVOT TABLE GLOBAL'!$A$4:$G$2500,7,FALSE))),"",VLOOKUP($C114,'PIVOT TABLE GLOBAL'!$A$4:$G$2500,7,FALSE))</f>
        <v/>
      </c>
      <c r="J114" s="558" t="str">
        <f>IF(OR($C$11:$C$167="",ISERROR(VLOOKUP($C114,'PIVOT TABLE GLOBAL'!$A$4:$F$2500,4,FALSE))),"",VLOOKUP($C114,'PIVOT TABLE GLOBAL'!$A$4:$F$2500,4,FALSE)/F114)</f>
        <v/>
      </c>
      <c r="K114" s="553" t="str">
        <f>IF(OR($C$11:$C$167="",ISERROR(VLOOKUP($C114,'PIVOT TABLE GLOBAL'!$A$4:$H$2500,8,FALSE))),"",VLOOKUP($C114,'PIVOT TABLE GLOBAL'!$A$4:$H$2500,8,FALSE))</f>
        <v/>
      </c>
      <c r="L114" s="559" t="str">
        <f t="shared" si="11"/>
        <v/>
      </c>
    </row>
    <row r="115" spans="1:12" s="71" customFormat="1" ht="15" hidden="1" customHeight="1" thickBot="1" x14ac:dyDescent="0.3">
      <c r="A115" s="853"/>
      <c r="B115" s="861"/>
      <c r="C115" s="82" t="str">
        <f t="array" ref="C115">IFERROR(INDEX('C'!$C$1:$C$2479, SMALL(IF($B$104 = 'C'!$A$1:$A$2479, ROW('C'!$A$1:$A$2479) -
ROW('C'!$A$2) + 2), ROW(12:12))),"")</f>
        <v/>
      </c>
      <c r="D115" s="553" t="str">
        <f t="array" ref="D115">IFERROR(INDEX('C'!$B$1:$B$2479, SMALL(IF($B$104 = 'C'!$A$1:$A$2479, ROW('C'!$A$1:$A$2479) -
ROW('C'!$A$2) + 2), ROW(12:12))),"")</f>
        <v/>
      </c>
      <c r="E115" s="554">
        <f t="shared" si="10"/>
        <v>0</v>
      </c>
      <c r="F115" s="555">
        <f>SUMIF('Global Portfolio'!$N$2:$N$2500,C115,'Global Portfolio'!$E$2:$E$2500)</f>
        <v>0</v>
      </c>
      <c r="G115" s="553">
        <f>IF('General Porfolio'!C115="",0,COUNTIF('Global Portfolio'!$N$2:$N$2500,'General Porfolio'!C115))</f>
        <v>0</v>
      </c>
      <c r="H115" s="560" t="str">
        <f>IF(OR($C$11:$C$167="",ISERROR(VLOOKUP($C115,'PIVOT TABLE GLOBAL'!$A$4:$F$2500,3,FALSE))),"",VLOOKUP($C115,'PIVOT TABLE GLOBAL'!$A$4:$F$2500,3,FALSE)/F115)</f>
        <v/>
      </c>
      <c r="I115" s="550" t="str">
        <f>IF(OR($C$11:$C$167="",ISERROR(VLOOKUP($C115,'PIVOT TABLE GLOBAL'!$A$4:$G$2500,7,FALSE))),"",VLOOKUP($C115,'PIVOT TABLE GLOBAL'!$A$4:$G$2500,7,FALSE))</f>
        <v/>
      </c>
      <c r="J115" s="558" t="str">
        <f>IF(OR($C$11:$C$167="",ISERROR(VLOOKUP($C115,'PIVOT TABLE GLOBAL'!$A$4:$F$2500,4,FALSE))),"",VLOOKUP($C115,'PIVOT TABLE GLOBAL'!$A$4:$F$2500,4,FALSE)/F115)</f>
        <v/>
      </c>
      <c r="K115" s="553" t="str">
        <f>IF(OR($C$11:$C$167="",ISERROR(VLOOKUP($C115,'PIVOT TABLE GLOBAL'!$A$4:$H$2500,8,FALSE))),"",VLOOKUP($C115,'PIVOT TABLE GLOBAL'!$A$4:$H$2500,8,FALSE))</f>
        <v/>
      </c>
      <c r="L115" s="559" t="str">
        <f t="shared" si="11"/>
        <v/>
      </c>
    </row>
    <row r="116" spans="1:12" s="71" customFormat="1" ht="15" hidden="1" customHeight="1" thickBot="1" x14ac:dyDescent="0.3">
      <c r="A116" s="853"/>
      <c r="B116" s="861"/>
      <c r="C116" s="82" t="str">
        <f t="array" ref="C116">IFERROR(INDEX('C'!$C$1:$C$2479, SMALL(IF($B$104 = 'C'!$A$1:$A$2479, ROW('C'!$A$1:$A$2479) -
ROW('C'!$A$2) + 2), ROW(13:13))),"")</f>
        <v/>
      </c>
      <c r="D116" s="553" t="str">
        <f t="array" ref="D116">IFERROR(INDEX('C'!$B$1:$B$2479, SMALL(IF($B$104 = 'C'!$A$1:$A$2479, ROW('C'!$A$1:$A$2479) -
ROW('C'!$A$2) + 2), ROW(13:13))),"")</f>
        <v/>
      </c>
      <c r="E116" s="554">
        <f t="shared" si="10"/>
        <v>0</v>
      </c>
      <c r="F116" s="555">
        <f>SUMIF('Global Portfolio'!$N$2:$N$2500,C116,'Global Portfolio'!$E$2:$E$2500)</f>
        <v>0</v>
      </c>
      <c r="G116" s="553">
        <f>IF('General Porfolio'!C116="",0,COUNTIF('Global Portfolio'!$N$2:$N$2500,'General Porfolio'!C116))</f>
        <v>0</v>
      </c>
      <c r="H116" s="560" t="str">
        <f>IF(OR($C$11:$C$167="",ISERROR(VLOOKUP($C116,'PIVOT TABLE GLOBAL'!$A$4:$F$2500,3,FALSE))),"",VLOOKUP($C116,'PIVOT TABLE GLOBAL'!$A$4:$F$2500,3,FALSE)/F116)</f>
        <v/>
      </c>
      <c r="I116" s="550" t="str">
        <f>IF(OR($C$11:$C$167="",ISERROR(VLOOKUP($C116,'PIVOT TABLE GLOBAL'!$A$4:$G$2500,7,FALSE))),"",VLOOKUP($C116,'PIVOT TABLE GLOBAL'!$A$4:$G$2500,7,FALSE))</f>
        <v/>
      </c>
      <c r="J116" s="558" t="str">
        <f>IF(OR($C$11:$C$167="",ISERROR(VLOOKUP($C116,'PIVOT TABLE GLOBAL'!$A$4:$F$2500,4,FALSE))),"",VLOOKUP($C116,'PIVOT TABLE GLOBAL'!$A$4:$F$2500,4,FALSE)/F116)</f>
        <v/>
      </c>
      <c r="K116" s="553" t="str">
        <f>IF(OR($C$11:$C$167="",ISERROR(VLOOKUP($C116,'PIVOT TABLE GLOBAL'!$A$4:$H$2500,8,FALSE))),"",VLOOKUP($C116,'PIVOT TABLE GLOBAL'!$A$4:$H$2500,8,FALSE))</f>
        <v/>
      </c>
      <c r="L116" s="559" t="str">
        <f t="shared" si="11"/>
        <v/>
      </c>
    </row>
    <row r="117" spans="1:12" s="71" customFormat="1" ht="15" hidden="1" customHeight="1" thickBot="1" x14ac:dyDescent="0.3">
      <c r="A117" s="853"/>
      <c r="B117" s="861"/>
      <c r="C117" s="82" t="str">
        <f t="array" ref="C117">IFERROR(INDEX('C'!$C$1:$C$2479, SMALL(IF($B$104 = 'C'!$A$1:$A$2479, ROW('C'!$A$1:$A$2479) -
ROW('C'!$A$2) + 2), ROW(14:14))),"")</f>
        <v/>
      </c>
      <c r="D117" s="553" t="str">
        <f t="array" ref="D117">IFERROR(INDEX('C'!$B$1:$B$2479, SMALL(IF($B$104 = 'C'!$A$1:$A$2479, ROW('C'!$A$1:$A$2479) -
ROW('C'!$A$2) + 2), ROW(14:14))),"")</f>
        <v/>
      </c>
      <c r="E117" s="554">
        <f t="shared" si="10"/>
        <v>0</v>
      </c>
      <c r="F117" s="555">
        <f>SUMIF('Global Portfolio'!$N$2:$N$2500,C117,'Global Portfolio'!$E$2:$E$2500)</f>
        <v>0</v>
      </c>
      <c r="G117" s="553">
        <f>IF('General Porfolio'!C117="",0,COUNTIF('Global Portfolio'!$N$2:$N$2500,'General Porfolio'!C117))</f>
        <v>0</v>
      </c>
      <c r="H117" s="560" t="str">
        <f>IF(OR($C$11:$C$167="",ISERROR(VLOOKUP($C117,'PIVOT TABLE GLOBAL'!$A$4:$F$2500,3,FALSE))),"",VLOOKUP($C117,'PIVOT TABLE GLOBAL'!$A$4:$F$2500,3,FALSE)/F117)</f>
        <v/>
      </c>
      <c r="I117" s="550" t="str">
        <f>IF(OR($C$11:$C$167="",ISERROR(VLOOKUP($C117,'PIVOT TABLE GLOBAL'!$A$4:$G$2500,7,FALSE))),"",VLOOKUP($C117,'PIVOT TABLE GLOBAL'!$A$4:$G$2500,7,FALSE))</f>
        <v/>
      </c>
      <c r="J117" s="558" t="str">
        <f>IF(OR($C$11:$C$167="",ISERROR(VLOOKUP($C117,'PIVOT TABLE GLOBAL'!$A$4:$F$2500,4,FALSE))),"",VLOOKUP($C117,'PIVOT TABLE GLOBAL'!$A$4:$F$2500,4,FALSE)/F117)</f>
        <v/>
      </c>
      <c r="K117" s="553" t="str">
        <f>IF(OR($C$11:$C$167="",ISERROR(VLOOKUP($C117,'PIVOT TABLE GLOBAL'!$A$4:$H$2500,8,FALSE))),"",VLOOKUP($C117,'PIVOT TABLE GLOBAL'!$A$4:$H$2500,8,FALSE))</f>
        <v/>
      </c>
      <c r="L117" s="559" t="str">
        <f t="shared" si="11"/>
        <v/>
      </c>
    </row>
    <row r="118" spans="1:12" s="71" customFormat="1" ht="15" hidden="1" customHeight="1" thickBot="1" x14ac:dyDescent="0.3">
      <c r="A118" s="853"/>
      <c r="B118" s="861"/>
      <c r="C118" s="82" t="str">
        <f t="array" ref="C118">IFERROR(INDEX('C'!$C$1:$C$2479, SMALL(IF($B$104 = 'C'!$A$1:$A$2479, ROW('C'!$A$1:$A$2479) -
ROW('C'!$A$2) + 2), ROW(15:15))),"")</f>
        <v/>
      </c>
      <c r="D118" s="553" t="str">
        <f t="array" ref="D118">IFERROR(INDEX('C'!$B$1:$B$2479, SMALL(IF($B$104 = 'C'!$A$1:$A$2479, ROW('C'!$A$1:$A$2479) -
ROW('C'!$A$2) + 2), ROW(15:15))),"")</f>
        <v/>
      </c>
      <c r="E118" s="554">
        <f t="shared" si="10"/>
        <v>0</v>
      </c>
      <c r="F118" s="555">
        <f>SUMIF('Global Portfolio'!$N$2:$N$2500,C118,'Global Portfolio'!$E$2:$E$2500)</f>
        <v>0</v>
      </c>
      <c r="G118" s="553">
        <f>IF('General Porfolio'!C118="",0,COUNTIF('Global Portfolio'!$N$2:$N$2500,'General Porfolio'!C118))</f>
        <v>0</v>
      </c>
      <c r="H118" s="560" t="str">
        <f>IF(OR($C$11:$C$167="",ISERROR(VLOOKUP($C118,'PIVOT TABLE GLOBAL'!$A$4:$F$2500,3,FALSE))),"",VLOOKUP($C118,'PIVOT TABLE GLOBAL'!$A$4:$F$2500,3,FALSE)/F118)</f>
        <v/>
      </c>
      <c r="I118" s="550" t="str">
        <f>IF(OR($C$11:$C$167="",ISERROR(VLOOKUP($C118,'PIVOT TABLE GLOBAL'!$A$4:$G$2500,7,FALSE))),"",VLOOKUP($C118,'PIVOT TABLE GLOBAL'!$A$4:$G$2500,7,FALSE))</f>
        <v/>
      </c>
      <c r="J118" s="558" t="str">
        <f>IF(OR($C$11:$C$167="",ISERROR(VLOOKUP($C118,'PIVOT TABLE GLOBAL'!$A$4:$F$2500,4,FALSE))),"",VLOOKUP($C118,'PIVOT TABLE GLOBAL'!$A$4:$F$2500,4,FALSE)/F118)</f>
        <v/>
      </c>
      <c r="K118" s="553" t="str">
        <f>IF(OR($C$11:$C$167="",ISERROR(VLOOKUP($C118,'PIVOT TABLE GLOBAL'!$A$4:$H$2500,8,FALSE))),"",VLOOKUP($C118,'PIVOT TABLE GLOBAL'!$A$4:$H$2500,8,FALSE))</f>
        <v/>
      </c>
      <c r="L118" s="559" t="str">
        <f t="shared" si="11"/>
        <v/>
      </c>
    </row>
    <row r="119" spans="1:12" s="71" customFormat="1" ht="15" hidden="1" customHeight="1" thickBot="1" x14ac:dyDescent="0.3">
      <c r="A119" s="853"/>
      <c r="B119" s="861"/>
      <c r="C119" s="82" t="str">
        <f t="array" ref="C119">IFERROR(INDEX('C'!$C$1:$C$2479, SMALL(IF($B$104 = 'C'!$A$1:$A$2479, ROW('C'!$A$1:$A$2479) -
ROW('C'!$A$2) + 2), ROW(16:16))),"")</f>
        <v/>
      </c>
      <c r="D119" s="553" t="str">
        <f t="array" ref="D119">IFERROR(INDEX('C'!$B$1:$B$2479, SMALL(IF($B$104 = 'C'!$A$1:$A$2479, ROW('C'!$A$1:$A$2479) -
ROW('C'!$A$2) + 2), ROW(16:16))),"")</f>
        <v/>
      </c>
      <c r="E119" s="554">
        <f t="shared" si="10"/>
        <v>0</v>
      </c>
      <c r="F119" s="555">
        <f>SUMIF('Global Portfolio'!$N$2:$N$2500,C119,'Global Portfolio'!$E$2:$E$2500)</f>
        <v>0</v>
      </c>
      <c r="G119" s="553">
        <f>IF('General Porfolio'!C119="",0,COUNTIF('Global Portfolio'!$N$2:$N$2500,'General Porfolio'!C119))</f>
        <v>0</v>
      </c>
      <c r="H119" s="560" t="str">
        <f>IF(OR($C$11:$C$167="",ISERROR(VLOOKUP($C119,'PIVOT TABLE GLOBAL'!$A$4:$F$2500,3,FALSE))),"",VLOOKUP($C119,'PIVOT TABLE GLOBAL'!$A$4:$F$2500,3,FALSE)/F119)</f>
        <v/>
      </c>
      <c r="I119" s="550" t="str">
        <f>IF(OR($C$11:$C$167="",ISERROR(VLOOKUP($C119,'PIVOT TABLE GLOBAL'!$A$4:$G$2500,7,FALSE))),"",VLOOKUP($C119,'PIVOT TABLE GLOBAL'!$A$4:$G$2500,7,FALSE))</f>
        <v/>
      </c>
      <c r="J119" s="558" t="str">
        <f>IF(OR($C$11:$C$167="",ISERROR(VLOOKUP($C119,'PIVOT TABLE GLOBAL'!$A$4:$F$2500,4,FALSE))),"",VLOOKUP($C119,'PIVOT TABLE GLOBAL'!$A$4:$F$2500,4,FALSE)/F119)</f>
        <v/>
      </c>
      <c r="K119" s="553" t="str">
        <f>IF(OR($C$11:$C$167="",ISERROR(VLOOKUP($C119,'PIVOT TABLE GLOBAL'!$A$4:$H$2500,8,FALSE))),"",VLOOKUP($C119,'PIVOT TABLE GLOBAL'!$A$4:$H$2500,8,FALSE))</f>
        <v/>
      </c>
      <c r="L119" s="559" t="str">
        <f t="shared" si="11"/>
        <v/>
      </c>
    </row>
    <row r="120" spans="1:12" s="71" customFormat="1" ht="15" hidden="1" customHeight="1" thickBot="1" x14ac:dyDescent="0.3">
      <c r="A120" s="853"/>
      <c r="B120" s="861"/>
      <c r="C120" s="82" t="str">
        <f t="array" ref="C120">IFERROR(INDEX('C'!$C$1:$C$2479, SMALL(IF($B$104 = 'C'!$A$1:$A$2479, ROW('C'!$A$1:$A$2479) -
ROW('C'!$A$2) + 2), ROW(17:17))),"")</f>
        <v/>
      </c>
      <c r="D120" s="553" t="str">
        <f t="array" ref="D120">IFERROR(INDEX('C'!$B$1:$B$2479, SMALL(IF($B$104 = 'C'!$A$1:$A$2479, ROW('C'!$A$1:$A$2479) -
ROW('C'!$A$2) + 2), ROW(17:17))),"")</f>
        <v/>
      </c>
      <c r="E120" s="554">
        <f t="shared" si="10"/>
        <v>0</v>
      </c>
      <c r="F120" s="555">
        <f>SUMIF('Global Portfolio'!$N$2:$N$2500,C120,'Global Portfolio'!$E$2:$E$2500)</f>
        <v>0</v>
      </c>
      <c r="G120" s="553">
        <f>IF('General Porfolio'!C120="",0,COUNTIF('Global Portfolio'!$N$2:$N$2500,'General Porfolio'!C120))</f>
        <v>0</v>
      </c>
      <c r="H120" s="560" t="str">
        <f>IF(OR($C$11:$C$167="",ISERROR(VLOOKUP($C120,'PIVOT TABLE GLOBAL'!$A$4:$F$2500,3,FALSE))),"",VLOOKUP($C120,'PIVOT TABLE GLOBAL'!$A$4:$F$2500,3,FALSE)/F120)</f>
        <v/>
      </c>
      <c r="I120" s="550" t="str">
        <f>IF(OR($C$11:$C$167="",ISERROR(VLOOKUP($C120,'PIVOT TABLE GLOBAL'!$A$4:$G$2500,7,FALSE))),"",VLOOKUP($C120,'PIVOT TABLE GLOBAL'!$A$4:$G$2500,7,FALSE))</f>
        <v/>
      </c>
      <c r="J120" s="558" t="str">
        <f>IF(OR($C$11:$C$167="",ISERROR(VLOOKUP($C120,'PIVOT TABLE GLOBAL'!$A$4:$F$2500,4,FALSE))),"",VLOOKUP($C120,'PIVOT TABLE GLOBAL'!$A$4:$F$2500,4,FALSE)/F120)</f>
        <v/>
      </c>
      <c r="K120" s="553" t="str">
        <f>IF(OR($C$11:$C$167="",ISERROR(VLOOKUP($C120,'PIVOT TABLE GLOBAL'!$A$4:$H$2500,8,FALSE))),"",VLOOKUP($C120,'PIVOT TABLE GLOBAL'!$A$4:$H$2500,8,FALSE))</f>
        <v/>
      </c>
      <c r="L120" s="559" t="str">
        <f t="shared" si="11"/>
        <v/>
      </c>
    </row>
    <row r="121" spans="1:12" s="71" customFormat="1" ht="15" hidden="1" customHeight="1" thickBot="1" x14ac:dyDescent="0.3">
      <c r="A121" s="853"/>
      <c r="B121" s="861"/>
      <c r="C121" s="82" t="str">
        <f t="array" ref="C121">IFERROR(INDEX('C'!$C$1:$C$2479, SMALL(IF($B$104 = 'C'!$A$1:$A$2479, ROW('C'!$A$1:$A$2479) -
ROW('C'!$A$2) + 2), ROW(18:18))),"")</f>
        <v/>
      </c>
      <c r="D121" s="553" t="str">
        <f t="array" ref="D121">IFERROR(INDEX('C'!$B$1:$B$2479, SMALL(IF($B$104 = 'C'!$A$1:$A$2479, ROW('C'!$A$1:$A$2479) -
ROW('C'!$A$2) + 2), ROW(18:18))),"")</f>
        <v/>
      </c>
      <c r="E121" s="554">
        <f t="shared" si="10"/>
        <v>0</v>
      </c>
      <c r="F121" s="555">
        <f>SUMIF('Global Portfolio'!$N$2:$N$2500,C121,'Global Portfolio'!$E$2:$E$2500)</f>
        <v>0</v>
      </c>
      <c r="G121" s="553">
        <f>IF('General Porfolio'!C121="",0,COUNTIF('Global Portfolio'!$N$2:$N$2500,'General Porfolio'!C121))</f>
        <v>0</v>
      </c>
      <c r="H121" s="560" t="str">
        <f>IF(OR($C$11:$C$167="",ISERROR(VLOOKUP($C121,'PIVOT TABLE GLOBAL'!$A$4:$F$2500,3,FALSE))),"",VLOOKUP($C121,'PIVOT TABLE GLOBAL'!$A$4:$F$2500,3,FALSE)/F121)</f>
        <v/>
      </c>
      <c r="I121" s="550" t="str">
        <f>IF(OR($C$11:$C$167="",ISERROR(VLOOKUP($C121,'PIVOT TABLE GLOBAL'!$A$4:$G$2500,7,FALSE))),"",VLOOKUP($C121,'PIVOT TABLE GLOBAL'!$A$4:$G$2500,7,FALSE))</f>
        <v/>
      </c>
      <c r="J121" s="558" t="str">
        <f>IF(OR($C$11:$C$167="",ISERROR(VLOOKUP($C121,'PIVOT TABLE GLOBAL'!$A$4:$F$2500,4,FALSE))),"",VLOOKUP($C121,'PIVOT TABLE GLOBAL'!$A$4:$F$2500,4,FALSE)/F121)</f>
        <v/>
      </c>
      <c r="K121" s="553" t="str">
        <f>IF(OR($C$11:$C$167="",ISERROR(VLOOKUP($C121,'PIVOT TABLE GLOBAL'!$A$4:$H$2500,8,FALSE))),"",VLOOKUP($C121,'PIVOT TABLE GLOBAL'!$A$4:$H$2500,8,FALSE))</f>
        <v/>
      </c>
      <c r="L121" s="559" t="str">
        <f t="shared" si="11"/>
        <v/>
      </c>
    </row>
    <row r="122" spans="1:12" s="71" customFormat="1" ht="15.75" hidden="1" customHeight="1" thickBot="1" x14ac:dyDescent="0.3">
      <c r="A122" s="853"/>
      <c r="B122" s="861"/>
      <c r="C122" s="82" t="str">
        <f t="array" ref="C122">IFERROR(INDEX('C'!$C$1:$C$2479, SMALL(IF($B$104 = 'C'!$A$1:$A$2479, ROW('C'!$A$1:$A$2479) -
ROW('C'!$A$2) + 2), ROW(19:19))),"")</f>
        <v/>
      </c>
      <c r="D122" s="553" t="str">
        <f t="array" ref="D122">IFERROR(INDEX('C'!$B$1:$B$2479, SMALL(IF($B$104 = 'C'!$A$1:$A$2479, ROW('C'!$A$1:$A$2479) -
ROW('C'!$A$2) + 2), ROW(19:19))),"")</f>
        <v/>
      </c>
      <c r="E122" s="554">
        <f t="shared" si="10"/>
        <v>0</v>
      </c>
      <c r="F122" s="555">
        <f>SUMIF('Global Portfolio'!$N$2:$N$2500,C122,'Global Portfolio'!$E$2:$E$2500)</f>
        <v>0</v>
      </c>
      <c r="G122" s="553">
        <f>IF('General Porfolio'!C122="",0,COUNTIF('Global Portfolio'!$N$2:$N$2500,'General Porfolio'!C122))</f>
        <v>0</v>
      </c>
      <c r="H122" s="560" t="str">
        <f>IF(OR($C$11:$C$167="",ISERROR(VLOOKUP($C122,'PIVOT TABLE GLOBAL'!$A$4:$F$2500,3,FALSE))),"",VLOOKUP($C122,'PIVOT TABLE GLOBAL'!$A$4:$F$2500,3,FALSE)/F122)</f>
        <v/>
      </c>
      <c r="I122" s="550" t="str">
        <f>IF(OR($C$11:$C$167="",ISERROR(VLOOKUP($C122,'PIVOT TABLE GLOBAL'!$A$4:$G$2500,7,FALSE))),"",VLOOKUP($C122,'PIVOT TABLE GLOBAL'!$A$4:$G$2500,7,FALSE))</f>
        <v/>
      </c>
      <c r="J122" s="558" t="str">
        <f>IF(OR($C$11:$C$167="",ISERROR(VLOOKUP($C122,'PIVOT TABLE GLOBAL'!$A$4:$F$2500,4,FALSE))),"",VLOOKUP($C122,'PIVOT TABLE GLOBAL'!$A$4:$F$2500,4,FALSE)/F122)</f>
        <v/>
      </c>
      <c r="K122" s="553" t="str">
        <f>IF(OR($C$11:$C$167="",ISERROR(VLOOKUP($C122,'PIVOT TABLE GLOBAL'!$A$4:$H$2500,8,FALSE))),"",VLOOKUP($C122,'PIVOT TABLE GLOBAL'!$A$4:$H$2500,8,FALSE))</f>
        <v/>
      </c>
      <c r="L122" s="559" t="str">
        <f t="shared" si="11"/>
        <v/>
      </c>
    </row>
    <row r="123" spans="1:12" s="71" customFormat="1" ht="16.8" thickTop="1" thickBot="1" x14ac:dyDescent="0.35">
      <c r="A123" s="853"/>
      <c r="B123" s="298" t="s">
        <v>1462</v>
      </c>
      <c r="C123" s="176">
        <f>COUNTIF(C104:C122,"?*")</f>
        <v>5</v>
      </c>
      <c r="D123" s="173"/>
      <c r="E123" s="174">
        <f>SUBTOTAL(9,E104:E122)</f>
        <v>0.15956655463254965</v>
      </c>
      <c r="F123" s="175">
        <f>SUBTOTAL(9,F104:F108)</f>
        <v>2643372425.4899998</v>
      </c>
      <c r="G123" s="176">
        <f>SUBTOTAL(9,G104:G122)</f>
        <v>208</v>
      </c>
      <c r="H123" s="171">
        <f>(IF(OR($C104="",ISERROR(VLOOKUP($C104,'PIVOT TABLE GLOBAL'!$A$4:$F$2500,3,FALSE))),0,VLOOKUP($C104,'PIVOT TABLE GLOBAL'!$A$4:$F$2500,3,FALSE))+IF(OR($C105="",ISERROR(VLOOKUP($C105,'PIVOT TABLE GLOBAL'!$A$4:$F$2500,3,FALSE))),0,VLOOKUP($C105,'PIVOT TABLE GLOBAL'!$A$4:$F$2500,3,FALSE))+IF(OR($C106="",ISERROR(VLOOKUP($C106,'PIVOT TABLE GLOBAL'!$A$4:$F$2500,3,FALSE))),0,VLOOKUP($C106,'PIVOT TABLE GLOBAL'!$A$4:$F$2500,3,FALSE))+IF(OR($C107="",ISERROR(VLOOKUP($C107,'PIVOT TABLE GLOBAL'!$A$4:$F$2500,3,FALSE))),0,VLOOKUP($C107,'PIVOT TABLE GLOBAL'!$A$4:$F$2500,3,FALSE))+IF(OR($C108="",ISERROR(VLOOKUP($C108,'PIVOT TABLE GLOBAL'!$A$4:$F$2500,3,FALSE))),0,VLOOKUP($C108,'PIVOT TABLE GLOBAL'!$A$4:$F$2500,3,FALSE))+IF(OR($C109="",ISERROR(VLOOKUP($C109,'PIVOT TABLE GLOBAL'!$A$4:$F$2500,3,FALSE))),0,VLOOKUP($C109,'PIVOT TABLE GLOBAL'!$A$4:$F$2500,3,FALSE))+IF(OR($C110="",ISERROR(VLOOKUP($C110,'PIVOT TABLE GLOBAL'!$A$4:$F$2500,3,FALSE))),0,VLOOKUP($C110,'PIVOT TABLE GLOBAL'!$A$4:$F$2500,3,FALSE))+IF(OR($C111="",ISERROR(VLOOKUP($C111,'PIVOT TABLE GLOBAL'!$A$4:$F$2500,3,FALSE))),0,VLOOKUP($C111,'PIVOT TABLE GLOBAL'!$A$4:$F$2500,3,FALSE))+IF(OR($C112="",ISERROR(VLOOKUP($C112,'PIVOT TABLE GLOBAL'!$A$4:$F$2500,3,FALSE))),0,VLOOKUP($C112,'PIVOT TABLE GLOBAL'!$A$4:$F$2500,3,FALSE))+IF(OR($C113="",ISERROR(VLOOKUP($C113,'PIVOT TABLE GLOBAL'!$A$4:$F$2500,3,FALSE))),0,VLOOKUP($C113,'PIVOT TABLE GLOBAL'!$A$4:$F$2500,3,FALSE))+IF(OR($C114="",ISERROR(VLOOKUP($C114,'PIVOT TABLE GLOBAL'!$A$4:$F$2500,3,FALSE))),0,VLOOKUP($C114,'PIVOT TABLE GLOBAL'!$A$4:$F$2500,3,FALSE))+IF(OR($C115="",ISERROR(VLOOKUP($C115,'PIVOT TABLE GLOBAL'!$A$4:$F$2500,3,FALSE))),0,VLOOKUP($C115,'PIVOT TABLE GLOBAL'!$A$4:$F$2500,3,FALSE))+IF(OR($C116="",ISERROR(VLOOKUP($C116,'PIVOT TABLE GLOBAL'!$A$4:$F$2500,3,FALSE))),0,VLOOKUP($C116,'PIVOT TABLE GLOBAL'!$A$4:$F$2500,3,FALSE))+IF(OR($C117="",ISERROR(VLOOKUP($C117,'PIVOT TABLE GLOBAL'!$A$4:$F$2500,3,FALSE))),0,VLOOKUP($C117,'PIVOT TABLE GLOBAL'!$A$4:$F$2500,3,FALSE))+IF(OR($C118="",ISERROR(VLOOKUP($C118,'PIVOT TABLE GLOBAL'!$A$4:$F$2500,3,FALSE))),0,VLOOKUP($C118,'PIVOT TABLE GLOBAL'!$A$4:$F$2500,3,FALSE))+IF(OR($C119="",ISERROR(VLOOKUP($C119,'PIVOT TABLE GLOBAL'!$A$4:$F$2500,3,FALSE))),0,VLOOKUP($C119,'PIVOT TABLE GLOBAL'!$A$4:$F$2500,3,FALSE))+IF(OR($C120="",ISERROR(VLOOKUP($C120,'PIVOT TABLE GLOBAL'!$A$4:$F$2500,3,FALSE))),0,VLOOKUP($C120,'PIVOT TABLE GLOBAL'!$A$4:$F$2500,3,FALSE))+IF(OR($C121="",ISERROR(VLOOKUP($C121,'PIVOT TABLE GLOBAL'!$A$4:$F$2500,3,FALSE))),0,VLOOKUP($C121,'PIVOT TABLE GLOBAL'!$A$4:$F$2500,3,FALSE))+IF(OR($C122="",ISERROR(VLOOKUP($C122,'PIVOT TABLE GLOBAL'!$A$4:$F$2500,3,FALSE))),0,VLOOKUP($C122,'PIVOT TABLE GLOBAL'!$A$4:$F$2500,3,FALSE)))/(F123)</f>
        <v>0.4471028009157354</v>
      </c>
      <c r="I123" s="172">
        <f>SUBTOTAL(9,I104:I122)</f>
        <v>88</v>
      </c>
      <c r="J123" s="177">
        <f>(IF(OR($C104="",ISERROR(VLOOKUP($C104,'PIVOT TABLE GLOBAL'!$A$4:$F$2500,4,FALSE))),0,VLOOKUP($C104,'PIVOT TABLE GLOBAL'!$A$4:$F$2500,4,FALSE))+IF(OR($C105="",ISERROR(VLOOKUP($C105,'PIVOT TABLE GLOBAL'!$A$4:$F$2500,4,FALSE))),0,VLOOKUP($C105,'PIVOT TABLE GLOBAL'!$A$4:$F$2500,4,FALSE))+IF(OR($C106="",ISERROR(VLOOKUP($C106,'PIVOT TABLE GLOBAL'!$A$4:$F$2500,4,FALSE))),0,VLOOKUP($C106,'PIVOT TABLE GLOBAL'!$A$4:$F$2500,4,FALSE))+IF(OR($C107="",ISERROR(VLOOKUP($C107,'PIVOT TABLE GLOBAL'!$A$4:$F$2500,4,FALSE))),0,VLOOKUP($C107,'PIVOT TABLE GLOBAL'!$A$4:$F$2500,4,FALSE))+IF(OR($C108="",ISERROR(VLOOKUP($C108,'PIVOT TABLE GLOBAL'!$A$4:$F$2500,4,FALSE))),0,VLOOKUP($C108,'PIVOT TABLE GLOBAL'!$A$4:$F$2500,4,FALSE))+IF(OR($C109="",ISERROR(VLOOKUP($C109,'PIVOT TABLE GLOBAL'!$A$4:$F$2500,4,FALSE))),0,VLOOKUP($C109,'PIVOT TABLE GLOBAL'!$A$4:$F$2500,4,FALSE))+IF(OR($C110="",ISERROR(VLOOKUP($C110,'PIVOT TABLE GLOBAL'!$A$4:$F$2500,4,FALSE))),0,VLOOKUP($C110,'PIVOT TABLE GLOBAL'!$A$4:$F$2500,4,FALSE))+IF(OR($C111="",ISERROR(VLOOKUP($C111,'PIVOT TABLE GLOBAL'!$A$4:$F$2500,4,FALSE))),0,VLOOKUP($C111,'PIVOT TABLE GLOBAL'!$A$4:$F$2500,4,FALSE))+IF(OR($C112="",ISERROR(VLOOKUP($C112,'PIVOT TABLE GLOBAL'!$A$4:$F$2500,4,FALSE))),0,VLOOKUP($C112,'PIVOT TABLE GLOBAL'!$A$4:$F$2500,4,FALSE))+IF(OR($C113="",ISERROR(VLOOKUP($C113,'PIVOT TABLE GLOBAL'!$A$4:$F$2500,4,FALSE))),0,VLOOKUP($C113,'PIVOT TABLE GLOBAL'!$A$4:$F$2500,4,FALSE))+IF(OR($C114="",ISERROR(VLOOKUP($C114,'PIVOT TABLE GLOBAL'!$A$4:$F$2500,4,FALSE))),0,VLOOKUP($C114,'PIVOT TABLE GLOBAL'!$A$4:$F$2500,4,FALSE))+IF(OR($C115="",ISERROR(VLOOKUP($C115,'PIVOT TABLE GLOBAL'!$A$4:$F$2500,4,FALSE))),0,VLOOKUP($C115,'PIVOT TABLE GLOBAL'!$A$4:$F$2500,4,FALSE))+IF(OR($C116="",ISERROR(VLOOKUP($C116,'PIVOT TABLE GLOBAL'!$A$4:$F$2500,4,FALSE))),0,VLOOKUP($C116,'PIVOT TABLE GLOBAL'!$A$4:$F$2500,4,FALSE))+IF(OR($C117="",ISERROR(VLOOKUP($C117,'PIVOT TABLE GLOBAL'!$A$4:$F$2500,4,FALSE))),0,VLOOKUP($C117,'PIVOT TABLE GLOBAL'!$A$4:$F$2500,4,FALSE))+IF(OR($C118="",ISERROR(VLOOKUP($C118,'PIVOT TABLE GLOBAL'!$A$4:$F$2500,4,FALSE))),0,VLOOKUP($C118,'PIVOT TABLE GLOBAL'!$A$4:$F$2500,4,FALSE))+IF(OR($C119="",ISERROR(VLOOKUP($C119,'PIVOT TABLE GLOBAL'!$A$4:$F$2500,4,FALSE))),0,VLOOKUP($C119,'PIVOT TABLE GLOBAL'!$A$4:$F$2500,4,FALSE))+IF(OR($C120="",ISERROR(VLOOKUP($C120,'PIVOT TABLE GLOBAL'!$A$4:$F$2500,4,FALSE))),0,VLOOKUP($C120,'PIVOT TABLE GLOBAL'!$A$4:$F$2500,4,FALSE))+IF(OR($C121="",ISERROR(VLOOKUP($C121,'PIVOT TABLE GLOBAL'!$A$4:$F$2500,4,FALSE))),0,VLOOKUP($C121,'PIVOT TABLE GLOBAL'!$A$4:$F$2500,4,FALSE))+IF(OR($C122="",ISERROR(VLOOKUP($C122,'PIVOT TABLE GLOBAL'!$A$4:$F$2500,4,FALSE))),0,VLOOKUP($C122,'PIVOT TABLE GLOBAL'!$A$4:$F$2500,4,FALSE)))/(F123)</f>
        <v>7.6125323230871872E-2</v>
      </c>
      <c r="K123" s="176">
        <f>SUBTOTAL(9,K104:K122)</f>
        <v>31</v>
      </c>
      <c r="L123" s="405"/>
    </row>
    <row r="124" spans="1:12" s="71" customFormat="1" ht="15" customHeight="1" x14ac:dyDescent="0.25">
      <c r="A124" s="853"/>
      <c r="B124" s="863" t="s">
        <v>967</v>
      </c>
      <c r="C124" s="201" t="str">
        <f t="array" ref="C124">IFERROR(INDEX('C'!$C$1:$C$2479, SMALL(IF($B$124 = 'C'!$A$1:$A$2479, ROW('C'!$A$1:$A$2479) -
ROW('C'!$A$2) + 2), ROW(1:1))),"")</f>
        <v>BBIRUNGI</v>
      </c>
      <c r="D124" s="542" t="str">
        <f t="array" ref="D124">IFERROR(INDEX('C'!$B$1:$B$2479, SMALL(IF($B$124 = 'C'!$A$1:$A$2479, ROW('C'!$A$1:$A$2479) -
ROW('C'!$A$2) + 2), ROW(1:1))),"")</f>
        <v>SME</v>
      </c>
      <c r="E124" s="575">
        <f t="shared" ref="E124:E142" si="12">F124/$F$172</f>
        <v>3.1944133362646877E-2</v>
      </c>
      <c r="F124" s="576">
        <f>SUMIF('Global Portfolio'!$N$2:$N$2500,C124,'Global Portfolio'!$E$2:$E$2500)</f>
        <v>529185088.19999999</v>
      </c>
      <c r="G124" s="542">
        <f>IF('General Porfolio'!C124="",0,COUNTIF('Global Portfolio'!$N$2:$N$2500,'General Porfolio'!C124))</f>
        <v>55</v>
      </c>
      <c r="H124" s="577">
        <f>IF(OR($C$11:$C$167="",ISERROR(VLOOKUP($C124,'PIVOT TABLE GLOBAL'!$A$4:$F$2500,3,FALSE))),"",VLOOKUP($C124,'PIVOT TABLE GLOBAL'!$A$4:$F$2500,3,FALSE)/F124)</f>
        <v>0.44702572153846276</v>
      </c>
      <c r="I124" s="578">
        <f>IF(OR($C$11:$C$167="",ISERROR(VLOOKUP($C124,'PIVOT TABLE GLOBAL'!$A$4:$G$2500,7,FALSE))),"",VLOOKUP($C124,'PIVOT TABLE GLOBAL'!$A$4:$G$2500,7,FALSE))</f>
        <v>30</v>
      </c>
      <c r="J124" s="579">
        <f>IF(OR($C$11:$C$167="",ISERROR(VLOOKUP($C124,'PIVOT TABLE GLOBAL'!$A$4:$F$2500,4,FALSE))),"",VLOOKUP($C124,'PIVOT TABLE GLOBAL'!$A$4:$F$2500,4,FALSE)/F124)</f>
        <v>5.5978825387468657E-2</v>
      </c>
      <c r="K124" s="542">
        <f>IF(OR($C$11:$C$167="",ISERROR(VLOOKUP($C124,'PIVOT TABLE GLOBAL'!$A$4:$H$2500,8,FALSE))),"",VLOOKUP($C124,'PIVOT TABLE GLOBAL'!$A$4:$H$2500,8,FALSE))</f>
        <v>5</v>
      </c>
      <c r="L124" s="559" t="str">
        <f>IFERROR(IF(I124/G124*100&gt;=30,"STOP",IF(AND(I124/G124*100&gt;=15,I124/G124*100&lt;30),"WATCH","NORMAL")),"")</f>
        <v>STOP</v>
      </c>
    </row>
    <row r="125" spans="1:12" s="71" customFormat="1" ht="15" customHeight="1" x14ac:dyDescent="0.25">
      <c r="A125" s="853"/>
      <c r="B125" s="864"/>
      <c r="C125" s="202" t="str">
        <f t="array" ref="C125">IFERROR(INDEX('C'!$C$1:$C$2479, SMALL(IF($B$124 = 'C'!$A$1:$A$2479, ROW('C'!$A$1:$A$2479) -
ROW('C'!$A$2) + 2), ROW(2:2))),"")</f>
        <v>JNYAKATE</v>
      </c>
      <c r="D125" s="543" t="str">
        <f t="array" ref="D125">IFERROR(INDEX('C'!$B$1:$B$2479, SMALL(IF($B$124 = 'C'!$A$1:$A$2479, ROW('C'!$A$1:$A$2479) -
ROW('C'!$A$2) + 2), ROW(2:2))),"")</f>
        <v>WTM</v>
      </c>
      <c r="E125" s="580">
        <f t="shared" si="12"/>
        <v>1.4471137585032018E-2</v>
      </c>
      <c r="F125" s="571">
        <f>SUMIF('Global Portfolio'!$N$2:$N$2500,C125,'Global Portfolio'!$E$2:$E$2500)</f>
        <v>239728219.64999998</v>
      </c>
      <c r="G125" s="543">
        <f>IF('General Porfolio'!C125="",0,COUNTIF('Global Portfolio'!$N$2:$N$2500,'General Porfolio'!C125))</f>
        <v>37</v>
      </c>
      <c r="H125" s="572">
        <f>IF(OR($C$11:$C$167="",ISERROR(VLOOKUP($C125,'PIVOT TABLE GLOBAL'!$A$4:$F$2500,3,FALSE))),"",VLOOKUP($C125,'PIVOT TABLE GLOBAL'!$A$4:$F$2500,3,FALSE)/F125)</f>
        <v>0.52488575359926348</v>
      </c>
      <c r="I125" s="573">
        <f>IF(OR($C$11:$C$167="",ISERROR(VLOOKUP($C125,'PIVOT TABLE GLOBAL'!$A$4:$G$2500,7,FALSE))),"",VLOOKUP($C125,'PIVOT TABLE GLOBAL'!$A$4:$G$2500,7,FALSE))</f>
        <v>19</v>
      </c>
      <c r="J125" s="574">
        <f>IF(OR($C$11:$C$167="",ISERROR(VLOOKUP($C125,'PIVOT TABLE GLOBAL'!$A$4:$F$2500,4,FALSE))),"",VLOOKUP($C125,'PIVOT TABLE GLOBAL'!$A$4:$F$2500,4,FALSE)/F125)</f>
        <v>3.5966761662804519E-2</v>
      </c>
      <c r="K125" s="543">
        <f>IF(OR($C$11:$C$167="",ISERROR(VLOOKUP($C125,'PIVOT TABLE GLOBAL'!$A$4:$H$2500,8,FALSE))),"",VLOOKUP($C125,'PIVOT TABLE GLOBAL'!$A$4:$H$2500,8,FALSE))</f>
        <v>3</v>
      </c>
      <c r="L125" s="559" t="str">
        <f t="shared" ref="L125:L142" si="13">IFERROR(IF(I125/G125*100&gt;=30,"STOP",IF(AND(I125/G125*100&gt;=15,I125/G125*100&lt;30),"WATCH","NORMAL")),"")</f>
        <v>STOP</v>
      </c>
    </row>
    <row r="126" spans="1:12" s="71" customFormat="1" ht="13.5" customHeight="1" x14ac:dyDescent="0.25">
      <c r="A126" s="853"/>
      <c r="B126" s="864"/>
      <c r="C126" s="202" t="str">
        <f t="array" ref="C126">IFERROR(INDEX('C'!$C$1:$C$2479, SMALL(IF($B$124 = 'C'!$A$1:$A$2479, ROW('C'!$A$1:$A$2479) -
ROW('C'!$A$2) + 2), ROW(3:3))),"")</f>
        <v>SKATENDE</v>
      </c>
      <c r="D126" s="543" t="str">
        <f t="array" ref="D126">IFERROR(INDEX('C'!$B$1:$B$2479, SMALL(IF($B$124 = 'C'!$A$1:$A$2479, ROW('C'!$A$1:$A$2479) -
ROW('C'!$A$2) + 2), ROW(3:3))),"")</f>
        <v>WTM</v>
      </c>
      <c r="E126" s="580">
        <f t="shared" si="12"/>
        <v>2.1448829514131778E-2</v>
      </c>
      <c r="F126" s="571">
        <f>SUMIF('Global Portfolio'!$N$2:$N$2500,C126,'Global Portfolio'!$E$2:$E$2500)</f>
        <v>355320352.86000001</v>
      </c>
      <c r="G126" s="543">
        <f>IF('General Porfolio'!C126="",0,COUNTIF('Global Portfolio'!$N$2:$N$2500,'General Porfolio'!C126))</f>
        <v>32</v>
      </c>
      <c r="H126" s="572">
        <f>IF(OR($C$11:$C$167="",ISERROR(VLOOKUP($C126,'PIVOT TABLE GLOBAL'!$A$4:$F$2500,3,FALSE))),"",VLOOKUP($C126,'PIVOT TABLE GLOBAL'!$A$4:$F$2500,3,FALSE)/F126)</f>
        <v>0.49118204303586704</v>
      </c>
      <c r="I126" s="573">
        <f>IF(OR($C$11:$C$167="",ISERROR(VLOOKUP($C126,'PIVOT TABLE GLOBAL'!$A$4:$G$2500,7,FALSE))),"",VLOOKUP($C126,'PIVOT TABLE GLOBAL'!$A$4:$G$2500,7,FALSE))</f>
        <v>13</v>
      </c>
      <c r="J126" s="574">
        <f>IF(OR($C$11:$C$167="",ISERROR(VLOOKUP($C126,'PIVOT TABLE GLOBAL'!$A$4:$F$2500,4,FALSE))),"",VLOOKUP($C126,'PIVOT TABLE GLOBAL'!$A$4:$F$2500,4,FALSE)/F126)</f>
        <v>2.397114415609049E-3</v>
      </c>
      <c r="K126" s="543">
        <f>IF(OR($C$11:$C$167="",ISERROR(VLOOKUP($C126,'PIVOT TABLE GLOBAL'!$A$4:$H$2500,8,FALSE))),"",VLOOKUP($C126,'PIVOT TABLE GLOBAL'!$A$4:$H$2500,8,FALSE))</f>
        <v>1</v>
      </c>
      <c r="L126" s="559" t="str">
        <f t="shared" si="13"/>
        <v>STOP</v>
      </c>
    </row>
    <row r="127" spans="1:12" s="71" customFormat="1" ht="12.75" customHeight="1" x14ac:dyDescent="0.25">
      <c r="A127" s="853"/>
      <c r="B127" s="864"/>
      <c r="C127" s="202" t="str">
        <f t="array" ref="C127">IFERROR(INDEX('C'!$C$1:$C$2479, SMALL(IF($B$124 = 'C'!$A$1:$A$2479, ROW('C'!$A$1:$A$2479) -
ROW('C'!$A$2) + 2), ROW(4:4))),"")</f>
        <v>SOJAMBO</v>
      </c>
      <c r="D127" s="543" t="str">
        <f t="array" ref="D127">IFERROR(INDEX('C'!$B$1:$B$2479, SMALL(IF($B$124 = 'C'!$A$1:$A$2479, ROW('C'!$A$1:$A$2479) -
ROW('C'!$A$2) + 2), ROW(4:4))),"")</f>
        <v>WTM</v>
      </c>
      <c r="E127" s="580">
        <f t="shared" si="12"/>
        <v>4.7911502065605873E-3</v>
      </c>
      <c r="F127" s="571">
        <f>SUMIF('Global Portfolio'!$N$2:$N$2500,C127,'Global Portfolio'!$E$2:$E$2500)</f>
        <v>79369980.579999998</v>
      </c>
      <c r="G127" s="543">
        <f>IF('General Porfolio'!C127="",0,COUNTIF('Global Portfolio'!$N$2:$N$2500,'General Porfolio'!C127))</f>
        <v>18</v>
      </c>
      <c r="H127" s="572">
        <f>IF(OR($C$11:$C$167="",ISERROR(VLOOKUP($C127,'PIVOT TABLE GLOBAL'!$A$4:$F$2500,3,FALSE))),"",VLOOKUP($C127,'PIVOT TABLE GLOBAL'!$A$4:$F$2500,3,FALSE)/F127)</f>
        <v>6.9670490021430206E-2</v>
      </c>
      <c r="I127" s="573">
        <f>IF(OR($C$11:$C$167="",ISERROR(VLOOKUP($C127,'PIVOT TABLE GLOBAL'!$A$4:$G$2500,7,FALSE))),"",VLOOKUP($C127,'PIVOT TABLE GLOBAL'!$A$4:$G$2500,7,FALSE))</f>
        <v>4</v>
      </c>
      <c r="J127" s="574">
        <f>IF(OR($C$11:$C$167="",ISERROR(VLOOKUP($C127,'PIVOT TABLE GLOBAL'!$A$4:$F$2500,4,FALSE))),"",VLOOKUP($C127,'PIVOT TABLE GLOBAL'!$A$4:$F$2500,4,FALSE)/F127)</f>
        <v>0</v>
      </c>
      <c r="K127" s="543">
        <f>IF(OR($C$11:$C$167="",ISERROR(VLOOKUP($C127,'PIVOT TABLE GLOBAL'!$A$4:$H$2500,8,FALSE))),"",VLOOKUP($C127,'PIVOT TABLE GLOBAL'!$A$4:$H$2500,8,FALSE))</f>
        <v>0</v>
      </c>
      <c r="L127" s="559" t="str">
        <f t="shared" si="13"/>
        <v>WATCH</v>
      </c>
    </row>
    <row r="128" spans="1:12" s="71" customFormat="1" ht="15.75" customHeight="1" thickBot="1" x14ac:dyDescent="0.3">
      <c r="A128" s="853"/>
      <c r="B128" s="864"/>
      <c r="C128" s="202" t="str">
        <f t="array" ref="C128">IFERROR(INDEX('C'!$C$1:$C$2479, SMALL(IF($B$124 = 'C'!$A$1:$A$2479, ROW('C'!$A$1:$A$2479) -
ROW('C'!$A$2) + 2), ROW(5:5))),"")</f>
        <v>JTUSIIME</v>
      </c>
      <c r="D128" s="543" t="str">
        <f t="array" ref="D128">IFERROR(INDEX('C'!$B$1:$B$2479, SMALL(IF($B$124 = 'C'!$A$1:$A$2479, ROW('C'!$A$1:$A$2479) -
ROW('C'!$A$2) + 2), ROW(5:5))),"")</f>
        <v>WTM</v>
      </c>
      <c r="E128" s="580">
        <f t="shared" si="12"/>
        <v>1.8942170894876793E-3</v>
      </c>
      <c r="F128" s="571">
        <f>SUMIF('Global Portfolio'!$N$2:$N$2500,C128,'Global Portfolio'!$E$2:$E$2500)</f>
        <v>31379515.800000001</v>
      </c>
      <c r="G128" s="543">
        <f>IF('General Porfolio'!C128="",0,COUNTIF('Global Portfolio'!$N$2:$N$2500,'General Porfolio'!C128))</f>
        <v>8</v>
      </c>
      <c r="H128" s="572">
        <f>IF(OR($C$11:$C$167="",ISERROR(VLOOKUP($C128,'PIVOT TABLE GLOBAL'!$A$4:$F$2500,3,FALSE))),"",VLOOKUP($C128,'PIVOT TABLE GLOBAL'!$A$4:$F$2500,3,FALSE)/F128)</f>
        <v>0</v>
      </c>
      <c r="I128" s="573">
        <f>IF(OR($C$11:$C$167="",ISERROR(VLOOKUP($C128,'PIVOT TABLE GLOBAL'!$A$4:$G$2500,7,FALSE))),"",VLOOKUP($C128,'PIVOT TABLE GLOBAL'!$A$4:$G$2500,7,FALSE))</f>
        <v>0</v>
      </c>
      <c r="J128" s="574">
        <f>IF(OR($C$11:$C$167="",ISERROR(VLOOKUP($C128,'PIVOT TABLE GLOBAL'!$A$4:$F$2500,4,FALSE))),"",VLOOKUP($C128,'PIVOT TABLE GLOBAL'!$A$4:$F$2500,4,FALSE)/F128)</f>
        <v>0</v>
      </c>
      <c r="K128" s="543">
        <f>IF(OR($C$11:$C$167="",ISERROR(VLOOKUP($C128,'PIVOT TABLE GLOBAL'!$A$4:$H$2500,8,FALSE))),"",VLOOKUP($C128,'PIVOT TABLE GLOBAL'!$A$4:$H$2500,8,FALSE))</f>
        <v>0</v>
      </c>
      <c r="L128" s="559" t="str">
        <f t="shared" si="13"/>
        <v>NORMAL</v>
      </c>
    </row>
    <row r="129" spans="1:12" s="71" customFormat="1" ht="15" hidden="1" customHeight="1" x14ac:dyDescent="0.25">
      <c r="A129" s="853"/>
      <c r="B129" s="864"/>
      <c r="C129" s="202" t="str">
        <f t="array" ref="C129">IFERROR(INDEX('C'!$C$1:$C$2479, SMALL(IF($B$124 = 'C'!$A$1:$A$2479, ROW('C'!$A$1:$A$2479) -
ROW('C'!$A$2) + 2), ROW(6:6))),"")</f>
        <v/>
      </c>
      <c r="D129" s="543" t="str">
        <f t="array" ref="D129">IFERROR(INDEX('C'!$B$1:$B$2479, SMALL(IF($B$124 = 'C'!$A$1:$A$2479, ROW('C'!$A$1:$A$2479) -
ROW('C'!$A$2) + 2), ROW(6:6))),"")</f>
        <v/>
      </c>
      <c r="E129" s="580">
        <f t="shared" si="12"/>
        <v>0</v>
      </c>
      <c r="F129" s="571">
        <f>SUMIF('Global Portfolio'!$N$2:$N$2500,C129,'Global Portfolio'!$E$2:$E$2500)</f>
        <v>0</v>
      </c>
      <c r="G129" s="543">
        <f>IF('General Porfolio'!C129="",0,COUNTIF('Global Portfolio'!$N$2:$N$2500,'General Porfolio'!C129))</f>
        <v>0</v>
      </c>
      <c r="H129" s="572" t="str">
        <f>IF(OR($C$11:$C$167="",ISERROR(VLOOKUP($C129,'PIVOT TABLE GLOBAL'!$A$4:$F$2500,3,FALSE))),"",VLOOKUP($C129,'PIVOT TABLE GLOBAL'!$A$4:$F$2500,3,FALSE)/F129)</f>
        <v/>
      </c>
      <c r="I129" s="573" t="str">
        <f>IF(OR($C$11:$C$167="",ISERROR(VLOOKUP($C129,'PIVOT TABLE GLOBAL'!$A$4:$G$2500,7,FALSE))),"",VLOOKUP($C129,'PIVOT TABLE GLOBAL'!$A$4:$G$2500,7,FALSE))</f>
        <v/>
      </c>
      <c r="J129" s="574" t="str">
        <f>IF(OR($C$11:$C$167="",ISERROR(VLOOKUP($C129,'PIVOT TABLE GLOBAL'!$A$4:$F$2500,4,FALSE))),"",VLOOKUP($C129,'PIVOT TABLE GLOBAL'!$A$4:$F$2500,4,FALSE)/F129)</f>
        <v/>
      </c>
      <c r="K129" s="543" t="str">
        <f>IF(OR($C$11:$C$167="",ISERROR(VLOOKUP($C129,'PIVOT TABLE GLOBAL'!$A$4:$H$2500,8,FALSE))),"",VLOOKUP($C129,'PIVOT TABLE GLOBAL'!$A$4:$H$2500,8,FALSE))</f>
        <v/>
      </c>
      <c r="L129" s="559" t="str">
        <f t="shared" si="13"/>
        <v/>
      </c>
    </row>
    <row r="130" spans="1:12" s="71" customFormat="1" ht="15" hidden="1" customHeight="1" thickBot="1" x14ac:dyDescent="0.3">
      <c r="A130" s="853"/>
      <c r="B130" s="864"/>
      <c r="C130" s="202" t="str">
        <f t="array" ref="C130">IFERROR(INDEX('C'!$C$1:$C$2479, SMALL(IF($B$124 = 'C'!$A$1:$A$2479, ROW('C'!$A$1:$A$2479) -
ROW('C'!$A$2) + 2), ROW(7:7))),"")</f>
        <v/>
      </c>
      <c r="D130" s="543" t="str">
        <f t="array" ref="D130">IFERROR(INDEX('C'!$B$1:$B$2479, SMALL(IF($B$124 = 'C'!$A$1:$A$2479, ROW('C'!$A$1:$A$2479) -
ROW('C'!$A$2) + 2), ROW(7:7))),"")</f>
        <v/>
      </c>
      <c r="E130" s="580">
        <f t="shared" si="12"/>
        <v>0</v>
      </c>
      <c r="F130" s="571">
        <f>SUMIF('Global Portfolio'!$N$2:$N$2500,C130,'Global Portfolio'!$E$2:$E$2500)</f>
        <v>0</v>
      </c>
      <c r="G130" s="543">
        <f>IF('General Porfolio'!C130="",0,COUNTIF('Global Portfolio'!$N$2:$N$2500,'General Porfolio'!C130))</f>
        <v>0</v>
      </c>
      <c r="H130" s="572" t="str">
        <f>IF(OR($C$11:$C$167="",ISERROR(VLOOKUP($C130,'PIVOT TABLE GLOBAL'!$A$4:$F$2500,3,FALSE))),"",VLOOKUP($C130,'PIVOT TABLE GLOBAL'!$A$4:$F$2500,3,FALSE)/F130)</f>
        <v/>
      </c>
      <c r="I130" s="573" t="str">
        <f>IF(OR($C$11:$C$167="",ISERROR(VLOOKUP($C130,'PIVOT TABLE GLOBAL'!$A$4:$G$2500,7,FALSE))),"",VLOOKUP($C130,'PIVOT TABLE GLOBAL'!$A$4:$G$2500,7,FALSE))</f>
        <v/>
      </c>
      <c r="J130" s="574" t="str">
        <f>IF(OR($C$11:$C$167="",ISERROR(VLOOKUP($C130,'PIVOT TABLE GLOBAL'!$A$4:$F$2500,4,FALSE))),"",VLOOKUP($C130,'PIVOT TABLE GLOBAL'!$A$4:$F$2500,4,FALSE)/F130)</f>
        <v/>
      </c>
      <c r="K130" s="543" t="str">
        <f>IF(OR($C$11:$C$167="",ISERROR(VLOOKUP($C130,'PIVOT TABLE GLOBAL'!$A$4:$H$2500,8,FALSE))),"",VLOOKUP($C130,'PIVOT TABLE GLOBAL'!$A$4:$H$2500,8,FALSE))</f>
        <v/>
      </c>
      <c r="L130" s="559" t="str">
        <f t="shared" si="13"/>
        <v/>
      </c>
    </row>
    <row r="131" spans="1:12" s="71" customFormat="1" ht="15" hidden="1" customHeight="1" thickBot="1" x14ac:dyDescent="0.3">
      <c r="A131" s="853"/>
      <c r="B131" s="864"/>
      <c r="C131" s="202" t="str">
        <f t="array" ref="C131">IFERROR(INDEX('C'!$C$1:$C$2479, SMALL(IF($B$124 = 'C'!$A$1:$A$2479, ROW('C'!$A$1:$A$2479) -
ROW('C'!$A$2) + 2), ROW(8:8))),"")</f>
        <v/>
      </c>
      <c r="D131" s="543" t="str">
        <f t="array" ref="D131">IFERROR(INDEX('C'!$B$1:$B$2479, SMALL(IF($B$124 = 'C'!$A$1:$A$2479, ROW('C'!$A$1:$A$2479) -
ROW('C'!$A$2) + 2), ROW(8:8))),"")</f>
        <v/>
      </c>
      <c r="E131" s="580">
        <f t="shared" si="12"/>
        <v>0</v>
      </c>
      <c r="F131" s="571">
        <f>SUMIF('Global Portfolio'!$N$2:$N$2500,C131,'Global Portfolio'!$E$2:$E$2500)</f>
        <v>0</v>
      </c>
      <c r="G131" s="543">
        <f>IF('General Porfolio'!C131="",0,COUNTIF('Global Portfolio'!$N$2:$N$2500,'General Porfolio'!C131))</f>
        <v>0</v>
      </c>
      <c r="H131" s="572" t="str">
        <f>IF(OR($C$11:$C$167="",ISERROR(VLOOKUP($C131,'PIVOT TABLE GLOBAL'!$A$4:$F$2500,3,FALSE))),"",VLOOKUP($C131,'PIVOT TABLE GLOBAL'!$A$4:$F$2500,3,FALSE)/F131)</f>
        <v/>
      </c>
      <c r="I131" s="573" t="str">
        <f>IF(OR($C$11:$C$167="",ISERROR(VLOOKUP($C131,'PIVOT TABLE GLOBAL'!$A$4:$G$2500,7,FALSE))),"",VLOOKUP($C131,'PIVOT TABLE GLOBAL'!$A$4:$G$2500,7,FALSE))</f>
        <v/>
      </c>
      <c r="J131" s="574" t="str">
        <f>IF(OR($C$11:$C$167="",ISERROR(VLOOKUP($C131,'PIVOT TABLE GLOBAL'!$A$4:$F$2500,4,FALSE))),"",VLOOKUP($C131,'PIVOT TABLE GLOBAL'!$A$4:$F$2500,4,FALSE)/F131)</f>
        <v/>
      </c>
      <c r="K131" s="543" t="str">
        <f>IF(OR($C$11:$C$167="",ISERROR(VLOOKUP($C131,'PIVOT TABLE GLOBAL'!$A$4:$H$2500,8,FALSE))),"",VLOOKUP($C131,'PIVOT TABLE GLOBAL'!$A$4:$H$2500,8,FALSE))</f>
        <v/>
      </c>
      <c r="L131" s="559" t="str">
        <f t="shared" si="13"/>
        <v/>
      </c>
    </row>
    <row r="132" spans="1:12" s="71" customFormat="1" ht="15" hidden="1" customHeight="1" thickBot="1" x14ac:dyDescent="0.3">
      <c r="A132" s="853"/>
      <c r="B132" s="864"/>
      <c r="C132" s="202" t="str">
        <f t="array" ref="C132">IFERROR(INDEX('C'!$C$1:$C$2479, SMALL(IF($B$124 = 'C'!$A$1:$A$2479, ROW('C'!$A$1:$A$2479) -
ROW('C'!$A$2) + 2), ROW(9:9))),"")</f>
        <v/>
      </c>
      <c r="D132" s="543" t="str">
        <f t="array" ref="D132">IFERROR(INDEX('C'!$B$1:$B$2479, SMALL(IF($B$124 = 'C'!$A$1:$A$2479, ROW('C'!$A$1:$A$2479) -
ROW('C'!$A$2) + 2), ROW(9:9))),"")</f>
        <v/>
      </c>
      <c r="E132" s="580">
        <f t="shared" si="12"/>
        <v>0</v>
      </c>
      <c r="F132" s="571">
        <f>SUMIF('Global Portfolio'!$N$2:$N$2500,C132,'Global Portfolio'!$E$2:$E$2500)</f>
        <v>0</v>
      </c>
      <c r="G132" s="543">
        <f>IF('General Porfolio'!C132="",0,COUNTIF('Global Portfolio'!$N$2:$N$2500,'General Porfolio'!C132))</f>
        <v>0</v>
      </c>
      <c r="H132" s="572" t="str">
        <f>IF(OR($C$11:$C$167="",ISERROR(VLOOKUP($C132,'PIVOT TABLE GLOBAL'!$A$4:$F$2500,3,FALSE))),"",VLOOKUP($C132,'PIVOT TABLE GLOBAL'!$A$4:$F$2500,3,FALSE)/F132)</f>
        <v/>
      </c>
      <c r="I132" s="573" t="str">
        <f>IF(OR($C$11:$C$167="",ISERROR(VLOOKUP($C132,'PIVOT TABLE GLOBAL'!$A$4:$G$2500,7,FALSE))),"",VLOOKUP($C132,'PIVOT TABLE GLOBAL'!$A$4:$G$2500,7,FALSE))</f>
        <v/>
      </c>
      <c r="J132" s="574" t="str">
        <f>IF(OR($C$11:$C$167="",ISERROR(VLOOKUP($C132,'PIVOT TABLE GLOBAL'!$A$4:$F$2500,4,FALSE))),"",VLOOKUP($C132,'PIVOT TABLE GLOBAL'!$A$4:$F$2500,4,FALSE)/F132)</f>
        <v/>
      </c>
      <c r="K132" s="543" t="str">
        <f>IF(OR($C$11:$C$167="",ISERROR(VLOOKUP($C132,'PIVOT TABLE GLOBAL'!$A$4:$H$2500,8,FALSE))),"",VLOOKUP($C132,'PIVOT TABLE GLOBAL'!$A$4:$H$2500,8,FALSE))</f>
        <v/>
      </c>
      <c r="L132" s="559" t="str">
        <f t="shared" si="13"/>
        <v/>
      </c>
    </row>
    <row r="133" spans="1:12" s="71" customFormat="1" ht="15" hidden="1" customHeight="1" thickBot="1" x14ac:dyDescent="0.3">
      <c r="A133" s="853"/>
      <c r="B133" s="864"/>
      <c r="C133" s="202" t="str">
        <f t="array" ref="C133">IFERROR(INDEX('C'!$C$1:$C$2479, SMALL(IF($B$124 = 'C'!$A$1:$A$2479, ROW('C'!$A$1:$A$2479) -
ROW('C'!$A$2) + 2), ROW(10:10))),"")</f>
        <v/>
      </c>
      <c r="D133" s="543" t="str">
        <f t="array" ref="D133">IFERROR(INDEX('C'!$B$1:$B$2479, SMALL(IF($B$124 = 'C'!$A$1:$A$2479, ROW('C'!$A$1:$A$2479) -
ROW('C'!$A$2) + 2), ROW(10:10))),"")</f>
        <v/>
      </c>
      <c r="E133" s="580">
        <f t="shared" si="12"/>
        <v>0</v>
      </c>
      <c r="F133" s="571">
        <f>SUMIF('Global Portfolio'!$N$2:$N$2500,C133,'Global Portfolio'!$E$2:$E$2500)</f>
        <v>0</v>
      </c>
      <c r="G133" s="543">
        <f>IF('General Porfolio'!C133="",0,COUNTIF('Global Portfolio'!$N$2:$N$2500,'General Porfolio'!C133))</f>
        <v>0</v>
      </c>
      <c r="H133" s="572" t="str">
        <f>IF(OR($C$11:$C$167="",ISERROR(VLOOKUP($C133,'PIVOT TABLE GLOBAL'!$A$4:$F$2500,3,FALSE))),"",VLOOKUP($C133,'PIVOT TABLE GLOBAL'!$A$4:$F$2500,3,FALSE)/F133)</f>
        <v/>
      </c>
      <c r="I133" s="573" t="str">
        <f>IF(OR($C$11:$C$167="",ISERROR(VLOOKUP($C133,'PIVOT TABLE GLOBAL'!$A$4:$G$2500,7,FALSE))),"",VLOOKUP($C133,'PIVOT TABLE GLOBAL'!$A$4:$G$2500,7,FALSE))</f>
        <v/>
      </c>
      <c r="J133" s="574" t="str">
        <f>IF(OR($C$11:$C$167="",ISERROR(VLOOKUP($C133,'PIVOT TABLE GLOBAL'!$A$4:$F$2500,4,FALSE))),"",VLOOKUP($C133,'PIVOT TABLE GLOBAL'!$A$4:$F$2500,4,FALSE)/F133)</f>
        <v/>
      </c>
      <c r="K133" s="543" t="str">
        <f>IF(OR($C$11:$C$167="",ISERROR(VLOOKUP($C133,'PIVOT TABLE GLOBAL'!$A$4:$H$2500,8,FALSE))),"",VLOOKUP($C133,'PIVOT TABLE GLOBAL'!$A$4:$H$2500,8,FALSE))</f>
        <v/>
      </c>
      <c r="L133" s="559" t="str">
        <f t="shared" si="13"/>
        <v/>
      </c>
    </row>
    <row r="134" spans="1:12" s="71" customFormat="1" ht="15" hidden="1" customHeight="1" thickBot="1" x14ac:dyDescent="0.3">
      <c r="A134" s="853"/>
      <c r="B134" s="864"/>
      <c r="C134" s="202" t="str">
        <f t="array" ref="C134">IFERROR(INDEX('C'!$C$1:$C$2479, SMALL(IF($B$124 = 'C'!$A$1:$A$2479, ROW('C'!$A$1:$A$2479) -
ROW('C'!$A$2) + 2), ROW(11:11))),"")</f>
        <v/>
      </c>
      <c r="D134" s="543" t="str">
        <f t="array" ref="D134">IFERROR(INDEX('C'!$B$1:$B$2479, SMALL(IF($B$124 = 'C'!$A$1:$A$2479, ROW('C'!$A$1:$A$2479) -
ROW('C'!$A$2) + 2), ROW(11:11))),"")</f>
        <v/>
      </c>
      <c r="E134" s="580">
        <f t="shared" si="12"/>
        <v>0</v>
      </c>
      <c r="F134" s="571">
        <f>SUMIF('Global Portfolio'!$N$2:$N$2500,C134,'Global Portfolio'!$E$2:$E$2500)</f>
        <v>0</v>
      </c>
      <c r="G134" s="543">
        <f>IF('General Porfolio'!C134="",0,COUNTIF('Global Portfolio'!$N$2:$N$2500,'General Porfolio'!C134))</f>
        <v>0</v>
      </c>
      <c r="H134" s="572" t="str">
        <f>IF(OR($C$11:$C$167="",ISERROR(VLOOKUP($C134,'PIVOT TABLE GLOBAL'!$A$4:$F$2500,3,FALSE))),"",VLOOKUP($C134,'PIVOT TABLE GLOBAL'!$A$4:$F$2500,3,FALSE)/F134)</f>
        <v/>
      </c>
      <c r="I134" s="573" t="str">
        <f>IF(OR($C$11:$C$167="",ISERROR(VLOOKUP($C134,'PIVOT TABLE GLOBAL'!$A$4:$G$2500,7,FALSE))),"",VLOOKUP($C134,'PIVOT TABLE GLOBAL'!$A$4:$G$2500,7,FALSE))</f>
        <v/>
      </c>
      <c r="J134" s="574" t="str">
        <f>IF(OR($C$11:$C$167="",ISERROR(VLOOKUP($C134,'PIVOT TABLE GLOBAL'!$A$4:$F$2500,4,FALSE))),"",VLOOKUP($C134,'PIVOT TABLE GLOBAL'!$A$4:$F$2500,4,FALSE)/F134)</f>
        <v/>
      </c>
      <c r="K134" s="543" t="str">
        <f>IF(OR($C$11:$C$167="",ISERROR(VLOOKUP($C134,'PIVOT TABLE GLOBAL'!$A$4:$H$2500,8,FALSE))),"",VLOOKUP($C134,'PIVOT TABLE GLOBAL'!$A$4:$H$2500,8,FALSE))</f>
        <v/>
      </c>
      <c r="L134" s="559" t="str">
        <f t="shared" si="13"/>
        <v/>
      </c>
    </row>
    <row r="135" spans="1:12" s="71" customFormat="1" ht="15" hidden="1" customHeight="1" thickBot="1" x14ac:dyDescent="0.3">
      <c r="A135" s="853"/>
      <c r="B135" s="864"/>
      <c r="C135" s="202" t="str">
        <f t="array" ref="C135">IFERROR(INDEX('C'!$C$1:$C$2479, SMALL(IF($B$124 = 'C'!$A$1:$A$2479, ROW('C'!$A$1:$A$2479) -
ROW('C'!$A$2) + 2), ROW(12:12))),"")</f>
        <v/>
      </c>
      <c r="D135" s="543" t="str">
        <f t="array" ref="D135">IFERROR(INDEX('C'!$B$1:$B$2479, SMALL(IF($B$124 = 'C'!$A$1:$A$2479, ROW('C'!$A$1:$A$2479) -
ROW('C'!$A$2) + 2), ROW(12:12))),"")</f>
        <v/>
      </c>
      <c r="E135" s="580">
        <f t="shared" si="12"/>
        <v>0</v>
      </c>
      <c r="F135" s="571">
        <f>SUMIF('Global Portfolio'!$N$2:$N$2500,C135,'Global Portfolio'!$E$2:$E$2500)</f>
        <v>0</v>
      </c>
      <c r="G135" s="543">
        <f>IF('General Porfolio'!C135="",0,COUNTIF('Global Portfolio'!$N$2:$N$2500,'General Porfolio'!C135))</f>
        <v>0</v>
      </c>
      <c r="H135" s="572" t="str">
        <f>IF(OR($C$11:$C$167="",ISERROR(VLOOKUP($C135,'PIVOT TABLE GLOBAL'!$A$4:$F$2500,3,FALSE))),"",VLOOKUP($C135,'PIVOT TABLE GLOBAL'!$A$4:$F$2500,3,FALSE)/F135)</f>
        <v/>
      </c>
      <c r="I135" s="573" t="str">
        <f>IF(OR($C$11:$C$167="",ISERROR(VLOOKUP($C135,'PIVOT TABLE GLOBAL'!$A$4:$G$2500,7,FALSE))),"",VLOOKUP($C135,'PIVOT TABLE GLOBAL'!$A$4:$G$2500,7,FALSE))</f>
        <v/>
      </c>
      <c r="J135" s="574" t="str">
        <f>IF(OR($C$11:$C$167="",ISERROR(VLOOKUP($C135,'PIVOT TABLE GLOBAL'!$A$4:$F$2500,4,FALSE))),"",VLOOKUP($C135,'PIVOT TABLE GLOBAL'!$A$4:$F$2500,4,FALSE)/F135)</f>
        <v/>
      </c>
      <c r="K135" s="543" t="str">
        <f>IF(OR($C$11:$C$167="",ISERROR(VLOOKUP($C135,'PIVOT TABLE GLOBAL'!$A$4:$H$2500,8,FALSE))),"",VLOOKUP($C135,'PIVOT TABLE GLOBAL'!$A$4:$H$2500,8,FALSE))</f>
        <v/>
      </c>
      <c r="L135" s="559" t="str">
        <f t="shared" si="13"/>
        <v/>
      </c>
    </row>
    <row r="136" spans="1:12" s="71" customFormat="1" ht="15" hidden="1" customHeight="1" thickBot="1" x14ac:dyDescent="0.3">
      <c r="A136" s="853"/>
      <c r="B136" s="864"/>
      <c r="C136" s="202" t="str">
        <f t="array" ref="C136">IFERROR(INDEX('C'!$C$1:$C$2479, SMALL(IF($B$124 = 'C'!$A$1:$A$2479, ROW('C'!$A$1:$A$2479) -
ROW('C'!$A$2) + 2), ROW(13:13))),"")</f>
        <v/>
      </c>
      <c r="D136" s="543" t="str">
        <f t="array" ref="D136">IFERROR(INDEX('C'!$B$1:$B$2479, SMALL(IF($B$124 = 'C'!$A$1:$A$2479, ROW('C'!$A$1:$A$2479) -
ROW('C'!$A$2) + 2), ROW(13:13))),"")</f>
        <v/>
      </c>
      <c r="E136" s="580">
        <f t="shared" si="12"/>
        <v>0</v>
      </c>
      <c r="F136" s="571">
        <f>SUMIF('Global Portfolio'!$N$2:$N$2500,C136,'Global Portfolio'!$E$2:$E$2500)</f>
        <v>0</v>
      </c>
      <c r="G136" s="543">
        <f>IF('General Porfolio'!C136="",0,COUNTIF('Global Portfolio'!$N$2:$N$2500,'General Porfolio'!C136))</f>
        <v>0</v>
      </c>
      <c r="H136" s="572" t="str">
        <f>IF(OR($C$11:$C$167="",ISERROR(VLOOKUP($C136,'PIVOT TABLE GLOBAL'!$A$4:$F$2500,3,FALSE))),"",VLOOKUP($C136,'PIVOT TABLE GLOBAL'!$A$4:$F$2500,3,FALSE)/F136)</f>
        <v/>
      </c>
      <c r="I136" s="573" t="str">
        <f>IF(OR($C$11:$C$167="",ISERROR(VLOOKUP($C136,'PIVOT TABLE GLOBAL'!$A$4:$G$2500,7,FALSE))),"",VLOOKUP($C136,'PIVOT TABLE GLOBAL'!$A$4:$G$2500,7,FALSE))</f>
        <v/>
      </c>
      <c r="J136" s="574" t="str">
        <f>IF(OR($C$11:$C$167="",ISERROR(VLOOKUP($C136,'PIVOT TABLE GLOBAL'!$A$4:$F$2500,4,FALSE))),"",VLOOKUP($C136,'PIVOT TABLE GLOBAL'!$A$4:$F$2500,4,FALSE)/F136)</f>
        <v/>
      </c>
      <c r="K136" s="543" t="str">
        <f>IF(OR($C$11:$C$167="",ISERROR(VLOOKUP($C136,'PIVOT TABLE GLOBAL'!$A$4:$H$2500,8,FALSE))),"",VLOOKUP($C136,'PIVOT TABLE GLOBAL'!$A$4:$H$2500,8,FALSE))</f>
        <v/>
      </c>
      <c r="L136" s="559" t="str">
        <f t="shared" si="13"/>
        <v/>
      </c>
    </row>
    <row r="137" spans="1:12" s="71" customFormat="1" ht="15" hidden="1" customHeight="1" thickBot="1" x14ac:dyDescent="0.3">
      <c r="A137" s="853"/>
      <c r="B137" s="864"/>
      <c r="C137" s="202" t="str">
        <f t="array" ref="C137">IFERROR(INDEX('C'!$C$1:$C$2479, SMALL(IF($B$124 = 'C'!$A$1:$A$2479, ROW('C'!$A$1:$A$2479) -
ROW('C'!$A$2) + 2), ROW(14:14))),"")</f>
        <v/>
      </c>
      <c r="D137" s="543" t="str">
        <f t="array" ref="D137">IFERROR(INDEX('C'!$B$1:$B$2479, SMALL(IF($B$124 = 'C'!$A$1:$A$2479, ROW('C'!$A$1:$A$2479) -
ROW('C'!$A$2) + 2), ROW(14:14))),"")</f>
        <v/>
      </c>
      <c r="E137" s="580">
        <f t="shared" si="12"/>
        <v>0</v>
      </c>
      <c r="F137" s="571">
        <f>SUMIF('Global Portfolio'!$N$2:$N$2500,C137,'Global Portfolio'!$E$2:$E$2500)</f>
        <v>0</v>
      </c>
      <c r="G137" s="543">
        <f>IF('General Porfolio'!C137="",0,COUNTIF('Global Portfolio'!$N$2:$N$2500,'General Porfolio'!C137))</f>
        <v>0</v>
      </c>
      <c r="H137" s="572" t="str">
        <f>IF(OR($C$11:$C$167="",ISERROR(VLOOKUP($C137,'PIVOT TABLE GLOBAL'!$A$4:$F$2500,3,FALSE))),"",VLOOKUP($C137,'PIVOT TABLE GLOBAL'!$A$4:$F$2500,3,FALSE)/F137)</f>
        <v/>
      </c>
      <c r="I137" s="573" t="str">
        <f>IF(OR($C$11:$C$167="",ISERROR(VLOOKUP($C137,'PIVOT TABLE GLOBAL'!$A$4:$G$2500,7,FALSE))),"",VLOOKUP($C137,'PIVOT TABLE GLOBAL'!$A$4:$G$2500,7,FALSE))</f>
        <v/>
      </c>
      <c r="J137" s="574" t="str">
        <f>IF(OR($C$11:$C$167="",ISERROR(VLOOKUP($C137,'PIVOT TABLE GLOBAL'!$A$4:$F$2500,4,FALSE))),"",VLOOKUP($C137,'PIVOT TABLE GLOBAL'!$A$4:$F$2500,4,FALSE)/F137)</f>
        <v/>
      </c>
      <c r="K137" s="543" t="str">
        <f>IF(OR($C$11:$C$167="",ISERROR(VLOOKUP($C137,'PIVOT TABLE GLOBAL'!$A$4:$H$2500,8,FALSE))),"",VLOOKUP($C137,'PIVOT TABLE GLOBAL'!$A$4:$H$2500,8,FALSE))</f>
        <v/>
      </c>
      <c r="L137" s="559" t="str">
        <f t="shared" si="13"/>
        <v/>
      </c>
    </row>
    <row r="138" spans="1:12" s="71" customFormat="1" ht="15" hidden="1" customHeight="1" thickBot="1" x14ac:dyDescent="0.3">
      <c r="A138" s="853"/>
      <c r="B138" s="864"/>
      <c r="C138" s="202" t="str">
        <f t="array" ref="C138">IFERROR(INDEX('C'!$C$1:$C$2479, SMALL(IF($B$124 = 'C'!$A$1:$A$2479, ROW('C'!$A$1:$A$2479) -
ROW('C'!$A$2) + 2), ROW(15:15))),"")</f>
        <v/>
      </c>
      <c r="D138" s="543" t="str">
        <f t="array" ref="D138">IFERROR(INDEX('C'!$B$1:$B$2479, SMALL(IF($B$124 = 'C'!$A$1:$A$2479, ROW('C'!$A$1:$A$2479) -
ROW('C'!$A$2) + 2), ROW(15:15))),"")</f>
        <v/>
      </c>
      <c r="E138" s="580">
        <f t="shared" si="12"/>
        <v>0</v>
      </c>
      <c r="F138" s="571">
        <f>SUMIF('Global Portfolio'!$N$2:$N$2500,C138,'Global Portfolio'!$E$2:$E$2500)</f>
        <v>0</v>
      </c>
      <c r="G138" s="543">
        <f>IF('General Porfolio'!C138="",0,COUNTIF('Global Portfolio'!$N$2:$N$2500,'General Porfolio'!C138))</f>
        <v>0</v>
      </c>
      <c r="H138" s="572" t="str">
        <f>IF(OR($C$11:$C$167="",ISERROR(VLOOKUP($C138,'PIVOT TABLE GLOBAL'!$A$4:$F$2500,3,FALSE))),"",VLOOKUP($C138,'PIVOT TABLE GLOBAL'!$A$4:$F$2500,3,FALSE)/F138)</f>
        <v/>
      </c>
      <c r="I138" s="573" t="str">
        <f>IF(OR($C$11:$C$167="",ISERROR(VLOOKUP($C138,'PIVOT TABLE GLOBAL'!$A$4:$G$2500,7,FALSE))),"",VLOOKUP($C138,'PIVOT TABLE GLOBAL'!$A$4:$G$2500,7,FALSE))</f>
        <v/>
      </c>
      <c r="J138" s="574" t="str">
        <f>IF(OR($C$11:$C$167="",ISERROR(VLOOKUP($C138,'PIVOT TABLE GLOBAL'!$A$4:$F$2500,4,FALSE))),"",VLOOKUP($C138,'PIVOT TABLE GLOBAL'!$A$4:$F$2500,4,FALSE)/F138)</f>
        <v/>
      </c>
      <c r="K138" s="543" t="str">
        <f>IF(OR($C$11:$C$167="",ISERROR(VLOOKUP($C138,'PIVOT TABLE GLOBAL'!$A$4:$H$2500,8,FALSE))),"",VLOOKUP($C138,'PIVOT TABLE GLOBAL'!$A$4:$H$2500,8,FALSE))</f>
        <v/>
      </c>
      <c r="L138" s="559" t="str">
        <f t="shared" si="13"/>
        <v/>
      </c>
    </row>
    <row r="139" spans="1:12" s="71" customFormat="1" ht="15" hidden="1" customHeight="1" thickBot="1" x14ac:dyDescent="0.3">
      <c r="A139" s="853"/>
      <c r="B139" s="864"/>
      <c r="C139" s="202" t="str">
        <f t="array" ref="C139">IFERROR(INDEX('C'!$C$1:$C$2479, SMALL(IF($B$124 = 'C'!$A$1:$A$2479, ROW('C'!$A$1:$A$2479) -
ROW('C'!$A$2) + 2), ROW(16:16))),"")</f>
        <v/>
      </c>
      <c r="D139" s="543" t="str">
        <f t="array" ref="D139">IFERROR(INDEX('C'!$B$1:$B$2479, SMALL(IF($B$124 = 'C'!$A$1:$A$2479, ROW('C'!$A$1:$A$2479) -
ROW('C'!$A$2) + 2), ROW(16:16))),"")</f>
        <v/>
      </c>
      <c r="E139" s="580">
        <f t="shared" si="12"/>
        <v>0</v>
      </c>
      <c r="F139" s="571">
        <f>SUMIF('Global Portfolio'!$N$2:$N$2500,C139,'Global Portfolio'!$E$2:$E$2500)</f>
        <v>0</v>
      </c>
      <c r="G139" s="543">
        <f>IF('General Porfolio'!C139="",0,COUNTIF('Global Portfolio'!$N$2:$N$2500,'General Porfolio'!C139))</f>
        <v>0</v>
      </c>
      <c r="H139" s="572" t="str">
        <f>IF(OR($C$11:$C$167="",ISERROR(VLOOKUP($C139,'PIVOT TABLE GLOBAL'!$A$4:$F$2500,3,FALSE))),"",VLOOKUP($C139,'PIVOT TABLE GLOBAL'!$A$4:$F$2500,3,FALSE)/F139)</f>
        <v/>
      </c>
      <c r="I139" s="573" t="str">
        <f>IF(OR($C$11:$C$167="",ISERROR(VLOOKUP($C139,'PIVOT TABLE GLOBAL'!$A$4:$G$2500,7,FALSE))),"",VLOOKUP($C139,'PIVOT TABLE GLOBAL'!$A$4:$G$2500,7,FALSE))</f>
        <v/>
      </c>
      <c r="J139" s="574" t="str">
        <f>IF(OR($C$11:$C$167="",ISERROR(VLOOKUP($C139,'PIVOT TABLE GLOBAL'!$A$4:$F$2500,4,FALSE))),"",VLOOKUP($C139,'PIVOT TABLE GLOBAL'!$A$4:$F$2500,4,FALSE)/F139)</f>
        <v/>
      </c>
      <c r="K139" s="543" t="str">
        <f>IF(OR($C$11:$C$167="",ISERROR(VLOOKUP($C139,'PIVOT TABLE GLOBAL'!$A$4:$H$2500,8,FALSE))),"",VLOOKUP($C139,'PIVOT TABLE GLOBAL'!$A$4:$H$2500,8,FALSE))</f>
        <v/>
      </c>
      <c r="L139" s="559" t="str">
        <f t="shared" si="13"/>
        <v/>
      </c>
    </row>
    <row r="140" spans="1:12" s="71" customFormat="1" ht="15" hidden="1" customHeight="1" thickBot="1" x14ac:dyDescent="0.3">
      <c r="A140" s="853"/>
      <c r="B140" s="864"/>
      <c r="C140" s="202" t="str">
        <f t="array" ref="C140">IFERROR(INDEX('C'!$C$1:$C$2479, SMALL(IF($B$124 = 'C'!$A$1:$A$2479, ROW('C'!$A$1:$A$2479) -
ROW('C'!$A$2) + 2), ROW(17:17))),"")</f>
        <v/>
      </c>
      <c r="D140" s="543" t="str">
        <f t="array" ref="D140">IFERROR(INDEX('C'!$B$1:$B$2479, SMALL(IF($B$124 = 'C'!$A$1:$A$2479, ROW('C'!$A$1:$A$2479) -
ROW('C'!$A$2) + 2), ROW(17:17))),"")</f>
        <v/>
      </c>
      <c r="E140" s="580">
        <f t="shared" si="12"/>
        <v>0</v>
      </c>
      <c r="F140" s="571">
        <f>SUMIF('Global Portfolio'!$N$2:$N$2500,C140,'Global Portfolio'!$E$2:$E$2500)</f>
        <v>0</v>
      </c>
      <c r="G140" s="543">
        <f>IF('General Porfolio'!C140="",0,COUNTIF('Global Portfolio'!$N$2:$N$2500,'General Porfolio'!C140))</f>
        <v>0</v>
      </c>
      <c r="H140" s="572" t="str">
        <f>IF(OR($C$11:$C$167="",ISERROR(VLOOKUP($C140,'PIVOT TABLE GLOBAL'!$A$4:$F$2500,3,FALSE))),"",VLOOKUP($C140,'PIVOT TABLE GLOBAL'!$A$4:$F$2500,3,FALSE)/F140)</f>
        <v/>
      </c>
      <c r="I140" s="573" t="str">
        <f>IF(OR($C$11:$C$167="",ISERROR(VLOOKUP($C140,'PIVOT TABLE GLOBAL'!$A$4:$G$2500,7,FALSE))),"",VLOOKUP($C140,'PIVOT TABLE GLOBAL'!$A$4:$G$2500,7,FALSE))</f>
        <v/>
      </c>
      <c r="J140" s="574" t="str">
        <f>IF(OR($C$11:$C$167="",ISERROR(VLOOKUP($C140,'PIVOT TABLE GLOBAL'!$A$4:$F$2500,4,FALSE))),"",VLOOKUP($C140,'PIVOT TABLE GLOBAL'!$A$4:$F$2500,4,FALSE)/F140)</f>
        <v/>
      </c>
      <c r="K140" s="543" t="str">
        <f>IF(OR($C$11:$C$167="",ISERROR(VLOOKUP($C140,'PIVOT TABLE GLOBAL'!$A$4:$H$2500,8,FALSE))),"",VLOOKUP($C140,'PIVOT TABLE GLOBAL'!$A$4:$H$2500,8,FALSE))</f>
        <v/>
      </c>
      <c r="L140" s="559" t="str">
        <f t="shared" si="13"/>
        <v/>
      </c>
    </row>
    <row r="141" spans="1:12" s="71" customFormat="1" ht="15" hidden="1" customHeight="1" thickBot="1" x14ac:dyDescent="0.3">
      <c r="A141" s="853"/>
      <c r="B141" s="864"/>
      <c r="C141" s="202" t="str">
        <f t="array" ref="C141">IFERROR(INDEX('C'!$C$1:$C$2479, SMALL(IF($B$124 = 'C'!$A$1:$A$2479, ROW('C'!$A$1:$A$2479) -
ROW('C'!$A$2) + 2), ROW(18:18))),"")</f>
        <v/>
      </c>
      <c r="D141" s="543" t="str">
        <f t="array" ref="D141">IFERROR(INDEX('C'!$B$1:$B$2479, SMALL(IF($B$124 = 'C'!$A$1:$A$2479, ROW('C'!$A$1:$A$2479) -
ROW('C'!$A$2) + 2), ROW(18:18))),"")</f>
        <v/>
      </c>
      <c r="E141" s="580">
        <f t="shared" si="12"/>
        <v>0</v>
      </c>
      <c r="F141" s="571">
        <f>SUMIF('Global Portfolio'!$N$2:$N$2500,C141,'Global Portfolio'!$E$2:$E$2500)</f>
        <v>0</v>
      </c>
      <c r="G141" s="543">
        <f>IF('General Porfolio'!C141="",0,COUNTIF('Global Portfolio'!$N$2:$N$2500,'General Porfolio'!C141))</f>
        <v>0</v>
      </c>
      <c r="H141" s="572" t="str">
        <f>IF(OR($C$11:$C$167="",ISERROR(VLOOKUP($C141,'PIVOT TABLE GLOBAL'!$A$4:$F$2500,3,FALSE))),"",VLOOKUP($C141,'PIVOT TABLE GLOBAL'!$A$4:$F$2500,3,FALSE)/F141)</f>
        <v/>
      </c>
      <c r="I141" s="573" t="str">
        <f>IF(OR($C$11:$C$167="",ISERROR(VLOOKUP($C141,'PIVOT TABLE GLOBAL'!$A$4:$G$2500,7,FALSE))),"",VLOOKUP($C141,'PIVOT TABLE GLOBAL'!$A$4:$G$2500,7,FALSE))</f>
        <v/>
      </c>
      <c r="J141" s="574" t="str">
        <f>IF(OR($C$11:$C$167="",ISERROR(VLOOKUP($C141,'PIVOT TABLE GLOBAL'!$A$4:$F$2500,4,FALSE))),"",VLOOKUP($C141,'PIVOT TABLE GLOBAL'!$A$4:$F$2500,4,FALSE)/F141)</f>
        <v/>
      </c>
      <c r="K141" s="543" t="str">
        <f>IF(OR($C$11:$C$167="",ISERROR(VLOOKUP($C141,'PIVOT TABLE GLOBAL'!$A$4:$H$2500,8,FALSE))),"",VLOOKUP($C141,'PIVOT TABLE GLOBAL'!$A$4:$H$2500,8,FALSE))</f>
        <v/>
      </c>
      <c r="L141" s="559" t="str">
        <f t="shared" si="13"/>
        <v/>
      </c>
    </row>
    <row r="142" spans="1:12" s="71" customFormat="1" ht="15.75" hidden="1" customHeight="1" thickBot="1" x14ac:dyDescent="0.3">
      <c r="A142" s="853"/>
      <c r="B142" s="864"/>
      <c r="C142" s="202" t="str">
        <f t="array" ref="C142">IFERROR(INDEX('C'!$C$1:$C$2479, SMALL(IF($B$124 = 'C'!$A$1:$A$2479, ROW('C'!$A$1:$A$2479) -
ROW('C'!$A$2) + 2), ROW(19:19))),"")</f>
        <v/>
      </c>
      <c r="D142" s="543" t="str">
        <f t="array" ref="D142">IFERROR(INDEX('C'!$B$1:$B$2479, SMALL(IF($B$124 = 'C'!$A$1:$A$2479, ROW('C'!$A$1:$A$2479) -
ROW('C'!$A$2) + 2), ROW(19:19))),"")</f>
        <v/>
      </c>
      <c r="E142" s="580">
        <f t="shared" si="12"/>
        <v>0</v>
      </c>
      <c r="F142" s="571">
        <f>SUMIF('Global Portfolio'!$N$2:$N$2500,C142,'Global Portfolio'!$E$2:$E$2500)</f>
        <v>0</v>
      </c>
      <c r="G142" s="543">
        <f>IF('General Porfolio'!C142="",0,COUNTIF('Global Portfolio'!$N$2:$N$2500,'General Porfolio'!C142))</f>
        <v>0</v>
      </c>
      <c r="H142" s="572" t="str">
        <f>IF(OR($C$11:$C$167="",ISERROR(VLOOKUP($C142,'PIVOT TABLE GLOBAL'!$A$4:$F$2500,3,FALSE))),"",VLOOKUP($C142,'PIVOT TABLE GLOBAL'!$A$4:$F$2500,3,FALSE)/F142)</f>
        <v/>
      </c>
      <c r="I142" s="573" t="str">
        <f>IF(OR($C$11:$C$167="",ISERROR(VLOOKUP($C142,'PIVOT TABLE GLOBAL'!$A$4:$G$2500,7,FALSE))),"",VLOOKUP($C142,'PIVOT TABLE GLOBAL'!$A$4:$G$2500,7,FALSE))</f>
        <v/>
      </c>
      <c r="J142" s="574" t="str">
        <f>IF(OR($C$11:$C$167="",ISERROR(VLOOKUP($C142,'PIVOT TABLE GLOBAL'!$A$4:$F$2500,4,FALSE))),"",VLOOKUP($C142,'PIVOT TABLE GLOBAL'!$A$4:$F$2500,4,FALSE)/F142)</f>
        <v/>
      </c>
      <c r="K142" s="543" t="str">
        <f>IF(OR($C$11:$C$167="",ISERROR(VLOOKUP($C142,'PIVOT TABLE GLOBAL'!$A$4:$H$2500,8,FALSE))),"",VLOOKUP($C142,'PIVOT TABLE GLOBAL'!$A$4:$H$2500,8,FALSE))</f>
        <v/>
      </c>
      <c r="L142" s="559" t="str">
        <f t="shared" si="13"/>
        <v/>
      </c>
    </row>
    <row r="143" spans="1:12" s="71" customFormat="1" ht="16.2" thickBot="1" x14ac:dyDescent="0.35">
      <c r="A143" s="853"/>
      <c r="B143" s="299" t="s">
        <v>984</v>
      </c>
      <c r="C143" s="189">
        <f>COUNTIF(C124:C142,"?*")</f>
        <v>5</v>
      </c>
      <c r="D143" s="187"/>
      <c r="E143" s="358">
        <f>SUBTOTAL(9,E124:E142)</f>
        <v>7.4549467757858937E-2</v>
      </c>
      <c r="F143" s="188">
        <f>SUBTOTAL(9,F124:F142)</f>
        <v>1234983157.0899999</v>
      </c>
      <c r="G143" s="189">
        <f>SUBTOTAL(9,G124:G142)</f>
        <v>150</v>
      </c>
      <c r="H143" s="190">
        <f>(IF(OR($C124="",ISERROR(VLOOKUP($C124,'PIVOT TABLE GLOBAL'!$A$4:$F$2500,3,FALSE))),0,VLOOKUP($C124,'PIVOT TABLE GLOBAL'!$A$4:$F$2500,3,FALSE))+IF(OR($C125="",ISERROR(VLOOKUP($C125,'PIVOT TABLE GLOBAL'!$A$4:$F$2500,3,FALSE))),0,VLOOKUP($C125,'PIVOT TABLE GLOBAL'!$A$4:$F$2500,3,FALSE))+IF(OR($C126="",ISERROR(VLOOKUP($C126,'PIVOT TABLE GLOBAL'!$A$4:$F$2500,3,FALSE))),0,VLOOKUP($C126,'PIVOT TABLE GLOBAL'!$A$4:$F$2500,3,FALSE))+IF(OR($C127="",ISERROR(VLOOKUP($C127,'PIVOT TABLE GLOBAL'!$A$4:$F$2500,3,FALSE))),0,VLOOKUP($C127,'PIVOT TABLE GLOBAL'!$A$4:$F$2500,3,FALSE))+IF(OR($C128="",ISERROR(VLOOKUP($C128,'PIVOT TABLE GLOBAL'!$A$4:$F$2500,3,FALSE))),0,VLOOKUP($C128,'PIVOT TABLE GLOBAL'!$A$4:$F$2500,3,FALSE))+IF(OR($C129="",ISERROR(VLOOKUP($C129,'PIVOT TABLE GLOBAL'!$A$4:$F$2500,3,FALSE))),0,VLOOKUP($C129,'PIVOT TABLE GLOBAL'!$A$4:$F$2500,3,FALSE))+IF(OR($C130="",ISERROR(VLOOKUP($C130,'PIVOT TABLE GLOBAL'!$A$4:$F$2500,3,FALSE))),0,VLOOKUP($C130,'PIVOT TABLE GLOBAL'!$A$4:$F$2500,3,FALSE))+IF(OR($C131="",ISERROR(VLOOKUP($C131,'PIVOT TABLE GLOBAL'!$A$4:$F$2500,3,FALSE))),0,VLOOKUP($C131,'PIVOT TABLE GLOBAL'!$A$4:$F$2500,3,FALSE))+IF(OR($C132="",ISERROR(VLOOKUP($C132,'PIVOT TABLE GLOBAL'!$A$4:$F$2500,3,FALSE))),0,VLOOKUP($C132,'PIVOT TABLE GLOBAL'!$A$4:$F$2500,3,FALSE))+IF(OR($C133="",ISERROR(VLOOKUP($C133,'PIVOT TABLE GLOBAL'!$A$4:$F$2500,3,FALSE))),0,VLOOKUP($C133,'PIVOT TABLE GLOBAL'!$A$4:$F$2500,3,FALSE))+IF(OR($C134="",ISERROR(VLOOKUP($C134,'PIVOT TABLE GLOBAL'!$A$4:$F$2500,3,FALSE))),0,VLOOKUP($C134,'PIVOT TABLE GLOBAL'!$A$4:$F$2500,3,FALSE))+IF(OR($C135="",ISERROR(VLOOKUP($C135,'PIVOT TABLE GLOBAL'!$A$4:$F$2500,3,FALSE))),0,VLOOKUP($C135,'PIVOT TABLE GLOBAL'!$A$4:$F$2500,3,FALSE))+IF(OR($C136="",ISERROR(VLOOKUP($C136,'PIVOT TABLE GLOBAL'!$A$4:$F$2500,3,FALSE))),0,VLOOKUP($C136,'PIVOT TABLE GLOBAL'!$A$4:$F$2500,3,FALSE))+IF(OR($C137="",ISERROR(VLOOKUP($C137,'PIVOT TABLE GLOBAL'!$A$4:$F$2500,3,FALSE))),0,VLOOKUP($C137,'PIVOT TABLE GLOBAL'!$A$4:$F$2500,3,FALSE))+IF(OR($C138="",ISERROR(VLOOKUP($C138,'PIVOT TABLE GLOBAL'!$A$4:$F$2500,3,FALSE))),0,VLOOKUP($C138,'PIVOT TABLE GLOBAL'!$A$4:$F$2500,3,FALSE))+IF(OR($C139="",ISERROR(VLOOKUP($C139,'PIVOT TABLE GLOBAL'!$A$4:$F$2500,3,FALSE))),0,VLOOKUP($C139,'PIVOT TABLE GLOBAL'!$A$4:$F$2500,3,FALSE))+IF(OR($C140="",ISERROR(VLOOKUP($C140,'PIVOT TABLE GLOBAL'!$A$4:$F$2500,3,FALSE))),0,VLOOKUP($C140,'PIVOT TABLE GLOBAL'!$A$4:$F$2500,3,FALSE))+IF(OR($C141="",ISERROR(VLOOKUP($C141,'PIVOT TABLE GLOBAL'!$A$4:$F$2500,3,FALSE))),0,VLOOKUP($C141,'PIVOT TABLE GLOBAL'!$A$4:$F$2500,3,FALSE))+IF(OR($C142="",ISERROR(VLOOKUP($C142,'PIVOT TABLE GLOBAL'!$A$4:$F$2500,3,FALSE))),0,VLOOKUP($C142,'PIVOT TABLE GLOBAL'!$A$4:$F$2500,3,FALSE)))/(F143)</f>
        <v>0.4392335168992666</v>
      </c>
      <c r="I143" s="191">
        <f>SUBTOTAL(9,I124:I142)</f>
        <v>66</v>
      </c>
      <c r="J143" s="192">
        <f>(IF(OR($C124="",ISERROR(VLOOKUP($C124,'PIVOT TABLE GLOBAL'!$A$4:$F$2500,4,FALSE))),0,VLOOKUP($C124,'PIVOT TABLE GLOBAL'!$A$4:$F$2500,4,FALSE))+IF(OR($C125="",ISERROR(VLOOKUP($C125,'PIVOT TABLE GLOBAL'!$A$4:$F$2500,4,FALSE))),0,VLOOKUP($C125,'PIVOT TABLE GLOBAL'!$A$4:$F$2500,4,FALSE))+IF(OR($C126="",ISERROR(VLOOKUP($C126,'PIVOT TABLE GLOBAL'!$A$4:$F$2500,4,FALSE))),0,VLOOKUP($C126,'PIVOT TABLE GLOBAL'!$A$4:$F$2500,4,FALSE))+IF(OR($C127="",ISERROR(VLOOKUP($C127,'PIVOT TABLE GLOBAL'!$A$4:$F$2500,4,FALSE))),0,VLOOKUP($C127,'PIVOT TABLE GLOBAL'!$A$4:$F$2500,4,FALSE))+IF(OR($C128="",ISERROR(VLOOKUP($C128,'PIVOT TABLE GLOBAL'!$A$4:$F$2500,4,FALSE))),0,VLOOKUP($C128,'PIVOT TABLE GLOBAL'!$A$4:$F$2500,4,FALSE))+IF(OR($C129="",ISERROR(VLOOKUP($C129,'PIVOT TABLE GLOBAL'!$A$4:$F$2500,4,FALSE))),0,VLOOKUP($C129,'PIVOT TABLE GLOBAL'!$A$4:$F$2500,4,FALSE))+IF(OR($C130="",ISERROR(VLOOKUP($C130,'PIVOT TABLE GLOBAL'!$A$4:$F$2500,4,FALSE))),0,VLOOKUP($C130,'PIVOT TABLE GLOBAL'!$A$4:$F$2500,4,FALSE))+IF(OR($C131="",ISERROR(VLOOKUP($C131,'PIVOT TABLE GLOBAL'!$A$4:$F$2500,4,FALSE))),0,VLOOKUP($C131,'PIVOT TABLE GLOBAL'!$A$4:$F$2500,4,FALSE))+IF(OR($C132="",ISERROR(VLOOKUP($C132,'PIVOT TABLE GLOBAL'!$A$4:$F$2500,4,FALSE))),0,VLOOKUP($C132,'PIVOT TABLE GLOBAL'!$A$4:$F$2500,4,FALSE))+IF(OR($C133="",ISERROR(VLOOKUP($C133,'PIVOT TABLE GLOBAL'!$A$4:$F$2500,4,FALSE))),0,VLOOKUP($C133,'PIVOT TABLE GLOBAL'!$A$4:$F$2500,4,FALSE))+IF(OR($C134="",ISERROR(VLOOKUP($C134,'PIVOT TABLE GLOBAL'!$A$4:$F$2500,4,FALSE))),0,VLOOKUP($C134,'PIVOT TABLE GLOBAL'!$A$4:$F$2500,4,FALSE))+IF(OR($C135="",ISERROR(VLOOKUP($C135,'PIVOT TABLE GLOBAL'!$A$4:$F$2500,4,FALSE))),0,VLOOKUP($C135,'PIVOT TABLE GLOBAL'!$A$4:$F$2500,4,FALSE))+IF(OR($C136="",ISERROR(VLOOKUP($C136,'PIVOT TABLE GLOBAL'!$A$4:$F$2500,4,FALSE))),0,VLOOKUP($C136,'PIVOT TABLE GLOBAL'!$A$4:$F$2500,4,FALSE))+IF(OR($C137="",ISERROR(VLOOKUP($C137,'PIVOT TABLE GLOBAL'!$A$4:$F$2500,4,FALSE))),0,VLOOKUP($C137,'PIVOT TABLE GLOBAL'!$A$4:$F$2500,4,FALSE))+IF(OR($C138="",ISERROR(VLOOKUP($C138,'PIVOT TABLE GLOBAL'!$A$4:$F$2500,4,FALSE))),0,VLOOKUP($C138,'PIVOT TABLE GLOBAL'!$A$4:$F$2500,4,FALSE))+IF(OR($C139="",ISERROR(VLOOKUP($C139,'PIVOT TABLE GLOBAL'!$A$4:$F$2500,4,FALSE))),0,VLOOKUP($C139,'PIVOT TABLE GLOBAL'!$A$4:$F$2500,4,FALSE))+IF(OR($C140="",ISERROR(VLOOKUP($C140,'PIVOT TABLE GLOBAL'!$A$4:$F$2500,4,FALSE))),0,VLOOKUP($C140,'PIVOT TABLE GLOBAL'!$A$4:$F$2500,4,FALSE))+IF(OR($C141="",ISERROR(VLOOKUP($C141,'PIVOT TABLE GLOBAL'!$A$4:$F$2500,4,FALSE))),0,VLOOKUP($C141,'PIVOT TABLE GLOBAL'!$A$4:$F$2500,4,FALSE))+IF(OR($C142="",ISERROR(VLOOKUP($C142,'PIVOT TABLE GLOBAL'!$A$4:$F$2500,4,FALSE))),0,VLOOKUP($C142,'PIVOT TABLE GLOBAL'!$A$4:$F$2500,4,FALSE)))/(F143)</f>
        <v>3.165804384095805E-2</v>
      </c>
      <c r="K143" s="189">
        <f>SUBTOTAL(9,K124:K142)</f>
        <v>9</v>
      </c>
      <c r="L143" s="404"/>
    </row>
    <row r="144" spans="1:12" s="71" customFormat="1" ht="15.75" customHeight="1" thickTop="1" x14ac:dyDescent="0.25">
      <c r="A144" s="853"/>
      <c r="B144" s="855" t="s">
        <v>970</v>
      </c>
      <c r="C144" s="203" t="str">
        <f t="array" ref="C144">IFERROR(INDEX('C'!$C$1:$C$2479, SMALL(IF($B$144 = 'C'!$A$1:$A$2479, ROW('C'!$A$1:$A$2479) -
ROW('C'!$A$2) + 2), ROW(1:1))),"")</f>
        <v>JNALUKENGE</v>
      </c>
      <c r="D144" s="566" t="str">
        <f t="array" ref="D144">IFERROR(INDEX('C'!$B$1:$B$2479, SMALL(IF($B$144 = 'C'!$A$1:$A$2479, ROW('C'!$A$1:$A$2479) -
ROW('C'!$A$2) + 2), ROW(1:1))),"")</f>
        <v>WMT</v>
      </c>
      <c r="E144" s="581">
        <f t="shared" ref="E144:E161" si="14">F144/$F$172</f>
        <v>3.8854349907212114E-2</v>
      </c>
      <c r="F144" s="565">
        <f>SUMIF('Global Portfolio'!$N$2:$N$2500,C144,'Global Portfolio'!$E$2:$E$2500)</f>
        <v>643659427.20000017</v>
      </c>
      <c r="G144" s="566">
        <f>IF('General Porfolio'!C144="",0,COUNTIF('Global Portfolio'!$N$2:$N$2500,'General Porfolio'!C144))</f>
        <v>54</v>
      </c>
      <c r="H144" s="567">
        <f>IF(OR($C$11:$C$167="",ISERROR(VLOOKUP($C144,'PIVOT TABLE GLOBAL'!$A$4:$F$2500,3,FALSE))),"",VLOOKUP($C144,'PIVOT TABLE GLOBAL'!$A$4:$F$2500,3,FALSE)/F144)</f>
        <v>0.45337546941470458</v>
      </c>
      <c r="I144" s="568">
        <f>IF(OR($C$11:$C$167="",ISERROR(VLOOKUP($C144,'PIVOT TABLE GLOBAL'!$A$4:$G$2500,7,FALSE))),"",VLOOKUP($C144,'PIVOT TABLE GLOBAL'!$A$4:$G$2500,7,FALSE))</f>
        <v>22</v>
      </c>
      <c r="J144" s="569">
        <f>IF(OR($C$11:$C$167="",ISERROR(VLOOKUP($C144,'PIVOT TABLE GLOBAL'!$A$4:$F$2500,4,FALSE))),"",VLOOKUP($C144,'PIVOT TABLE GLOBAL'!$A$4:$F$2500,4,FALSE)/F144)</f>
        <v>7.6677597879203391E-2</v>
      </c>
      <c r="K144" s="566">
        <f>IF(OR($C$11:$C$167="",ISERROR(VLOOKUP($C144,'PIVOT TABLE GLOBAL'!$A$4:$H$2500,8,FALSE))),"",VLOOKUP($C144,'PIVOT TABLE GLOBAL'!$A$4:$H$2500,8,FALSE))</f>
        <v>5</v>
      </c>
      <c r="L144" s="559" t="str">
        <f>IFERROR(IF(I144/G144*100&gt;=30,"STOP",IF(AND(I144/G144*100&gt;=15,I144/G144*100&lt;30),"WATCH","NORMAL")),"")</f>
        <v>STOP</v>
      </c>
    </row>
    <row r="145" spans="1:12" s="71" customFormat="1" ht="15" customHeight="1" x14ac:dyDescent="0.25">
      <c r="A145" s="853"/>
      <c r="B145" s="856"/>
      <c r="C145" s="202" t="str">
        <f t="array" ref="C145">IFERROR(INDEX('C'!$C$1:$C$2479, SMALL(IF($B$144 = 'C'!$A$1:$A$2479, ROW('C'!$A$1:$A$2479) -
ROW('C'!$A$2) + 2), ROW(2:2))),"")</f>
        <v>PNAMWASE</v>
      </c>
      <c r="D145" s="543" t="str">
        <f t="array" ref="D145">IFERROR(INDEX('C'!$B$1:$B$2479, SMALL(IF($B$144 = 'C'!$A$1:$A$2479, ROW('C'!$A$1:$A$2479) -
ROW('C'!$A$2) + 2), ROW(2:2))),"")</f>
        <v>WTM</v>
      </c>
      <c r="E145" s="580">
        <f t="shared" si="14"/>
        <v>7.1009686223024882E-3</v>
      </c>
      <c r="F145" s="571">
        <f>SUMIF('Global Portfolio'!$N$2:$N$2500,C145,'Global Portfolio'!$E$2:$E$2500)</f>
        <v>117634329.41000003</v>
      </c>
      <c r="G145" s="543">
        <f>IF('General Porfolio'!C145="",0,COUNTIF('Global Portfolio'!$N$2:$N$2500,'General Porfolio'!C145))</f>
        <v>31</v>
      </c>
      <c r="H145" s="572">
        <f>IF(OR($C$11:$C$167="",ISERROR(VLOOKUP($C145,'PIVOT TABLE GLOBAL'!$A$4:$F$2500,3,FALSE))),"",VLOOKUP($C145,'PIVOT TABLE GLOBAL'!$A$4:$F$2500,3,FALSE)/F145)</f>
        <v>0.45865915061197599</v>
      </c>
      <c r="I145" s="573">
        <f>IF(OR($C$11:$C$167="",ISERROR(VLOOKUP($C145,'PIVOT TABLE GLOBAL'!$A$4:$G$2500,7,FALSE))),"",VLOOKUP($C145,'PIVOT TABLE GLOBAL'!$A$4:$G$2500,7,FALSE))</f>
        <v>16</v>
      </c>
      <c r="J145" s="574">
        <f>IF(OR($C$11:$C$167="",ISERROR(VLOOKUP($C145,'PIVOT TABLE GLOBAL'!$A$4:$F$2500,4,FALSE))),"",VLOOKUP($C145,'PIVOT TABLE GLOBAL'!$A$4:$F$2500,4,FALSE)/F145)</f>
        <v>0.14152258217051364</v>
      </c>
      <c r="K145" s="543">
        <f>IF(OR($C$11:$C$167="",ISERROR(VLOOKUP($C145,'PIVOT TABLE GLOBAL'!$A$4:$H$2500,8,FALSE))),"",VLOOKUP($C145,'PIVOT TABLE GLOBAL'!$A$4:$H$2500,8,FALSE))</f>
        <v>8</v>
      </c>
      <c r="L145" s="559" t="str">
        <f t="shared" ref="L145:L161" si="15">IFERROR(IF(I145/G145*100&gt;=30,"STOP",IF(AND(I145/G145*100&gt;=15,I145/G145*100&lt;30),"WATCH","NORMAL")),"")</f>
        <v>STOP</v>
      </c>
    </row>
    <row r="146" spans="1:12" s="71" customFormat="1" ht="13.5" customHeight="1" x14ac:dyDescent="0.25">
      <c r="A146" s="853"/>
      <c r="B146" s="856"/>
      <c r="C146" s="202" t="str">
        <f t="array" ref="C146">IFERROR(INDEX('C'!$C$1:$C$2479, SMALL(IF($B$144 = 'C'!$A$1:$A$2479, ROW('C'!$A$1:$A$2479) -
ROW('C'!$A$2) + 2), ROW(3:3))),"")</f>
        <v>ATURYAMUBUGANA</v>
      </c>
      <c r="D146" s="543" t="str">
        <f t="array" ref="D146">IFERROR(INDEX('C'!$B$1:$B$2479, SMALL(IF($B$144 = 'C'!$A$1:$A$2479, ROW('C'!$A$1:$A$2479) -
ROW('C'!$A$2) + 2), ROW(3:3))),"")</f>
        <v>WTM</v>
      </c>
      <c r="E146" s="580">
        <f t="shared" si="14"/>
        <v>6.008265286103427E-3</v>
      </c>
      <c r="F146" s="571">
        <f>SUMIF('Global Portfolio'!$N$2:$N$2500,C146,'Global Portfolio'!$E$2:$E$2500)</f>
        <v>99532654.689999998</v>
      </c>
      <c r="G146" s="543">
        <f>IF('General Porfolio'!C146="",0,COUNTIF('Global Portfolio'!$N$2:$N$2500,'General Porfolio'!C146))</f>
        <v>16</v>
      </c>
      <c r="H146" s="572">
        <f>IF(OR($C$11:$C$167="",ISERROR(VLOOKUP($C146,'PIVOT TABLE GLOBAL'!$A$4:$F$2500,3,FALSE))),"",VLOOKUP($C146,'PIVOT TABLE GLOBAL'!$A$4:$F$2500,3,FALSE)/F146)</f>
        <v>8.3693749513112689E-2</v>
      </c>
      <c r="I146" s="573">
        <f>IF(OR($C$11:$C$167="",ISERROR(VLOOKUP($C146,'PIVOT TABLE GLOBAL'!$A$4:$G$2500,7,FALSE))),"",VLOOKUP($C146,'PIVOT TABLE GLOBAL'!$A$4:$G$2500,7,FALSE))</f>
        <v>4</v>
      </c>
      <c r="J146" s="574">
        <f>IF(OR($C$11:$C$167="",ISERROR(VLOOKUP($C146,'PIVOT TABLE GLOBAL'!$A$4:$F$2500,4,FALSE))),"",VLOOKUP($C146,'PIVOT TABLE GLOBAL'!$A$4:$F$2500,4,FALSE)/F146)</f>
        <v>1.5592848948255054E-2</v>
      </c>
      <c r="K146" s="543">
        <f>IF(OR($C$11:$C$167="",ISERROR(VLOOKUP($C146,'PIVOT TABLE GLOBAL'!$A$4:$H$2500,8,FALSE))),"",VLOOKUP($C146,'PIVOT TABLE GLOBAL'!$A$4:$H$2500,8,FALSE))</f>
        <v>1</v>
      </c>
      <c r="L146" s="559" t="str">
        <f t="shared" si="15"/>
        <v>WATCH</v>
      </c>
    </row>
    <row r="147" spans="1:12" s="71" customFormat="1" ht="13.5" customHeight="1" x14ac:dyDescent="0.25">
      <c r="A147" s="853"/>
      <c r="B147" s="856"/>
      <c r="C147" s="202" t="str">
        <f t="array" ref="C147">IFERROR(INDEX('C'!$C$1:$C$2479, SMALL(IF($B$144 = 'C'!$A$1:$A$2479, ROW('C'!$A$1:$A$2479) -
ROW('C'!$A$2) + 2), ROW(4:4))),"")</f>
        <v>LNAMUYOMBA</v>
      </c>
      <c r="D147" s="543" t="str">
        <f t="array" ref="D147">IFERROR(INDEX('C'!$B$1:$B$2479, SMALL(IF($B$144 = 'C'!$A$1:$A$2479, ROW('C'!$A$1:$A$2479) -
ROW('C'!$A$2) + 2), ROW(4:4))),"")</f>
        <v>WTM</v>
      </c>
      <c r="E147" s="580">
        <f t="shared" si="14"/>
        <v>1.7420146278175532E-3</v>
      </c>
      <c r="F147" s="571">
        <f>SUMIF('Global Portfolio'!$N$2:$N$2500,C147,'Global Portfolio'!$E$2:$E$2500)</f>
        <v>28858136.609999996</v>
      </c>
      <c r="G147" s="543">
        <f>IF('General Porfolio'!C147="",0,COUNTIF('Global Portfolio'!$N$2:$N$2500,'General Porfolio'!C147))</f>
        <v>7</v>
      </c>
      <c r="H147" s="572">
        <f>IF(OR($C$11:$C$167="",ISERROR(VLOOKUP($C147,'PIVOT TABLE GLOBAL'!$A$4:$F$2500,3,FALSE))),"",VLOOKUP($C147,'PIVOT TABLE GLOBAL'!$A$4:$F$2500,3,FALSE)/F147)</f>
        <v>0.1917968022260326</v>
      </c>
      <c r="I147" s="573">
        <f>IF(OR($C$11:$C$167="",ISERROR(VLOOKUP($C147,'PIVOT TABLE GLOBAL'!$A$4:$G$2500,7,FALSE))),"",VLOOKUP($C147,'PIVOT TABLE GLOBAL'!$A$4:$G$2500,7,FALSE))</f>
        <v>3</v>
      </c>
      <c r="J147" s="574">
        <f>IF(OR($C$11:$C$167="",ISERROR(VLOOKUP($C147,'PIVOT TABLE GLOBAL'!$A$4:$F$2500,4,FALSE))),"",VLOOKUP($C147,'PIVOT TABLE GLOBAL'!$A$4:$F$2500,4,FALSE)/F147)</f>
        <v>0</v>
      </c>
      <c r="K147" s="543">
        <f>IF(OR($C$11:$C$167="",ISERROR(VLOOKUP($C147,'PIVOT TABLE GLOBAL'!$A$4:$H$2500,8,FALSE))),"",VLOOKUP($C147,'PIVOT TABLE GLOBAL'!$A$4:$H$2500,8,FALSE))</f>
        <v>0</v>
      </c>
      <c r="L147" s="559" t="str">
        <f t="shared" si="15"/>
        <v>STOP</v>
      </c>
    </row>
    <row r="148" spans="1:12" s="71" customFormat="1" ht="15" customHeight="1" thickBot="1" x14ac:dyDescent="0.3">
      <c r="A148" s="853"/>
      <c r="B148" s="856"/>
      <c r="C148" s="202" t="str">
        <f t="array" ref="C148">IFERROR(INDEX('C'!$C$1:$C$2479, SMALL(IF($B$144 = 'C'!$A$1:$A$2479, ROW('C'!$A$1:$A$2479) -
ROW('C'!$A$2) + 2), ROW(5:5))),"")</f>
        <v>DNSUBUGA1</v>
      </c>
      <c r="D148" s="543" t="str">
        <f t="array" ref="D148">IFERROR(INDEX('C'!$B$1:$B$2479, SMALL(IF($B$144 = 'C'!$A$1:$A$2479, ROW('C'!$A$1:$A$2479) -
ROW('C'!$A$2) + 2), ROW(5:5))),"")</f>
        <v>WTM</v>
      </c>
      <c r="E148" s="580">
        <f t="shared" si="14"/>
        <v>6.3708745452278621E-4</v>
      </c>
      <c r="F148" s="571">
        <f>SUMIF('Global Portfolio'!$N$2:$N$2500,C148,'Global Portfolio'!$E$2:$E$2500)</f>
        <v>10553962.350000001</v>
      </c>
      <c r="G148" s="543">
        <f>IF('General Porfolio'!C148="",0,COUNTIF('Global Portfolio'!$N$2:$N$2500,'General Porfolio'!C148))</f>
        <v>3</v>
      </c>
      <c r="H148" s="572">
        <f>IF(OR($C$11:$C$167="",ISERROR(VLOOKUP($C148,'PIVOT TABLE GLOBAL'!$A$4:$F$2500,3,FALSE))),"",VLOOKUP($C148,'PIVOT TABLE GLOBAL'!$A$4:$F$2500,3,FALSE)/F148)</f>
        <v>0</v>
      </c>
      <c r="I148" s="573">
        <f>IF(OR($C$11:$C$167="",ISERROR(VLOOKUP($C148,'PIVOT TABLE GLOBAL'!$A$4:$G$2500,7,FALSE))),"",VLOOKUP($C148,'PIVOT TABLE GLOBAL'!$A$4:$G$2500,7,FALSE))</f>
        <v>0</v>
      </c>
      <c r="J148" s="574">
        <f>IF(OR($C$11:$C$167="",ISERROR(VLOOKUP($C148,'PIVOT TABLE GLOBAL'!$A$4:$F$2500,4,FALSE))),"",VLOOKUP($C148,'PIVOT TABLE GLOBAL'!$A$4:$F$2500,4,FALSE)/F148)</f>
        <v>0</v>
      </c>
      <c r="K148" s="543">
        <f>IF(OR($C$11:$C$167="",ISERROR(VLOOKUP($C148,'PIVOT TABLE GLOBAL'!$A$4:$H$2500,8,FALSE))),"",VLOOKUP($C148,'PIVOT TABLE GLOBAL'!$A$4:$H$2500,8,FALSE))</f>
        <v>0</v>
      </c>
      <c r="L148" s="559" t="str">
        <f t="shared" si="15"/>
        <v>NORMAL</v>
      </c>
    </row>
    <row r="149" spans="1:12" s="71" customFormat="1" ht="15" hidden="1" customHeight="1" thickBot="1" x14ac:dyDescent="0.3">
      <c r="A149" s="853"/>
      <c r="B149" s="856"/>
      <c r="C149" s="202" t="str">
        <f t="array" ref="C149">IFERROR(INDEX('C'!$C$1:$C$2479, SMALL(IF($B$144 = 'C'!$A$1:$A$2479, ROW('C'!$A$1:$A$2479) -
ROW('C'!$A$2) + 2), ROW(6:6))),"")</f>
        <v/>
      </c>
      <c r="D149" s="543" t="str">
        <f t="array" ref="D149">IFERROR(INDEX('C'!$B$1:$B$2479, SMALL(IF($B$144 = 'C'!$A$1:$A$2479, ROW('C'!$A$1:$A$2479) -
ROW('C'!$A$2) + 2), ROW(6:6))),"")</f>
        <v/>
      </c>
      <c r="E149" s="580">
        <f t="shared" si="14"/>
        <v>0</v>
      </c>
      <c r="F149" s="571">
        <f>SUMIF('Global Portfolio'!$N$2:$N$2500,C149,'Global Portfolio'!$E$2:$E$2500)</f>
        <v>0</v>
      </c>
      <c r="G149" s="543">
        <f>IF('General Porfolio'!C149="",0,COUNTIF('Global Portfolio'!$N$2:$N$2500,'General Porfolio'!C149))</f>
        <v>0</v>
      </c>
      <c r="H149" s="572" t="str">
        <f>IF(OR($C$11:$C$167="",ISERROR(VLOOKUP($C149,'PIVOT TABLE GLOBAL'!$A$4:$F$2500,3,FALSE))),"",VLOOKUP($C149,'PIVOT TABLE GLOBAL'!$A$4:$F$2500,3,FALSE)/F149)</f>
        <v/>
      </c>
      <c r="I149" s="573" t="str">
        <f>IF(OR($C$11:$C$167="",ISERROR(VLOOKUP($C149,'PIVOT TABLE GLOBAL'!$A$4:$G$2500,7,FALSE))),"",VLOOKUP($C149,'PIVOT TABLE GLOBAL'!$A$4:$G$2500,7,FALSE))</f>
        <v/>
      </c>
      <c r="J149" s="574" t="str">
        <f>IF(OR($C$11:$C$167="",ISERROR(VLOOKUP($C149,'PIVOT TABLE GLOBAL'!$A$4:$F$2500,4,FALSE))),"",VLOOKUP($C149,'PIVOT TABLE GLOBAL'!$A$4:$F$2500,4,FALSE)/F149)</f>
        <v/>
      </c>
      <c r="K149" s="543" t="str">
        <f>IF(OR($C$11:$C$167="",ISERROR(VLOOKUP($C149,'PIVOT TABLE GLOBAL'!$A$4:$H$2500,8,FALSE))),"",VLOOKUP($C149,'PIVOT TABLE GLOBAL'!$A$4:$H$2500,8,FALSE))</f>
        <v/>
      </c>
      <c r="L149" s="559" t="str">
        <f t="shared" si="15"/>
        <v/>
      </c>
    </row>
    <row r="150" spans="1:12" s="71" customFormat="1" ht="15" hidden="1" customHeight="1" thickBot="1" x14ac:dyDescent="0.3">
      <c r="A150" s="853"/>
      <c r="B150" s="856"/>
      <c r="C150" s="202" t="str">
        <f t="array" ref="C150">IFERROR(INDEX('C'!$C$1:$C$2479, SMALL(IF($B$144 = 'C'!$A$1:$A$2479, ROW('C'!$A$1:$A$2479) -
ROW('C'!$A$2) + 2), ROW(7:7))),"")</f>
        <v/>
      </c>
      <c r="D150" s="543" t="str">
        <f t="array" ref="D150">IFERROR(INDEX('C'!$B$1:$B$2479, SMALL(IF($B$144 = 'C'!$A$1:$A$2479, ROW('C'!$A$1:$A$2479) -
ROW('C'!$A$2) + 2), ROW(7:7))),"")</f>
        <v/>
      </c>
      <c r="E150" s="580">
        <f t="shared" si="14"/>
        <v>0</v>
      </c>
      <c r="F150" s="571">
        <f>SUMIF('Global Portfolio'!$N$2:$N$2500,C150,'Global Portfolio'!$E$2:$E$2500)</f>
        <v>0</v>
      </c>
      <c r="G150" s="543">
        <f>IF('General Porfolio'!C150="",0,COUNTIF('Global Portfolio'!$N$2:$N$2500,'General Porfolio'!C150))</f>
        <v>0</v>
      </c>
      <c r="H150" s="572" t="str">
        <f>IF(OR($C$11:$C$167="",ISERROR(VLOOKUP($C150,'PIVOT TABLE GLOBAL'!$A$4:$F$2500,3,FALSE))),"",VLOOKUP($C150,'PIVOT TABLE GLOBAL'!$A$4:$F$2500,3,FALSE)/F150)</f>
        <v/>
      </c>
      <c r="I150" s="573" t="str">
        <f>IF(OR($C$11:$C$167="",ISERROR(VLOOKUP($C150,'PIVOT TABLE GLOBAL'!$A$4:$G$2500,7,FALSE))),"",VLOOKUP($C150,'PIVOT TABLE GLOBAL'!$A$4:$G$2500,7,FALSE))</f>
        <v/>
      </c>
      <c r="J150" s="574" t="str">
        <f>IF(OR($C$11:$C$167="",ISERROR(VLOOKUP($C150,'PIVOT TABLE GLOBAL'!$A$4:$F$2500,4,FALSE))),"",VLOOKUP($C150,'PIVOT TABLE GLOBAL'!$A$4:$F$2500,4,FALSE)/F150)</f>
        <v/>
      </c>
      <c r="K150" s="543" t="str">
        <f>IF(OR($C$11:$C$167="",ISERROR(VLOOKUP($C150,'PIVOT TABLE GLOBAL'!$A$4:$H$2500,8,FALSE))),"",VLOOKUP($C150,'PIVOT TABLE GLOBAL'!$A$4:$H$2500,8,FALSE))</f>
        <v/>
      </c>
      <c r="L150" s="559" t="str">
        <f t="shared" si="15"/>
        <v/>
      </c>
    </row>
    <row r="151" spans="1:12" s="71" customFormat="1" ht="15" hidden="1" customHeight="1" thickBot="1" x14ac:dyDescent="0.3">
      <c r="A151" s="853"/>
      <c r="B151" s="856"/>
      <c r="C151" s="202" t="str">
        <f t="array" ref="C151">IFERROR(INDEX('C'!$C$1:$C$2479, SMALL(IF($B$144 = 'C'!$A$1:$A$2479, ROW('C'!$A$1:$A$2479) -
ROW('C'!$A$2) + 2), ROW(8:8))),"")</f>
        <v/>
      </c>
      <c r="D151" s="543" t="str">
        <f t="array" ref="D151">IFERROR(INDEX('C'!$B$1:$B$2479, SMALL(IF($B$144 = 'C'!$A$1:$A$2479, ROW('C'!$A$1:$A$2479) -
ROW('C'!$A$2) + 2), ROW(8:8))),"")</f>
        <v/>
      </c>
      <c r="E151" s="580">
        <f t="shared" si="14"/>
        <v>0</v>
      </c>
      <c r="F151" s="571">
        <f>SUMIF('Global Portfolio'!$N$2:$N$2500,C151,'Global Portfolio'!$E$2:$E$2500)</f>
        <v>0</v>
      </c>
      <c r="G151" s="543">
        <f>IF('General Porfolio'!C151="",0,COUNTIF('Global Portfolio'!$N$2:$N$2500,'General Porfolio'!C151))</f>
        <v>0</v>
      </c>
      <c r="H151" s="572" t="str">
        <f>IF(OR($C$11:$C$167="",ISERROR(VLOOKUP($C151,'PIVOT TABLE GLOBAL'!$A$4:$F$2500,3,FALSE))),"",VLOOKUP($C151,'PIVOT TABLE GLOBAL'!$A$4:$F$2500,3,FALSE)/F151)</f>
        <v/>
      </c>
      <c r="I151" s="573" t="str">
        <f>IF(OR($C$11:$C$167="",ISERROR(VLOOKUP($C151,'PIVOT TABLE GLOBAL'!$A$4:$G$2500,7,FALSE))),"",VLOOKUP($C151,'PIVOT TABLE GLOBAL'!$A$4:$G$2500,7,FALSE))</f>
        <v/>
      </c>
      <c r="J151" s="574" t="str">
        <f>IF(OR($C$11:$C$167="",ISERROR(VLOOKUP($C151,'PIVOT TABLE GLOBAL'!$A$4:$F$2500,4,FALSE))),"",VLOOKUP($C151,'PIVOT TABLE GLOBAL'!$A$4:$F$2500,4,FALSE)/F151)</f>
        <v/>
      </c>
      <c r="K151" s="543" t="str">
        <f>IF(OR($C$11:$C$167="",ISERROR(VLOOKUP($C151,'PIVOT TABLE GLOBAL'!$A$4:$H$2500,8,FALSE))),"",VLOOKUP($C151,'PIVOT TABLE GLOBAL'!$A$4:$H$2500,8,FALSE))</f>
        <v/>
      </c>
      <c r="L151" s="559" t="str">
        <f t="shared" si="15"/>
        <v/>
      </c>
    </row>
    <row r="152" spans="1:12" s="71" customFormat="1" ht="15" hidden="1" customHeight="1" thickBot="1" x14ac:dyDescent="0.3">
      <c r="A152" s="853"/>
      <c r="B152" s="856"/>
      <c r="C152" s="202" t="str">
        <f t="array" ref="C152">IFERROR(INDEX('C'!$C$1:$C$2479, SMALL(IF($B$144 = 'C'!$A$1:$A$2479, ROW('C'!$A$1:$A$2479) -
ROW('C'!$A$2) + 2), ROW(9:9))),"")</f>
        <v/>
      </c>
      <c r="D152" s="543" t="str">
        <f t="array" ref="D152">IFERROR(INDEX('C'!$B$1:$B$2479, SMALL(IF($B$144 = 'C'!$A$1:$A$2479, ROW('C'!$A$1:$A$2479) -
ROW('C'!$A$2) + 2), ROW(9:9))),"")</f>
        <v/>
      </c>
      <c r="E152" s="580">
        <f t="shared" si="14"/>
        <v>0</v>
      </c>
      <c r="F152" s="571">
        <f>SUMIF('Global Portfolio'!$N$2:$N$2500,C152,'Global Portfolio'!$E$2:$E$2500)</f>
        <v>0</v>
      </c>
      <c r="G152" s="543">
        <f>IF('General Porfolio'!C152="",0,COUNTIF('Global Portfolio'!$N$2:$N$2500,'General Porfolio'!C152))</f>
        <v>0</v>
      </c>
      <c r="H152" s="572" t="str">
        <f>IF(OR($C$11:$C$167="",ISERROR(VLOOKUP($C152,'PIVOT TABLE GLOBAL'!$A$4:$F$2500,3,FALSE))),"",VLOOKUP($C152,'PIVOT TABLE GLOBAL'!$A$4:$F$2500,3,FALSE)/F152)</f>
        <v/>
      </c>
      <c r="I152" s="573" t="str">
        <f>IF(OR($C$11:$C$167="",ISERROR(VLOOKUP($C152,'PIVOT TABLE GLOBAL'!$A$4:$G$2500,7,FALSE))),"",VLOOKUP($C152,'PIVOT TABLE GLOBAL'!$A$4:$G$2500,7,FALSE))</f>
        <v/>
      </c>
      <c r="J152" s="574" t="str">
        <f>IF(OR($C$11:$C$167="",ISERROR(VLOOKUP($C152,'PIVOT TABLE GLOBAL'!$A$4:$F$2500,4,FALSE))),"",VLOOKUP($C152,'PIVOT TABLE GLOBAL'!$A$4:$F$2500,4,FALSE)/F152)</f>
        <v/>
      </c>
      <c r="K152" s="543" t="str">
        <f>IF(OR($C$11:$C$167="",ISERROR(VLOOKUP($C152,'PIVOT TABLE GLOBAL'!$A$4:$H$2500,8,FALSE))),"",VLOOKUP($C152,'PIVOT TABLE GLOBAL'!$A$4:$H$2500,8,FALSE))</f>
        <v/>
      </c>
      <c r="L152" s="559" t="str">
        <f t="shared" si="15"/>
        <v/>
      </c>
    </row>
    <row r="153" spans="1:12" s="71" customFormat="1" ht="15" hidden="1" customHeight="1" thickBot="1" x14ac:dyDescent="0.3">
      <c r="A153" s="853"/>
      <c r="B153" s="856"/>
      <c r="C153" s="202" t="str">
        <f t="array" ref="C153">IFERROR(INDEX('C'!$C$1:$C$2479, SMALL(IF($B$144 = 'C'!$A$1:$A$2479, ROW('C'!$A$1:$A$2479) -
ROW('C'!$A$2) + 2), ROW(10:10))),"")</f>
        <v/>
      </c>
      <c r="D153" s="543" t="str">
        <f t="array" ref="D153">IFERROR(INDEX('C'!$B$1:$B$2479, SMALL(IF($B$144 = 'C'!$A$1:$A$2479, ROW('C'!$A$1:$A$2479) -
ROW('C'!$A$2) + 2), ROW(10:10))),"")</f>
        <v/>
      </c>
      <c r="E153" s="580">
        <f t="shared" si="14"/>
        <v>0</v>
      </c>
      <c r="F153" s="571">
        <f>SUMIF('Global Portfolio'!$N$2:$N$2500,C153,'Global Portfolio'!$E$2:$E$2500)</f>
        <v>0</v>
      </c>
      <c r="G153" s="543">
        <f>IF('General Porfolio'!C153="",0,COUNTIF('Global Portfolio'!$N$2:$N$2500,'General Porfolio'!C153))</f>
        <v>0</v>
      </c>
      <c r="H153" s="572" t="str">
        <f>IF(OR($C$11:$C$167="",ISERROR(VLOOKUP($C153,'PIVOT TABLE GLOBAL'!$A$4:$F$2500,3,FALSE))),"",VLOOKUP($C153,'PIVOT TABLE GLOBAL'!$A$4:$F$2500,3,FALSE)/F153)</f>
        <v/>
      </c>
      <c r="I153" s="573" t="str">
        <f>IF(OR($C$11:$C$167="",ISERROR(VLOOKUP($C153,'PIVOT TABLE GLOBAL'!$A$4:$G$2500,7,FALSE))),"",VLOOKUP($C153,'PIVOT TABLE GLOBAL'!$A$4:$G$2500,7,FALSE))</f>
        <v/>
      </c>
      <c r="J153" s="574" t="str">
        <f>IF(OR($C$11:$C$167="",ISERROR(VLOOKUP($C153,'PIVOT TABLE GLOBAL'!$A$4:$F$2500,4,FALSE))),"",VLOOKUP($C153,'PIVOT TABLE GLOBAL'!$A$4:$F$2500,4,FALSE)/F153)</f>
        <v/>
      </c>
      <c r="K153" s="543" t="str">
        <f>IF(OR($C$11:$C$167="",ISERROR(VLOOKUP($C153,'PIVOT TABLE GLOBAL'!$A$4:$H$2500,8,FALSE))),"",VLOOKUP($C153,'PIVOT TABLE GLOBAL'!$A$4:$H$2500,8,FALSE))</f>
        <v/>
      </c>
      <c r="L153" s="559" t="str">
        <f t="shared" si="15"/>
        <v/>
      </c>
    </row>
    <row r="154" spans="1:12" s="71" customFormat="1" ht="15" hidden="1" customHeight="1" thickBot="1" x14ac:dyDescent="0.3">
      <c r="A154" s="853"/>
      <c r="B154" s="856"/>
      <c r="C154" s="202" t="str">
        <f t="array" ref="C154">IFERROR(INDEX('C'!$C$1:$C$2479, SMALL(IF($B$144 = 'C'!$A$1:$A$2479, ROW('C'!$A$1:$A$2479) -
ROW('C'!$A$2) + 2), ROW(11:11))),"")</f>
        <v/>
      </c>
      <c r="D154" s="543" t="str">
        <f t="array" ref="D154">IFERROR(INDEX('C'!$B$1:$B$2479, SMALL(IF($B$144 = 'C'!$A$1:$A$2479, ROW('C'!$A$1:$A$2479) -
ROW('C'!$A$2) + 2), ROW(11:11))),"")</f>
        <v/>
      </c>
      <c r="E154" s="580">
        <f t="shared" si="14"/>
        <v>0</v>
      </c>
      <c r="F154" s="571">
        <f>SUMIF('Global Portfolio'!$N$2:$N$2500,C154,'Global Portfolio'!$E$2:$E$2500)</f>
        <v>0</v>
      </c>
      <c r="G154" s="543">
        <f>IF('General Porfolio'!C154="",0,COUNTIF('Global Portfolio'!$N$2:$N$2500,'General Porfolio'!C154))</f>
        <v>0</v>
      </c>
      <c r="H154" s="572" t="str">
        <f>IF(OR($C$11:$C$167="",ISERROR(VLOOKUP($C154,'PIVOT TABLE GLOBAL'!$A$4:$F$2500,3,FALSE))),"",VLOOKUP($C154,'PIVOT TABLE GLOBAL'!$A$4:$F$2500,3,FALSE)/F154)</f>
        <v/>
      </c>
      <c r="I154" s="573" t="str">
        <f>IF(OR($C$11:$C$167="",ISERROR(VLOOKUP($C154,'PIVOT TABLE GLOBAL'!$A$4:$G$2500,7,FALSE))),"",VLOOKUP($C154,'PIVOT TABLE GLOBAL'!$A$4:$G$2500,7,FALSE))</f>
        <v/>
      </c>
      <c r="J154" s="574" t="str">
        <f>IF(OR($C$11:$C$167="",ISERROR(VLOOKUP($C154,'PIVOT TABLE GLOBAL'!$A$4:$F$2500,4,FALSE))),"",VLOOKUP($C154,'PIVOT TABLE GLOBAL'!$A$4:$F$2500,4,FALSE)/F154)</f>
        <v/>
      </c>
      <c r="K154" s="543" t="str">
        <f>IF(OR($C$11:$C$167="",ISERROR(VLOOKUP($C154,'PIVOT TABLE GLOBAL'!$A$4:$H$2500,8,FALSE))),"",VLOOKUP($C154,'PIVOT TABLE GLOBAL'!$A$4:$H$2500,8,FALSE))</f>
        <v/>
      </c>
      <c r="L154" s="559" t="str">
        <f t="shared" si="15"/>
        <v/>
      </c>
    </row>
    <row r="155" spans="1:12" s="71" customFormat="1" ht="15" hidden="1" customHeight="1" thickBot="1" x14ac:dyDescent="0.3">
      <c r="A155" s="853"/>
      <c r="B155" s="856"/>
      <c r="C155" s="202" t="str">
        <f t="array" ref="C155">IFERROR(INDEX('C'!$C$1:$C$2479, SMALL(IF($B$144 = 'C'!$A$1:$A$2479, ROW('C'!$A$1:$A$2479) -
ROW('C'!$A$2) + 2), ROW(12:12))),"")</f>
        <v/>
      </c>
      <c r="D155" s="543" t="str">
        <f t="array" ref="D155">IFERROR(INDEX('C'!$B$1:$B$2479, SMALL(IF($B$144 = 'C'!$A$1:$A$2479, ROW('C'!$A$1:$A$2479) -
ROW('C'!$A$2) + 2), ROW(12:12))),"")</f>
        <v/>
      </c>
      <c r="E155" s="580">
        <f t="shared" si="14"/>
        <v>0</v>
      </c>
      <c r="F155" s="571">
        <f>SUMIF('Global Portfolio'!$N$2:$N$2500,C155,'Global Portfolio'!$E$2:$E$2500)</f>
        <v>0</v>
      </c>
      <c r="G155" s="543">
        <f>IF('General Porfolio'!C155="",0,COUNTIF('Global Portfolio'!$N$2:$N$2500,'General Porfolio'!C155))</f>
        <v>0</v>
      </c>
      <c r="H155" s="572" t="str">
        <f>IF(OR($C$11:$C$167="",ISERROR(VLOOKUP($C155,'PIVOT TABLE GLOBAL'!$A$4:$F$2500,3,FALSE))),"",VLOOKUP($C155,'PIVOT TABLE GLOBAL'!$A$4:$F$2500,3,FALSE)/F155)</f>
        <v/>
      </c>
      <c r="I155" s="573" t="str">
        <f>IF(OR($C$11:$C$167="",ISERROR(VLOOKUP($C155,'PIVOT TABLE GLOBAL'!$A$4:$G$2500,7,FALSE))),"",VLOOKUP($C155,'PIVOT TABLE GLOBAL'!$A$4:$G$2500,7,FALSE))</f>
        <v/>
      </c>
      <c r="J155" s="574" t="str">
        <f>IF(OR($C$11:$C$167="",ISERROR(VLOOKUP($C155,'PIVOT TABLE GLOBAL'!$A$4:$F$2500,4,FALSE))),"",VLOOKUP($C155,'PIVOT TABLE GLOBAL'!$A$4:$F$2500,4,FALSE)/F155)</f>
        <v/>
      </c>
      <c r="K155" s="543" t="str">
        <f>IF(OR($C$11:$C$167="",ISERROR(VLOOKUP($C155,'PIVOT TABLE GLOBAL'!$A$4:$H$2500,8,FALSE))),"",VLOOKUP($C155,'PIVOT TABLE GLOBAL'!$A$4:$H$2500,8,FALSE))</f>
        <v/>
      </c>
      <c r="L155" s="559" t="str">
        <f t="shared" si="15"/>
        <v/>
      </c>
    </row>
    <row r="156" spans="1:12" s="71" customFormat="1" ht="15" hidden="1" customHeight="1" thickBot="1" x14ac:dyDescent="0.3">
      <c r="A156" s="853"/>
      <c r="B156" s="856"/>
      <c r="C156" s="202" t="str">
        <f t="array" ref="C156">IFERROR(INDEX('C'!$C$1:$C$2479, SMALL(IF($B$144 = 'C'!$A$1:$A$2479, ROW('C'!$A$1:$A$2479) -
ROW('C'!$A$2) + 2), ROW(13:13))),"")</f>
        <v/>
      </c>
      <c r="D156" s="543" t="str">
        <f t="array" ref="D156">IFERROR(INDEX('C'!$B$1:$B$2479, SMALL(IF($B$144 = 'C'!$A$1:$A$2479, ROW('C'!$A$1:$A$2479) -
ROW('C'!$A$2) + 2), ROW(13:13))),"")</f>
        <v/>
      </c>
      <c r="E156" s="580">
        <f t="shared" si="14"/>
        <v>0</v>
      </c>
      <c r="F156" s="571">
        <f>SUMIF('Global Portfolio'!$N$2:$N$2500,C156,'Global Portfolio'!$E$2:$E$2500)</f>
        <v>0</v>
      </c>
      <c r="G156" s="543">
        <f>IF('General Porfolio'!C156="",0,COUNTIF('Global Portfolio'!$N$2:$N$2500,'General Porfolio'!C156))</f>
        <v>0</v>
      </c>
      <c r="H156" s="572" t="str">
        <f>IF(OR($C$11:$C$167="",ISERROR(VLOOKUP($C156,'PIVOT TABLE GLOBAL'!$A$4:$F$2500,3,FALSE))),"",VLOOKUP($C156,'PIVOT TABLE GLOBAL'!$A$4:$F$2500,3,FALSE)/F156)</f>
        <v/>
      </c>
      <c r="I156" s="573" t="str">
        <f>IF(OR($C$11:$C$167="",ISERROR(VLOOKUP($C156,'PIVOT TABLE GLOBAL'!$A$4:$G$2500,7,FALSE))),"",VLOOKUP($C156,'PIVOT TABLE GLOBAL'!$A$4:$G$2500,7,FALSE))</f>
        <v/>
      </c>
      <c r="J156" s="574" t="str">
        <f>IF(OR($C$11:$C$167="",ISERROR(VLOOKUP($C156,'PIVOT TABLE GLOBAL'!$A$4:$F$2500,4,FALSE))),"",VLOOKUP($C156,'PIVOT TABLE GLOBAL'!$A$4:$F$2500,4,FALSE)/F156)</f>
        <v/>
      </c>
      <c r="K156" s="543" t="str">
        <f>IF(OR($C$11:$C$167="",ISERROR(VLOOKUP($C156,'PIVOT TABLE GLOBAL'!$A$4:$H$2500,8,FALSE))),"",VLOOKUP($C156,'PIVOT TABLE GLOBAL'!$A$4:$H$2500,8,FALSE))</f>
        <v/>
      </c>
      <c r="L156" s="559" t="str">
        <f t="shared" si="15"/>
        <v/>
      </c>
    </row>
    <row r="157" spans="1:12" s="71" customFormat="1" ht="15" hidden="1" customHeight="1" thickBot="1" x14ac:dyDescent="0.3">
      <c r="A157" s="853"/>
      <c r="B157" s="856"/>
      <c r="C157" s="202" t="str">
        <f t="array" ref="C157">IFERROR(INDEX('C'!$C$1:$C$2479, SMALL(IF($B$144 = 'C'!$A$1:$A$2479, ROW('C'!$A$1:$A$2479) -
ROW('C'!$A$2) + 2), ROW(14:14))),"")</f>
        <v/>
      </c>
      <c r="D157" s="543" t="str">
        <f t="array" ref="D157">IFERROR(INDEX('C'!$B$1:$B$2479, SMALL(IF($B$144 = 'C'!$A$1:$A$2479, ROW('C'!$A$1:$A$2479) -
ROW('C'!$A$2) + 2), ROW(14:14))),"")</f>
        <v/>
      </c>
      <c r="E157" s="580">
        <f t="shared" si="14"/>
        <v>0</v>
      </c>
      <c r="F157" s="571">
        <f>SUMIF('Global Portfolio'!$N$2:$N$2500,C157,'Global Portfolio'!$E$2:$E$2500)</f>
        <v>0</v>
      </c>
      <c r="G157" s="543">
        <f>IF('General Porfolio'!C157="",0,COUNTIF('Global Portfolio'!$N$2:$N$2500,'General Porfolio'!C157))</f>
        <v>0</v>
      </c>
      <c r="H157" s="572" t="str">
        <f>IF(OR($C$11:$C$167="",ISERROR(VLOOKUP($C157,'PIVOT TABLE GLOBAL'!$A$4:$F$2500,3,FALSE))),"",VLOOKUP($C157,'PIVOT TABLE GLOBAL'!$A$4:$F$2500,3,FALSE)/F157)</f>
        <v/>
      </c>
      <c r="I157" s="573" t="str">
        <f>IF(OR($C$11:$C$167="",ISERROR(VLOOKUP($C157,'PIVOT TABLE GLOBAL'!$A$4:$G$2500,7,FALSE))),"",VLOOKUP($C157,'PIVOT TABLE GLOBAL'!$A$4:$G$2500,7,FALSE))</f>
        <v/>
      </c>
      <c r="J157" s="574" t="str">
        <f>IF(OR($C$11:$C$167="",ISERROR(VLOOKUP($C157,'PIVOT TABLE GLOBAL'!$A$4:$F$2500,4,FALSE))),"",VLOOKUP($C157,'PIVOT TABLE GLOBAL'!$A$4:$F$2500,4,FALSE)/F157)</f>
        <v/>
      </c>
      <c r="K157" s="543" t="str">
        <f>IF(OR($C$11:$C$167="",ISERROR(VLOOKUP($C157,'PIVOT TABLE GLOBAL'!$A$4:$H$2500,8,FALSE))),"",VLOOKUP($C157,'PIVOT TABLE GLOBAL'!$A$4:$H$2500,8,FALSE))</f>
        <v/>
      </c>
      <c r="L157" s="559" t="str">
        <f t="shared" si="15"/>
        <v/>
      </c>
    </row>
    <row r="158" spans="1:12" s="71" customFormat="1" ht="15" hidden="1" customHeight="1" thickBot="1" x14ac:dyDescent="0.3">
      <c r="A158" s="853"/>
      <c r="B158" s="856"/>
      <c r="C158" s="202" t="str">
        <f t="array" ref="C158">IFERROR(INDEX('C'!$C$1:$C$2479, SMALL(IF($B$144 = 'C'!$A$1:$A$2479, ROW('C'!$A$1:$A$2479) -
ROW('C'!$A$2) + 2), ROW(15:15))),"")</f>
        <v/>
      </c>
      <c r="D158" s="543" t="str">
        <f t="array" ref="D158">IFERROR(INDEX('C'!$B$1:$B$2479, SMALL(IF($B$144 = 'C'!$A$1:$A$2479, ROW('C'!$A$1:$A$2479) -
ROW('C'!$A$2) + 2), ROW(15:15))),"")</f>
        <v/>
      </c>
      <c r="E158" s="580">
        <f t="shared" si="14"/>
        <v>0</v>
      </c>
      <c r="F158" s="571">
        <f>SUMIF('Global Portfolio'!$N$2:$N$2500,C158,'Global Portfolio'!$E$2:$E$2500)</f>
        <v>0</v>
      </c>
      <c r="G158" s="543">
        <f>IF('General Porfolio'!C158="",0,COUNTIF('Global Portfolio'!$N$2:$N$2500,'General Porfolio'!C158))</f>
        <v>0</v>
      </c>
      <c r="H158" s="572" t="str">
        <f>IF(OR($C$11:$C$167="",ISERROR(VLOOKUP($C158,'PIVOT TABLE GLOBAL'!$A$4:$F$2500,3,FALSE))),"",VLOOKUP($C158,'PIVOT TABLE GLOBAL'!$A$4:$F$2500,3,FALSE)/F158)</f>
        <v/>
      </c>
      <c r="I158" s="573" t="str">
        <f>IF(OR($C$11:$C$167="",ISERROR(VLOOKUP($C158,'PIVOT TABLE GLOBAL'!$A$4:$G$2500,7,FALSE))),"",VLOOKUP($C158,'PIVOT TABLE GLOBAL'!$A$4:$G$2500,7,FALSE))</f>
        <v/>
      </c>
      <c r="J158" s="574" t="str">
        <f>IF(OR($C$11:$C$167="",ISERROR(VLOOKUP($C158,'PIVOT TABLE GLOBAL'!$A$4:$F$2500,4,FALSE))),"",VLOOKUP($C158,'PIVOT TABLE GLOBAL'!$A$4:$F$2500,4,FALSE)/F158)</f>
        <v/>
      </c>
      <c r="K158" s="543" t="str">
        <f>IF(OR($C$11:$C$167="",ISERROR(VLOOKUP($C158,'PIVOT TABLE GLOBAL'!$A$4:$H$2500,8,FALSE))),"",VLOOKUP($C158,'PIVOT TABLE GLOBAL'!$A$4:$H$2500,8,FALSE))</f>
        <v/>
      </c>
      <c r="L158" s="559" t="str">
        <f t="shared" si="15"/>
        <v/>
      </c>
    </row>
    <row r="159" spans="1:12" s="71" customFormat="1" ht="15" hidden="1" customHeight="1" thickBot="1" x14ac:dyDescent="0.3">
      <c r="A159" s="853"/>
      <c r="B159" s="856"/>
      <c r="C159" s="202" t="str">
        <f t="array" ref="C159">IFERROR(INDEX('C'!$C$1:$C$2479, SMALL(IF($B$144 = 'C'!$A$1:$A$2479, ROW('C'!$A$1:$A$2479) -
ROW('C'!$A$2) + 2), ROW(16:16))),"")</f>
        <v/>
      </c>
      <c r="D159" s="543" t="str">
        <f t="array" ref="D159">IFERROR(INDEX('C'!$B$1:$B$2479, SMALL(IF($B$144 = 'C'!$A$1:$A$2479, ROW('C'!$A$1:$A$2479) -
ROW('C'!$A$2) + 2), ROW(16:16))),"")</f>
        <v/>
      </c>
      <c r="E159" s="580">
        <f t="shared" si="14"/>
        <v>0</v>
      </c>
      <c r="F159" s="571">
        <f>SUMIF('Global Portfolio'!$N$2:$N$2500,C159,'Global Portfolio'!$E$2:$E$2500)</f>
        <v>0</v>
      </c>
      <c r="G159" s="543">
        <f>IF('General Porfolio'!C159="",0,COUNTIF('Global Portfolio'!$N$2:$N$2500,'General Porfolio'!C159))</f>
        <v>0</v>
      </c>
      <c r="H159" s="572" t="str">
        <f>IF(OR($C$11:$C$167="",ISERROR(VLOOKUP($C159,'PIVOT TABLE GLOBAL'!$A$4:$F$2500,3,FALSE))),"",VLOOKUP($C159,'PIVOT TABLE GLOBAL'!$A$4:$F$2500,3,FALSE)/F159)</f>
        <v/>
      </c>
      <c r="I159" s="573" t="str">
        <f>IF(OR($C$11:$C$167="",ISERROR(VLOOKUP($C159,'PIVOT TABLE GLOBAL'!$A$4:$G$2500,7,FALSE))),"",VLOOKUP($C159,'PIVOT TABLE GLOBAL'!$A$4:$G$2500,7,FALSE))</f>
        <v/>
      </c>
      <c r="J159" s="574" t="str">
        <f>IF(OR($C$11:$C$167="",ISERROR(VLOOKUP($C159,'PIVOT TABLE GLOBAL'!$A$4:$F$2500,4,FALSE))),"",VLOOKUP($C159,'PIVOT TABLE GLOBAL'!$A$4:$F$2500,4,FALSE)/F159)</f>
        <v/>
      </c>
      <c r="K159" s="543" t="str">
        <f>IF(OR($C$11:$C$167="",ISERROR(VLOOKUP($C159,'PIVOT TABLE GLOBAL'!$A$4:$H$2500,8,FALSE))),"",VLOOKUP($C159,'PIVOT TABLE GLOBAL'!$A$4:$H$2500,8,FALSE))</f>
        <v/>
      </c>
      <c r="L159" s="559" t="str">
        <f t="shared" si="15"/>
        <v/>
      </c>
    </row>
    <row r="160" spans="1:12" s="71" customFormat="1" ht="15" hidden="1" customHeight="1" thickBot="1" x14ac:dyDescent="0.3">
      <c r="A160" s="853"/>
      <c r="B160" s="856"/>
      <c r="C160" s="202" t="str">
        <f t="array" ref="C160">IFERROR(INDEX('C'!$C$1:$C$2479, SMALL(IF($B$144 = 'C'!$A$1:$A$2479, ROW('C'!$A$1:$A$2479) -
ROW('C'!$A$2) + 2), ROW(17:17))),"")</f>
        <v/>
      </c>
      <c r="D160" s="543" t="str">
        <f t="array" ref="D160">IFERROR(INDEX('C'!$B$1:$B$2479, SMALL(IF($B$144 = 'C'!$A$1:$A$2479, ROW('C'!$A$1:$A$2479) -
ROW('C'!$A$2) + 2), ROW(17:17))),"")</f>
        <v/>
      </c>
      <c r="E160" s="580">
        <f t="shared" si="14"/>
        <v>0</v>
      </c>
      <c r="F160" s="571">
        <f>SUMIF('Global Portfolio'!$N$2:$N$2500,C160,'Global Portfolio'!$E$2:$E$2500)</f>
        <v>0</v>
      </c>
      <c r="G160" s="543">
        <f>IF('General Porfolio'!C160="",0,COUNTIF('Global Portfolio'!$N$2:$N$2500,'General Porfolio'!C160))</f>
        <v>0</v>
      </c>
      <c r="H160" s="572" t="str">
        <f>IF(OR($C$11:$C$167="",ISERROR(VLOOKUP($C160,'PIVOT TABLE GLOBAL'!$A$4:$F$2500,3,FALSE))),"",VLOOKUP($C160,'PIVOT TABLE GLOBAL'!$A$4:$F$2500,3,FALSE)/F160)</f>
        <v/>
      </c>
      <c r="I160" s="573" t="str">
        <f>IF(OR($C$11:$C$167="",ISERROR(VLOOKUP($C160,'PIVOT TABLE GLOBAL'!$A$4:$G$2500,7,FALSE))),"",VLOOKUP($C160,'PIVOT TABLE GLOBAL'!$A$4:$G$2500,7,FALSE))</f>
        <v/>
      </c>
      <c r="J160" s="574" t="str">
        <f>IF(OR($C$11:$C$167="",ISERROR(VLOOKUP($C160,'PIVOT TABLE GLOBAL'!$A$4:$F$2500,4,FALSE))),"",VLOOKUP($C160,'PIVOT TABLE GLOBAL'!$A$4:$F$2500,4,FALSE)/F160)</f>
        <v/>
      </c>
      <c r="K160" s="543" t="str">
        <f>IF(OR($C$11:$C$167="",ISERROR(VLOOKUP($C160,'PIVOT TABLE GLOBAL'!$A$4:$H$2500,8,FALSE))),"",VLOOKUP($C160,'PIVOT TABLE GLOBAL'!$A$4:$H$2500,8,FALSE))</f>
        <v/>
      </c>
      <c r="L160" s="559" t="str">
        <f t="shared" si="15"/>
        <v/>
      </c>
    </row>
    <row r="161" spans="1:12" s="71" customFormat="1" ht="15" hidden="1" customHeight="1" thickBot="1" x14ac:dyDescent="0.3">
      <c r="A161" s="853"/>
      <c r="B161" s="856"/>
      <c r="C161" s="202" t="str">
        <f t="array" ref="C161">IFERROR(INDEX('C'!$C$1:$C$2479, SMALL(IF($B$144 = 'C'!$A$1:$A$2479, ROW('C'!$A$1:$A$2479) -
ROW('C'!$A$2) + 2), ROW(18:18))),"")</f>
        <v/>
      </c>
      <c r="D161" s="543" t="str">
        <f t="array" ref="D161">IFERROR(INDEX('C'!$B$1:$B$2479, SMALL(IF($B$144 = 'C'!$A$1:$A$2479, ROW('C'!$A$1:$A$2479) -
ROW('C'!$A$2) + 2), ROW(18:18))),"")</f>
        <v/>
      </c>
      <c r="E161" s="580">
        <f t="shared" si="14"/>
        <v>0</v>
      </c>
      <c r="F161" s="571">
        <f>SUMIF('Global Portfolio'!$N$2:$N$2500,C161,'Global Portfolio'!$E$2:$E$2500)</f>
        <v>0</v>
      </c>
      <c r="G161" s="543">
        <f>IF('General Porfolio'!C161="",0,COUNTIF('Global Portfolio'!$N$2:$N$2500,'General Porfolio'!C161))</f>
        <v>0</v>
      </c>
      <c r="H161" s="572" t="str">
        <f>IF(OR($C$11:$C$167="",ISERROR(VLOOKUP($C161,'PIVOT TABLE GLOBAL'!$A$4:$F$2500,3,FALSE))),"",VLOOKUP($C161,'PIVOT TABLE GLOBAL'!$A$4:$F$2500,3,FALSE)/F161)</f>
        <v/>
      </c>
      <c r="I161" s="573" t="str">
        <f>IF(OR($C$11:$C$167="",ISERROR(VLOOKUP($C161,'PIVOT TABLE GLOBAL'!$A$4:$G$2500,7,FALSE))),"",VLOOKUP($C161,'PIVOT TABLE GLOBAL'!$A$4:$G$2500,7,FALSE))</f>
        <v/>
      </c>
      <c r="J161" s="574" t="str">
        <f>IF(OR($C$11:$C$167="",ISERROR(VLOOKUP($C161,'PIVOT TABLE GLOBAL'!$A$4:$F$2500,4,FALSE))),"",VLOOKUP($C161,'PIVOT TABLE GLOBAL'!$A$4:$F$2500,4,FALSE)/F161)</f>
        <v/>
      </c>
      <c r="K161" s="543" t="str">
        <f>IF(OR($C$11:$C$167="",ISERROR(VLOOKUP($C161,'PIVOT TABLE GLOBAL'!$A$4:$H$2500,8,FALSE))),"",VLOOKUP($C161,'PIVOT TABLE GLOBAL'!$A$4:$H$2500,8,FALSE))</f>
        <v/>
      </c>
      <c r="L161" s="559" t="str">
        <f t="shared" si="15"/>
        <v/>
      </c>
    </row>
    <row r="162" spans="1:12" s="71" customFormat="1" ht="15" customHeight="1" thickBot="1" x14ac:dyDescent="0.35">
      <c r="A162" s="854"/>
      <c r="B162" s="352" t="s">
        <v>4825</v>
      </c>
      <c r="C162" s="189">
        <f>COUNTIF(C144:C161,"?*")</f>
        <v>5</v>
      </c>
      <c r="D162" s="187"/>
      <c r="E162" s="763">
        <f>SUBTOTAL(9,E144:E161)</f>
        <v>5.4342685897958369E-2</v>
      </c>
      <c r="F162" s="188">
        <f>SUBTOTAL(9,F144:F161)</f>
        <v>900238510.26000023</v>
      </c>
      <c r="G162" s="189">
        <f>SUBTOTAL(9,G144:G161)</f>
        <v>111</v>
      </c>
      <c r="H162" s="190">
        <f>(IF(OR($C144="",ISERROR(VLOOKUP($C144,'PIVOT TABLE GLOBAL'!$A$4:$F$2500,3,FALSE))),0,VLOOKUP($C144,'PIVOT TABLE GLOBAL'!$A$4:$F$2500,3,FALSE))+IF(OR($C145="",ISERROR(VLOOKUP($C145,'PIVOT TABLE GLOBAL'!$A$4:$F$2500,3,FALSE))),0,VLOOKUP($C145,'PIVOT TABLE GLOBAL'!$A$4:$F$2500,3,FALSE))+IF(OR($C146="",ISERROR(VLOOKUP($C146,'PIVOT TABLE GLOBAL'!$A$4:$F$2500,3,FALSE))),0,VLOOKUP($C146,'PIVOT TABLE GLOBAL'!$A$4:$F$2500,3,FALSE))+IF(OR($C147="",ISERROR(VLOOKUP($C147,'PIVOT TABLE GLOBAL'!$A$4:$F$2500,3,FALSE))),0,VLOOKUP($C147,'PIVOT TABLE GLOBAL'!$A$4:$F$2500,3,FALSE))+IF(OR($C148="",ISERROR(VLOOKUP($C148,'PIVOT TABLE GLOBAL'!$A$4:$F$2500,3,FALSE))),0,VLOOKUP($C148,'PIVOT TABLE GLOBAL'!$A$4:$F$2500,3,FALSE))+IF(OR($C149="",ISERROR(VLOOKUP($C149,'PIVOT TABLE GLOBAL'!$A$4:$F$2500,3,FALSE))),0,VLOOKUP($C149,'PIVOT TABLE GLOBAL'!$A$4:$F$2500,3,FALSE))+IF(OR($C150="",ISERROR(VLOOKUP($C150,'PIVOT TABLE GLOBAL'!$A$4:$F$2500,3,FALSE))),0,VLOOKUP($C150,'PIVOT TABLE GLOBAL'!$A$4:$F$2500,3,FALSE))+IF(OR($C151="",ISERROR(VLOOKUP($C151,'PIVOT TABLE GLOBAL'!$A$4:$F$2500,3,FALSE))),0,VLOOKUP($C151,'PIVOT TABLE GLOBAL'!$A$4:$F$2500,3,FALSE))+IF(OR($C152="",ISERROR(VLOOKUP($C152,'PIVOT TABLE GLOBAL'!$A$4:$F$2500,3,FALSE))),0,VLOOKUP($C152,'PIVOT TABLE GLOBAL'!$A$4:$F$2500,3,FALSE))+IF(OR($C153="",ISERROR(VLOOKUP($C153,'PIVOT TABLE GLOBAL'!$A$4:$F$2500,3,FALSE))),0,VLOOKUP($C153,'PIVOT TABLE GLOBAL'!$A$4:$F$2500,3,FALSE))+IF(OR($C154="",ISERROR(VLOOKUP($C154,'PIVOT TABLE GLOBAL'!$A$4:$F$2500,3,FALSE))),0,VLOOKUP($C154,'PIVOT TABLE GLOBAL'!$A$4:$F$2500,3,FALSE))+IF(OR($C155="",ISERROR(VLOOKUP($C155,'PIVOT TABLE GLOBAL'!$A$4:$F$2500,3,FALSE))),0,VLOOKUP($C155,'PIVOT TABLE GLOBAL'!$A$4:$F$2500,3,FALSE))+IF(OR($C156="",ISERROR(VLOOKUP($C156,'PIVOT TABLE GLOBAL'!$A$4:$F$2500,3,FALSE))),0,VLOOKUP($C156,'PIVOT TABLE GLOBAL'!$A$4:$F$2500,3,FALSE))+IF(OR($C157="",ISERROR(VLOOKUP($C157,'PIVOT TABLE GLOBAL'!$A$4:$F$2500,3,FALSE))),0,VLOOKUP($C157,'PIVOT TABLE GLOBAL'!$A$4:$F$2500,3,FALSE))+IF(OR($C158="",ISERROR(VLOOKUP($C158,'PIVOT TABLE GLOBAL'!$A$4:$F$2500,3,FALSE))),0,VLOOKUP($C158,'PIVOT TABLE GLOBAL'!$A$4:$F$2500,3,FALSE))+IF(OR($C159="",ISERROR(VLOOKUP($C159,'PIVOT TABLE GLOBAL'!$A$4:$F$2500,3,FALSE))),0,VLOOKUP($C159,'PIVOT TABLE GLOBAL'!$A$4:$F$2500,3,FALSE))+IF(OR($C160="",ISERROR(VLOOKUP($C160,'PIVOT TABLE GLOBAL'!$A$4:$F$2500,3,FALSE))),0,VLOOKUP($C160,'PIVOT TABLE GLOBAL'!$A$4:$F$2500,3,FALSE))+IF(OR($C161="",ISERROR(VLOOKUP($C161,'PIVOT TABLE GLOBAL'!$A$4:$F$2500,3,FALSE))),0,VLOOKUP($C161,'PIVOT TABLE GLOBAL'!$A$4:$F$2500,3,FALSE)))/(F162)</f>
        <v>0.39949259207555093</v>
      </c>
      <c r="I162" s="191">
        <f>SUBTOTAL(9,I144:I161)</f>
        <v>45</v>
      </c>
      <c r="J162" s="192">
        <f>(IF(OR($C144="",ISERROR(VLOOKUP($C144,'PIVOT TABLE GLOBAL'!$A$4:$F$2500,4,FALSE))),0,VLOOKUP($C144,'PIVOT TABLE GLOBAL'!$A$4:$F$2500,4,FALSE))+IF(OR($C145="",ISERROR(VLOOKUP($C145,'PIVOT TABLE GLOBAL'!$A$4:$F$2500,4,FALSE))),0,VLOOKUP($C145,'PIVOT TABLE GLOBAL'!$A$4:$F$2500,4,FALSE))+IF(OR($C146="",ISERROR(VLOOKUP($C146,'PIVOT TABLE GLOBAL'!$A$4:$F$2500,4,FALSE))),0,VLOOKUP($C146,'PIVOT TABLE GLOBAL'!$A$4:$F$2500,4,FALSE))+IF(OR($C147="",ISERROR(VLOOKUP($C147,'PIVOT TABLE GLOBAL'!$A$4:$F$2500,4,FALSE))),0,VLOOKUP($C147,'PIVOT TABLE GLOBAL'!$A$4:$F$2500,4,FALSE))+IF(OR($C148="",ISERROR(VLOOKUP($C148,'PIVOT TABLE GLOBAL'!$A$4:$F$2500,4,FALSE))),0,VLOOKUP($C148,'PIVOT TABLE GLOBAL'!$A$4:$F$2500,4,FALSE))+IF(OR($C149="",ISERROR(VLOOKUP($C149,'PIVOT TABLE GLOBAL'!$A$4:$F$2500,4,FALSE))),0,VLOOKUP($C149,'PIVOT TABLE GLOBAL'!$A$4:$F$2500,4,FALSE))+IF(OR($C150="",ISERROR(VLOOKUP($C150,'PIVOT TABLE GLOBAL'!$A$4:$F$2500,4,FALSE))),0,VLOOKUP($C150,'PIVOT TABLE GLOBAL'!$A$4:$F$2500,4,FALSE))+IF(OR($C151="",ISERROR(VLOOKUP($C151,'PIVOT TABLE GLOBAL'!$A$4:$F$2500,4,FALSE))),0,VLOOKUP($C151,'PIVOT TABLE GLOBAL'!$A$4:$F$2500,4,FALSE))+IF(OR($C152="",ISERROR(VLOOKUP($C152,'PIVOT TABLE GLOBAL'!$A$4:$F$2500,4,FALSE))),0,VLOOKUP($C152,'PIVOT TABLE GLOBAL'!$A$4:$F$2500,4,FALSE))+IF(OR($C153="",ISERROR(VLOOKUP($C153,'PIVOT TABLE GLOBAL'!$A$4:$F$2500,4,FALSE))),0,VLOOKUP($C153,'PIVOT TABLE GLOBAL'!$A$4:$F$2500,4,FALSE))+IF(OR($C154="",ISERROR(VLOOKUP($C154,'PIVOT TABLE GLOBAL'!$A$4:$F$2500,4,FALSE))),0,VLOOKUP($C154,'PIVOT TABLE GLOBAL'!$A$4:$F$2500,4,FALSE))+IF(OR($C155="",ISERROR(VLOOKUP($C155,'PIVOT TABLE GLOBAL'!$A$4:$F$2500,4,FALSE))),0,VLOOKUP($C155,'PIVOT TABLE GLOBAL'!$A$4:$F$2500,4,FALSE))+IF(OR($C156="",ISERROR(VLOOKUP($C156,'PIVOT TABLE GLOBAL'!$A$4:$F$2500,4,FALSE))),0,VLOOKUP($C156,'PIVOT TABLE GLOBAL'!$A$4:$F$2500,4,FALSE))+IF(OR($C157="",ISERROR(VLOOKUP($C157,'PIVOT TABLE GLOBAL'!$A$4:$F$2500,4,FALSE))),0,VLOOKUP($C157,'PIVOT TABLE GLOBAL'!$A$4:$F$2500,4,FALSE))+IF(OR($C158="",ISERROR(VLOOKUP($C158,'PIVOT TABLE GLOBAL'!$A$4:$F$2500,4,FALSE))),0,VLOOKUP($C158,'PIVOT TABLE GLOBAL'!$A$4:$F$2500,4,FALSE))+IF(OR($C159="",ISERROR(VLOOKUP($C159,'PIVOT TABLE GLOBAL'!$A$4:$F$2500,4,FALSE))),0,VLOOKUP($C159,'PIVOT TABLE GLOBAL'!$A$4:$F$2500,4,FALSE))+IF(OR($C160="",ISERROR(VLOOKUP($C160,'PIVOT TABLE GLOBAL'!$A$4:$F$2500,4,FALSE))),0,VLOOKUP($C160,'PIVOT TABLE GLOBAL'!$A$4:$F$2500,4,FALSE))+IF(OR($C161="",ISERROR(VLOOKUP($C161,'PIVOT TABLE GLOBAL'!$A$4:$F$2500,4,FALSE))),0,VLOOKUP($C161,'PIVOT TABLE GLOBAL'!$A$4:$F$2500,4,FALSE)))/(F162)</f>
        <v>7.5040302830957001E-2</v>
      </c>
      <c r="K162" s="189">
        <f>SUBTOTAL(9,K144:K161)</f>
        <v>14</v>
      </c>
      <c r="L162" s="404"/>
    </row>
    <row r="163" spans="1:12" s="764" customFormat="1" ht="15" customHeight="1" thickBot="1" x14ac:dyDescent="0.35">
      <c r="A163" s="765" t="s">
        <v>984</v>
      </c>
      <c r="B163" s="766"/>
      <c r="C163" s="353">
        <f>SUBTOTAL(9,C85:C143)</f>
        <v>14</v>
      </c>
      <c r="D163" s="351"/>
      <c r="E163" s="767">
        <f>F163/F172</f>
        <v>0.48052304396974144</v>
      </c>
      <c r="F163" s="354">
        <f>SUBTOTAL(9,F85:F162)</f>
        <v>7960323309.3999987</v>
      </c>
      <c r="G163" s="354">
        <f>SUBTOTAL(9,G85:G162)</f>
        <v>690</v>
      </c>
      <c r="H163" s="382">
        <f>(F103*H103+F123*H123+F143*H143+F162*H162)/F163</f>
        <v>0.44195233583485838</v>
      </c>
      <c r="I163" s="356">
        <f>SUBTOTAL(9,I85:I143)</f>
        <v>266</v>
      </c>
      <c r="J163" s="383">
        <f>(F103*J103+F123*J123+F143*J143+F162*J162)/F163</f>
        <v>9.7044909942009247E-2</v>
      </c>
      <c r="K163" s="353">
        <f>SUBTOTAL(9,K85:K143)</f>
        <v>78</v>
      </c>
      <c r="L163" s="768"/>
    </row>
    <row r="164" spans="1:12" s="71" customFormat="1" ht="15" customHeight="1" x14ac:dyDescent="0.25">
      <c r="A164" s="853" t="s">
        <v>2079</v>
      </c>
      <c r="B164" s="856" t="s">
        <v>2079</v>
      </c>
      <c r="C164" s="350" t="str">
        <f t="array" ref="C164">IFERROR(INDEX('C'!$C$1:$C$2479, SMALL(IF($B$164 = 'C'!$A$1:$A$2479, ROW('C'!$A$1:$A$2479) -ROW('C'!$A$2) + 2), ROW(1:1))),"")</f>
        <v>SAF2000</v>
      </c>
      <c r="D164" s="582" t="str">
        <f t="array" ref="D164">IFERROR(INDEX('C'!$B$1:$B$2479, SMALL(IF($B$144 = 'C'!$A$1:$A$2479, ROW('C'!$A$1:$A$2479) -
ROW('C'!$A$2) + 2), ROW(#REF!))),"")</f>
        <v/>
      </c>
      <c r="E164" s="583">
        <f>F164/$F$172</f>
        <v>2.2401880013184522E-2</v>
      </c>
      <c r="F164" s="584">
        <f>SUMIF('Global Portfolio'!$N$2:$N$2500,C164,'Global Portfolio'!$E$2:$E$2500)</f>
        <v>371108544.91000003</v>
      </c>
      <c r="G164" s="582">
        <f>IF('General Porfolio'!C164="",0,COUNTIF('Global Portfolio'!$N$2:$N$2500,'General Porfolio'!C164))</f>
        <v>44</v>
      </c>
      <c r="H164" s="585">
        <f>IF(OR($C$11:$C$167="",ISERROR(VLOOKUP($C164,'PIVOT TABLE GLOBAL'!$A$4:$F$2500,3,FALSE))),"",VLOOKUP($C164,'PIVOT TABLE GLOBAL'!$A$4:$F$2500,3,FALSE)/F164)</f>
        <v>9.8516056289855686E-2</v>
      </c>
      <c r="I164" s="586">
        <f>IF(OR($C$11:$C$167="",ISERROR(VLOOKUP($C164,'PIVOT TABLE GLOBAL'!$A$4:$G$2500,7,FALSE))),"",VLOOKUP($C164,'PIVOT TABLE GLOBAL'!$A$4:$G$2500,7,FALSE))</f>
        <v>1</v>
      </c>
      <c r="J164" s="587">
        <f>IF(OR($C$11:$C$167="",ISERROR(VLOOKUP($C164,'PIVOT TABLE GLOBAL'!$A$4:$F$2500,4,FALSE))),"",VLOOKUP($C164,'PIVOT TABLE GLOBAL'!$A$4:$F$2500,4,FALSE)/F164)</f>
        <v>0</v>
      </c>
      <c r="K164" s="582">
        <f>IF(OR($C$11:$C$167="",ISERROR(VLOOKUP($C164,'PIVOT TABLE GLOBAL'!$A$4:$H$2500,8,FALSE))),"",VLOOKUP($C164,'PIVOT TABLE GLOBAL'!$A$4:$H$2500,8,FALSE))</f>
        <v>0</v>
      </c>
      <c r="L164" s="559"/>
    </row>
    <row r="165" spans="1:12" s="71" customFormat="1" ht="15" customHeight="1" x14ac:dyDescent="0.25">
      <c r="A165" s="853"/>
      <c r="B165" s="856"/>
      <c r="C165" s="350" t="str">
        <f t="array" ref="C165">IFERROR(INDEX('C'!$C$1:$C$2479, SMALL(IF($B$164 = 'C'!$A$1:$A$2479, ROW('C'!$A$1:$A$2479) -
ROW('C'!$A$2) + 2), ROW(2:2))),"")</f>
        <v>HEAD OFFICE</v>
      </c>
      <c r="D165" s="543" t="str">
        <f t="array" ref="D165">IFERROR(INDEX('C'!$B$1:$B$2479, SMALL(IF($B$144 = 'C'!$A$1:$A$2479, ROW('C'!$A$1:$A$2479) -
ROW('C'!$A$2) + 2), ROW(#REF!))),"")</f>
        <v/>
      </c>
      <c r="E165" s="580">
        <f>F165/$F$172</f>
        <v>7.8631087466807578E-3</v>
      </c>
      <c r="F165" s="571">
        <f>SUMIF('Global Portfolio'!$N$2:$N$2500,C165,'Global Portfolio'!$E$2:$E$2500)</f>
        <v>130259908.71000001</v>
      </c>
      <c r="G165" s="543">
        <f>IF('General Porfolio'!C165="",0,COUNTIF('Global Portfolio'!$N$2:$N$2500,'General Porfolio'!C165))</f>
        <v>10</v>
      </c>
      <c r="H165" s="572">
        <f>IF(OR($C$11:$C$167="",ISERROR(VLOOKUP($C165,'PIVOT TABLE GLOBAL'!$A$4:$F$2500,3,FALSE))),"",VLOOKUP($C165,'PIVOT TABLE GLOBAL'!$A$4:$F$2500,3,FALSE)/F165)</f>
        <v>1</v>
      </c>
      <c r="I165" s="586">
        <f>IF(OR($C$11:$C$167="",ISERROR(VLOOKUP($C165,'PIVOT TABLE GLOBAL'!$A$4:$G$2500,7,FALSE))),"",VLOOKUP($C165,'PIVOT TABLE GLOBAL'!$A$4:$G$2500,7,FALSE))</f>
        <v>10</v>
      </c>
      <c r="J165" s="574">
        <f>IF(OR($C$11:$C$167="",ISERROR(VLOOKUP($C165,'PIVOT TABLE GLOBAL'!$A$4:$F$2500,4,FALSE))),"",VLOOKUP($C165,'PIVOT TABLE GLOBAL'!$A$4:$F$2500,4,FALSE)/F165)</f>
        <v>0.96448066787532749</v>
      </c>
      <c r="K165" s="543">
        <f>IF(OR($C$11:$C$167="",ISERROR(VLOOKUP($C165,'PIVOT TABLE GLOBAL'!$A$4:$H$2500,8,FALSE))),"",VLOOKUP($C165,'PIVOT TABLE GLOBAL'!$A$4:$H$2500,8,FALSE))</f>
        <v>9</v>
      </c>
      <c r="L165" s="550"/>
    </row>
    <row r="166" spans="1:12" s="71" customFormat="1" ht="15" customHeight="1" x14ac:dyDescent="0.25">
      <c r="A166" s="853"/>
      <c r="B166" s="856"/>
      <c r="C166" s="350" t="str">
        <f t="array" ref="C166">IFERROR(INDEX('C'!$C$1:$C$2479, SMALL(IF($B$164 = 'C'!$A$1:$A$2479, ROW('C'!$A$1:$A$2479) -
ROW('C'!$A$2) + 2), ROW(3:3))),"")</f>
        <v>KOLOLO ADMIN</v>
      </c>
      <c r="D166" s="543" t="str">
        <f t="array" ref="D166">IFERROR(INDEX('C'!$B$1:$B$2479, SMALL(IF($B$144 = 'C'!$A$1:$A$2479, ROW('C'!$A$1:$A$2479) -
ROW('C'!$A$2) + 2), ROW(#REF!))),"")</f>
        <v/>
      </c>
      <c r="E166" s="580">
        <f>F166/$F$172</f>
        <v>1.9334524171684103E-2</v>
      </c>
      <c r="F166" s="571">
        <f>SUMIF('Global Portfolio'!$N$2:$N$2500,C166,'Global Portfolio'!$E$2:$E$2500)</f>
        <v>320294864.88000005</v>
      </c>
      <c r="G166" s="543">
        <f>IF('General Porfolio'!C166="",0,COUNTIF('Global Portfolio'!$N$2:$N$2500,'General Porfolio'!C166))</f>
        <v>16</v>
      </c>
      <c r="H166" s="572">
        <f>IF(OR($C$11:$C$167="",ISERROR(VLOOKUP($C166,'PIVOT TABLE GLOBAL'!$A$4:$F$2500,3,FALSE))),"",VLOOKUP($C166,'PIVOT TABLE GLOBAL'!$A$4:$F$2500,3,FALSE)/F166)</f>
        <v>0.95051526902893624</v>
      </c>
      <c r="I166" s="586">
        <f>IF(OR($C$11:$C$167="",ISERROR(VLOOKUP($C166,'PIVOT TABLE GLOBAL'!$A$4:$G$2500,7,FALSE))),"",VLOOKUP($C166,'PIVOT TABLE GLOBAL'!$A$4:$G$2500,7,FALSE))</f>
        <v>15</v>
      </c>
      <c r="J166" s="574">
        <f>IF(OR($C$11:$C$167="",ISERROR(VLOOKUP($C166,'PIVOT TABLE GLOBAL'!$A$4:$F$2500,4,FALSE))),"",VLOOKUP($C166,'PIVOT TABLE GLOBAL'!$A$4:$F$2500,4,FALSE)/F166)</f>
        <v>0.95051526902893624</v>
      </c>
      <c r="K166" s="543">
        <f>IF(OR($C$11:$C$167="",ISERROR(VLOOKUP($C166,'PIVOT TABLE GLOBAL'!$A$4:$H$2500,8,FALSE))),"",VLOOKUP($C166,'PIVOT TABLE GLOBAL'!$A$4:$H$2500,8,FALSE))</f>
        <v>15</v>
      </c>
      <c r="L166" s="550"/>
    </row>
    <row r="167" spans="1:12" s="71" customFormat="1" ht="15.75" customHeight="1" x14ac:dyDescent="0.25">
      <c r="A167" s="853"/>
      <c r="B167" s="856"/>
      <c r="C167" s="745" t="str">
        <f t="array" ref="C167">IFERROR(INDEX('C'!$C$1:$C$2479, SMALL(IF($B$164 = 'C'!$A$1:$A$2479, ROW('C'!$A$1:$A$2479) -
ROW('C'!$A$2) + 2), ROW(4:4))),"")</f>
        <v>NDEEBA ADMIN</v>
      </c>
      <c r="D167" s="746" t="str">
        <f t="array" ref="D167">IFERROR(INDEX('C'!$B$1:$B$2479, SMALL(IF($B$144 = 'C'!$A$1:$A$2479, ROW('C'!$A$1:$A$2479) -
ROW('C'!$A$2) + 2), ROW(#REF!))),"")</f>
        <v/>
      </c>
      <c r="E167" s="747">
        <f>F167/$F$172</f>
        <v>4.2332933804104758E-2</v>
      </c>
      <c r="F167" s="748">
        <f>SUMIF('Global Portfolio'!$N$2:$N$2500,C167,'Global Portfolio'!$E$2:$E$2500)</f>
        <v>701285492.84999979</v>
      </c>
      <c r="G167" s="746">
        <f>IF('General Porfolio'!C167="",0,COUNTIF('Global Portfolio'!$N$2:$N$2500,'General Porfolio'!C167))</f>
        <v>42</v>
      </c>
      <c r="H167" s="749">
        <f>IF(OR($C$11:$C$167="",ISERROR(VLOOKUP($C167,'PIVOT TABLE GLOBAL'!$A$4:$F$2500,3,FALSE))),"",VLOOKUP($C167,'PIVOT TABLE GLOBAL'!$A$4:$F$2500,3,FALSE)/F167)</f>
        <v>0.97840702155628501</v>
      </c>
      <c r="I167" s="586">
        <f>IF(OR($C$11:$C$167="",ISERROR(VLOOKUP($C167,'PIVOT TABLE GLOBAL'!$A$4:$G$2500,7,FALSE))),"",VLOOKUP($C167,'PIVOT TABLE GLOBAL'!$A$4:$G$2500,7,FALSE))</f>
        <v>40</v>
      </c>
      <c r="J167" s="750">
        <f>IF(OR($C$11:$C$167="",ISERROR(VLOOKUP($C167,'PIVOT TABLE GLOBAL'!$A$4:$F$2500,4,FALSE))),"",VLOOKUP($C167,'PIVOT TABLE GLOBAL'!$A$4:$F$2500,4,FALSE)/F167)</f>
        <v>0.76827823498873082</v>
      </c>
      <c r="K167" s="746">
        <f>IF(OR($C$11:$C$167="",ISERROR(VLOOKUP($C167,'PIVOT TABLE GLOBAL'!$A$4:$H$2500,8,FALSE))),"",VLOOKUP($C167,'PIVOT TABLE GLOBAL'!$A$4:$H$2500,8,FALSE))</f>
        <v>34</v>
      </c>
      <c r="L167" s="591"/>
    </row>
    <row r="168" spans="1:12" s="71" customFormat="1" ht="15.75" customHeight="1" thickBot="1" x14ac:dyDescent="0.3">
      <c r="A168" s="853"/>
      <c r="B168" s="857"/>
      <c r="C168" s="545" t="str">
        <f t="array" ref="C168">IFERROR(INDEX('C'!$C$1:$C$2479, SMALL(IF($B$164 = 'C'!$A$1:$A$2479, ROW('C'!$A$1:$A$2479) -
ROW('C'!$A$2) + 2), ROW(5:5))),"")</f>
        <v>DCOLLECTO2</v>
      </c>
      <c r="D168" s="544" t="str">
        <f t="array" ref="D168">IFERROR(INDEX('C'!$B$1:$B$2479, SMALL(IF($B$144 = 'C'!$A$1:$A$2479, ROW('C'!$A$1:$A$2479) -
ROW('C'!$A$2) + 2), ROW(#REF!))),"")</f>
        <v/>
      </c>
      <c r="E168" s="588">
        <f>F168/$F$172</f>
        <v>6.1985057664228858E-5</v>
      </c>
      <c r="F168" s="592">
        <f>SUMIF('Global Portfolio'!$N$2:$N$2500,C168,'Global Portfolio'!$E$2:$E$2500)</f>
        <v>1026841.7</v>
      </c>
      <c r="G168" s="544">
        <f>IF('General Porfolio'!C168="",0,COUNTIF('Global Portfolio'!$N$2:$N$2500,'General Porfolio'!C168))</f>
        <v>1</v>
      </c>
      <c r="H168" s="589">
        <f>IF(OR($C$11:$C$168="",ISERROR(VLOOKUP($C168,'PIVOT TABLE GLOBAL'!$A$4:$F$2500,3,FALSE))),"",VLOOKUP($C168,'PIVOT TABLE GLOBAL'!$A$4:$F$2500,3,FALSE)/F168)</f>
        <v>1</v>
      </c>
      <c r="I168" s="586">
        <f>IF(OR($C$11:$C$168="",ISERROR(VLOOKUP($C168,'PIVOT TABLE GLOBAL'!$A$4:$G$2500,7,FALSE))),"",VLOOKUP($C168,'PIVOT TABLE GLOBAL'!$A$4:$G$2500,7,FALSE))</f>
        <v>1</v>
      </c>
      <c r="J168" s="590">
        <f>IF(OR($C$11:$C$168="",ISERROR(VLOOKUP($C168,'PIVOT TABLE GLOBAL'!$A$4:$F$2500,4,FALSE))),"",VLOOKUP($C168,'PIVOT TABLE GLOBAL'!$A$4:$F$2500,4,FALSE)/F168)</f>
        <v>1</v>
      </c>
      <c r="K168" s="544">
        <f>IF(OR($C$11:$C$168="",ISERROR(VLOOKUP($C168,'PIVOT TABLE GLOBAL'!$A$4:$H$2500,8,FALSE))),"",VLOOKUP($C168,'PIVOT TABLE GLOBAL'!$A$4:$H$2500,8,FALSE))</f>
        <v>1</v>
      </c>
      <c r="L168" s="751"/>
    </row>
    <row r="169" spans="1:12" s="71" customFormat="1" ht="16.2" thickBot="1" x14ac:dyDescent="0.35">
      <c r="A169" s="854"/>
      <c r="B169" s="300" t="s">
        <v>2080</v>
      </c>
      <c r="C169" s="195">
        <f>COUNTIF(C164:C168,"?*")</f>
        <v>5</v>
      </c>
      <c r="D169" s="193"/>
      <c r="E169" s="359">
        <f>SUBTOTAL(9,E164:E168)</f>
        <v>9.1994431793318385E-2</v>
      </c>
      <c r="F169" s="194">
        <f>SUBTOTAL(9,F164:F168)</f>
        <v>1523975653.05</v>
      </c>
      <c r="G169" s="195">
        <f>SUBTOTAL(9,G164:G168)</f>
        <v>113</v>
      </c>
      <c r="H169" s="196">
        <f>(IF(OR($C164="",ISERROR(VLOOKUP($C164,'PIVOT TABLE GLOBAL'!$A$4:$F$2500,3,FALSE))),0,VLOOKUP($C164,'PIVOT TABLE GLOBAL'!$A$4:$F$2500,3,FALSE))+IF(OR($C165="",ISERROR(VLOOKUP($C165,'PIVOT TABLE GLOBAL'!$A$4:$F$2500,3,FALSE))),0,VLOOKUP($C165,'PIVOT TABLE GLOBAL'!$A$4:$F$2500,3,FALSE))+IF(OR($C166="",ISERROR(VLOOKUP($C166,'PIVOT TABLE GLOBAL'!$A$4:$F$2500,3,FALSE))),0,VLOOKUP($C166,'PIVOT TABLE GLOBAL'!$A$4:$F$2500,3,FALSE))+IF(OR($C167="",ISERROR(VLOOKUP($C167,'PIVOT TABLE GLOBAL'!$A$4:$F$2500,3,FALSE))),0,VLOOKUP($C167,'PIVOT TABLE GLOBAL'!$A$4:$F$2500,3,FALSE)))/(F169)</f>
        <v>0.75946611527134844</v>
      </c>
      <c r="I169" s="197">
        <f>SUBTOTAL(9,I164:I168)</f>
        <v>67</v>
      </c>
      <c r="J169" s="198">
        <f>(IF(OR($C164="",ISERROR(VLOOKUP($C164,'PIVOT TABLE GLOBAL'!$A$4:$F$2500,4,FALSE))),0,VLOOKUP($C164,'PIVOT TABLE GLOBAL'!$A$4:$F$2500,4,FALSE))+IF(OR($C165="",ISERROR(VLOOKUP($C165,'PIVOT TABLE GLOBAL'!$A$4:$F$2500,4,FALSE))),0,VLOOKUP($C165,'PIVOT TABLE GLOBAL'!$A$4:$F$2500,4,FALSE))+IF(OR($C166="",ISERROR(VLOOKUP($C166,'PIVOT TABLE GLOBAL'!$A$4:$F$2500,4,FALSE))),0,VLOOKUP($C166,'PIVOT TABLE GLOBAL'!$A$4:$F$2500,4,FALSE))+IF(OR($C167="",ISERROR(VLOOKUP($C167,'PIVOT TABLE GLOBAL'!$A$4:$F$2500,4,FALSE))),0,VLOOKUP($C167,'PIVOT TABLE GLOBAL'!$A$4:$F$2500,4,FALSE)))/(F169)</f>
        <v>0.63574552660403483</v>
      </c>
      <c r="K169" s="195">
        <f>SUBTOTAL(9,K164:K168)</f>
        <v>59</v>
      </c>
      <c r="L169" s="404"/>
    </row>
    <row r="170" spans="1:12" s="71" customFormat="1" ht="16.2" thickBot="1" x14ac:dyDescent="0.35">
      <c r="A170" s="714" t="s">
        <v>2080</v>
      </c>
      <c r="B170" s="715"/>
      <c r="C170" s="353">
        <f>SUBTOTAL(9,C164:C169)</f>
        <v>5</v>
      </c>
      <c r="D170" s="351"/>
      <c r="E170" s="716">
        <f>F170/F172</f>
        <v>9.1994431793318371E-2</v>
      </c>
      <c r="F170" s="354">
        <f>SUBTOTAL(9,F164:F168)</f>
        <v>1523975653.05</v>
      </c>
      <c r="G170" s="354">
        <f>SUBTOTAL(9,G164:G168)</f>
        <v>113</v>
      </c>
      <c r="H170" s="382">
        <f>H169</f>
        <v>0.75946611527134844</v>
      </c>
      <c r="I170" s="356">
        <f>SUBTOTAL(9,I164:I168)</f>
        <v>67</v>
      </c>
      <c r="J170" s="383">
        <f>J169</f>
        <v>0.63574552660403483</v>
      </c>
      <c r="K170" s="353">
        <f>SUBTOTAL(9,K164:K168)</f>
        <v>59</v>
      </c>
      <c r="L170" s="717"/>
    </row>
    <row r="171" spans="1:12" s="71" customFormat="1" ht="15.6" hidden="1" x14ac:dyDescent="0.3">
      <c r="A171" s="208"/>
      <c r="B171" s="209"/>
      <c r="C171" s="210"/>
      <c r="D171" s="211"/>
      <c r="E171" s="212"/>
      <c r="F171" s="213"/>
      <c r="G171" s="214"/>
      <c r="H171" s="215"/>
      <c r="I171" s="216"/>
      <c r="J171" s="217"/>
      <c r="K171" s="214"/>
      <c r="L171" s="399"/>
    </row>
    <row r="172" spans="1:12" s="71" customFormat="1" ht="15.6" x14ac:dyDescent="0.3">
      <c r="A172" s="218" t="s">
        <v>321</v>
      </c>
      <c r="B172" s="78"/>
      <c r="C172" s="186">
        <f>SUBTOTAL(9,C11:C170)</f>
        <v>47</v>
      </c>
      <c r="D172" s="76"/>
      <c r="E172" s="77"/>
      <c r="F172" s="90">
        <f>SUBTOTAL(9,F11:F84:F144:F170)</f>
        <v>16565955388.190001</v>
      </c>
      <c r="G172" s="186">
        <f>SUBTOTAL(9,G11:G84:G143:G162:G169)</f>
        <v>1451</v>
      </c>
      <c r="H172" s="200">
        <f>GETPIVOTDATA("Sum of PAR 1",'PIVOT TABLE GLOBAL'!$A$3)/GETPIVOTDATA("Sum of Outstanding Balance",'PIVOT TABLE GLOBAL'!$A$3)</f>
        <v>0.4452335159310028</v>
      </c>
      <c r="I172" s="186">
        <f>SUBTOTAL(9,I11:I170)</f>
        <v>626</v>
      </c>
      <c r="J172" s="200">
        <f>GETPIVOTDATA("Sum of PAR 30",'PIVOT TABLE GLOBAL'!$A$3)/GETPIVOTDATA("Sum of Outstanding Balance",'PIVOT TABLE GLOBAL'!$A$3)</f>
        <v>0.14577632360531476</v>
      </c>
      <c r="K172" s="186">
        <f>SUBTOTAL(9,K11:K170)</f>
        <v>234</v>
      </c>
      <c r="L172" s="399"/>
    </row>
    <row r="173" spans="1:12" ht="15.6" hidden="1" x14ac:dyDescent="0.3">
      <c r="A173" s="219"/>
      <c r="B173" s="79"/>
      <c r="C173" s="83"/>
      <c r="D173" s="79"/>
      <c r="E173" s="80"/>
      <c r="F173" s="90"/>
      <c r="G173" s="79"/>
      <c r="H173" s="79"/>
      <c r="I173" s="79"/>
      <c r="J173" s="199"/>
      <c r="K173" s="79"/>
      <c r="L173" s="400"/>
    </row>
    <row r="174" spans="1:12" ht="15.6" x14ac:dyDescent="0.3">
      <c r="A174" s="220" t="s">
        <v>992</v>
      </c>
      <c r="B174" s="78"/>
      <c r="C174" s="80"/>
      <c r="D174" s="78"/>
      <c r="E174" s="79"/>
      <c r="F174" s="90">
        <f>F172/G172</f>
        <v>11416923.079386631</v>
      </c>
      <c r="G174" s="79"/>
      <c r="H174" s="79"/>
      <c r="I174" s="79"/>
      <c r="J174" s="199"/>
      <c r="K174" s="79"/>
      <c r="L174" s="400"/>
    </row>
    <row r="175" spans="1:12" ht="16.5" customHeight="1" thickBot="1" x14ac:dyDescent="0.35">
      <c r="A175" s="221" t="s">
        <v>1003</v>
      </c>
      <c r="B175" s="222"/>
      <c r="C175" s="223"/>
      <c r="D175" s="224"/>
      <c r="E175" s="224"/>
      <c r="F175" s="225">
        <f>F172/Parameters!B18</f>
        <v>0.82829776940950006</v>
      </c>
      <c r="G175" s="224"/>
      <c r="H175" s="224"/>
      <c r="I175" s="224"/>
      <c r="J175" s="226"/>
      <c r="K175" s="224"/>
      <c r="L175" s="401"/>
    </row>
    <row r="176" spans="1:12" x14ac:dyDescent="0.25">
      <c r="C176" s="72"/>
      <c r="F176" s="681"/>
    </row>
    <row r="177" spans="3:6" x14ac:dyDescent="0.25">
      <c r="C177" s="72"/>
      <c r="F177" s="681"/>
    </row>
    <row r="178" spans="3:6" x14ac:dyDescent="0.25">
      <c r="C178" s="72"/>
      <c r="F178" s="681"/>
    </row>
    <row r="179" spans="3:6" x14ac:dyDescent="0.25">
      <c r="C179" s="72"/>
      <c r="F179" s="681"/>
    </row>
    <row r="180" spans="3:6" x14ac:dyDescent="0.25">
      <c r="C180" s="72"/>
      <c r="F180" s="681"/>
    </row>
    <row r="181" spans="3:6" x14ac:dyDescent="0.25">
      <c r="C181" s="72"/>
      <c r="F181" s="681"/>
    </row>
    <row r="182" spans="3:6" x14ac:dyDescent="0.25">
      <c r="C182" s="72"/>
      <c r="F182" s="681"/>
    </row>
    <row r="183" spans="3:6" x14ac:dyDescent="0.25">
      <c r="C183" s="72"/>
      <c r="F183" s="681"/>
    </row>
    <row r="184" spans="3:6" x14ac:dyDescent="0.25">
      <c r="C184" s="72"/>
      <c r="F184" s="681"/>
    </row>
    <row r="185" spans="3:6" x14ac:dyDescent="0.25">
      <c r="C185" s="72"/>
      <c r="F185" s="681"/>
    </row>
    <row r="186" spans="3:6" x14ac:dyDescent="0.25">
      <c r="C186" s="72"/>
      <c r="F186" s="681"/>
    </row>
    <row r="187" spans="3:6" x14ac:dyDescent="0.25">
      <c r="F187" s="681"/>
    </row>
    <row r="188" spans="3:6" x14ac:dyDescent="0.25">
      <c r="F188" s="681"/>
    </row>
    <row r="189" spans="3:6" x14ac:dyDescent="0.25">
      <c r="F189" s="681"/>
    </row>
    <row r="190" spans="3:6" x14ac:dyDescent="0.25">
      <c r="F190" s="681"/>
    </row>
    <row r="191" spans="3:6" x14ac:dyDescent="0.25">
      <c r="F191" s="681"/>
    </row>
    <row r="192" spans="3:6" x14ac:dyDescent="0.25">
      <c r="F192" s="681"/>
    </row>
    <row r="193" spans="2:6" x14ac:dyDescent="0.25">
      <c r="B193" s="70"/>
      <c r="C193" s="70"/>
      <c r="D193" s="70"/>
      <c r="F193" s="681"/>
    </row>
    <row r="194" spans="2:6" x14ac:dyDescent="0.25">
      <c r="B194" s="69"/>
      <c r="C194" s="69"/>
      <c r="D194" s="69"/>
      <c r="F194" s="681"/>
    </row>
    <row r="195" spans="2:6" x14ac:dyDescent="0.25">
      <c r="B195" s="69"/>
      <c r="C195" s="69"/>
      <c r="D195" s="69"/>
      <c r="F195" s="681"/>
    </row>
    <row r="196" spans="2:6" x14ac:dyDescent="0.25">
      <c r="B196" s="69"/>
      <c r="C196" s="69"/>
      <c r="D196" s="69"/>
      <c r="F196" s="681"/>
    </row>
    <row r="197" spans="2:6" x14ac:dyDescent="0.25">
      <c r="B197" s="69"/>
      <c r="C197" s="69"/>
      <c r="D197" s="69"/>
      <c r="F197" s="681"/>
    </row>
    <row r="198" spans="2:6" x14ac:dyDescent="0.25">
      <c r="B198" s="69"/>
      <c r="C198" s="69"/>
      <c r="D198" s="69"/>
      <c r="F198" s="681"/>
    </row>
    <row r="199" spans="2:6" x14ac:dyDescent="0.25">
      <c r="B199" s="69"/>
      <c r="C199" s="69"/>
      <c r="D199" s="69"/>
      <c r="F199" s="681"/>
    </row>
    <row r="200" spans="2:6" x14ac:dyDescent="0.25">
      <c r="B200" s="69"/>
      <c r="C200" s="69"/>
      <c r="D200" s="69"/>
      <c r="F200" s="681"/>
    </row>
    <row r="201" spans="2:6" x14ac:dyDescent="0.25">
      <c r="B201" s="69"/>
      <c r="C201" s="69"/>
      <c r="D201" s="69"/>
      <c r="F201" s="681"/>
    </row>
    <row r="202" spans="2:6" x14ac:dyDescent="0.25">
      <c r="B202" s="69"/>
      <c r="C202" s="69"/>
      <c r="D202" s="69"/>
      <c r="F202" s="681"/>
    </row>
    <row r="203" spans="2:6" x14ac:dyDescent="0.25">
      <c r="B203" s="69"/>
      <c r="C203" s="69"/>
      <c r="D203" s="69"/>
      <c r="F203" s="681"/>
    </row>
    <row r="204" spans="2:6" x14ac:dyDescent="0.25">
      <c r="B204" s="69"/>
      <c r="C204" s="69"/>
      <c r="D204" s="69"/>
      <c r="F204" s="681"/>
    </row>
    <row r="205" spans="2:6" x14ac:dyDescent="0.25">
      <c r="B205" s="69"/>
      <c r="C205" s="69"/>
      <c r="D205" s="69"/>
      <c r="F205" s="681"/>
    </row>
    <row r="206" spans="2:6" x14ac:dyDescent="0.25">
      <c r="B206" s="69"/>
      <c r="C206" s="69"/>
      <c r="D206" s="69"/>
      <c r="F206" s="681"/>
    </row>
    <row r="207" spans="2:6" x14ac:dyDescent="0.25">
      <c r="B207" s="69"/>
      <c r="C207" s="69"/>
      <c r="D207" s="69"/>
      <c r="F207" s="681"/>
    </row>
    <row r="208" spans="2:6" x14ac:dyDescent="0.25">
      <c r="F208" s="681"/>
    </row>
    <row r="209" spans="6:6" x14ac:dyDescent="0.25">
      <c r="F209" s="681"/>
    </row>
    <row r="210" spans="6:6" x14ac:dyDescent="0.25">
      <c r="F210" s="681"/>
    </row>
    <row r="211" spans="6:6" x14ac:dyDescent="0.25">
      <c r="F211" s="681"/>
    </row>
    <row r="212" spans="6:6" x14ac:dyDescent="0.25">
      <c r="F212" s="681"/>
    </row>
    <row r="213" spans="6:6" x14ac:dyDescent="0.25">
      <c r="F213" s="681"/>
    </row>
    <row r="214" spans="6:6" x14ac:dyDescent="0.25">
      <c r="F214" s="681"/>
    </row>
    <row r="215" spans="6:6" x14ac:dyDescent="0.25">
      <c r="F215" s="681"/>
    </row>
    <row r="216" spans="6:6" x14ac:dyDescent="0.25">
      <c r="F216" s="681"/>
    </row>
    <row r="217" spans="6:6" x14ac:dyDescent="0.25">
      <c r="F217" s="681"/>
    </row>
    <row r="218" spans="6:6" x14ac:dyDescent="0.25">
      <c r="F218" s="681"/>
    </row>
    <row r="219" spans="6:6" x14ac:dyDescent="0.25">
      <c r="F219" s="681"/>
    </row>
    <row r="220" spans="6:6" x14ac:dyDescent="0.25">
      <c r="F220" s="681"/>
    </row>
    <row r="221" spans="6:6" x14ac:dyDescent="0.25">
      <c r="F221" s="681"/>
    </row>
    <row r="222" spans="6:6" x14ac:dyDescent="0.25">
      <c r="F222" s="681"/>
    </row>
    <row r="223" spans="6:6" x14ac:dyDescent="0.25">
      <c r="F223" s="681"/>
    </row>
    <row r="224" spans="6:6" x14ac:dyDescent="0.25">
      <c r="F224" s="681"/>
    </row>
    <row r="225" spans="6:6" x14ac:dyDescent="0.25">
      <c r="F225" s="681"/>
    </row>
    <row r="226" spans="6:6" x14ac:dyDescent="0.25">
      <c r="F226" s="681"/>
    </row>
    <row r="227" spans="6:6" x14ac:dyDescent="0.25">
      <c r="F227" s="681"/>
    </row>
    <row r="228" spans="6:6" x14ac:dyDescent="0.25">
      <c r="F228" s="681"/>
    </row>
    <row r="229" spans="6:6" x14ac:dyDescent="0.25">
      <c r="F229" s="681"/>
    </row>
    <row r="230" spans="6:6" x14ac:dyDescent="0.25">
      <c r="F230" s="681"/>
    </row>
    <row r="231" spans="6:6" x14ac:dyDescent="0.25">
      <c r="F231" s="681"/>
    </row>
    <row r="232" spans="6:6" x14ac:dyDescent="0.25">
      <c r="F232" s="681"/>
    </row>
    <row r="233" spans="6:6" x14ac:dyDescent="0.25">
      <c r="F233" s="681"/>
    </row>
    <row r="234" spans="6:6" x14ac:dyDescent="0.25">
      <c r="F234" s="681"/>
    </row>
    <row r="235" spans="6:6" x14ac:dyDescent="0.25">
      <c r="F235" s="681"/>
    </row>
    <row r="236" spans="6:6" x14ac:dyDescent="0.25">
      <c r="F236" s="681"/>
    </row>
    <row r="237" spans="6:6" x14ac:dyDescent="0.25">
      <c r="F237" s="681"/>
    </row>
    <row r="238" spans="6:6" x14ac:dyDescent="0.25">
      <c r="F238" s="681"/>
    </row>
    <row r="239" spans="6:6" x14ac:dyDescent="0.25">
      <c r="F239" s="681"/>
    </row>
    <row r="240" spans="6:6" x14ac:dyDescent="0.25">
      <c r="F240" s="681"/>
    </row>
    <row r="241" spans="6:6" x14ac:dyDescent="0.25">
      <c r="F241" s="681"/>
    </row>
    <row r="242" spans="6:6" x14ac:dyDescent="0.25">
      <c r="F242" s="681"/>
    </row>
    <row r="243" spans="6:6" x14ac:dyDescent="0.25">
      <c r="F243" s="681"/>
    </row>
    <row r="244" spans="6:6" x14ac:dyDescent="0.25">
      <c r="F244" s="681"/>
    </row>
    <row r="245" spans="6:6" x14ac:dyDescent="0.25">
      <c r="F245" s="681"/>
    </row>
    <row r="246" spans="6:6" x14ac:dyDescent="0.25">
      <c r="F246" s="681"/>
    </row>
    <row r="247" spans="6:6" x14ac:dyDescent="0.25">
      <c r="F247" s="681"/>
    </row>
    <row r="248" spans="6:6" x14ac:dyDescent="0.25">
      <c r="F248" s="681"/>
    </row>
    <row r="249" spans="6:6" x14ac:dyDescent="0.25">
      <c r="F249" s="681"/>
    </row>
    <row r="250" spans="6:6" x14ac:dyDescent="0.25">
      <c r="F250" s="681"/>
    </row>
    <row r="251" spans="6:6" x14ac:dyDescent="0.25">
      <c r="F251" s="681"/>
    </row>
    <row r="252" spans="6:6" x14ac:dyDescent="0.25">
      <c r="F252" s="681"/>
    </row>
    <row r="253" spans="6:6" x14ac:dyDescent="0.25">
      <c r="F253" s="681"/>
    </row>
    <row r="254" spans="6:6" x14ac:dyDescent="0.25">
      <c r="F254" s="681"/>
    </row>
    <row r="255" spans="6:6" x14ac:dyDescent="0.25">
      <c r="F255" s="681"/>
    </row>
    <row r="256" spans="6:6" x14ac:dyDescent="0.25">
      <c r="F256" s="681"/>
    </row>
    <row r="257" spans="6:6" x14ac:dyDescent="0.25">
      <c r="F257" s="681"/>
    </row>
    <row r="258" spans="6:6" x14ac:dyDescent="0.25">
      <c r="F258" s="681"/>
    </row>
    <row r="259" spans="6:6" x14ac:dyDescent="0.25">
      <c r="F259" s="681"/>
    </row>
    <row r="260" spans="6:6" x14ac:dyDescent="0.25">
      <c r="F260" s="681"/>
    </row>
    <row r="261" spans="6:6" x14ac:dyDescent="0.25">
      <c r="F261" s="681"/>
    </row>
    <row r="262" spans="6:6" x14ac:dyDescent="0.25">
      <c r="F262" s="681"/>
    </row>
    <row r="263" spans="6:6" x14ac:dyDescent="0.25">
      <c r="F263" s="681"/>
    </row>
    <row r="264" spans="6:6" x14ac:dyDescent="0.25">
      <c r="F264" s="681"/>
    </row>
    <row r="265" spans="6:6" x14ac:dyDescent="0.25">
      <c r="F265" s="681"/>
    </row>
    <row r="266" spans="6:6" x14ac:dyDescent="0.25">
      <c r="F266" s="681"/>
    </row>
    <row r="267" spans="6:6" x14ac:dyDescent="0.25">
      <c r="F267" s="681"/>
    </row>
    <row r="268" spans="6:6" x14ac:dyDescent="0.25">
      <c r="F268" s="681"/>
    </row>
    <row r="269" spans="6:6" x14ac:dyDescent="0.25">
      <c r="F269" s="681"/>
    </row>
    <row r="270" spans="6:6" x14ac:dyDescent="0.25">
      <c r="F270" s="681"/>
    </row>
    <row r="271" spans="6:6" x14ac:dyDescent="0.25">
      <c r="F271" s="681"/>
    </row>
    <row r="272" spans="6:6" x14ac:dyDescent="0.25">
      <c r="F272" s="681"/>
    </row>
    <row r="273" spans="6:6" x14ac:dyDescent="0.25">
      <c r="F273" s="681"/>
    </row>
    <row r="274" spans="6:6" x14ac:dyDescent="0.25">
      <c r="F274" s="681"/>
    </row>
    <row r="275" spans="6:6" x14ac:dyDescent="0.25">
      <c r="F275" s="681"/>
    </row>
    <row r="276" spans="6:6" x14ac:dyDescent="0.25">
      <c r="F276" s="681"/>
    </row>
    <row r="277" spans="6:6" x14ac:dyDescent="0.25">
      <c r="F277" s="681"/>
    </row>
    <row r="278" spans="6:6" x14ac:dyDescent="0.25">
      <c r="F278" s="681"/>
    </row>
    <row r="279" spans="6:6" x14ac:dyDescent="0.25">
      <c r="F279" s="681"/>
    </row>
    <row r="280" spans="6:6" x14ac:dyDescent="0.25">
      <c r="F280" s="681"/>
    </row>
    <row r="281" spans="6:6" x14ac:dyDescent="0.25">
      <c r="F281" s="681"/>
    </row>
    <row r="282" spans="6:6" x14ac:dyDescent="0.25">
      <c r="F282" s="681"/>
    </row>
    <row r="283" spans="6:6" x14ac:dyDescent="0.25">
      <c r="F283" s="681"/>
    </row>
    <row r="284" spans="6:6" x14ac:dyDescent="0.25">
      <c r="F284" s="681"/>
    </row>
    <row r="285" spans="6:6" x14ac:dyDescent="0.25">
      <c r="F285" s="681"/>
    </row>
    <row r="286" spans="6:6" x14ac:dyDescent="0.25">
      <c r="F286" s="681"/>
    </row>
    <row r="287" spans="6:6" x14ac:dyDescent="0.25">
      <c r="F287" s="681"/>
    </row>
    <row r="288" spans="6:6" x14ac:dyDescent="0.25">
      <c r="F288" s="681"/>
    </row>
    <row r="289" spans="6:6" x14ac:dyDescent="0.25">
      <c r="F289" s="681"/>
    </row>
    <row r="290" spans="6:6" x14ac:dyDescent="0.25">
      <c r="F290" s="681"/>
    </row>
    <row r="291" spans="6:6" x14ac:dyDescent="0.25">
      <c r="F291" s="681"/>
    </row>
    <row r="292" spans="6:6" x14ac:dyDescent="0.25">
      <c r="F292" s="681"/>
    </row>
    <row r="293" spans="6:6" x14ac:dyDescent="0.25">
      <c r="F293" s="681"/>
    </row>
    <row r="294" spans="6:6" x14ac:dyDescent="0.25">
      <c r="F294" s="681"/>
    </row>
    <row r="295" spans="6:6" x14ac:dyDescent="0.25">
      <c r="F295" s="681"/>
    </row>
    <row r="296" spans="6:6" x14ac:dyDescent="0.25">
      <c r="F296" s="681"/>
    </row>
    <row r="297" spans="6:6" x14ac:dyDescent="0.25">
      <c r="F297" s="681"/>
    </row>
    <row r="298" spans="6:6" x14ac:dyDescent="0.25">
      <c r="F298" s="681"/>
    </row>
    <row r="299" spans="6:6" x14ac:dyDescent="0.25">
      <c r="F299" s="681"/>
    </row>
    <row r="300" spans="6:6" x14ac:dyDescent="0.25">
      <c r="F300" s="681"/>
    </row>
    <row r="301" spans="6:6" x14ac:dyDescent="0.25">
      <c r="F301" s="681"/>
    </row>
    <row r="302" spans="6:6" x14ac:dyDescent="0.25">
      <c r="F302" s="681"/>
    </row>
    <row r="303" spans="6:6" x14ac:dyDescent="0.25">
      <c r="F303" s="681"/>
    </row>
    <row r="304" spans="6:6" x14ac:dyDescent="0.25">
      <c r="F304" s="94"/>
    </row>
    <row r="305" spans="6:6" x14ac:dyDescent="0.25">
      <c r="F305" s="94"/>
    </row>
    <row r="306" spans="6:6" x14ac:dyDescent="0.25">
      <c r="F306" s="94"/>
    </row>
    <row r="307" spans="6:6" x14ac:dyDescent="0.25">
      <c r="F307" s="94"/>
    </row>
    <row r="308" spans="6:6" x14ac:dyDescent="0.25">
      <c r="F308" s="94"/>
    </row>
    <row r="309" spans="6:6" x14ac:dyDescent="0.25">
      <c r="F309" s="94"/>
    </row>
    <row r="310" spans="6:6" x14ac:dyDescent="0.25">
      <c r="F310" s="94"/>
    </row>
    <row r="311" spans="6:6" x14ac:dyDescent="0.25">
      <c r="F311" s="94"/>
    </row>
    <row r="312" spans="6:6" x14ac:dyDescent="0.25">
      <c r="F312" s="94"/>
    </row>
    <row r="313" spans="6:6" x14ac:dyDescent="0.25">
      <c r="F313" s="94"/>
    </row>
    <row r="314" spans="6:6" x14ac:dyDescent="0.25">
      <c r="F314" s="94"/>
    </row>
    <row r="315" spans="6:6" x14ac:dyDescent="0.25">
      <c r="F315" s="94"/>
    </row>
    <row r="316" spans="6:6" x14ac:dyDescent="0.25">
      <c r="F316" s="94"/>
    </row>
    <row r="317" spans="6:6" x14ac:dyDescent="0.25">
      <c r="F317" s="94"/>
    </row>
    <row r="318" spans="6:6" x14ac:dyDescent="0.25">
      <c r="F318" s="94"/>
    </row>
  </sheetData>
  <sheetProtection formatRows="0"/>
  <mergeCells count="12">
    <mergeCell ref="A164:A169"/>
    <mergeCell ref="B144:B161"/>
    <mergeCell ref="B164:B168"/>
    <mergeCell ref="A11:A83"/>
    <mergeCell ref="B11:B25"/>
    <mergeCell ref="B27:B44"/>
    <mergeCell ref="B46:B62"/>
    <mergeCell ref="B85:B102"/>
    <mergeCell ref="B64:B82"/>
    <mergeCell ref="A85:A162"/>
    <mergeCell ref="B124:B142"/>
    <mergeCell ref="B104:B122"/>
  </mergeCells>
  <conditionalFormatting sqref="L11:L25 L27:L44 L46:L62 L64:L82 L85:L102 L104:L122 L124:L142 L144:L161 L164:L168">
    <cfRule type="expression" dxfId="157" priority="4">
      <formula>INDIRECT("L"&amp;ROW())="WATCH"</formula>
    </cfRule>
    <cfRule type="expression" dxfId="156" priority="5">
      <formula>INDIRECT("L"&amp;ROW())="STOP"</formula>
    </cfRule>
    <cfRule type="expression" dxfId="155" priority="6">
      <formula>INDIRECT("L"&amp;ROW())="NORMAL"</formula>
    </cfRule>
  </conditionalFormatting>
  <printOptions horizontalCentered="1"/>
  <pageMargins left="0.70866141732283472" right="0.70866141732283472" top="0.74803149606299213" bottom="0.74803149606299213" header="0.31496062992125984" footer="0.31496062992125984"/>
  <pageSetup paperSize="9"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GroupBranchSubTotal">
                <anchor moveWithCells="1" sizeWithCells="1">
                  <from>
                    <xdr:col>2</xdr:col>
                    <xdr:colOff>7620</xdr:colOff>
                    <xdr:row>3</xdr:row>
                    <xdr:rowOff>22860</xdr:rowOff>
                  </from>
                  <to>
                    <xdr:col>2</xdr:col>
                    <xdr:colOff>1021080</xdr:colOff>
                    <xdr:row>5</xdr:row>
                    <xdr:rowOff>152400</xdr:rowOff>
                  </to>
                </anchor>
              </controlPr>
            </control>
          </mc:Choice>
        </mc:AlternateContent>
        <mc:AlternateContent xmlns:mc="http://schemas.openxmlformats.org/markup-compatibility/2006">
          <mc:Choice Requires="x14">
            <control shapeId="8205" r:id="rId5" name="Button 13">
              <controlPr defaultSize="0" print="0" autoFill="0" autoPict="0" macro="[0]!GroupTeamSubTotal">
                <anchor moveWithCells="1" sizeWithCells="1">
                  <from>
                    <xdr:col>2</xdr:col>
                    <xdr:colOff>1127760</xdr:colOff>
                    <xdr:row>3</xdr:row>
                    <xdr:rowOff>7620</xdr:rowOff>
                  </from>
                  <to>
                    <xdr:col>3</xdr:col>
                    <xdr:colOff>861060</xdr:colOff>
                    <xdr:row>5</xdr:row>
                    <xdr:rowOff>144780</xdr:rowOff>
                  </to>
                </anchor>
              </controlPr>
            </control>
          </mc:Choice>
        </mc:AlternateContent>
        <mc:AlternateContent xmlns:mc="http://schemas.openxmlformats.org/markup-compatibility/2006">
          <mc:Choice Requires="x14">
            <control shapeId="8206" r:id="rId6" name="Button 14">
              <controlPr defaultSize="0" print="0" autoFill="0" autoPict="0" macro="[0]!All_OLP">
                <anchor moveWithCells="1" sizeWithCells="1">
                  <from>
                    <xdr:col>3</xdr:col>
                    <xdr:colOff>982980</xdr:colOff>
                    <xdr:row>3</xdr:row>
                    <xdr:rowOff>7620</xdr:rowOff>
                  </from>
                  <to>
                    <xdr:col>4</xdr:col>
                    <xdr:colOff>762000</xdr:colOff>
                    <xdr:row>5</xdr:row>
                    <xdr:rowOff>137160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rgb="FF008C53"/>
    <pageSetUpPr fitToPage="1"/>
  </sheetPr>
  <dimension ref="A2:AC54"/>
  <sheetViews>
    <sheetView view="pageBreakPreview" topLeftCell="A4" zoomScale="77" zoomScaleNormal="77" zoomScaleSheetLayoutView="77" workbookViewId="0">
      <selection activeCell="D34" sqref="D34"/>
    </sheetView>
  </sheetViews>
  <sheetFormatPr defaultColWidth="9.109375" defaultRowHeight="13.2" x14ac:dyDescent="0.25"/>
  <cols>
    <col min="1" max="1" width="14.6640625" customWidth="1"/>
    <col min="2" max="2" width="17.44140625" customWidth="1"/>
    <col min="3" max="3" width="16.6640625" bestFit="1" customWidth="1"/>
    <col min="4" max="4" width="8.6640625" style="61" customWidth="1"/>
    <col min="5" max="5" width="8.5546875" customWidth="1"/>
    <col min="6" max="6" width="9" bestFit="1" customWidth="1"/>
    <col min="7" max="7" width="19.33203125" customWidth="1"/>
    <col min="8" max="8" width="17.33203125" customWidth="1"/>
    <col min="23" max="23" width="32.5546875" customWidth="1"/>
    <col min="24" max="24" width="15" customWidth="1"/>
  </cols>
  <sheetData>
    <row r="2" spans="1:29" ht="16.8" x14ac:dyDescent="0.3">
      <c r="A2" s="207"/>
      <c r="E2" s="52" t="s">
        <v>72</v>
      </c>
      <c r="F2" s="52"/>
    </row>
    <row r="5" spans="1:29" x14ac:dyDescent="0.25">
      <c r="A5" s="207"/>
      <c r="E5" s="47" t="s">
        <v>65</v>
      </c>
      <c r="F5" s="47"/>
      <c r="I5" s="866" t="str">
        <f>TEXT(Parameters!B15,"MMMM")</f>
        <v>November</v>
      </c>
      <c r="J5" s="866"/>
    </row>
    <row r="6" spans="1:29" x14ac:dyDescent="0.25">
      <c r="A6" s="207"/>
      <c r="E6" t="s">
        <v>73</v>
      </c>
      <c r="I6" s="865">
        <f>Parameters!B17</f>
        <v>3800000000</v>
      </c>
      <c r="J6" s="865"/>
    </row>
    <row r="7" spans="1:29" x14ac:dyDescent="0.25">
      <c r="A7" s="207"/>
      <c r="W7" s="867" t="s">
        <v>1388</v>
      </c>
      <c r="X7" s="867"/>
      <c r="Y7" s="136"/>
      <c r="Z7" s="136"/>
      <c r="AA7" s="136"/>
      <c r="AB7" s="136"/>
      <c r="AC7" s="136"/>
    </row>
    <row r="8" spans="1:29" x14ac:dyDescent="0.25">
      <c r="A8" s="207"/>
      <c r="W8" s="868"/>
      <c r="X8" s="868"/>
      <c r="Y8" s="136"/>
      <c r="Z8" s="136"/>
      <c r="AA8" s="136"/>
      <c r="AB8" s="136"/>
      <c r="AC8" s="136"/>
    </row>
    <row r="9" spans="1:29" x14ac:dyDescent="0.25">
      <c r="A9" s="207"/>
      <c r="W9" s="137" t="s">
        <v>1403</v>
      </c>
      <c r="X9" s="137" t="s">
        <v>8</v>
      </c>
    </row>
    <row r="10" spans="1:29" x14ac:dyDescent="0.25">
      <c r="A10" s="207"/>
      <c r="W10" s="137" t="s">
        <v>1389</v>
      </c>
      <c r="X10" s="537">
        <v>42005</v>
      </c>
    </row>
    <row r="11" spans="1:29" ht="13.8" thickBot="1" x14ac:dyDescent="0.3">
      <c r="A11" s="207"/>
      <c r="W11" s="137" t="s">
        <v>1390</v>
      </c>
      <c r="X11" s="537">
        <v>42030</v>
      </c>
    </row>
    <row r="12" spans="1:29" ht="27" thickBot="1" x14ac:dyDescent="0.3">
      <c r="A12" s="770" t="s">
        <v>8</v>
      </c>
      <c r="B12" s="771" t="s">
        <v>66</v>
      </c>
      <c r="C12" s="772" t="s">
        <v>67</v>
      </c>
      <c r="D12" s="773" t="s">
        <v>427</v>
      </c>
      <c r="E12" s="774" t="s">
        <v>428</v>
      </c>
      <c r="F12" s="775" t="s">
        <v>4121</v>
      </c>
      <c r="G12" s="776" t="s">
        <v>4485</v>
      </c>
      <c r="H12" s="777" t="s">
        <v>5999</v>
      </c>
      <c r="W12" s="137" t="s">
        <v>1391</v>
      </c>
      <c r="X12" s="537">
        <v>42071</v>
      </c>
    </row>
    <row r="13" spans="1:29" x14ac:dyDescent="0.25">
      <c r="A13" s="801"/>
      <c r="B13" s="802"/>
      <c r="C13" s="803"/>
      <c r="D13" s="804"/>
      <c r="E13" s="805"/>
      <c r="F13" s="806"/>
      <c r="G13" s="807"/>
      <c r="H13" s="807"/>
      <c r="W13" s="137" t="s">
        <v>1392</v>
      </c>
      <c r="X13" s="537">
        <v>42097</v>
      </c>
    </row>
    <row r="14" spans="1:29" x14ac:dyDescent="0.25">
      <c r="A14" s="752">
        <v>2</v>
      </c>
      <c r="B14" s="649">
        <f>B13+$I$6/$X$54</f>
        <v>152000000</v>
      </c>
      <c r="C14" s="720">
        <f ca="1">SUMIF('Data-graph'!$E$2:$E$901,A14,Data!$D$2:$D$800)+C13</f>
        <v>46581380</v>
      </c>
      <c r="D14" s="386">
        <v>0.36730000000000002</v>
      </c>
      <c r="E14" s="724">
        <v>0.1173</v>
      </c>
      <c r="F14" s="387">
        <v>3.5799999999999998E-2</v>
      </c>
      <c r="G14" s="726">
        <v>3000000</v>
      </c>
      <c r="H14" s="726">
        <v>3500000</v>
      </c>
      <c r="W14" s="137" t="s">
        <v>1393</v>
      </c>
      <c r="X14" s="537">
        <v>42100</v>
      </c>
    </row>
    <row r="15" spans="1:29" hidden="1" x14ac:dyDescent="0.25">
      <c r="A15" s="753"/>
      <c r="B15" s="334"/>
      <c r="C15" s="720">
        <f ca="1">SUMIF('Data-graph'!$E$2:$E$901,A21,Data!$D$2:$D$800)+C20</f>
        <v>142687758</v>
      </c>
      <c r="D15" s="333"/>
      <c r="E15" s="722">
        <v>6.83E-2</v>
      </c>
      <c r="F15" s="381">
        <v>1.7000000000000001E-2</v>
      </c>
      <c r="G15" s="726">
        <v>45000000</v>
      </c>
      <c r="H15" s="755">
        <v>178850000</v>
      </c>
      <c r="W15" s="137" t="s">
        <v>1394</v>
      </c>
      <c r="X15" s="537">
        <v>42125</v>
      </c>
    </row>
    <row r="16" spans="1:29" x14ac:dyDescent="0.25">
      <c r="A16" s="754">
        <v>3</v>
      </c>
      <c r="B16" s="339">
        <f>B14+$I$6/$X$54</f>
        <v>304000000</v>
      </c>
      <c r="C16" s="719">
        <f ca="1">SUMIF('Data-graph'!$E$2:$E$901,A16,Data!$D$2:$D$800)+C14</f>
        <v>69581380</v>
      </c>
      <c r="D16" s="332">
        <v>0.36730000000000002</v>
      </c>
      <c r="E16" s="723">
        <v>0.1173</v>
      </c>
      <c r="F16" s="340">
        <v>3.5799999999999998E-2</v>
      </c>
      <c r="G16" s="727">
        <v>45000000</v>
      </c>
      <c r="H16" s="727">
        <v>13500000</v>
      </c>
      <c r="W16" s="137" t="s">
        <v>1395</v>
      </c>
      <c r="X16" s="537">
        <v>42158</v>
      </c>
    </row>
    <row r="17" spans="1:24" x14ac:dyDescent="0.25">
      <c r="A17" s="752">
        <v>4</v>
      </c>
      <c r="B17" s="649">
        <f t="shared" ref="B17:B28" si="0">B16+$I$6/$X$54</f>
        <v>456000000</v>
      </c>
      <c r="C17" s="720">
        <f ca="1">SUMIF('Data-graph'!$E$2:$E$901,A17,Data!$D$2:$D$800)+C16</f>
        <v>73581380</v>
      </c>
      <c r="D17" s="386">
        <v>0.44429999999999997</v>
      </c>
      <c r="E17" s="724">
        <v>0.1303</v>
      </c>
      <c r="F17" s="387">
        <v>3.6600000000000001E-2</v>
      </c>
      <c r="G17" s="726">
        <v>99900000</v>
      </c>
      <c r="H17" s="726">
        <v>94500000</v>
      </c>
      <c r="W17" s="137" t="s">
        <v>1396</v>
      </c>
      <c r="X17" s="537">
        <v>42164</v>
      </c>
    </row>
    <row r="18" spans="1:24" x14ac:dyDescent="0.25">
      <c r="A18" s="754">
        <v>6</v>
      </c>
      <c r="B18" s="339">
        <f t="shared" si="0"/>
        <v>608000000</v>
      </c>
      <c r="C18" s="719">
        <f ca="1">SUMIF('Data-graph'!$E$2:$E$901,A18,Data!$D$2:$D$800)+C17</f>
        <v>90581380</v>
      </c>
      <c r="D18" s="341">
        <v>0.4299</v>
      </c>
      <c r="E18" s="723">
        <v>0.13150000000000001</v>
      </c>
      <c r="F18" s="340">
        <v>3.6700000000000003E-2</v>
      </c>
      <c r="G18" s="727">
        <v>104900000</v>
      </c>
      <c r="H18" s="727">
        <v>97950000</v>
      </c>
      <c r="W18" s="137" t="s">
        <v>1397</v>
      </c>
      <c r="X18" s="537">
        <v>42204</v>
      </c>
    </row>
    <row r="19" spans="1:24" x14ac:dyDescent="0.25">
      <c r="A19" s="752">
        <v>7</v>
      </c>
      <c r="B19" s="649">
        <f t="shared" si="0"/>
        <v>760000000</v>
      </c>
      <c r="C19" s="720">
        <f ca="1">SUMIF('Data-graph'!$E$2:$E$901,A19,Data!$D$2:$D$800)+C18</f>
        <v>111187758</v>
      </c>
      <c r="D19" s="742">
        <v>0.43330000000000002</v>
      </c>
      <c r="E19" s="743">
        <v>0.1308</v>
      </c>
      <c r="F19" s="744">
        <v>3.6799999999999999E-2</v>
      </c>
      <c r="G19" s="726">
        <v>167000000</v>
      </c>
      <c r="H19" s="726">
        <v>130950000</v>
      </c>
      <c r="W19" s="137" t="s">
        <v>1398</v>
      </c>
      <c r="X19" s="537">
        <v>42271</v>
      </c>
    </row>
    <row r="20" spans="1:24" x14ac:dyDescent="0.25">
      <c r="A20" s="754">
        <v>8</v>
      </c>
      <c r="B20" s="339">
        <f t="shared" si="0"/>
        <v>912000000</v>
      </c>
      <c r="C20" s="719">
        <f ca="1">SUMIF('Data-graph'!$E$2:$E$901,A20,Data!$D$2:$D$800)+C19</f>
        <v>130687758</v>
      </c>
      <c r="D20" s="341">
        <v>0.41980000000000001</v>
      </c>
      <c r="E20" s="723">
        <v>0.12709999999999999</v>
      </c>
      <c r="F20" s="340">
        <v>3.6700000000000003E-2</v>
      </c>
      <c r="G20" s="727">
        <v>235500000</v>
      </c>
      <c r="H20" s="727">
        <v>130950000</v>
      </c>
      <c r="W20" s="137" t="s">
        <v>1399</v>
      </c>
      <c r="X20" s="537">
        <v>42286</v>
      </c>
    </row>
    <row r="21" spans="1:24" x14ac:dyDescent="0.25">
      <c r="A21" s="752">
        <v>9</v>
      </c>
      <c r="B21" s="649">
        <f t="shared" si="0"/>
        <v>1064000000</v>
      </c>
      <c r="C21" s="720">
        <f ca="1">SUMIF('Data-graph'!$E$2:$E$901,A21,Data!$D$2:$D$800)+C20</f>
        <v>142687758</v>
      </c>
      <c r="D21" s="742">
        <v>0.41980000000000001</v>
      </c>
      <c r="E21" s="743">
        <v>0.12709999999999999</v>
      </c>
      <c r="F21" s="744">
        <v>3.6700000000000003E-2</v>
      </c>
      <c r="G21" s="726">
        <v>378500000</v>
      </c>
      <c r="H21" s="726">
        <v>178850000</v>
      </c>
      <c r="W21" s="137" t="s">
        <v>1400</v>
      </c>
      <c r="X21" s="537">
        <v>42363</v>
      </c>
    </row>
    <row r="22" spans="1:24" x14ac:dyDescent="0.25">
      <c r="A22" s="754">
        <v>10</v>
      </c>
      <c r="B22" s="339">
        <f t="shared" si="0"/>
        <v>1216000000</v>
      </c>
      <c r="C22" s="719">
        <f ca="1">SUMIF('Data-graph'!$E$2:$E$901,A22,Data!$D$2:$D$800)+C21</f>
        <v>152687758</v>
      </c>
      <c r="D22" s="341">
        <v>0.41980000000000001</v>
      </c>
      <c r="E22" s="723">
        <v>0.12709999999999999</v>
      </c>
      <c r="F22" s="340">
        <v>3.6700000000000003E-2</v>
      </c>
      <c r="G22" s="727">
        <v>628348348</v>
      </c>
      <c r="H22" s="727">
        <v>196850000</v>
      </c>
      <c r="W22" s="137" t="s">
        <v>1401</v>
      </c>
      <c r="X22" s="537">
        <v>42364</v>
      </c>
    </row>
    <row r="23" spans="1:24" x14ac:dyDescent="0.25">
      <c r="A23" s="752">
        <v>11</v>
      </c>
      <c r="B23" s="649">
        <f t="shared" si="0"/>
        <v>1368000000</v>
      </c>
      <c r="C23" s="720">
        <f ca="1">SUMIF('Data-graph'!$E$2:$E$901,A23,Data!$D$2:$D$800)+C22</f>
        <v>154687758</v>
      </c>
      <c r="D23" s="386">
        <v>0.42720000000000002</v>
      </c>
      <c r="E23" s="724">
        <v>0.14199999999999999</v>
      </c>
      <c r="F23" s="387">
        <v>4.2000000000000003E-2</v>
      </c>
      <c r="G23" s="726">
        <v>765848348</v>
      </c>
      <c r="H23" s="726">
        <v>249650000</v>
      </c>
      <c r="W23" s="137" t="s">
        <v>1402</v>
      </c>
      <c r="X23" s="537">
        <v>42366</v>
      </c>
    </row>
    <row r="24" spans="1:24" x14ac:dyDescent="0.25">
      <c r="A24" s="754">
        <v>13</v>
      </c>
      <c r="B24" s="339">
        <f t="shared" si="0"/>
        <v>1520000000</v>
      </c>
      <c r="C24" s="719">
        <f ca="1">SUMIF('Data-graph'!$E$2:$E$901,A24,Data!$D$2:$D$800)+C23</f>
        <v>154687758</v>
      </c>
      <c r="D24" s="332">
        <v>0.42720000000000002</v>
      </c>
      <c r="E24" s="721">
        <v>0.14199999999999999</v>
      </c>
      <c r="F24" s="340">
        <v>4.2000000000000003E-2</v>
      </c>
      <c r="G24" s="727">
        <v>765848348</v>
      </c>
      <c r="H24" s="727">
        <v>322650000</v>
      </c>
      <c r="W24" s="137" t="s">
        <v>1665</v>
      </c>
      <c r="X24" s="537">
        <v>42370</v>
      </c>
    </row>
    <row r="25" spans="1:24" x14ac:dyDescent="0.25">
      <c r="A25" s="752">
        <v>14</v>
      </c>
      <c r="B25" s="649">
        <f t="shared" si="0"/>
        <v>1672000000</v>
      </c>
      <c r="C25" s="720">
        <f ca="1">SUMIF('Data-graph'!$E$2:$E$901,A25,Data!$D$2:$D$800)+C24</f>
        <v>154687758</v>
      </c>
      <c r="D25" s="386">
        <v>0.41620000000000001</v>
      </c>
      <c r="E25" s="724">
        <v>0.1421</v>
      </c>
      <c r="F25" s="387">
        <v>4.2099999999999999E-2</v>
      </c>
      <c r="G25" s="726">
        <v>857762882</v>
      </c>
      <c r="H25" s="726">
        <v>335650000</v>
      </c>
      <c r="W25" s="137" t="s">
        <v>1402</v>
      </c>
      <c r="X25" s="537">
        <v>42371</v>
      </c>
    </row>
    <row r="26" spans="1:24" x14ac:dyDescent="0.25">
      <c r="A26" s="754">
        <v>15</v>
      </c>
      <c r="B26" s="339">
        <f t="shared" si="0"/>
        <v>1824000000</v>
      </c>
      <c r="C26" s="719">
        <f ca="1">SUMIF('Data-graph'!$E$2:$E$901,A26,Data!$D$2:$D$800)+C25</f>
        <v>156187758</v>
      </c>
      <c r="D26" s="341">
        <v>0.43309999999999998</v>
      </c>
      <c r="E26" s="723">
        <v>0.1532</v>
      </c>
      <c r="F26" s="340">
        <v>4.53E-2</v>
      </c>
      <c r="G26" s="727">
        <v>897762882</v>
      </c>
      <c r="H26" s="727">
        <v>368650000</v>
      </c>
      <c r="W26" s="137" t="s">
        <v>1390</v>
      </c>
      <c r="X26" s="537">
        <v>42395</v>
      </c>
    </row>
    <row r="27" spans="1:24" x14ac:dyDescent="0.25">
      <c r="A27" s="752">
        <v>16</v>
      </c>
      <c r="B27" s="649">
        <f t="shared" si="0"/>
        <v>1976000000</v>
      </c>
      <c r="C27" s="720">
        <f ca="1">SUMIF('Data-graph'!$E$2:$E$901,A27,Data!$D$2:$D$800)+C26</f>
        <v>176969758</v>
      </c>
      <c r="D27" s="386">
        <v>0.43120000000000003</v>
      </c>
      <c r="E27" s="724">
        <v>0.14990000000000001</v>
      </c>
      <c r="F27" s="387">
        <v>4.6300000000000001E-2</v>
      </c>
      <c r="G27" s="726">
        <v>968762882</v>
      </c>
      <c r="H27" s="726">
        <v>430150000</v>
      </c>
      <c r="W27" s="137" t="s">
        <v>1391</v>
      </c>
      <c r="X27" s="537">
        <v>42437</v>
      </c>
    </row>
    <row r="28" spans="1:24" x14ac:dyDescent="0.25">
      <c r="A28" s="754">
        <v>17</v>
      </c>
      <c r="B28" s="339">
        <f t="shared" si="0"/>
        <v>2128000000</v>
      </c>
      <c r="C28" s="719">
        <f ca="1">SUMIF('Data-graph'!$E$2:$E$901,A28,Data!$D$2:$D$800)+C27</f>
        <v>176969758</v>
      </c>
      <c r="D28" s="341">
        <v>0.42109999999999997</v>
      </c>
      <c r="E28" s="723">
        <v>0.15229999999999999</v>
      </c>
      <c r="F28" s="340">
        <v>4.3099999999999999E-2</v>
      </c>
      <c r="G28" s="727">
        <v>1052762882</v>
      </c>
      <c r="H28" s="727">
        <v>478554000</v>
      </c>
      <c r="W28" s="137" t="s">
        <v>1392</v>
      </c>
      <c r="X28" s="537">
        <v>42454</v>
      </c>
    </row>
    <row r="29" spans="1:24" hidden="1" x14ac:dyDescent="0.25">
      <c r="A29" s="752"/>
      <c r="B29" s="649"/>
      <c r="C29" s="720">
        <f ca="1">SUMIF('Data-graph'!$E$2:$E$901,A29,Data!$D$2:$D$800)+C28</f>
        <v>176969758</v>
      </c>
      <c r="D29" s="650"/>
      <c r="E29" s="723">
        <v>8.8099999999999998E-2</v>
      </c>
      <c r="F29" s="340"/>
      <c r="G29" s="727">
        <v>1227262882</v>
      </c>
      <c r="H29" s="727">
        <v>478554000</v>
      </c>
      <c r="W29" s="137" t="s">
        <v>1393</v>
      </c>
      <c r="X29" s="537">
        <v>42457</v>
      </c>
    </row>
    <row r="30" spans="1:24" x14ac:dyDescent="0.25">
      <c r="A30" s="752">
        <v>18</v>
      </c>
      <c r="B30" s="649">
        <f>B28+$I$6/$X$54</f>
        <v>2280000000</v>
      </c>
      <c r="C30" s="720">
        <f ca="1">SUMIF('Data-graph'!$E$2:$E$901,A30,Data!$D$2:$D$800)+C29</f>
        <v>176969758</v>
      </c>
      <c r="D30" s="386">
        <v>0.44429999999999997</v>
      </c>
      <c r="E30" s="724">
        <v>0.1598</v>
      </c>
      <c r="F30" s="387">
        <v>4.6600000000000003E-2</v>
      </c>
      <c r="G30" s="755">
        <v>1207262882</v>
      </c>
      <c r="H30" s="755">
        <v>568687768</v>
      </c>
      <c r="W30" s="137" t="s">
        <v>1394</v>
      </c>
      <c r="X30" s="537">
        <v>42491</v>
      </c>
    </row>
    <row r="31" spans="1:24" x14ac:dyDescent="0.25">
      <c r="A31" s="754">
        <v>20</v>
      </c>
      <c r="B31" s="339">
        <f>B30+$I$6/$X$54</f>
        <v>2432000000</v>
      </c>
      <c r="C31" s="719">
        <f ca="1">SUMIF('Data-graph'!$E$2:$E$901,A31,Data!$D$2:$D$800)+C30</f>
        <v>176969758</v>
      </c>
      <c r="D31" s="341">
        <v>0.45660000000000001</v>
      </c>
      <c r="E31" s="723">
        <v>0.16350000000000001</v>
      </c>
      <c r="F31" s="340">
        <v>4.7899999999999998E-2</v>
      </c>
      <c r="G31" s="727">
        <v>1207262882</v>
      </c>
      <c r="H31" s="727">
        <v>651787767</v>
      </c>
      <c r="W31" s="137" t="s">
        <v>1395</v>
      </c>
      <c r="X31" s="537">
        <v>42524</v>
      </c>
    </row>
    <row r="32" spans="1:24" x14ac:dyDescent="0.25">
      <c r="A32" s="752">
        <v>21</v>
      </c>
      <c r="B32" s="649">
        <f>B31+$I$6/$X$54</f>
        <v>2584000000</v>
      </c>
      <c r="C32" s="720">
        <f ca="1">SUMIF('Data-graph'!$E$2:$E$901,A32,Data!$D$2:$D$800)+C31</f>
        <v>176969758</v>
      </c>
      <c r="D32" s="386">
        <v>0.45119999999999999</v>
      </c>
      <c r="E32" s="724">
        <v>0.15640000000000001</v>
      </c>
      <c r="F32" s="387">
        <v>4.82E-2</v>
      </c>
      <c r="G32" s="726">
        <v>1427327865</v>
      </c>
      <c r="H32" s="726">
        <v>664787768</v>
      </c>
      <c r="W32" s="137" t="s">
        <v>1396</v>
      </c>
      <c r="X32" s="537">
        <v>42530</v>
      </c>
    </row>
    <row r="33" spans="1:24" x14ac:dyDescent="0.25">
      <c r="A33" s="754">
        <v>22</v>
      </c>
      <c r="B33" s="339">
        <f>B32+$I$6/$X$54</f>
        <v>2736000000</v>
      </c>
      <c r="C33" s="719">
        <f ca="1">SUMIF('Data-graph'!$E$2:$E$901,A33,Data!$D$2:$D$800)+C32</f>
        <v>176969758</v>
      </c>
      <c r="D33" s="341">
        <v>0.44669999999999999</v>
      </c>
      <c r="E33" s="723">
        <v>0.15640000000000001</v>
      </c>
      <c r="F33" s="340">
        <v>4.8500000000000001E-2</v>
      </c>
      <c r="G33" s="727">
        <v>1427327865</v>
      </c>
      <c r="H33" s="727">
        <v>786787768</v>
      </c>
      <c r="W33" s="137" t="s">
        <v>1397</v>
      </c>
      <c r="X33" s="537">
        <v>42557</v>
      </c>
    </row>
    <row r="34" spans="1:24" x14ac:dyDescent="0.25">
      <c r="A34" s="752">
        <v>23</v>
      </c>
      <c r="B34" s="649">
        <f>B33+$I$6/$X$54</f>
        <v>2888000000</v>
      </c>
      <c r="C34" s="720">
        <f ca="1">SUMIF('Data-graph'!$E$2:$E$901,A34,Data!$D$2:$D$800)+C33</f>
        <v>176969758</v>
      </c>
      <c r="D34" s="386">
        <v>0.44519999999999998</v>
      </c>
      <c r="E34" s="724">
        <v>0.14580000000000001</v>
      </c>
      <c r="F34" s="387">
        <v>4.9099999999999998E-2</v>
      </c>
      <c r="G34" s="726">
        <v>1585101675</v>
      </c>
      <c r="H34" s="726">
        <v>840587768</v>
      </c>
      <c r="W34" s="137" t="s">
        <v>1398</v>
      </c>
      <c r="X34" s="537">
        <v>42624</v>
      </c>
    </row>
    <row r="35" spans="1:24" x14ac:dyDescent="0.25">
      <c r="A35" s="754">
        <v>25</v>
      </c>
      <c r="B35" s="339">
        <f>B34+$I$6/$X$54</f>
        <v>3040000000</v>
      </c>
      <c r="C35" s="719">
        <f ca="1">SUMIF('Data-graph'!$E$2:$E$901,A35,Data!$D$2:$D$800)+C34</f>
        <v>176969758</v>
      </c>
      <c r="D35" s="341"/>
      <c r="E35" s="723"/>
      <c r="F35" s="340"/>
      <c r="G35" s="727">
        <v>1661601675</v>
      </c>
      <c r="H35" s="727">
        <v>915072768</v>
      </c>
      <c r="W35" s="137" t="s">
        <v>1399</v>
      </c>
      <c r="X35" s="537">
        <v>42652</v>
      </c>
    </row>
    <row r="36" spans="1:24" hidden="1" x14ac:dyDescent="0.25">
      <c r="A36" s="754"/>
      <c r="B36" s="339"/>
      <c r="C36" s="720">
        <f ca="1">SUMIF('Data-graph'!$E$2:$E$901,A36,Data!$D$2:$D$800)+C35</f>
        <v>176969758</v>
      </c>
      <c r="D36" s="647"/>
      <c r="E36" s="725"/>
      <c r="F36" s="648"/>
      <c r="G36" s="727">
        <v>2169399605</v>
      </c>
      <c r="H36" s="727">
        <v>915072768</v>
      </c>
      <c r="W36" s="137" t="s">
        <v>1400</v>
      </c>
      <c r="X36" s="537">
        <v>42729</v>
      </c>
    </row>
    <row r="37" spans="1:24" x14ac:dyDescent="0.25">
      <c r="A37" s="752">
        <v>27</v>
      </c>
      <c r="B37" s="649">
        <f>B35+$I$6/$X$54</f>
        <v>3192000000</v>
      </c>
      <c r="C37" s="720">
        <f ca="1">SUMIF('Data-graph'!$E$2:$E$901,A37,Data!$D$2:$D$800)+C36</f>
        <v>176969758</v>
      </c>
      <c r="D37" s="386"/>
      <c r="E37" s="724"/>
      <c r="F37" s="387"/>
      <c r="G37" s="726">
        <v>1812772605</v>
      </c>
      <c r="H37" s="726">
        <v>958072768</v>
      </c>
      <c r="W37" s="137" t="s">
        <v>1401</v>
      </c>
      <c r="X37" s="537">
        <v>42730</v>
      </c>
    </row>
    <row r="38" spans="1:24" x14ac:dyDescent="0.25">
      <c r="A38" s="754">
        <v>28</v>
      </c>
      <c r="B38" s="339">
        <f>B37+$I$6/$X$54</f>
        <v>3344000000</v>
      </c>
      <c r="C38" s="719">
        <f ca="1">SUMIF('Data-graph'!$E$2:$E$901,A38,Data!$D$2:$D$800)+C37</f>
        <v>176969758</v>
      </c>
      <c r="D38" s="341"/>
      <c r="E38" s="723"/>
      <c r="F38" s="340"/>
      <c r="G38" s="727">
        <v>1964399605</v>
      </c>
      <c r="H38" s="727">
        <v>1015572768</v>
      </c>
      <c r="W38" s="137" t="s">
        <v>1402</v>
      </c>
      <c r="X38" s="537">
        <v>42731</v>
      </c>
    </row>
    <row r="39" spans="1:24" x14ac:dyDescent="0.25">
      <c r="A39" s="752">
        <v>29</v>
      </c>
      <c r="B39" s="649">
        <f>B38+$I$6/$X$54</f>
        <v>3496000000</v>
      </c>
      <c r="C39" s="720">
        <f ca="1">SUMIF('Data-graph'!$E$2:$E$901,A39,Data!$D$2:$D$800)+C38</f>
        <v>176969758</v>
      </c>
      <c r="D39" s="718"/>
      <c r="E39" s="724"/>
      <c r="F39" s="387"/>
      <c r="G39" s="726">
        <v>2013899605</v>
      </c>
      <c r="H39" s="726">
        <v>1057572768</v>
      </c>
      <c r="W39" s="137" t="s">
        <v>4045</v>
      </c>
      <c r="X39" s="537">
        <v>42736</v>
      </c>
    </row>
    <row r="40" spans="1:24" x14ac:dyDescent="0.25">
      <c r="A40" s="754">
        <v>30</v>
      </c>
      <c r="B40" s="339">
        <f>B39+$I$6/$X$54</f>
        <v>3648000000</v>
      </c>
      <c r="C40" s="719">
        <f ca="1">SUMIF('Data-graph'!$E$2:$E$901,A40,Data!$D$2:$D$800)+C39</f>
        <v>176969758</v>
      </c>
      <c r="D40" s="769"/>
      <c r="E40" s="723"/>
      <c r="F40" s="340"/>
      <c r="G40" s="727">
        <v>2013899605</v>
      </c>
      <c r="H40" s="727">
        <v>1057572768</v>
      </c>
      <c r="W40" s="137" t="s">
        <v>1390</v>
      </c>
      <c r="X40" s="537">
        <v>42761</v>
      </c>
    </row>
    <row r="41" spans="1:24" ht="13.8" thickBot="1" x14ac:dyDescent="0.3">
      <c r="A41" s="787">
        <v>30</v>
      </c>
      <c r="B41" s="824">
        <f>B40+$I$6/$X$54</f>
        <v>3800000000</v>
      </c>
      <c r="C41" s="720">
        <f ca="1">SUMIF('Data-graph'!$E$2:$E$901,A41,Data!$D$2:$D$800)+C40</f>
        <v>176969758</v>
      </c>
      <c r="D41" s="788"/>
      <c r="E41" s="789"/>
      <c r="F41" s="790"/>
      <c r="G41" s="791">
        <v>2863446816</v>
      </c>
      <c r="H41" s="791">
        <v>1157272768</v>
      </c>
      <c r="W41" s="137" t="s">
        <v>4881</v>
      </c>
      <c r="X41" s="537">
        <v>42782</v>
      </c>
    </row>
    <row r="42" spans="1:24" x14ac:dyDescent="0.25">
      <c r="C42" s="823"/>
      <c r="W42" s="137" t="s">
        <v>5397</v>
      </c>
      <c r="X42" s="537">
        <v>42802</v>
      </c>
    </row>
    <row r="43" spans="1:24" x14ac:dyDescent="0.25">
      <c r="W43" s="137" t="s">
        <v>1392</v>
      </c>
      <c r="X43" s="537">
        <v>42839</v>
      </c>
    </row>
    <row r="44" spans="1:24" x14ac:dyDescent="0.25">
      <c r="W44" s="137" t="s">
        <v>1393</v>
      </c>
      <c r="X44" s="537">
        <v>42842</v>
      </c>
    </row>
    <row r="45" spans="1:24" x14ac:dyDescent="0.25">
      <c r="W45" s="137" t="s">
        <v>1394</v>
      </c>
      <c r="X45" s="537">
        <v>42856</v>
      </c>
    </row>
    <row r="46" spans="1:24" x14ac:dyDescent="0.25">
      <c r="W46" s="137" t="s">
        <v>3690</v>
      </c>
      <c r="X46" s="537">
        <v>42889</v>
      </c>
    </row>
    <row r="47" spans="1:24" x14ac:dyDescent="0.25">
      <c r="W47" s="137" t="s">
        <v>3691</v>
      </c>
      <c r="X47" s="537">
        <v>42895</v>
      </c>
    </row>
    <row r="48" spans="1:24" x14ac:dyDescent="0.25">
      <c r="W48" s="137" t="s">
        <v>3692</v>
      </c>
      <c r="X48" s="537">
        <v>42912</v>
      </c>
    </row>
    <row r="49" spans="23:24" x14ac:dyDescent="0.25">
      <c r="W49" s="137" t="s">
        <v>3693</v>
      </c>
      <c r="X49" s="537">
        <v>42979</v>
      </c>
    </row>
    <row r="50" spans="23:24" x14ac:dyDescent="0.25">
      <c r="W50" s="137" t="s">
        <v>1399</v>
      </c>
      <c r="X50" s="537">
        <v>43017</v>
      </c>
    </row>
    <row r="51" spans="23:24" x14ac:dyDescent="0.25">
      <c r="W51" s="137" t="s">
        <v>3694</v>
      </c>
      <c r="X51" s="537">
        <v>43092</v>
      </c>
    </row>
    <row r="52" spans="23:24" x14ac:dyDescent="0.25">
      <c r="W52" s="137" t="s">
        <v>1400</v>
      </c>
      <c r="X52" s="537">
        <v>43094</v>
      </c>
    </row>
    <row r="53" spans="23:24" x14ac:dyDescent="0.25">
      <c r="W53" s="137" t="s">
        <v>1401</v>
      </c>
      <c r="X53" s="537">
        <v>43095</v>
      </c>
    </row>
    <row r="54" spans="23:24" x14ac:dyDescent="0.25">
      <c r="W54" s="135" t="s">
        <v>1404</v>
      </c>
      <c r="X54" s="138">
        <f>COUNT($A$13:$A$42)</f>
        <v>25</v>
      </c>
    </row>
  </sheetData>
  <sheetProtection formatRows="0"/>
  <mergeCells count="3">
    <mergeCell ref="I6:J6"/>
    <mergeCell ref="I5:J5"/>
    <mergeCell ref="W7:X8"/>
  </mergeCells>
  <printOptions horizontalCentered="1"/>
  <pageMargins left="0.70866141732283472" right="0.70866141732283472" top="0.74803149606299213" bottom="0.74803149606299213" header="0.31496062992125984" footer="0.31496062992125984"/>
  <pageSetup paperSize="9" scale="58" orientation="landscape"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Q798"/>
  <sheetViews>
    <sheetView workbookViewId="0">
      <selection sqref="A1:Q1"/>
    </sheetView>
  </sheetViews>
  <sheetFormatPr defaultColWidth="9.109375" defaultRowHeight="13.2" x14ac:dyDescent="0.25"/>
  <cols>
    <col min="1" max="1" width="8.6640625" customWidth="1"/>
    <col min="2" max="2" width="14.6640625" style="825" customWidth="1"/>
    <col min="3" max="3" width="16.6640625" style="825" customWidth="1"/>
    <col min="4" max="5" width="20.6640625" style="126" customWidth="1"/>
    <col min="6" max="8" width="8.6640625" style="825" customWidth="1"/>
    <col min="9" max="10" width="12.6640625" style="825" customWidth="1"/>
    <col min="11" max="11" width="26.6640625" style="825" customWidth="1"/>
    <col min="12" max="14" width="16.6640625" style="825" customWidth="1"/>
    <col min="15" max="16" width="40.6640625" style="825" customWidth="1"/>
    <col min="17" max="17" width="45.6640625" style="825" customWidth="1"/>
  </cols>
  <sheetData>
    <row r="1" spans="1:17" ht="26.4" x14ac:dyDescent="0.25">
      <c r="A1" s="15" t="s">
        <v>11</v>
      </c>
      <c r="B1" s="15" t="s">
        <v>12</v>
      </c>
      <c r="C1" s="15" t="s">
        <v>13</v>
      </c>
      <c r="D1" s="124" t="s">
        <v>14</v>
      </c>
      <c r="E1" s="124" t="s">
        <v>15</v>
      </c>
      <c r="F1" s="15" t="s">
        <v>16</v>
      </c>
      <c r="G1" s="15" t="s">
        <v>17</v>
      </c>
      <c r="H1" s="15" t="s">
        <v>18</v>
      </c>
      <c r="I1" s="15" t="s">
        <v>19</v>
      </c>
      <c r="J1" s="15" t="s">
        <v>20</v>
      </c>
      <c r="K1" s="15" t="s">
        <v>21</v>
      </c>
      <c r="L1" s="15" t="s">
        <v>22</v>
      </c>
      <c r="M1" s="15" t="s">
        <v>23</v>
      </c>
      <c r="N1" s="15" t="s">
        <v>24</v>
      </c>
      <c r="O1" s="15" t="s">
        <v>2254</v>
      </c>
      <c r="P1" s="15"/>
      <c r="Q1" s="15"/>
    </row>
    <row r="2" spans="1:17" x14ac:dyDescent="0.25">
      <c r="A2" s="11">
        <v>103457</v>
      </c>
      <c r="B2" s="12" t="s">
        <v>6016</v>
      </c>
      <c r="C2" s="12" t="s">
        <v>2807</v>
      </c>
      <c r="D2" s="125">
        <v>4000000</v>
      </c>
      <c r="E2" s="125">
        <v>4000000</v>
      </c>
      <c r="F2" s="12">
        <v>54</v>
      </c>
      <c r="G2" s="12">
        <v>180</v>
      </c>
      <c r="H2" s="12">
        <v>0</v>
      </c>
      <c r="I2" s="13">
        <v>43048.461907210651</v>
      </c>
      <c r="J2" s="13">
        <v>43352</v>
      </c>
      <c r="K2" s="12" t="s">
        <v>44</v>
      </c>
      <c r="L2" s="12" t="s">
        <v>75</v>
      </c>
      <c r="M2" s="12" t="s">
        <v>1442</v>
      </c>
      <c r="N2" s="12" t="s">
        <v>4684</v>
      </c>
      <c r="O2" s="12" t="s">
        <v>2636</v>
      </c>
      <c r="P2" s="12"/>
      <c r="Q2" s="12"/>
    </row>
    <row r="3" spans="1:17" x14ac:dyDescent="0.25">
      <c r="A3" s="11">
        <v>103454</v>
      </c>
      <c r="B3" s="12" t="s">
        <v>3807</v>
      </c>
      <c r="C3" s="12" t="s">
        <v>1449</v>
      </c>
      <c r="D3" s="125">
        <v>5000000</v>
      </c>
      <c r="E3" s="125">
        <v>5000000</v>
      </c>
      <c r="F3" s="12">
        <v>48</v>
      </c>
      <c r="G3" s="12">
        <v>180</v>
      </c>
      <c r="H3" s="12">
        <v>0</v>
      </c>
      <c r="I3" s="13">
        <v>43041.721432754632</v>
      </c>
      <c r="J3" s="13">
        <v>43406</v>
      </c>
      <c r="K3" s="12" t="s">
        <v>25</v>
      </c>
      <c r="L3" s="12" t="s">
        <v>88</v>
      </c>
      <c r="M3" s="12" t="s">
        <v>285</v>
      </c>
      <c r="N3" s="12" t="s">
        <v>468</v>
      </c>
      <c r="O3" s="12" t="s">
        <v>2856</v>
      </c>
      <c r="P3" s="12"/>
      <c r="Q3" s="12"/>
    </row>
    <row r="4" spans="1:17" x14ac:dyDescent="0.25">
      <c r="A4" s="11">
        <v>103452</v>
      </c>
      <c r="B4" s="12" t="s">
        <v>3939</v>
      </c>
      <c r="C4" s="12" t="s">
        <v>1449</v>
      </c>
      <c r="D4" s="125">
        <v>6800000</v>
      </c>
      <c r="E4" s="125">
        <v>6800000</v>
      </c>
      <c r="F4" s="12">
        <v>48</v>
      </c>
      <c r="G4" s="12">
        <v>180</v>
      </c>
      <c r="H4" s="12">
        <v>0</v>
      </c>
      <c r="I4" s="13">
        <v>43041.432835914355</v>
      </c>
      <c r="J4" s="13">
        <v>43406</v>
      </c>
      <c r="K4" s="12" t="s">
        <v>25</v>
      </c>
      <c r="L4" s="12" t="s">
        <v>88</v>
      </c>
      <c r="M4" s="12" t="s">
        <v>285</v>
      </c>
      <c r="N4" s="12" t="s">
        <v>5167</v>
      </c>
      <c r="O4" s="12" t="s">
        <v>2856</v>
      </c>
      <c r="P4" s="12"/>
      <c r="Q4" s="12"/>
    </row>
    <row r="5" spans="1:17" x14ac:dyDescent="0.25">
      <c r="A5" s="11">
        <v>103453</v>
      </c>
      <c r="B5" s="12" t="s">
        <v>5995</v>
      </c>
      <c r="C5" s="12" t="s">
        <v>1449</v>
      </c>
      <c r="D5" s="125">
        <v>8000000</v>
      </c>
      <c r="E5" s="125">
        <v>8000000</v>
      </c>
      <c r="F5" s="12">
        <v>48</v>
      </c>
      <c r="G5" s="12">
        <v>180</v>
      </c>
      <c r="H5" s="12">
        <v>0</v>
      </c>
      <c r="I5" s="13">
        <v>43041.585350231479</v>
      </c>
      <c r="J5" s="13">
        <v>43406</v>
      </c>
      <c r="K5" s="12" t="s">
        <v>25</v>
      </c>
      <c r="L5" s="12" t="s">
        <v>88</v>
      </c>
      <c r="M5" s="12" t="s">
        <v>285</v>
      </c>
      <c r="N5" s="12" t="s">
        <v>2855</v>
      </c>
      <c r="O5" s="12" t="s">
        <v>2856</v>
      </c>
      <c r="P5" s="12"/>
      <c r="Q5" s="12"/>
    </row>
    <row r="6" spans="1:17" x14ac:dyDescent="0.25">
      <c r="A6" s="11">
        <v>201449</v>
      </c>
      <c r="B6" s="12" t="s">
        <v>6017</v>
      </c>
      <c r="C6" s="12" t="s">
        <v>2807</v>
      </c>
      <c r="D6" s="125">
        <v>3000000</v>
      </c>
      <c r="E6" s="125">
        <v>3000000</v>
      </c>
      <c r="F6" s="12">
        <v>48</v>
      </c>
      <c r="G6" s="12">
        <v>180</v>
      </c>
      <c r="H6" s="12">
        <v>0</v>
      </c>
      <c r="I6" s="13">
        <v>43048.43716577546</v>
      </c>
      <c r="J6" s="13">
        <v>43352</v>
      </c>
      <c r="K6" s="12" t="s">
        <v>44</v>
      </c>
      <c r="L6" s="12" t="s">
        <v>75</v>
      </c>
      <c r="M6" s="12" t="s">
        <v>1442</v>
      </c>
      <c r="N6" s="12" t="s">
        <v>2861</v>
      </c>
      <c r="O6" s="12" t="s">
        <v>2856</v>
      </c>
      <c r="P6" s="12"/>
      <c r="Q6" s="12"/>
    </row>
    <row r="7" spans="1:17" x14ac:dyDescent="0.25">
      <c r="A7" s="11">
        <v>201448</v>
      </c>
      <c r="B7" s="12" t="s">
        <v>4861</v>
      </c>
      <c r="C7" s="12" t="s">
        <v>2807</v>
      </c>
      <c r="D7" s="125">
        <v>10000000</v>
      </c>
      <c r="E7" s="125">
        <v>10000000</v>
      </c>
      <c r="F7" s="12">
        <v>48</v>
      </c>
      <c r="G7" s="12">
        <v>180</v>
      </c>
      <c r="H7" s="12">
        <v>0</v>
      </c>
      <c r="I7" s="13">
        <v>43046.715636423614</v>
      </c>
      <c r="J7" s="13">
        <v>43411</v>
      </c>
      <c r="K7" s="12" t="s">
        <v>46</v>
      </c>
      <c r="L7" s="12" t="s">
        <v>46</v>
      </c>
      <c r="M7" s="12" t="s">
        <v>112</v>
      </c>
      <c r="N7" s="12" t="s">
        <v>2861</v>
      </c>
      <c r="O7" s="12" t="s">
        <v>2856</v>
      </c>
      <c r="P7" s="12"/>
      <c r="Q7" s="12"/>
    </row>
    <row r="8" spans="1:17" x14ac:dyDescent="0.25">
      <c r="A8" s="11">
        <v>103455</v>
      </c>
      <c r="B8" s="12" t="s">
        <v>1184</v>
      </c>
      <c r="C8" s="12" t="s">
        <v>2807</v>
      </c>
      <c r="D8" s="125">
        <v>17000000</v>
      </c>
      <c r="E8" s="125">
        <v>17000000</v>
      </c>
      <c r="F8" s="12">
        <v>42</v>
      </c>
      <c r="G8" s="12">
        <v>180</v>
      </c>
      <c r="H8" s="12">
        <v>0</v>
      </c>
      <c r="I8" s="13">
        <v>43045.488874224538</v>
      </c>
      <c r="J8" s="13">
        <v>43591</v>
      </c>
      <c r="K8" s="12" t="s">
        <v>44</v>
      </c>
      <c r="L8" s="12" t="s">
        <v>75</v>
      </c>
      <c r="M8" s="12" t="s">
        <v>1442</v>
      </c>
      <c r="N8" s="12" t="s">
        <v>963</v>
      </c>
      <c r="O8" s="12" t="s">
        <v>2856</v>
      </c>
      <c r="P8" s="12"/>
      <c r="Q8" s="12"/>
    </row>
    <row r="9" spans="1:17" x14ac:dyDescent="0.25">
      <c r="A9" s="11">
        <v>201442</v>
      </c>
      <c r="B9" s="12" t="s">
        <v>3312</v>
      </c>
      <c r="C9" s="12" t="s">
        <v>1449</v>
      </c>
      <c r="D9" s="125">
        <v>18000000</v>
      </c>
      <c r="E9" s="125">
        <v>18000000</v>
      </c>
      <c r="F9" s="12">
        <v>42</v>
      </c>
      <c r="G9" s="12">
        <v>180</v>
      </c>
      <c r="H9" s="12">
        <v>0</v>
      </c>
      <c r="I9" s="13">
        <v>43041.570559953703</v>
      </c>
      <c r="J9" s="13">
        <v>43498</v>
      </c>
      <c r="K9" s="12" t="s">
        <v>25</v>
      </c>
      <c r="L9" s="12" t="s">
        <v>88</v>
      </c>
      <c r="M9" s="12" t="s">
        <v>285</v>
      </c>
      <c r="N9" s="12" t="s">
        <v>1925</v>
      </c>
      <c r="O9" s="12" t="s">
        <v>2856</v>
      </c>
      <c r="P9" s="12"/>
      <c r="Q9" s="12"/>
    </row>
    <row r="10" spans="1:17" x14ac:dyDescent="0.25">
      <c r="A10" s="11">
        <v>201455</v>
      </c>
      <c r="B10" s="12" t="s">
        <v>5180</v>
      </c>
      <c r="C10" s="12" t="s">
        <v>5043</v>
      </c>
      <c r="D10" s="125">
        <v>1000000</v>
      </c>
      <c r="E10" s="125">
        <v>831497.3</v>
      </c>
      <c r="F10" s="12">
        <v>25</v>
      </c>
      <c r="G10" s="12">
        <v>180</v>
      </c>
      <c r="H10" s="12">
        <v>0</v>
      </c>
      <c r="I10" s="13">
        <v>43048.486365081022</v>
      </c>
      <c r="J10" s="13">
        <v>43211</v>
      </c>
      <c r="K10" s="12" t="s">
        <v>28</v>
      </c>
      <c r="L10" s="12" t="s">
        <v>108</v>
      </c>
      <c r="M10" s="12" t="s">
        <v>26</v>
      </c>
      <c r="N10" s="12" t="s">
        <v>284</v>
      </c>
      <c r="O10" s="12" t="s">
        <v>2636</v>
      </c>
      <c r="P10" s="12"/>
      <c r="Q10" s="12"/>
    </row>
    <row r="11" spans="1:17" x14ac:dyDescent="0.25">
      <c r="A11" s="11">
        <v>201445</v>
      </c>
      <c r="B11" s="12" t="s">
        <v>2748</v>
      </c>
      <c r="C11" s="12" t="s">
        <v>5043</v>
      </c>
      <c r="D11" s="125">
        <v>4000000</v>
      </c>
      <c r="E11" s="125">
        <v>3337442.36</v>
      </c>
      <c r="F11" s="12">
        <v>25</v>
      </c>
      <c r="G11" s="12">
        <v>180</v>
      </c>
      <c r="H11" s="12">
        <v>0</v>
      </c>
      <c r="I11" s="13">
        <v>43043.446434490739</v>
      </c>
      <c r="J11" s="13">
        <v>43211</v>
      </c>
      <c r="K11" s="12" t="s">
        <v>28</v>
      </c>
      <c r="L11" s="12" t="s">
        <v>108</v>
      </c>
      <c r="M11" s="12" t="s">
        <v>26</v>
      </c>
      <c r="N11" s="12" t="s">
        <v>284</v>
      </c>
      <c r="O11" s="12" t="s">
        <v>2636</v>
      </c>
      <c r="P11" s="12"/>
      <c r="Q11" s="12"/>
    </row>
    <row r="12" spans="1:17" x14ac:dyDescent="0.25">
      <c r="A12" s="11">
        <v>201447</v>
      </c>
      <c r="B12" s="12" t="s">
        <v>6000</v>
      </c>
      <c r="C12" s="12" t="s">
        <v>5043</v>
      </c>
      <c r="D12" s="125">
        <v>4606378</v>
      </c>
      <c r="E12" s="125">
        <v>3835466.65</v>
      </c>
      <c r="F12" s="12">
        <v>25</v>
      </c>
      <c r="G12" s="12">
        <v>180</v>
      </c>
      <c r="H12" s="12">
        <v>0</v>
      </c>
      <c r="I12" s="13">
        <v>43046.41154591435</v>
      </c>
      <c r="J12" s="13">
        <v>43211</v>
      </c>
      <c r="K12" s="12" t="s">
        <v>28</v>
      </c>
      <c r="L12" s="12" t="s">
        <v>108</v>
      </c>
      <c r="M12" s="12" t="s">
        <v>26</v>
      </c>
      <c r="N12" s="12" t="s">
        <v>284</v>
      </c>
      <c r="O12" s="12" t="s">
        <v>2636</v>
      </c>
      <c r="P12" s="12"/>
      <c r="Q12" s="12"/>
    </row>
    <row r="13" spans="1:17" x14ac:dyDescent="0.25">
      <c r="A13" s="11">
        <v>201443</v>
      </c>
      <c r="B13" s="12" t="s">
        <v>1886</v>
      </c>
      <c r="C13" s="12" t="s">
        <v>1409</v>
      </c>
      <c r="D13" s="125">
        <v>8781380</v>
      </c>
      <c r="E13" s="125">
        <v>7336894.8300000001</v>
      </c>
      <c r="F13" s="12">
        <v>25</v>
      </c>
      <c r="G13" s="12">
        <v>180</v>
      </c>
      <c r="H13" s="12">
        <v>0</v>
      </c>
      <c r="I13" s="13">
        <v>43041.55247800926</v>
      </c>
      <c r="J13" s="13">
        <v>43211</v>
      </c>
      <c r="K13" s="12" t="s">
        <v>28</v>
      </c>
      <c r="L13" s="12" t="s">
        <v>26</v>
      </c>
      <c r="M13" s="12" t="s">
        <v>26</v>
      </c>
      <c r="N13" s="12" t="s">
        <v>284</v>
      </c>
      <c r="O13" s="12" t="s">
        <v>2636</v>
      </c>
      <c r="P13" s="12"/>
      <c r="Q13" s="12"/>
    </row>
    <row r="14" spans="1:17" x14ac:dyDescent="0.25">
      <c r="A14" s="11">
        <v>201460</v>
      </c>
      <c r="B14" s="12" t="s">
        <v>4567</v>
      </c>
      <c r="C14" s="12" t="s">
        <v>2807</v>
      </c>
      <c r="D14" s="125">
        <v>8902000</v>
      </c>
      <c r="E14" s="125">
        <v>8902000</v>
      </c>
      <c r="F14" s="12">
        <v>22</v>
      </c>
      <c r="G14" s="12">
        <v>180</v>
      </c>
      <c r="H14" s="12">
        <v>0</v>
      </c>
      <c r="I14" s="13">
        <v>43055.710180821756</v>
      </c>
      <c r="J14" s="13">
        <v>43790</v>
      </c>
      <c r="K14" s="12" t="s">
        <v>43</v>
      </c>
      <c r="L14" s="12" t="s">
        <v>338</v>
      </c>
      <c r="M14" s="12" t="s">
        <v>339</v>
      </c>
      <c r="N14" s="12" t="s">
        <v>284</v>
      </c>
      <c r="O14" s="12" t="s">
        <v>2636</v>
      </c>
      <c r="P14" s="12"/>
      <c r="Q14" s="12"/>
    </row>
    <row r="15" spans="1:17" x14ac:dyDescent="0.25">
      <c r="A15" s="11">
        <v>201461</v>
      </c>
      <c r="B15" s="12" t="s">
        <v>5152</v>
      </c>
      <c r="C15" s="12" t="s">
        <v>1449</v>
      </c>
      <c r="D15" s="125">
        <v>11880000</v>
      </c>
      <c r="E15" s="125">
        <v>11880000</v>
      </c>
      <c r="F15" s="12">
        <v>22</v>
      </c>
      <c r="G15" s="12">
        <v>180</v>
      </c>
      <c r="H15" s="12">
        <v>0</v>
      </c>
      <c r="I15" s="13">
        <v>43055.720786886573</v>
      </c>
      <c r="J15" s="13">
        <v>43790</v>
      </c>
      <c r="K15" s="12" t="s">
        <v>25</v>
      </c>
      <c r="L15" s="12" t="s">
        <v>88</v>
      </c>
      <c r="M15" s="12" t="s">
        <v>285</v>
      </c>
      <c r="N15" s="12" t="s">
        <v>284</v>
      </c>
      <c r="O15" s="12" t="s">
        <v>2636</v>
      </c>
      <c r="P15" s="12"/>
      <c r="Q15" s="12"/>
    </row>
    <row r="16" spans="1:17" x14ac:dyDescent="0.25">
      <c r="A16" s="11">
        <v>103456</v>
      </c>
      <c r="B16" s="12" t="s">
        <v>1064</v>
      </c>
      <c r="C16" s="12" t="s">
        <v>1449</v>
      </c>
      <c r="D16" s="125">
        <v>23000000</v>
      </c>
      <c r="E16" s="125">
        <v>23000000</v>
      </c>
      <c r="F16" s="12">
        <v>36</v>
      </c>
      <c r="G16" s="12">
        <v>180</v>
      </c>
      <c r="H16" s="12">
        <v>0</v>
      </c>
      <c r="I16" s="13">
        <v>43042.562480243054</v>
      </c>
      <c r="J16" s="13">
        <v>43772</v>
      </c>
      <c r="K16" s="12" t="s">
        <v>44</v>
      </c>
      <c r="L16" s="12" t="s">
        <v>92</v>
      </c>
      <c r="M16" s="12" t="s">
        <v>92</v>
      </c>
      <c r="N16" s="12" t="s">
        <v>1039</v>
      </c>
      <c r="O16" s="12" t="s">
        <v>2856</v>
      </c>
      <c r="P16" s="12"/>
      <c r="Q16" s="12"/>
    </row>
    <row r="17" spans="1:17" x14ac:dyDescent="0.25">
      <c r="A17" s="11">
        <v>201450</v>
      </c>
      <c r="B17" s="12" t="s">
        <v>6001</v>
      </c>
      <c r="C17" s="12" t="s">
        <v>1449</v>
      </c>
      <c r="D17" s="125">
        <v>6000000</v>
      </c>
      <c r="E17" s="125">
        <v>6000000</v>
      </c>
      <c r="F17" s="12">
        <v>40</v>
      </c>
      <c r="G17" s="12">
        <v>180</v>
      </c>
      <c r="H17" s="12">
        <v>0</v>
      </c>
      <c r="I17" s="13">
        <v>43046.70612318287</v>
      </c>
      <c r="J17" s="13">
        <v>43411</v>
      </c>
      <c r="K17" s="12" t="s">
        <v>25</v>
      </c>
      <c r="L17" s="12" t="s">
        <v>88</v>
      </c>
      <c r="M17" s="12" t="s">
        <v>285</v>
      </c>
      <c r="N17" s="12" t="s">
        <v>5335</v>
      </c>
      <c r="O17" s="12" t="s">
        <v>2636</v>
      </c>
      <c r="P17" s="12"/>
      <c r="Q17" s="12"/>
    </row>
    <row r="18" spans="1:17" x14ac:dyDescent="0.25">
      <c r="A18" s="11">
        <v>201459</v>
      </c>
      <c r="B18" s="12" t="s">
        <v>6030</v>
      </c>
      <c r="C18" s="12" t="s">
        <v>2807</v>
      </c>
      <c r="D18" s="125">
        <v>1500000</v>
      </c>
      <c r="E18" s="125">
        <v>1500000</v>
      </c>
      <c r="F18" s="12">
        <v>54</v>
      </c>
      <c r="G18" s="12">
        <v>180</v>
      </c>
      <c r="H18" s="12">
        <v>0</v>
      </c>
      <c r="I18" s="13">
        <v>43054.660704282411</v>
      </c>
      <c r="J18" s="13">
        <v>43358</v>
      </c>
      <c r="K18" s="12" t="s">
        <v>25</v>
      </c>
      <c r="L18" s="12" t="s">
        <v>290</v>
      </c>
      <c r="M18" s="12" t="s">
        <v>1824</v>
      </c>
      <c r="N18" s="12" t="s">
        <v>491</v>
      </c>
      <c r="O18" s="12" t="s">
        <v>2636</v>
      </c>
      <c r="P18" s="12"/>
      <c r="Q18" s="12"/>
    </row>
    <row r="19" spans="1:17" x14ac:dyDescent="0.25">
      <c r="A19" s="11">
        <v>201458</v>
      </c>
      <c r="B19" s="12" t="s">
        <v>6018</v>
      </c>
      <c r="C19" s="12" t="s">
        <v>2807</v>
      </c>
      <c r="D19" s="125">
        <v>2000000</v>
      </c>
      <c r="E19" s="125">
        <v>2000000</v>
      </c>
      <c r="F19" s="12">
        <v>54</v>
      </c>
      <c r="G19" s="12">
        <v>180</v>
      </c>
      <c r="H19" s="12">
        <v>0</v>
      </c>
      <c r="I19" s="13">
        <v>43050.456770868055</v>
      </c>
      <c r="J19" s="13">
        <v>43354</v>
      </c>
      <c r="K19" s="12" t="s">
        <v>25</v>
      </c>
      <c r="L19" s="12" t="s">
        <v>286</v>
      </c>
      <c r="M19" s="12" t="s">
        <v>287</v>
      </c>
      <c r="N19" s="12" t="s">
        <v>4686</v>
      </c>
      <c r="O19" s="12" t="s">
        <v>2636</v>
      </c>
      <c r="P19" s="12"/>
      <c r="Q19" s="12"/>
    </row>
    <row r="20" spans="1:17" x14ac:dyDescent="0.25">
      <c r="A20" s="11">
        <v>201452</v>
      </c>
      <c r="B20" s="12" t="s">
        <v>6006</v>
      </c>
      <c r="C20" s="12" t="s">
        <v>1449</v>
      </c>
      <c r="D20" s="125">
        <v>3000000</v>
      </c>
      <c r="E20" s="125">
        <v>3000000</v>
      </c>
      <c r="F20" s="12">
        <v>54</v>
      </c>
      <c r="G20" s="12">
        <v>180</v>
      </c>
      <c r="H20" s="12">
        <v>0</v>
      </c>
      <c r="I20" s="13">
        <v>43047.499046840276</v>
      </c>
      <c r="J20" s="13">
        <v>43351</v>
      </c>
      <c r="K20" s="12" t="s">
        <v>25</v>
      </c>
      <c r="L20" s="12" t="s">
        <v>88</v>
      </c>
      <c r="M20" s="12" t="s">
        <v>285</v>
      </c>
      <c r="N20" s="12" t="s">
        <v>4686</v>
      </c>
      <c r="O20" s="12" t="s">
        <v>2636</v>
      </c>
      <c r="P20" s="12"/>
      <c r="Q20" s="12"/>
    </row>
    <row r="21" spans="1:17" x14ac:dyDescent="0.25">
      <c r="A21" s="11">
        <v>201453</v>
      </c>
      <c r="B21" s="12" t="s">
        <v>6007</v>
      </c>
      <c r="C21" s="12" t="s">
        <v>1449</v>
      </c>
      <c r="D21" s="125">
        <v>4000000</v>
      </c>
      <c r="E21" s="125">
        <v>4000000</v>
      </c>
      <c r="F21" s="12">
        <v>54</v>
      </c>
      <c r="G21" s="12">
        <v>180</v>
      </c>
      <c r="H21" s="12">
        <v>0</v>
      </c>
      <c r="I21" s="13">
        <v>43047.549877511578</v>
      </c>
      <c r="J21" s="13">
        <v>43351</v>
      </c>
      <c r="K21" s="12" t="s">
        <v>25</v>
      </c>
      <c r="L21" s="12" t="s">
        <v>88</v>
      </c>
      <c r="M21" s="12" t="s">
        <v>285</v>
      </c>
      <c r="N21" s="12" t="s">
        <v>5386</v>
      </c>
      <c r="O21" s="12" t="s">
        <v>2636</v>
      </c>
      <c r="P21" s="12"/>
      <c r="Q21" s="12"/>
    </row>
    <row r="22" spans="1:17" x14ac:dyDescent="0.25">
      <c r="A22" s="11">
        <v>201456</v>
      </c>
      <c r="B22" s="12" t="s">
        <v>6019</v>
      </c>
      <c r="C22" s="12" t="s">
        <v>1449</v>
      </c>
      <c r="D22" s="125">
        <v>4000000</v>
      </c>
      <c r="E22" s="125">
        <v>4000000</v>
      </c>
      <c r="F22" s="12">
        <v>54</v>
      </c>
      <c r="G22" s="12">
        <v>180</v>
      </c>
      <c r="H22" s="12">
        <v>0</v>
      </c>
      <c r="I22" s="13">
        <v>43048.546624768518</v>
      </c>
      <c r="J22" s="13">
        <v>43352</v>
      </c>
      <c r="K22" s="12" t="s">
        <v>25</v>
      </c>
      <c r="L22" s="12" t="s">
        <v>88</v>
      </c>
      <c r="M22" s="12" t="s">
        <v>26</v>
      </c>
      <c r="N22" s="12" t="s">
        <v>5047</v>
      </c>
      <c r="O22" s="12" t="s">
        <v>2636</v>
      </c>
      <c r="P22" s="12"/>
      <c r="Q22" s="12"/>
    </row>
    <row r="23" spans="1:17" x14ac:dyDescent="0.25">
      <c r="A23" s="11">
        <v>201454</v>
      </c>
      <c r="B23" s="12" t="s">
        <v>6008</v>
      </c>
      <c r="C23" s="12" t="s">
        <v>1449</v>
      </c>
      <c r="D23" s="125">
        <v>6000000</v>
      </c>
      <c r="E23" s="125">
        <v>6000000</v>
      </c>
      <c r="F23" s="12">
        <v>50</v>
      </c>
      <c r="G23" s="12">
        <v>180</v>
      </c>
      <c r="H23" s="12">
        <v>0</v>
      </c>
      <c r="I23" s="13">
        <v>43047.583961724536</v>
      </c>
      <c r="J23" s="13">
        <v>43351</v>
      </c>
      <c r="K23" s="12" t="s">
        <v>25</v>
      </c>
      <c r="L23" s="12" t="s">
        <v>88</v>
      </c>
      <c r="M23" s="12" t="s">
        <v>285</v>
      </c>
      <c r="N23" s="12" t="s">
        <v>4686</v>
      </c>
      <c r="O23" s="12" t="s">
        <v>2636</v>
      </c>
      <c r="P23" s="12"/>
      <c r="Q23" s="12"/>
    </row>
    <row r="24" spans="1:17" x14ac:dyDescent="0.25">
      <c r="A24" s="11">
        <v>201451</v>
      </c>
      <c r="B24" s="12" t="s">
        <v>2473</v>
      </c>
      <c r="C24" s="12" t="s">
        <v>1449</v>
      </c>
      <c r="D24" s="125">
        <v>6500000</v>
      </c>
      <c r="E24" s="125">
        <v>6500000</v>
      </c>
      <c r="F24" s="12">
        <v>44</v>
      </c>
      <c r="G24" s="12">
        <v>180</v>
      </c>
      <c r="H24" s="12">
        <v>0</v>
      </c>
      <c r="I24" s="13">
        <v>43047.486772303244</v>
      </c>
      <c r="J24" s="13">
        <v>43289</v>
      </c>
      <c r="K24" s="12" t="s">
        <v>25</v>
      </c>
      <c r="L24" s="12" t="s">
        <v>88</v>
      </c>
      <c r="M24" s="12" t="s">
        <v>285</v>
      </c>
      <c r="N24" s="12" t="s">
        <v>2861</v>
      </c>
      <c r="O24" s="12" t="s">
        <v>2856</v>
      </c>
      <c r="P24" s="12"/>
      <c r="Q24" s="12"/>
    </row>
    <row r="25" spans="1:17" x14ac:dyDescent="0.25">
      <c r="A25" s="11">
        <v>201457</v>
      </c>
      <c r="B25" s="12" t="s">
        <v>1957</v>
      </c>
      <c r="C25" s="12" t="s">
        <v>2807</v>
      </c>
      <c r="D25" s="125">
        <v>10000000</v>
      </c>
      <c r="E25" s="125">
        <v>10000000</v>
      </c>
      <c r="F25" s="12">
        <v>44</v>
      </c>
      <c r="G25" s="12">
        <v>180</v>
      </c>
      <c r="H25" s="12">
        <v>0</v>
      </c>
      <c r="I25" s="13">
        <v>43049.507392245374</v>
      </c>
      <c r="J25" s="13">
        <v>43414</v>
      </c>
      <c r="K25" s="12" t="s">
        <v>44</v>
      </c>
      <c r="L25" s="12" t="s">
        <v>75</v>
      </c>
      <c r="M25" s="12" t="s">
        <v>1442</v>
      </c>
      <c r="N25" s="12" t="s">
        <v>963</v>
      </c>
      <c r="O25" s="12" t="s">
        <v>2856</v>
      </c>
      <c r="P25" s="12"/>
      <c r="Q25" s="12"/>
    </row>
    <row r="26" spans="1:17" x14ac:dyDescent="0.25">
      <c r="A26" s="11"/>
      <c r="B26" s="12"/>
      <c r="C26" s="12"/>
      <c r="D26" s="125"/>
      <c r="E26" s="125"/>
      <c r="F26" s="12"/>
      <c r="G26" s="12"/>
      <c r="H26" s="12"/>
      <c r="I26" s="13"/>
      <c r="J26" s="13"/>
      <c r="K26" s="12"/>
      <c r="L26" s="12"/>
      <c r="M26" s="12"/>
      <c r="N26" s="12"/>
      <c r="O26" s="12"/>
      <c r="P26" s="12"/>
      <c r="Q26" s="12"/>
    </row>
    <row r="27" spans="1:17" x14ac:dyDescent="0.25">
      <c r="A27" s="11"/>
      <c r="B27" s="12"/>
      <c r="C27" s="12"/>
      <c r="D27" s="125"/>
      <c r="E27" s="125"/>
      <c r="F27" s="12"/>
      <c r="G27" s="12"/>
      <c r="H27" s="12"/>
      <c r="I27" s="13"/>
      <c r="J27" s="13"/>
      <c r="K27" s="12"/>
      <c r="L27" s="12"/>
      <c r="M27" s="12"/>
      <c r="N27" s="12"/>
      <c r="O27" s="12"/>
      <c r="P27" s="12"/>
      <c r="Q27" s="12"/>
    </row>
    <row r="28" spans="1:17" x14ac:dyDescent="0.25">
      <c r="A28" s="11"/>
      <c r="B28" s="12"/>
      <c r="C28" s="12"/>
      <c r="D28" s="125"/>
      <c r="E28" s="125"/>
      <c r="F28" s="12"/>
      <c r="G28" s="12"/>
      <c r="H28" s="12"/>
      <c r="I28" s="13"/>
      <c r="J28" s="13"/>
      <c r="K28" s="12"/>
      <c r="L28" s="12"/>
      <c r="M28" s="12"/>
      <c r="N28" s="12"/>
      <c r="O28" s="12"/>
      <c r="P28" s="12"/>
      <c r="Q28" s="12"/>
    </row>
    <row r="29" spans="1:17" x14ac:dyDescent="0.25">
      <c r="A29" s="11"/>
      <c r="B29" s="12"/>
      <c r="C29" s="12"/>
      <c r="D29" s="125"/>
      <c r="E29" s="125"/>
      <c r="F29" s="12"/>
      <c r="G29" s="12"/>
      <c r="H29" s="12"/>
      <c r="I29" s="13"/>
      <c r="J29" s="13"/>
      <c r="K29" s="12"/>
      <c r="L29" s="12"/>
      <c r="M29" s="12"/>
      <c r="N29" s="12"/>
      <c r="O29" s="12"/>
      <c r="P29" s="12"/>
      <c r="Q29" s="12"/>
    </row>
    <row r="30" spans="1:17" x14ac:dyDescent="0.25">
      <c r="A30" s="11"/>
      <c r="B30" s="12"/>
      <c r="C30" s="12"/>
      <c r="D30" s="125"/>
      <c r="E30" s="125"/>
      <c r="F30" s="12"/>
      <c r="G30" s="12"/>
      <c r="H30" s="12"/>
      <c r="I30" s="13"/>
      <c r="J30" s="13"/>
      <c r="K30" s="12"/>
      <c r="L30" s="12"/>
      <c r="M30" s="12"/>
      <c r="N30" s="12"/>
      <c r="O30" s="12"/>
      <c r="P30" s="12"/>
      <c r="Q30" s="12"/>
    </row>
    <row r="31" spans="1:17" x14ac:dyDescent="0.25">
      <c r="A31" s="11"/>
      <c r="B31" s="12"/>
      <c r="C31" s="12"/>
      <c r="D31" s="125"/>
      <c r="E31" s="125"/>
      <c r="F31" s="12"/>
      <c r="G31" s="12"/>
      <c r="H31" s="12"/>
      <c r="I31" s="13"/>
      <c r="J31" s="13"/>
      <c r="K31" s="12"/>
      <c r="L31" s="12"/>
      <c r="M31" s="12"/>
      <c r="N31" s="12"/>
      <c r="O31" s="12"/>
      <c r="P31" s="12"/>
      <c r="Q31" s="12"/>
    </row>
    <row r="32" spans="1:17" x14ac:dyDescent="0.25">
      <c r="A32" s="11"/>
      <c r="B32" s="12"/>
      <c r="C32" s="12"/>
      <c r="D32" s="125"/>
      <c r="E32" s="125"/>
      <c r="F32" s="12"/>
      <c r="G32" s="12"/>
      <c r="H32" s="12"/>
      <c r="I32" s="13"/>
      <c r="J32" s="13"/>
      <c r="K32" s="12"/>
      <c r="L32" s="12"/>
      <c r="M32" s="12"/>
      <c r="N32" s="12"/>
      <c r="O32" s="12"/>
      <c r="P32" s="12"/>
      <c r="Q32" s="12"/>
    </row>
    <row r="33" spans="1:17" x14ac:dyDescent="0.25">
      <c r="A33" s="11"/>
      <c r="B33" s="12"/>
      <c r="C33" s="12"/>
      <c r="D33" s="125"/>
      <c r="E33" s="125"/>
      <c r="F33" s="12"/>
      <c r="G33" s="12"/>
      <c r="H33" s="12"/>
      <c r="I33" s="13"/>
      <c r="J33" s="13"/>
      <c r="K33" s="12"/>
      <c r="L33" s="12"/>
      <c r="M33" s="12"/>
      <c r="N33" s="12"/>
      <c r="O33" s="12"/>
      <c r="P33" s="12"/>
      <c r="Q33" s="12"/>
    </row>
    <row r="34" spans="1:17" x14ac:dyDescent="0.25">
      <c r="A34" s="11"/>
      <c r="B34" s="12"/>
      <c r="C34" s="12"/>
      <c r="D34" s="125"/>
      <c r="E34" s="125"/>
      <c r="F34" s="12"/>
      <c r="G34" s="12"/>
      <c r="H34" s="12"/>
      <c r="I34" s="13"/>
      <c r="J34" s="13"/>
      <c r="K34" s="12"/>
      <c r="L34" s="12"/>
      <c r="M34" s="12"/>
      <c r="N34" s="12"/>
      <c r="O34" s="12"/>
      <c r="P34" s="12"/>
      <c r="Q34" s="12"/>
    </row>
    <row r="35" spans="1:17" x14ac:dyDescent="0.25">
      <c r="A35" s="11"/>
      <c r="B35" s="12"/>
      <c r="C35" s="12"/>
      <c r="D35" s="125"/>
      <c r="E35" s="125"/>
      <c r="F35" s="12"/>
      <c r="G35" s="12"/>
      <c r="H35" s="12"/>
      <c r="I35" s="13"/>
      <c r="J35" s="13"/>
      <c r="K35" s="12"/>
      <c r="L35" s="12"/>
      <c r="M35" s="12"/>
      <c r="N35" s="12"/>
      <c r="O35" s="12"/>
      <c r="P35" s="12"/>
      <c r="Q35" s="12"/>
    </row>
    <row r="36" spans="1:17" x14ac:dyDescent="0.25">
      <c r="A36" s="11"/>
      <c r="B36" s="12"/>
      <c r="C36" s="12"/>
      <c r="D36" s="125"/>
      <c r="E36" s="125"/>
      <c r="F36" s="12"/>
      <c r="G36" s="12"/>
      <c r="H36" s="12"/>
      <c r="I36" s="13"/>
      <c r="J36" s="13"/>
      <c r="K36" s="12"/>
      <c r="L36" s="12"/>
      <c r="M36" s="12"/>
      <c r="N36" s="12"/>
      <c r="O36" s="12"/>
      <c r="P36" s="12"/>
      <c r="Q36" s="12"/>
    </row>
    <row r="37" spans="1:17" x14ac:dyDescent="0.25">
      <c r="A37" s="11"/>
      <c r="B37" s="12"/>
      <c r="C37" s="12"/>
      <c r="D37" s="125"/>
      <c r="E37" s="125"/>
      <c r="F37" s="12"/>
      <c r="G37" s="12"/>
      <c r="H37" s="12"/>
      <c r="I37" s="13"/>
      <c r="J37" s="13"/>
      <c r="K37" s="12"/>
      <c r="L37" s="12"/>
      <c r="M37" s="12"/>
      <c r="N37" s="12"/>
      <c r="O37" s="12"/>
      <c r="P37" s="12"/>
      <c r="Q37" s="12"/>
    </row>
    <row r="38" spans="1:17" x14ac:dyDescent="0.25">
      <c r="A38" s="11"/>
      <c r="B38" s="12"/>
      <c r="C38" s="12"/>
      <c r="D38" s="125"/>
      <c r="E38" s="125"/>
      <c r="F38" s="12"/>
      <c r="G38" s="12"/>
      <c r="H38" s="12"/>
      <c r="I38" s="13"/>
      <c r="J38" s="13"/>
      <c r="K38" s="12"/>
      <c r="L38" s="12"/>
      <c r="M38" s="12"/>
      <c r="N38" s="12"/>
      <c r="O38" s="12"/>
      <c r="P38" s="12"/>
      <c r="Q38" s="12"/>
    </row>
    <row r="39" spans="1:17" x14ac:dyDescent="0.25">
      <c r="A39" s="11"/>
      <c r="B39" s="12"/>
      <c r="C39" s="12"/>
      <c r="D39" s="125"/>
      <c r="E39" s="125"/>
      <c r="F39" s="12"/>
      <c r="G39" s="12"/>
      <c r="H39" s="12"/>
      <c r="I39" s="13"/>
      <c r="J39" s="13"/>
      <c r="K39" s="12"/>
      <c r="L39" s="12"/>
      <c r="M39" s="12"/>
      <c r="N39" s="12"/>
      <c r="O39" s="12"/>
      <c r="P39" s="12"/>
      <c r="Q39" s="12"/>
    </row>
    <row r="40" spans="1:17" x14ac:dyDescent="0.25">
      <c r="A40" s="11"/>
      <c r="B40" s="12"/>
      <c r="C40" s="12"/>
      <c r="D40" s="125"/>
      <c r="E40" s="125"/>
      <c r="F40" s="12"/>
      <c r="G40" s="12"/>
      <c r="H40" s="12"/>
      <c r="I40" s="13"/>
      <c r="J40" s="13"/>
      <c r="K40" s="12"/>
      <c r="L40" s="12"/>
      <c r="M40" s="12"/>
      <c r="N40" s="12"/>
      <c r="O40" s="12"/>
      <c r="P40" s="12"/>
      <c r="Q40" s="12"/>
    </row>
    <row r="41" spans="1:17" x14ac:dyDescent="0.25">
      <c r="A41" s="11"/>
      <c r="B41" s="12"/>
      <c r="C41" s="12"/>
      <c r="D41" s="125"/>
      <c r="E41" s="125"/>
      <c r="F41" s="12"/>
      <c r="G41" s="12"/>
      <c r="H41" s="12"/>
      <c r="I41" s="13"/>
      <c r="J41" s="13"/>
      <c r="K41" s="12"/>
      <c r="L41" s="12"/>
      <c r="M41" s="12"/>
      <c r="N41" s="12"/>
      <c r="O41" s="12"/>
      <c r="P41" s="12"/>
      <c r="Q41" s="12"/>
    </row>
    <row r="42" spans="1:17" x14ac:dyDescent="0.25">
      <c r="A42" s="11"/>
      <c r="B42" s="12"/>
      <c r="C42" s="12"/>
      <c r="D42" s="125"/>
      <c r="E42" s="125"/>
      <c r="F42" s="12"/>
      <c r="G42" s="12"/>
      <c r="H42" s="12"/>
      <c r="I42" s="13"/>
      <c r="J42" s="13"/>
      <c r="K42" s="12"/>
      <c r="L42" s="12"/>
      <c r="M42" s="12"/>
      <c r="N42" s="12"/>
      <c r="O42" s="12"/>
      <c r="P42" s="12"/>
      <c r="Q42" s="12"/>
    </row>
    <row r="43" spans="1:17" x14ac:dyDescent="0.25">
      <c r="A43" s="11"/>
      <c r="B43" s="12"/>
      <c r="C43" s="12"/>
      <c r="D43" s="125"/>
      <c r="E43" s="125"/>
      <c r="F43" s="12"/>
      <c r="G43" s="12"/>
      <c r="H43" s="12"/>
      <c r="I43" s="13"/>
      <c r="J43" s="13"/>
      <c r="K43" s="12"/>
      <c r="L43" s="12"/>
      <c r="M43" s="12"/>
      <c r="N43" s="12"/>
      <c r="O43" s="12"/>
      <c r="P43" s="12"/>
      <c r="Q43" s="12"/>
    </row>
    <row r="44" spans="1:17" x14ac:dyDescent="0.25">
      <c r="A44" s="11"/>
      <c r="B44" s="12"/>
      <c r="C44" s="12"/>
      <c r="D44" s="125"/>
      <c r="E44" s="125"/>
      <c r="F44" s="12"/>
      <c r="G44" s="12"/>
      <c r="H44" s="12"/>
      <c r="I44" s="13"/>
      <c r="J44" s="13"/>
      <c r="K44" s="12"/>
      <c r="L44" s="12"/>
      <c r="M44" s="12"/>
      <c r="N44" s="12"/>
      <c r="O44" s="12"/>
      <c r="P44" s="12"/>
      <c r="Q44" s="12"/>
    </row>
    <row r="45" spans="1:17" x14ac:dyDescent="0.25">
      <c r="A45" s="11"/>
      <c r="B45" s="12"/>
      <c r="C45" s="12"/>
      <c r="D45" s="125"/>
      <c r="E45" s="125"/>
      <c r="F45" s="12"/>
      <c r="G45" s="12"/>
      <c r="H45" s="12"/>
      <c r="I45" s="13"/>
      <c r="J45" s="13"/>
      <c r="K45" s="12"/>
      <c r="L45" s="12"/>
      <c r="M45" s="12"/>
      <c r="N45" s="12"/>
      <c r="O45" s="12"/>
      <c r="P45" s="12"/>
      <c r="Q45" s="12"/>
    </row>
    <row r="46" spans="1:17" x14ac:dyDescent="0.25">
      <c r="A46" s="11"/>
      <c r="B46" s="12"/>
      <c r="C46" s="12"/>
      <c r="D46" s="125"/>
      <c r="E46" s="125"/>
      <c r="F46" s="12"/>
      <c r="G46" s="12"/>
      <c r="H46" s="12"/>
      <c r="I46" s="13"/>
      <c r="J46" s="13"/>
      <c r="K46" s="12"/>
      <c r="L46" s="12"/>
      <c r="M46" s="12"/>
      <c r="N46" s="12"/>
      <c r="O46" s="12"/>
      <c r="P46" s="12"/>
      <c r="Q46" s="12"/>
    </row>
    <row r="47" spans="1:17" x14ac:dyDescent="0.25">
      <c r="A47" s="11"/>
      <c r="B47" s="12"/>
      <c r="C47" s="12"/>
      <c r="D47" s="125"/>
      <c r="E47" s="125"/>
      <c r="F47" s="12"/>
      <c r="G47" s="12"/>
      <c r="H47" s="12"/>
      <c r="I47" s="13"/>
      <c r="J47" s="13"/>
      <c r="K47" s="12"/>
      <c r="L47" s="12"/>
      <c r="M47" s="12"/>
      <c r="N47" s="12"/>
      <c r="O47" s="12"/>
      <c r="P47" s="12"/>
      <c r="Q47" s="12"/>
    </row>
    <row r="48" spans="1:17" x14ac:dyDescent="0.25">
      <c r="A48" s="11"/>
      <c r="B48" s="12"/>
      <c r="C48" s="12"/>
      <c r="D48" s="125"/>
      <c r="E48" s="125"/>
      <c r="F48" s="12"/>
      <c r="G48" s="12"/>
      <c r="H48" s="12"/>
      <c r="I48" s="13"/>
      <c r="J48" s="13"/>
      <c r="K48" s="12"/>
      <c r="L48" s="12"/>
      <c r="M48" s="12"/>
      <c r="N48" s="12"/>
      <c r="O48" s="12"/>
      <c r="P48" s="12"/>
      <c r="Q48" s="12"/>
    </row>
    <row r="49" spans="1:17" x14ac:dyDescent="0.25">
      <c r="A49" s="11"/>
      <c r="B49" s="12"/>
      <c r="C49" s="12"/>
      <c r="D49" s="125"/>
      <c r="E49" s="125"/>
      <c r="F49" s="12"/>
      <c r="G49" s="12"/>
      <c r="H49" s="12"/>
      <c r="I49" s="13"/>
      <c r="J49" s="13"/>
      <c r="K49" s="12"/>
      <c r="L49" s="12"/>
      <c r="M49" s="12"/>
      <c r="N49" s="12"/>
      <c r="O49" s="12"/>
      <c r="P49" s="12"/>
      <c r="Q49" s="12"/>
    </row>
    <row r="50" spans="1:17" x14ac:dyDescent="0.25">
      <c r="A50" s="11"/>
      <c r="B50" s="12"/>
      <c r="C50" s="12"/>
      <c r="D50" s="125"/>
      <c r="E50" s="125"/>
      <c r="F50" s="12"/>
      <c r="G50" s="12"/>
      <c r="H50" s="12"/>
      <c r="I50" s="13"/>
      <c r="J50" s="13"/>
      <c r="K50" s="12"/>
      <c r="L50" s="12"/>
      <c r="M50" s="12"/>
      <c r="N50" s="12"/>
      <c r="O50" s="12"/>
      <c r="P50" s="12"/>
      <c r="Q50" s="12"/>
    </row>
    <row r="51" spans="1:17" x14ac:dyDescent="0.25">
      <c r="A51" s="11"/>
      <c r="B51" s="12"/>
      <c r="C51" s="12"/>
      <c r="D51" s="125"/>
      <c r="E51" s="125"/>
      <c r="F51" s="12"/>
      <c r="G51" s="12"/>
      <c r="H51" s="12"/>
      <c r="I51" s="13"/>
      <c r="J51" s="13"/>
      <c r="K51" s="12"/>
      <c r="L51" s="12"/>
      <c r="M51" s="12"/>
      <c r="N51" s="12"/>
      <c r="O51" s="12"/>
      <c r="P51" s="12"/>
      <c r="Q51" s="12"/>
    </row>
    <row r="52" spans="1:17" x14ac:dyDescent="0.25">
      <c r="A52" s="11"/>
      <c r="B52" s="12"/>
      <c r="C52" s="12"/>
      <c r="D52" s="125"/>
      <c r="E52" s="125"/>
      <c r="F52" s="12"/>
      <c r="G52" s="12"/>
      <c r="H52" s="12"/>
      <c r="I52" s="13"/>
      <c r="J52" s="13"/>
      <c r="K52" s="12"/>
      <c r="L52" s="12"/>
      <c r="M52" s="12"/>
      <c r="N52" s="12"/>
      <c r="O52" s="12"/>
      <c r="P52" s="12"/>
      <c r="Q52" s="12"/>
    </row>
    <row r="53" spans="1:17" x14ac:dyDescent="0.25">
      <c r="A53" s="11"/>
      <c r="B53" s="12"/>
      <c r="C53" s="12"/>
      <c r="D53" s="125"/>
      <c r="E53" s="125"/>
      <c r="F53" s="12"/>
      <c r="G53" s="12"/>
      <c r="H53" s="12"/>
      <c r="I53" s="13"/>
      <c r="J53" s="13"/>
      <c r="K53" s="12"/>
      <c r="L53" s="12"/>
      <c r="M53" s="12"/>
      <c r="N53" s="12"/>
      <c r="O53" s="12"/>
      <c r="P53" s="12"/>
      <c r="Q53" s="12"/>
    </row>
    <row r="54" spans="1:17" x14ac:dyDescent="0.25">
      <c r="A54" s="11"/>
      <c r="B54" s="12"/>
      <c r="C54" s="12"/>
      <c r="D54" s="125"/>
      <c r="E54" s="125"/>
      <c r="F54" s="12"/>
      <c r="G54" s="12"/>
      <c r="H54" s="12"/>
      <c r="I54" s="13"/>
      <c r="J54" s="13"/>
      <c r="K54" s="12"/>
      <c r="L54" s="12"/>
      <c r="M54" s="12"/>
      <c r="N54" s="12"/>
      <c r="O54" s="12"/>
      <c r="P54" s="12"/>
      <c r="Q54" s="12"/>
    </row>
    <row r="55" spans="1:17" x14ac:dyDescent="0.25">
      <c r="A55" s="11"/>
      <c r="B55" s="12"/>
      <c r="C55" s="12"/>
      <c r="D55" s="125"/>
      <c r="E55" s="125"/>
      <c r="F55" s="12"/>
      <c r="G55" s="12"/>
      <c r="H55" s="12"/>
      <c r="I55" s="13"/>
      <c r="J55" s="13"/>
      <c r="K55" s="12"/>
      <c r="L55" s="12"/>
      <c r="M55" s="12"/>
      <c r="N55" s="12"/>
      <c r="O55" s="12"/>
      <c r="P55" s="12"/>
      <c r="Q55" s="12"/>
    </row>
    <row r="56" spans="1:17" x14ac:dyDescent="0.25">
      <c r="A56" s="11"/>
      <c r="B56" s="12"/>
      <c r="C56" s="12"/>
      <c r="D56" s="125"/>
      <c r="E56" s="125"/>
      <c r="F56" s="12"/>
      <c r="G56" s="12"/>
      <c r="H56" s="12"/>
      <c r="I56" s="13"/>
      <c r="J56" s="13"/>
      <c r="K56" s="12"/>
      <c r="L56" s="12"/>
      <c r="M56" s="12"/>
      <c r="N56" s="12"/>
      <c r="O56" s="12"/>
      <c r="P56" s="12"/>
      <c r="Q56" s="12"/>
    </row>
    <row r="57" spans="1:17" x14ac:dyDescent="0.25">
      <c r="A57" s="11"/>
      <c r="B57" s="12"/>
      <c r="C57" s="12"/>
      <c r="D57" s="125"/>
      <c r="E57" s="125"/>
      <c r="F57" s="12"/>
      <c r="G57" s="12"/>
      <c r="H57" s="12"/>
      <c r="I57" s="13"/>
      <c r="J57" s="13"/>
      <c r="K57" s="12"/>
      <c r="L57" s="12"/>
      <c r="M57" s="12"/>
      <c r="N57" s="12"/>
      <c r="O57" s="12"/>
      <c r="P57" s="12"/>
      <c r="Q57" s="12"/>
    </row>
    <row r="58" spans="1:17" x14ac:dyDescent="0.25">
      <c r="A58" s="11"/>
      <c r="B58" s="12"/>
      <c r="C58" s="12"/>
      <c r="D58" s="125"/>
      <c r="E58" s="125"/>
      <c r="F58" s="12"/>
      <c r="G58" s="12"/>
      <c r="H58" s="12"/>
      <c r="I58" s="13"/>
      <c r="J58" s="13"/>
      <c r="K58" s="12"/>
      <c r="L58" s="12"/>
      <c r="M58" s="12"/>
      <c r="N58" s="12"/>
      <c r="O58" s="12"/>
      <c r="P58" s="12"/>
      <c r="Q58" s="12"/>
    </row>
    <row r="59" spans="1:17" x14ac:dyDescent="0.25">
      <c r="A59" s="11"/>
      <c r="B59" s="12"/>
      <c r="C59" s="12"/>
      <c r="D59" s="125"/>
      <c r="E59" s="125"/>
      <c r="F59" s="12"/>
      <c r="G59" s="12"/>
      <c r="H59" s="12"/>
      <c r="I59" s="13"/>
      <c r="J59" s="13"/>
      <c r="K59" s="12"/>
      <c r="L59" s="12"/>
      <c r="M59" s="12"/>
      <c r="N59" s="12"/>
      <c r="O59" s="12"/>
      <c r="P59" s="12"/>
      <c r="Q59" s="12"/>
    </row>
    <row r="60" spans="1:17" x14ac:dyDescent="0.25">
      <c r="A60" s="11"/>
      <c r="B60" s="12"/>
      <c r="C60" s="12"/>
      <c r="D60" s="125"/>
      <c r="E60" s="125"/>
      <c r="F60" s="12"/>
      <c r="G60" s="12"/>
      <c r="H60" s="12"/>
      <c r="I60" s="13"/>
      <c r="J60" s="13"/>
      <c r="K60" s="12"/>
      <c r="L60" s="12"/>
      <c r="M60" s="12"/>
      <c r="N60" s="12"/>
      <c r="O60" s="12"/>
      <c r="P60" s="12"/>
      <c r="Q60" s="12"/>
    </row>
    <row r="61" spans="1:17" x14ac:dyDescent="0.25">
      <c r="A61" s="11"/>
      <c r="B61" s="12"/>
      <c r="C61" s="12"/>
      <c r="D61" s="125"/>
      <c r="E61" s="125"/>
      <c r="F61" s="12"/>
      <c r="G61" s="12"/>
      <c r="H61" s="12"/>
      <c r="I61" s="13"/>
      <c r="J61" s="13"/>
      <c r="K61" s="12"/>
      <c r="L61" s="12"/>
      <c r="M61" s="12"/>
      <c r="N61" s="12"/>
      <c r="O61" s="12"/>
      <c r="P61" s="12"/>
      <c r="Q61" s="12"/>
    </row>
    <row r="62" spans="1:17" x14ac:dyDescent="0.25">
      <c r="A62" s="11"/>
      <c r="B62" s="12"/>
      <c r="C62" s="12"/>
      <c r="D62" s="125"/>
      <c r="E62" s="125"/>
      <c r="F62" s="12"/>
      <c r="G62" s="12"/>
      <c r="H62" s="12"/>
      <c r="I62" s="13"/>
      <c r="J62" s="13"/>
      <c r="K62" s="12"/>
      <c r="L62" s="12"/>
      <c r="M62" s="12"/>
      <c r="N62" s="12"/>
      <c r="O62" s="12"/>
      <c r="P62" s="12"/>
      <c r="Q62" s="12"/>
    </row>
    <row r="63" spans="1:17" x14ac:dyDescent="0.25">
      <c r="A63" s="11"/>
      <c r="B63" s="12"/>
      <c r="C63" s="12"/>
      <c r="D63" s="125"/>
      <c r="E63" s="125"/>
      <c r="F63" s="12"/>
      <c r="G63" s="12"/>
      <c r="H63" s="12"/>
      <c r="I63" s="13"/>
      <c r="J63" s="13"/>
      <c r="K63" s="12"/>
      <c r="L63" s="12"/>
      <c r="M63" s="12"/>
      <c r="N63" s="12"/>
      <c r="O63" s="12"/>
      <c r="P63" s="12"/>
      <c r="Q63" s="12"/>
    </row>
    <row r="64" spans="1:17" x14ac:dyDescent="0.25">
      <c r="A64" s="11"/>
      <c r="B64" s="12"/>
      <c r="C64" s="12"/>
      <c r="D64" s="125"/>
      <c r="E64" s="125"/>
      <c r="F64" s="12"/>
      <c r="G64" s="12"/>
      <c r="H64" s="12"/>
      <c r="I64" s="13"/>
      <c r="J64" s="13"/>
      <c r="K64" s="12"/>
      <c r="L64" s="12"/>
      <c r="M64" s="12"/>
      <c r="N64" s="12"/>
      <c r="O64" s="12"/>
      <c r="P64" s="12"/>
      <c r="Q64" s="12"/>
    </row>
    <row r="65" spans="1:17" x14ac:dyDescent="0.25">
      <c r="A65" s="11"/>
      <c r="B65" s="12"/>
      <c r="C65" s="12"/>
      <c r="D65" s="125"/>
      <c r="E65" s="125"/>
      <c r="F65" s="12"/>
      <c r="G65" s="12"/>
      <c r="H65" s="12"/>
      <c r="I65" s="13"/>
      <c r="J65" s="13"/>
      <c r="K65" s="12"/>
      <c r="L65" s="12"/>
      <c r="M65" s="12"/>
      <c r="N65" s="12"/>
      <c r="O65" s="12"/>
      <c r="P65" s="12"/>
      <c r="Q65" s="12"/>
    </row>
    <row r="66" spans="1:17" x14ac:dyDescent="0.25">
      <c r="A66" s="11"/>
      <c r="B66" s="12"/>
      <c r="C66" s="12"/>
      <c r="D66" s="125"/>
      <c r="E66" s="125"/>
      <c r="F66" s="12"/>
      <c r="G66" s="12"/>
      <c r="H66" s="12"/>
      <c r="I66" s="13"/>
      <c r="J66" s="13"/>
      <c r="K66" s="12"/>
      <c r="L66" s="12"/>
      <c r="M66" s="12"/>
      <c r="N66" s="12"/>
      <c r="O66" s="12"/>
      <c r="P66" s="12"/>
      <c r="Q66" s="12"/>
    </row>
    <row r="67" spans="1:17" x14ac:dyDescent="0.25">
      <c r="A67" s="11"/>
      <c r="B67" s="12"/>
      <c r="C67" s="12"/>
      <c r="D67" s="125"/>
      <c r="E67" s="125"/>
      <c r="F67" s="12"/>
      <c r="G67" s="12"/>
      <c r="H67" s="12"/>
      <c r="I67" s="13"/>
      <c r="J67" s="13"/>
      <c r="K67" s="12"/>
      <c r="L67" s="12"/>
      <c r="M67" s="12"/>
      <c r="N67" s="12"/>
      <c r="O67" s="12"/>
      <c r="P67" s="12"/>
      <c r="Q67" s="12"/>
    </row>
    <row r="68" spans="1:17" x14ac:dyDescent="0.25">
      <c r="A68" s="11"/>
      <c r="B68" s="12"/>
      <c r="C68" s="12"/>
      <c r="D68" s="125"/>
      <c r="E68" s="125"/>
      <c r="F68" s="12"/>
      <c r="G68" s="12"/>
      <c r="H68" s="12"/>
      <c r="I68" s="13"/>
      <c r="J68" s="13"/>
      <c r="K68" s="12"/>
      <c r="L68" s="12"/>
      <c r="M68" s="12"/>
      <c r="N68" s="12"/>
      <c r="O68" s="12"/>
      <c r="P68" s="12"/>
      <c r="Q68" s="12"/>
    </row>
    <row r="69" spans="1:17" x14ac:dyDescent="0.25">
      <c r="A69" s="11"/>
      <c r="B69" s="12"/>
      <c r="C69" s="12"/>
      <c r="D69" s="125"/>
      <c r="E69" s="125"/>
      <c r="F69" s="12"/>
      <c r="G69" s="12"/>
      <c r="H69" s="12"/>
      <c r="I69" s="13"/>
      <c r="J69" s="13"/>
      <c r="K69" s="12"/>
      <c r="L69" s="12"/>
      <c r="M69" s="12"/>
      <c r="N69" s="12"/>
      <c r="O69" s="12"/>
      <c r="P69" s="12"/>
      <c r="Q69" s="12"/>
    </row>
    <row r="70" spans="1:17" x14ac:dyDescent="0.25">
      <c r="A70" s="11"/>
      <c r="B70" s="12"/>
      <c r="C70" s="12"/>
      <c r="D70" s="125"/>
      <c r="E70" s="125"/>
      <c r="F70" s="12"/>
      <c r="G70" s="12"/>
      <c r="H70" s="12"/>
      <c r="I70" s="13"/>
      <c r="J70" s="13"/>
      <c r="K70" s="12"/>
      <c r="L70" s="12"/>
      <c r="M70" s="12"/>
      <c r="N70" s="12"/>
      <c r="O70" s="12"/>
      <c r="P70" s="12"/>
      <c r="Q70" s="12"/>
    </row>
    <row r="71" spans="1:17" x14ac:dyDescent="0.25">
      <c r="A71" s="11"/>
      <c r="B71" s="12"/>
      <c r="C71" s="12"/>
      <c r="D71" s="125"/>
      <c r="E71" s="125"/>
      <c r="F71" s="12"/>
      <c r="G71" s="12"/>
      <c r="H71" s="12"/>
      <c r="I71" s="13"/>
      <c r="J71" s="13"/>
      <c r="K71" s="12"/>
      <c r="L71" s="12"/>
      <c r="M71" s="12"/>
      <c r="N71" s="12"/>
      <c r="O71" s="12"/>
      <c r="P71" s="12"/>
      <c r="Q71" s="12"/>
    </row>
    <row r="72" spans="1:17" x14ac:dyDescent="0.25">
      <c r="A72" s="11"/>
      <c r="B72" s="12"/>
      <c r="C72" s="12"/>
      <c r="D72" s="125"/>
      <c r="E72" s="125"/>
      <c r="F72" s="12"/>
      <c r="G72" s="12"/>
      <c r="H72" s="12"/>
      <c r="I72" s="13"/>
      <c r="J72" s="13"/>
      <c r="K72" s="12"/>
      <c r="L72" s="12"/>
      <c r="M72" s="12"/>
      <c r="N72" s="12"/>
      <c r="O72" s="12"/>
      <c r="P72" s="12"/>
      <c r="Q72" s="12"/>
    </row>
    <row r="73" spans="1:17" x14ac:dyDescent="0.25">
      <c r="A73" s="11"/>
      <c r="B73" s="12"/>
      <c r="C73" s="12"/>
      <c r="D73" s="125"/>
      <c r="E73" s="125"/>
      <c r="F73" s="12"/>
      <c r="G73" s="12"/>
      <c r="H73" s="12"/>
      <c r="I73" s="13"/>
      <c r="J73" s="13"/>
      <c r="K73" s="12"/>
      <c r="L73" s="12"/>
      <c r="M73" s="12"/>
      <c r="N73" s="12"/>
      <c r="O73" s="12"/>
      <c r="P73" s="12"/>
      <c r="Q73" s="12"/>
    </row>
    <row r="74" spans="1:17" x14ac:dyDescent="0.25">
      <c r="A74" s="11"/>
      <c r="B74" s="12"/>
      <c r="C74" s="12"/>
      <c r="D74" s="125"/>
      <c r="E74" s="125"/>
      <c r="F74" s="12"/>
      <c r="G74" s="12"/>
      <c r="H74" s="12"/>
      <c r="I74" s="13"/>
      <c r="J74" s="13"/>
      <c r="K74" s="12"/>
      <c r="L74" s="12"/>
      <c r="M74" s="12"/>
      <c r="N74" s="12"/>
      <c r="O74" s="12"/>
      <c r="P74" s="12"/>
      <c r="Q74" s="12"/>
    </row>
    <row r="75" spans="1:17" x14ac:dyDescent="0.25">
      <c r="A75" s="11"/>
      <c r="B75" s="12"/>
      <c r="C75" s="12"/>
      <c r="D75" s="125"/>
      <c r="E75" s="125"/>
      <c r="F75" s="12"/>
      <c r="G75" s="12"/>
      <c r="H75" s="12"/>
      <c r="I75" s="13"/>
      <c r="J75" s="13"/>
      <c r="K75" s="12"/>
      <c r="L75" s="12"/>
      <c r="M75" s="12"/>
      <c r="N75" s="12"/>
      <c r="O75" s="12"/>
      <c r="P75" s="12"/>
      <c r="Q75" s="12"/>
    </row>
    <row r="76" spans="1:17" x14ac:dyDescent="0.25">
      <c r="A76" s="11"/>
      <c r="B76" s="12"/>
      <c r="C76" s="12"/>
      <c r="D76" s="125"/>
      <c r="E76" s="125"/>
      <c r="F76" s="12"/>
      <c r="G76" s="12"/>
      <c r="H76" s="12"/>
      <c r="I76" s="13"/>
      <c r="J76" s="13"/>
      <c r="K76" s="12"/>
      <c r="L76" s="12"/>
      <c r="M76" s="12"/>
      <c r="N76" s="12"/>
      <c r="O76" s="12"/>
      <c r="P76" s="12"/>
      <c r="Q76" s="12"/>
    </row>
    <row r="77" spans="1:17" x14ac:dyDescent="0.25">
      <c r="A77" s="11"/>
      <c r="B77" s="12"/>
      <c r="C77" s="12"/>
      <c r="D77" s="125"/>
      <c r="E77" s="125"/>
      <c r="F77" s="12"/>
      <c r="G77" s="12"/>
      <c r="H77" s="12"/>
      <c r="I77" s="13"/>
      <c r="J77" s="13"/>
      <c r="K77" s="12"/>
      <c r="L77" s="12"/>
      <c r="M77" s="12"/>
      <c r="N77" s="12"/>
      <c r="O77" s="12"/>
      <c r="P77" s="12"/>
      <c r="Q77" s="12"/>
    </row>
    <row r="78" spans="1:17" x14ac:dyDescent="0.25">
      <c r="A78" s="11"/>
      <c r="B78" s="12"/>
      <c r="C78" s="12"/>
      <c r="D78" s="125"/>
      <c r="E78" s="125"/>
      <c r="F78" s="12"/>
      <c r="G78" s="12"/>
      <c r="H78" s="12"/>
      <c r="I78" s="13"/>
      <c r="J78" s="13"/>
      <c r="K78" s="12"/>
      <c r="L78" s="12"/>
      <c r="M78" s="12"/>
      <c r="N78" s="12"/>
      <c r="O78" s="12"/>
      <c r="P78" s="12"/>
      <c r="Q78" s="12"/>
    </row>
    <row r="79" spans="1:17" x14ac:dyDescent="0.25">
      <c r="A79" s="11"/>
      <c r="B79" s="12"/>
      <c r="C79" s="12"/>
      <c r="D79" s="125"/>
      <c r="E79" s="125"/>
      <c r="F79" s="12"/>
      <c r="G79" s="12"/>
      <c r="H79" s="12"/>
      <c r="I79" s="13"/>
      <c r="J79" s="13"/>
      <c r="K79" s="12"/>
      <c r="L79" s="12"/>
      <c r="M79" s="12"/>
      <c r="N79" s="12"/>
      <c r="O79" s="12"/>
      <c r="P79" s="12"/>
      <c r="Q79" s="12"/>
    </row>
    <row r="80" spans="1:17" x14ac:dyDescent="0.25">
      <c r="A80" s="11"/>
      <c r="B80" s="12"/>
      <c r="C80" s="12"/>
      <c r="D80" s="125"/>
      <c r="E80" s="125"/>
      <c r="F80" s="12"/>
      <c r="G80" s="12"/>
      <c r="H80" s="12"/>
      <c r="I80" s="13"/>
      <c r="J80" s="13"/>
      <c r="K80" s="12"/>
      <c r="L80" s="12"/>
      <c r="M80" s="12"/>
      <c r="N80" s="12"/>
      <c r="O80" s="12"/>
      <c r="P80" s="12"/>
      <c r="Q80" s="12"/>
    </row>
    <row r="81" spans="1:17" x14ac:dyDescent="0.25">
      <c r="A81" s="11"/>
      <c r="B81" s="12"/>
      <c r="C81" s="12"/>
      <c r="D81" s="125"/>
      <c r="E81" s="125"/>
      <c r="F81" s="12"/>
      <c r="G81" s="12"/>
      <c r="H81" s="12"/>
      <c r="I81" s="13"/>
      <c r="J81" s="13"/>
      <c r="K81" s="12"/>
      <c r="L81" s="12"/>
      <c r="M81" s="12"/>
      <c r="N81" s="12"/>
      <c r="O81" s="12"/>
      <c r="P81" s="12"/>
      <c r="Q81" s="12"/>
    </row>
    <row r="82" spans="1:17" x14ac:dyDescent="0.25">
      <c r="A82" s="11"/>
      <c r="B82" s="12"/>
      <c r="C82" s="12"/>
      <c r="D82" s="125"/>
      <c r="E82" s="125"/>
      <c r="F82" s="12"/>
      <c r="G82" s="12"/>
      <c r="H82" s="12"/>
      <c r="I82" s="13"/>
      <c r="J82" s="13"/>
      <c r="K82" s="12"/>
      <c r="L82" s="12"/>
      <c r="M82" s="12"/>
      <c r="N82" s="12"/>
      <c r="O82" s="12"/>
      <c r="P82" s="12"/>
      <c r="Q82" s="12"/>
    </row>
    <row r="83" spans="1:17" x14ac:dyDescent="0.25">
      <c r="A83" s="11"/>
      <c r="B83" s="12"/>
      <c r="C83" s="12"/>
      <c r="D83" s="125"/>
      <c r="E83" s="125"/>
      <c r="F83" s="12"/>
      <c r="G83" s="12"/>
      <c r="H83" s="12"/>
      <c r="I83" s="13"/>
      <c r="J83" s="13"/>
      <c r="K83" s="12"/>
      <c r="L83" s="12"/>
      <c r="M83" s="12"/>
      <c r="N83" s="12"/>
      <c r="O83" s="12"/>
      <c r="P83" s="12"/>
      <c r="Q83" s="12"/>
    </row>
    <row r="84" spans="1:17" x14ac:dyDescent="0.25">
      <c r="A84" s="11"/>
      <c r="B84" s="12"/>
      <c r="C84" s="12"/>
      <c r="D84" s="125"/>
      <c r="E84" s="125"/>
      <c r="F84" s="12"/>
      <c r="G84" s="12"/>
      <c r="H84" s="12"/>
      <c r="I84" s="13"/>
      <c r="J84" s="13"/>
      <c r="K84" s="12"/>
      <c r="L84" s="12"/>
      <c r="M84" s="12"/>
      <c r="N84" s="12"/>
      <c r="O84" s="12"/>
      <c r="P84" s="12"/>
      <c r="Q84" s="12"/>
    </row>
    <row r="85" spans="1:17" x14ac:dyDescent="0.25">
      <c r="A85" s="11"/>
      <c r="B85" s="12"/>
      <c r="C85" s="12"/>
      <c r="D85" s="125"/>
      <c r="E85" s="125"/>
      <c r="F85" s="12"/>
      <c r="G85" s="12"/>
      <c r="H85" s="12"/>
      <c r="I85" s="13"/>
      <c r="J85" s="13"/>
      <c r="K85" s="12"/>
      <c r="L85" s="12"/>
      <c r="M85" s="12"/>
      <c r="N85" s="12"/>
      <c r="O85" s="12"/>
      <c r="P85" s="12"/>
      <c r="Q85" s="12"/>
    </row>
    <row r="86" spans="1:17" x14ac:dyDescent="0.25">
      <c r="A86" s="11"/>
      <c r="B86" s="12"/>
      <c r="C86" s="12"/>
      <c r="D86" s="125"/>
      <c r="E86" s="125"/>
      <c r="F86" s="12"/>
      <c r="G86" s="12"/>
      <c r="H86" s="12"/>
      <c r="I86" s="13"/>
      <c r="J86" s="13"/>
      <c r="K86" s="12"/>
      <c r="L86" s="12"/>
      <c r="M86" s="12"/>
      <c r="N86" s="12"/>
      <c r="O86" s="12"/>
      <c r="P86" s="12"/>
      <c r="Q86" s="12"/>
    </row>
    <row r="87" spans="1:17" x14ac:dyDescent="0.25">
      <c r="A87" s="11"/>
      <c r="B87" s="12"/>
      <c r="C87" s="12"/>
      <c r="D87" s="125"/>
      <c r="E87" s="125"/>
      <c r="F87" s="12"/>
      <c r="G87" s="12"/>
      <c r="H87" s="12"/>
      <c r="I87" s="13"/>
      <c r="J87" s="13"/>
      <c r="K87" s="12"/>
      <c r="L87" s="12"/>
      <c r="M87" s="12"/>
      <c r="N87" s="12"/>
      <c r="O87" s="12"/>
      <c r="P87" s="12"/>
      <c r="Q87" s="12"/>
    </row>
    <row r="88" spans="1:17" x14ac:dyDescent="0.25">
      <c r="A88" s="11"/>
      <c r="B88" s="12"/>
      <c r="C88" s="12"/>
      <c r="D88" s="125"/>
      <c r="E88" s="125"/>
      <c r="F88" s="12"/>
      <c r="G88" s="12"/>
      <c r="H88" s="12"/>
      <c r="I88" s="13"/>
      <c r="J88" s="13"/>
      <c r="K88" s="12"/>
      <c r="L88" s="12"/>
      <c r="M88" s="12"/>
      <c r="N88" s="12"/>
      <c r="O88" s="12"/>
      <c r="P88" s="12"/>
      <c r="Q88" s="12"/>
    </row>
    <row r="89" spans="1:17" x14ac:dyDescent="0.25">
      <c r="A89" s="11"/>
      <c r="B89" s="12"/>
      <c r="C89" s="12"/>
      <c r="D89" s="125"/>
      <c r="E89" s="125"/>
      <c r="F89" s="12"/>
      <c r="G89" s="12"/>
      <c r="H89" s="12"/>
      <c r="I89" s="13"/>
      <c r="J89" s="13"/>
      <c r="K89" s="12"/>
      <c r="L89" s="12"/>
      <c r="M89" s="12"/>
      <c r="N89" s="12"/>
      <c r="O89" s="12"/>
      <c r="P89" s="12"/>
      <c r="Q89" s="12"/>
    </row>
    <row r="90" spans="1:17" x14ac:dyDescent="0.25">
      <c r="A90" s="11"/>
      <c r="B90" s="12"/>
      <c r="C90" s="12"/>
      <c r="D90" s="125"/>
      <c r="E90" s="125"/>
      <c r="F90" s="12"/>
      <c r="G90" s="12"/>
      <c r="H90" s="12"/>
      <c r="I90" s="13"/>
      <c r="J90" s="13"/>
      <c r="K90" s="12"/>
      <c r="L90" s="12"/>
      <c r="M90" s="12"/>
      <c r="N90" s="12"/>
      <c r="O90" s="12"/>
      <c r="P90" s="12"/>
      <c r="Q90" s="12"/>
    </row>
    <row r="91" spans="1:17" x14ac:dyDescent="0.25">
      <c r="A91" s="11"/>
      <c r="B91" s="12"/>
      <c r="C91" s="12"/>
      <c r="D91" s="125"/>
      <c r="E91" s="125"/>
      <c r="F91" s="12"/>
      <c r="G91" s="12"/>
      <c r="H91" s="12"/>
      <c r="I91" s="13"/>
      <c r="J91" s="13"/>
      <c r="K91" s="12"/>
      <c r="L91" s="12"/>
      <c r="M91" s="12"/>
      <c r="N91" s="12"/>
      <c r="O91" s="12"/>
      <c r="P91" s="12"/>
      <c r="Q91" s="12"/>
    </row>
    <row r="92" spans="1:17" x14ac:dyDescent="0.25">
      <c r="A92" s="11"/>
      <c r="B92" s="12"/>
      <c r="C92" s="12"/>
      <c r="D92" s="125"/>
      <c r="E92" s="125"/>
      <c r="F92" s="12"/>
      <c r="G92" s="12"/>
      <c r="H92" s="12"/>
      <c r="I92" s="13"/>
      <c r="J92" s="13"/>
      <c r="K92" s="12"/>
      <c r="L92" s="12"/>
      <c r="M92" s="12"/>
      <c r="N92" s="12"/>
      <c r="O92" s="12"/>
      <c r="P92" s="12"/>
      <c r="Q92" s="12"/>
    </row>
    <row r="93" spans="1:17" x14ac:dyDescent="0.25">
      <c r="A93" s="11"/>
      <c r="B93" s="12"/>
      <c r="C93" s="12"/>
      <c r="D93" s="125"/>
      <c r="E93" s="125"/>
      <c r="F93" s="12"/>
      <c r="G93" s="12"/>
      <c r="H93" s="12"/>
      <c r="I93" s="13"/>
      <c r="J93" s="13"/>
      <c r="K93" s="12"/>
      <c r="L93" s="12"/>
      <c r="M93" s="12"/>
      <c r="N93" s="12"/>
      <c r="O93" s="12"/>
      <c r="P93" s="12"/>
      <c r="Q93" s="12"/>
    </row>
    <row r="94" spans="1:17" x14ac:dyDescent="0.25">
      <c r="A94" s="11"/>
      <c r="B94" s="12"/>
      <c r="C94" s="12"/>
      <c r="D94" s="125"/>
      <c r="E94" s="125"/>
      <c r="F94" s="12"/>
      <c r="G94" s="12"/>
      <c r="H94" s="12"/>
      <c r="I94" s="13"/>
      <c r="J94" s="13"/>
      <c r="K94" s="12"/>
      <c r="L94" s="12"/>
      <c r="M94" s="12"/>
      <c r="N94" s="12"/>
      <c r="O94" s="12"/>
      <c r="P94" s="12"/>
      <c r="Q94" s="12"/>
    </row>
    <row r="95" spans="1:17" x14ac:dyDescent="0.25">
      <c r="A95" s="11"/>
      <c r="B95" s="12"/>
      <c r="C95" s="12"/>
      <c r="D95" s="125"/>
      <c r="E95" s="125"/>
      <c r="F95" s="12"/>
      <c r="G95" s="12"/>
      <c r="H95" s="12"/>
      <c r="I95" s="13"/>
      <c r="J95" s="13"/>
      <c r="K95" s="12"/>
      <c r="L95" s="12"/>
      <c r="M95" s="12"/>
      <c r="N95" s="12"/>
      <c r="O95" s="12"/>
      <c r="P95" s="12"/>
      <c r="Q95" s="12"/>
    </row>
    <row r="96" spans="1:17" x14ac:dyDescent="0.25">
      <c r="A96" s="11"/>
      <c r="B96" s="12"/>
      <c r="C96" s="12"/>
      <c r="D96" s="125"/>
      <c r="E96" s="125"/>
      <c r="F96" s="12"/>
      <c r="G96" s="12"/>
      <c r="H96" s="12"/>
      <c r="I96" s="13"/>
      <c r="J96" s="13"/>
      <c r="K96" s="12"/>
      <c r="L96" s="12"/>
      <c r="M96" s="12"/>
      <c r="N96" s="12"/>
      <c r="O96" s="12"/>
      <c r="P96" s="12"/>
      <c r="Q96" s="12"/>
    </row>
    <row r="97" spans="1:17" x14ac:dyDescent="0.25">
      <c r="A97" s="11"/>
      <c r="B97" s="12"/>
      <c r="C97" s="12"/>
      <c r="D97" s="125"/>
      <c r="E97" s="125"/>
      <c r="F97" s="12"/>
      <c r="G97" s="12"/>
      <c r="H97" s="12"/>
      <c r="I97" s="13"/>
      <c r="J97" s="13"/>
      <c r="K97" s="12"/>
      <c r="L97" s="12"/>
      <c r="M97" s="12"/>
      <c r="N97" s="12"/>
      <c r="O97" s="12"/>
      <c r="P97" s="12"/>
      <c r="Q97" s="12"/>
    </row>
    <row r="98" spans="1:17" x14ac:dyDescent="0.25">
      <c r="A98" s="11"/>
      <c r="B98" s="12"/>
      <c r="C98" s="12"/>
      <c r="D98" s="125"/>
      <c r="E98" s="125"/>
      <c r="F98" s="12"/>
      <c r="G98" s="12"/>
      <c r="H98" s="12"/>
      <c r="I98" s="13"/>
      <c r="J98" s="13"/>
      <c r="K98" s="12"/>
      <c r="L98" s="12"/>
      <c r="M98" s="12"/>
      <c r="N98" s="12"/>
      <c r="O98" s="12"/>
      <c r="P98" s="12"/>
      <c r="Q98" s="12"/>
    </row>
    <row r="99" spans="1:17" x14ac:dyDescent="0.25">
      <c r="A99" s="11"/>
      <c r="B99" s="12"/>
      <c r="C99" s="12"/>
      <c r="D99" s="125"/>
      <c r="E99" s="125"/>
      <c r="F99" s="12"/>
      <c r="G99" s="12"/>
      <c r="H99" s="12"/>
      <c r="I99" s="13"/>
      <c r="J99" s="13"/>
      <c r="K99" s="12"/>
      <c r="L99" s="12"/>
      <c r="M99" s="12"/>
      <c r="N99" s="12"/>
      <c r="O99" s="12"/>
      <c r="P99" s="12"/>
      <c r="Q99" s="12"/>
    </row>
    <row r="100" spans="1:17" x14ac:dyDescent="0.25">
      <c r="A100" s="11"/>
      <c r="B100" s="12"/>
      <c r="C100" s="12"/>
      <c r="D100" s="125"/>
      <c r="E100" s="125"/>
      <c r="F100" s="12"/>
      <c r="G100" s="12"/>
      <c r="H100" s="12"/>
      <c r="I100" s="13"/>
      <c r="J100" s="13"/>
      <c r="K100" s="12"/>
      <c r="L100" s="12"/>
      <c r="M100" s="12"/>
      <c r="N100" s="12"/>
      <c r="O100" s="12"/>
      <c r="P100" s="12"/>
      <c r="Q100" s="12"/>
    </row>
    <row r="101" spans="1:17" x14ac:dyDescent="0.25">
      <c r="A101" s="11"/>
      <c r="B101" s="12"/>
      <c r="C101" s="12"/>
      <c r="D101" s="125"/>
      <c r="E101" s="125"/>
      <c r="F101" s="12"/>
      <c r="G101" s="12"/>
      <c r="H101" s="12"/>
      <c r="I101" s="13"/>
      <c r="J101" s="13"/>
      <c r="K101" s="12"/>
      <c r="L101" s="12"/>
      <c r="M101" s="12"/>
      <c r="N101" s="12"/>
      <c r="O101" s="12"/>
      <c r="P101" s="12"/>
      <c r="Q101" s="12"/>
    </row>
    <row r="102" spans="1:17" x14ac:dyDescent="0.25">
      <c r="A102" s="11"/>
      <c r="B102" s="12"/>
      <c r="C102" s="12"/>
      <c r="D102" s="125"/>
      <c r="E102" s="125"/>
      <c r="F102" s="12"/>
      <c r="G102" s="12"/>
      <c r="H102" s="12"/>
      <c r="I102" s="13"/>
      <c r="J102" s="13"/>
      <c r="K102" s="12"/>
      <c r="L102" s="12"/>
      <c r="M102" s="12"/>
      <c r="N102" s="12"/>
      <c r="O102" s="12"/>
      <c r="P102" s="12"/>
      <c r="Q102" s="12"/>
    </row>
    <row r="103" spans="1:17" x14ac:dyDescent="0.25">
      <c r="A103" s="11"/>
      <c r="B103" s="12"/>
      <c r="C103" s="12"/>
      <c r="D103" s="125"/>
      <c r="E103" s="125"/>
      <c r="F103" s="12"/>
      <c r="G103" s="12"/>
      <c r="H103" s="12"/>
      <c r="I103" s="13"/>
      <c r="J103" s="13"/>
      <c r="K103" s="12"/>
      <c r="L103" s="12"/>
      <c r="M103" s="12"/>
      <c r="N103" s="12"/>
      <c r="O103" s="12"/>
      <c r="P103" s="12"/>
      <c r="Q103" s="12"/>
    </row>
    <row r="104" spans="1:17" x14ac:dyDescent="0.25">
      <c r="A104" s="11"/>
      <c r="B104" s="12"/>
      <c r="C104" s="12"/>
      <c r="D104" s="125"/>
      <c r="E104" s="125"/>
      <c r="F104" s="12"/>
      <c r="G104" s="12"/>
      <c r="H104" s="12"/>
      <c r="I104" s="13"/>
      <c r="J104" s="13"/>
      <c r="K104" s="12"/>
      <c r="L104" s="12"/>
      <c r="M104" s="12"/>
      <c r="N104" s="12"/>
      <c r="O104" s="12"/>
      <c r="P104" s="12"/>
      <c r="Q104" s="12"/>
    </row>
    <row r="105" spans="1:17" x14ac:dyDescent="0.25">
      <c r="A105" s="11"/>
      <c r="B105" s="12"/>
      <c r="C105" s="12"/>
      <c r="D105" s="125"/>
      <c r="E105" s="125"/>
      <c r="F105" s="12"/>
      <c r="G105" s="12"/>
      <c r="H105" s="12"/>
      <c r="I105" s="13"/>
      <c r="J105" s="13"/>
      <c r="K105" s="12"/>
      <c r="L105" s="12"/>
      <c r="M105" s="12"/>
      <c r="N105" s="12"/>
      <c r="O105" s="12"/>
      <c r="P105" s="12"/>
      <c r="Q105" s="12"/>
    </row>
    <row r="106" spans="1:17" x14ac:dyDescent="0.25">
      <c r="A106" s="11"/>
      <c r="B106" s="12"/>
      <c r="C106" s="12"/>
      <c r="D106" s="125"/>
      <c r="E106" s="125"/>
      <c r="F106" s="12"/>
      <c r="G106" s="12"/>
      <c r="H106" s="12"/>
      <c r="I106" s="13"/>
      <c r="J106" s="13"/>
      <c r="K106" s="12"/>
      <c r="L106" s="12"/>
      <c r="M106" s="12"/>
      <c r="N106" s="12"/>
      <c r="O106" s="12"/>
      <c r="P106" s="12"/>
      <c r="Q106" s="12"/>
    </row>
    <row r="107" spans="1:17" x14ac:dyDescent="0.25">
      <c r="A107" s="11"/>
      <c r="B107" s="12"/>
      <c r="C107" s="12"/>
      <c r="D107" s="125"/>
      <c r="E107" s="125"/>
      <c r="F107" s="12"/>
      <c r="G107" s="12"/>
      <c r="H107" s="12"/>
      <c r="I107" s="13"/>
      <c r="J107" s="13"/>
      <c r="K107" s="12"/>
      <c r="L107" s="12"/>
      <c r="M107" s="12"/>
      <c r="N107" s="12"/>
      <c r="O107" s="12"/>
      <c r="P107" s="12"/>
      <c r="Q107" s="12"/>
    </row>
    <row r="108" spans="1:17" x14ac:dyDescent="0.25">
      <c r="A108" s="11"/>
      <c r="B108" s="12"/>
      <c r="C108" s="12"/>
      <c r="D108" s="125"/>
      <c r="E108" s="125"/>
      <c r="F108" s="12"/>
      <c r="G108" s="12"/>
      <c r="H108" s="12"/>
      <c r="I108" s="13"/>
      <c r="J108" s="13"/>
      <c r="K108" s="12"/>
      <c r="L108" s="12"/>
      <c r="M108" s="12"/>
      <c r="N108" s="12"/>
      <c r="O108" s="12"/>
      <c r="P108" s="12"/>
      <c r="Q108" s="12"/>
    </row>
    <row r="109" spans="1:17" x14ac:dyDescent="0.25">
      <c r="A109" s="11"/>
      <c r="B109" s="12"/>
      <c r="C109" s="12"/>
      <c r="D109" s="125"/>
      <c r="E109" s="125"/>
      <c r="F109" s="12"/>
      <c r="G109" s="12"/>
      <c r="H109" s="12"/>
      <c r="I109" s="13"/>
      <c r="J109" s="13"/>
      <c r="K109" s="12"/>
      <c r="L109" s="12"/>
      <c r="M109" s="12"/>
      <c r="N109" s="12"/>
      <c r="O109" s="12"/>
      <c r="P109" s="12"/>
      <c r="Q109" s="12"/>
    </row>
    <row r="110" spans="1:17" x14ac:dyDescent="0.25">
      <c r="A110" s="11"/>
      <c r="B110" s="12"/>
      <c r="C110" s="12"/>
      <c r="D110" s="125"/>
      <c r="E110" s="125"/>
      <c r="F110" s="12"/>
      <c r="G110" s="12"/>
      <c r="H110" s="12"/>
      <c r="I110" s="13"/>
      <c r="J110" s="13"/>
      <c r="K110" s="12"/>
      <c r="L110" s="12"/>
      <c r="M110" s="12"/>
      <c r="N110" s="12"/>
      <c r="O110" s="12"/>
      <c r="P110" s="12"/>
      <c r="Q110" s="12"/>
    </row>
    <row r="111" spans="1:17" x14ac:dyDescent="0.25">
      <c r="A111" s="11"/>
      <c r="B111" s="12"/>
      <c r="C111" s="12"/>
      <c r="D111" s="125"/>
      <c r="E111" s="125"/>
      <c r="F111" s="12"/>
      <c r="G111" s="12"/>
      <c r="H111" s="12"/>
      <c r="I111" s="13"/>
      <c r="J111" s="13"/>
      <c r="K111" s="12"/>
      <c r="L111" s="12"/>
      <c r="M111" s="12"/>
      <c r="N111" s="12"/>
      <c r="O111" s="12"/>
      <c r="P111" s="12"/>
      <c r="Q111" s="12"/>
    </row>
    <row r="112" spans="1:17" x14ac:dyDescent="0.25">
      <c r="A112" s="11"/>
      <c r="B112" s="12"/>
      <c r="C112" s="12"/>
      <c r="D112" s="125"/>
      <c r="E112" s="125"/>
      <c r="F112" s="12"/>
      <c r="G112" s="12"/>
      <c r="H112" s="12"/>
      <c r="I112" s="13"/>
      <c r="J112" s="13"/>
      <c r="K112" s="12"/>
      <c r="L112" s="12"/>
      <c r="M112" s="12"/>
      <c r="N112" s="12"/>
      <c r="O112" s="12"/>
      <c r="P112" s="12"/>
      <c r="Q112" s="12"/>
    </row>
    <row r="113" spans="1:17" x14ac:dyDescent="0.25">
      <c r="A113" s="11"/>
      <c r="B113" s="12"/>
      <c r="C113" s="12"/>
      <c r="D113" s="125"/>
      <c r="E113" s="125"/>
      <c r="F113" s="12"/>
      <c r="G113" s="12"/>
      <c r="H113" s="12"/>
      <c r="I113" s="13"/>
      <c r="J113" s="13"/>
      <c r="K113" s="12"/>
      <c r="L113" s="12"/>
      <c r="M113" s="12"/>
      <c r="N113" s="12"/>
      <c r="O113" s="12"/>
      <c r="P113" s="12"/>
      <c r="Q113" s="12"/>
    </row>
    <row r="114" spans="1:17" x14ac:dyDescent="0.25">
      <c r="A114" s="11"/>
      <c r="B114" s="12"/>
      <c r="C114" s="12"/>
      <c r="D114" s="125"/>
      <c r="E114" s="125"/>
      <c r="F114" s="12"/>
      <c r="G114" s="12"/>
      <c r="H114" s="12"/>
      <c r="I114" s="13"/>
      <c r="J114" s="13"/>
      <c r="K114" s="12"/>
      <c r="L114" s="12"/>
      <c r="M114" s="12"/>
      <c r="N114" s="12"/>
      <c r="O114" s="12"/>
      <c r="P114" s="12"/>
      <c r="Q114" s="12"/>
    </row>
    <row r="115" spans="1:17" x14ac:dyDescent="0.25">
      <c r="A115" s="11"/>
      <c r="B115" s="12"/>
      <c r="C115" s="12"/>
      <c r="D115" s="125"/>
      <c r="E115" s="125"/>
      <c r="F115" s="12"/>
      <c r="G115" s="12"/>
      <c r="H115" s="12"/>
      <c r="I115" s="13"/>
      <c r="J115" s="13"/>
      <c r="K115" s="12"/>
      <c r="L115" s="12"/>
      <c r="M115" s="12"/>
      <c r="N115" s="12"/>
      <c r="O115" s="12"/>
      <c r="P115" s="12"/>
      <c r="Q115" s="12"/>
    </row>
    <row r="116" spans="1:17" x14ac:dyDescent="0.25">
      <c r="A116" s="11"/>
      <c r="B116" s="12"/>
      <c r="C116" s="12"/>
      <c r="D116" s="125"/>
      <c r="E116" s="125"/>
      <c r="F116" s="12"/>
      <c r="G116" s="12"/>
      <c r="H116" s="12"/>
      <c r="I116" s="13"/>
      <c r="J116" s="13"/>
      <c r="K116" s="12"/>
      <c r="L116" s="12"/>
      <c r="M116" s="12"/>
      <c r="N116" s="12"/>
      <c r="O116" s="12"/>
      <c r="P116" s="12"/>
      <c r="Q116" s="12"/>
    </row>
    <row r="117" spans="1:17" x14ac:dyDescent="0.25">
      <c r="A117" s="11"/>
      <c r="B117" s="12"/>
      <c r="C117" s="12"/>
      <c r="D117" s="125"/>
      <c r="E117" s="125"/>
      <c r="F117" s="12"/>
      <c r="G117" s="12"/>
      <c r="H117" s="12"/>
      <c r="I117" s="13"/>
      <c r="J117" s="13"/>
      <c r="K117" s="12"/>
      <c r="L117" s="12"/>
      <c r="M117" s="12"/>
      <c r="N117" s="12"/>
      <c r="O117" s="12"/>
      <c r="P117" s="12"/>
      <c r="Q117" s="12"/>
    </row>
    <row r="118" spans="1:17" x14ac:dyDescent="0.25">
      <c r="A118" s="11"/>
      <c r="B118" s="12"/>
      <c r="C118" s="12"/>
      <c r="D118" s="125"/>
      <c r="E118" s="125"/>
      <c r="F118" s="12"/>
      <c r="G118" s="12"/>
      <c r="H118" s="12"/>
      <c r="I118" s="13"/>
      <c r="J118" s="13"/>
      <c r="K118" s="12"/>
      <c r="L118" s="12"/>
      <c r="M118" s="12"/>
      <c r="N118" s="12"/>
      <c r="O118" s="12"/>
      <c r="P118" s="12"/>
      <c r="Q118" s="12"/>
    </row>
    <row r="119" spans="1:17" x14ac:dyDescent="0.25">
      <c r="A119" s="11"/>
      <c r="B119" s="12"/>
      <c r="C119" s="12"/>
      <c r="D119" s="125"/>
      <c r="E119" s="125"/>
      <c r="F119" s="12"/>
      <c r="G119" s="12"/>
      <c r="H119" s="12"/>
      <c r="I119" s="13"/>
      <c r="J119" s="13"/>
      <c r="K119" s="12"/>
      <c r="L119" s="12"/>
      <c r="M119" s="12"/>
      <c r="N119" s="12"/>
      <c r="O119" s="12"/>
      <c r="P119" s="12"/>
      <c r="Q119" s="12"/>
    </row>
    <row r="120" spans="1:17" x14ac:dyDescent="0.25">
      <c r="A120" s="11"/>
      <c r="B120" s="12"/>
      <c r="C120" s="12"/>
      <c r="D120" s="125"/>
      <c r="E120" s="125"/>
      <c r="F120" s="12"/>
      <c r="G120" s="12"/>
      <c r="H120" s="12"/>
      <c r="I120" s="13"/>
      <c r="J120" s="13"/>
      <c r="K120" s="12"/>
      <c r="L120" s="12"/>
      <c r="M120" s="12"/>
      <c r="N120" s="12"/>
      <c r="O120" s="12"/>
      <c r="P120" s="12"/>
      <c r="Q120" s="12"/>
    </row>
    <row r="121" spans="1:17" x14ac:dyDescent="0.25">
      <c r="A121" s="11"/>
      <c r="B121" s="12"/>
      <c r="C121" s="12"/>
      <c r="D121" s="125"/>
      <c r="E121" s="125"/>
      <c r="F121" s="12"/>
      <c r="G121" s="12"/>
      <c r="H121" s="12"/>
      <c r="I121" s="13"/>
      <c r="J121" s="13"/>
      <c r="K121" s="12"/>
      <c r="L121" s="12"/>
      <c r="M121" s="12"/>
      <c r="N121" s="12"/>
      <c r="O121" s="12"/>
      <c r="P121" s="12"/>
      <c r="Q121" s="12"/>
    </row>
    <row r="122" spans="1:17" x14ac:dyDescent="0.25">
      <c r="A122" s="11"/>
      <c r="B122" s="12"/>
      <c r="C122" s="12"/>
      <c r="D122" s="125"/>
      <c r="E122" s="125"/>
      <c r="F122" s="12"/>
      <c r="G122" s="12"/>
      <c r="H122" s="12"/>
      <c r="I122" s="13"/>
      <c r="J122" s="13"/>
      <c r="K122" s="12"/>
      <c r="L122" s="12"/>
      <c r="M122" s="12"/>
      <c r="N122" s="12"/>
      <c r="O122" s="12"/>
      <c r="P122" s="12"/>
      <c r="Q122" s="12"/>
    </row>
    <row r="123" spans="1:17" x14ac:dyDescent="0.25">
      <c r="A123" s="11"/>
      <c r="B123" s="12"/>
      <c r="C123" s="12"/>
      <c r="D123" s="125"/>
      <c r="E123" s="125"/>
      <c r="F123" s="12"/>
      <c r="G123" s="12"/>
      <c r="H123" s="12"/>
      <c r="I123" s="13"/>
      <c r="J123" s="13"/>
      <c r="K123" s="12"/>
      <c r="L123" s="12"/>
      <c r="M123" s="12"/>
      <c r="N123" s="12"/>
      <c r="O123" s="12"/>
      <c r="P123" s="12"/>
      <c r="Q123" s="12"/>
    </row>
    <row r="124" spans="1:17" x14ac:dyDescent="0.25">
      <c r="A124" s="11"/>
      <c r="B124" s="12"/>
      <c r="C124" s="12"/>
      <c r="D124" s="125"/>
      <c r="E124" s="125"/>
      <c r="F124" s="12"/>
      <c r="G124" s="12"/>
      <c r="H124" s="12"/>
      <c r="I124" s="13"/>
      <c r="J124" s="13"/>
      <c r="K124" s="12"/>
      <c r="L124" s="12"/>
      <c r="M124" s="12"/>
      <c r="N124" s="12"/>
      <c r="O124" s="12"/>
      <c r="P124" s="12"/>
      <c r="Q124" s="12"/>
    </row>
    <row r="125" spans="1:17" x14ac:dyDescent="0.25">
      <c r="A125" s="11"/>
      <c r="B125" s="12"/>
      <c r="C125" s="12"/>
      <c r="D125" s="125"/>
      <c r="E125" s="125"/>
      <c r="F125" s="12"/>
      <c r="G125" s="12"/>
      <c r="H125" s="12"/>
      <c r="I125" s="13"/>
      <c r="J125" s="13"/>
      <c r="K125" s="12"/>
      <c r="L125" s="12"/>
      <c r="M125" s="12"/>
      <c r="N125" s="12"/>
      <c r="O125" s="12"/>
      <c r="P125" s="12"/>
      <c r="Q125" s="12"/>
    </row>
    <row r="126" spans="1:17" x14ac:dyDescent="0.25">
      <c r="A126" s="11"/>
      <c r="B126" s="12"/>
      <c r="C126" s="12"/>
      <c r="D126" s="125"/>
      <c r="E126" s="125"/>
      <c r="F126" s="12"/>
      <c r="G126" s="12"/>
      <c r="H126" s="12"/>
      <c r="I126" s="13"/>
      <c r="J126" s="13"/>
      <c r="K126" s="12"/>
      <c r="L126" s="12"/>
      <c r="M126" s="12"/>
      <c r="N126" s="12"/>
      <c r="O126" s="12"/>
      <c r="P126" s="12"/>
      <c r="Q126" s="12"/>
    </row>
    <row r="127" spans="1:17" x14ac:dyDescent="0.25">
      <c r="A127" s="11"/>
      <c r="B127" s="12"/>
      <c r="C127" s="12"/>
      <c r="D127" s="125"/>
      <c r="E127" s="125"/>
      <c r="F127" s="12"/>
      <c r="G127" s="12"/>
      <c r="H127" s="12"/>
      <c r="I127" s="13"/>
      <c r="J127" s="13"/>
      <c r="K127" s="12"/>
      <c r="L127" s="12"/>
      <c r="M127" s="12"/>
      <c r="N127" s="12"/>
      <c r="O127" s="12"/>
      <c r="P127" s="12"/>
      <c r="Q127" s="12"/>
    </row>
    <row r="128" spans="1:17" x14ac:dyDescent="0.25">
      <c r="A128" s="11"/>
      <c r="B128" s="12"/>
      <c r="C128" s="12"/>
      <c r="D128" s="125"/>
      <c r="E128" s="125"/>
      <c r="F128" s="12"/>
      <c r="G128" s="12"/>
      <c r="H128" s="12"/>
      <c r="I128" s="13"/>
      <c r="J128" s="13"/>
      <c r="K128" s="12"/>
      <c r="L128" s="12"/>
      <c r="M128" s="12"/>
      <c r="N128" s="12"/>
      <c r="O128" s="12"/>
      <c r="P128" s="12"/>
      <c r="Q128" s="12"/>
    </row>
    <row r="129" spans="1:17" x14ac:dyDescent="0.25">
      <c r="A129" s="11"/>
      <c r="B129" s="12"/>
      <c r="C129" s="12"/>
      <c r="D129" s="125"/>
      <c r="E129" s="125"/>
      <c r="F129" s="12"/>
      <c r="G129" s="12"/>
      <c r="H129" s="12"/>
      <c r="I129" s="13"/>
      <c r="J129" s="13"/>
      <c r="K129" s="12"/>
      <c r="L129" s="12"/>
      <c r="M129" s="12"/>
      <c r="N129" s="12"/>
      <c r="O129" s="12"/>
      <c r="P129" s="12"/>
      <c r="Q129" s="12"/>
    </row>
    <row r="130" spans="1:17" x14ac:dyDescent="0.25">
      <c r="A130" s="11"/>
      <c r="B130" s="12"/>
      <c r="C130" s="12"/>
      <c r="D130" s="125"/>
      <c r="E130" s="125"/>
      <c r="F130" s="12"/>
      <c r="G130" s="12"/>
      <c r="H130" s="12"/>
      <c r="I130" s="13"/>
      <c r="J130" s="13"/>
      <c r="K130" s="12"/>
      <c r="L130" s="12"/>
      <c r="M130" s="12"/>
      <c r="N130" s="12"/>
      <c r="O130" s="12"/>
      <c r="P130" s="12"/>
      <c r="Q130" s="12"/>
    </row>
    <row r="131" spans="1:17" x14ac:dyDescent="0.25">
      <c r="A131" s="11"/>
      <c r="B131" s="12"/>
      <c r="C131" s="12"/>
      <c r="D131" s="125"/>
      <c r="E131" s="125"/>
      <c r="F131" s="12"/>
      <c r="G131" s="12"/>
      <c r="H131" s="12"/>
      <c r="I131" s="13"/>
      <c r="J131" s="13"/>
      <c r="K131" s="12"/>
      <c r="L131" s="12"/>
      <c r="M131" s="12"/>
      <c r="N131" s="12"/>
      <c r="O131" s="12"/>
      <c r="P131" s="12"/>
      <c r="Q131" s="12"/>
    </row>
    <row r="132" spans="1:17" x14ac:dyDescent="0.25">
      <c r="A132" s="11"/>
      <c r="B132" s="12"/>
      <c r="C132" s="12"/>
      <c r="D132" s="125"/>
      <c r="E132" s="125"/>
      <c r="F132" s="12"/>
      <c r="G132" s="12"/>
      <c r="H132" s="12"/>
      <c r="I132" s="13"/>
      <c r="J132" s="13"/>
      <c r="K132" s="12"/>
      <c r="L132" s="12"/>
      <c r="M132" s="12"/>
      <c r="N132" s="12"/>
      <c r="O132" s="12"/>
      <c r="P132" s="12"/>
      <c r="Q132" s="12"/>
    </row>
    <row r="133" spans="1:17" x14ac:dyDescent="0.25">
      <c r="A133" s="11"/>
      <c r="B133" s="12"/>
      <c r="C133" s="12"/>
      <c r="D133" s="125"/>
      <c r="E133" s="125"/>
      <c r="F133" s="12"/>
      <c r="G133" s="12"/>
      <c r="H133" s="12"/>
      <c r="I133" s="13"/>
      <c r="J133" s="13"/>
      <c r="K133" s="12"/>
      <c r="L133" s="12"/>
      <c r="M133" s="12"/>
      <c r="N133" s="12"/>
      <c r="O133" s="12"/>
      <c r="P133" s="12"/>
      <c r="Q133" s="12"/>
    </row>
    <row r="134" spans="1:17" x14ac:dyDescent="0.25">
      <c r="A134" s="11"/>
      <c r="B134" s="12"/>
      <c r="C134" s="12"/>
      <c r="D134" s="125"/>
      <c r="E134" s="125"/>
      <c r="F134" s="12"/>
      <c r="G134" s="12"/>
      <c r="H134" s="12"/>
      <c r="I134" s="13"/>
      <c r="J134" s="13"/>
      <c r="K134" s="12"/>
      <c r="L134" s="12"/>
      <c r="M134" s="12"/>
      <c r="N134" s="12"/>
      <c r="O134" s="12"/>
      <c r="P134" s="12"/>
      <c r="Q134" s="12"/>
    </row>
    <row r="135" spans="1:17" x14ac:dyDescent="0.25">
      <c r="A135" s="11"/>
      <c r="B135" s="12"/>
      <c r="C135" s="12"/>
      <c r="D135" s="125"/>
      <c r="E135" s="125"/>
      <c r="F135" s="12"/>
      <c r="G135" s="12"/>
      <c r="H135" s="12"/>
      <c r="I135" s="13"/>
      <c r="J135" s="13"/>
      <c r="K135" s="12"/>
      <c r="L135" s="12"/>
      <c r="M135" s="12"/>
      <c r="N135" s="12"/>
      <c r="O135" s="12"/>
      <c r="P135" s="12"/>
      <c r="Q135" s="12"/>
    </row>
    <row r="136" spans="1:17" x14ac:dyDescent="0.25">
      <c r="A136" s="11"/>
      <c r="B136" s="12"/>
      <c r="C136" s="12"/>
      <c r="D136" s="125"/>
      <c r="E136" s="125"/>
      <c r="F136" s="12"/>
      <c r="G136" s="12"/>
      <c r="H136" s="12"/>
      <c r="I136" s="13"/>
      <c r="J136" s="13"/>
      <c r="K136" s="12"/>
      <c r="L136" s="12"/>
      <c r="M136" s="12"/>
      <c r="N136" s="12"/>
      <c r="O136" s="12"/>
      <c r="P136" s="12"/>
      <c r="Q136" s="12"/>
    </row>
    <row r="137" spans="1:17" x14ac:dyDescent="0.25">
      <c r="A137" s="11"/>
      <c r="B137" s="12"/>
      <c r="C137" s="12"/>
      <c r="D137" s="125"/>
      <c r="E137" s="125"/>
      <c r="F137" s="12"/>
      <c r="G137" s="12"/>
      <c r="H137" s="12"/>
      <c r="I137" s="13"/>
      <c r="J137" s="13"/>
      <c r="K137" s="12"/>
      <c r="L137" s="12"/>
      <c r="M137" s="12"/>
      <c r="N137" s="12"/>
      <c r="O137" s="12"/>
      <c r="P137" s="12"/>
      <c r="Q137" s="12"/>
    </row>
    <row r="138" spans="1:17" x14ac:dyDescent="0.25">
      <c r="A138" s="11"/>
      <c r="B138" s="12"/>
      <c r="C138" s="12"/>
      <c r="D138" s="125"/>
      <c r="E138" s="125"/>
      <c r="F138" s="12"/>
      <c r="G138" s="12"/>
      <c r="H138" s="12"/>
      <c r="I138" s="13"/>
      <c r="J138" s="13"/>
      <c r="K138" s="12"/>
      <c r="L138" s="12"/>
      <c r="M138" s="12"/>
      <c r="N138" s="12"/>
      <c r="O138" s="12"/>
      <c r="P138" s="12"/>
      <c r="Q138" s="12"/>
    </row>
    <row r="139" spans="1:17" x14ac:dyDescent="0.25">
      <c r="A139" s="11"/>
      <c r="B139" s="12"/>
      <c r="C139" s="12"/>
      <c r="D139" s="125"/>
      <c r="E139" s="125"/>
      <c r="F139" s="12"/>
      <c r="G139" s="12"/>
      <c r="H139" s="12"/>
      <c r="I139" s="13"/>
      <c r="J139" s="13"/>
      <c r="K139" s="12"/>
      <c r="L139" s="12"/>
      <c r="M139" s="12"/>
      <c r="N139" s="12"/>
      <c r="O139" s="12"/>
      <c r="P139" s="12"/>
      <c r="Q139" s="12"/>
    </row>
    <row r="140" spans="1:17" x14ac:dyDescent="0.25">
      <c r="A140" s="11"/>
      <c r="B140" s="12"/>
      <c r="C140" s="12"/>
      <c r="D140" s="125"/>
      <c r="E140" s="125"/>
      <c r="F140" s="12"/>
      <c r="G140" s="12"/>
      <c r="H140" s="12"/>
      <c r="I140" s="13"/>
      <c r="J140" s="13"/>
      <c r="K140" s="12"/>
      <c r="L140" s="12"/>
      <c r="M140" s="12"/>
      <c r="N140" s="12"/>
      <c r="O140" s="12"/>
      <c r="P140" s="12"/>
      <c r="Q140" s="12"/>
    </row>
    <row r="141" spans="1:17" x14ac:dyDescent="0.25">
      <c r="A141" s="11"/>
      <c r="B141" s="12"/>
      <c r="C141" s="12"/>
      <c r="D141" s="125"/>
      <c r="E141" s="125"/>
      <c r="F141" s="12"/>
      <c r="G141" s="12"/>
      <c r="H141" s="12"/>
      <c r="I141" s="13"/>
      <c r="J141" s="13"/>
      <c r="K141" s="12"/>
      <c r="L141" s="12"/>
      <c r="M141" s="12"/>
      <c r="N141" s="12"/>
      <c r="O141" s="12"/>
      <c r="P141" s="12"/>
      <c r="Q141" s="12"/>
    </row>
    <row r="142" spans="1:17" x14ac:dyDescent="0.25">
      <c r="A142" s="11"/>
      <c r="B142" s="12"/>
      <c r="C142" s="12"/>
      <c r="D142" s="125"/>
      <c r="E142" s="125"/>
      <c r="F142" s="12"/>
      <c r="G142" s="12"/>
      <c r="H142" s="12"/>
      <c r="I142" s="13"/>
      <c r="J142" s="13"/>
      <c r="K142" s="12"/>
      <c r="L142" s="12"/>
      <c r="M142" s="12"/>
      <c r="N142" s="12"/>
      <c r="O142" s="12"/>
      <c r="P142" s="12"/>
      <c r="Q142" s="12"/>
    </row>
    <row r="143" spans="1:17" x14ac:dyDescent="0.25">
      <c r="A143" s="11"/>
      <c r="B143" s="12"/>
      <c r="C143" s="12"/>
      <c r="D143" s="125"/>
      <c r="E143" s="125"/>
      <c r="F143" s="12"/>
      <c r="G143" s="12"/>
      <c r="H143" s="12"/>
      <c r="I143" s="13"/>
      <c r="J143" s="13"/>
      <c r="K143" s="12"/>
      <c r="L143" s="12"/>
      <c r="M143" s="12"/>
      <c r="N143" s="12"/>
      <c r="O143" s="12"/>
      <c r="P143" s="12"/>
      <c r="Q143" s="12"/>
    </row>
    <row r="144" spans="1:17" x14ac:dyDescent="0.25">
      <c r="A144" s="11"/>
      <c r="B144" s="12"/>
      <c r="C144" s="12"/>
      <c r="D144" s="125"/>
      <c r="E144" s="125"/>
      <c r="F144" s="12"/>
      <c r="G144" s="12"/>
      <c r="H144" s="12"/>
      <c r="I144" s="13"/>
      <c r="J144" s="13"/>
      <c r="K144" s="12"/>
      <c r="L144" s="12"/>
      <c r="M144" s="12"/>
      <c r="N144" s="12"/>
      <c r="O144" s="12"/>
      <c r="P144" s="12"/>
      <c r="Q144" s="12"/>
    </row>
    <row r="145" spans="1:17" x14ac:dyDescent="0.25">
      <c r="A145" s="11"/>
      <c r="B145" s="12"/>
      <c r="C145" s="12"/>
      <c r="D145" s="125"/>
      <c r="E145" s="125"/>
      <c r="F145" s="12"/>
      <c r="G145" s="12"/>
      <c r="H145" s="12"/>
      <c r="I145" s="13"/>
      <c r="J145" s="13"/>
      <c r="K145" s="12"/>
      <c r="L145" s="12"/>
      <c r="M145" s="12"/>
      <c r="N145" s="12"/>
      <c r="O145" s="12"/>
      <c r="P145" s="12"/>
      <c r="Q145" s="12"/>
    </row>
    <row r="146" spans="1:17" x14ac:dyDescent="0.25">
      <c r="A146" s="11"/>
      <c r="B146" s="12"/>
      <c r="C146" s="12"/>
      <c r="D146" s="125"/>
      <c r="E146" s="125"/>
      <c r="F146" s="12"/>
      <c r="G146" s="12"/>
      <c r="H146" s="12"/>
      <c r="I146" s="13"/>
      <c r="J146" s="13"/>
      <c r="K146" s="12"/>
      <c r="L146" s="12"/>
      <c r="M146" s="12"/>
      <c r="N146" s="12"/>
      <c r="O146" s="12"/>
      <c r="P146" s="12"/>
      <c r="Q146" s="12"/>
    </row>
    <row r="147" spans="1:17" x14ac:dyDescent="0.25">
      <c r="A147" s="11"/>
      <c r="B147" s="12"/>
      <c r="C147" s="12"/>
      <c r="D147" s="125"/>
      <c r="E147" s="125"/>
      <c r="F147" s="12"/>
      <c r="G147" s="12"/>
      <c r="H147" s="12"/>
      <c r="I147" s="13"/>
      <c r="J147" s="13"/>
      <c r="K147" s="12"/>
      <c r="L147" s="12"/>
      <c r="M147" s="12"/>
      <c r="N147" s="12"/>
      <c r="O147" s="12"/>
      <c r="P147" s="12"/>
      <c r="Q147" s="12"/>
    </row>
    <row r="148" spans="1:17" x14ac:dyDescent="0.25">
      <c r="A148" s="11"/>
      <c r="B148" s="12"/>
      <c r="C148" s="12"/>
      <c r="D148" s="125"/>
      <c r="E148" s="125"/>
      <c r="F148" s="12"/>
      <c r="G148" s="12"/>
      <c r="H148" s="12"/>
      <c r="I148" s="13"/>
      <c r="J148" s="13"/>
      <c r="K148" s="12"/>
      <c r="L148" s="12"/>
      <c r="M148" s="12"/>
      <c r="N148" s="12"/>
      <c r="O148" s="12"/>
      <c r="P148" s="12"/>
      <c r="Q148" s="12"/>
    </row>
    <row r="149" spans="1:17" x14ac:dyDescent="0.25">
      <c r="A149" s="11"/>
      <c r="B149" s="12"/>
      <c r="C149" s="12"/>
      <c r="D149" s="125"/>
      <c r="E149" s="125"/>
      <c r="F149" s="12"/>
      <c r="G149" s="12"/>
      <c r="H149" s="12"/>
      <c r="I149" s="13"/>
      <c r="J149" s="13"/>
      <c r="K149" s="12"/>
      <c r="L149" s="12"/>
      <c r="M149" s="12"/>
      <c r="N149" s="12"/>
      <c r="O149" s="12"/>
      <c r="P149" s="12"/>
      <c r="Q149" s="12"/>
    </row>
    <row r="150" spans="1:17" x14ac:dyDescent="0.25">
      <c r="A150" s="11"/>
      <c r="B150" s="12"/>
      <c r="C150" s="12"/>
      <c r="D150" s="125"/>
      <c r="E150" s="125"/>
      <c r="F150" s="12"/>
      <c r="G150" s="12"/>
      <c r="H150" s="12"/>
      <c r="I150" s="13"/>
      <c r="J150" s="13"/>
      <c r="K150" s="12"/>
      <c r="L150" s="12"/>
      <c r="M150" s="12"/>
      <c r="N150" s="12"/>
      <c r="O150" s="12"/>
      <c r="P150" s="12"/>
      <c r="Q150" s="12"/>
    </row>
    <row r="151" spans="1:17" x14ac:dyDescent="0.25">
      <c r="A151" s="11"/>
      <c r="B151" s="12"/>
      <c r="C151" s="12"/>
      <c r="D151" s="125"/>
      <c r="E151" s="125"/>
      <c r="F151" s="12"/>
      <c r="G151" s="12"/>
      <c r="H151" s="12"/>
      <c r="I151" s="13"/>
      <c r="J151" s="13"/>
      <c r="K151" s="12"/>
      <c r="L151" s="12"/>
      <c r="M151" s="12"/>
      <c r="N151" s="12"/>
      <c r="O151" s="12"/>
      <c r="P151" s="12"/>
      <c r="Q151" s="12"/>
    </row>
    <row r="152" spans="1:17" x14ac:dyDescent="0.25">
      <c r="A152" s="11"/>
      <c r="B152" s="12"/>
      <c r="C152" s="12"/>
      <c r="D152" s="125"/>
      <c r="E152" s="125"/>
      <c r="F152" s="12"/>
      <c r="G152" s="12"/>
      <c r="H152" s="12"/>
      <c r="I152" s="13"/>
      <c r="J152" s="13"/>
      <c r="K152" s="12"/>
      <c r="L152" s="12"/>
      <c r="M152" s="12"/>
      <c r="N152" s="12"/>
      <c r="O152" s="12"/>
      <c r="P152" s="12"/>
      <c r="Q152" s="12"/>
    </row>
    <row r="153" spans="1:17" x14ac:dyDescent="0.25">
      <c r="A153" s="11"/>
      <c r="B153" s="12"/>
      <c r="C153" s="12"/>
      <c r="D153" s="125"/>
      <c r="E153" s="125"/>
      <c r="F153" s="12"/>
      <c r="G153" s="12"/>
      <c r="H153" s="12"/>
      <c r="I153" s="13"/>
      <c r="J153" s="13"/>
      <c r="K153" s="12"/>
      <c r="L153" s="12"/>
      <c r="M153" s="12"/>
      <c r="N153" s="12"/>
      <c r="O153" s="12"/>
      <c r="P153" s="12"/>
      <c r="Q153" s="12"/>
    </row>
    <row r="154" spans="1:17" x14ac:dyDescent="0.25">
      <c r="A154" s="11"/>
      <c r="B154" s="12"/>
      <c r="C154" s="12"/>
      <c r="D154" s="125"/>
      <c r="E154" s="125"/>
      <c r="F154" s="12"/>
      <c r="G154" s="12"/>
      <c r="H154" s="12"/>
      <c r="I154" s="13"/>
      <c r="J154" s="13"/>
      <c r="K154" s="12"/>
      <c r="L154" s="12"/>
      <c r="M154" s="12"/>
      <c r="N154" s="12"/>
      <c r="O154" s="12"/>
      <c r="P154" s="12"/>
      <c r="Q154" s="12"/>
    </row>
    <row r="155" spans="1:17" x14ac:dyDescent="0.25">
      <c r="A155" s="11"/>
      <c r="B155" s="12"/>
      <c r="C155" s="12"/>
      <c r="D155" s="125"/>
      <c r="E155" s="125"/>
      <c r="F155" s="12"/>
      <c r="G155" s="12"/>
      <c r="H155" s="12"/>
      <c r="I155" s="13"/>
      <c r="J155" s="13"/>
      <c r="K155" s="12"/>
      <c r="L155" s="12"/>
      <c r="M155" s="12"/>
      <c r="N155" s="12"/>
      <c r="O155" s="12"/>
      <c r="P155" s="12"/>
      <c r="Q155" s="12"/>
    </row>
    <row r="156" spans="1:17" x14ac:dyDescent="0.25">
      <c r="A156" s="11"/>
      <c r="B156" s="12"/>
      <c r="C156" s="12"/>
      <c r="D156" s="125"/>
      <c r="E156" s="125"/>
      <c r="F156" s="12"/>
      <c r="G156" s="12"/>
      <c r="H156" s="12"/>
      <c r="I156" s="13"/>
      <c r="J156" s="13"/>
      <c r="K156" s="12"/>
      <c r="L156" s="12"/>
      <c r="M156" s="12"/>
      <c r="N156" s="12"/>
      <c r="O156" s="12"/>
      <c r="P156" s="12"/>
      <c r="Q156" s="12"/>
    </row>
    <row r="157" spans="1:17" x14ac:dyDescent="0.25">
      <c r="A157" s="11"/>
      <c r="B157" s="12"/>
      <c r="C157" s="12"/>
      <c r="D157" s="125"/>
      <c r="E157" s="125"/>
      <c r="F157" s="12"/>
      <c r="G157" s="12"/>
      <c r="H157" s="12"/>
      <c r="I157" s="13"/>
      <c r="J157" s="13"/>
      <c r="K157" s="12"/>
      <c r="L157" s="12"/>
      <c r="M157" s="12"/>
      <c r="N157" s="12"/>
      <c r="O157" s="12"/>
      <c r="P157" s="12"/>
      <c r="Q157" s="12"/>
    </row>
    <row r="158" spans="1:17" x14ac:dyDescent="0.25">
      <c r="A158" s="11"/>
      <c r="B158" s="12"/>
      <c r="C158" s="12"/>
      <c r="D158" s="125"/>
      <c r="E158" s="125"/>
      <c r="F158" s="12"/>
      <c r="G158" s="12"/>
      <c r="H158" s="12"/>
      <c r="I158" s="13"/>
      <c r="J158" s="13"/>
      <c r="K158" s="12"/>
      <c r="L158" s="12"/>
      <c r="M158" s="12"/>
      <c r="N158" s="12"/>
      <c r="O158" s="12"/>
      <c r="P158" s="12"/>
      <c r="Q158" s="12"/>
    </row>
    <row r="159" spans="1:17" x14ac:dyDescent="0.25">
      <c r="A159" s="11"/>
      <c r="B159" s="12"/>
      <c r="C159" s="12"/>
      <c r="D159" s="125"/>
      <c r="E159" s="125"/>
      <c r="F159" s="12"/>
      <c r="G159" s="12"/>
      <c r="H159" s="12"/>
      <c r="I159" s="13"/>
      <c r="J159" s="13"/>
      <c r="K159" s="12"/>
      <c r="L159" s="12"/>
      <c r="M159" s="12"/>
      <c r="N159" s="12"/>
      <c r="O159" s="12"/>
      <c r="P159" s="12"/>
      <c r="Q159" s="12"/>
    </row>
    <row r="160" spans="1:17" x14ac:dyDescent="0.25">
      <c r="A160" s="11"/>
      <c r="B160" s="12"/>
      <c r="C160" s="12"/>
      <c r="D160" s="125"/>
      <c r="E160" s="125"/>
      <c r="F160" s="12"/>
      <c r="G160" s="12"/>
      <c r="H160" s="12"/>
      <c r="I160" s="13"/>
      <c r="J160" s="13"/>
      <c r="K160" s="12"/>
      <c r="L160" s="12"/>
      <c r="M160" s="12"/>
      <c r="N160" s="12"/>
      <c r="O160" s="12"/>
      <c r="P160" s="12"/>
      <c r="Q160" s="12"/>
    </row>
    <row r="161" spans="1:17" x14ac:dyDescent="0.25">
      <c r="A161" s="11"/>
      <c r="B161" s="12"/>
      <c r="C161" s="12"/>
      <c r="D161" s="125"/>
      <c r="E161" s="125"/>
      <c r="F161" s="12"/>
      <c r="G161" s="12"/>
      <c r="H161" s="12"/>
      <c r="I161" s="13"/>
      <c r="J161" s="13"/>
      <c r="K161" s="12"/>
      <c r="L161" s="12"/>
      <c r="M161" s="12"/>
      <c r="N161" s="12"/>
      <c r="O161" s="12"/>
      <c r="P161" s="12"/>
      <c r="Q161" s="12"/>
    </row>
    <row r="162" spans="1:17" x14ac:dyDescent="0.25">
      <c r="A162" s="11"/>
      <c r="B162" s="12"/>
      <c r="C162" s="12"/>
      <c r="D162" s="125"/>
      <c r="E162" s="125"/>
      <c r="F162" s="12"/>
      <c r="G162" s="12"/>
      <c r="H162" s="12"/>
      <c r="I162" s="13"/>
      <c r="J162" s="13"/>
      <c r="K162" s="12"/>
      <c r="L162" s="12"/>
      <c r="M162" s="12"/>
      <c r="N162" s="12"/>
      <c r="O162" s="12"/>
      <c r="P162" s="12"/>
      <c r="Q162" s="12"/>
    </row>
    <row r="163" spans="1:17" x14ac:dyDescent="0.25">
      <c r="A163" s="11"/>
      <c r="B163" s="12"/>
      <c r="C163" s="12"/>
      <c r="D163" s="125"/>
      <c r="E163" s="125"/>
      <c r="F163" s="12"/>
      <c r="G163" s="12"/>
      <c r="H163" s="12"/>
      <c r="I163" s="13"/>
      <c r="J163" s="13"/>
      <c r="K163" s="12"/>
      <c r="L163" s="12"/>
      <c r="M163" s="12"/>
      <c r="N163" s="12"/>
      <c r="O163" s="12"/>
      <c r="P163" s="12"/>
      <c r="Q163" s="12"/>
    </row>
    <row r="164" spans="1:17" x14ac:dyDescent="0.25">
      <c r="A164" s="11"/>
      <c r="B164" s="12"/>
      <c r="C164" s="12"/>
      <c r="D164" s="125"/>
      <c r="E164" s="125"/>
      <c r="F164" s="12"/>
      <c r="G164" s="12"/>
      <c r="H164" s="12"/>
      <c r="I164" s="13"/>
      <c r="J164" s="13"/>
      <c r="K164" s="12"/>
      <c r="L164" s="12"/>
      <c r="M164" s="12"/>
      <c r="N164" s="12"/>
      <c r="O164" s="12"/>
      <c r="P164" s="12"/>
      <c r="Q164" s="12"/>
    </row>
    <row r="165" spans="1:17" x14ac:dyDescent="0.25">
      <c r="A165" s="11"/>
      <c r="B165" s="12"/>
      <c r="C165" s="12"/>
      <c r="D165" s="125"/>
      <c r="E165" s="125"/>
      <c r="F165" s="12"/>
      <c r="G165" s="12"/>
      <c r="H165" s="12"/>
      <c r="I165" s="13"/>
      <c r="J165" s="13"/>
      <c r="K165" s="12"/>
      <c r="L165" s="12"/>
      <c r="M165" s="12"/>
      <c r="N165" s="12"/>
      <c r="O165" s="12"/>
      <c r="P165" s="12"/>
      <c r="Q165" s="12"/>
    </row>
    <row r="166" spans="1:17" x14ac:dyDescent="0.25">
      <c r="A166" s="11"/>
      <c r="B166" s="12"/>
      <c r="C166" s="12"/>
      <c r="D166" s="125"/>
      <c r="E166" s="125"/>
      <c r="F166" s="12"/>
      <c r="G166" s="12"/>
      <c r="H166" s="12"/>
      <c r="I166" s="13"/>
      <c r="J166" s="13"/>
      <c r="K166" s="12"/>
      <c r="L166" s="12"/>
      <c r="M166" s="12"/>
      <c r="N166" s="12"/>
      <c r="O166" s="12"/>
      <c r="P166" s="12"/>
      <c r="Q166" s="12"/>
    </row>
    <row r="167" spans="1:17" x14ac:dyDescent="0.25">
      <c r="A167" s="11"/>
      <c r="B167" s="12"/>
      <c r="C167" s="12"/>
      <c r="D167" s="125"/>
      <c r="E167" s="125"/>
      <c r="F167" s="12"/>
      <c r="G167" s="12"/>
      <c r="H167" s="12"/>
      <c r="I167" s="13"/>
      <c r="J167" s="13"/>
      <c r="K167" s="12"/>
      <c r="L167" s="12"/>
      <c r="M167" s="12"/>
      <c r="N167" s="12"/>
      <c r="O167" s="12"/>
      <c r="P167" s="12"/>
      <c r="Q167" s="12"/>
    </row>
    <row r="168" spans="1:17" x14ac:dyDescent="0.25">
      <c r="A168" s="11"/>
      <c r="B168" s="12"/>
      <c r="C168" s="12"/>
      <c r="D168" s="125"/>
      <c r="E168" s="125"/>
      <c r="F168" s="12"/>
      <c r="G168" s="12"/>
      <c r="H168" s="12"/>
      <c r="I168" s="13"/>
      <c r="J168" s="13"/>
      <c r="K168" s="12"/>
      <c r="L168" s="12"/>
      <c r="M168" s="12"/>
      <c r="N168" s="12"/>
      <c r="O168" s="12"/>
      <c r="P168" s="12"/>
      <c r="Q168" s="12"/>
    </row>
    <row r="169" spans="1:17" x14ac:dyDescent="0.25">
      <c r="A169" s="11"/>
      <c r="B169" s="12"/>
      <c r="C169" s="12"/>
      <c r="D169" s="125"/>
      <c r="E169" s="125"/>
      <c r="F169" s="12"/>
      <c r="G169" s="12"/>
      <c r="H169" s="12"/>
      <c r="I169" s="13"/>
      <c r="J169" s="13"/>
      <c r="K169" s="12"/>
      <c r="L169" s="12"/>
      <c r="M169" s="12"/>
      <c r="N169" s="12"/>
      <c r="O169" s="12"/>
      <c r="P169" s="12"/>
      <c r="Q169" s="12"/>
    </row>
    <row r="170" spans="1:17" x14ac:dyDescent="0.25">
      <c r="A170" s="11"/>
      <c r="B170" s="12"/>
      <c r="C170" s="12"/>
      <c r="D170" s="125"/>
      <c r="E170" s="125"/>
      <c r="F170" s="12"/>
      <c r="G170" s="12"/>
      <c r="H170" s="12"/>
      <c r="I170" s="13"/>
      <c r="J170" s="13"/>
      <c r="K170" s="12"/>
      <c r="L170" s="12"/>
      <c r="M170" s="12"/>
      <c r="N170" s="12"/>
      <c r="O170" s="12"/>
      <c r="P170" s="12"/>
      <c r="Q170" s="12"/>
    </row>
    <row r="171" spans="1:17" x14ac:dyDescent="0.25">
      <c r="A171" s="11"/>
      <c r="B171" s="12"/>
      <c r="C171" s="12"/>
      <c r="D171" s="125"/>
      <c r="E171" s="125"/>
      <c r="F171" s="12"/>
      <c r="G171" s="12"/>
      <c r="H171" s="12"/>
      <c r="I171" s="13"/>
      <c r="J171" s="13"/>
      <c r="K171" s="12"/>
      <c r="L171" s="12"/>
      <c r="M171" s="12"/>
      <c r="N171" s="12"/>
      <c r="O171" s="12"/>
      <c r="P171" s="12"/>
      <c r="Q171" s="12"/>
    </row>
    <row r="172" spans="1:17" x14ac:dyDescent="0.25">
      <c r="A172" s="11"/>
      <c r="B172" s="12"/>
      <c r="C172" s="12"/>
      <c r="D172" s="125"/>
      <c r="E172" s="125"/>
      <c r="F172" s="12"/>
      <c r="G172" s="12"/>
      <c r="H172" s="12"/>
      <c r="I172" s="13"/>
      <c r="J172" s="13"/>
      <c r="K172" s="12"/>
      <c r="L172" s="12"/>
      <c r="M172" s="12"/>
      <c r="N172" s="12"/>
      <c r="O172" s="12"/>
      <c r="P172" s="12"/>
      <c r="Q172" s="12"/>
    </row>
    <row r="173" spans="1:17" x14ac:dyDescent="0.25">
      <c r="A173" s="11"/>
      <c r="B173" s="12"/>
      <c r="C173" s="12"/>
      <c r="D173" s="125"/>
      <c r="E173" s="125"/>
      <c r="F173" s="12"/>
      <c r="G173" s="12"/>
      <c r="H173" s="12"/>
      <c r="I173" s="13"/>
      <c r="J173" s="13"/>
      <c r="K173" s="12"/>
      <c r="L173" s="12"/>
      <c r="M173" s="12"/>
      <c r="N173" s="12"/>
      <c r="O173" s="12"/>
      <c r="P173" s="12"/>
      <c r="Q173" s="12"/>
    </row>
    <row r="174" spans="1:17" x14ac:dyDescent="0.25">
      <c r="A174" s="11"/>
      <c r="B174" s="12"/>
      <c r="C174" s="12"/>
      <c r="D174" s="125"/>
      <c r="E174" s="125"/>
      <c r="F174" s="12"/>
      <c r="G174" s="12"/>
      <c r="H174" s="12"/>
      <c r="I174" s="13"/>
      <c r="J174" s="13"/>
      <c r="K174" s="12"/>
      <c r="L174" s="12"/>
      <c r="M174" s="12"/>
      <c r="N174" s="12"/>
      <c r="O174" s="12"/>
      <c r="P174" s="12"/>
      <c r="Q174" s="12"/>
    </row>
    <row r="175" spans="1:17" x14ac:dyDescent="0.25">
      <c r="A175" s="11"/>
      <c r="B175" s="12"/>
      <c r="C175" s="12"/>
      <c r="D175" s="125"/>
      <c r="E175" s="125"/>
      <c r="F175" s="12"/>
      <c r="G175" s="12"/>
      <c r="H175" s="12"/>
      <c r="I175" s="13"/>
      <c r="J175" s="13"/>
      <c r="K175" s="12"/>
      <c r="L175" s="12"/>
      <c r="M175" s="12"/>
      <c r="N175" s="12"/>
      <c r="O175" s="12"/>
      <c r="P175" s="12"/>
      <c r="Q175" s="12"/>
    </row>
    <row r="176" spans="1:17" x14ac:dyDescent="0.25">
      <c r="A176" s="11"/>
      <c r="B176" s="12"/>
      <c r="C176" s="12"/>
      <c r="D176" s="125"/>
      <c r="E176" s="125"/>
      <c r="F176" s="12"/>
      <c r="G176" s="12"/>
      <c r="H176" s="12"/>
      <c r="I176" s="13"/>
      <c r="J176" s="13"/>
      <c r="K176" s="12"/>
      <c r="L176" s="12"/>
      <c r="M176" s="12"/>
      <c r="N176" s="12"/>
      <c r="O176" s="12"/>
      <c r="P176" s="12"/>
      <c r="Q176" s="12"/>
    </row>
    <row r="177" spans="1:17" x14ac:dyDescent="0.25">
      <c r="A177" s="11"/>
      <c r="B177" s="12"/>
      <c r="C177" s="12"/>
      <c r="D177" s="125"/>
      <c r="E177" s="125"/>
      <c r="F177" s="12"/>
      <c r="G177" s="12"/>
      <c r="H177" s="12"/>
      <c r="I177" s="13"/>
      <c r="J177" s="13"/>
      <c r="K177" s="12"/>
      <c r="L177" s="12"/>
      <c r="M177" s="12"/>
      <c r="N177" s="12"/>
      <c r="O177" s="12"/>
      <c r="P177" s="12"/>
      <c r="Q177" s="12"/>
    </row>
    <row r="178" spans="1:17" x14ac:dyDescent="0.25">
      <c r="A178" s="11"/>
      <c r="B178" s="12"/>
      <c r="C178" s="12"/>
      <c r="D178" s="125"/>
      <c r="E178" s="125"/>
      <c r="F178" s="12"/>
      <c r="G178" s="12"/>
      <c r="H178" s="12"/>
      <c r="I178" s="13"/>
      <c r="J178" s="13"/>
      <c r="K178" s="12"/>
      <c r="L178" s="12"/>
      <c r="M178" s="12"/>
      <c r="N178" s="12"/>
      <c r="O178" s="12"/>
      <c r="P178" s="12"/>
      <c r="Q178" s="12"/>
    </row>
    <row r="179" spans="1:17" x14ac:dyDescent="0.25">
      <c r="A179" s="11"/>
      <c r="B179" s="12"/>
      <c r="C179" s="12"/>
      <c r="D179" s="125"/>
      <c r="E179" s="125"/>
      <c r="F179" s="12"/>
      <c r="G179" s="12"/>
      <c r="H179" s="12"/>
      <c r="I179" s="13"/>
      <c r="J179" s="13"/>
      <c r="K179" s="12"/>
      <c r="L179" s="12"/>
      <c r="M179" s="12"/>
      <c r="N179" s="12"/>
      <c r="O179" s="12"/>
      <c r="P179" s="12"/>
      <c r="Q179" s="12"/>
    </row>
    <row r="180" spans="1:17" x14ac:dyDescent="0.25">
      <c r="A180" s="11"/>
      <c r="B180" s="12"/>
      <c r="C180" s="12"/>
      <c r="D180" s="125"/>
      <c r="E180" s="125"/>
      <c r="F180" s="12"/>
      <c r="G180" s="12"/>
      <c r="H180" s="12"/>
      <c r="I180" s="13"/>
      <c r="J180" s="13"/>
      <c r="K180" s="12"/>
      <c r="L180" s="12"/>
      <c r="M180" s="12"/>
      <c r="N180" s="12"/>
      <c r="O180" s="12"/>
      <c r="P180" s="12"/>
      <c r="Q180" s="12"/>
    </row>
    <row r="181" spans="1:17" x14ac:dyDescent="0.25">
      <c r="A181" s="11"/>
      <c r="B181" s="12"/>
      <c r="C181" s="12"/>
      <c r="D181" s="125"/>
      <c r="E181" s="125"/>
      <c r="F181" s="12"/>
      <c r="G181" s="12"/>
      <c r="H181" s="12"/>
      <c r="I181" s="13"/>
      <c r="J181" s="13"/>
      <c r="K181" s="12"/>
      <c r="L181" s="12"/>
      <c r="M181" s="12"/>
      <c r="N181" s="12"/>
      <c r="O181" s="12"/>
      <c r="P181" s="12"/>
      <c r="Q181" s="12"/>
    </row>
    <row r="182" spans="1:17" x14ac:dyDescent="0.25">
      <c r="A182" s="11"/>
      <c r="B182" s="12"/>
      <c r="C182" s="12"/>
      <c r="D182" s="125"/>
      <c r="E182" s="125"/>
      <c r="F182" s="12"/>
      <c r="G182" s="12"/>
      <c r="H182" s="12"/>
      <c r="I182" s="13"/>
      <c r="J182" s="13"/>
      <c r="K182" s="12"/>
      <c r="L182" s="12"/>
      <c r="M182" s="12"/>
      <c r="N182" s="12"/>
      <c r="O182" s="12"/>
      <c r="P182" s="12"/>
      <c r="Q182" s="12"/>
    </row>
    <row r="183" spans="1:17" x14ac:dyDescent="0.25">
      <c r="A183" s="11"/>
      <c r="B183" s="12"/>
      <c r="C183" s="12"/>
      <c r="D183" s="125"/>
      <c r="E183" s="125"/>
      <c r="F183" s="12"/>
      <c r="G183" s="12"/>
      <c r="H183" s="12"/>
      <c r="I183" s="13"/>
      <c r="J183" s="13"/>
      <c r="K183" s="12"/>
      <c r="L183" s="12"/>
      <c r="M183" s="12"/>
      <c r="N183" s="12"/>
      <c r="O183" s="12"/>
      <c r="P183" s="12"/>
      <c r="Q183" s="12"/>
    </row>
    <row r="184" spans="1:17" x14ac:dyDescent="0.25">
      <c r="A184" s="11"/>
      <c r="B184" s="12"/>
      <c r="C184" s="12"/>
      <c r="D184" s="125"/>
      <c r="E184" s="125"/>
      <c r="F184" s="12"/>
      <c r="G184" s="12"/>
      <c r="H184" s="12"/>
      <c r="I184" s="13"/>
      <c r="J184" s="13"/>
      <c r="K184" s="12"/>
      <c r="L184" s="12"/>
      <c r="M184" s="12"/>
      <c r="N184" s="12"/>
      <c r="O184" s="12"/>
      <c r="P184" s="12"/>
      <c r="Q184" s="12"/>
    </row>
    <row r="185" spans="1:17" x14ac:dyDescent="0.25">
      <c r="A185" s="11"/>
      <c r="B185" s="12"/>
      <c r="C185" s="12"/>
      <c r="D185" s="125"/>
      <c r="E185" s="125"/>
      <c r="F185" s="12"/>
      <c r="G185" s="12"/>
      <c r="H185" s="12"/>
      <c r="I185" s="13"/>
      <c r="J185" s="13"/>
      <c r="K185" s="12"/>
      <c r="L185" s="12"/>
      <c r="M185" s="12"/>
      <c r="N185" s="12"/>
      <c r="O185" s="12"/>
      <c r="P185" s="12"/>
      <c r="Q185" s="12"/>
    </row>
    <row r="186" spans="1:17" x14ac:dyDescent="0.25">
      <c r="A186" s="11"/>
      <c r="B186" s="12"/>
      <c r="C186" s="12"/>
      <c r="D186" s="125"/>
      <c r="E186" s="125"/>
      <c r="F186" s="12"/>
      <c r="G186" s="12"/>
      <c r="H186" s="12"/>
      <c r="I186" s="13"/>
      <c r="J186" s="13"/>
      <c r="K186" s="12"/>
      <c r="L186" s="12"/>
      <c r="M186" s="12"/>
      <c r="N186" s="12"/>
      <c r="O186" s="12"/>
      <c r="P186" s="12"/>
      <c r="Q186" s="12"/>
    </row>
    <row r="187" spans="1:17" x14ac:dyDescent="0.25">
      <c r="A187" s="11"/>
      <c r="B187" s="12"/>
      <c r="C187" s="12"/>
      <c r="D187" s="125"/>
      <c r="E187" s="125"/>
      <c r="F187" s="12"/>
      <c r="G187" s="12"/>
      <c r="H187" s="12"/>
      <c r="I187" s="13"/>
      <c r="J187" s="13"/>
      <c r="K187" s="12"/>
      <c r="L187" s="12"/>
      <c r="M187" s="12"/>
      <c r="N187" s="12"/>
      <c r="O187" s="12"/>
      <c r="P187" s="12"/>
      <c r="Q187" s="12"/>
    </row>
    <row r="188" spans="1:17" x14ac:dyDescent="0.25">
      <c r="A188" s="11"/>
      <c r="B188" s="12"/>
      <c r="C188" s="12"/>
      <c r="D188" s="125"/>
      <c r="E188" s="125"/>
      <c r="F188" s="12"/>
      <c r="G188" s="12"/>
      <c r="H188" s="12"/>
      <c r="I188" s="13"/>
      <c r="J188" s="13"/>
      <c r="K188" s="12"/>
      <c r="L188" s="12"/>
      <c r="M188" s="12"/>
      <c r="N188" s="12"/>
      <c r="O188" s="12"/>
      <c r="P188" s="12"/>
      <c r="Q188" s="12"/>
    </row>
    <row r="189" spans="1:17" x14ac:dyDescent="0.25">
      <c r="A189" s="11"/>
      <c r="B189" s="12"/>
      <c r="C189" s="12"/>
      <c r="D189" s="125"/>
      <c r="E189" s="125"/>
      <c r="F189" s="12"/>
      <c r="G189" s="12"/>
      <c r="H189" s="12"/>
      <c r="I189" s="13"/>
      <c r="J189" s="13"/>
      <c r="K189" s="12"/>
      <c r="L189" s="12"/>
      <c r="M189" s="12"/>
      <c r="N189" s="12"/>
      <c r="O189" s="12"/>
      <c r="P189" s="12"/>
      <c r="Q189" s="12"/>
    </row>
    <row r="190" spans="1:17" x14ac:dyDescent="0.25">
      <c r="A190" s="11"/>
      <c r="B190" s="12"/>
      <c r="C190" s="12"/>
      <c r="D190" s="125"/>
      <c r="E190" s="125"/>
      <c r="F190" s="12"/>
      <c r="G190" s="12"/>
      <c r="H190" s="12"/>
      <c r="I190" s="13"/>
      <c r="J190" s="13"/>
      <c r="K190" s="12"/>
      <c r="L190" s="12"/>
      <c r="M190" s="12"/>
      <c r="N190" s="12"/>
      <c r="O190" s="12"/>
      <c r="P190" s="12"/>
      <c r="Q190" s="12"/>
    </row>
    <row r="191" spans="1:17" x14ac:dyDescent="0.25">
      <c r="A191" s="11"/>
      <c r="B191" s="12"/>
      <c r="C191" s="12"/>
      <c r="D191" s="125"/>
      <c r="E191" s="125"/>
      <c r="F191" s="12"/>
      <c r="G191" s="12"/>
      <c r="H191" s="12"/>
      <c r="I191" s="13"/>
      <c r="J191" s="13"/>
      <c r="K191" s="12"/>
      <c r="L191" s="12"/>
      <c r="M191" s="12"/>
      <c r="N191" s="12"/>
      <c r="O191" s="12"/>
      <c r="P191" s="12"/>
      <c r="Q191" s="12"/>
    </row>
    <row r="192" spans="1:17" x14ac:dyDescent="0.25">
      <c r="A192" s="11"/>
      <c r="B192" s="12"/>
      <c r="C192" s="12"/>
      <c r="D192" s="125"/>
      <c r="E192" s="125"/>
      <c r="F192" s="12"/>
      <c r="G192" s="12"/>
      <c r="H192" s="12"/>
      <c r="I192" s="13"/>
      <c r="J192" s="13"/>
      <c r="K192" s="12"/>
      <c r="L192" s="12"/>
      <c r="M192" s="12"/>
      <c r="N192" s="12"/>
      <c r="O192" s="12"/>
      <c r="P192" s="12"/>
      <c r="Q192" s="12"/>
    </row>
    <row r="193" spans="1:17" x14ac:dyDescent="0.25">
      <c r="A193" s="11"/>
      <c r="B193" s="12"/>
      <c r="C193" s="12"/>
      <c r="D193" s="125"/>
      <c r="E193" s="125"/>
      <c r="F193" s="12"/>
      <c r="G193" s="12"/>
      <c r="H193" s="12"/>
      <c r="I193" s="13"/>
      <c r="J193" s="13"/>
      <c r="K193" s="12"/>
      <c r="L193" s="12"/>
      <c r="M193" s="12"/>
      <c r="N193" s="12"/>
      <c r="O193" s="12"/>
      <c r="P193" s="12"/>
      <c r="Q193" s="12"/>
    </row>
    <row r="194" spans="1:17" x14ac:dyDescent="0.25">
      <c r="A194" s="11"/>
      <c r="B194" s="12"/>
      <c r="C194" s="12"/>
      <c r="D194" s="125"/>
      <c r="E194" s="125"/>
      <c r="F194" s="12"/>
      <c r="G194" s="12"/>
      <c r="H194" s="12"/>
      <c r="I194" s="13"/>
      <c r="J194" s="13"/>
      <c r="K194" s="12"/>
      <c r="L194" s="12"/>
      <c r="M194" s="12"/>
      <c r="N194" s="12"/>
      <c r="O194" s="12"/>
      <c r="P194" s="12"/>
      <c r="Q194" s="12"/>
    </row>
    <row r="195" spans="1:17" x14ac:dyDescent="0.25">
      <c r="A195" s="11"/>
      <c r="B195" s="12"/>
      <c r="C195" s="12"/>
      <c r="D195" s="125"/>
      <c r="E195" s="125"/>
      <c r="F195" s="12"/>
      <c r="G195" s="12"/>
      <c r="H195" s="12"/>
      <c r="I195" s="13"/>
      <c r="J195" s="13"/>
      <c r="K195" s="12"/>
      <c r="L195" s="12"/>
      <c r="M195" s="12"/>
      <c r="N195" s="12"/>
      <c r="O195" s="12"/>
      <c r="P195" s="12"/>
      <c r="Q195" s="12"/>
    </row>
    <row r="196" spans="1:17" x14ac:dyDescent="0.25">
      <c r="A196" s="11"/>
      <c r="B196" s="12"/>
      <c r="C196" s="12"/>
      <c r="D196" s="125"/>
      <c r="E196" s="125"/>
      <c r="F196" s="12"/>
      <c r="G196" s="12"/>
      <c r="H196" s="12"/>
      <c r="I196" s="13"/>
      <c r="J196" s="13"/>
      <c r="K196" s="12"/>
      <c r="L196" s="12"/>
      <c r="M196" s="12"/>
      <c r="N196" s="12"/>
      <c r="O196" s="12"/>
      <c r="P196" s="12"/>
      <c r="Q196" s="12"/>
    </row>
    <row r="197" spans="1:17" x14ac:dyDescent="0.25">
      <c r="A197" s="11"/>
      <c r="B197" s="12"/>
      <c r="C197" s="12"/>
      <c r="D197" s="125"/>
      <c r="E197" s="125"/>
      <c r="F197" s="12"/>
      <c r="G197" s="12"/>
      <c r="H197" s="12"/>
      <c r="I197" s="13"/>
      <c r="J197" s="13"/>
      <c r="K197" s="12"/>
      <c r="L197" s="12"/>
      <c r="M197" s="12"/>
      <c r="N197" s="12"/>
      <c r="O197" s="12"/>
      <c r="P197" s="12"/>
      <c r="Q197" s="12"/>
    </row>
    <row r="198" spans="1:17" x14ac:dyDescent="0.25">
      <c r="A198" s="11"/>
      <c r="B198" s="12"/>
      <c r="C198" s="12"/>
      <c r="D198" s="125"/>
      <c r="E198" s="125"/>
      <c r="F198" s="12"/>
      <c r="G198" s="12"/>
      <c r="H198" s="12"/>
      <c r="I198" s="13"/>
      <c r="J198" s="13"/>
      <c r="K198" s="12"/>
      <c r="L198" s="12"/>
      <c r="M198" s="12"/>
      <c r="N198" s="12"/>
      <c r="O198" s="12"/>
      <c r="P198" s="12"/>
      <c r="Q198" s="12"/>
    </row>
    <row r="199" spans="1:17" x14ac:dyDescent="0.25">
      <c r="A199" s="11"/>
      <c r="B199" s="12"/>
      <c r="C199" s="12"/>
      <c r="D199" s="125"/>
      <c r="E199" s="125"/>
      <c r="F199" s="12"/>
      <c r="G199" s="12"/>
      <c r="H199" s="12"/>
      <c r="I199" s="13"/>
      <c r="J199" s="13"/>
      <c r="K199" s="12"/>
      <c r="L199" s="12"/>
      <c r="M199" s="12"/>
      <c r="N199" s="12"/>
      <c r="O199" s="12"/>
      <c r="P199" s="12"/>
      <c r="Q199" s="12"/>
    </row>
    <row r="200" spans="1:17" x14ac:dyDescent="0.25">
      <c r="A200" s="11"/>
      <c r="B200" s="12"/>
      <c r="C200" s="12"/>
      <c r="D200" s="125"/>
      <c r="E200" s="125"/>
      <c r="F200" s="12"/>
      <c r="G200" s="12"/>
      <c r="H200" s="12"/>
      <c r="I200" s="13"/>
      <c r="J200" s="13"/>
      <c r="K200" s="12"/>
      <c r="L200" s="12"/>
      <c r="M200" s="12"/>
      <c r="N200" s="12"/>
      <c r="O200" s="12"/>
      <c r="P200" s="12"/>
      <c r="Q200" s="12"/>
    </row>
    <row r="201" spans="1:17" x14ac:dyDescent="0.25">
      <c r="A201" s="11"/>
      <c r="B201" s="12"/>
      <c r="C201" s="12"/>
      <c r="D201" s="125"/>
      <c r="E201" s="125"/>
      <c r="F201" s="12"/>
      <c r="G201" s="12"/>
      <c r="H201" s="12"/>
      <c r="I201" s="13"/>
      <c r="J201" s="13"/>
      <c r="K201" s="12"/>
      <c r="L201" s="12"/>
      <c r="M201" s="12"/>
      <c r="N201" s="12"/>
      <c r="O201" s="12"/>
      <c r="P201" s="12"/>
      <c r="Q201" s="12"/>
    </row>
    <row r="202" spans="1:17" x14ac:dyDescent="0.25">
      <c r="A202" s="11"/>
      <c r="B202" s="12"/>
      <c r="C202" s="12"/>
      <c r="D202" s="125"/>
      <c r="E202" s="125"/>
      <c r="F202" s="12"/>
      <c r="G202" s="12"/>
      <c r="H202" s="12"/>
      <c r="I202" s="13"/>
      <c r="J202" s="13"/>
      <c r="K202" s="12"/>
      <c r="L202" s="12"/>
      <c r="M202" s="12"/>
      <c r="N202" s="12"/>
      <c r="O202" s="12"/>
      <c r="P202" s="12"/>
      <c r="Q202" s="12"/>
    </row>
    <row r="203" spans="1:17" x14ac:dyDescent="0.25">
      <c r="A203" s="11"/>
      <c r="B203" s="12"/>
      <c r="C203" s="12"/>
      <c r="D203" s="125"/>
      <c r="E203" s="125"/>
      <c r="F203" s="12"/>
      <c r="G203" s="12"/>
      <c r="H203" s="12"/>
      <c r="I203" s="13"/>
      <c r="J203" s="13"/>
      <c r="K203" s="12"/>
      <c r="L203" s="12"/>
      <c r="M203" s="12"/>
      <c r="N203" s="12"/>
      <c r="O203" s="12"/>
      <c r="P203" s="12"/>
      <c r="Q203" s="12"/>
    </row>
    <row r="204" spans="1:17" x14ac:dyDescent="0.25">
      <c r="A204" s="11"/>
      <c r="B204" s="12"/>
      <c r="C204" s="12"/>
      <c r="D204" s="125"/>
      <c r="E204" s="125"/>
      <c r="F204" s="12"/>
      <c r="G204" s="12"/>
      <c r="H204" s="12"/>
      <c r="I204" s="13"/>
      <c r="J204" s="13"/>
      <c r="K204" s="12"/>
      <c r="L204" s="12"/>
      <c r="M204" s="12"/>
      <c r="N204" s="12"/>
      <c r="O204" s="12"/>
      <c r="P204" s="12"/>
      <c r="Q204" s="12"/>
    </row>
    <row r="205" spans="1:17" x14ac:dyDescent="0.25">
      <c r="A205" s="11"/>
      <c r="B205" s="12"/>
      <c r="C205" s="12"/>
      <c r="D205" s="125"/>
      <c r="E205" s="125"/>
      <c r="F205" s="12"/>
      <c r="G205" s="12"/>
      <c r="H205" s="12"/>
      <c r="I205" s="13"/>
      <c r="J205" s="13"/>
      <c r="K205" s="12"/>
      <c r="L205" s="12"/>
      <c r="M205" s="12"/>
      <c r="N205" s="12"/>
      <c r="O205" s="12"/>
      <c r="P205" s="12"/>
      <c r="Q205" s="12"/>
    </row>
    <row r="206" spans="1:17" x14ac:dyDescent="0.25">
      <c r="A206" s="11"/>
      <c r="B206" s="12"/>
      <c r="C206" s="12"/>
      <c r="D206" s="125"/>
      <c r="E206" s="125"/>
      <c r="F206" s="12"/>
      <c r="G206" s="12"/>
      <c r="H206" s="12"/>
      <c r="I206" s="13"/>
      <c r="J206" s="13"/>
      <c r="K206" s="12"/>
      <c r="L206" s="12"/>
      <c r="M206" s="12"/>
      <c r="N206" s="12"/>
      <c r="O206" s="12"/>
      <c r="P206" s="12"/>
      <c r="Q206" s="12"/>
    </row>
    <row r="207" spans="1:17" x14ac:dyDescent="0.25">
      <c r="A207" s="11"/>
      <c r="B207" s="12"/>
      <c r="C207" s="12"/>
      <c r="D207" s="125"/>
      <c r="E207" s="125"/>
      <c r="F207" s="12"/>
      <c r="G207" s="12"/>
      <c r="H207" s="12"/>
      <c r="I207" s="13"/>
      <c r="J207" s="13"/>
      <c r="K207" s="12"/>
      <c r="L207" s="12"/>
      <c r="M207" s="12"/>
      <c r="N207" s="12"/>
      <c r="O207" s="12"/>
      <c r="P207" s="12"/>
      <c r="Q207" s="12"/>
    </row>
    <row r="208" spans="1:17" x14ac:dyDescent="0.25">
      <c r="A208" s="11"/>
      <c r="B208" s="12"/>
      <c r="C208" s="12"/>
      <c r="D208" s="125"/>
      <c r="E208" s="125"/>
      <c r="F208" s="12"/>
      <c r="G208" s="12"/>
      <c r="H208" s="12"/>
      <c r="I208" s="13"/>
      <c r="J208" s="13"/>
      <c r="K208" s="12"/>
      <c r="L208" s="12"/>
      <c r="M208" s="12"/>
      <c r="N208" s="12"/>
      <c r="O208" s="12"/>
      <c r="P208" s="12"/>
      <c r="Q208" s="12"/>
    </row>
    <row r="209" spans="1:17" x14ac:dyDescent="0.25">
      <c r="A209" s="11"/>
      <c r="B209" s="12"/>
      <c r="C209" s="12"/>
      <c r="D209" s="125"/>
      <c r="E209" s="125"/>
      <c r="F209" s="12"/>
      <c r="G209" s="12"/>
      <c r="H209" s="12"/>
      <c r="I209" s="13"/>
      <c r="J209" s="13"/>
      <c r="K209" s="12"/>
      <c r="L209" s="12"/>
      <c r="M209" s="12"/>
      <c r="N209" s="12"/>
      <c r="O209" s="12"/>
      <c r="P209" s="12"/>
      <c r="Q209" s="12"/>
    </row>
    <row r="210" spans="1:17" x14ac:dyDescent="0.25">
      <c r="A210" s="11"/>
      <c r="B210" s="12"/>
      <c r="C210" s="12"/>
      <c r="D210" s="125"/>
      <c r="E210" s="125"/>
      <c r="F210" s="12"/>
      <c r="G210" s="12"/>
      <c r="H210" s="12"/>
      <c r="I210" s="13"/>
      <c r="J210" s="13"/>
      <c r="K210" s="12"/>
      <c r="L210" s="12"/>
      <c r="M210" s="12"/>
      <c r="N210" s="12"/>
      <c r="O210" s="12"/>
      <c r="P210" s="12"/>
      <c r="Q210" s="12"/>
    </row>
    <row r="211" spans="1:17" x14ac:dyDescent="0.25">
      <c r="A211" s="11"/>
      <c r="B211" s="12"/>
      <c r="C211" s="12"/>
      <c r="D211" s="125"/>
      <c r="E211" s="125"/>
      <c r="F211" s="12"/>
      <c r="G211" s="12"/>
      <c r="H211" s="12"/>
      <c r="I211" s="13"/>
      <c r="J211" s="13"/>
      <c r="K211" s="12"/>
      <c r="L211" s="12"/>
      <c r="M211" s="12"/>
      <c r="N211" s="12"/>
      <c r="O211" s="12"/>
      <c r="P211" s="12"/>
      <c r="Q211" s="12"/>
    </row>
    <row r="212" spans="1:17" x14ac:dyDescent="0.25">
      <c r="A212" s="11"/>
      <c r="B212" s="12"/>
      <c r="C212" s="12"/>
      <c r="D212" s="125"/>
      <c r="E212" s="125"/>
      <c r="F212" s="12"/>
      <c r="G212" s="12"/>
      <c r="H212" s="12"/>
      <c r="I212" s="13"/>
      <c r="J212" s="13"/>
      <c r="K212" s="12"/>
      <c r="L212" s="12"/>
      <c r="M212" s="12"/>
      <c r="N212" s="12"/>
      <c r="O212" s="12"/>
      <c r="P212" s="12"/>
      <c r="Q212" s="12"/>
    </row>
    <row r="213" spans="1:17" x14ac:dyDescent="0.25">
      <c r="A213" s="11"/>
      <c r="B213" s="12"/>
      <c r="C213" s="12"/>
      <c r="D213" s="125"/>
      <c r="E213" s="125"/>
      <c r="F213" s="12"/>
      <c r="G213" s="12"/>
      <c r="H213" s="12"/>
      <c r="I213" s="13"/>
      <c r="J213" s="13"/>
      <c r="K213" s="12"/>
      <c r="L213" s="12"/>
      <c r="M213" s="12"/>
      <c r="N213" s="12"/>
      <c r="O213" s="12"/>
      <c r="P213" s="12"/>
      <c r="Q213" s="12"/>
    </row>
    <row r="214" spans="1:17" x14ac:dyDescent="0.25">
      <c r="A214" s="11"/>
      <c r="B214" s="12"/>
      <c r="C214" s="12"/>
      <c r="D214" s="125"/>
      <c r="E214" s="125"/>
      <c r="F214" s="12"/>
      <c r="G214" s="12"/>
      <c r="H214" s="12"/>
      <c r="I214" s="13"/>
      <c r="J214" s="13"/>
      <c r="K214" s="12"/>
      <c r="L214" s="12"/>
      <c r="M214" s="12"/>
      <c r="N214" s="12"/>
      <c r="O214" s="12"/>
      <c r="P214" s="12"/>
      <c r="Q214" s="12"/>
    </row>
    <row r="215" spans="1:17" x14ac:dyDescent="0.25">
      <c r="A215" s="11"/>
      <c r="B215" s="12"/>
      <c r="C215" s="12"/>
      <c r="D215" s="125"/>
      <c r="E215" s="125"/>
      <c r="F215" s="12"/>
      <c r="G215" s="12"/>
      <c r="H215" s="12"/>
      <c r="I215" s="13"/>
      <c r="J215" s="13"/>
      <c r="K215" s="12"/>
      <c r="L215" s="12"/>
      <c r="M215" s="12"/>
      <c r="N215" s="12"/>
      <c r="O215" s="12"/>
      <c r="P215" s="12"/>
      <c r="Q215" s="12"/>
    </row>
    <row r="216" spans="1:17" x14ac:dyDescent="0.25">
      <c r="A216" s="11"/>
      <c r="B216" s="12"/>
      <c r="C216" s="12"/>
      <c r="D216" s="125"/>
      <c r="E216" s="125"/>
      <c r="F216" s="12"/>
      <c r="G216" s="12"/>
      <c r="H216" s="12"/>
      <c r="I216" s="13"/>
      <c r="J216" s="13"/>
      <c r="K216" s="12"/>
      <c r="L216" s="12"/>
      <c r="M216" s="12"/>
      <c r="N216" s="12"/>
      <c r="O216" s="12"/>
      <c r="P216" s="12"/>
      <c r="Q216" s="12"/>
    </row>
    <row r="217" spans="1:17" x14ac:dyDescent="0.25">
      <c r="A217" s="11"/>
      <c r="B217" s="12"/>
      <c r="C217" s="12"/>
      <c r="D217" s="125"/>
      <c r="E217" s="125"/>
      <c r="F217" s="12"/>
      <c r="G217" s="12"/>
      <c r="H217" s="12"/>
      <c r="I217" s="13"/>
      <c r="J217" s="13"/>
      <c r="K217" s="12"/>
      <c r="L217" s="12"/>
      <c r="M217" s="12"/>
      <c r="N217" s="12"/>
      <c r="O217" s="12"/>
      <c r="P217" s="12"/>
      <c r="Q217" s="12"/>
    </row>
    <row r="218" spans="1:17" x14ac:dyDescent="0.25">
      <c r="A218" s="11"/>
      <c r="B218" s="12"/>
      <c r="C218" s="12"/>
      <c r="D218" s="125"/>
      <c r="E218" s="125"/>
      <c r="F218" s="12"/>
      <c r="G218" s="12"/>
      <c r="H218" s="12"/>
      <c r="I218" s="13"/>
      <c r="J218" s="13"/>
      <c r="K218" s="12"/>
      <c r="L218" s="12"/>
      <c r="M218" s="12"/>
      <c r="N218" s="12"/>
      <c r="O218" s="12"/>
      <c r="P218" s="12"/>
      <c r="Q218" s="12"/>
    </row>
    <row r="219" spans="1:17" x14ac:dyDescent="0.25">
      <c r="A219" s="11"/>
      <c r="B219" s="12"/>
      <c r="C219" s="12"/>
      <c r="D219" s="125"/>
      <c r="E219" s="125"/>
      <c r="F219" s="12"/>
      <c r="G219" s="12"/>
      <c r="H219" s="12"/>
      <c r="I219" s="13"/>
      <c r="J219" s="13"/>
      <c r="K219" s="12"/>
      <c r="L219" s="12"/>
      <c r="M219" s="12"/>
      <c r="N219" s="12"/>
      <c r="O219" s="12"/>
      <c r="P219" s="12"/>
      <c r="Q219" s="12"/>
    </row>
    <row r="220" spans="1:17" x14ac:dyDescent="0.25">
      <c r="A220" s="11"/>
      <c r="B220" s="12"/>
      <c r="C220" s="12"/>
      <c r="D220" s="125"/>
      <c r="E220" s="125"/>
      <c r="F220" s="12"/>
      <c r="G220" s="12"/>
      <c r="H220" s="12"/>
      <c r="I220" s="13"/>
      <c r="J220" s="13"/>
      <c r="K220" s="12"/>
      <c r="L220" s="12"/>
      <c r="M220" s="12"/>
      <c r="N220" s="12"/>
      <c r="O220" s="12"/>
      <c r="P220" s="12"/>
      <c r="Q220" s="12"/>
    </row>
    <row r="221" spans="1:17" x14ac:dyDescent="0.25">
      <c r="A221" s="11"/>
      <c r="B221" s="12"/>
      <c r="C221" s="12"/>
      <c r="D221" s="125"/>
      <c r="E221" s="125"/>
      <c r="F221" s="12"/>
      <c r="G221" s="12"/>
      <c r="H221" s="12"/>
      <c r="I221" s="13"/>
      <c r="J221" s="13"/>
      <c r="K221" s="12"/>
      <c r="L221" s="12"/>
      <c r="M221" s="12"/>
      <c r="N221" s="12"/>
      <c r="O221" s="12"/>
      <c r="P221" s="12"/>
      <c r="Q221" s="12"/>
    </row>
    <row r="222" spans="1:17" x14ac:dyDescent="0.25">
      <c r="A222" s="11"/>
      <c r="B222" s="12"/>
      <c r="C222" s="12"/>
      <c r="D222" s="125"/>
      <c r="E222" s="125"/>
      <c r="F222" s="12"/>
      <c r="G222" s="12"/>
      <c r="H222" s="12"/>
      <c r="I222" s="13"/>
      <c r="J222" s="13"/>
      <c r="K222" s="12"/>
      <c r="L222" s="12"/>
      <c r="M222" s="12"/>
      <c r="N222" s="12"/>
      <c r="O222" s="12"/>
      <c r="P222" s="12"/>
      <c r="Q222" s="12"/>
    </row>
    <row r="223" spans="1:17" x14ac:dyDescent="0.25">
      <c r="A223" s="11"/>
      <c r="B223" s="12"/>
      <c r="C223" s="12"/>
      <c r="D223" s="125"/>
      <c r="E223" s="125"/>
      <c r="F223" s="12"/>
      <c r="G223" s="12"/>
      <c r="H223" s="12"/>
      <c r="I223" s="13"/>
      <c r="J223" s="13"/>
      <c r="K223" s="12"/>
      <c r="L223" s="12"/>
      <c r="M223" s="12"/>
      <c r="N223" s="12"/>
      <c r="O223" s="12"/>
      <c r="P223" s="12"/>
      <c r="Q223" s="12"/>
    </row>
    <row r="224" spans="1:17" x14ac:dyDescent="0.25">
      <c r="A224" s="11"/>
      <c r="B224" s="12"/>
      <c r="C224" s="12"/>
      <c r="D224" s="125"/>
      <c r="E224" s="125"/>
      <c r="F224" s="12"/>
      <c r="G224" s="12"/>
      <c r="H224" s="12"/>
      <c r="I224" s="13"/>
      <c r="J224" s="13"/>
      <c r="K224" s="12"/>
      <c r="L224" s="12"/>
      <c r="M224" s="12"/>
      <c r="N224" s="12"/>
      <c r="O224" s="12"/>
      <c r="P224" s="12"/>
      <c r="Q224" s="12"/>
    </row>
    <row r="225" spans="1:17" x14ac:dyDescent="0.25">
      <c r="A225" s="11"/>
      <c r="B225" s="12"/>
      <c r="C225" s="12"/>
      <c r="D225" s="125"/>
      <c r="E225" s="125"/>
      <c r="F225" s="12"/>
      <c r="G225" s="12"/>
      <c r="H225" s="12"/>
      <c r="I225" s="13"/>
      <c r="J225" s="13"/>
      <c r="K225" s="12"/>
      <c r="L225" s="12"/>
      <c r="M225" s="12"/>
      <c r="N225" s="12"/>
      <c r="O225" s="12"/>
      <c r="P225" s="12"/>
      <c r="Q225" s="12"/>
    </row>
    <row r="226" spans="1:17" x14ac:dyDescent="0.25">
      <c r="A226" s="11"/>
      <c r="B226" s="12"/>
      <c r="C226" s="12"/>
      <c r="D226" s="125"/>
      <c r="E226" s="125"/>
      <c r="F226" s="12"/>
      <c r="G226" s="12"/>
      <c r="H226" s="12"/>
      <c r="I226" s="13"/>
      <c r="J226" s="13"/>
      <c r="K226" s="12"/>
      <c r="L226" s="12"/>
      <c r="M226" s="12"/>
      <c r="N226" s="12"/>
      <c r="O226" s="12"/>
      <c r="P226" s="12"/>
      <c r="Q226" s="12"/>
    </row>
    <row r="227" spans="1:17" x14ac:dyDescent="0.25">
      <c r="A227" s="11"/>
      <c r="B227" s="12"/>
      <c r="C227" s="12"/>
      <c r="D227" s="125"/>
      <c r="E227" s="125"/>
      <c r="F227" s="12"/>
      <c r="G227" s="12"/>
      <c r="H227" s="12"/>
      <c r="I227" s="13"/>
      <c r="J227" s="13"/>
      <c r="K227" s="12"/>
      <c r="L227" s="12"/>
      <c r="M227" s="12"/>
      <c r="N227" s="12"/>
      <c r="O227" s="12"/>
      <c r="P227" s="12"/>
      <c r="Q227" s="12"/>
    </row>
    <row r="228" spans="1:17" x14ac:dyDescent="0.25">
      <c r="A228" s="11"/>
      <c r="B228" s="12"/>
      <c r="C228" s="12"/>
      <c r="D228" s="125"/>
      <c r="E228" s="125"/>
      <c r="F228" s="12"/>
      <c r="G228" s="12"/>
      <c r="H228" s="12"/>
      <c r="I228" s="13"/>
      <c r="J228" s="13"/>
      <c r="K228" s="12"/>
      <c r="L228" s="12"/>
      <c r="M228" s="12"/>
      <c r="N228" s="12"/>
      <c r="O228" s="12"/>
      <c r="P228" s="12"/>
      <c r="Q228" s="12"/>
    </row>
    <row r="229" spans="1:17" x14ac:dyDescent="0.25">
      <c r="A229" s="11"/>
      <c r="B229" s="12"/>
      <c r="C229" s="12"/>
      <c r="D229" s="125"/>
      <c r="E229" s="125"/>
      <c r="F229" s="12"/>
      <c r="G229" s="12"/>
      <c r="H229" s="12"/>
      <c r="I229" s="13"/>
      <c r="J229" s="13"/>
      <c r="K229" s="12"/>
      <c r="L229" s="12"/>
      <c r="M229" s="12"/>
      <c r="N229" s="12"/>
      <c r="O229" s="12"/>
      <c r="P229" s="12"/>
      <c r="Q229" s="12"/>
    </row>
    <row r="230" spans="1:17" x14ac:dyDescent="0.25">
      <c r="A230" s="11"/>
      <c r="B230" s="12"/>
      <c r="C230" s="12"/>
      <c r="D230" s="125"/>
      <c r="E230" s="125"/>
      <c r="F230" s="12"/>
      <c r="G230" s="12"/>
      <c r="H230" s="12"/>
      <c r="I230" s="13"/>
      <c r="J230" s="13"/>
      <c r="K230" s="12"/>
      <c r="L230" s="12"/>
      <c r="M230" s="12"/>
      <c r="N230" s="12"/>
      <c r="O230" s="12"/>
      <c r="P230" s="12"/>
      <c r="Q230" s="12"/>
    </row>
    <row r="231" spans="1:17" x14ac:dyDescent="0.25">
      <c r="A231" s="11"/>
      <c r="B231" s="12"/>
      <c r="C231" s="12"/>
      <c r="D231" s="125"/>
      <c r="E231" s="125"/>
      <c r="F231" s="12"/>
      <c r="G231" s="12"/>
      <c r="H231" s="12"/>
      <c r="I231" s="13"/>
      <c r="J231" s="13"/>
      <c r="K231" s="12"/>
      <c r="L231" s="12"/>
      <c r="M231" s="12"/>
      <c r="N231" s="12"/>
      <c r="O231" s="12"/>
      <c r="P231" s="12"/>
      <c r="Q231" s="12"/>
    </row>
    <row r="232" spans="1:17" x14ac:dyDescent="0.25">
      <c r="A232" s="11"/>
      <c r="B232" s="12"/>
      <c r="C232" s="12"/>
      <c r="D232" s="125"/>
      <c r="E232" s="125"/>
      <c r="F232" s="12"/>
      <c r="G232" s="12"/>
      <c r="H232" s="12"/>
      <c r="I232" s="13"/>
      <c r="J232" s="13"/>
      <c r="K232" s="12"/>
      <c r="L232" s="12"/>
      <c r="M232" s="12"/>
      <c r="N232" s="12"/>
      <c r="O232" s="12"/>
      <c r="P232" s="12"/>
      <c r="Q232" s="12"/>
    </row>
    <row r="233" spans="1:17" x14ac:dyDescent="0.25">
      <c r="A233" s="11"/>
      <c r="B233" s="12"/>
      <c r="C233" s="12"/>
      <c r="D233" s="125"/>
      <c r="E233" s="125"/>
      <c r="F233" s="12"/>
      <c r="G233" s="12"/>
      <c r="H233" s="12"/>
      <c r="I233" s="13"/>
      <c r="J233" s="13"/>
      <c r="K233" s="12"/>
      <c r="L233" s="12"/>
      <c r="M233" s="12"/>
      <c r="N233" s="12"/>
      <c r="O233" s="12"/>
      <c r="P233" s="12"/>
      <c r="Q233" s="12"/>
    </row>
    <row r="234" spans="1:17" x14ac:dyDescent="0.25">
      <c r="A234" s="11"/>
      <c r="B234" s="12"/>
      <c r="C234" s="12"/>
      <c r="D234" s="125"/>
      <c r="E234" s="125"/>
      <c r="F234" s="12"/>
      <c r="G234" s="12"/>
      <c r="H234" s="12"/>
      <c r="I234" s="13"/>
      <c r="J234" s="13"/>
      <c r="K234" s="12"/>
      <c r="L234" s="12"/>
      <c r="M234" s="12"/>
      <c r="N234" s="12"/>
      <c r="O234" s="12"/>
      <c r="P234" s="12"/>
      <c r="Q234" s="12"/>
    </row>
    <row r="235" spans="1:17" x14ac:dyDescent="0.25">
      <c r="A235" s="11"/>
      <c r="B235" s="12"/>
      <c r="C235" s="12"/>
      <c r="D235" s="125"/>
      <c r="E235" s="125"/>
      <c r="F235" s="12"/>
      <c r="G235" s="12"/>
      <c r="H235" s="12"/>
      <c r="I235" s="13"/>
      <c r="J235" s="13"/>
      <c r="K235" s="12"/>
      <c r="L235" s="12"/>
      <c r="M235" s="12"/>
      <c r="N235" s="12"/>
      <c r="O235" s="12"/>
      <c r="P235" s="12"/>
      <c r="Q235" s="12"/>
    </row>
    <row r="236" spans="1:17" x14ac:dyDescent="0.25">
      <c r="A236" s="11"/>
      <c r="B236" s="12"/>
      <c r="C236" s="12"/>
      <c r="D236" s="125"/>
      <c r="E236" s="125"/>
      <c r="F236" s="12"/>
      <c r="G236" s="12"/>
      <c r="H236" s="12"/>
      <c r="I236" s="13"/>
      <c r="J236" s="13"/>
      <c r="K236" s="12"/>
      <c r="L236" s="12"/>
      <c r="M236" s="12"/>
      <c r="N236" s="12"/>
      <c r="O236" s="12"/>
      <c r="P236" s="12"/>
      <c r="Q236" s="12"/>
    </row>
    <row r="237" spans="1:17" x14ac:dyDescent="0.25">
      <c r="A237" s="11"/>
      <c r="B237" s="12"/>
      <c r="C237" s="12"/>
      <c r="D237" s="125"/>
      <c r="E237" s="125"/>
      <c r="F237" s="12"/>
      <c r="G237" s="12"/>
      <c r="H237" s="12"/>
      <c r="I237" s="13"/>
      <c r="J237" s="13"/>
      <c r="K237" s="12"/>
      <c r="L237" s="12"/>
      <c r="M237" s="12"/>
      <c r="N237" s="12"/>
      <c r="O237" s="12"/>
      <c r="P237" s="12"/>
      <c r="Q237" s="12"/>
    </row>
    <row r="238" spans="1:17" x14ac:dyDescent="0.25">
      <c r="A238" s="11"/>
      <c r="B238" s="12"/>
      <c r="C238" s="12"/>
      <c r="D238" s="125"/>
      <c r="E238" s="125"/>
      <c r="F238" s="12"/>
      <c r="G238" s="12"/>
      <c r="H238" s="12"/>
      <c r="I238" s="13"/>
      <c r="J238" s="13"/>
      <c r="K238" s="12"/>
      <c r="L238" s="12"/>
      <c r="M238" s="12"/>
      <c r="N238" s="12"/>
      <c r="O238" s="12"/>
      <c r="P238" s="12"/>
      <c r="Q238" s="12"/>
    </row>
    <row r="239" spans="1:17" x14ac:dyDescent="0.25">
      <c r="A239" s="11"/>
      <c r="B239" s="12"/>
      <c r="C239" s="12"/>
      <c r="D239" s="125"/>
      <c r="E239" s="125"/>
      <c r="F239" s="12"/>
      <c r="G239" s="12"/>
      <c r="H239" s="12"/>
      <c r="I239" s="13"/>
      <c r="J239" s="13"/>
      <c r="K239" s="12"/>
      <c r="L239" s="12"/>
      <c r="M239" s="12"/>
      <c r="N239" s="12"/>
      <c r="O239" s="12"/>
      <c r="P239" s="12"/>
      <c r="Q239" s="12"/>
    </row>
    <row r="240" spans="1:17" x14ac:dyDescent="0.25">
      <c r="A240" s="11"/>
      <c r="B240" s="12"/>
      <c r="C240" s="12"/>
      <c r="D240" s="125"/>
      <c r="E240" s="125"/>
      <c r="F240" s="12"/>
      <c r="G240" s="12"/>
      <c r="H240" s="12"/>
      <c r="I240" s="13"/>
      <c r="J240" s="13"/>
      <c r="K240" s="12"/>
      <c r="L240" s="12"/>
      <c r="M240" s="12"/>
      <c r="N240" s="12"/>
      <c r="O240" s="12"/>
      <c r="P240" s="12"/>
      <c r="Q240" s="12"/>
    </row>
    <row r="241" spans="1:17" x14ac:dyDescent="0.25">
      <c r="A241" s="11"/>
      <c r="B241" s="12"/>
      <c r="C241" s="12"/>
      <c r="D241" s="125"/>
      <c r="E241" s="125"/>
      <c r="F241" s="12"/>
      <c r="G241" s="12"/>
      <c r="H241" s="12"/>
      <c r="I241" s="13"/>
      <c r="J241" s="13"/>
      <c r="K241" s="12"/>
      <c r="L241" s="12"/>
      <c r="M241" s="12"/>
      <c r="N241" s="12"/>
      <c r="O241" s="12"/>
      <c r="P241" s="12"/>
      <c r="Q241" s="12"/>
    </row>
    <row r="242" spans="1:17" x14ac:dyDescent="0.25">
      <c r="A242" s="11"/>
      <c r="B242" s="12"/>
      <c r="C242" s="12"/>
      <c r="D242" s="125"/>
      <c r="E242" s="125"/>
      <c r="F242" s="12"/>
      <c r="G242" s="12"/>
      <c r="H242" s="12"/>
      <c r="I242" s="13"/>
      <c r="J242" s="13"/>
      <c r="K242" s="12"/>
      <c r="L242" s="12"/>
      <c r="M242" s="12"/>
      <c r="N242" s="12"/>
      <c r="O242" s="12"/>
      <c r="P242" s="12"/>
      <c r="Q242" s="12"/>
    </row>
    <row r="243" spans="1:17" x14ac:dyDescent="0.25">
      <c r="A243" s="11"/>
      <c r="B243" s="12"/>
      <c r="C243" s="12"/>
      <c r="D243" s="125"/>
      <c r="E243" s="125"/>
      <c r="F243" s="12"/>
      <c r="G243" s="12"/>
      <c r="H243" s="12"/>
      <c r="I243" s="13"/>
      <c r="J243" s="13"/>
      <c r="K243" s="12"/>
      <c r="L243" s="12"/>
      <c r="M243" s="12"/>
      <c r="N243" s="12"/>
      <c r="O243" s="12"/>
      <c r="P243" s="12"/>
      <c r="Q243" s="12"/>
    </row>
    <row r="244" spans="1:17" x14ac:dyDescent="0.25">
      <c r="A244" s="11"/>
      <c r="B244" s="12"/>
      <c r="C244" s="12"/>
      <c r="D244" s="125"/>
      <c r="E244" s="125"/>
      <c r="F244" s="12"/>
      <c r="G244" s="12"/>
      <c r="H244" s="12"/>
      <c r="I244" s="13"/>
      <c r="J244" s="13"/>
      <c r="K244" s="12"/>
      <c r="L244" s="12"/>
      <c r="M244" s="12"/>
      <c r="N244" s="12"/>
      <c r="O244" s="12"/>
      <c r="P244" s="12"/>
      <c r="Q244" s="12"/>
    </row>
    <row r="245" spans="1:17" x14ac:dyDescent="0.25">
      <c r="A245" s="11"/>
      <c r="B245" s="12"/>
      <c r="C245" s="12"/>
      <c r="D245" s="125"/>
      <c r="E245" s="125"/>
      <c r="F245" s="12"/>
      <c r="G245" s="12"/>
      <c r="H245" s="12"/>
      <c r="I245" s="13"/>
      <c r="J245" s="13"/>
      <c r="K245" s="12"/>
      <c r="L245" s="12"/>
      <c r="M245" s="12"/>
      <c r="N245" s="12"/>
      <c r="O245" s="12"/>
      <c r="P245" s="12"/>
      <c r="Q245" s="12"/>
    </row>
    <row r="246" spans="1:17" x14ac:dyDescent="0.25">
      <c r="A246" s="11"/>
      <c r="B246" s="12"/>
      <c r="C246" s="12"/>
      <c r="D246" s="125"/>
      <c r="E246" s="125"/>
      <c r="F246" s="12"/>
      <c r="G246" s="12"/>
      <c r="H246" s="12"/>
      <c r="I246" s="13"/>
      <c r="J246" s="13"/>
      <c r="K246" s="12"/>
      <c r="L246" s="12"/>
      <c r="M246" s="12"/>
      <c r="N246" s="12"/>
      <c r="O246" s="12"/>
      <c r="P246" s="12"/>
      <c r="Q246" s="12"/>
    </row>
    <row r="247" spans="1:17" x14ac:dyDescent="0.25">
      <c r="A247" s="11"/>
      <c r="B247" s="12"/>
      <c r="C247" s="12"/>
      <c r="D247" s="125"/>
      <c r="E247" s="125"/>
      <c r="F247" s="12"/>
      <c r="G247" s="12"/>
      <c r="H247" s="12"/>
      <c r="I247" s="13"/>
      <c r="J247" s="13"/>
      <c r="K247" s="12"/>
      <c r="L247" s="12"/>
      <c r="M247" s="12"/>
      <c r="N247" s="12"/>
      <c r="O247" s="12"/>
      <c r="P247" s="12"/>
      <c r="Q247" s="12"/>
    </row>
    <row r="248" spans="1:17" x14ac:dyDescent="0.25">
      <c r="A248" s="11"/>
      <c r="B248" s="12"/>
      <c r="C248" s="12"/>
      <c r="D248" s="125"/>
      <c r="E248" s="125"/>
      <c r="F248" s="12"/>
      <c r="G248" s="12"/>
      <c r="H248" s="12"/>
      <c r="I248" s="13"/>
      <c r="J248" s="13"/>
      <c r="K248" s="12"/>
      <c r="L248" s="12"/>
      <c r="M248" s="12"/>
      <c r="N248" s="12"/>
      <c r="O248" s="12"/>
      <c r="P248" s="12"/>
      <c r="Q248" s="12"/>
    </row>
    <row r="249" spans="1:17" x14ac:dyDescent="0.25">
      <c r="A249" s="11"/>
      <c r="B249" s="12"/>
      <c r="C249" s="12"/>
      <c r="D249" s="125"/>
      <c r="E249" s="125"/>
      <c r="F249" s="12"/>
      <c r="G249" s="12"/>
      <c r="H249" s="12"/>
      <c r="I249" s="13"/>
      <c r="J249" s="13"/>
      <c r="K249" s="12"/>
      <c r="L249" s="12"/>
      <c r="M249" s="12"/>
      <c r="N249" s="12"/>
      <c r="O249" s="12"/>
      <c r="P249" s="12"/>
      <c r="Q249" s="12"/>
    </row>
    <row r="250" spans="1:17" x14ac:dyDescent="0.25">
      <c r="A250" s="11"/>
      <c r="B250" s="12"/>
      <c r="C250" s="12"/>
      <c r="D250" s="125"/>
      <c r="E250" s="125"/>
      <c r="F250" s="12"/>
      <c r="G250" s="12"/>
      <c r="H250" s="12"/>
      <c r="I250" s="13"/>
      <c r="J250" s="13"/>
      <c r="K250" s="12"/>
      <c r="L250" s="12"/>
      <c r="M250" s="12"/>
      <c r="N250" s="12"/>
      <c r="O250" s="12"/>
      <c r="P250" s="12"/>
      <c r="Q250" s="12"/>
    </row>
    <row r="251" spans="1:17" x14ac:dyDescent="0.25">
      <c r="A251" s="11"/>
      <c r="B251" s="12"/>
      <c r="C251" s="12"/>
      <c r="D251" s="125"/>
      <c r="E251" s="125"/>
      <c r="F251" s="12"/>
      <c r="G251" s="12"/>
      <c r="H251" s="12"/>
      <c r="I251" s="13"/>
      <c r="J251" s="13"/>
      <c r="K251" s="12"/>
      <c r="L251" s="12"/>
      <c r="M251" s="12"/>
      <c r="N251" s="12"/>
      <c r="O251" s="12"/>
      <c r="P251" s="12"/>
      <c r="Q251" s="12"/>
    </row>
    <row r="252" spans="1:17" x14ac:dyDescent="0.25">
      <c r="A252" s="11"/>
      <c r="B252" s="12"/>
      <c r="C252" s="12"/>
      <c r="D252" s="125"/>
      <c r="E252" s="125"/>
      <c r="F252" s="12"/>
      <c r="G252" s="12"/>
      <c r="H252" s="12"/>
      <c r="I252" s="13"/>
      <c r="J252" s="13"/>
      <c r="K252" s="12"/>
      <c r="L252" s="12"/>
      <c r="M252" s="12"/>
      <c r="N252" s="12"/>
      <c r="O252" s="12"/>
      <c r="P252" s="12"/>
      <c r="Q252" s="12"/>
    </row>
    <row r="253" spans="1:17" x14ac:dyDescent="0.25">
      <c r="A253" s="11"/>
      <c r="B253" s="12"/>
      <c r="C253" s="12"/>
      <c r="D253" s="125"/>
      <c r="E253" s="125"/>
      <c r="F253" s="12"/>
      <c r="G253" s="12"/>
      <c r="H253" s="12"/>
      <c r="I253" s="13"/>
      <c r="J253" s="13"/>
      <c r="K253" s="12"/>
      <c r="L253" s="12"/>
      <c r="M253" s="12"/>
      <c r="N253" s="12"/>
      <c r="O253" s="12"/>
      <c r="P253" s="12"/>
      <c r="Q253" s="12"/>
    </row>
    <row r="254" spans="1:17" x14ac:dyDescent="0.25">
      <c r="A254" s="11"/>
      <c r="B254" s="12"/>
      <c r="C254" s="12"/>
      <c r="D254" s="125"/>
      <c r="E254" s="125"/>
      <c r="F254" s="12"/>
      <c r="G254" s="12"/>
      <c r="H254" s="12"/>
      <c r="I254" s="13"/>
      <c r="J254" s="13"/>
      <c r="K254" s="12"/>
      <c r="L254" s="12"/>
      <c r="M254" s="12"/>
      <c r="N254" s="12"/>
      <c r="O254" s="12"/>
      <c r="P254" s="12"/>
      <c r="Q254" s="12"/>
    </row>
    <row r="255" spans="1:17" x14ac:dyDescent="0.25">
      <c r="A255" s="11"/>
      <c r="B255" s="12"/>
      <c r="C255" s="12"/>
      <c r="D255" s="125"/>
      <c r="E255" s="125"/>
      <c r="F255" s="12"/>
      <c r="G255" s="12"/>
      <c r="H255" s="12"/>
      <c r="I255" s="13"/>
      <c r="J255" s="13"/>
      <c r="K255" s="12"/>
      <c r="L255" s="12"/>
      <c r="M255" s="12"/>
      <c r="N255" s="12"/>
      <c r="O255" s="12"/>
      <c r="P255" s="12"/>
      <c r="Q255" s="12"/>
    </row>
    <row r="256" spans="1:17" x14ac:dyDescent="0.25">
      <c r="A256" s="11"/>
      <c r="B256" s="12"/>
      <c r="C256" s="12"/>
      <c r="D256" s="125"/>
      <c r="E256" s="125"/>
      <c r="F256" s="12"/>
      <c r="G256" s="12"/>
      <c r="H256" s="12"/>
      <c r="I256" s="13"/>
      <c r="J256" s="13"/>
      <c r="K256" s="12"/>
      <c r="L256" s="12"/>
      <c r="M256" s="12"/>
      <c r="N256" s="12"/>
      <c r="O256" s="12"/>
      <c r="P256" s="12"/>
      <c r="Q256" s="12"/>
    </row>
    <row r="257" spans="1:17" x14ac:dyDescent="0.25">
      <c r="A257" s="11"/>
      <c r="B257" s="12"/>
      <c r="C257" s="12"/>
      <c r="D257" s="125"/>
      <c r="E257" s="125"/>
      <c r="F257" s="12"/>
      <c r="G257" s="12"/>
      <c r="H257" s="12"/>
      <c r="I257" s="13"/>
      <c r="J257" s="13"/>
      <c r="K257" s="12"/>
      <c r="L257" s="12"/>
      <c r="M257" s="12"/>
      <c r="N257" s="12"/>
      <c r="O257" s="12"/>
      <c r="P257" s="12"/>
      <c r="Q257" s="12"/>
    </row>
    <row r="258" spans="1:17" x14ac:dyDescent="0.25">
      <c r="A258" s="11"/>
      <c r="B258" s="12"/>
      <c r="C258" s="12"/>
      <c r="D258" s="125"/>
      <c r="E258" s="125"/>
      <c r="F258" s="12"/>
      <c r="G258" s="12"/>
      <c r="H258" s="12"/>
      <c r="I258" s="13"/>
      <c r="J258" s="13"/>
      <c r="K258" s="12"/>
      <c r="L258" s="12"/>
      <c r="M258" s="12"/>
      <c r="N258" s="12"/>
      <c r="O258" s="12"/>
      <c r="P258" s="12"/>
      <c r="Q258" s="12"/>
    </row>
    <row r="259" spans="1:17" x14ac:dyDescent="0.25">
      <c r="A259" s="11"/>
      <c r="B259" s="12"/>
      <c r="C259" s="12"/>
      <c r="D259" s="125"/>
      <c r="E259" s="125"/>
      <c r="F259" s="12"/>
      <c r="G259" s="12"/>
      <c r="H259" s="12"/>
      <c r="I259" s="13"/>
      <c r="J259" s="13"/>
      <c r="K259" s="12"/>
      <c r="L259" s="12"/>
      <c r="M259" s="12"/>
      <c r="N259" s="12"/>
      <c r="O259" s="12"/>
      <c r="P259" s="12"/>
      <c r="Q259" s="12"/>
    </row>
    <row r="260" spans="1:17" x14ac:dyDescent="0.25">
      <c r="A260" s="11"/>
      <c r="B260" s="12"/>
      <c r="C260" s="12"/>
      <c r="D260" s="125"/>
      <c r="E260" s="125"/>
      <c r="F260" s="12"/>
      <c r="G260" s="12"/>
      <c r="H260" s="12"/>
      <c r="I260" s="13"/>
      <c r="J260" s="13"/>
      <c r="K260" s="12"/>
      <c r="L260" s="12"/>
      <c r="M260" s="12"/>
      <c r="N260" s="12"/>
      <c r="O260" s="12"/>
      <c r="P260" s="12"/>
      <c r="Q260" s="12"/>
    </row>
    <row r="261" spans="1:17" x14ac:dyDescent="0.25">
      <c r="A261" s="11"/>
      <c r="B261" s="12"/>
      <c r="C261" s="12"/>
      <c r="D261" s="125"/>
      <c r="E261" s="125"/>
      <c r="F261" s="12"/>
      <c r="G261" s="12"/>
      <c r="H261" s="12"/>
      <c r="I261" s="13"/>
      <c r="J261" s="13"/>
      <c r="K261" s="12"/>
      <c r="L261" s="12"/>
      <c r="M261" s="12"/>
      <c r="N261" s="12"/>
      <c r="O261" s="12"/>
      <c r="P261" s="12"/>
      <c r="Q261" s="12"/>
    </row>
    <row r="262" spans="1:17" x14ac:dyDescent="0.25">
      <c r="A262" s="11"/>
      <c r="B262" s="12"/>
      <c r="C262" s="12"/>
      <c r="D262" s="125"/>
      <c r="E262" s="125"/>
      <c r="F262" s="12"/>
      <c r="G262" s="12"/>
      <c r="H262" s="12"/>
      <c r="I262" s="13"/>
      <c r="J262" s="13"/>
      <c r="K262" s="12"/>
      <c r="L262" s="12"/>
      <c r="M262" s="12"/>
      <c r="N262" s="12"/>
      <c r="O262" s="12"/>
      <c r="P262" s="12"/>
      <c r="Q262" s="12"/>
    </row>
    <row r="263" spans="1:17" x14ac:dyDescent="0.25">
      <c r="A263" s="11"/>
      <c r="B263" s="12"/>
      <c r="C263" s="12"/>
      <c r="D263" s="125"/>
      <c r="E263" s="125"/>
      <c r="F263" s="12"/>
      <c r="G263" s="12"/>
      <c r="H263" s="12"/>
      <c r="I263" s="13"/>
      <c r="J263" s="13"/>
      <c r="K263" s="12"/>
      <c r="L263" s="12"/>
      <c r="M263" s="12"/>
      <c r="N263" s="12"/>
      <c r="O263" s="12"/>
      <c r="P263" s="12"/>
      <c r="Q263" s="12"/>
    </row>
    <row r="264" spans="1:17" x14ac:dyDescent="0.25">
      <c r="A264" s="11"/>
      <c r="B264" s="12"/>
      <c r="C264" s="12"/>
      <c r="D264" s="125"/>
      <c r="E264" s="125"/>
      <c r="F264" s="12"/>
      <c r="G264" s="12"/>
      <c r="H264" s="12"/>
      <c r="I264" s="13"/>
      <c r="J264" s="13"/>
      <c r="K264" s="12"/>
      <c r="L264" s="12"/>
      <c r="M264" s="12"/>
      <c r="N264" s="12"/>
      <c r="O264" s="12"/>
      <c r="P264" s="12"/>
      <c r="Q264" s="12"/>
    </row>
    <row r="265" spans="1:17" x14ac:dyDescent="0.25">
      <c r="A265" s="11"/>
      <c r="B265" s="12"/>
      <c r="C265" s="12"/>
      <c r="D265" s="125"/>
      <c r="E265" s="125"/>
      <c r="F265" s="12"/>
      <c r="G265" s="12"/>
      <c r="H265" s="12"/>
      <c r="I265" s="13"/>
      <c r="J265" s="13"/>
      <c r="K265" s="12"/>
      <c r="L265" s="12"/>
      <c r="M265" s="12"/>
      <c r="N265" s="12"/>
      <c r="O265" s="12"/>
      <c r="P265" s="12"/>
      <c r="Q265" s="12"/>
    </row>
    <row r="266" spans="1:17" x14ac:dyDescent="0.25">
      <c r="A266" s="11"/>
      <c r="B266" s="12"/>
      <c r="C266" s="12"/>
      <c r="D266" s="125"/>
      <c r="E266" s="125"/>
      <c r="F266" s="12"/>
      <c r="G266" s="12"/>
      <c r="H266" s="12"/>
      <c r="I266" s="13"/>
      <c r="J266" s="13"/>
      <c r="K266" s="12"/>
      <c r="L266" s="12"/>
      <c r="M266" s="12"/>
      <c r="N266" s="12"/>
      <c r="O266" s="12"/>
      <c r="P266" s="12"/>
      <c r="Q266" s="12"/>
    </row>
    <row r="267" spans="1:17" x14ac:dyDescent="0.25">
      <c r="A267" s="11"/>
      <c r="B267" s="12"/>
      <c r="C267" s="12"/>
      <c r="D267" s="125"/>
      <c r="E267" s="125"/>
      <c r="F267" s="12"/>
      <c r="G267" s="12"/>
      <c r="H267" s="12"/>
      <c r="I267" s="13"/>
      <c r="J267" s="13"/>
      <c r="K267" s="12"/>
      <c r="L267" s="12"/>
      <c r="M267" s="12"/>
      <c r="N267" s="12"/>
      <c r="O267" s="12"/>
      <c r="P267" s="12"/>
      <c r="Q267" s="12"/>
    </row>
    <row r="268" spans="1:17" x14ac:dyDescent="0.25">
      <c r="A268" s="11"/>
      <c r="B268" s="12"/>
      <c r="C268" s="12"/>
      <c r="D268" s="125"/>
      <c r="E268" s="125"/>
      <c r="F268" s="12"/>
      <c r="G268" s="12"/>
      <c r="H268" s="12"/>
      <c r="I268" s="13"/>
      <c r="J268" s="13"/>
      <c r="K268" s="12"/>
      <c r="L268" s="12"/>
      <c r="M268" s="12"/>
      <c r="N268" s="12"/>
      <c r="O268" s="12"/>
      <c r="P268" s="12"/>
      <c r="Q268" s="12"/>
    </row>
    <row r="269" spans="1:17" x14ac:dyDescent="0.25">
      <c r="A269" s="11"/>
      <c r="B269" s="12"/>
      <c r="C269" s="12"/>
      <c r="D269" s="125"/>
      <c r="E269" s="125"/>
      <c r="F269" s="12"/>
      <c r="G269" s="12"/>
      <c r="H269" s="12"/>
      <c r="I269" s="13"/>
      <c r="J269" s="13"/>
      <c r="K269" s="12"/>
      <c r="L269" s="12"/>
      <c r="M269" s="12"/>
      <c r="N269" s="12"/>
      <c r="O269" s="12"/>
      <c r="P269" s="12"/>
      <c r="Q269" s="12"/>
    </row>
    <row r="270" spans="1:17" x14ac:dyDescent="0.25">
      <c r="A270" s="11"/>
      <c r="B270" s="12"/>
      <c r="C270" s="12"/>
      <c r="D270" s="125"/>
      <c r="E270" s="125"/>
      <c r="F270" s="12"/>
      <c r="G270" s="12"/>
      <c r="H270" s="12"/>
      <c r="I270" s="13"/>
      <c r="J270" s="13"/>
      <c r="K270" s="12"/>
      <c r="L270" s="12"/>
      <c r="M270" s="12"/>
      <c r="N270" s="12"/>
      <c r="O270" s="12"/>
      <c r="P270" s="12"/>
      <c r="Q270" s="12"/>
    </row>
    <row r="271" spans="1:17" x14ac:dyDescent="0.25">
      <c r="A271" s="11"/>
      <c r="B271" s="12"/>
      <c r="C271" s="12"/>
      <c r="D271" s="125"/>
      <c r="E271" s="125"/>
      <c r="F271" s="12"/>
      <c r="G271" s="12"/>
      <c r="H271" s="12"/>
      <c r="I271" s="13"/>
      <c r="J271" s="13"/>
      <c r="K271" s="12"/>
      <c r="L271" s="12"/>
      <c r="M271" s="12"/>
      <c r="N271" s="12"/>
      <c r="O271" s="12"/>
      <c r="P271" s="12"/>
      <c r="Q271" s="12"/>
    </row>
    <row r="272" spans="1:17" x14ac:dyDescent="0.25">
      <c r="A272" s="11"/>
      <c r="B272" s="12"/>
      <c r="C272" s="12"/>
      <c r="D272" s="125"/>
      <c r="E272" s="125"/>
      <c r="F272" s="12"/>
      <c r="G272" s="12"/>
      <c r="H272" s="12"/>
      <c r="I272" s="13"/>
      <c r="J272" s="13"/>
      <c r="K272" s="12"/>
      <c r="L272" s="12"/>
      <c r="M272" s="12"/>
      <c r="N272" s="12"/>
      <c r="O272" s="12"/>
      <c r="P272" s="12"/>
      <c r="Q272" s="12"/>
    </row>
    <row r="273" spans="1:17" x14ac:dyDescent="0.25">
      <c r="A273" s="11"/>
      <c r="B273" s="12"/>
      <c r="C273" s="12"/>
      <c r="D273" s="125"/>
      <c r="E273" s="125"/>
      <c r="F273" s="12"/>
      <c r="G273" s="12"/>
      <c r="H273" s="12"/>
      <c r="I273" s="13"/>
      <c r="J273" s="13"/>
      <c r="K273" s="12"/>
      <c r="L273" s="12"/>
      <c r="M273" s="12"/>
      <c r="N273" s="12"/>
      <c r="O273" s="12"/>
      <c r="P273" s="12"/>
      <c r="Q273" s="12"/>
    </row>
    <row r="274" spans="1:17" x14ac:dyDescent="0.25">
      <c r="A274" s="11"/>
      <c r="B274" s="12"/>
      <c r="C274" s="12"/>
      <c r="D274" s="125"/>
      <c r="E274" s="125"/>
      <c r="F274" s="12"/>
      <c r="G274" s="12"/>
      <c r="H274" s="12"/>
      <c r="I274" s="13"/>
      <c r="J274" s="13"/>
      <c r="K274" s="12"/>
      <c r="L274" s="12"/>
      <c r="M274" s="12"/>
      <c r="N274" s="12"/>
      <c r="O274" s="12"/>
      <c r="P274" s="12"/>
      <c r="Q274" s="12"/>
    </row>
    <row r="275" spans="1:17" x14ac:dyDescent="0.25">
      <c r="A275" s="11"/>
      <c r="B275" s="12"/>
      <c r="C275" s="12"/>
      <c r="D275" s="125"/>
      <c r="E275" s="125"/>
      <c r="F275" s="12"/>
      <c r="G275" s="12"/>
      <c r="H275" s="12"/>
      <c r="I275" s="13"/>
      <c r="J275" s="13"/>
      <c r="K275" s="12"/>
      <c r="L275" s="12"/>
      <c r="M275" s="12"/>
      <c r="N275" s="12"/>
      <c r="O275" s="12"/>
      <c r="P275" s="12"/>
      <c r="Q275" s="12"/>
    </row>
    <row r="276" spans="1:17" x14ac:dyDescent="0.25">
      <c r="A276" s="11"/>
      <c r="B276" s="12"/>
      <c r="C276" s="12"/>
      <c r="D276" s="125"/>
      <c r="E276" s="125"/>
      <c r="F276" s="12"/>
      <c r="G276" s="12"/>
      <c r="H276" s="12"/>
      <c r="I276" s="13"/>
      <c r="J276" s="13"/>
      <c r="K276" s="12"/>
      <c r="L276" s="12"/>
      <c r="M276" s="12"/>
      <c r="N276" s="12"/>
      <c r="O276" s="12"/>
      <c r="P276" s="12"/>
      <c r="Q276" s="12"/>
    </row>
    <row r="277" spans="1:17" x14ac:dyDescent="0.25">
      <c r="A277" s="11"/>
      <c r="B277" s="12"/>
      <c r="C277" s="12"/>
      <c r="D277" s="125"/>
      <c r="E277" s="125"/>
      <c r="F277" s="12"/>
      <c r="G277" s="12"/>
      <c r="H277" s="12"/>
      <c r="I277" s="13"/>
      <c r="J277" s="13"/>
      <c r="K277" s="12"/>
      <c r="L277" s="12"/>
      <c r="M277" s="12"/>
      <c r="N277" s="12"/>
      <c r="O277" s="12"/>
      <c r="P277" s="12"/>
      <c r="Q277" s="12"/>
    </row>
    <row r="278" spans="1:17" x14ac:dyDescent="0.25">
      <c r="A278" s="11"/>
      <c r="B278" s="12"/>
      <c r="C278" s="12"/>
      <c r="D278" s="125"/>
      <c r="E278" s="125"/>
      <c r="F278" s="12"/>
      <c r="G278" s="12"/>
      <c r="H278" s="12"/>
      <c r="I278" s="13"/>
      <c r="J278" s="13"/>
      <c r="K278" s="12"/>
      <c r="L278" s="12"/>
      <c r="M278" s="12"/>
      <c r="N278" s="12"/>
      <c r="O278" s="12"/>
      <c r="P278" s="12"/>
      <c r="Q278" s="12"/>
    </row>
    <row r="279" spans="1:17" x14ac:dyDescent="0.25">
      <c r="A279" s="11"/>
      <c r="B279" s="12"/>
      <c r="C279" s="12"/>
      <c r="D279" s="125"/>
      <c r="E279" s="125"/>
      <c r="F279" s="12"/>
      <c r="G279" s="12"/>
      <c r="H279" s="12"/>
      <c r="I279" s="13"/>
      <c r="J279" s="13"/>
      <c r="K279" s="12"/>
      <c r="L279" s="12"/>
      <c r="M279" s="12"/>
      <c r="N279" s="12"/>
      <c r="O279" s="12"/>
      <c r="P279" s="12"/>
      <c r="Q279" s="12"/>
    </row>
    <row r="280" spans="1:17" x14ac:dyDescent="0.25">
      <c r="A280" s="11"/>
      <c r="B280" s="12"/>
      <c r="C280" s="12"/>
      <c r="D280" s="125"/>
      <c r="E280" s="125"/>
      <c r="F280" s="12"/>
      <c r="G280" s="12"/>
      <c r="H280" s="12"/>
      <c r="I280" s="13"/>
      <c r="J280" s="13"/>
      <c r="K280" s="12"/>
      <c r="L280" s="12"/>
      <c r="M280" s="12"/>
      <c r="N280" s="12"/>
      <c r="O280" s="12"/>
      <c r="P280" s="12"/>
      <c r="Q280" s="12"/>
    </row>
    <row r="281" spans="1:17" x14ac:dyDescent="0.25">
      <c r="A281" s="11"/>
      <c r="B281" s="12"/>
      <c r="C281" s="12"/>
      <c r="D281" s="125"/>
      <c r="E281" s="125"/>
      <c r="F281" s="12"/>
      <c r="G281" s="12"/>
      <c r="H281" s="12"/>
      <c r="I281" s="13"/>
      <c r="J281" s="13"/>
      <c r="K281" s="12"/>
      <c r="L281" s="12"/>
      <c r="M281" s="12"/>
      <c r="N281" s="12"/>
      <c r="O281" s="12"/>
      <c r="P281" s="12"/>
      <c r="Q281" s="12"/>
    </row>
    <row r="282" spans="1:17" x14ac:dyDescent="0.25">
      <c r="A282" s="11"/>
      <c r="B282" s="12"/>
      <c r="C282" s="12"/>
      <c r="D282" s="125"/>
      <c r="E282" s="125"/>
      <c r="F282" s="12"/>
      <c r="G282" s="12"/>
      <c r="H282" s="12"/>
      <c r="I282" s="13"/>
      <c r="J282" s="13"/>
      <c r="K282" s="12"/>
      <c r="L282" s="12"/>
      <c r="M282" s="12"/>
      <c r="N282" s="12"/>
      <c r="O282" s="12"/>
      <c r="P282" s="12"/>
      <c r="Q282" s="12"/>
    </row>
    <row r="283" spans="1:17" x14ac:dyDescent="0.25">
      <c r="A283" s="11"/>
      <c r="B283" s="12"/>
      <c r="C283" s="12"/>
      <c r="D283" s="125"/>
      <c r="E283" s="125"/>
      <c r="F283" s="12"/>
      <c r="G283" s="12"/>
      <c r="H283" s="12"/>
      <c r="I283" s="13"/>
      <c r="J283" s="13"/>
      <c r="K283" s="12"/>
      <c r="L283" s="12"/>
      <c r="M283" s="12"/>
      <c r="N283" s="12"/>
      <c r="O283" s="12"/>
      <c r="P283" s="12"/>
      <c r="Q283" s="12"/>
    </row>
    <row r="284" spans="1:17" x14ac:dyDescent="0.25">
      <c r="A284" s="11"/>
      <c r="B284" s="12"/>
      <c r="C284" s="12"/>
      <c r="D284" s="125"/>
      <c r="E284" s="125"/>
      <c r="F284" s="12"/>
      <c r="G284" s="12"/>
      <c r="H284" s="12"/>
      <c r="I284" s="13"/>
      <c r="J284" s="13"/>
      <c r="K284" s="12"/>
      <c r="L284" s="12"/>
      <c r="M284" s="12"/>
      <c r="N284" s="12"/>
      <c r="O284" s="12"/>
      <c r="P284" s="12"/>
      <c r="Q284" s="12"/>
    </row>
    <row r="285" spans="1:17" x14ac:dyDescent="0.25">
      <c r="A285" s="11"/>
      <c r="B285" s="12"/>
      <c r="C285" s="12"/>
      <c r="D285" s="125"/>
      <c r="E285" s="125"/>
      <c r="F285" s="12"/>
      <c r="G285" s="12"/>
      <c r="H285" s="12"/>
      <c r="I285" s="13"/>
      <c r="J285" s="13"/>
      <c r="K285" s="12"/>
      <c r="L285" s="12"/>
      <c r="M285" s="12"/>
      <c r="N285" s="12"/>
      <c r="O285" s="12"/>
      <c r="P285" s="12"/>
      <c r="Q285" s="12"/>
    </row>
    <row r="286" spans="1:17" x14ac:dyDescent="0.25">
      <c r="A286" s="11"/>
      <c r="B286" s="12"/>
      <c r="C286" s="12"/>
      <c r="D286" s="125"/>
      <c r="E286" s="125"/>
      <c r="F286" s="12"/>
      <c r="G286" s="12"/>
      <c r="H286" s="12"/>
      <c r="I286" s="13"/>
      <c r="J286" s="13"/>
      <c r="K286" s="12"/>
      <c r="L286" s="12"/>
      <c r="M286" s="12"/>
      <c r="N286" s="12"/>
      <c r="O286" s="12"/>
      <c r="P286" s="12"/>
      <c r="Q286" s="12"/>
    </row>
    <row r="287" spans="1:17" x14ac:dyDescent="0.25">
      <c r="A287" s="11"/>
      <c r="B287" s="12"/>
      <c r="C287" s="12"/>
      <c r="D287" s="125"/>
      <c r="E287" s="125"/>
      <c r="F287" s="12"/>
      <c r="G287" s="12"/>
      <c r="H287" s="12"/>
      <c r="I287" s="13"/>
      <c r="J287" s="13"/>
      <c r="K287" s="12"/>
      <c r="L287" s="12"/>
      <c r="M287" s="12"/>
      <c r="N287" s="12"/>
      <c r="O287" s="12"/>
      <c r="P287" s="12"/>
      <c r="Q287" s="12"/>
    </row>
    <row r="288" spans="1:17" x14ac:dyDescent="0.25">
      <c r="A288" s="11"/>
      <c r="B288" s="12"/>
      <c r="C288" s="12"/>
      <c r="D288" s="125"/>
      <c r="E288" s="125"/>
      <c r="F288" s="12"/>
      <c r="G288" s="12"/>
      <c r="H288" s="12"/>
      <c r="I288" s="13"/>
      <c r="J288" s="13"/>
      <c r="K288" s="12"/>
      <c r="L288" s="12"/>
      <c r="M288" s="12"/>
      <c r="N288" s="12"/>
      <c r="O288" s="12"/>
      <c r="P288" s="12"/>
      <c r="Q288" s="12"/>
    </row>
    <row r="289" spans="1:17" x14ac:dyDescent="0.25">
      <c r="A289" s="11"/>
      <c r="B289" s="12"/>
      <c r="C289" s="12"/>
      <c r="D289" s="125"/>
      <c r="E289" s="125"/>
      <c r="F289" s="12"/>
      <c r="G289" s="12"/>
      <c r="H289" s="12"/>
      <c r="I289" s="13"/>
      <c r="J289" s="13"/>
      <c r="K289" s="12"/>
      <c r="L289" s="12"/>
      <c r="M289" s="12"/>
      <c r="N289" s="12"/>
      <c r="O289" s="12"/>
      <c r="P289" s="12"/>
      <c r="Q289" s="12"/>
    </row>
    <row r="290" spans="1:17" x14ac:dyDescent="0.25">
      <c r="A290" s="11"/>
      <c r="B290" s="12"/>
      <c r="C290" s="12"/>
      <c r="D290" s="125"/>
      <c r="E290" s="125"/>
      <c r="F290" s="12"/>
      <c r="G290" s="12"/>
      <c r="H290" s="12"/>
      <c r="I290" s="13"/>
      <c r="J290" s="13"/>
      <c r="K290" s="12"/>
      <c r="L290" s="12"/>
      <c r="M290" s="12"/>
      <c r="N290" s="12"/>
      <c r="O290" s="12"/>
      <c r="P290" s="12"/>
      <c r="Q290" s="12"/>
    </row>
    <row r="291" spans="1:17" x14ac:dyDescent="0.25">
      <c r="A291" s="11"/>
      <c r="B291" s="12"/>
      <c r="C291" s="12"/>
      <c r="D291" s="125"/>
      <c r="E291" s="125"/>
      <c r="F291" s="12"/>
      <c r="G291" s="12"/>
      <c r="H291" s="12"/>
      <c r="I291" s="13"/>
      <c r="J291" s="13"/>
      <c r="K291" s="12"/>
      <c r="L291" s="12"/>
      <c r="M291" s="12"/>
      <c r="N291" s="12"/>
      <c r="O291" s="12"/>
      <c r="P291" s="12"/>
      <c r="Q291" s="12"/>
    </row>
    <row r="292" spans="1:17" x14ac:dyDescent="0.25">
      <c r="A292" s="11"/>
      <c r="B292" s="12"/>
      <c r="C292" s="12"/>
      <c r="D292" s="125"/>
      <c r="E292" s="125"/>
      <c r="F292" s="12"/>
      <c r="G292" s="12"/>
      <c r="H292" s="12"/>
      <c r="I292" s="13"/>
      <c r="J292" s="13"/>
      <c r="K292" s="12"/>
      <c r="L292" s="12"/>
      <c r="M292" s="12"/>
      <c r="N292" s="12"/>
      <c r="O292" s="12"/>
      <c r="P292" s="12"/>
      <c r="Q292" s="12"/>
    </row>
    <row r="293" spans="1:17" x14ac:dyDescent="0.25">
      <c r="A293" s="11"/>
      <c r="B293" s="12"/>
      <c r="C293" s="12"/>
      <c r="D293" s="125"/>
      <c r="E293" s="125"/>
      <c r="F293" s="12"/>
      <c r="G293" s="12"/>
      <c r="H293" s="12"/>
      <c r="I293" s="13"/>
      <c r="J293" s="13"/>
      <c r="K293" s="12"/>
      <c r="L293" s="12"/>
      <c r="M293" s="12"/>
      <c r="N293" s="12"/>
      <c r="O293" s="12"/>
      <c r="P293" s="12"/>
      <c r="Q293" s="12"/>
    </row>
    <row r="294" spans="1:17" x14ac:dyDescent="0.25">
      <c r="A294" s="11"/>
      <c r="B294" s="12"/>
      <c r="C294" s="12"/>
      <c r="D294" s="125"/>
      <c r="E294" s="125"/>
      <c r="F294" s="12"/>
      <c r="G294" s="12"/>
      <c r="H294" s="12"/>
      <c r="I294" s="13"/>
      <c r="J294" s="13"/>
      <c r="K294" s="12"/>
      <c r="L294" s="12"/>
      <c r="M294" s="12"/>
      <c r="N294" s="12"/>
      <c r="O294" s="12"/>
      <c r="P294" s="12"/>
      <c r="Q294" s="12"/>
    </row>
    <row r="295" spans="1:17" x14ac:dyDescent="0.25">
      <c r="A295" s="11"/>
      <c r="B295" s="12"/>
      <c r="C295" s="12"/>
      <c r="D295" s="125"/>
      <c r="E295" s="125"/>
      <c r="F295" s="12"/>
      <c r="G295" s="12"/>
      <c r="H295" s="12"/>
      <c r="I295" s="13"/>
      <c r="J295" s="13"/>
      <c r="K295" s="12"/>
      <c r="L295" s="12"/>
      <c r="M295" s="12"/>
      <c r="N295" s="12"/>
      <c r="O295" s="12"/>
      <c r="P295" s="12"/>
      <c r="Q295" s="12"/>
    </row>
    <row r="296" spans="1:17" x14ac:dyDescent="0.25">
      <c r="A296" s="11"/>
      <c r="B296" s="12"/>
      <c r="C296" s="12"/>
      <c r="D296" s="125"/>
      <c r="E296" s="125"/>
      <c r="F296" s="12"/>
      <c r="G296" s="12"/>
      <c r="H296" s="12"/>
      <c r="I296" s="13"/>
      <c r="J296" s="13"/>
      <c r="K296" s="12"/>
      <c r="L296" s="12"/>
      <c r="M296" s="12"/>
      <c r="N296" s="12"/>
      <c r="O296" s="12"/>
      <c r="P296" s="12"/>
      <c r="Q296" s="12"/>
    </row>
    <row r="297" spans="1:17" x14ac:dyDescent="0.25">
      <c r="A297" s="11"/>
      <c r="B297" s="12"/>
      <c r="C297" s="12"/>
      <c r="D297" s="125"/>
      <c r="E297" s="125"/>
      <c r="F297" s="12"/>
      <c r="G297" s="12"/>
      <c r="H297" s="12"/>
      <c r="I297" s="13"/>
      <c r="J297" s="13"/>
      <c r="K297" s="12"/>
      <c r="L297" s="12"/>
      <c r="M297" s="12"/>
      <c r="N297" s="12"/>
      <c r="O297" s="12"/>
      <c r="P297" s="12"/>
      <c r="Q297" s="12"/>
    </row>
    <row r="298" spans="1:17" x14ac:dyDescent="0.25">
      <c r="A298" s="11"/>
      <c r="B298" s="12"/>
      <c r="C298" s="12"/>
      <c r="D298" s="125"/>
      <c r="E298" s="125"/>
      <c r="F298" s="12"/>
      <c r="G298" s="12"/>
      <c r="H298" s="12"/>
      <c r="I298" s="13"/>
      <c r="J298" s="13"/>
      <c r="K298" s="12"/>
      <c r="L298" s="12"/>
      <c r="M298" s="12"/>
      <c r="N298" s="12"/>
      <c r="O298" s="12"/>
      <c r="P298" s="12"/>
      <c r="Q298" s="12"/>
    </row>
    <row r="299" spans="1:17" x14ac:dyDescent="0.25">
      <c r="A299" s="11"/>
      <c r="B299" s="12"/>
      <c r="C299" s="12"/>
      <c r="D299" s="125"/>
      <c r="E299" s="125"/>
      <c r="F299" s="12"/>
      <c r="G299" s="12"/>
      <c r="H299" s="12"/>
      <c r="I299" s="13"/>
      <c r="J299" s="13"/>
      <c r="K299" s="12"/>
      <c r="L299" s="12"/>
      <c r="M299" s="12"/>
      <c r="N299" s="12"/>
      <c r="O299" s="12"/>
      <c r="P299" s="12"/>
      <c r="Q299" s="12"/>
    </row>
    <row r="300" spans="1:17" x14ac:dyDescent="0.25">
      <c r="A300" s="11"/>
      <c r="B300" s="12"/>
      <c r="C300" s="12"/>
      <c r="D300" s="125"/>
      <c r="E300" s="125"/>
      <c r="F300" s="12"/>
      <c r="G300" s="12"/>
      <c r="H300" s="12"/>
      <c r="I300" s="13"/>
      <c r="J300" s="13"/>
      <c r="K300" s="12"/>
      <c r="L300" s="12"/>
      <c r="M300" s="12"/>
      <c r="N300" s="12"/>
      <c r="O300" s="12"/>
      <c r="P300" s="12"/>
      <c r="Q300" s="12"/>
    </row>
    <row r="301" spans="1:17" x14ac:dyDescent="0.25">
      <c r="A301" s="11"/>
      <c r="B301" s="12"/>
      <c r="C301" s="12"/>
      <c r="D301" s="125"/>
      <c r="E301" s="125"/>
      <c r="F301" s="12"/>
      <c r="G301" s="12"/>
      <c r="H301" s="12"/>
      <c r="I301" s="13"/>
      <c r="J301" s="13"/>
      <c r="K301" s="12"/>
      <c r="L301" s="12"/>
      <c r="M301" s="12"/>
      <c r="N301" s="12"/>
      <c r="O301" s="12"/>
      <c r="P301" s="12"/>
      <c r="Q301" s="12"/>
    </row>
    <row r="302" spans="1:17" x14ac:dyDescent="0.25">
      <c r="A302" s="11"/>
      <c r="B302" s="12"/>
      <c r="C302" s="12"/>
      <c r="D302" s="125"/>
      <c r="E302" s="125"/>
      <c r="F302" s="12"/>
      <c r="G302" s="12"/>
      <c r="H302" s="12"/>
      <c r="I302" s="13"/>
      <c r="J302" s="13"/>
      <c r="K302" s="12"/>
      <c r="L302" s="12"/>
      <c r="M302" s="12"/>
      <c r="N302" s="12"/>
      <c r="O302" s="12"/>
      <c r="P302" s="12"/>
      <c r="Q302" s="12"/>
    </row>
    <row r="303" spans="1:17" x14ac:dyDescent="0.25">
      <c r="A303" s="11"/>
      <c r="B303" s="12"/>
      <c r="C303" s="12"/>
      <c r="D303" s="125"/>
      <c r="E303" s="125"/>
      <c r="F303" s="12"/>
      <c r="G303" s="12"/>
      <c r="H303" s="12"/>
      <c r="I303" s="13"/>
      <c r="J303" s="13"/>
      <c r="K303" s="12"/>
      <c r="L303" s="12"/>
      <c r="M303" s="12"/>
      <c r="N303" s="12"/>
      <c r="O303" s="12"/>
      <c r="P303" s="12"/>
      <c r="Q303" s="12"/>
    </row>
    <row r="304" spans="1:17" x14ac:dyDescent="0.25">
      <c r="A304" s="11"/>
      <c r="B304" s="12"/>
      <c r="C304" s="12"/>
      <c r="D304" s="125"/>
      <c r="E304" s="125"/>
      <c r="F304" s="12"/>
      <c r="G304" s="12"/>
      <c r="H304" s="12"/>
      <c r="I304" s="13"/>
      <c r="J304" s="13"/>
      <c r="K304" s="12"/>
      <c r="L304" s="12"/>
      <c r="M304" s="12"/>
      <c r="N304" s="12"/>
      <c r="O304" s="12"/>
      <c r="P304" s="12"/>
      <c r="Q304" s="12"/>
    </row>
    <row r="305" spans="1:17" x14ac:dyDescent="0.25">
      <c r="A305" s="11"/>
      <c r="B305" s="12"/>
      <c r="C305" s="12"/>
      <c r="D305" s="125"/>
      <c r="E305" s="125"/>
      <c r="F305" s="12"/>
      <c r="G305" s="12"/>
      <c r="H305" s="12"/>
      <c r="I305" s="13"/>
      <c r="J305" s="13"/>
      <c r="K305" s="12"/>
      <c r="L305" s="12"/>
      <c r="M305" s="12"/>
      <c r="N305" s="12"/>
      <c r="O305" s="12"/>
      <c r="P305" s="12"/>
      <c r="Q305" s="12"/>
    </row>
    <row r="306" spans="1:17" x14ac:dyDescent="0.25">
      <c r="A306" s="11"/>
      <c r="B306" s="12"/>
      <c r="C306" s="12"/>
      <c r="D306" s="125"/>
      <c r="E306" s="125"/>
      <c r="F306" s="12"/>
      <c r="G306" s="12"/>
      <c r="H306" s="12"/>
      <c r="I306" s="13"/>
      <c r="J306" s="13"/>
      <c r="K306" s="12"/>
      <c r="L306" s="12"/>
      <c r="M306" s="12"/>
      <c r="N306" s="12"/>
      <c r="O306" s="12"/>
      <c r="P306" s="12"/>
      <c r="Q306" s="12"/>
    </row>
    <row r="307" spans="1:17" x14ac:dyDescent="0.25">
      <c r="A307" s="11"/>
      <c r="B307" s="12"/>
      <c r="C307" s="12"/>
      <c r="D307" s="125"/>
      <c r="E307" s="125"/>
      <c r="F307" s="12"/>
      <c r="G307" s="12"/>
      <c r="H307" s="12"/>
      <c r="I307" s="13"/>
      <c r="J307" s="13"/>
      <c r="K307" s="12"/>
      <c r="L307" s="12"/>
      <c r="M307" s="12"/>
      <c r="N307" s="12"/>
      <c r="O307" s="12"/>
      <c r="P307" s="12"/>
      <c r="Q307" s="12"/>
    </row>
    <row r="308" spans="1:17" x14ac:dyDescent="0.25">
      <c r="A308" s="11"/>
      <c r="B308" s="12"/>
      <c r="C308" s="12"/>
      <c r="D308" s="125"/>
      <c r="E308" s="125"/>
      <c r="F308" s="12"/>
      <c r="G308" s="12"/>
      <c r="H308" s="12"/>
      <c r="I308" s="13"/>
      <c r="J308" s="13"/>
      <c r="K308" s="12"/>
      <c r="L308" s="12"/>
      <c r="M308" s="12"/>
      <c r="N308" s="12"/>
      <c r="O308" s="12"/>
      <c r="P308" s="12"/>
      <c r="Q308" s="12"/>
    </row>
    <row r="309" spans="1:17" x14ac:dyDescent="0.25">
      <c r="A309" s="11"/>
      <c r="B309" s="12"/>
      <c r="C309" s="12"/>
      <c r="D309" s="125"/>
      <c r="E309" s="125"/>
      <c r="F309" s="12"/>
      <c r="G309" s="12"/>
      <c r="H309" s="12"/>
      <c r="I309" s="13"/>
      <c r="J309" s="13"/>
      <c r="K309" s="12"/>
      <c r="L309" s="12"/>
      <c r="M309" s="12"/>
      <c r="N309" s="12"/>
      <c r="O309" s="12"/>
      <c r="P309" s="12"/>
      <c r="Q309" s="12"/>
    </row>
    <row r="310" spans="1:17" x14ac:dyDescent="0.25">
      <c r="A310" s="11"/>
      <c r="B310" s="12"/>
      <c r="C310" s="12"/>
      <c r="D310" s="125"/>
      <c r="E310" s="125"/>
      <c r="F310" s="12"/>
      <c r="G310" s="12"/>
      <c r="H310" s="12"/>
      <c r="I310" s="13"/>
      <c r="J310" s="13"/>
      <c r="K310" s="12"/>
      <c r="L310" s="12"/>
      <c r="M310" s="12"/>
      <c r="N310" s="12"/>
      <c r="O310" s="12"/>
      <c r="P310" s="12"/>
      <c r="Q310" s="12"/>
    </row>
    <row r="311" spans="1:17" x14ac:dyDescent="0.25">
      <c r="A311" s="11"/>
      <c r="B311" s="12"/>
      <c r="C311" s="12"/>
      <c r="D311" s="125"/>
      <c r="E311" s="125"/>
      <c r="F311" s="12"/>
      <c r="G311" s="12"/>
      <c r="H311" s="12"/>
      <c r="I311" s="13"/>
      <c r="J311" s="13"/>
      <c r="K311" s="12"/>
      <c r="L311" s="12"/>
      <c r="M311" s="12"/>
      <c r="N311" s="12"/>
      <c r="O311" s="12"/>
      <c r="P311" s="12"/>
      <c r="Q311" s="12"/>
    </row>
    <row r="312" spans="1:17" x14ac:dyDescent="0.25">
      <c r="A312" s="11"/>
      <c r="B312" s="12"/>
      <c r="C312" s="12"/>
      <c r="D312" s="125"/>
      <c r="E312" s="125"/>
      <c r="F312" s="12"/>
      <c r="G312" s="12"/>
      <c r="H312" s="12"/>
      <c r="I312" s="13"/>
      <c r="J312" s="13"/>
      <c r="K312" s="12"/>
      <c r="L312" s="12"/>
      <c r="M312" s="12"/>
      <c r="N312" s="12"/>
      <c r="O312" s="12"/>
      <c r="P312" s="12"/>
      <c r="Q312" s="12"/>
    </row>
    <row r="313" spans="1:17" x14ac:dyDescent="0.25">
      <c r="A313" s="11"/>
      <c r="B313" s="12"/>
      <c r="C313" s="12"/>
      <c r="D313" s="125"/>
      <c r="E313" s="125"/>
      <c r="F313" s="12"/>
      <c r="G313" s="12"/>
      <c r="H313" s="12"/>
      <c r="I313" s="13"/>
      <c r="J313" s="13"/>
      <c r="K313" s="12"/>
      <c r="L313" s="12"/>
      <c r="M313" s="12"/>
      <c r="N313" s="12"/>
      <c r="O313" s="12"/>
      <c r="P313" s="12"/>
      <c r="Q313" s="12"/>
    </row>
    <row r="314" spans="1:17" x14ac:dyDescent="0.25">
      <c r="A314" s="11"/>
      <c r="B314" s="12"/>
      <c r="C314" s="12"/>
      <c r="D314" s="125"/>
      <c r="E314" s="125"/>
      <c r="F314" s="12"/>
      <c r="G314" s="12"/>
      <c r="H314" s="12"/>
      <c r="I314" s="13"/>
      <c r="J314" s="13"/>
      <c r="K314" s="12"/>
      <c r="L314" s="12"/>
      <c r="M314" s="12"/>
      <c r="N314" s="12"/>
      <c r="O314" s="12"/>
      <c r="P314" s="12"/>
      <c r="Q314" s="12"/>
    </row>
    <row r="315" spans="1:17" x14ac:dyDescent="0.25">
      <c r="A315" s="11"/>
      <c r="B315" s="12"/>
      <c r="C315" s="12"/>
      <c r="D315" s="125"/>
      <c r="E315" s="125"/>
      <c r="F315" s="12"/>
      <c r="G315" s="12"/>
      <c r="H315" s="12"/>
      <c r="I315" s="13"/>
      <c r="J315" s="13"/>
      <c r="K315" s="12"/>
      <c r="L315" s="12"/>
      <c r="M315" s="12"/>
      <c r="N315" s="12"/>
      <c r="O315" s="12"/>
      <c r="P315" s="12"/>
      <c r="Q315" s="12"/>
    </row>
    <row r="316" spans="1:17" x14ac:dyDescent="0.25">
      <c r="A316" s="11"/>
      <c r="B316" s="12"/>
      <c r="C316" s="12"/>
      <c r="D316" s="125"/>
      <c r="E316" s="125"/>
      <c r="F316" s="12"/>
      <c r="G316" s="12"/>
      <c r="H316" s="12"/>
      <c r="I316" s="13"/>
      <c r="J316" s="13"/>
      <c r="K316" s="12"/>
      <c r="L316" s="12"/>
      <c r="M316" s="12"/>
      <c r="N316" s="12"/>
      <c r="O316" s="12"/>
      <c r="P316" s="12"/>
      <c r="Q316" s="12"/>
    </row>
    <row r="317" spans="1:17" x14ac:dyDescent="0.25">
      <c r="A317" s="11"/>
      <c r="B317" s="12"/>
      <c r="C317" s="12"/>
      <c r="D317" s="125"/>
      <c r="E317" s="125"/>
      <c r="F317" s="12"/>
      <c r="G317" s="12"/>
      <c r="H317" s="12"/>
      <c r="I317" s="13"/>
      <c r="J317" s="13"/>
      <c r="K317" s="12"/>
      <c r="L317" s="12"/>
      <c r="M317" s="12"/>
      <c r="N317" s="12"/>
      <c r="O317" s="12"/>
      <c r="P317" s="12"/>
      <c r="Q317" s="12"/>
    </row>
    <row r="318" spans="1:17" x14ac:dyDescent="0.25">
      <c r="A318" s="11"/>
      <c r="B318" s="12"/>
      <c r="C318" s="12"/>
      <c r="D318" s="125"/>
      <c r="E318" s="125"/>
      <c r="F318" s="12"/>
      <c r="G318" s="12"/>
      <c r="H318" s="12"/>
      <c r="I318" s="13"/>
      <c r="J318" s="13"/>
      <c r="K318" s="12"/>
      <c r="L318" s="12"/>
      <c r="M318" s="12"/>
      <c r="N318" s="12"/>
      <c r="O318" s="12"/>
      <c r="P318" s="12"/>
      <c r="Q318" s="12"/>
    </row>
    <row r="319" spans="1:17" x14ac:dyDescent="0.25">
      <c r="A319" s="11"/>
      <c r="B319" s="12"/>
      <c r="C319" s="12"/>
      <c r="D319" s="125"/>
      <c r="E319" s="125"/>
      <c r="F319" s="12"/>
      <c r="G319" s="12"/>
      <c r="H319" s="12"/>
      <c r="I319" s="13"/>
      <c r="J319" s="13"/>
      <c r="K319" s="12"/>
      <c r="L319" s="12"/>
      <c r="M319" s="12"/>
      <c r="N319" s="12"/>
      <c r="O319" s="12"/>
      <c r="P319" s="12"/>
      <c r="Q319" s="12"/>
    </row>
    <row r="320" spans="1:17" x14ac:dyDescent="0.25">
      <c r="A320" s="11"/>
      <c r="B320" s="12"/>
      <c r="C320" s="12"/>
      <c r="D320" s="125"/>
      <c r="E320" s="125"/>
      <c r="F320" s="12"/>
      <c r="G320" s="12"/>
      <c r="H320" s="12"/>
      <c r="I320" s="13"/>
      <c r="J320" s="13"/>
      <c r="K320" s="12"/>
      <c r="L320" s="12"/>
      <c r="M320" s="12"/>
      <c r="N320" s="12"/>
      <c r="O320" s="12"/>
      <c r="P320" s="12"/>
      <c r="Q320" s="12"/>
    </row>
    <row r="321" spans="1:17" x14ac:dyDescent="0.25">
      <c r="A321" s="11"/>
      <c r="B321" s="12"/>
      <c r="C321" s="12"/>
      <c r="D321" s="125"/>
      <c r="E321" s="125"/>
      <c r="F321" s="12"/>
      <c r="G321" s="12"/>
      <c r="H321" s="12"/>
      <c r="I321" s="13"/>
      <c r="J321" s="13"/>
      <c r="K321" s="12"/>
      <c r="L321" s="12"/>
      <c r="M321" s="12"/>
      <c r="N321" s="12"/>
      <c r="O321" s="12"/>
      <c r="P321" s="12"/>
      <c r="Q321" s="12"/>
    </row>
    <row r="322" spans="1:17" x14ac:dyDescent="0.25">
      <c r="A322" s="11"/>
      <c r="B322" s="12"/>
      <c r="C322" s="12"/>
      <c r="D322" s="125"/>
      <c r="E322" s="125"/>
      <c r="F322" s="12"/>
      <c r="G322" s="12"/>
      <c r="H322" s="12"/>
      <c r="I322" s="13"/>
      <c r="J322" s="13"/>
      <c r="K322" s="12"/>
      <c r="L322" s="12"/>
      <c r="M322" s="12"/>
      <c r="N322" s="12"/>
      <c r="O322" s="12"/>
      <c r="P322" s="12"/>
      <c r="Q322" s="12"/>
    </row>
    <row r="323" spans="1:17" x14ac:dyDescent="0.25">
      <c r="A323" s="11"/>
      <c r="B323" s="12"/>
      <c r="C323" s="12"/>
      <c r="D323" s="125"/>
      <c r="E323" s="125"/>
      <c r="F323" s="12"/>
      <c r="G323" s="12"/>
      <c r="H323" s="12"/>
      <c r="I323" s="13"/>
      <c r="J323" s="13"/>
      <c r="K323" s="12"/>
      <c r="L323" s="12"/>
      <c r="M323" s="12"/>
      <c r="N323" s="12"/>
      <c r="O323" s="12"/>
      <c r="P323" s="12"/>
      <c r="Q323" s="12"/>
    </row>
    <row r="324" spans="1:17" x14ac:dyDescent="0.25">
      <c r="A324" s="11"/>
      <c r="B324" s="12"/>
      <c r="C324" s="12"/>
      <c r="D324" s="125"/>
      <c r="E324" s="125"/>
      <c r="F324" s="12"/>
      <c r="G324" s="12"/>
      <c r="H324" s="12"/>
      <c r="I324" s="13"/>
      <c r="J324" s="13"/>
      <c r="K324" s="12"/>
      <c r="L324" s="12"/>
      <c r="M324" s="12"/>
      <c r="N324" s="12"/>
      <c r="O324" s="12"/>
      <c r="P324" s="12"/>
      <c r="Q324" s="12"/>
    </row>
    <row r="325" spans="1:17" x14ac:dyDescent="0.25">
      <c r="A325" s="11"/>
      <c r="B325" s="12"/>
      <c r="C325" s="12"/>
      <c r="D325" s="125"/>
      <c r="E325" s="125"/>
      <c r="F325" s="12"/>
      <c r="G325" s="12"/>
      <c r="H325" s="12"/>
      <c r="I325" s="13"/>
      <c r="J325" s="13"/>
      <c r="K325" s="12"/>
      <c r="L325" s="12"/>
      <c r="M325" s="12"/>
      <c r="N325" s="12"/>
      <c r="O325" s="12"/>
      <c r="P325" s="12"/>
      <c r="Q325" s="12"/>
    </row>
    <row r="326" spans="1:17" x14ac:dyDescent="0.25">
      <c r="A326" s="11"/>
      <c r="B326" s="12"/>
      <c r="C326" s="12"/>
      <c r="D326" s="125"/>
      <c r="E326" s="125"/>
      <c r="F326" s="12"/>
      <c r="G326" s="12"/>
      <c r="H326" s="12"/>
      <c r="I326" s="13"/>
      <c r="J326" s="13"/>
      <c r="K326" s="12"/>
      <c r="L326" s="12"/>
      <c r="M326" s="12"/>
      <c r="N326" s="12"/>
      <c r="O326" s="12"/>
      <c r="P326" s="12"/>
      <c r="Q326" s="12"/>
    </row>
    <row r="327" spans="1:17" x14ac:dyDescent="0.25">
      <c r="A327" s="11"/>
      <c r="B327" s="12"/>
      <c r="C327" s="12"/>
      <c r="D327" s="125"/>
      <c r="E327" s="125"/>
      <c r="F327" s="12"/>
      <c r="G327" s="12"/>
      <c r="H327" s="12"/>
      <c r="I327" s="13"/>
      <c r="J327" s="13"/>
      <c r="K327" s="12"/>
      <c r="L327" s="12"/>
      <c r="M327" s="12"/>
      <c r="N327" s="12"/>
      <c r="O327" s="12"/>
      <c r="P327" s="12"/>
      <c r="Q327" s="12"/>
    </row>
    <row r="328" spans="1:17" x14ac:dyDescent="0.25">
      <c r="A328" s="11"/>
      <c r="B328" s="12"/>
      <c r="C328" s="12"/>
      <c r="D328" s="125"/>
      <c r="E328" s="125"/>
      <c r="F328" s="12"/>
      <c r="G328" s="12"/>
      <c r="H328" s="12"/>
      <c r="I328" s="13"/>
      <c r="J328" s="13"/>
      <c r="K328" s="12"/>
      <c r="L328" s="12"/>
      <c r="M328" s="12"/>
      <c r="N328" s="12"/>
      <c r="O328" s="12"/>
      <c r="P328" s="12"/>
      <c r="Q328" s="12"/>
    </row>
    <row r="329" spans="1:17" x14ac:dyDescent="0.25">
      <c r="A329" s="11"/>
      <c r="B329" s="12"/>
      <c r="C329" s="12"/>
      <c r="D329" s="125"/>
      <c r="E329" s="125"/>
      <c r="F329" s="12"/>
      <c r="G329" s="12"/>
      <c r="H329" s="12"/>
      <c r="I329" s="13"/>
      <c r="J329" s="13"/>
      <c r="K329" s="12"/>
      <c r="L329" s="12"/>
      <c r="M329" s="12"/>
      <c r="N329" s="12"/>
      <c r="O329" s="12"/>
      <c r="P329" s="12"/>
      <c r="Q329" s="12"/>
    </row>
    <row r="330" spans="1:17" x14ac:dyDescent="0.25">
      <c r="A330" s="11"/>
      <c r="B330" s="12"/>
      <c r="C330" s="12"/>
      <c r="D330" s="125"/>
      <c r="E330" s="125"/>
      <c r="F330" s="12"/>
      <c r="G330" s="12"/>
      <c r="H330" s="12"/>
      <c r="I330" s="13"/>
      <c r="J330" s="13"/>
      <c r="K330" s="12"/>
      <c r="L330" s="12"/>
      <c r="M330" s="12"/>
      <c r="N330" s="12"/>
      <c r="O330" s="12"/>
      <c r="P330" s="12"/>
      <c r="Q330" s="12"/>
    </row>
    <row r="331" spans="1:17" x14ac:dyDescent="0.25">
      <c r="A331" s="11"/>
      <c r="B331" s="12"/>
      <c r="C331" s="12"/>
      <c r="D331" s="125"/>
      <c r="E331" s="125"/>
      <c r="F331" s="12"/>
      <c r="G331" s="12"/>
      <c r="H331" s="12"/>
      <c r="I331" s="13"/>
      <c r="J331" s="13"/>
      <c r="K331" s="12"/>
      <c r="L331" s="12"/>
      <c r="M331" s="12"/>
      <c r="N331" s="12"/>
      <c r="O331" s="12"/>
      <c r="P331" s="12"/>
      <c r="Q331" s="12"/>
    </row>
    <row r="332" spans="1:17" x14ac:dyDescent="0.25">
      <c r="A332" s="11"/>
      <c r="B332" s="12"/>
      <c r="C332" s="12"/>
      <c r="D332" s="125"/>
      <c r="E332" s="125"/>
      <c r="F332" s="12"/>
      <c r="G332" s="12"/>
      <c r="H332" s="12"/>
      <c r="I332" s="13"/>
      <c r="J332" s="13"/>
      <c r="K332" s="12"/>
      <c r="L332" s="12"/>
      <c r="M332" s="12"/>
      <c r="N332" s="12"/>
      <c r="O332" s="12"/>
      <c r="P332" s="12"/>
      <c r="Q332" s="12"/>
    </row>
    <row r="333" spans="1:17" x14ac:dyDescent="0.25">
      <c r="A333" s="11"/>
      <c r="B333" s="12"/>
      <c r="C333" s="12"/>
      <c r="D333" s="125"/>
      <c r="E333" s="125"/>
      <c r="F333" s="12"/>
      <c r="G333" s="12"/>
      <c r="H333" s="12"/>
      <c r="I333" s="13"/>
      <c r="J333" s="13"/>
      <c r="K333" s="12"/>
      <c r="L333" s="12"/>
      <c r="M333" s="12"/>
      <c r="N333" s="12"/>
      <c r="O333" s="12"/>
      <c r="P333" s="12"/>
      <c r="Q333" s="12"/>
    </row>
    <row r="334" spans="1:17" x14ac:dyDescent="0.25">
      <c r="A334" s="11"/>
      <c r="B334" s="12"/>
      <c r="C334" s="12"/>
      <c r="D334" s="125"/>
      <c r="E334" s="125"/>
      <c r="F334" s="12"/>
      <c r="G334" s="12"/>
      <c r="H334" s="12"/>
      <c r="I334" s="13"/>
      <c r="J334" s="13"/>
      <c r="K334" s="12"/>
      <c r="L334" s="12"/>
      <c r="M334" s="12"/>
      <c r="N334" s="12"/>
      <c r="O334" s="12"/>
      <c r="P334" s="12"/>
      <c r="Q334" s="12"/>
    </row>
    <row r="335" spans="1:17" x14ac:dyDescent="0.25">
      <c r="A335" s="11"/>
      <c r="B335" s="12"/>
      <c r="C335" s="12"/>
      <c r="D335" s="125"/>
      <c r="E335" s="125"/>
      <c r="F335" s="12"/>
      <c r="G335" s="12"/>
      <c r="H335" s="12"/>
      <c r="I335" s="13"/>
      <c r="J335" s="13"/>
      <c r="K335" s="12"/>
      <c r="L335" s="12"/>
      <c r="M335" s="12"/>
      <c r="N335" s="12"/>
      <c r="O335" s="12"/>
      <c r="P335" s="12"/>
      <c r="Q335" s="12"/>
    </row>
    <row r="336" spans="1:17" x14ac:dyDescent="0.25">
      <c r="A336" s="11"/>
      <c r="B336" s="12"/>
      <c r="C336" s="12"/>
      <c r="D336" s="125"/>
      <c r="E336" s="125"/>
      <c r="F336" s="12"/>
      <c r="G336" s="12"/>
      <c r="H336" s="12"/>
      <c r="I336" s="13"/>
      <c r="J336" s="13"/>
      <c r="K336" s="12"/>
      <c r="L336" s="12"/>
      <c r="M336" s="12"/>
      <c r="N336" s="12"/>
      <c r="O336" s="12"/>
      <c r="P336" s="12"/>
      <c r="Q336" s="12"/>
    </row>
    <row r="337" spans="1:17" x14ac:dyDescent="0.25">
      <c r="A337" s="11"/>
      <c r="B337" s="12"/>
      <c r="C337" s="12"/>
      <c r="D337" s="125"/>
      <c r="E337" s="125"/>
      <c r="F337" s="12"/>
      <c r="G337" s="12"/>
      <c r="H337" s="12"/>
      <c r="I337" s="13"/>
      <c r="J337" s="13"/>
      <c r="K337" s="12"/>
      <c r="L337" s="12"/>
      <c r="M337" s="12"/>
      <c r="N337" s="12"/>
      <c r="O337" s="12"/>
      <c r="P337" s="12"/>
      <c r="Q337" s="12"/>
    </row>
    <row r="338" spans="1:17" x14ac:dyDescent="0.25">
      <c r="A338" s="11"/>
      <c r="B338" s="12"/>
      <c r="C338" s="12"/>
      <c r="D338" s="125"/>
      <c r="E338" s="125"/>
      <c r="F338" s="12"/>
      <c r="G338" s="12"/>
      <c r="H338" s="12"/>
      <c r="I338" s="13"/>
      <c r="J338" s="13"/>
      <c r="K338" s="12"/>
      <c r="L338" s="12"/>
      <c r="M338" s="12"/>
      <c r="N338" s="12"/>
      <c r="O338" s="12"/>
      <c r="P338" s="12"/>
      <c r="Q338" s="12"/>
    </row>
    <row r="339" spans="1:17" x14ac:dyDescent="0.25">
      <c r="A339" s="11"/>
      <c r="B339" s="12"/>
      <c r="C339" s="12"/>
      <c r="D339" s="125"/>
      <c r="E339" s="125"/>
      <c r="F339" s="12"/>
      <c r="G339" s="12"/>
      <c r="H339" s="12"/>
      <c r="I339" s="13"/>
      <c r="J339" s="13"/>
      <c r="K339" s="12"/>
      <c r="L339" s="12"/>
      <c r="M339" s="12"/>
      <c r="N339" s="12"/>
      <c r="O339" s="12"/>
      <c r="P339" s="12"/>
      <c r="Q339" s="12"/>
    </row>
    <row r="340" spans="1:17" x14ac:dyDescent="0.25">
      <c r="A340" s="11"/>
      <c r="B340" s="12"/>
      <c r="C340" s="12"/>
      <c r="D340" s="125"/>
      <c r="E340" s="125"/>
      <c r="F340" s="12"/>
      <c r="G340" s="12"/>
      <c r="H340" s="12"/>
      <c r="I340" s="13"/>
      <c r="J340" s="13"/>
      <c r="K340" s="12"/>
      <c r="L340" s="12"/>
      <c r="M340" s="12"/>
      <c r="N340" s="12"/>
      <c r="O340" s="12"/>
      <c r="P340" s="12"/>
      <c r="Q340" s="12"/>
    </row>
    <row r="341" spans="1:17" x14ac:dyDescent="0.25">
      <c r="A341" s="11"/>
      <c r="B341" s="12"/>
      <c r="C341" s="12"/>
      <c r="D341" s="125"/>
      <c r="E341" s="125"/>
      <c r="F341" s="12"/>
      <c r="G341" s="12"/>
      <c r="H341" s="12"/>
      <c r="I341" s="13"/>
      <c r="J341" s="13"/>
      <c r="K341" s="12"/>
      <c r="L341" s="12"/>
      <c r="M341" s="12"/>
      <c r="N341" s="12"/>
      <c r="O341" s="12"/>
      <c r="P341" s="12"/>
      <c r="Q341" s="12"/>
    </row>
    <row r="342" spans="1:17" x14ac:dyDescent="0.25">
      <c r="A342" s="11"/>
      <c r="B342" s="12"/>
      <c r="C342" s="12"/>
      <c r="D342" s="125"/>
      <c r="E342" s="125"/>
      <c r="F342" s="12"/>
      <c r="G342" s="12"/>
      <c r="H342" s="12"/>
      <c r="I342" s="13"/>
      <c r="J342" s="13"/>
      <c r="K342" s="12"/>
      <c r="L342" s="12"/>
      <c r="M342" s="12"/>
      <c r="N342" s="12"/>
      <c r="O342" s="12"/>
      <c r="P342" s="12"/>
      <c r="Q342" s="12"/>
    </row>
    <row r="343" spans="1:17" x14ac:dyDescent="0.25">
      <c r="A343" s="11"/>
      <c r="B343" s="12"/>
      <c r="C343" s="12"/>
      <c r="D343" s="125"/>
      <c r="E343" s="125"/>
      <c r="F343" s="12"/>
      <c r="G343" s="12"/>
      <c r="H343" s="12"/>
      <c r="I343" s="13"/>
      <c r="J343" s="13"/>
      <c r="K343" s="12"/>
      <c r="L343" s="12"/>
      <c r="M343" s="12"/>
      <c r="N343" s="12"/>
      <c r="O343" s="12"/>
      <c r="P343" s="12"/>
      <c r="Q343" s="12"/>
    </row>
    <row r="344" spans="1:17" x14ac:dyDescent="0.25">
      <c r="A344" s="11"/>
      <c r="B344" s="12"/>
      <c r="C344" s="12"/>
      <c r="D344" s="125"/>
      <c r="E344" s="125"/>
      <c r="F344" s="12"/>
      <c r="G344" s="12"/>
      <c r="H344" s="12"/>
      <c r="I344" s="13"/>
      <c r="J344" s="13"/>
      <c r="K344" s="12"/>
      <c r="L344" s="12"/>
      <c r="M344" s="12"/>
      <c r="N344" s="12"/>
      <c r="O344" s="12"/>
      <c r="P344" s="12"/>
      <c r="Q344" s="12"/>
    </row>
    <row r="345" spans="1:17" x14ac:dyDescent="0.25">
      <c r="A345" s="11"/>
      <c r="B345" s="12"/>
      <c r="C345" s="12"/>
      <c r="D345" s="125"/>
      <c r="E345" s="125"/>
      <c r="F345" s="12"/>
      <c r="G345" s="12"/>
      <c r="H345" s="12"/>
      <c r="I345" s="13"/>
      <c r="J345" s="13"/>
      <c r="K345" s="12"/>
      <c r="L345" s="12"/>
      <c r="M345" s="12"/>
      <c r="N345" s="12"/>
      <c r="O345" s="12"/>
      <c r="P345" s="12"/>
      <c r="Q345" s="12"/>
    </row>
    <row r="346" spans="1:17" x14ac:dyDescent="0.25">
      <c r="A346" s="11"/>
      <c r="B346" s="12"/>
      <c r="C346" s="12"/>
      <c r="D346" s="125"/>
      <c r="E346" s="125"/>
      <c r="F346" s="12"/>
      <c r="G346" s="12"/>
      <c r="H346" s="12"/>
      <c r="I346" s="13"/>
      <c r="J346" s="13"/>
      <c r="K346" s="12"/>
      <c r="L346" s="12"/>
      <c r="M346" s="12"/>
      <c r="N346" s="12"/>
      <c r="O346" s="12"/>
      <c r="P346" s="12"/>
      <c r="Q346" s="12"/>
    </row>
    <row r="347" spans="1:17" x14ac:dyDescent="0.25">
      <c r="A347" s="11"/>
      <c r="B347" s="12"/>
      <c r="C347" s="12"/>
      <c r="D347" s="125"/>
      <c r="E347" s="125"/>
      <c r="F347" s="12"/>
      <c r="G347" s="12"/>
      <c r="H347" s="12"/>
      <c r="I347" s="13"/>
      <c r="J347" s="13"/>
      <c r="K347" s="12"/>
      <c r="L347" s="12"/>
      <c r="M347" s="12"/>
      <c r="N347" s="12"/>
      <c r="O347" s="12"/>
      <c r="P347" s="12"/>
      <c r="Q347" s="12"/>
    </row>
    <row r="348" spans="1:17" x14ac:dyDescent="0.25">
      <c r="A348" s="11"/>
      <c r="B348" s="12"/>
      <c r="C348" s="12"/>
      <c r="D348" s="125"/>
      <c r="E348" s="125"/>
      <c r="F348" s="12"/>
      <c r="G348" s="12"/>
      <c r="H348" s="12"/>
      <c r="I348" s="13"/>
      <c r="J348" s="13"/>
      <c r="K348" s="12"/>
      <c r="L348" s="12"/>
      <c r="M348" s="12"/>
      <c r="N348" s="12"/>
      <c r="O348" s="12"/>
      <c r="P348" s="12"/>
      <c r="Q348" s="12"/>
    </row>
    <row r="349" spans="1:17" x14ac:dyDescent="0.25">
      <c r="A349" s="11"/>
      <c r="B349" s="12"/>
      <c r="C349" s="12"/>
      <c r="D349" s="125"/>
      <c r="E349" s="125"/>
      <c r="F349" s="12"/>
      <c r="G349" s="12"/>
      <c r="H349" s="12"/>
      <c r="I349" s="13"/>
      <c r="J349" s="13"/>
      <c r="K349" s="12"/>
      <c r="L349" s="12"/>
      <c r="M349" s="12"/>
      <c r="N349" s="12"/>
      <c r="O349" s="12"/>
      <c r="P349" s="12"/>
      <c r="Q349" s="12"/>
    </row>
    <row r="350" spans="1:17" x14ac:dyDescent="0.25">
      <c r="A350" s="11"/>
      <c r="B350" s="12"/>
      <c r="C350" s="12"/>
      <c r="D350" s="125"/>
      <c r="E350" s="125"/>
      <c r="F350" s="12"/>
      <c r="G350" s="12"/>
      <c r="H350" s="12"/>
      <c r="I350" s="13"/>
      <c r="J350" s="13"/>
      <c r="K350" s="12"/>
      <c r="L350" s="12"/>
      <c r="M350" s="12"/>
      <c r="N350" s="12"/>
      <c r="O350" s="12"/>
      <c r="P350" s="12"/>
      <c r="Q350" s="12"/>
    </row>
    <row r="351" spans="1:17" x14ac:dyDescent="0.25">
      <c r="A351" s="11"/>
      <c r="B351" s="12"/>
      <c r="C351" s="12"/>
      <c r="D351" s="125"/>
      <c r="E351" s="125"/>
      <c r="F351" s="12"/>
      <c r="G351" s="12"/>
      <c r="H351" s="12"/>
      <c r="I351" s="13"/>
      <c r="J351" s="13"/>
      <c r="K351" s="12"/>
      <c r="L351" s="12"/>
      <c r="M351" s="12"/>
      <c r="N351" s="12"/>
      <c r="O351" s="12"/>
      <c r="P351" s="12"/>
      <c r="Q351" s="12"/>
    </row>
    <row r="352" spans="1:17" x14ac:dyDescent="0.25">
      <c r="A352" s="11"/>
      <c r="B352" s="12"/>
      <c r="C352" s="12"/>
      <c r="D352" s="125"/>
      <c r="E352" s="125"/>
      <c r="F352" s="12"/>
      <c r="G352" s="12"/>
      <c r="H352" s="12"/>
      <c r="I352" s="13"/>
      <c r="J352" s="13"/>
      <c r="K352" s="12"/>
      <c r="L352" s="12"/>
      <c r="M352" s="12"/>
      <c r="N352" s="12"/>
      <c r="O352" s="12"/>
      <c r="P352" s="12"/>
      <c r="Q352" s="12"/>
    </row>
    <row r="353" spans="1:17" x14ac:dyDescent="0.25">
      <c r="A353" s="11"/>
      <c r="B353" s="12"/>
      <c r="C353" s="12"/>
      <c r="D353" s="125"/>
      <c r="E353" s="125"/>
      <c r="F353" s="12"/>
      <c r="G353" s="12"/>
      <c r="H353" s="12"/>
      <c r="I353" s="13"/>
      <c r="J353" s="13"/>
      <c r="K353" s="12"/>
      <c r="L353" s="12"/>
      <c r="M353" s="12"/>
      <c r="N353" s="12"/>
      <c r="O353" s="12"/>
      <c r="P353" s="12"/>
      <c r="Q353" s="12"/>
    </row>
    <row r="354" spans="1:17" x14ac:dyDescent="0.25">
      <c r="A354" s="11"/>
      <c r="B354" s="12"/>
      <c r="C354" s="12"/>
      <c r="D354" s="125"/>
      <c r="E354" s="125"/>
      <c r="F354" s="12"/>
      <c r="G354" s="12"/>
      <c r="H354" s="12"/>
      <c r="I354" s="13"/>
      <c r="J354" s="13"/>
      <c r="K354" s="12"/>
      <c r="L354" s="12"/>
      <c r="M354" s="12"/>
      <c r="N354" s="12"/>
      <c r="O354" s="12"/>
      <c r="P354" s="12"/>
      <c r="Q354" s="12"/>
    </row>
    <row r="355" spans="1:17" x14ac:dyDescent="0.25">
      <c r="A355" s="11"/>
      <c r="B355" s="12"/>
      <c r="C355" s="12"/>
      <c r="D355" s="125"/>
      <c r="E355" s="125"/>
      <c r="F355" s="12"/>
      <c r="G355" s="12"/>
      <c r="H355" s="12"/>
      <c r="I355" s="13"/>
      <c r="J355" s="13"/>
      <c r="K355" s="12"/>
      <c r="L355" s="12"/>
      <c r="M355" s="12"/>
      <c r="N355" s="12"/>
      <c r="O355" s="12"/>
      <c r="P355" s="12"/>
      <c r="Q355" s="12"/>
    </row>
    <row r="356" spans="1:17" x14ac:dyDescent="0.25">
      <c r="A356" s="11"/>
      <c r="B356" s="12"/>
      <c r="C356" s="12"/>
      <c r="D356" s="125"/>
      <c r="E356" s="125"/>
      <c r="F356" s="12"/>
      <c r="G356" s="12"/>
      <c r="H356" s="12"/>
      <c r="I356" s="13"/>
      <c r="J356" s="13"/>
      <c r="K356" s="12"/>
      <c r="L356" s="12"/>
      <c r="M356" s="12"/>
      <c r="N356" s="12"/>
      <c r="O356" s="12"/>
      <c r="P356" s="12"/>
      <c r="Q356" s="12"/>
    </row>
    <row r="357" spans="1:17" x14ac:dyDescent="0.25">
      <c r="A357" s="11"/>
      <c r="B357" s="12"/>
      <c r="C357" s="12"/>
      <c r="D357" s="125"/>
      <c r="E357" s="125"/>
      <c r="F357" s="12"/>
      <c r="G357" s="12"/>
      <c r="H357" s="12"/>
      <c r="I357" s="13"/>
      <c r="J357" s="13"/>
      <c r="K357" s="12"/>
      <c r="L357" s="12"/>
      <c r="M357" s="12"/>
      <c r="N357" s="12"/>
      <c r="O357" s="12"/>
      <c r="P357" s="12"/>
      <c r="Q357" s="12"/>
    </row>
    <row r="358" spans="1:17" x14ac:dyDescent="0.25">
      <c r="A358" s="11"/>
      <c r="B358" s="12"/>
      <c r="C358" s="12"/>
      <c r="D358" s="125"/>
      <c r="E358" s="125"/>
      <c r="F358" s="12"/>
      <c r="G358" s="12"/>
      <c r="H358" s="12"/>
      <c r="I358" s="13"/>
      <c r="J358" s="13"/>
      <c r="K358" s="12"/>
      <c r="L358" s="12"/>
      <c r="M358" s="12"/>
      <c r="N358" s="12"/>
      <c r="O358" s="12"/>
      <c r="P358" s="12"/>
      <c r="Q358" s="12"/>
    </row>
    <row r="359" spans="1:17" x14ac:dyDescent="0.25">
      <c r="A359" s="11"/>
      <c r="B359" s="12"/>
      <c r="C359" s="12"/>
      <c r="D359" s="125"/>
      <c r="E359" s="125"/>
      <c r="F359" s="12"/>
      <c r="G359" s="12"/>
      <c r="H359" s="12"/>
      <c r="I359" s="13"/>
      <c r="J359" s="13"/>
      <c r="K359" s="12"/>
      <c r="L359" s="12"/>
      <c r="M359" s="12"/>
      <c r="N359" s="12"/>
      <c r="O359" s="12"/>
      <c r="P359" s="12"/>
      <c r="Q359" s="12"/>
    </row>
    <row r="360" spans="1:17" x14ac:dyDescent="0.25">
      <c r="A360" s="11"/>
      <c r="B360" s="12"/>
      <c r="C360" s="12"/>
      <c r="D360" s="125"/>
      <c r="E360" s="125"/>
      <c r="F360" s="12"/>
      <c r="G360" s="12"/>
      <c r="H360" s="12"/>
      <c r="I360" s="13"/>
      <c r="J360" s="13"/>
      <c r="K360" s="12"/>
      <c r="L360" s="12"/>
      <c r="M360" s="12"/>
      <c r="N360" s="12"/>
      <c r="O360" s="12"/>
      <c r="P360" s="12"/>
      <c r="Q360" s="12"/>
    </row>
    <row r="361" spans="1:17" x14ac:dyDescent="0.25">
      <c r="A361" s="11"/>
      <c r="B361" s="12"/>
      <c r="C361" s="12"/>
      <c r="D361" s="125"/>
      <c r="E361" s="125"/>
      <c r="F361" s="12"/>
      <c r="G361" s="12"/>
      <c r="H361" s="12"/>
      <c r="I361" s="13"/>
      <c r="J361" s="13"/>
      <c r="K361" s="12"/>
      <c r="L361" s="12"/>
      <c r="M361" s="12"/>
      <c r="N361" s="12"/>
      <c r="O361" s="12"/>
      <c r="P361" s="12"/>
      <c r="Q361" s="12"/>
    </row>
    <row r="362" spans="1:17" x14ac:dyDescent="0.25">
      <c r="A362" s="11"/>
      <c r="B362" s="12"/>
      <c r="C362" s="12"/>
      <c r="D362" s="125"/>
      <c r="E362" s="125"/>
      <c r="F362" s="12"/>
      <c r="G362" s="12"/>
      <c r="H362" s="12"/>
      <c r="I362" s="13"/>
      <c r="J362" s="13"/>
      <c r="K362" s="12"/>
      <c r="L362" s="12"/>
      <c r="M362" s="12"/>
      <c r="N362" s="12"/>
      <c r="O362" s="12"/>
      <c r="P362" s="12"/>
      <c r="Q362" s="12"/>
    </row>
    <row r="363" spans="1:17" x14ac:dyDescent="0.25">
      <c r="A363" s="11"/>
      <c r="B363" s="12"/>
      <c r="C363" s="12"/>
      <c r="D363" s="125"/>
      <c r="E363" s="125"/>
      <c r="F363" s="12"/>
      <c r="G363" s="12"/>
      <c r="H363" s="12"/>
      <c r="I363" s="13"/>
      <c r="J363" s="13"/>
      <c r="K363" s="12"/>
      <c r="L363" s="12"/>
      <c r="M363" s="12"/>
      <c r="N363" s="12"/>
      <c r="O363" s="12"/>
      <c r="P363" s="12"/>
      <c r="Q363" s="12"/>
    </row>
    <row r="364" spans="1:17" x14ac:dyDescent="0.25">
      <c r="A364" s="11"/>
      <c r="B364" s="12"/>
      <c r="C364" s="12"/>
      <c r="D364" s="125"/>
      <c r="E364" s="125"/>
      <c r="F364" s="12"/>
      <c r="G364" s="12"/>
      <c r="H364" s="12"/>
      <c r="I364" s="13"/>
      <c r="J364" s="13"/>
      <c r="K364" s="12"/>
      <c r="L364" s="12"/>
      <c r="M364" s="12"/>
      <c r="N364" s="12"/>
      <c r="O364" s="12"/>
      <c r="P364" s="12"/>
      <c r="Q364" s="12"/>
    </row>
    <row r="365" spans="1:17" x14ac:dyDescent="0.25">
      <c r="A365" s="11"/>
      <c r="B365" s="12"/>
      <c r="C365" s="12"/>
      <c r="D365" s="125"/>
      <c r="E365" s="125"/>
      <c r="F365" s="12"/>
      <c r="G365" s="12"/>
      <c r="H365" s="12"/>
      <c r="I365" s="13"/>
      <c r="J365" s="13"/>
      <c r="K365" s="12"/>
      <c r="L365" s="12"/>
      <c r="M365" s="12"/>
      <c r="N365" s="12"/>
      <c r="O365" s="12"/>
      <c r="P365" s="12"/>
      <c r="Q365" s="12"/>
    </row>
    <row r="366" spans="1:17" x14ac:dyDescent="0.25">
      <c r="A366" s="11"/>
      <c r="B366" s="12"/>
      <c r="C366" s="12"/>
      <c r="D366" s="125"/>
      <c r="E366" s="125"/>
      <c r="F366" s="12"/>
      <c r="G366" s="12"/>
      <c r="H366" s="12"/>
      <c r="I366" s="13"/>
      <c r="J366" s="13"/>
      <c r="K366" s="12"/>
      <c r="L366" s="12"/>
      <c r="M366" s="12"/>
      <c r="N366" s="12"/>
      <c r="O366" s="12"/>
      <c r="P366" s="12"/>
      <c r="Q366" s="12"/>
    </row>
    <row r="367" spans="1:17" x14ac:dyDescent="0.25">
      <c r="A367" s="11"/>
      <c r="B367" s="12"/>
      <c r="C367" s="12"/>
      <c r="D367" s="125"/>
      <c r="E367" s="125"/>
      <c r="F367" s="12"/>
      <c r="G367" s="12"/>
      <c r="H367" s="12"/>
      <c r="I367" s="13"/>
      <c r="J367" s="13"/>
      <c r="K367" s="12"/>
      <c r="L367" s="12"/>
      <c r="M367" s="12"/>
      <c r="N367" s="12"/>
      <c r="O367" s="12"/>
      <c r="P367" s="12"/>
      <c r="Q367" s="12"/>
    </row>
    <row r="368" spans="1:17" x14ac:dyDescent="0.25">
      <c r="A368" s="11"/>
      <c r="B368" s="12"/>
      <c r="C368" s="12"/>
      <c r="D368" s="125"/>
      <c r="E368" s="125"/>
      <c r="F368" s="12"/>
      <c r="G368" s="12"/>
      <c r="H368" s="12"/>
      <c r="I368" s="13"/>
      <c r="J368" s="13"/>
      <c r="K368" s="12"/>
      <c r="L368" s="12"/>
      <c r="M368" s="12"/>
      <c r="N368" s="12"/>
      <c r="O368" s="12"/>
      <c r="P368" s="12"/>
      <c r="Q368" s="12"/>
    </row>
    <row r="369" spans="1:17" x14ac:dyDescent="0.25">
      <c r="A369" s="11"/>
      <c r="B369" s="12"/>
      <c r="C369" s="12"/>
      <c r="D369" s="125"/>
      <c r="E369" s="125"/>
      <c r="F369" s="12"/>
      <c r="G369" s="12"/>
      <c r="H369" s="12"/>
      <c r="I369" s="13"/>
      <c r="J369" s="13"/>
      <c r="K369" s="12"/>
      <c r="L369" s="12"/>
      <c r="M369" s="12"/>
      <c r="N369" s="12"/>
      <c r="O369" s="12"/>
      <c r="P369" s="12"/>
      <c r="Q369" s="12"/>
    </row>
    <row r="370" spans="1:17" x14ac:dyDescent="0.25">
      <c r="A370" s="11"/>
      <c r="B370" s="12"/>
      <c r="C370" s="12"/>
      <c r="D370" s="125"/>
      <c r="E370" s="125"/>
      <c r="F370" s="12"/>
      <c r="G370" s="12"/>
      <c r="H370" s="12"/>
      <c r="I370" s="13"/>
      <c r="J370" s="13"/>
      <c r="K370" s="12"/>
      <c r="L370" s="12"/>
      <c r="M370" s="12"/>
      <c r="N370" s="12"/>
      <c r="O370" s="12"/>
      <c r="P370" s="12"/>
      <c r="Q370" s="12"/>
    </row>
    <row r="371" spans="1:17" x14ac:dyDescent="0.25">
      <c r="A371" s="11"/>
      <c r="B371" s="12"/>
      <c r="C371" s="12"/>
      <c r="D371" s="125"/>
      <c r="E371" s="125"/>
      <c r="F371" s="12"/>
      <c r="G371" s="12"/>
      <c r="H371" s="12"/>
      <c r="I371" s="13"/>
      <c r="J371" s="13"/>
      <c r="K371" s="12"/>
      <c r="L371" s="12"/>
      <c r="M371" s="12"/>
      <c r="N371" s="12"/>
      <c r="O371" s="12"/>
      <c r="P371" s="12"/>
      <c r="Q371" s="12"/>
    </row>
    <row r="372" spans="1:17" x14ac:dyDescent="0.25">
      <c r="A372" s="11"/>
      <c r="B372" s="12"/>
      <c r="C372" s="12"/>
      <c r="D372" s="125"/>
      <c r="E372" s="125"/>
      <c r="F372" s="12"/>
      <c r="G372" s="12"/>
      <c r="H372" s="12"/>
      <c r="I372" s="13"/>
      <c r="J372" s="13"/>
      <c r="K372" s="12"/>
      <c r="L372" s="12"/>
      <c r="M372" s="12"/>
      <c r="N372" s="12"/>
      <c r="O372" s="12"/>
      <c r="P372" s="12"/>
      <c r="Q372" s="12"/>
    </row>
    <row r="373" spans="1:17" x14ac:dyDescent="0.25">
      <c r="A373" s="11"/>
      <c r="B373" s="12"/>
      <c r="C373" s="12"/>
      <c r="D373" s="125"/>
      <c r="E373" s="125"/>
      <c r="F373" s="12"/>
      <c r="G373" s="12"/>
      <c r="H373" s="12"/>
      <c r="I373" s="13"/>
      <c r="J373" s="13"/>
      <c r="K373" s="12"/>
      <c r="L373" s="12"/>
      <c r="M373" s="12"/>
      <c r="N373" s="12"/>
      <c r="O373" s="12"/>
      <c r="P373" s="12"/>
      <c r="Q373" s="12"/>
    </row>
    <row r="374" spans="1:17" x14ac:dyDescent="0.25">
      <c r="A374" s="11"/>
      <c r="B374" s="12"/>
      <c r="C374" s="12"/>
      <c r="D374" s="125"/>
      <c r="E374" s="125"/>
      <c r="F374" s="12"/>
      <c r="G374" s="12"/>
      <c r="H374" s="12"/>
      <c r="I374" s="13"/>
      <c r="J374" s="13"/>
      <c r="K374" s="12"/>
      <c r="L374" s="12"/>
      <c r="M374" s="12"/>
      <c r="N374" s="12"/>
      <c r="O374" s="12"/>
      <c r="P374" s="12"/>
      <c r="Q374" s="12"/>
    </row>
    <row r="375" spans="1:17" x14ac:dyDescent="0.25">
      <c r="A375" s="11"/>
      <c r="B375" s="12"/>
      <c r="C375" s="12"/>
      <c r="D375" s="125"/>
      <c r="E375" s="125"/>
      <c r="F375" s="12"/>
      <c r="G375" s="12"/>
      <c r="H375" s="12"/>
      <c r="I375" s="13"/>
      <c r="J375" s="13"/>
      <c r="K375" s="12"/>
      <c r="L375" s="12"/>
      <c r="M375" s="12"/>
      <c r="N375" s="12"/>
      <c r="O375" s="12"/>
      <c r="P375" s="12"/>
      <c r="Q375" s="12"/>
    </row>
    <row r="376" spans="1:17" x14ac:dyDescent="0.25">
      <c r="A376" s="11"/>
      <c r="B376" s="12"/>
      <c r="C376" s="12"/>
      <c r="D376" s="125"/>
      <c r="E376" s="125"/>
      <c r="F376" s="12"/>
      <c r="G376" s="12"/>
      <c r="H376" s="12"/>
      <c r="I376" s="13"/>
      <c r="J376" s="13"/>
      <c r="K376" s="12"/>
      <c r="L376" s="12"/>
      <c r="M376" s="12"/>
      <c r="N376" s="12"/>
      <c r="O376" s="12"/>
      <c r="P376" s="12"/>
      <c r="Q376" s="12"/>
    </row>
    <row r="377" spans="1:17" x14ac:dyDescent="0.25">
      <c r="A377" s="11"/>
      <c r="B377" s="12"/>
      <c r="C377" s="12"/>
      <c r="D377" s="125"/>
      <c r="E377" s="125"/>
      <c r="F377" s="12"/>
      <c r="G377" s="12"/>
      <c r="H377" s="12"/>
      <c r="I377" s="13"/>
      <c r="J377" s="13"/>
      <c r="K377" s="12"/>
      <c r="L377" s="12"/>
      <c r="M377" s="12"/>
      <c r="N377" s="12"/>
      <c r="O377" s="12"/>
      <c r="P377" s="12"/>
      <c r="Q377" s="12"/>
    </row>
    <row r="378" spans="1:17" x14ac:dyDescent="0.25">
      <c r="A378" s="11"/>
      <c r="B378" s="12"/>
      <c r="C378" s="12"/>
      <c r="D378" s="125"/>
      <c r="E378" s="125"/>
      <c r="F378" s="12"/>
      <c r="G378" s="12"/>
      <c r="H378" s="12"/>
      <c r="I378" s="13"/>
      <c r="J378" s="13"/>
      <c r="K378" s="12"/>
      <c r="L378" s="12"/>
      <c r="M378" s="12"/>
      <c r="N378" s="12"/>
      <c r="O378" s="12"/>
      <c r="P378" s="12"/>
      <c r="Q378" s="12"/>
    </row>
    <row r="379" spans="1:17" x14ac:dyDescent="0.25">
      <c r="A379" s="11"/>
      <c r="B379" s="12"/>
      <c r="C379" s="12"/>
      <c r="D379" s="125"/>
      <c r="E379" s="125"/>
      <c r="F379" s="12"/>
      <c r="G379" s="12"/>
      <c r="H379" s="12"/>
      <c r="I379" s="13"/>
      <c r="J379" s="13"/>
      <c r="K379" s="12"/>
      <c r="L379" s="12"/>
      <c r="M379" s="12"/>
      <c r="N379" s="12"/>
      <c r="O379" s="12"/>
      <c r="P379" s="12"/>
      <c r="Q379" s="12"/>
    </row>
    <row r="380" spans="1:17" x14ac:dyDescent="0.25">
      <c r="A380" s="11"/>
      <c r="B380" s="12"/>
      <c r="C380" s="12"/>
      <c r="D380" s="125"/>
      <c r="E380" s="125"/>
      <c r="F380" s="12"/>
      <c r="G380" s="12"/>
      <c r="H380" s="12"/>
      <c r="I380" s="13"/>
      <c r="J380" s="13"/>
      <c r="K380" s="12"/>
      <c r="L380" s="12"/>
      <c r="M380" s="12"/>
      <c r="N380" s="12"/>
      <c r="O380" s="12"/>
      <c r="P380" s="12"/>
      <c r="Q380" s="12"/>
    </row>
    <row r="381" spans="1:17" x14ac:dyDescent="0.25">
      <c r="A381" s="11"/>
      <c r="B381" s="12"/>
      <c r="C381" s="12"/>
      <c r="D381" s="125"/>
      <c r="E381" s="125"/>
      <c r="F381" s="12"/>
      <c r="G381" s="12"/>
      <c r="H381" s="12"/>
      <c r="I381" s="13"/>
      <c r="J381" s="13"/>
      <c r="K381" s="12"/>
      <c r="L381" s="12"/>
      <c r="M381" s="12"/>
      <c r="N381" s="12"/>
      <c r="O381" s="12"/>
      <c r="P381" s="12"/>
      <c r="Q381" s="12"/>
    </row>
    <row r="382" spans="1:17" x14ac:dyDescent="0.25">
      <c r="A382" s="11"/>
      <c r="B382" s="12"/>
      <c r="C382" s="12"/>
      <c r="D382" s="125"/>
      <c r="E382" s="125"/>
      <c r="F382" s="12"/>
      <c r="G382" s="12"/>
      <c r="H382" s="12"/>
      <c r="I382" s="13"/>
      <c r="J382" s="13"/>
      <c r="K382" s="12"/>
      <c r="L382" s="12"/>
      <c r="M382" s="12"/>
      <c r="N382" s="12"/>
      <c r="O382" s="12"/>
      <c r="P382" s="12"/>
      <c r="Q382" s="12"/>
    </row>
    <row r="383" spans="1:17" x14ac:dyDescent="0.25">
      <c r="A383" s="11"/>
      <c r="B383" s="12"/>
      <c r="C383" s="12"/>
      <c r="D383" s="125"/>
      <c r="E383" s="125"/>
      <c r="F383" s="12"/>
      <c r="G383" s="12"/>
      <c r="H383" s="12"/>
      <c r="I383" s="13"/>
      <c r="J383" s="13"/>
      <c r="K383" s="12"/>
      <c r="L383" s="12"/>
      <c r="M383" s="12"/>
      <c r="N383" s="12"/>
      <c r="O383" s="12"/>
      <c r="P383" s="12"/>
      <c r="Q383" s="12"/>
    </row>
    <row r="384" spans="1:17" x14ac:dyDescent="0.25">
      <c r="A384" s="11"/>
      <c r="B384" s="12"/>
      <c r="C384" s="12"/>
      <c r="D384" s="125"/>
      <c r="E384" s="125"/>
      <c r="F384" s="12"/>
      <c r="G384" s="12"/>
      <c r="H384" s="12"/>
      <c r="I384" s="13"/>
      <c r="J384" s="13"/>
      <c r="K384" s="12"/>
      <c r="L384" s="12"/>
      <c r="M384" s="12"/>
      <c r="N384" s="12"/>
      <c r="O384" s="12"/>
      <c r="P384" s="12"/>
      <c r="Q384" s="12"/>
    </row>
    <row r="385" spans="1:17" x14ac:dyDescent="0.25">
      <c r="A385" s="11"/>
      <c r="B385" s="12"/>
      <c r="C385" s="12"/>
      <c r="D385" s="125"/>
      <c r="E385" s="125"/>
      <c r="F385" s="12"/>
      <c r="G385" s="12"/>
      <c r="H385" s="12"/>
      <c r="I385" s="13"/>
      <c r="J385" s="13"/>
      <c r="K385" s="12"/>
      <c r="L385" s="12"/>
      <c r="M385" s="12"/>
      <c r="N385" s="12"/>
      <c r="O385" s="12"/>
      <c r="P385" s="12"/>
      <c r="Q385" s="12"/>
    </row>
    <row r="386" spans="1:17" x14ac:dyDescent="0.25">
      <c r="A386" s="11"/>
      <c r="B386" s="12"/>
      <c r="C386" s="12"/>
      <c r="D386" s="125"/>
      <c r="E386" s="125"/>
      <c r="F386" s="12"/>
      <c r="G386" s="12"/>
      <c r="H386" s="12"/>
      <c r="I386" s="13"/>
      <c r="J386" s="13"/>
      <c r="K386" s="12"/>
      <c r="L386" s="12"/>
      <c r="M386" s="12"/>
      <c r="N386" s="12"/>
      <c r="O386" s="12"/>
      <c r="P386" s="12"/>
      <c r="Q386" s="12"/>
    </row>
    <row r="387" spans="1:17" x14ac:dyDescent="0.25">
      <c r="A387" s="11"/>
      <c r="B387" s="12"/>
      <c r="C387" s="12"/>
      <c r="D387" s="125"/>
      <c r="E387" s="125"/>
      <c r="F387" s="12"/>
      <c r="G387" s="12"/>
      <c r="H387" s="12"/>
      <c r="I387" s="13"/>
      <c r="J387" s="13"/>
      <c r="K387" s="12"/>
      <c r="L387" s="12"/>
      <c r="M387" s="12"/>
      <c r="N387" s="12"/>
      <c r="O387" s="12"/>
      <c r="P387" s="12"/>
      <c r="Q387" s="12"/>
    </row>
    <row r="388" spans="1:17" x14ac:dyDescent="0.25">
      <c r="A388" s="11"/>
      <c r="B388" s="12"/>
      <c r="C388" s="12"/>
      <c r="D388" s="125"/>
      <c r="E388" s="125"/>
      <c r="F388" s="12"/>
      <c r="G388" s="12"/>
      <c r="H388" s="12"/>
      <c r="I388" s="13"/>
      <c r="J388" s="13"/>
      <c r="K388" s="12"/>
      <c r="L388" s="12"/>
      <c r="M388" s="12"/>
      <c r="N388" s="12"/>
      <c r="O388" s="12"/>
      <c r="P388" s="12"/>
      <c r="Q388" s="12"/>
    </row>
    <row r="389" spans="1:17" x14ac:dyDescent="0.25">
      <c r="A389" s="11"/>
      <c r="B389" s="12"/>
      <c r="C389" s="12"/>
      <c r="D389" s="125"/>
      <c r="E389" s="125"/>
      <c r="F389" s="12"/>
      <c r="G389" s="12"/>
      <c r="H389" s="12"/>
      <c r="I389" s="13"/>
      <c r="J389" s="13"/>
      <c r="K389" s="12"/>
      <c r="L389" s="12"/>
      <c r="M389" s="12"/>
      <c r="N389" s="12"/>
      <c r="O389" s="12"/>
      <c r="P389" s="12"/>
      <c r="Q389" s="12"/>
    </row>
    <row r="390" spans="1:17" x14ac:dyDescent="0.25">
      <c r="A390" s="11"/>
      <c r="B390" s="12"/>
      <c r="C390" s="12"/>
      <c r="D390" s="125"/>
      <c r="E390" s="125"/>
      <c r="F390" s="12"/>
      <c r="G390" s="12"/>
      <c r="H390" s="12"/>
      <c r="I390" s="13"/>
      <c r="J390" s="13"/>
      <c r="K390" s="12"/>
      <c r="L390" s="12"/>
      <c r="M390" s="12"/>
      <c r="N390" s="12"/>
      <c r="O390" s="12"/>
      <c r="P390" s="12"/>
      <c r="Q390" s="12"/>
    </row>
    <row r="391" spans="1:17" x14ac:dyDescent="0.25">
      <c r="A391" s="11"/>
      <c r="B391" s="12"/>
      <c r="C391" s="12"/>
      <c r="D391" s="125"/>
      <c r="E391" s="125"/>
      <c r="F391" s="12"/>
      <c r="G391" s="12"/>
      <c r="H391" s="12"/>
      <c r="I391" s="13"/>
      <c r="J391" s="13"/>
      <c r="K391" s="12"/>
      <c r="L391" s="12"/>
      <c r="M391" s="12"/>
      <c r="N391" s="12"/>
      <c r="O391" s="12"/>
      <c r="P391" s="12"/>
      <c r="Q391" s="12"/>
    </row>
    <row r="392" spans="1:17" x14ac:dyDescent="0.25">
      <c r="A392" s="11"/>
      <c r="B392" s="12"/>
      <c r="C392" s="12"/>
      <c r="D392" s="125"/>
      <c r="E392" s="125"/>
      <c r="F392" s="12"/>
      <c r="G392" s="12"/>
      <c r="H392" s="12"/>
      <c r="I392" s="13"/>
      <c r="J392" s="13"/>
      <c r="K392" s="12"/>
      <c r="L392" s="12"/>
      <c r="M392" s="12"/>
      <c r="N392" s="12"/>
      <c r="O392" s="12"/>
      <c r="P392" s="12"/>
      <c r="Q392" s="12"/>
    </row>
    <row r="393" spans="1:17" x14ac:dyDescent="0.25">
      <c r="A393" s="11"/>
      <c r="B393" s="12"/>
      <c r="C393" s="12"/>
      <c r="D393" s="125"/>
      <c r="E393" s="125"/>
      <c r="F393" s="12"/>
      <c r="G393" s="12"/>
      <c r="H393" s="12"/>
      <c r="I393" s="13"/>
      <c r="J393" s="13"/>
      <c r="K393" s="12"/>
      <c r="L393" s="12"/>
      <c r="M393" s="12"/>
      <c r="N393" s="12"/>
      <c r="O393" s="12"/>
      <c r="P393" s="12"/>
      <c r="Q393" s="12"/>
    </row>
    <row r="394" spans="1:17" x14ac:dyDescent="0.25">
      <c r="A394" s="11"/>
      <c r="B394" s="12"/>
      <c r="C394" s="12"/>
      <c r="D394" s="125"/>
      <c r="E394" s="125"/>
      <c r="F394" s="12"/>
      <c r="G394" s="12"/>
      <c r="H394" s="12"/>
      <c r="I394" s="13"/>
      <c r="J394" s="13"/>
      <c r="K394" s="12"/>
      <c r="L394" s="12"/>
      <c r="M394" s="12"/>
      <c r="N394" s="12"/>
      <c r="O394" s="12"/>
      <c r="P394" s="12"/>
      <c r="Q394" s="12"/>
    </row>
    <row r="395" spans="1:17" x14ac:dyDescent="0.25">
      <c r="A395" s="11"/>
      <c r="B395" s="12"/>
      <c r="C395" s="12"/>
      <c r="D395" s="125"/>
      <c r="E395" s="125"/>
      <c r="F395" s="12"/>
      <c r="G395" s="12"/>
      <c r="H395" s="12"/>
      <c r="I395" s="13"/>
      <c r="J395" s="13"/>
      <c r="K395" s="12"/>
      <c r="L395" s="12"/>
      <c r="M395" s="12"/>
      <c r="N395" s="12"/>
      <c r="O395" s="12"/>
      <c r="P395" s="12"/>
      <c r="Q395" s="12"/>
    </row>
    <row r="396" spans="1:17" x14ac:dyDescent="0.25">
      <c r="A396" s="11"/>
      <c r="B396" s="12"/>
      <c r="C396" s="12"/>
      <c r="D396" s="125"/>
      <c r="E396" s="125"/>
      <c r="F396" s="12"/>
      <c r="G396" s="12"/>
      <c r="H396" s="12"/>
      <c r="I396" s="13"/>
      <c r="J396" s="13"/>
      <c r="K396" s="12"/>
      <c r="L396" s="12"/>
      <c r="M396" s="12"/>
      <c r="N396" s="12"/>
      <c r="O396" s="12"/>
      <c r="P396" s="12"/>
      <c r="Q396" s="12"/>
    </row>
    <row r="397" spans="1:17" x14ac:dyDescent="0.25">
      <c r="A397" s="11"/>
      <c r="B397" s="12"/>
      <c r="C397" s="12"/>
      <c r="D397" s="125"/>
      <c r="E397" s="125"/>
      <c r="F397" s="12"/>
      <c r="G397" s="12"/>
      <c r="H397" s="12"/>
      <c r="I397" s="13"/>
      <c r="J397" s="13"/>
      <c r="K397" s="12"/>
      <c r="L397" s="12"/>
      <c r="M397" s="12"/>
      <c r="N397" s="12"/>
      <c r="O397" s="12"/>
      <c r="P397" s="12"/>
      <c r="Q397" s="12"/>
    </row>
    <row r="398" spans="1:17" x14ac:dyDescent="0.25">
      <c r="A398" s="11"/>
      <c r="B398" s="12"/>
      <c r="C398" s="12"/>
      <c r="D398" s="125"/>
      <c r="E398" s="125"/>
      <c r="F398" s="12"/>
      <c r="G398" s="12"/>
      <c r="H398" s="12"/>
      <c r="I398" s="13"/>
      <c r="J398" s="13"/>
      <c r="K398" s="12"/>
      <c r="L398" s="12"/>
      <c r="M398" s="12"/>
      <c r="N398" s="12"/>
      <c r="O398" s="12"/>
      <c r="P398" s="12"/>
      <c r="Q398" s="12"/>
    </row>
    <row r="399" spans="1:17" x14ac:dyDescent="0.25">
      <c r="A399" s="11"/>
      <c r="B399" s="12"/>
      <c r="C399" s="12"/>
      <c r="D399" s="125"/>
      <c r="E399" s="125"/>
      <c r="F399" s="12"/>
      <c r="G399" s="12"/>
      <c r="H399" s="12"/>
      <c r="I399" s="13"/>
      <c r="J399" s="13"/>
      <c r="K399" s="12"/>
      <c r="L399" s="12"/>
      <c r="M399" s="12"/>
      <c r="N399" s="12"/>
      <c r="O399" s="12"/>
      <c r="P399" s="12"/>
      <c r="Q399" s="12"/>
    </row>
    <row r="400" spans="1:17" x14ac:dyDescent="0.25">
      <c r="A400" s="11"/>
      <c r="B400" s="12"/>
      <c r="C400" s="12"/>
      <c r="D400" s="125"/>
      <c r="E400" s="125"/>
      <c r="F400" s="12"/>
      <c r="G400" s="12"/>
      <c r="H400" s="12"/>
      <c r="I400" s="13"/>
      <c r="J400" s="13"/>
      <c r="K400" s="12"/>
      <c r="L400" s="12"/>
      <c r="M400" s="12"/>
      <c r="N400" s="12"/>
      <c r="O400" s="12"/>
      <c r="P400" s="12"/>
      <c r="Q400" s="12"/>
    </row>
    <row r="401" spans="1:17" x14ac:dyDescent="0.25">
      <c r="A401" s="11"/>
      <c r="B401" s="12"/>
      <c r="C401" s="12"/>
      <c r="D401" s="125"/>
      <c r="E401" s="125"/>
      <c r="F401" s="12"/>
      <c r="G401" s="12"/>
      <c r="H401" s="12"/>
      <c r="I401" s="13"/>
      <c r="J401" s="13"/>
      <c r="K401" s="12"/>
      <c r="L401" s="12"/>
      <c r="M401" s="12"/>
      <c r="N401" s="12"/>
      <c r="O401" s="12"/>
      <c r="P401" s="12"/>
      <c r="Q401" s="12"/>
    </row>
    <row r="402" spans="1:17" x14ac:dyDescent="0.25">
      <c r="A402" s="11"/>
      <c r="B402" s="12"/>
      <c r="C402" s="12"/>
      <c r="D402" s="125"/>
      <c r="E402" s="125"/>
      <c r="F402" s="12"/>
      <c r="G402" s="12"/>
      <c r="H402" s="12"/>
      <c r="I402" s="13"/>
      <c r="J402" s="13"/>
      <c r="K402" s="12"/>
      <c r="L402" s="12"/>
      <c r="M402" s="12"/>
      <c r="N402" s="12"/>
      <c r="O402" s="12"/>
      <c r="P402" s="12"/>
      <c r="Q402" s="12"/>
    </row>
    <row r="403" spans="1:17" x14ac:dyDescent="0.25">
      <c r="A403" s="11"/>
      <c r="B403" s="12"/>
      <c r="C403" s="12"/>
      <c r="D403" s="125"/>
      <c r="E403" s="125"/>
      <c r="F403" s="12"/>
      <c r="G403" s="12"/>
      <c r="H403" s="12"/>
      <c r="I403" s="13"/>
      <c r="J403" s="13"/>
      <c r="K403" s="12"/>
      <c r="L403" s="12"/>
      <c r="M403" s="12"/>
      <c r="N403" s="12"/>
      <c r="O403" s="12"/>
      <c r="P403" s="12"/>
      <c r="Q403" s="12"/>
    </row>
    <row r="404" spans="1:17" x14ac:dyDescent="0.25">
      <c r="A404" s="11"/>
      <c r="B404" s="12"/>
      <c r="C404" s="12"/>
      <c r="D404" s="125"/>
      <c r="E404" s="125"/>
      <c r="F404" s="12"/>
      <c r="G404" s="12"/>
      <c r="H404" s="12"/>
      <c r="I404" s="13"/>
      <c r="J404" s="13"/>
      <c r="K404" s="12"/>
      <c r="L404" s="12"/>
      <c r="M404" s="12"/>
      <c r="N404" s="12"/>
      <c r="O404" s="12"/>
      <c r="P404" s="12"/>
      <c r="Q404" s="12"/>
    </row>
    <row r="405" spans="1:17" x14ac:dyDescent="0.25">
      <c r="A405" s="11"/>
      <c r="B405" s="12"/>
      <c r="C405" s="12"/>
      <c r="D405" s="125"/>
      <c r="E405" s="125"/>
      <c r="F405" s="12"/>
      <c r="G405" s="12"/>
      <c r="H405" s="12"/>
      <c r="I405" s="13"/>
      <c r="J405" s="13"/>
      <c r="K405" s="12"/>
      <c r="L405" s="12"/>
      <c r="M405" s="12"/>
      <c r="N405" s="12"/>
      <c r="O405" s="12"/>
      <c r="P405" s="12"/>
      <c r="Q405" s="12"/>
    </row>
    <row r="406" spans="1:17" x14ac:dyDescent="0.25">
      <c r="A406" s="11"/>
      <c r="B406" s="12"/>
      <c r="C406" s="12"/>
      <c r="D406" s="125"/>
      <c r="E406" s="125"/>
      <c r="F406" s="12"/>
      <c r="G406" s="12"/>
      <c r="H406" s="12"/>
      <c r="I406" s="13"/>
      <c r="J406" s="13"/>
      <c r="K406" s="12"/>
      <c r="L406" s="12"/>
      <c r="M406" s="12"/>
      <c r="N406" s="12"/>
      <c r="O406" s="12"/>
      <c r="P406" s="12"/>
      <c r="Q406" s="12"/>
    </row>
    <row r="407" spans="1:17" x14ac:dyDescent="0.25">
      <c r="A407" s="11"/>
      <c r="B407" s="12"/>
      <c r="C407" s="12"/>
      <c r="D407" s="125"/>
      <c r="E407" s="125"/>
      <c r="F407" s="12"/>
      <c r="G407" s="12"/>
      <c r="H407" s="12"/>
      <c r="I407" s="13"/>
      <c r="J407" s="13"/>
      <c r="K407" s="12"/>
      <c r="L407" s="12"/>
      <c r="M407" s="12"/>
      <c r="N407" s="12"/>
      <c r="O407" s="12"/>
      <c r="P407" s="12"/>
      <c r="Q407" s="12"/>
    </row>
    <row r="408" spans="1:17" x14ac:dyDescent="0.25">
      <c r="A408" s="11"/>
      <c r="B408" s="12"/>
      <c r="C408" s="12"/>
      <c r="D408" s="125"/>
      <c r="E408" s="125"/>
      <c r="F408" s="12"/>
      <c r="G408" s="12"/>
      <c r="H408" s="12"/>
      <c r="I408" s="13"/>
      <c r="J408" s="13"/>
      <c r="K408" s="12"/>
      <c r="L408" s="12"/>
      <c r="M408" s="12"/>
      <c r="N408" s="12"/>
      <c r="O408" s="12"/>
      <c r="P408" s="12"/>
      <c r="Q408" s="12"/>
    </row>
    <row r="409" spans="1:17" x14ac:dyDescent="0.25">
      <c r="A409" s="11"/>
      <c r="B409" s="12"/>
      <c r="C409" s="12"/>
      <c r="D409" s="125"/>
      <c r="E409" s="125"/>
      <c r="F409" s="12"/>
      <c r="G409" s="12"/>
      <c r="H409" s="12"/>
      <c r="I409" s="13"/>
      <c r="J409" s="13"/>
      <c r="K409" s="12"/>
      <c r="L409" s="12"/>
      <c r="M409" s="12"/>
      <c r="N409" s="12"/>
      <c r="O409" s="12"/>
      <c r="P409" s="12"/>
      <c r="Q409" s="12"/>
    </row>
    <row r="410" spans="1:17" x14ac:dyDescent="0.25">
      <c r="A410" s="11"/>
      <c r="B410" s="12"/>
      <c r="C410" s="12"/>
      <c r="D410" s="125"/>
      <c r="E410" s="125"/>
      <c r="F410" s="12"/>
      <c r="G410" s="12"/>
      <c r="H410" s="12"/>
      <c r="I410" s="13"/>
      <c r="J410" s="13"/>
      <c r="K410" s="12"/>
      <c r="L410" s="12"/>
      <c r="M410" s="12"/>
      <c r="N410" s="12"/>
      <c r="O410" s="12"/>
      <c r="P410" s="12"/>
      <c r="Q410" s="12"/>
    </row>
    <row r="411" spans="1:17" x14ac:dyDescent="0.25">
      <c r="A411" s="11"/>
      <c r="B411" s="12"/>
      <c r="C411" s="12"/>
      <c r="D411" s="125"/>
      <c r="E411" s="125"/>
      <c r="F411" s="12"/>
      <c r="G411" s="12"/>
      <c r="H411" s="12"/>
      <c r="I411" s="13"/>
      <c r="J411" s="13"/>
      <c r="K411" s="12"/>
      <c r="L411" s="12"/>
      <c r="M411" s="12"/>
      <c r="N411" s="12"/>
      <c r="O411" s="12"/>
      <c r="P411" s="12"/>
      <c r="Q411" s="12"/>
    </row>
    <row r="412" spans="1:17" x14ac:dyDescent="0.25">
      <c r="A412" s="11"/>
      <c r="B412" s="12"/>
      <c r="C412" s="12"/>
      <c r="D412" s="125"/>
      <c r="E412" s="125"/>
      <c r="F412" s="12"/>
      <c r="G412" s="12"/>
      <c r="H412" s="12"/>
      <c r="I412" s="13"/>
      <c r="J412" s="13"/>
      <c r="K412" s="12"/>
      <c r="L412" s="12"/>
      <c r="M412" s="12"/>
      <c r="N412" s="12"/>
      <c r="O412" s="12"/>
      <c r="P412" s="12"/>
      <c r="Q412" s="12"/>
    </row>
    <row r="413" spans="1:17" x14ac:dyDescent="0.25">
      <c r="A413" s="11"/>
      <c r="B413" s="12"/>
      <c r="C413" s="12"/>
      <c r="D413" s="125"/>
      <c r="E413" s="125"/>
      <c r="F413" s="12"/>
      <c r="G413" s="12"/>
      <c r="H413" s="12"/>
      <c r="I413" s="13"/>
      <c r="J413" s="13"/>
      <c r="K413" s="12"/>
      <c r="L413" s="12"/>
      <c r="M413" s="12"/>
      <c r="N413" s="12"/>
      <c r="O413" s="12"/>
      <c r="P413" s="12"/>
      <c r="Q413" s="12"/>
    </row>
    <row r="414" spans="1:17" x14ac:dyDescent="0.25">
      <c r="A414" s="11"/>
      <c r="B414" s="12"/>
      <c r="C414" s="12"/>
      <c r="D414" s="125"/>
      <c r="E414" s="125"/>
      <c r="F414" s="12"/>
      <c r="G414" s="12"/>
      <c r="H414" s="12"/>
      <c r="I414" s="13"/>
      <c r="J414" s="13"/>
      <c r="K414" s="12"/>
      <c r="L414" s="12"/>
      <c r="M414" s="12"/>
      <c r="N414" s="12"/>
      <c r="O414" s="12"/>
      <c r="P414" s="12"/>
      <c r="Q414" s="12"/>
    </row>
    <row r="415" spans="1:17" x14ac:dyDescent="0.25">
      <c r="A415" s="11"/>
      <c r="B415" s="12"/>
      <c r="C415" s="12"/>
      <c r="D415" s="125"/>
      <c r="E415" s="125"/>
      <c r="F415" s="12"/>
      <c r="G415" s="12"/>
      <c r="H415" s="12"/>
      <c r="I415" s="13"/>
      <c r="J415" s="13"/>
      <c r="K415" s="12"/>
      <c r="L415" s="12"/>
      <c r="M415" s="12"/>
      <c r="N415" s="12"/>
      <c r="O415" s="12"/>
      <c r="P415" s="12"/>
      <c r="Q415" s="12"/>
    </row>
    <row r="416" spans="1:17" x14ac:dyDescent="0.25">
      <c r="A416" s="11"/>
      <c r="B416" s="12"/>
      <c r="C416" s="12"/>
      <c r="D416" s="125"/>
      <c r="E416" s="125"/>
      <c r="F416" s="12"/>
      <c r="G416" s="12"/>
      <c r="H416" s="12"/>
      <c r="I416" s="13"/>
      <c r="J416" s="13"/>
      <c r="K416" s="12"/>
      <c r="L416" s="12"/>
      <c r="M416" s="12"/>
      <c r="N416" s="12"/>
      <c r="O416" s="12"/>
      <c r="P416" s="12"/>
      <c r="Q416" s="12"/>
    </row>
    <row r="417" spans="1:17" x14ac:dyDescent="0.25">
      <c r="A417" s="11"/>
      <c r="B417" s="12"/>
      <c r="C417" s="12"/>
      <c r="D417" s="125"/>
      <c r="E417" s="125"/>
      <c r="F417" s="12"/>
      <c r="G417" s="12"/>
      <c r="H417" s="12"/>
      <c r="I417" s="13"/>
      <c r="J417" s="13"/>
      <c r="K417" s="12"/>
      <c r="L417" s="12"/>
      <c r="M417" s="12"/>
      <c r="N417" s="12"/>
      <c r="O417" s="12"/>
      <c r="P417" s="12"/>
      <c r="Q417" s="12"/>
    </row>
    <row r="418" spans="1:17" x14ac:dyDescent="0.25">
      <c r="A418" s="11"/>
      <c r="B418" s="12"/>
      <c r="C418" s="12"/>
      <c r="D418" s="125"/>
      <c r="E418" s="125"/>
      <c r="F418" s="12"/>
      <c r="G418" s="12"/>
      <c r="H418" s="12"/>
      <c r="I418" s="13"/>
      <c r="J418" s="13"/>
      <c r="K418" s="12"/>
      <c r="L418" s="12"/>
      <c r="M418" s="12"/>
      <c r="N418" s="12"/>
      <c r="O418" s="12"/>
      <c r="P418" s="12"/>
      <c r="Q418" s="12"/>
    </row>
    <row r="419" spans="1:17" x14ac:dyDescent="0.25">
      <c r="A419" s="11"/>
      <c r="B419" s="12"/>
      <c r="C419" s="12"/>
      <c r="D419" s="125"/>
      <c r="E419" s="125"/>
      <c r="F419" s="12"/>
      <c r="G419" s="12"/>
      <c r="H419" s="12"/>
      <c r="I419" s="13"/>
      <c r="J419" s="13"/>
      <c r="K419" s="12"/>
      <c r="L419" s="12"/>
      <c r="M419" s="12"/>
      <c r="N419" s="12"/>
      <c r="O419" s="12"/>
      <c r="P419" s="12"/>
      <c r="Q419" s="12"/>
    </row>
    <row r="420" spans="1:17" x14ac:dyDescent="0.25">
      <c r="A420" s="11"/>
      <c r="B420" s="12"/>
      <c r="C420" s="12"/>
      <c r="D420" s="125"/>
      <c r="E420" s="125"/>
      <c r="F420" s="12"/>
      <c r="G420" s="12"/>
      <c r="H420" s="12"/>
      <c r="I420" s="13"/>
      <c r="J420" s="13"/>
      <c r="K420" s="12"/>
      <c r="L420" s="12"/>
      <c r="M420" s="12"/>
      <c r="N420" s="12"/>
      <c r="O420" s="12"/>
      <c r="P420" s="12"/>
      <c r="Q420" s="12"/>
    </row>
    <row r="421" spans="1:17" x14ac:dyDescent="0.25">
      <c r="A421" s="11"/>
      <c r="B421" s="12"/>
      <c r="C421" s="12"/>
      <c r="D421" s="125"/>
      <c r="E421" s="125"/>
      <c r="F421" s="12"/>
      <c r="G421" s="12"/>
      <c r="H421" s="12"/>
      <c r="I421" s="13"/>
      <c r="J421" s="13"/>
      <c r="K421" s="12"/>
      <c r="L421" s="12"/>
      <c r="M421" s="12"/>
      <c r="N421" s="12"/>
      <c r="O421" s="12"/>
      <c r="P421" s="12"/>
      <c r="Q421" s="12"/>
    </row>
    <row r="422" spans="1:17" x14ac:dyDescent="0.25">
      <c r="A422" s="11"/>
      <c r="B422" s="12"/>
      <c r="C422" s="12"/>
      <c r="D422" s="125"/>
      <c r="E422" s="125"/>
      <c r="F422" s="12"/>
      <c r="G422" s="12"/>
      <c r="H422" s="12"/>
      <c r="I422" s="13"/>
      <c r="J422" s="13"/>
      <c r="K422" s="12"/>
      <c r="L422" s="12"/>
      <c r="M422" s="12"/>
      <c r="N422" s="12"/>
      <c r="O422" s="12"/>
      <c r="P422" s="12"/>
      <c r="Q422" s="12"/>
    </row>
    <row r="423" spans="1:17" x14ac:dyDescent="0.25">
      <c r="A423" s="11"/>
      <c r="B423" s="12"/>
      <c r="C423" s="12"/>
      <c r="D423" s="125"/>
      <c r="E423" s="125"/>
      <c r="F423" s="12"/>
      <c r="G423" s="12"/>
      <c r="H423" s="12"/>
      <c r="I423" s="13"/>
      <c r="J423" s="13"/>
      <c r="K423" s="12"/>
      <c r="L423" s="12"/>
      <c r="M423" s="12"/>
      <c r="N423" s="12"/>
      <c r="O423" s="12"/>
      <c r="P423" s="12"/>
      <c r="Q423" s="12"/>
    </row>
    <row r="424" spans="1:17" x14ac:dyDescent="0.25">
      <c r="A424" s="11"/>
      <c r="B424" s="12"/>
      <c r="C424" s="12"/>
      <c r="D424" s="125"/>
      <c r="E424" s="125"/>
      <c r="F424" s="12"/>
      <c r="G424" s="12"/>
      <c r="H424" s="12"/>
      <c r="I424" s="13"/>
      <c r="J424" s="13"/>
      <c r="K424" s="12"/>
      <c r="L424" s="12"/>
      <c r="M424" s="12"/>
      <c r="N424" s="12"/>
      <c r="O424" s="12"/>
      <c r="P424" s="12"/>
      <c r="Q424" s="12"/>
    </row>
    <row r="425" spans="1:17" x14ac:dyDescent="0.25">
      <c r="A425" s="11"/>
      <c r="B425" s="12"/>
      <c r="C425" s="12"/>
      <c r="D425" s="125"/>
      <c r="E425" s="125"/>
      <c r="F425" s="12"/>
      <c r="G425" s="12"/>
      <c r="H425" s="12"/>
      <c r="I425" s="13"/>
      <c r="J425" s="13"/>
      <c r="K425" s="12"/>
      <c r="L425" s="12"/>
      <c r="M425" s="12"/>
      <c r="N425" s="12"/>
      <c r="O425" s="12"/>
      <c r="P425" s="12"/>
      <c r="Q425" s="12"/>
    </row>
    <row r="426" spans="1:17" x14ac:dyDescent="0.25">
      <c r="A426" s="11"/>
      <c r="B426" s="12"/>
      <c r="C426" s="12"/>
      <c r="D426" s="125"/>
      <c r="E426" s="125"/>
      <c r="F426" s="12"/>
      <c r="G426" s="12"/>
      <c r="H426" s="12"/>
      <c r="I426" s="13"/>
      <c r="J426" s="13"/>
      <c r="K426" s="12"/>
      <c r="L426" s="12"/>
      <c r="M426" s="12"/>
      <c r="N426" s="12"/>
      <c r="O426" s="12"/>
      <c r="P426" s="12"/>
      <c r="Q426" s="12"/>
    </row>
    <row r="427" spans="1:17" x14ac:dyDescent="0.25">
      <c r="A427" s="11"/>
      <c r="B427" s="12"/>
      <c r="C427" s="12"/>
      <c r="D427" s="125"/>
      <c r="E427" s="125"/>
      <c r="F427" s="12"/>
      <c r="G427" s="12"/>
      <c r="H427" s="12"/>
      <c r="I427" s="13"/>
      <c r="J427" s="13"/>
      <c r="K427" s="12"/>
      <c r="L427" s="12"/>
      <c r="M427" s="12"/>
      <c r="N427" s="12"/>
      <c r="O427" s="12"/>
      <c r="P427" s="12"/>
      <c r="Q427" s="12"/>
    </row>
    <row r="428" spans="1:17" x14ac:dyDescent="0.25">
      <c r="A428" s="11"/>
      <c r="B428" s="12"/>
      <c r="C428" s="12"/>
      <c r="D428" s="125"/>
      <c r="E428" s="125"/>
      <c r="F428" s="12"/>
      <c r="G428" s="12"/>
      <c r="H428" s="12"/>
      <c r="I428" s="13"/>
      <c r="J428" s="13"/>
      <c r="K428" s="12"/>
      <c r="L428" s="12"/>
      <c r="M428" s="12"/>
      <c r="N428" s="12"/>
      <c r="O428" s="12"/>
      <c r="P428" s="12"/>
      <c r="Q428" s="12"/>
    </row>
    <row r="429" spans="1:17" x14ac:dyDescent="0.25">
      <c r="A429" s="11"/>
      <c r="B429" s="12"/>
      <c r="C429" s="12"/>
      <c r="D429" s="125"/>
      <c r="E429" s="125"/>
      <c r="F429" s="12"/>
      <c r="G429" s="12"/>
      <c r="H429" s="12"/>
      <c r="I429" s="13"/>
      <c r="J429" s="13"/>
      <c r="K429" s="12"/>
      <c r="L429" s="12"/>
      <c r="M429" s="12"/>
      <c r="N429" s="12"/>
      <c r="O429" s="12"/>
      <c r="P429" s="12"/>
      <c r="Q429" s="12"/>
    </row>
    <row r="430" spans="1:17" x14ac:dyDescent="0.25">
      <c r="A430" s="11"/>
      <c r="B430" s="12"/>
      <c r="C430" s="12"/>
      <c r="D430" s="125"/>
      <c r="E430" s="125"/>
      <c r="F430" s="12"/>
      <c r="G430" s="12"/>
      <c r="H430" s="12"/>
      <c r="I430" s="13"/>
      <c r="J430" s="13"/>
      <c r="K430" s="12"/>
      <c r="L430" s="12"/>
      <c r="M430" s="12"/>
      <c r="N430" s="12"/>
      <c r="O430" s="12"/>
      <c r="P430" s="12"/>
      <c r="Q430" s="12"/>
    </row>
    <row r="431" spans="1:17" x14ac:dyDescent="0.25">
      <c r="A431" s="11"/>
      <c r="B431" s="12"/>
      <c r="C431" s="12"/>
      <c r="D431" s="125"/>
      <c r="E431" s="125"/>
      <c r="F431" s="12"/>
      <c r="G431" s="12"/>
      <c r="H431" s="12"/>
      <c r="I431" s="13"/>
      <c r="J431" s="13"/>
      <c r="K431" s="12"/>
      <c r="L431" s="12"/>
      <c r="M431" s="12"/>
      <c r="N431" s="12"/>
      <c r="O431" s="12"/>
      <c r="P431" s="12"/>
      <c r="Q431" s="12"/>
    </row>
    <row r="432" spans="1:17" x14ac:dyDescent="0.25">
      <c r="A432" s="11"/>
      <c r="B432" s="12"/>
      <c r="C432" s="12"/>
      <c r="D432" s="125"/>
      <c r="E432" s="125"/>
      <c r="F432" s="12"/>
      <c r="G432" s="12"/>
      <c r="H432" s="12"/>
      <c r="I432" s="13"/>
      <c r="J432" s="13"/>
      <c r="K432" s="12"/>
      <c r="L432" s="12"/>
      <c r="M432" s="12"/>
      <c r="N432" s="12"/>
      <c r="O432" s="12"/>
      <c r="P432" s="12"/>
      <c r="Q432" s="12"/>
    </row>
    <row r="433" spans="1:17" x14ac:dyDescent="0.25">
      <c r="A433" s="11"/>
      <c r="B433" s="12"/>
      <c r="C433" s="12"/>
      <c r="D433" s="125"/>
      <c r="E433" s="125"/>
      <c r="F433" s="12"/>
      <c r="G433" s="12"/>
      <c r="H433" s="12"/>
      <c r="I433" s="13"/>
      <c r="J433" s="13"/>
      <c r="K433" s="12"/>
      <c r="L433" s="12"/>
      <c r="M433" s="12"/>
      <c r="N433" s="12"/>
      <c r="O433" s="12"/>
      <c r="P433" s="12"/>
      <c r="Q433" s="12"/>
    </row>
    <row r="434" spans="1:17" x14ac:dyDescent="0.25">
      <c r="A434" s="11"/>
      <c r="B434" s="12"/>
      <c r="C434" s="12"/>
      <c r="D434" s="125"/>
      <c r="E434" s="125"/>
      <c r="F434" s="12"/>
      <c r="G434" s="12"/>
      <c r="H434" s="12"/>
      <c r="I434" s="13"/>
      <c r="J434" s="13"/>
      <c r="K434" s="12"/>
      <c r="L434" s="12"/>
      <c r="M434" s="12"/>
      <c r="N434" s="12"/>
      <c r="O434" s="12"/>
      <c r="P434" s="12"/>
      <c r="Q434" s="12"/>
    </row>
    <row r="435" spans="1:17" x14ac:dyDescent="0.25">
      <c r="A435" s="11"/>
      <c r="B435" s="12"/>
      <c r="C435" s="12"/>
      <c r="D435" s="125"/>
      <c r="E435" s="125"/>
      <c r="F435" s="12"/>
      <c r="G435" s="12"/>
      <c r="H435" s="12"/>
      <c r="I435" s="13"/>
      <c r="J435" s="13"/>
      <c r="K435" s="12"/>
      <c r="L435" s="12"/>
      <c r="M435" s="12"/>
      <c r="N435" s="12"/>
      <c r="O435" s="12"/>
      <c r="P435" s="12"/>
      <c r="Q435" s="12"/>
    </row>
    <row r="436" spans="1:17" x14ac:dyDescent="0.25">
      <c r="A436" s="11"/>
      <c r="B436" s="12"/>
      <c r="C436" s="12"/>
      <c r="D436" s="125"/>
      <c r="E436" s="125"/>
      <c r="F436" s="12"/>
      <c r="G436" s="12"/>
      <c r="H436" s="12"/>
      <c r="I436" s="13"/>
      <c r="J436" s="13"/>
      <c r="K436" s="12"/>
      <c r="L436" s="12"/>
      <c r="M436" s="12"/>
      <c r="N436" s="12"/>
      <c r="O436" s="12"/>
      <c r="P436" s="12"/>
      <c r="Q436" s="12"/>
    </row>
    <row r="437" spans="1:17" x14ac:dyDescent="0.25">
      <c r="A437" s="11"/>
      <c r="B437" s="12"/>
      <c r="C437" s="12"/>
      <c r="D437" s="125"/>
      <c r="E437" s="125"/>
      <c r="F437" s="12"/>
      <c r="G437" s="12"/>
      <c r="H437" s="12"/>
      <c r="I437" s="13"/>
      <c r="J437" s="13"/>
      <c r="K437" s="12"/>
      <c r="L437" s="12"/>
      <c r="M437" s="12"/>
      <c r="N437" s="12"/>
      <c r="O437" s="12"/>
      <c r="P437" s="12"/>
      <c r="Q437" s="12"/>
    </row>
    <row r="438" spans="1:17" x14ac:dyDescent="0.25">
      <c r="A438" s="11"/>
      <c r="B438" s="12"/>
      <c r="C438" s="12"/>
      <c r="D438" s="125"/>
      <c r="E438" s="125"/>
      <c r="F438" s="12"/>
      <c r="G438" s="12"/>
      <c r="H438" s="12"/>
      <c r="I438" s="13"/>
      <c r="J438" s="13"/>
      <c r="K438" s="12"/>
      <c r="L438" s="12"/>
      <c r="M438" s="12"/>
      <c r="N438" s="12"/>
      <c r="O438" s="12"/>
      <c r="P438" s="12"/>
      <c r="Q438" s="12"/>
    </row>
    <row r="439" spans="1:17" x14ac:dyDescent="0.25">
      <c r="A439" s="11"/>
      <c r="B439" s="12"/>
      <c r="C439" s="12"/>
      <c r="D439" s="125"/>
      <c r="E439" s="125"/>
      <c r="F439" s="12"/>
      <c r="G439" s="12"/>
      <c r="H439" s="12"/>
      <c r="I439" s="13"/>
      <c r="J439" s="13"/>
      <c r="K439" s="12"/>
      <c r="L439" s="12"/>
      <c r="M439" s="12"/>
      <c r="N439" s="12"/>
      <c r="O439" s="12"/>
      <c r="P439" s="12"/>
      <c r="Q439" s="12"/>
    </row>
    <row r="440" spans="1:17" x14ac:dyDescent="0.25">
      <c r="A440" s="11"/>
      <c r="B440" s="12"/>
      <c r="C440" s="12"/>
      <c r="D440" s="125"/>
      <c r="E440" s="125"/>
      <c r="F440" s="12"/>
      <c r="G440" s="12"/>
      <c r="H440" s="12"/>
      <c r="I440" s="13"/>
      <c r="J440" s="13"/>
      <c r="K440" s="12"/>
      <c r="L440" s="12"/>
      <c r="M440" s="12"/>
      <c r="N440" s="12"/>
      <c r="O440" s="12"/>
      <c r="P440" s="12"/>
      <c r="Q440" s="12"/>
    </row>
    <row r="441" spans="1:17" x14ac:dyDescent="0.25">
      <c r="A441" s="11"/>
      <c r="B441" s="12"/>
      <c r="C441" s="12"/>
      <c r="D441" s="125"/>
      <c r="E441" s="125"/>
      <c r="F441" s="12"/>
      <c r="G441" s="12"/>
      <c r="H441" s="12"/>
      <c r="I441" s="13"/>
      <c r="J441" s="13"/>
      <c r="K441" s="12"/>
      <c r="L441" s="12"/>
      <c r="M441" s="12"/>
      <c r="N441" s="12"/>
      <c r="O441" s="12"/>
      <c r="P441" s="12"/>
      <c r="Q441" s="12"/>
    </row>
    <row r="442" spans="1:17" x14ac:dyDescent="0.25">
      <c r="A442" s="11"/>
      <c r="B442" s="12"/>
      <c r="C442" s="12"/>
      <c r="D442" s="125"/>
      <c r="E442" s="125"/>
      <c r="F442" s="12"/>
      <c r="G442" s="12"/>
      <c r="H442" s="12"/>
      <c r="I442" s="13"/>
      <c r="J442" s="13"/>
      <c r="K442" s="12"/>
      <c r="L442" s="12"/>
      <c r="M442" s="12"/>
      <c r="N442" s="12"/>
      <c r="O442" s="12"/>
      <c r="P442" s="12"/>
      <c r="Q442" s="12"/>
    </row>
    <row r="443" spans="1:17" x14ac:dyDescent="0.25">
      <c r="A443" s="11"/>
      <c r="B443" s="12"/>
      <c r="C443" s="12"/>
      <c r="D443" s="125"/>
      <c r="E443" s="125"/>
      <c r="F443" s="12"/>
      <c r="G443" s="12"/>
      <c r="H443" s="12"/>
      <c r="I443" s="13"/>
      <c r="J443" s="13"/>
      <c r="K443" s="12"/>
      <c r="L443" s="12"/>
      <c r="M443" s="12"/>
      <c r="N443" s="12"/>
      <c r="O443" s="12"/>
      <c r="P443" s="12"/>
      <c r="Q443" s="12"/>
    </row>
    <row r="444" spans="1:17" x14ac:dyDescent="0.25">
      <c r="A444" s="11"/>
      <c r="B444" s="12"/>
      <c r="C444" s="12"/>
      <c r="D444" s="125"/>
      <c r="E444" s="125"/>
      <c r="F444" s="12"/>
      <c r="G444" s="12"/>
      <c r="H444" s="12"/>
      <c r="I444" s="13"/>
      <c r="J444" s="13"/>
      <c r="K444" s="12"/>
      <c r="L444" s="12"/>
      <c r="M444" s="12"/>
      <c r="N444" s="12"/>
      <c r="O444" s="12"/>
      <c r="P444" s="12"/>
      <c r="Q444" s="12"/>
    </row>
    <row r="445" spans="1:17" x14ac:dyDescent="0.25">
      <c r="A445" s="11"/>
      <c r="B445" s="12"/>
      <c r="C445" s="12"/>
      <c r="D445" s="125"/>
      <c r="E445" s="125"/>
      <c r="F445" s="12"/>
      <c r="G445" s="12"/>
      <c r="H445" s="12"/>
      <c r="I445" s="13"/>
      <c r="J445" s="13"/>
      <c r="K445" s="12"/>
      <c r="L445" s="12"/>
      <c r="M445" s="12"/>
      <c r="N445" s="12"/>
      <c r="O445" s="12"/>
      <c r="P445" s="12"/>
      <c r="Q445" s="12"/>
    </row>
    <row r="446" spans="1:17" x14ac:dyDescent="0.25">
      <c r="A446" s="11"/>
      <c r="B446" s="12"/>
      <c r="C446" s="12"/>
      <c r="D446" s="125"/>
      <c r="E446" s="125"/>
      <c r="F446" s="12"/>
      <c r="G446" s="12"/>
      <c r="H446" s="12"/>
      <c r="I446" s="13"/>
      <c r="J446" s="13"/>
      <c r="K446" s="12"/>
      <c r="L446" s="12"/>
      <c r="M446" s="12"/>
      <c r="N446" s="12"/>
      <c r="O446" s="12"/>
      <c r="P446" s="12"/>
      <c r="Q446" s="12"/>
    </row>
    <row r="447" spans="1:17" x14ac:dyDescent="0.25">
      <c r="A447" s="11"/>
      <c r="B447" s="12"/>
      <c r="C447" s="12"/>
      <c r="D447" s="125"/>
      <c r="E447" s="125"/>
      <c r="F447" s="12"/>
      <c r="G447" s="12"/>
      <c r="H447" s="12"/>
      <c r="I447" s="13"/>
      <c r="J447" s="13"/>
      <c r="K447" s="12"/>
      <c r="L447" s="12"/>
      <c r="M447" s="12"/>
      <c r="N447" s="12"/>
      <c r="O447" s="12"/>
      <c r="P447" s="12"/>
      <c r="Q447" s="12"/>
    </row>
    <row r="448" spans="1:17" x14ac:dyDescent="0.25">
      <c r="A448" s="11"/>
      <c r="B448" s="12"/>
      <c r="C448" s="12"/>
      <c r="D448" s="125"/>
      <c r="E448" s="125"/>
      <c r="F448" s="12"/>
      <c r="G448" s="12"/>
      <c r="H448" s="12"/>
      <c r="I448" s="13"/>
      <c r="J448" s="13"/>
      <c r="K448" s="12"/>
      <c r="L448" s="12"/>
      <c r="M448" s="12"/>
      <c r="N448" s="12"/>
      <c r="O448" s="12"/>
      <c r="P448" s="12"/>
      <c r="Q448" s="12"/>
    </row>
    <row r="449" spans="1:17" x14ac:dyDescent="0.25">
      <c r="A449" s="11"/>
      <c r="B449" s="12"/>
      <c r="C449" s="12"/>
      <c r="D449" s="125"/>
      <c r="E449" s="125"/>
      <c r="F449" s="12"/>
      <c r="G449" s="12"/>
      <c r="H449" s="12"/>
      <c r="I449" s="13"/>
      <c r="J449" s="13"/>
      <c r="K449" s="12"/>
      <c r="L449" s="12"/>
      <c r="M449" s="12"/>
      <c r="N449" s="12"/>
      <c r="O449" s="12"/>
      <c r="P449" s="12"/>
      <c r="Q449" s="12"/>
    </row>
    <row r="450" spans="1:17" x14ac:dyDescent="0.25">
      <c r="A450" s="11"/>
      <c r="B450" s="12"/>
      <c r="C450" s="12"/>
      <c r="D450" s="125"/>
      <c r="E450" s="125"/>
      <c r="F450" s="12"/>
      <c r="G450" s="12"/>
      <c r="H450" s="12"/>
      <c r="I450" s="13"/>
      <c r="J450" s="13"/>
      <c r="K450" s="12"/>
      <c r="L450" s="12"/>
      <c r="M450" s="12"/>
      <c r="N450" s="12"/>
      <c r="O450" s="12"/>
      <c r="P450" s="12"/>
      <c r="Q450" s="12"/>
    </row>
    <row r="451" spans="1:17" x14ac:dyDescent="0.25">
      <c r="A451" s="11"/>
      <c r="B451" s="12"/>
      <c r="C451" s="12"/>
      <c r="D451" s="125"/>
      <c r="E451" s="125"/>
      <c r="F451" s="12"/>
      <c r="G451" s="12"/>
      <c r="H451" s="12"/>
      <c r="I451" s="13"/>
      <c r="J451" s="13"/>
      <c r="K451" s="12"/>
      <c r="L451" s="12"/>
      <c r="M451" s="12"/>
      <c r="N451" s="12"/>
      <c r="O451" s="12"/>
      <c r="P451" s="12"/>
      <c r="Q451" s="12"/>
    </row>
    <row r="452" spans="1:17" x14ac:dyDescent="0.25">
      <c r="A452" s="11"/>
      <c r="B452" s="12"/>
      <c r="C452" s="12"/>
      <c r="D452" s="125"/>
      <c r="E452" s="125"/>
      <c r="F452" s="12"/>
      <c r="G452" s="12"/>
      <c r="H452" s="12"/>
      <c r="I452" s="13"/>
      <c r="J452" s="13"/>
      <c r="K452" s="12"/>
      <c r="L452" s="12"/>
      <c r="M452" s="12"/>
      <c r="N452" s="12"/>
      <c r="O452" s="12"/>
      <c r="P452" s="12"/>
      <c r="Q452" s="12"/>
    </row>
    <row r="453" spans="1:17" x14ac:dyDescent="0.25">
      <c r="A453" s="11"/>
      <c r="B453" s="12"/>
      <c r="C453" s="12"/>
      <c r="D453" s="125"/>
      <c r="E453" s="125"/>
      <c r="F453" s="12"/>
      <c r="G453" s="12"/>
      <c r="H453" s="12"/>
      <c r="I453" s="13"/>
      <c r="J453" s="13"/>
      <c r="K453" s="12"/>
      <c r="L453" s="12"/>
      <c r="M453" s="12"/>
      <c r="N453" s="12"/>
      <c r="O453" s="12"/>
      <c r="P453" s="12"/>
      <c r="Q453" s="12"/>
    </row>
    <row r="454" spans="1:17" x14ac:dyDescent="0.25">
      <c r="A454" s="11"/>
      <c r="B454" s="12"/>
      <c r="C454" s="12"/>
      <c r="D454" s="125"/>
      <c r="E454" s="125"/>
      <c r="F454" s="12"/>
      <c r="G454" s="12"/>
      <c r="H454" s="12"/>
      <c r="I454" s="13"/>
      <c r="J454" s="13"/>
      <c r="K454" s="12"/>
      <c r="L454" s="12"/>
      <c r="M454" s="12"/>
      <c r="N454" s="12"/>
      <c r="O454" s="12"/>
      <c r="P454" s="12"/>
      <c r="Q454" s="12"/>
    </row>
    <row r="455" spans="1:17" x14ac:dyDescent="0.25">
      <c r="A455" s="11"/>
      <c r="B455" s="12"/>
      <c r="C455" s="12"/>
      <c r="D455" s="125"/>
      <c r="E455" s="125"/>
      <c r="F455" s="12"/>
      <c r="G455" s="12"/>
      <c r="H455" s="12"/>
      <c r="I455" s="13"/>
      <c r="J455" s="13"/>
      <c r="K455" s="12"/>
      <c r="L455" s="12"/>
      <c r="M455" s="12"/>
      <c r="N455" s="12"/>
      <c r="O455" s="12"/>
      <c r="P455" s="12"/>
      <c r="Q455" s="12"/>
    </row>
    <row r="456" spans="1:17" x14ac:dyDescent="0.25">
      <c r="A456" s="11"/>
      <c r="B456" s="12"/>
      <c r="C456" s="12"/>
      <c r="D456" s="125"/>
      <c r="E456" s="125"/>
      <c r="F456" s="12"/>
      <c r="G456" s="12"/>
      <c r="H456" s="12"/>
      <c r="I456" s="13"/>
      <c r="J456" s="13"/>
      <c r="K456" s="12"/>
      <c r="L456" s="12"/>
      <c r="M456" s="12"/>
      <c r="N456" s="12"/>
      <c r="O456" s="12"/>
      <c r="P456" s="12"/>
      <c r="Q456" s="12"/>
    </row>
    <row r="457" spans="1:17" x14ac:dyDescent="0.25">
      <c r="A457" s="11"/>
      <c r="B457" s="12"/>
      <c r="C457" s="12"/>
      <c r="D457" s="125"/>
      <c r="E457" s="125"/>
      <c r="F457" s="12"/>
      <c r="G457" s="12"/>
      <c r="H457" s="12"/>
      <c r="I457" s="13"/>
      <c r="J457" s="13"/>
      <c r="K457" s="12"/>
      <c r="L457" s="12"/>
      <c r="M457" s="12"/>
      <c r="N457" s="12"/>
      <c r="O457" s="12"/>
      <c r="P457" s="12"/>
      <c r="Q457" s="12"/>
    </row>
    <row r="458" spans="1:17" x14ac:dyDescent="0.25">
      <c r="A458" s="11"/>
      <c r="B458" s="12"/>
      <c r="C458" s="12"/>
      <c r="D458" s="125"/>
      <c r="E458" s="125"/>
      <c r="F458" s="12"/>
      <c r="G458" s="12"/>
      <c r="H458" s="12"/>
      <c r="I458" s="13"/>
      <c r="J458" s="13"/>
      <c r="K458" s="12"/>
      <c r="L458" s="12"/>
      <c r="M458" s="12"/>
      <c r="N458" s="12"/>
      <c r="O458" s="12"/>
      <c r="P458" s="12"/>
      <c r="Q458" s="12"/>
    </row>
    <row r="459" spans="1:17" x14ac:dyDescent="0.25">
      <c r="A459" s="11"/>
      <c r="B459" s="12"/>
      <c r="C459" s="12"/>
      <c r="D459" s="125"/>
      <c r="E459" s="125"/>
      <c r="F459" s="12"/>
      <c r="G459" s="12"/>
      <c r="H459" s="12"/>
      <c r="I459" s="13"/>
      <c r="J459" s="13"/>
      <c r="K459" s="12"/>
      <c r="L459" s="12"/>
      <c r="M459" s="12"/>
      <c r="N459" s="12"/>
      <c r="O459" s="12"/>
      <c r="P459" s="12"/>
      <c r="Q459" s="12"/>
    </row>
    <row r="460" spans="1:17" x14ac:dyDescent="0.25">
      <c r="A460" s="11"/>
      <c r="B460" s="12"/>
      <c r="C460" s="12"/>
      <c r="D460" s="125"/>
      <c r="E460" s="125"/>
      <c r="F460" s="12"/>
      <c r="G460" s="12"/>
      <c r="H460" s="12"/>
      <c r="I460" s="13"/>
      <c r="J460" s="13"/>
      <c r="K460" s="12"/>
      <c r="L460" s="12"/>
      <c r="M460" s="12"/>
      <c r="N460" s="12"/>
      <c r="O460" s="12"/>
      <c r="P460" s="12"/>
      <c r="Q460" s="12"/>
    </row>
    <row r="461" spans="1:17" x14ac:dyDescent="0.25">
      <c r="A461" s="11"/>
      <c r="B461" s="12"/>
      <c r="C461" s="12"/>
      <c r="D461" s="125"/>
      <c r="E461" s="125"/>
      <c r="F461" s="12"/>
      <c r="G461" s="12"/>
      <c r="H461" s="12"/>
      <c r="I461" s="13"/>
      <c r="J461" s="13"/>
      <c r="K461" s="12"/>
      <c r="L461" s="12"/>
      <c r="M461" s="12"/>
      <c r="N461" s="12"/>
      <c r="O461" s="12"/>
      <c r="P461" s="12"/>
      <c r="Q461" s="12"/>
    </row>
    <row r="462" spans="1:17" x14ac:dyDescent="0.25">
      <c r="A462" s="11"/>
      <c r="B462" s="12"/>
      <c r="C462" s="12"/>
      <c r="D462" s="125"/>
      <c r="E462" s="125"/>
      <c r="F462" s="12"/>
      <c r="G462" s="12"/>
      <c r="H462" s="12"/>
      <c r="I462" s="13"/>
      <c r="J462" s="13"/>
      <c r="K462" s="12"/>
      <c r="L462" s="12"/>
      <c r="M462" s="12"/>
      <c r="N462" s="12"/>
      <c r="O462" s="12"/>
      <c r="P462" s="12"/>
      <c r="Q462" s="12"/>
    </row>
    <row r="463" spans="1:17" x14ac:dyDescent="0.25">
      <c r="A463" s="11"/>
      <c r="B463" s="12"/>
      <c r="C463" s="12"/>
      <c r="D463" s="125"/>
      <c r="E463" s="125"/>
      <c r="F463" s="12"/>
      <c r="G463" s="12"/>
      <c r="H463" s="12"/>
      <c r="I463" s="13"/>
      <c r="J463" s="13"/>
      <c r="K463" s="12"/>
      <c r="L463" s="12"/>
      <c r="M463" s="12"/>
      <c r="N463" s="12"/>
      <c r="O463" s="12"/>
      <c r="P463" s="12"/>
      <c r="Q463" s="12"/>
    </row>
    <row r="464" spans="1:17" x14ac:dyDescent="0.25">
      <c r="A464" s="11"/>
      <c r="B464" s="12"/>
      <c r="C464" s="12"/>
      <c r="D464" s="125"/>
      <c r="E464" s="125"/>
      <c r="F464" s="12"/>
      <c r="G464" s="12"/>
      <c r="H464" s="12"/>
      <c r="I464" s="13"/>
      <c r="J464" s="13"/>
      <c r="K464" s="12"/>
      <c r="L464" s="12"/>
      <c r="M464" s="12"/>
      <c r="N464" s="12"/>
      <c r="O464" s="12"/>
      <c r="P464" s="12"/>
      <c r="Q464" s="12"/>
    </row>
    <row r="465" spans="1:17" x14ac:dyDescent="0.25">
      <c r="A465" s="11"/>
      <c r="B465" s="12"/>
      <c r="C465" s="12"/>
      <c r="D465" s="125"/>
      <c r="E465" s="125"/>
      <c r="F465" s="12"/>
      <c r="G465" s="12"/>
      <c r="H465" s="12"/>
      <c r="I465" s="13"/>
      <c r="J465" s="13"/>
      <c r="K465" s="12"/>
      <c r="L465" s="12"/>
      <c r="M465" s="12"/>
      <c r="N465" s="12"/>
      <c r="O465" s="12"/>
      <c r="P465" s="12"/>
      <c r="Q465" s="12"/>
    </row>
    <row r="466" spans="1:17" x14ac:dyDescent="0.25">
      <c r="A466" s="11"/>
      <c r="B466" s="12"/>
      <c r="C466" s="12"/>
      <c r="D466" s="125"/>
      <c r="E466" s="125"/>
      <c r="F466" s="12"/>
      <c r="G466" s="12"/>
      <c r="H466" s="12"/>
      <c r="I466" s="13"/>
      <c r="J466" s="13"/>
      <c r="K466" s="12"/>
      <c r="L466" s="12"/>
      <c r="M466" s="12"/>
      <c r="N466" s="12"/>
      <c r="O466" s="12"/>
      <c r="P466" s="12"/>
      <c r="Q466" s="12"/>
    </row>
    <row r="467" spans="1:17" x14ac:dyDescent="0.25">
      <c r="A467" s="11"/>
      <c r="B467" s="12"/>
      <c r="C467" s="12"/>
      <c r="D467" s="125"/>
      <c r="E467" s="125"/>
      <c r="F467" s="12"/>
      <c r="G467" s="12"/>
      <c r="H467" s="12"/>
      <c r="I467" s="13"/>
      <c r="J467" s="13"/>
      <c r="K467" s="12"/>
      <c r="L467" s="12"/>
      <c r="M467" s="12"/>
      <c r="N467" s="12"/>
      <c r="O467" s="12"/>
      <c r="P467" s="12"/>
      <c r="Q467" s="12"/>
    </row>
    <row r="468" spans="1:17" x14ac:dyDescent="0.25">
      <c r="A468" s="11"/>
      <c r="B468" s="12"/>
      <c r="C468" s="12"/>
      <c r="D468" s="125"/>
      <c r="E468" s="125"/>
      <c r="F468" s="12"/>
      <c r="G468" s="12"/>
      <c r="H468" s="12"/>
      <c r="I468" s="13"/>
      <c r="J468" s="13"/>
      <c r="K468" s="12"/>
      <c r="L468" s="12"/>
      <c r="M468" s="12"/>
      <c r="N468" s="12"/>
      <c r="O468" s="12"/>
      <c r="P468" s="12"/>
      <c r="Q468" s="12"/>
    </row>
    <row r="469" spans="1:17" x14ac:dyDescent="0.25">
      <c r="A469" s="11"/>
      <c r="B469" s="12"/>
      <c r="C469" s="12"/>
      <c r="D469" s="125"/>
      <c r="E469" s="125"/>
      <c r="F469" s="12"/>
      <c r="G469" s="12"/>
      <c r="H469" s="12"/>
      <c r="I469" s="13"/>
      <c r="J469" s="13"/>
      <c r="K469" s="12"/>
      <c r="L469" s="12"/>
      <c r="M469" s="12"/>
      <c r="N469" s="12"/>
      <c r="O469" s="12"/>
      <c r="P469" s="12"/>
      <c r="Q469" s="12"/>
    </row>
    <row r="470" spans="1:17" x14ac:dyDescent="0.25">
      <c r="A470" s="11"/>
      <c r="B470" s="12"/>
      <c r="C470" s="12"/>
      <c r="D470" s="125"/>
      <c r="E470" s="125"/>
      <c r="F470" s="12"/>
      <c r="G470" s="12"/>
      <c r="H470" s="12"/>
      <c r="I470" s="13"/>
      <c r="J470" s="13"/>
      <c r="K470" s="12"/>
      <c r="L470" s="12"/>
      <c r="M470" s="12"/>
      <c r="N470" s="12"/>
      <c r="O470" s="12"/>
      <c r="P470" s="12"/>
      <c r="Q470" s="12"/>
    </row>
    <row r="471" spans="1:17" x14ac:dyDescent="0.25">
      <c r="A471" s="11"/>
      <c r="B471" s="12"/>
      <c r="C471" s="12"/>
      <c r="D471" s="125"/>
      <c r="E471" s="125"/>
      <c r="F471" s="12"/>
      <c r="G471" s="12"/>
      <c r="H471" s="12"/>
      <c r="I471" s="13"/>
      <c r="J471" s="13"/>
      <c r="K471" s="12"/>
      <c r="L471" s="12"/>
      <c r="M471" s="12"/>
      <c r="N471" s="12"/>
      <c r="O471" s="12"/>
      <c r="P471" s="12"/>
      <c r="Q471" s="12"/>
    </row>
    <row r="472" spans="1:17" x14ac:dyDescent="0.25">
      <c r="A472" s="11"/>
      <c r="B472" s="12"/>
      <c r="C472" s="12"/>
      <c r="D472" s="125"/>
      <c r="E472" s="125"/>
      <c r="F472" s="12"/>
      <c r="G472" s="12"/>
      <c r="H472" s="12"/>
      <c r="I472" s="13"/>
      <c r="J472" s="13"/>
      <c r="K472" s="12"/>
      <c r="L472" s="12"/>
      <c r="M472" s="12"/>
      <c r="N472" s="12"/>
      <c r="O472" s="12"/>
      <c r="P472" s="12"/>
      <c r="Q472" s="12"/>
    </row>
    <row r="473" spans="1:17" x14ac:dyDescent="0.25">
      <c r="A473" s="11"/>
      <c r="B473" s="12"/>
      <c r="C473" s="12"/>
      <c r="D473" s="125"/>
      <c r="E473" s="125"/>
      <c r="F473" s="12"/>
      <c r="G473" s="12"/>
      <c r="H473" s="12"/>
      <c r="I473" s="13"/>
      <c r="J473" s="13"/>
      <c r="K473" s="12"/>
      <c r="L473" s="12"/>
      <c r="M473" s="12"/>
      <c r="N473" s="12"/>
      <c r="O473" s="12"/>
      <c r="P473" s="12"/>
      <c r="Q473" s="12"/>
    </row>
    <row r="474" spans="1:17" x14ac:dyDescent="0.25">
      <c r="A474" s="11"/>
      <c r="B474" s="12"/>
      <c r="C474" s="12"/>
      <c r="D474" s="125"/>
      <c r="E474" s="125"/>
      <c r="F474" s="12"/>
      <c r="G474" s="12"/>
      <c r="H474" s="12"/>
      <c r="I474" s="13"/>
      <c r="J474" s="13"/>
      <c r="K474" s="12"/>
      <c r="L474" s="12"/>
      <c r="M474" s="12"/>
      <c r="N474" s="12"/>
      <c r="O474" s="12"/>
      <c r="P474" s="12"/>
      <c r="Q474" s="12"/>
    </row>
    <row r="475" spans="1:17" x14ac:dyDescent="0.25">
      <c r="A475" s="11"/>
      <c r="B475" s="12"/>
      <c r="C475" s="12"/>
      <c r="D475" s="125"/>
      <c r="E475" s="125"/>
      <c r="F475" s="12"/>
      <c r="G475" s="12"/>
      <c r="H475" s="12"/>
      <c r="I475" s="13"/>
      <c r="J475" s="13"/>
      <c r="K475" s="12"/>
      <c r="L475" s="12"/>
      <c r="M475" s="12"/>
      <c r="N475" s="12"/>
      <c r="O475" s="12"/>
      <c r="P475" s="12"/>
      <c r="Q475" s="12"/>
    </row>
    <row r="476" spans="1:17" x14ac:dyDescent="0.25">
      <c r="A476" s="11"/>
      <c r="B476" s="12"/>
      <c r="C476" s="12"/>
      <c r="D476" s="125"/>
      <c r="E476" s="125"/>
      <c r="F476" s="12"/>
      <c r="G476" s="12"/>
      <c r="H476" s="12"/>
      <c r="I476" s="13"/>
      <c r="J476" s="13"/>
      <c r="K476" s="12"/>
      <c r="L476" s="12"/>
      <c r="M476" s="12"/>
      <c r="N476" s="12"/>
      <c r="O476" s="12"/>
      <c r="P476" s="12"/>
      <c r="Q476" s="12"/>
    </row>
    <row r="477" spans="1:17" x14ac:dyDescent="0.25">
      <c r="A477" s="11"/>
      <c r="B477" s="12"/>
      <c r="C477" s="12"/>
      <c r="D477" s="125"/>
      <c r="E477" s="125"/>
      <c r="F477" s="12"/>
      <c r="G477" s="12"/>
      <c r="H477" s="12"/>
      <c r="I477" s="13"/>
      <c r="J477" s="13"/>
      <c r="K477" s="12"/>
      <c r="L477" s="12"/>
      <c r="M477" s="12"/>
      <c r="N477" s="12"/>
      <c r="O477" s="12"/>
      <c r="P477" s="12"/>
      <c r="Q477" s="12"/>
    </row>
    <row r="478" spans="1:17" x14ac:dyDescent="0.25">
      <c r="A478" s="11"/>
      <c r="B478" s="12"/>
      <c r="C478" s="12"/>
      <c r="D478" s="125"/>
      <c r="E478" s="125"/>
      <c r="F478" s="12"/>
      <c r="G478" s="12"/>
      <c r="H478" s="12"/>
      <c r="I478" s="13"/>
      <c r="J478" s="13"/>
      <c r="K478" s="12"/>
      <c r="L478" s="12"/>
      <c r="M478" s="12"/>
      <c r="N478" s="12"/>
      <c r="O478" s="12"/>
      <c r="P478" s="12"/>
      <c r="Q478" s="12"/>
    </row>
    <row r="479" spans="1:17" x14ac:dyDescent="0.25">
      <c r="A479" s="11"/>
      <c r="B479" s="12"/>
      <c r="C479" s="12"/>
      <c r="D479" s="125"/>
      <c r="E479" s="125"/>
      <c r="F479" s="12"/>
      <c r="G479" s="12"/>
      <c r="H479" s="12"/>
      <c r="I479" s="13"/>
      <c r="J479" s="13"/>
      <c r="K479" s="12"/>
      <c r="L479" s="12"/>
      <c r="M479" s="12"/>
      <c r="N479" s="12"/>
      <c r="O479" s="12"/>
      <c r="P479" s="12"/>
      <c r="Q479" s="12"/>
    </row>
    <row r="480" spans="1:17" x14ac:dyDescent="0.25">
      <c r="A480" s="11"/>
      <c r="B480" s="12"/>
      <c r="C480" s="12"/>
      <c r="D480" s="125"/>
      <c r="E480" s="125"/>
      <c r="F480" s="12"/>
      <c r="G480" s="12"/>
      <c r="H480" s="12"/>
      <c r="I480" s="13"/>
      <c r="J480" s="13"/>
      <c r="K480" s="12"/>
      <c r="L480" s="12"/>
      <c r="M480" s="12"/>
      <c r="N480" s="12"/>
      <c r="O480" s="12"/>
      <c r="P480" s="12"/>
      <c r="Q480" s="12"/>
    </row>
    <row r="481" spans="1:17" x14ac:dyDescent="0.25">
      <c r="A481" s="11"/>
      <c r="B481" s="12"/>
      <c r="C481" s="12"/>
      <c r="D481" s="125"/>
      <c r="E481" s="125"/>
      <c r="F481" s="12"/>
      <c r="G481" s="12"/>
      <c r="H481" s="12"/>
      <c r="I481" s="13"/>
      <c r="J481" s="13"/>
      <c r="K481" s="12"/>
      <c r="L481" s="12"/>
      <c r="M481" s="12"/>
      <c r="N481" s="12"/>
      <c r="O481" s="12"/>
      <c r="P481" s="12"/>
      <c r="Q481" s="12"/>
    </row>
    <row r="482" spans="1:17" x14ac:dyDescent="0.25">
      <c r="A482" s="11"/>
      <c r="B482" s="12"/>
      <c r="C482" s="12"/>
      <c r="D482" s="125"/>
      <c r="E482" s="125"/>
      <c r="F482" s="12"/>
      <c r="G482" s="12"/>
      <c r="H482" s="12"/>
      <c r="I482" s="13"/>
      <c r="J482" s="13"/>
      <c r="K482" s="12"/>
      <c r="L482" s="12"/>
      <c r="M482" s="12"/>
      <c r="N482" s="12"/>
      <c r="O482" s="12"/>
      <c r="P482" s="12"/>
      <c r="Q482" s="12"/>
    </row>
    <row r="483" spans="1:17" x14ac:dyDescent="0.25">
      <c r="A483" s="11"/>
      <c r="B483" s="12"/>
      <c r="C483" s="12"/>
      <c r="D483" s="125"/>
      <c r="E483" s="125"/>
      <c r="F483" s="12"/>
      <c r="G483" s="12"/>
      <c r="H483" s="12"/>
      <c r="I483" s="13"/>
      <c r="J483" s="13"/>
      <c r="K483" s="12"/>
      <c r="L483" s="12"/>
      <c r="M483" s="12"/>
      <c r="N483" s="12"/>
      <c r="O483" s="12"/>
      <c r="P483" s="12"/>
      <c r="Q483" s="12"/>
    </row>
    <row r="484" spans="1:17" x14ac:dyDescent="0.25">
      <c r="A484" s="11"/>
      <c r="B484" s="12"/>
      <c r="C484" s="12"/>
      <c r="D484" s="125"/>
      <c r="E484" s="125"/>
      <c r="F484" s="12"/>
      <c r="G484" s="12"/>
      <c r="H484" s="12"/>
      <c r="I484" s="13"/>
      <c r="J484" s="13"/>
      <c r="K484" s="12"/>
      <c r="L484" s="12"/>
      <c r="M484" s="12"/>
      <c r="N484" s="12"/>
      <c r="O484" s="12"/>
      <c r="P484" s="12"/>
      <c r="Q484" s="12"/>
    </row>
    <row r="485" spans="1:17" x14ac:dyDescent="0.25">
      <c r="A485" s="11"/>
      <c r="B485" s="12"/>
      <c r="C485" s="12"/>
      <c r="D485" s="125"/>
      <c r="E485" s="125"/>
      <c r="F485" s="12"/>
      <c r="G485" s="12"/>
      <c r="H485" s="12"/>
      <c r="I485" s="13"/>
      <c r="J485" s="13"/>
      <c r="K485" s="12"/>
      <c r="L485" s="12"/>
      <c r="M485" s="12"/>
      <c r="N485" s="12"/>
      <c r="O485" s="12"/>
      <c r="P485" s="12"/>
      <c r="Q485" s="12"/>
    </row>
    <row r="486" spans="1:17" x14ac:dyDescent="0.25">
      <c r="A486" s="11"/>
      <c r="B486" s="12"/>
      <c r="C486" s="12"/>
      <c r="D486" s="125"/>
      <c r="E486" s="125"/>
      <c r="F486" s="12"/>
      <c r="G486" s="12"/>
      <c r="H486" s="12"/>
      <c r="I486" s="13"/>
      <c r="J486" s="13"/>
      <c r="K486" s="12"/>
      <c r="L486" s="12"/>
      <c r="M486" s="12"/>
      <c r="N486" s="12"/>
      <c r="O486" s="12"/>
      <c r="P486" s="12"/>
      <c r="Q486" s="12"/>
    </row>
    <row r="487" spans="1:17" x14ac:dyDescent="0.25">
      <c r="A487" s="11"/>
      <c r="B487" s="12"/>
      <c r="C487" s="12"/>
      <c r="D487" s="125"/>
      <c r="E487" s="125"/>
      <c r="F487" s="12"/>
      <c r="G487" s="12"/>
      <c r="H487" s="12"/>
      <c r="I487" s="13"/>
      <c r="J487" s="13"/>
      <c r="K487" s="12"/>
      <c r="L487" s="12"/>
      <c r="M487" s="12"/>
      <c r="N487" s="12"/>
      <c r="O487" s="12"/>
      <c r="P487" s="12"/>
      <c r="Q487" s="12"/>
    </row>
    <row r="488" spans="1:17" x14ac:dyDescent="0.25">
      <c r="A488" s="11"/>
      <c r="B488" s="12"/>
      <c r="C488" s="12"/>
      <c r="D488" s="125"/>
      <c r="E488" s="125"/>
      <c r="F488" s="12"/>
      <c r="G488" s="12"/>
      <c r="H488" s="12"/>
      <c r="I488" s="13"/>
      <c r="J488" s="13"/>
      <c r="K488" s="12"/>
      <c r="L488" s="12"/>
      <c r="M488" s="12"/>
      <c r="N488" s="12"/>
      <c r="O488" s="12"/>
      <c r="P488" s="12"/>
      <c r="Q488" s="12"/>
    </row>
    <row r="489" spans="1:17" x14ac:dyDescent="0.25">
      <c r="A489" s="11"/>
      <c r="B489" s="12"/>
      <c r="C489" s="12"/>
      <c r="D489" s="125"/>
      <c r="E489" s="125"/>
      <c r="F489" s="12"/>
      <c r="G489" s="12"/>
      <c r="H489" s="12"/>
      <c r="I489" s="13"/>
      <c r="J489" s="13"/>
      <c r="K489" s="12"/>
      <c r="L489" s="12"/>
      <c r="M489" s="12"/>
      <c r="N489" s="12"/>
      <c r="O489" s="12"/>
      <c r="P489" s="12"/>
      <c r="Q489" s="12"/>
    </row>
    <row r="490" spans="1:17" x14ac:dyDescent="0.25">
      <c r="A490" s="11"/>
      <c r="B490" s="12"/>
      <c r="C490" s="12"/>
      <c r="D490" s="125"/>
      <c r="E490" s="125"/>
      <c r="F490" s="12"/>
      <c r="G490" s="12"/>
      <c r="H490" s="12"/>
      <c r="I490" s="13"/>
      <c r="J490" s="13"/>
      <c r="K490" s="12"/>
      <c r="L490" s="12"/>
      <c r="M490" s="12"/>
      <c r="N490" s="12"/>
      <c r="O490" s="12"/>
      <c r="P490" s="12"/>
      <c r="Q490" s="12"/>
    </row>
    <row r="491" spans="1:17" x14ac:dyDescent="0.25">
      <c r="A491" s="11"/>
      <c r="B491" s="12"/>
      <c r="C491" s="12"/>
      <c r="D491" s="125"/>
      <c r="E491" s="125"/>
      <c r="F491" s="12"/>
      <c r="G491" s="12"/>
      <c r="H491" s="12"/>
      <c r="I491" s="13"/>
      <c r="J491" s="13"/>
      <c r="K491" s="12"/>
      <c r="L491" s="12"/>
      <c r="M491" s="12"/>
      <c r="N491" s="12"/>
      <c r="O491" s="12"/>
      <c r="P491" s="12"/>
      <c r="Q491" s="12"/>
    </row>
    <row r="492" spans="1:17" x14ac:dyDescent="0.25">
      <c r="A492" s="11"/>
      <c r="B492" s="12"/>
      <c r="C492" s="12"/>
      <c r="D492" s="125"/>
      <c r="E492" s="125"/>
      <c r="F492" s="12"/>
      <c r="G492" s="12"/>
      <c r="H492" s="12"/>
      <c r="I492" s="13"/>
      <c r="J492" s="13"/>
      <c r="K492" s="12"/>
      <c r="L492" s="12"/>
      <c r="M492" s="12"/>
      <c r="N492" s="12"/>
      <c r="O492" s="12"/>
      <c r="P492" s="12"/>
      <c r="Q492" s="12"/>
    </row>
    <row r="493" spans="1:17" x14ac:dyDescent="0.25">
      <c r="A493" s="11"/>
      <c r="B493" s="12"/>
      <c r="C493" s="12"/>
      <c r="D493" s="125"/>
      <c r="E493" s="125"/>
      <c r="F493" s="12"/>
      <c r="G493" s="12"/>
      <c r="H493" s="12"/>
      <c r="I493" s="13"/>
      <c r="J493" s="13"/>
      <c r="K493" s="12"/>
      <c r="L493" s="12"/>
      <c r="M493" s="12"/>
      <c r="N493" s="12"/>
      <c r="O493" s="12"/>
      <c r="P493" s="12"/>
      <c r="Q493" s="12"/>
    </row>
    <row r="494" spans="1:17" x14ac:dyDescent="0.25">
      <c r="A494" s="11"/>
      <c r="B494" s="12"/>
      <c r="C494" s="12"/>
      <c r="D494" s="125"/>
      <c r="E494" s="125"/>
      <c r="F494" s="12"/>
      <c r="G494" s="12"/>
      <c r="H494" s="12"/>
      <c r="I494" s="13"/>
      <c r="J494" s="13"/>
      <c r="K494" s="12"/>
      <c r="L494" s="12"/>
      <c r="M494" s="12"/>
      <c r="N494" s="12"/>
      <c r="O494" s="12"/>
      <c r="P494" s="12"/>
      <c r="Q494" s="12"/>
    </row>
    <row r="495" spans="1:17" x14ac:dyDescent="0.25">
      <c r="A495" s="11"/>
      <c r="B495" s="12"/>
      <c r="C495" s="12"/>
      <c r="D495" s="125"/>
      <c r="E495" s="125"/>
      <c r="F495" s="12"/>
      <c r="G495" s="12"/>
      <c r="H495" s="12"/>
      <c r="I495" s="13"/>
      <c r="J495" s="13"/>
      <c r="K495" s="12"/>
      <c r="L495" s="12"/>
      <c r="M495" s="12"/>
      <c r="N495" s="12"/>
      <c r="O495" s="12"/>
      <c r="P495" s="12"/>
      <c r="Q495" s="12"/>
    </row>
    <row r="496" spans="1:17" x14ac:dyDescent="0.25">
      <c r="A496" s="11"/>
      <c r="B496" s="12"/>
      <c r="C496" s="12"/>
      <c r="D496" s="125"/>
      <c r="E496" s="125"/>
      <c r="F496" s="12"/>
      <c r="G496" s="12"/>
      <c r="H496" s="12"/>
      <c r="I496" s="13"/>
      <c r="J496" s="13"/>
      <c r="K496" s="12"/>
      <c r="L496" s="12"/>
      <c r="M496" s="12"/>
      <c r="N496" s="12"/>
      <c r="O496" s="12"/>
      <c r="P496" s="12"/>
      <c r="Q496" s="12"/>
    </row>
    <row r="497" spans="1:17" x14ac:dyDescent="0.25">
      <c r="A497" s="11"/>
      <c r="B497" s="12"/>
      <c r="C497" s="12"/>
      <c r="D497" s="125"/>
      <c r="E497" s="125"/>
      <c r="F497" s="12"/>
      <c r="G497" s="12"/>
      <c r="H497" s="12"/>
      <c r="I497" s="13"/>
      <c r="J497" s="13"/>
      <c r="K497" s="12"/>
      <c r="L497" s="12"/>
      <c r="M497" s="12"/>
      <c r="N497" s="12"/>
      <c r="O497" s="12"/>
      <c r="P497" s="12"/>
      <c r="Q497" s="12"/>
    </row>
    <row r="498" spans="1:17" x14ac:dyDescent="0.25">
      <c r="A498" s="11"/>
      <c r="B498" s="12"/>
      <c r="C498" s="12"/>
      <c r="D498" s="125"/>
      <c r="E498" s="125"/>
      <c r="F498" s="12"/>
      <c r="G498" s="12"/>
      <c r="H498" s="12"/>
      <c r="I498" s="13"/>
      <c r="J498" s="13"/>
      <c r="K498" s="12"/>
      <c r="L498" s="12"/>
      <c r="M498" s="12"/>
      <c r="N498" s="12"/>
      <c r="O498" s="12"/>
      <c r="P498" s="12"/>
      <c r="Q498" s="12"/>
    </row>
    <row r="499" spans="1:17" x14ac:dyDescent="0.25">
      <c r="A499" s="11"/>
      <c r="B499" s="12"/>
      <c r="C499" s="12"/>
      <c r="D499" s="125"/>
      <c r="E499" s="125"/>
      <c r="F499" s="12"/>
      <c r="G499" s="12"/>
      <c r="H499" s="12"/>
      <c r="I499" s="13"/>
      <c r="J499" s="13"/>
      <c r="K499" s="12"/>
      <c r="L499" s="12"/>
      <c r="M499" s="12"/>
      <c r="N499" s="12"/>
      <c r="O499" s="12"/>
      <c r="P499" s="12"/>
      <c r="Q499" s="12"/>
    </row>
    <row r="500" spans="1:17" x14ac:dyDescent="0.25">
      <c r="A500" s="11"/>
      <c r="B500" s="12"/>
      <c r="C500" s="12"/>
      <c r="D500" s="125"/>
      <c r="E500" s="125"/>
      <c r="F500" s="12"/>
      <c r="G500" s="12"/>
      <c r="H500" s="12"/>
      <c r="I500" s="13"/>
      <c r="J500" s="13"/>
      <c r="K500" s="12"/>
      <c r="L500" s="12"/>
      <c r="M500" s="12"/>
      <c r="N500" s="12"/>
      <c r="O500" s="12"/>
      <c r="P500" s="12"/>
      <c r="Q500" s="12"/>
    </row>
    <row r="501" spans="1:17" x14ac:dyDescent="0.25">
      <c r="A501" s="11"/>
      <c r="B501" s="12"/>
      <c r="C501" s="12"/>
      <c r="D501" s="125"/>
      <c r="E501" s="125"/>
      <c r="F501" s="12"/>
      <c r="G501" s="12"/>
      <c r="H501" s="12"/>
      <c r="I501" s="13"/>
      <c r="J501" s="13"/>
      <c r="K501" s="12"/>
      <c r="L501" s="12"/>
      <c r="M501" s="12"/>
      <c r="N501" s="12"/>
      <c r="O501" s="12"/>
      <c r="P501" s="12"/>
      <c r="Q501" s="12"/>
    </row>
    <row r="502" spans="1:17" x14ac:dyDescent="0.25">
      <c r="A502" s="11"/>
      <c r="B502" s="12"/>
      <c r="C502" s="12"/>
      <c r="D502" s="125"/>
      <c r="E502" s="125"/>
      <c r="F502" s="12"/>
      <c r="G502" s="12"/>
      <c r="H502" s="12"/>
      <c r="I502" s="13"/>
      <c r="J502" s="13"/>
      <c r="K502" s="12"/>
      <c r="L502" s="12"/>
      <c r="M502" s="12"/>
      <c r="N502" s="12"/>
      <c r="O502" s="12"/>
      <c r="P502" s="12"/>
      <c r="Q502" s="12"/>
    </row>
    <row r="503" spans="1:17" x14ac:dyDescent="0.25">
      <c r="A503" s="11"/>
      <c r="B503" s="12"/>
      <c r="C503" s="12"/>
      <c r="D503" s="125"/>
      <c r="E503" s="125"/>
      <c r="F503" s="12"/>
      <c r="G503" s="12"/>
      <c r="H503" s="12"/>
      <c r="I503" s="13"/>
      <c r="J503" s="13"/>
      <c r="K503" s="12"/>
      <c r="L503" s="12"/>
      <c r="M503" s="12"/>
      <c r="N503" s="12"/>
      <c r="O503" s="12"/>
      <c r="P503" s="12"/>
      <c r="Q503" s="12"/>
    </row>
    <row r="504" spans="1:17" x14ac:dyDescent="0.25">
      <c r="A504" s="11"/>
      <c r="B504" s="12"/>
      <c r="C504" s="12"/>
      <c r="D504" s="125"/>
      <c r="E504" s="125"/>
      <c r="F504" s="12"/>
      <c r="G504" s="12"/>
      <c r="H504" s="12"/>
      <c r="I504" s="13"/>
      <c r="J504" s="13"/>
      <c r="K504" s="12"/>
      <c r="L504" s="12"/>
      <c r="M504" s="12"/>
      <c r="N504" s="12"/>
      <c r="O504" s="12"/>
      <c r="P504" s="12"/>
      <c r="Q504" s="12"/>
    </row>
    <row r="505" spans="1:17" x14ac:dyDescent="0.25">
      <c r="A505" s="11"/>
      <c r="B505" s="12"/>
      <c r="C505" s="12"/>
      <c r="D505" s="125"/>
      <c r="E505" s="125"/>
      <c r="F505" s="12"/>
      <c r="G505" s="12"/>
      <c r="H505" s="12"/>
      <c r="I505" s="13"/>
      <c r="J505" s="13"/>
      <c r="K505" s="12"/>
      <c r="L505" s="12"/>
      <c r="M505" s="12"/>
      <c r="N505" s="12"/>
      <c r="O505" s="12"/>
      <c r="P505" s="12"/>
      <c r="Q505" s="12"/>
    </row>
    <row r="506" spans="1:17" x14ac:dyDescent="0.25">
      <c r="A506" s="11"/>
      <c r="B506" s="12"/>
      <c r="C506" s="12"/>
      <c r="D506" s="125"/>
      <c r="E506" s="125"/>
      <c r="F506" s="12"/>
      <c r="G506" s="12"/>
      <c r="H506" s="12"/>
      <c r="I506" s="13"/>
      <c r="J506" s="13"/>
      <c r="K506" s="12"/>
      <c r="L506" s="12"/>
      <c r="M506" s="12"/>
      <c r="N506" s="12"/>
      <c r="O506" s="12"/>
      <c r="P506" s="12"/>
      <c r="Q506" s="12"/>
    </row>
    <row r="507" spans="1:17" x14ac:dyDescent="0.25">
      <c r="A507" s="11"/>
      <c r="B507" s="12"/>
      <c r="C507" s="12"/>
      <c r="D507" s="125"/>
      <c r="E507" s="125"/>
      <c r="F507" s="12"/>
      <c r="G507" s="12"/>
      <c r="H507" s="12"/>
      <c r="I507" s="13"/>
      <c r="J507" s="13"/>
      <c r="K507" s="12"/>
      <c r="L507" s="12"/>
      <c r="M507" s="12"/>
      <c r="N507" s="12"/>
      <c r="O507" s="12"/>
      <c r="P507" s="12"/>
      <c r="Q507" s="12"/>
    </row>
    <row r="508" spans="1:17" x14ac:dyDescent="0.25">
      <c r="A508" s="11"/>
      <c r="B508" s="12"/>
      <c r="C508" s="12"/>
      <c r="D508" s="125"/>
      <c r="E508" s="125"/>
      <c r="F508" s="12"/>
      <c r="G508" s="12"/>
      <c r="H508" s="12"/>
      <c r="I508" s="13"/>
      <c r="J508" s="13"/>
      <c r="K508" s="12"/>
      <c r="L508" s="12"/>
      <c r="M508" s="12"/>
      <c r="N508" s="12"/>
      <c r="O508" s="12"/>
      <c r="P508" s="12"/>
      <c r="Q508" s="12"/>
    </row>
    <row r="509" spans="1:17" x14ac:dyDescent="0.25">
      <c r="A509" s="11"/>
      <c r="B509" s="12"/>
      <c r="C509" s="12"/>
      <c r="D509" s="125"/>
      <c r="E509" s="125"/>
      <c r="F509" s="12"/>
      <c r="G509" s="12"/>
      <c r="H509" s="12"/>
      <c r="I509" s="13"/>
      <c r="J509" s="13"/>
      <c r="K509" s="12"/>
      <c r="L509" s="12"/>
      <c r="M509" s="12"/>
      <c r="N509" s="12"/>
      <c r="O509" s="12"/>
      <c r="P509" s="12"/>
      <c r="Q509" s="12"/>
    </row>
    <row r="510" spans="1:17" x14ac:dyDescent="0.25">
      <c r="A510" s="11"/>
      <c r="B510" s="12"/>
      <c r="C510" s="12"/>
      <c r="D510" s="125"/>
      <c r="E510" s="125"/>
      <c r="F510" s="12"/>
      <c r="G510" s="12"/>
      <c r="H510" s="12"/>
      <c r="I510" s="13"/>
      <c r="J510" s="13"/>
      <c r="K510" s="12"/>
      <c r="L510" s="12"/>
      <c r="M510" s="12"/>
      <c r="N510" s="12"/>
      <c r="O510" s="12"/>
      <c r="P510" s="12"/>
      <c r="Q510" s="12"/>
    </row>
    <row r="511" spans="1:17" x14ac:dyDescent="0.25">
      <c r="A511" s="11"/>
      <c r="B511" s="12"/>
      <c r="C511" s="12"/>
      <c r="D511" s="125"/>
      <c r="E511" s="125"/>
      <c r="F511" s="12"/>
      <c r="G511" s="12"/>
      <c r="H511" s="12"/>
      <c r="I511" s="13"/>
      <c r="J511" s="13"/>
      <c r="K511" s="12"/>
      <c r="L511" s="12"/>
      <c r="M511" s="12"/>
      <c r="N511" s="12"/>
      <c r="O511" s="12"/>
      <c r="P511" s="12"/>
      <c r="Q511" s="12"/>
    </row>
    <row r="512" spans="1:17" x14ac:dyDescent="0.25">
      <c r="A512" s="11"/>
      <c r="B512" s="12"/>
      <c r="C512" s="12"/>
      <c r="D512" s="125"/>
      <c r="E512" s="125"/>
      <c r="F512" s="12"/>
      <c r="G512" s="12"/>
      <c r="H512" s="12"/>
      <c r="I512" s="13"/>
      <c r="J512" s="13"/>
      <c r="K512" s="12"/>
      <c r="L512" s="12"/>
      <c r="M512" s="12"/>
      <c r="N512" s="12"/>
      <c r="O512" s="12"/>
      <c r="P512" s="12"/>
      <c r="Q512" s="12"/>
    </row>
    <row r="513" spans="1:17" x14ac:dyDescent="0.25">
      <c r="A513" s="11"/>
      <c r="B513" s="12"/>
      <c r="C513" s="12"/>
      <c r="D513" s="125"/>
      <c r="E513" s="125"/>
      <c r="F513" s="12"/>
      <c r="G513" s="12"/>
      <c r="H513" s="12"/>
      <c r="I513" s="13"/>
      <c r="J513" s="13"/>
      <c r="K513" s="12"/>
      <c r="L513" s="12"/>
      <c r="M513" s="12"/>
      <c r="N513" s="12"/>
      <c r="O513" s="12"/>
      <c r="P513" s="12"/>
      <c r="Q513" s="12"/>
    </row>
    <row r="514" spans="1:17" x14ac:dyDescent="0.25">
      <c r="A514" s="11"/>
      <c r="B514" s="12"/>
      <c r="C514" s="12"/>
      <c r="D514" s="125"/>
      <c r="E514" s="125"/>
      <c r="F514" s="12"/>
      <c r="G514" s="12"/>
      <c r="H514" s="12"/>
      <c r="I514" s="13"/>
      <c r="J514" s="13"/>
      <c r="K514" s="12"/>
      <c r="L514" s="12"/>
      <c r="M514" s="12"/>
      <c r="N514" s="12"/>
      <c r="O514" s="12"/>
      <c r="P514" s="12"/>
      <c r="Q514" s="12"/>
    </row>
    <row r="515" spans="1:17" x14ac:dyDescent="0.25">
      <c r="A515" s="11"/>
      <c r="B515" s="12"/>
      <c r="C515" s="12"/>
      <c r="D515" s="125"/>
      <c r="E515" s="125"/>
      <c r="F515" s="12"/>
      <c r="G515" s="12"/>
      <c r="H515" s="12"/>
      <c r="I515" s="13"/>
      <c r="J515" s="13"/>
      <c r="K515" s="12"/>
      <c r="L515" s="12"/>
      <c r="M515" s="12"/>
      <c r="N515" s="12"/>
      <c r="O515" s="12"/>
      <c r="P515" s="12"/>
      <c r="Q515" s="12"/>
    </row>
    <row r="516" spans="1:17" x14ac:dyDescent="0.25">
      <c r="A516" s="11"/>
      <c r="B516" s="12"/>
      <c r="C516" s="12"/>
      <c r="D516" s="125"/>
      <c r="E516" s="125"/>
      <c r="F516" s="12"/>
      <c r="G516" s="12"/>
      <c r="H516" s="12"/>
      <c r="I516" s="13"/>
      <c r="J516" s="13"/>
      <c r="K516" s="12"/>
      <c r="L516" s="12"/>
      <c r="M516" s="12"/>
      <c r="N516" s="12"/>
      <c r="O516" s="12"/>
      <c r="P516" s="12"/>
      <c r="Q516" s="12"/>
    </row>
    <row r="517" spans="1:17" x14ac:dyDescent="0.25">
      <c r="A517" s="11"/>
      <c r="B517" s="12"/>
      <c r="C517" s="12"/>
      <c r="D517" s="125"/>
      <c r="E517" s="125"/>
      <c r="F517" s="12"/>
      <c r="G517" s="12"/>
      <c r="H517" s="12"/>
      <c r="I517" s="13"/>
      <c r="J517" s="13"/>
      <c r="K517" s="12"/>
      <c r="L517" s="12"/>
      <c r="M517" s="12"/>
      <c r="N517" s="12"/>
      <c r="O517" s="12"/>
      <c r="P517" s="12"/>
      <c r="Q517" s="12"/>
    </row>
    <row r="518" spans="1:17" x14ac:dyDescent="0.25">
      <c r="A518" s="11"/>
      <c r="B518" s="12"/>
      <c r="C518" s="12"/>
      <c r="D518" s="125"/>
      <c r="E518" s="125"/>
      <c r="F518" s="12"/>
      <c r="G518" s="12"/>
      <c r="H518" s="12"/>
      <c r="I518" s="13"/>
      <c r="J518" s="13"/>
      <c r="K518" s="12"/>
      <c r="L518" s="12"/>
      <c r="M518" s="12"/>
      <c r="N518" s="12"/>
      <c r="O518" s="12"/>
      <c r="P518" s="12"/>
      <c r="Q518" s="12"/>
    </row>
    <row r="519" spans="1:17" x14ac:dyDescent="0.25">
      <c r="A519" s="11"/>
      <c r="B519" s="12"/>
      <c r="C519" s="12"/>
      <c r="D519" s="125"/>
      <c r="E519" s="125"/>
      <c r="F519" s="12"/>
      <c r="G519" s="12"/>
      <c r="H519" s="12"/>
      <c r="I519" s="13"/>
      <c r="J519" s="13"/>
      <c r="K519" s="12"/>
      <c r="L519" s="12"/>
      <c r="M519" s="12"/>
      <c r="N519" s="12"/>
      <c r="O519" s="12"/>
      <c r="P519" s="12"/>
      <c r="Q519" s="12"/>
    </row>
    <row r="520" spans="1:17" x14ac:dyDescent="0.25">
      <c r="A520" s="11"/>
      <c r="B520" s="12"/>
      <c r="C520" s="12"/>
      <c r="D520" s="125"/>
      <c r="E520" s="125"/>
      <c r="F520" s="12"/>
      <c r="G520" s="12"/>
      <c r="H520" s="12"/>
      <c r="I520" s="13"/>
      <c r="J520" s="13"/>
      <c r="K520" s="12"/>
      <c r="L520" s="12"/>
      <c r="M520" s="12"/>
      <c r="N520" s="12"/>
      <c r="O520" s="12"/>
      <c r="P520" s="12"/>
      <c r="Q520" s="12"/>
    </row>
    <row r="521" spans="1:17" x14ac:dyDescent="0.25">
      <c r="A521" s="11"/>
      <c r="B521" s="12"/>
      <c r="C521" s="12"/>
      <c r="D521" s="125"/>
      <c r="E521" s="125"/>
      <c r="F521" s="12"/>
      <c r="G521" s="12"/>
      <c r="H521" s="12"/>
      <c r="I521" s="13"/>
      <c r="J521" s="13"/>
      <c r="K521" s="12"/>
      <c r="L521" s="12"/>
      <c r="M521" s="12"/>
      <c r="N521" s="12"/>
      <c r="O521" s="12"/>
      <c r="P521" s="12"/>
      <c r="Q521" s="12"/>
    </row>
    <row r="522" spans="1:17" x14ac:dyDescent="0.25">
      <c r="A522" s="11"/>
      <c r="B522" s="12"/>
      <c r="C522" s="12"/>
      <c r="D522" s="125"/>
      <c r="E522" s="125"/>
      <c r="F522" s="12"/>
      <c r="G522" s="12"/>
      <c r="H522" s="12"/>
      <c r="I522" s="13"/>
      <c r="J522" s="13"/>
      <c r="K522" s="12"/>
      <c r="L522" s="12"/>
      <c r="M522" s="12"/>
      <c r="N522" s="12"/>
      <c r="O522" s="12"/>
      <c r="P522" s="12"/>
      <c r="Q522" s="12"/>
    </row>
    <row r="523" spans="1:17" x14ac:dyDescent="0.25">
      <c r="A523" s="11"/>
      <c r="B523" s="12"/>
      <c r="C523" s="12"/>
      <c r="D523" s="125"/>
      <c r="E523" s="125"/>
      <c r="F523" s="12"/>
      <c r="G523" s="12"/>
      <c r="H523" s="12"/>
      <c r="I523" s="13"/>
      <c r="J523" s="13"/>
      <c r="K523" s="12"/>
      <c r="L523" s="12"/>
      <c r="M523" s="12"/>
      <c r="N523" s="12"/>
      <c r="O523" s="12"/>
      <c r="P523" s="12"/>
      <c r="Q523" s="12"/>
    </row>
    <row r="524" spans="1:17" x14ac:dyDescent="0.25">
      <c r="A524" s="11"/>
      <c r="B524" s="12"/>
      <c r="C524" s="12"/>
      <c r="D524" s="125"/>
      <c r="E524" s="125"/>
      <c r="F524" s="12"/>
      <c r="G524" s="12"/>
      <c r="H524" s="12"/>
      <c r="I524" s="13"/>
      <c r="J524" s="13"/>
      <c r="K524" s="12"/>
      <c r="L524" s="12"/>
      <c r="M524" s="12"/>
      <c r="N524" s="12"/>
      <c r="O524" s="12"/>
      <c r="P524" s="12"/>
      <c r="Q524" s="12"/>
    </row>
    <row r="525" spans="1:17" x14ac:dyDescent="0.25">
      <c r="A525" s="11"/>
      <c r="B525" s="12"/>
      <c r="C525" s="12"/>
      <c r="D525" s="125"/>
      <c r="E525" s="125"/>
      <c r="F525" s="12"/>
      <c r="G525" s="12"/>
      <c r="H525" s="12"/>
      <c r="I525" s="13"/>
      <c r="J525" s="13"/>
      <c r="K525" s="12"/>
      <c r="L525" s="12"/>
      <c r="M525" s="12"/>
      <c r="N525" s="12"/>
      <c r="O525" s="12"/>
      <c r="P525" s="12"/>
      <c r="Q525" s="12"/>
    </row>
    <row r="526" spans="1:17" x14ac:dyDescent="0.25">
      <c r="A526" s="11"/>
      <c r="B526" s="12"/>
      <c r="C526" s="12"/>
      <c r="D526" s="125"/>
      <c r="E526" s="125"/>
      <c r="F526" s="12"/>
      <c r="G526" s="12"/>
      <c r="H526" s="12"/>
      <c r="I526" s="13"/>
      <c r="J526" s="13"/>
      <c r="K526" s="12"/>
      <c r="L526" s="12"/>
      <c r="M526" s="12"/>
      <c r="N526" s="12"/>
      <c r="O526" s="12"/>
      <c r="P526" s="12"/>
      <c r="Q526" s="12"/>
    </row>
    <row r="527" spans="1:17" x14ac:dyDescent="0.25">
      <c r="A527" s="11"/>
      <c r="B527" s="12"/>
      <c r="C527" s="12"/>
      <c r="D527" s="125"/>
      <c r="E527" s="125"/>
      <c r="F527" s="12"/>
      <c r="G527" s="12"/>
      <c r="H527" s="12"/>
      <c r="I527" s="13"/>
      <c r="J527" s="13"/>
      <c r="K527" s="12"/>
      <c r="L527" s="12"/>
      <c r="M527" s="12"/>
      <c r="N527" s="12"/>
      <c r="O527" s="12"/>
      <c r="P527" s="12"/>
      <c r="Q527" s="12"/>
    </row>
    <row r="528" spans="1:17" x14ac:dyDescent="0.25">
      <c r="A528" s="11"/>
      <c r="B528" s="12"/>
      <c r="C528" s="12"/>
      <c r="D528" s="125"/>
      <c r="E528" s="125"/>
      <c r="F528" s="12"/>
      <c r="G528" s="12"/>
      <c r="H528" s="12"/>
      <c r="I528" s="13"/>
      <c r="J528" s="13"/>
      <c r="K528" s="12"/>
      <c r="L528" s="12"/>
      <c r="M528" s="12"/>
      <c r="N528" s="12"/>
      <c r="O528" s="12"/>
      <c r="P528" s="12"/>
      <c r="Q528" s="12"/>
    </row>
    <row r="529" spans="1:17" x14ac:dyDescent="0.25">
      <c r="A529" s="11"/>
      <c r="B529" s="12"/>
      <c r="C529" s="12"/>
      <c r="D529" s="125"/>
      <c r="E529" s="125"/>
      <c r="F529" s="12"/>
      <c r="G529" s="12"/>
      <c r="H529" s="12"/>
      <c r="I529" s="13"/>
      <c r="J529" s="13"/>
      <c r="K529" s="12"/>
      <c r="L529" s="12"/>
      <c r="M529" s="12"/>
      <c r="N529" s="12"/>
      <c r="O529" s="12"/>
      <c r="P529" s="12"/>
      <c r="Q529" s="12"/>
    </row>
    <row r="530" spans="1:17" x14ac:dyDescent="0.25">
      <c r="A530" s="11"/>
      <c r="B530" s="12"/>
      <c r="C530" s="12"/>
      <c r="D530" s="125"/>
      <c r="E530" s="125"/>
      <c r="F530" s="12"/>
      <c r="G530" s="12"/>
      <c r="H530" s="12"/>
      <c r="I530" s="13"/>
      <c r="J530" s="13"/>
      <c r="K530" s="12"/>
      <c r="L530" s="12"/>
      <c r="M530" s="12"/>
      <c r="N530" s="12"/>
      <c r="O530" s="12"/>
      <c r="P530" s="12"/>
      <c r="Q530" s="12"/>
    </row>
    <row r="531" spans="1:17" x14ac:dyDescent="0.25">
      <c r="A531" s="11"/>
      <c r="B531" s="12"/>
      <c r="C531" s="12"/>
      <c r="D531" s="125"/>
      <c r="E531" s="125"/>
      <c r="F531" s="12"/>
      <c r="G531" s="12"/>
      <c r="H531" s="12"/>
      <c r="I531" s="13"/>
      <c r="J531" s="13"/>
      <c r="K531" s="12"/>
      <c r="L531" s="12"/>
      <c r="M531" s="12"/>
      <c r="N531" s="12"/>
      <c r="O531" s="12"/>
      <c r="P531" s="12"/>
      <c r="Q531" s="12"/>
    </row>
    <row r="532" spans="1:17" x14ac:dyDescent="0.25">
      <c r="A532" s="11"/>
      <c r="B532" s="12"/>
      <c r="C532" s="12"/>
      <c r="D532" s="125"/>
      <c r="E532" s="125"/>
      <c r="F532" s="12"/>
      <c r="G532" s="12"/>
      <c r="H532" s="12"/>
      <c r="I532" s="13"/>
      <c r="J532" s="13"/>
      <c r="K532" s="12"/>
      <c r="L532" s="12"/>
      <c r="M532" s="12"/>
      <c r="N532" s="12"/>
      <c r="O532" s="12"/>
      <c r="P532" s="12"/>
      <c r="Q532" s="12"/>
    </row>
    <row r="533" spans="1:17" x14ac:dyDescent="0.25">
      <c r="A533" s="11"/>
      <c r="B533" s="12"/>
      <c r="C533" s="12"/>
      <c r="D533" s="125"/>
      <c r="E533" s="125"/>
      <c r="F533" s="12"/>
      <c r="G533" s="12"/>
      <c r="H533" s="12"/>
      <c r="I533" s="13"/>
      <c r="J533" s="13"/>
      <c r="K533" s="12"/>
      <c r="L533" s="12"/>
      <c r="M533" s="12"/>
      <c r="N533" s="12"/>
      <c r="O533" s="12"/>
      <c r="P533" s="12"/>
      <c r="Q533" s="12"/>
    </row>
    <row r="534" spans="1:17" x14ac:dyDescent="0.25">
      <c r="A534" s="11"/>
      <c r="B534" s="12"/>
      <c r="C534" s="12"/>
      <c r="D534" s="125"/>
      <c r="E534" s="125"/>
      <c r="F534" s="12"/>
      <c r="G534" s="12"/>
      <c r="H534" s="12"/>
      <c r="I534" s="13"/>
      <c r="J534" s="13"/>
      <c r="K534" s="12"/>
      <c r="L534" s="12"/>
      <c r="M534" s="12"/>
      <c r="N534" s="12"/>
      <c r="O534" s="12"/>
      <c r="P534" s="12"/>
      <c r="Q534" s="12"/>
    </row>
    <row r="535" spans="1:17" x14ac:dyDescent="0.25">
      <c r="A535" s="11"/>
      <c r="B535" s="12"/>
      <c r="C535" s="12"/>
      <c r="D535" s="125"/>
      <c r="E535" s="125"/>
      <c r="F535" s="12"/>
      <c r="G535" s="12"/>
      <c r="H535" s="12"/>
      <c r="I535" s="13"/>
      <c r="J535" s="13"/>
      <c r="K535" s="12"/>
      <c r="L535" s="12"/>
      <c r="M535" s="12"/>
      <c r="N535" s="12"/>
      <c r="O535" s="12"/>
      <c r="P535" s="12"/>
      <c r="Q535" s="12"/>
    </row>
    <row r="536" spans="1:17" x14ac:dyDescent="0.25">
      <c r="A536" s="11"/>
      <c r="B536" s="12"/>
      <c r="C536" s="12"/>
      <c r="D536" s="125"/>
      <c r="E536" s="125"/>
      <c r="F536" s="12"/>
      <c r="G536" s="12"/>
      <c r="H536" s="12"/>
      <c r="I536" s="13"/>
      <c r="J536" s="13"/>
      <c r="K536" s="12"/>
      <c r="L536" s="12"/>
      <c r="M536" s="12"/>
      <c r="N536" s="12"/>
      <c r="O536" s="12"/>
      <c r="P536" s="12"/>
      <c r="Q536" s="12"/>
    </row>
    <row r="537" spans="1:17" x14ac:dyDescent="0.25">
      <c r="A537" s="11"/>
      <c r="B537" s="12"/>
      <c r="C537" s="12"/>
      <c r="D537" s="125"/>
      <c r="E537" s="125"/>
      <c r="F537" s="12"/>
      <c r="G537" s="12"/>
      <c r="H537" s="12"/>
      <c r="I537" s="13"/>
      <c r="J537" s="13"/>
      <c r="K537" s="12"/>
      <c r="L537" s="12"/>
      <c r="M537" s="12"/>
      <c r="N537" s="12"/>
      <c r="O537" s="12"/>
      <c r="P537" s="12"/>
      <c r="Q537" s="12"/>
    </row>
    <row r="538" spans="1:17" x14ac:dyDescent="0.25">
      <c r="A538" s="11"/>
      <c r="B538" s="12"/>
      <c r="C538" s="12"/>
      <c r="D538" s="125"/>
      <c r="E538" s="125"/>
      <c r="F538" s="12"/>
      <c r="G538" s="12"/>
      <c r="H538" s="12"/>
      <c r="I538" s="13"/>
      <c r="J538" s="13"/>
      <c r="K538" s="12"/>
      <c r="L538" s="12"/>
      <c r="M538" s="12"/>
      <c r="N538" s="12"/>
      <c r="O538" s="12"/>
      <c r="P538" s="12"/>
      <c r="Q538" s="12"/>
    </row>
    <row r="539" spans="1:17" x14ac:dyDescent="0.25">
      <c r="A539" s="11"/>
      <c r="B539" s="12"/>
      <c r="C539" s="12"/>
      <c r="D539" s="125"/>
      <c r="E539" s="125"/>
      <c r="F539" s="12"/>
      <c r="G539" s="12"/>
      <c r="H539" s="12"/>
      <c r="I539" s="13"/>
      <c r="J539" s="13"/>
      <c r="K539" s="12"/>
      <c r="L539" s="12"/>
      <c r="M539" s="12"/>
      <c r="N539" s="12"/>
      <c r="O539" s="12"/>
      <c r="P539" s="12"/>
      <c r="Q539" s="12"/>
    </row>
    <row r="540" spans="1:17" x14ac:dyDescent="0.25">
      <c r="A540" s="11"/>
      <c r="B540" s="12"/>
      <c r="C540" s="12"/>
      <c r="D540" s="125"/>
      <c r="E540" s="125"/>
      <c r="F540" s="12"/>
      <c r="G540" s="12"/>
      <c r="H540" s="12"/>
      <c r="I540" s="13"/>
      <c r="J540" s="13"/>
      <c r="K540" s="12"/>
      <c r="L540" s="12"/>
      <c r="M540" s="12"/>
      <c r="N540" s="12"/>
      <c r="O540" s="12"/>
      <c r="P540" s="12"/>
      <c r="Q540" s="12"/>
    </row>
    <row r="541" spans="1:17" x14ac:dyDescent="0.25">
      <c r="A541" s="11"/>
      <c r="B541" s="12"/>
      <c r="C541" s="12"/>
      <c r="D541" s="125"/>
      <c r="E541" s="125"/>
      <c r="F541" s="12"/>
      <c r="G541" s="12"/>
      <c r="H541" s="12"/>
      <c r="I541" s="13"/>
      <c r="J541" s="13"/>
      <c r="K541" s="12"/>
      <c r="L541" s="12"/>
      <c r="M541" s="12"/>
      <c r="N541" s="12"/>
      <c r="O541" s="12"/>
      <c r="P541" s="12"/>
      <c r="Q541" s="12"/>
    </row>
    <row r="542" spans="1:17" x14ac:dyDescent="0.25">
      <c r="A542" s="11"/>
      <c r="B542" s="12"/>
      <c r="C542" s="12"/>
      <c r="D542" s="125"/>
      <c r="E542" s="125"/>
      <c r="F542" s="12"/>
      <c r="G542" s="12"/>
      <c r="H542" s="12"/>
      <c r="I542" s="13"/>
      <c r="J542" s="13"/>
      <c r="K542" s="12"/>
      <c r="L542" s="12"/>
      <c r="M542" s="12"/>
      <c r="N542" s="12"/>
      <c r="O542" s="12"/>
      <c r="P542" s="12"/>
      <c r="Q542" s="12"/>
    </row>
    <row r="543" spans="1:17" x14ac:dyDescent="0.25">
      <c r="A543" s="11"/>
      <c r="B543" s="12"/>
      <c r="C543" s="12"/>
      <c r="D543" s="125"/>
      <c r="E543" s="125"/>
      <c r="F543" s="12"/>
      <c r="G543" s="12"/>
      <c r="H543" s="12"/>
      <c r="I543" s="13"/>
      <c r="J543" s="13"/>
      <c r="K543" s="12"/>
      <c r="L543" s="12"/>
      <c r="M543" s="12"/>
      <c r="N543" s="12"/>
      <c r="O543" s="12"/>
      <c r="P543" s="12"/>
      <c r="Q543" s="12"/>
    </row>
    <row r="544" spans="1:17" x14ac:dyDescent="0.25">
      <c r="A544" s="11"/>
      <c r="B544" s="12"/>
      <c r="C544" s="12"/>
      <c r="D544" s="125"/>
      <c r="E544" s="125"/>
      <c r="F544" s="12"/>
      <c r="G544" s="12"/>
      <c r="H544" s="12"/>
      <c r="I544" s="13"/>
      <c r="J544" s="13"/>
      <c r="K544" s="12"/>
      <c r="L544" s="12"/>
      <c r="M544" s="12"/>
      <c r="N544" s="12"/>
      <c r="O544" s="12"/>
      <c r="P544" s="12"/>
      <c r="Q544" s="12"/>
    </row>
    <row r="545" spans="1:17" x14ac:dyDescent="0.25">
      <c r="A545" s="11"/>
      <c r="B545" s="12"/>
      <c r="C545" s="12"/>
      <c r="D545" s="125"/>
      <c r="E545" s="125"/>
      <c r="F545" s="12"/>
      <c r="G545" s="12"/>
      <c r="H545" s="12"/>
      <c r="I545" s="13"/>
      <c r="J545" s="13"/>
      <c r="K545" s="12"/>
      <c r="L545" s="12"/>
      <c r="M545" s="12"/>
      <c r="N545" s="12"/>
      <c r="O545" s="12"/>
      <c r="P545" s="12"/>
      <c r="Q545" s="12"/>
    </row>
    <row r="546" spans="1:17" x14ac:dyDescent="0.25">
      <c r="A546" s="11"/>
      <c r="B546" s="12"/>
      <c r="C546" s="12"/>
      <c r="D546" s="125"/>
      <c r="E546" s="125"/>
      <c r="F546" s="12"/>
      <c r="G546" s="12"/>
      <c r="H546" s="12"/>
      <c r="I546" s="13"/>
      <c r="J546" s="13"/>
      <c r="K546" s="12"/>
      <c r="L546" s="12"/>
      <c r="M546" s="12"/>
      <c r="N546" s="12"/>
      <c r="O546" s="12"/>
      <c r="P546" s="12"/>
      <c r="Q546" s="12"/>
    </row>
    <row r="547" spans="1:17" x14ac:dyDescent="0.25">
      <c r="A547" s="11"/>
      <c r="B547" s="12"/>
      <c r="C547" s="12"/>
      <c r="D547" s="125"/>
      <c r="E547" s="125"/>
      <c r="F547" s="12"/>
      <c r="G547" s="12"/>
      <c r="H547" s="12"/>
      <c r="I547" s="13"/>
      <c r="J547" s="13"/>
      <c r="K547" s="12"/>
      <c r="L547" s="12"/>
      <c r="M547" s="12"/>
      <c r="N547" s="12"/>
      <c r="O547" s="12"/>
      <c r="P547" s="12"/>
      <c r="Q547" s="12"/>
    </row>
    <row r="548" spans="1:17" x14ac:dyDescent="0.25">
      <c r="A548" s="11"/>
      <c r="B548" s="12"/>
      <c r="C548" s="12"/>
      <c r="D548" s="125"/>
      <c r="E548" s="125"/>
      <c r="F548" s="12"/>
      <c r="G548" s="12"/>
      <c r="H548" s="12"/>
      <c r="I548" s="13"/>
      <c r="J548" s="13"/>
      <c r="K548" s="12"/>
      <c r="L548" s="12"/>
      <c r="M548" s="12"/>
      <c r="N548" s="12"/>
      <c r="O548" s="12"/>
      <c r="P548" s="12"/>
      <c r="Q548" s="12"/>
    </row>
    <row r="549" spans="1:17" x14ac:dyDescent="0.25">
      <c r="A549" s="11"/>
      <c r="B549" s="12"/>
      <c r="C549" s="12"/>
      <c r="D549" s="125"/>
      <c r="E549" s="125"/>
      <c r="F549" s="12"/>
      <c r="G549" s="12"/>
      <c r="H549" s="12"/>
      <c r="I549" s="13"/>
      <c r="J549" s="13"/>
      <c r="K549" s="12"/>
      <c r="L549" s="12"/>
      <c r="M549" s="12"/>
      <c r="N549" s="12"/>
      <c r="O549" s="12"/>
      <c r="P549" s="12"/>
      <c r="Q549" s="12"/>
    </row>
    <row r="550" spans="1:17" x14ac:dyDescent="0.25">
      <c r="A550" s="11"/>
      <c r="B550" s="12"/>
      <c r="C550" s="12"/>
      <c r="D550" s="125"/>
      <c r="E550" s="125"/>
      <c r="F550" s="12"/>
      <c r="G550" s="12"/>
      <c r="H550" s="12"/>
      <c r="I550" s="13"/>
      <c r="J550" s="13"/>
      <c r="K550" s="12"/>
      <c r="L550" s="12"/>
      <c r="M550" s="12"/>
      <c r="N550" s="12"/>
      <c r="O550" s="12"/>
      <c r="P550" s="12"/>
      <c r="Q550" s="12"/>
    </row>
    <row r="551" spans="1:17" x14ac:dyDescent="0.25">
      <c r="A551" s="11"/>
      <c r="B551" s="12"/>
      <c r="C551" s="12"/>
      <c r="D551" s="125"/>
      <c r="E551" s="125"/>
      <c r="F551" s="12"/>
      <c r="G551" s="12"/>
      <c r="H551" s="12"/>
      <c r="I551" s="13"/>
      <c r="J551" s="13"/>
      <c r="K551" s="12"/>
      <c r="L551" s="12"/>
      <c r="M551" s="12"/>
      <c r="N551" s="12"/>
      <c r="O551" s="12"/>
      <c r="P551" s="12"/>
      <c r="Q551" s="12"/>
    </row>
    <row r="552" spans="1:17" x14ac:dyDescent="0.25">
      <c r="A552" s="11"/>
      <c r="B552" s="12"/>
      <c r="C552" s="12"/>
      <c r="D552" s="125"/>
      <c r="E552" s="125"/>
      <c r="F552" s="12"/>
      <c r="G552" s="12"/>
      <c r="H552" s="12"/>
      <c r="I552" s="13"/>
      <c r="J552" s="13"/>
      <c r="K552" s="12"/>
      <c r="L552" s="12"/>
      <c r="M552" s="12"/>
      <c r="N552" s="12"/>
      <c r="O552" s="12"/>
      <c r="P552" s="12"/>
      <c r="Q552" s="12"/>
    </row>
    <row r="553" spans="1:17" x14ac:dyDescent="0.25">
      <c r="A553" s="11"/>
      <c r="B553" s="12"/>
      <c r="C553" s="12"/>
      <c r="D553" s="125"/>
      <c r="E553" s="125"/>
      <c r="F553" s="12"/>
      <c r="G553" s="12"/>
      <c r="H553" s="12"/>
      <c r="I553" s="13"/>
      <c r="J553" s="13"/>
      <c r="K553" s="12"/>
      <c r="L553" s="12"/>
      <c r="M553" s="12"/>
      <c r="N553" s="12"/>
      <c r="O553" s="12"/>
      <c r="P553" s="12"/>
      <c r="Q553" s="12"/>
    </row>
    <row r="554" spans="1:17" x14ac:dyDescent="0.25">
      <c r="A554" s="11"/>
      <c r="B554" s="12"/>
      <c r="C554" s="12"/>
      <c r="D554" s="125"/>
      <c r="E554" s="125"/>
      <c r="F554" s="12"/>
      <c r="G554" s="12"/>
      <c r="H554" s="12"/>
      <c r="I554" s="13"/>
      <c r="J554" s="13"/>
      <c r="K554" s="12"/>
      <c r="L554" s="12"/>
      <c r="M554" s="12"/>
      <c r="N554" s="12"/>
      <c r="O554" s="12"/>
      <c r="P554" s="12"/>
      <c r="Q554" s="12"/>
    </row>
    <row r="555" spans="1:17" x14ac:dyDescent="0.25">
      <c r="A555" s="11"/>
      <c r="B555" s="12"/>
      <c r="C555" s="12"/>
      <c r="D555" s="125"/>
      <c r="E555" s="125"/>
      <c r="F555" s="12"/>
      <c r="G555" s="12"/>
      <c r="H555" s="12"/>
      <c r="I555" s="13"/>
      <c r="J555" s="13"/>
      <c r="K555" s="12"/>
      <c r="L555" s="12"/>
      <c r="M555" s="12"/>
      <c r="N555" s="12"/>
      <c r="O555" s="12"/>
      <c r="P555" s="12"/>
      <c r="Q555" s="12"/>
    </row>
    <row r="556" spans="1:17" x14ac:dyDescent="0.25">
      <c r="A556" s="11"/>
      <c r="B556" s="12"/>
      <c r="C556" s="12"/>
      <c r="D556" s="125"/>
      <c r="E556" s="125"/>
      <c r="F556" s="12"/>
      <c r="G556" s="12"/>
      <c r="H556" s="12"/>
      <c r="I556" s="13"/>
      <c r="J556" s="13"/>
      <c r="K556" s="12"/>
      <c r="L556" s="12"/>
      <c r="M556" s="12"/>
      <c r="N556" s="12"/>
      <c r="O556" s="12"/>
      <c r="P556" s="12"/>
      <c r="Q556" s="12"/>
    </row>
    <row r="557" spans="1:17" x14ac:dyDescent="0.25">
      <c r="A557" s="11"/>
      <c r="B557" s="12"/>
      <c r="C557" s="12"/>
      <c r="D557" s="125"/>
      <c r="E557" s="125"/>
      <c r="F557" s="12"/>
      <c r="G557" s="12"/>
      <c r="H557" s="12"/>
      <c r="I557" s="13"/>
      <c r="J557" s="13"/>
      <c r="K557" s="12"/>
      <c r="L557" s="12"/>
      <c r="M557" s="12"/>
      <c r="N557" s="12"/>
      <c r="O557" s="12"/>
      <c r="P557" s="12"/>
      <c r="Q557" s="12"/>
    </row>
    <row r="558" spans="1:17" x14ac:dyDescent="0.25">
      <c r="A558" s="11"/>
      <c r="B558" s="12"/>
      <c r="C558" s="12"/>
      <c r="D558" s="125"/>
      <c r="E558" s="125"/>
      <c r="F558" s="12"/>
      <c r="G558" s="12"/>
      <c r="H558" s="12"/>
      <c r="I558" s="13"/>
      <c r="J558" s="13"/>
      <c r="K558" s="12"/>
      <c r="L558" s="12"/>
      <c r="M558" s="12"/>
      <c r="N558" s="12"/>
      <c r="O558" s="12"/>
      <c r="P558" s="12"/>
      <c r="Q558" s="12"/>
    </row>
    <row r="559" spans="1:17" x14ac:dyDescent="0.25">
      <c r="A559" s="11"/>
      <c r="B559" s="12"/>
      <c r="C559" s="12"/>
      <c r="D559" s="125"/>
      <c r="E559" s="125"/>
      <c r="F559" s="12"/>
      <c r="G559" s="12"/>
      <c r="H559" s="12"/>
      <c r="I559" s="13"/>
      <c r="J559" s="13"/>
      <c r="K559" s="12"/>
      <c r="L559" s="12"/>
      <c r="M559" s="12"/>
      <c r="N559" s="12"/>
      <c r="O559" s="12"/>
      <c r="P559" s="12"/>
      <c r="Q559" s="12"/>
    </row>
    <row r="560" spans="1:17" x14ac:dyDescent="0.25">
      <c r="A560" s="11"/>
      <c r="B560" s="12"/>
      <c r="C560" s="12"/>
      <c r="D560" s="125"/>
      <c r="E560" s="125"/>
      <c r="F560" s="12"/>
      <c r="G560" s="12"/>
      <c r="H560" s="12"/>
      <c r="I560" s="13"/>
      <c r="J560" s="13"/>
      <c r="K560" s="12"/>
      <c r="L560" s="12"/>
      <c r="M560" s="12"/>
      <c r="N560" s="12"/>
      <c r="O560" s="12"/>
      <c r="P560" s="12"/>
      <c r="Q560" s="12"/>
    </row>
    <row r="561" spans="1:17" x14ac:dyDescent="0.25">
      <c r="A561" s="11"/>
      <c r="B561" s="12"/>
      <c r="C561" s="12"/>
      <c r="D561" s="125"/>
      <c r="E561" s="125"/>
      <c r="F561" s="12"/>
      <c r="G561" s="12"/>
      <c r="H561" s="12"/>
      <c r="I561" s="13"/>
      <c r="J561" s="13"/>
      <c r="K561" s="12"/>
      <c r="L561" s="12"/>
      <c r="M561" s="12"/>
      <c r="N561" s="12"/>
      <c r="O561" s="12"/>
      <c r="P561" s="12"/>
      <c r="Q561" s="12"/>
    </row>
    <row r="562" spans="1:17" x14ac:dyDescent="0.25">
      <c r="A562" s="11"/>
      <c r="B562" s="12"/>
      <c r="C562" s="12"/>
      <c r="D562" s="125"/>
      <c r="E562" s="125"/>
      <c r="F562" s="12"/>
      <c r="G562" s="12"/>
      <c r="H562" s="12"/>
      <c r="I562" s="13"/>
      <c r="J562" s="13"/>
      <c r="K562" s="12"/>
      <c r="L562" s="12"/>
      <c r="M562" s="12"/>
      <c r="N562" s="12"/>
      <c r="O562" s="12"/>
      <c r="P562" s="12"/>
      <c r="Q562" s="12"/>
    </row>
    <row r="563" spans="1:17" x14ac:dyDescent="0.25">
      <c r="A563" s="11"/>
      <c r="B563" s="12"/>
      <c r="C563" s="12"/>
      <c r="D563" s="125"/>
      <c r="E563" s="125"/>
      <c r="F563" s="12"/>
      <c r="G563" s="12"/>
      <c r="H563" s="12"/>
      <c r="I563" s="13"/>
      <c r="J563" s="13"/>
      <c r="K563" s="12"/>
      <c r="L563" s="12"/>
      <c r="M563" s="12"/>
      <c r="N563" s="12"/>
      <c r="O563" s="12"/>
      <c r="P563" s="12"/>
      <c r="Q563" s="12"/>
    </row>
    <row r="564" spans="1:17" x14ac:dyDescent="0.25">
      <c r="A564" s="11"/>
      <c r="B564" s="12"/>
      <c r="C564" s="12"/>
      <c r="D564" s="125"/>
      <c r="E564" s="125"/>
      <c r="F564" s="12"/>
      <c r="G564" s="12"/>
      <c r="H564" s="12"/>
      <c r="I564" s="13"/>
      <c r="J564" s="13"/>
      <c r="K564" s="12"/>
      <c r="L564" s="12"/>
      <c r="M564" s="12"/>
      <c r="N564" s="12"/>
      <c r="O564" s="12"/>
      <c r="P564" s="12"/>
      <c r="Q564" s="12"/>
    </row>
    <row r="565" spans="1:17" x14ac:dyDescent="0.25">
      <c r="A565" s="11"/>
      <c r="B565" s="12"/>
      <c r="C565" s="12"/>
      <c r="D565" s="125"/>
      <c r="E565" s="125"/>
      <c r="F565" s="12"/>
      <c r="G565" s="12"/>
      <c r="H565" s="12"/>
      <c r="I565" s="13"/>
      <c r="J565" s="13"/>
      <c r="K565" s="12"/>
      <c r="L565" s="12"/>
      <c r="M565" s="12"/>
      <c r="N565" s="12"/>
      <c r="O565" s="12"/>
      <c r="P565" s="12"/>
      <c r="Q565" s="12"/>
    </row>
    <row r="566" spans="1:17" x14ac:dyDescent="0.25">
      <c r="A566" s="11"/>
      <c r="B566" s="12"/>
      <c r="C566" s="12"/>
      <c r="D566" s="125"/>
      <c r="E566" s="125"/>
      <c r="F566" s="12"/>
      <c r="G566" s="12"/>
      <c r="H566" s="12"/>
      <c r="I566" s="13"/>
      <c r="J566" s="13"/>
      <c r="K566" s="12"/>
      <c r="L566" s="12"/>
      <c r="M566" s="12"/>
      <c r="N566" s="12"/>
      <c r="O566" s="12"/>
      <c r="P566" s="12"/>
      <c r="Q566" s="12"/>
    </row>
    <row r="567" spans="1:17" x14ac:dyDescent="0.25">
      <c r="A567" s="11"/>
      <c r="B567" s="12"/>
      <c r="C567" s="12"/>
      <c r="D567" s="125"/>
      <c r="E567" s="125"/>
      <c r="F567" s="12"/>
      <c r="G567" s="12"/>
      <c r="H567" s="12"/>
      <c r="I567" s="13"/>
      <c r="J567" s="13"/>
      <c r="K567" s="12"/>
      <c r="L567" s="12"/>
      <c r="M567" s="12"/>
      <c r="N567" s="12"/>
      <c r="O567" s="12"/>
      <c r="P567" s="12"/>
      <c r="Q567" s="12"/>
    </row>
    <row r="568" spans="1:17" x14ac:dyDescent="0.25">
      <c r="A568" s="11"/>
      <c r="B568" s="12"/>
      <c r="C568" s="12"/>
      <c r="D568" s="125"/>
      <c r="E568" s="125"/>
      <c r="F568" s="12"/>
      <c r="G568" s="12"/>
      <c r="H568" s="12"/>
      <c r="I568" s="13"/>
      <c r="J568" s="13"/>
      <c r="K568" s="12"/>
      <c r="L568" s="12"/>
      <c r="M568" s="12"/>
      <c r="N568" s="12"/>
      <c r="O568" s="12"/>
      <c r="P568" s="12"/>
      <c r="Q568" s="12"/>
    </row>
    <row r="569" spans="1:17" x14ac:dyDescent="0.25">
      <c r="A569" s="11"/>
      <c r="B569" s="12"/>
      <c r="C569" s="12"/>
      <c r="D569" s="125"/>
      <c r="E569" s="125"/>
      <c r="F569" s="12"/>
      <c r="G569" s="12"/>
      <c r="H569" s="12"/>
      <c r="I569" s="13"/>
      <c r="J569" s="13"/>
      <c r="K569" s="12"/>
      <c r="L569" s="12"/>
      <c r="M569" s="12"/>
      <c r="N569" s="12"/>
      <c r="O569" s="12"/>
      <c r="P569" s="12"/>
      <c r="Q569" s="12"/>
    </row>
    <row r="570" spans="1:17" x14ac:dyDescent="0.25">
      <c r="A570" s="11"/>
      <c r="B570" s="12"/>
      <c r="C570" s="12"/>
      <c r="D570" s="125"/>
      <c r="E570" s="125"/>
      <c r="F570" s="12"/>
      <c r="G570" s="12"/>
      <c r="H570" s="12"/>
      <c r="I570" s="13"/>
      <c r="J570" s="13"/>
      <c r="K570" s="12"/>
      <c r="L570" s="12"/>
      <c r="M570" s="12"/>
      <c r="N570" s="12"/>
      <c r="O570" s="12"/>
      <c r="P570" s="12"/>
      <c r="Q570" s="12"/>
    </row>
    <row r="571" spans="1:17" x14ac:dyDescent="0.25">
      <c r="A571" s="11"/>
      <c r="B571" s="12"/>
      <c r="C571" s="12"/>
      <c r="D571" s="125"/>
      <c r="E571" s="125"/>
      <c r="F571" s="12"/>
      <c r="G571" s="12"/>
      <c r="H571" s="12"/>
      <c r="I571" s="13"/>
      <c r="J571" s="13"/>
      <c r="K571" s="12"/>
      <c r="L571" s="12"/>
      <c r="M571" s="12"/>
      <c r="N571" s="12"/>
      <c r="O571" s="12"/>
      <c r="P571" s="12"/>
      <c r="Q571" s="12"/>
    </row>
    <row r="572" spans="1:17" x14ac:dyDescent="0.25">
      <c r="A572" s="11"/>
      <c r="B572" s="12"/>
      <c r="C572" s="12"/>
      <c r="D572" s="125"/>
      <c r="E572" s="125"/>
      <c r="F572" s="12"/>
      <c r="G572" s="12"/>
      <c r="H572" s="12"/>
      <c r="I572" s="13"/>
      <c r="J572" s="13"/>
      <c r="K572" s="12"/>
      <c r="L572" s="12"/>
      <c r="M572" s="12"/>
      <c r="N572" s="12"/>
      <c r="O572" s="12"/>
      <c r="P572" s="12"/>
      <c r="Q572" s="12"/>
    </row>
    <row r="573" spans="1:17" x14ac:dyDescent="0.25">
      <c r="A573" s="11"/>
      <c r="B573" s="12"/>
      <c r="C573" s="12"/>
      <c r="D573" s="125"/>
      <c r="E573" s="125"/>
      <c r="F573" s="12"/>
      <c r="G573" s="12"/>
      <c r="H573" s="12"/>
      <c r="I573" s="13"/>
      <c r="J573" s="13"/>
      <c r="K573" s="12"/>
      <c r="L573" s="12"/>
      <c r="M573" s="12"/>
      <c r="N573" s="12"/>
      <c r="O573" s="12"/>
      <c r="P573" s="12"/>
      <c r="Q573" s="12"/>
    </row>
    <row r="574" spans="1:17" x14ac:dyDescent="0.25">
      <c r="A574" s="11"/>
      <c r="B574" s="12"/>
      <c r="C574" s="12"/>
      <c r="D574" s="125"/>
      <c r="E574" s="125"/>
      <c r="F574" s="12"/>
      <c r="G574" s="12"/>
      <c r="H574" s="12"/>
      <c r="I574" s="13"/>
      <c r="J574" s="13"/>
      <c r="K574" s="12"/>
      <c r="L574" s="12"/>
      <c r="M574" s="12"/>
      <c r="N574" s="12"/>
      <c r="O574" s="12"/>
      <c r="P574" s="12"/>
      <c r="Q574" s="12"/>
    </row>
    <row r="575" spans="1:17" x14ac:dyDescent="0.25">
      <c r="A575" s="11"/>
      <c r="B575" s="12"/>
      <c r="C575" s="12"/>
      <c r="D575" s="125"/>
      <c r="E575" s="125"/>
      <c r="F575" s="12"/>
      <c r="G575" s="12"/>
      <c r="H575" s="12"/>
      <c r="I575" s="13"/>
      <c r="J575" s="13"/>
      <c r="K575" s="12"/>
      <c r="L575" s="12"/>
      <c r="M575" s="12"/>
      <c r="N575" s="12"/>
      <c r="O575" s="12"/>
      <c r="P575" s="12"/>
      <c r="Q575" s="12"/>
    </row>
    <row r="576" spans="1:17" x14ac:dyDescent="0.25">
      <c r="A576" s="11"/>
      <c r="B576" s="12"/>
      <c r="C576" s="12"/>
      <c r="D576" s="125"/>
      <c r="E576" s="125"/>
      <c r="F576" s="12"/>
      <c r="G576" s="12"/>
      <c r="H576" s="12"/>
      <c r="I576" s="13"/>
      <c r="J576" s="13"/>
      <c r="K576" s="12"/>
      <c r="L576" s="12"/>
      <c r="M576" s="12"/>
      <c r="N576" s="12"/>
      <c r="O576" s="12"/>
      <c r="P576" s="12"/>
      <c r="Q576" s="12"/>
    </row>
    <row r="577" spans="1:17" x14ac:dyDescent="0.25">
      <c r="A577" s="11"/>
      <c r="B577" s="12"/>
      <c r="C577" s="12"/>
      <c r="D577" s="125"/>
      <c r="E577" s="125"/>
      <c r="F577" s="12"/>
      <c r="G577" s="12"/>
      <c r="H577" s="12"/>
      <c r="I577" s="13"/>
      <c r="J577" s="13"/>
      <c r="K577" s="12"/>
      <c r="L577" s="12"/>
      <c r="M577" s="12"/>
      <c r="N577" s="12"/>
      <c r="O577" s="12"/>
      <c r="P577" s="12"/>
      <c r="Q577" s="12"/>
    </row>
    <row r="578" spans="1:17" x14ac:dyDescent="0.25">
      <c r="A578" s="11"/>
      <c r="B578" s="12"/>
      <c r="C578" s="12"/>
      <c r="D578" s="125"/>
      <c r="E578" s="125"/>
      <c r="F578" s="12"/>
      <c r="G578" s="12"/>
      <c r="H578" s="12"/>
      <c r="I578" s="13"/>
      <c r="J578" s="13"/>
      <c r="K578" s="12"/>
      <c r="L578" s="12"/>
      <c r="M578" s="12"/>
      <c r="N578" s="12"/>
      <c r="O578" s="12"/>
      <c r="P578" s="12"/>
      <c r="Q578" s="12"/>
    </row>
    <row r="579" spans="1:17" x14ac:dyDescent="0.25">
      <c r="A579" s="11"/>
      <c r="B579" s="12"/>
      <c r="C579" s="12"/>
      <c r="D579" s="125"/>
      <c r="E579" s="125"/>
      <c r="F579" s="12"/>
      <c r="G579" s="12"/>
      <c r="H579" s="12"/>
      <c r="I579" s="13"/>
      <c r="J579" s="13"/>
      <c r="K579" s="12"/>
      <c r="L579" s="12"/>
      <c r="M579" s="12"/>
      <c r="N579" s="12"/>
      <c r="O579" s="12"/>
      <c r="P579" s="12"/>
      <c r="Q579" s="12"/>
    </row>
    <row r="580" spans="1:17" x14ac:dyDescent="0.25">
      <c r="A580" s="11"/>
      <c r="B580" s="12"/>
      <c r="C580" s="12"/>
      <c r="D580" s="125"/>
      <c r="E580" s="125"/>
      <c r="F580" s="12"/>
      <c r="G580" s="12"/>
      <c r="H580" s="12"/>
      <c r="I580" s="13"/>
      <c r="J580" s="13"/>
      <c r="K580" s="12"/>
      <c r="L580" s="12"/>
      <c r="M580" s="12"/>
      <c r="N580" s="12"/>
      <c r="O580" s="12"/>
      <c r="P580" s="12"/>
      <c r="Q580" s="12"/>
    </row>
    <row r="581" spans="1:17" x14ac:dyDescent="0.25">
      <c r="A581" s="11"/>
      <c r="B581" s="12"/>
      <c r="C581" s="12"/>
      <c r="D581" s="125"/>
      <c r="E581" s="125"/>
      <c r="F581" s="12"/>
      <c r="G581" s="12"/>
      <c r="H581" s="12"/>
      <c r="I581" s="13"/>
      <c r="J581" s="13"/>
      <c r="K581" s="12"/>
      <c r="L581" s="12"/>
      <c r="M581" s="12"/>
      <c r="N581" s="12"/>
      <c r="O581" s="12"/>
      <c r="P581" s="12"/>
      <c r="Q581" s="12"/>
    </row>
    <row r="582" spans="1:17" x14ac:dyDescent="0.25">
      <c r="A582" s="11"/>
      <c r="B582" s="12"/>
      <c r="C582" s="12"/>
      <c r="D582" s="125"/>
      <c r="E582" s="125"/>
      <c r="F582" s="12"/>
      <c r="G582" s="12"/>
      <c r="H582" s="12"/>
      <c r="I582" s="13"/>
      <c r="J582" s="13"/>
      <c r="K582" s="12"/>
      <c r="L582" s="12"/>
      <c r="M582" s="12"/>
      <c r="N582" s="12"/>
      <c r="O582" s="12"/>
      <c r="P582" s="12"/>
      <c r="Q582" s="12"/>
    </row>
    <row r="583" spans="1:17" x14ac:dyDescent="0.25">
      <c r="A583" s="11"/>
      <c r="B583" s="12"/>
      <c r="C583" s="12"/>
      <c r="D583" s="125"/>
      <c r="E583" s="125"/>
      <c r="F583" s="12"/>
      <c r="G583" s="12"/>
      <c r="H583" s="12"/>
      <c r="I583" s="13"/>
      <c r="J583" s="13"/>
      <c r="K583" s="12"/>
      <c r="L583" s="12"/>
      <c r="M583" s="12"/>
      <c r="N583" s="12"/>
      <c r="O583" s="12"/>
      <c r="P583" s="12"/>
      <c r="Q583" s="12"/>
    </row>
    <row r="584" spans="1:17" x14ac:dyDescent="0.25">
      <c r="A584" s="11"/>
      <c r="B584" s="12"/>
      <c r="C584" s="12"/>
      <c r="D584" s="125"/>
      <c r="E584" s="125"/>
      <c r="F584" s="12"/>
      <c r="G584" s="12"/>
      <c r="H584" s="12"/>
      <c r="I584" s="13"/>
      <c r="J584" s="13"/>
      <c r="K584" s="12"/>
      <c r="L584" s="12"/>
      <c r="M584" s="12"/>
      <c r="N584" s="12"/>
      <c r="O584" s="12"/>
      <c r="P584" s="12"/>
      <c r="Q584" s="12"/>
    </row>
    <row r="585" spans="1:17" x14ac:dyDescent="0.25">
      <c r="A585" s="11"/>
      <c r="B585" s="12"/>
      <c r="C585" s="12"/>
      <c r="D585" s="125"/>
      <c r="E585" s="125"/>
      <c r="F585" s="12"/>
      <c r="G585" s="12"/>
      <c r="H585" s="12"/>
      <c r="I585" s="13"/>
      <c r="J585" s="13"/>
      <c r="K585" s="12"/>
      <c r="L585" s="12"/>
      <c r="M585" s="12"/>
      <c r="N585" s="12"/>
      <c r="O585" s="12"/>
      <c r="P585" s="12"/>
      <c r="Q585" s="12"/>
    </row>
    <row r="586" spans="1:17" x14ac:dyDescent="0.25">
      <c r="A586" s="11"/>
      <c r="B586" s="12"/>
      <c r="C586" s="12"/>
      <c r="D586" s="125"/>
      <c r="E586" s="125"/>
      <c r="F586" s="12"/>
      <c r="G586" s="12"/>
      <c r="H586" s="12"/>
      <c r="I586" s="13"/>
      <c r="J586" s="13"/>
      <c r="K586" s="12"/>
      <c r="L586" s="12"/>
      <c r="M586" s="12"/>
      <c r="N586" s="12"/>
      <c r="O586" s="12"/>
      <c r="P586" s="12"/>
      <c r="Q586" s="12"/>
    </row>
    <row r="587" spans="1:17" x14ac:dyDescent="0.25">
      <c r="A587" s="11"/>
      <c r="B587" s="12"/>
      <c r="C587" s="12"/>
      <c r="D587" s="125"/>
      <c r="E587" s="125"/>
      <c r="F587" s="12"/>
      <c r="G587" s="12"/>
      <c r="H587" s="12"/>
      <c r="I587" s="13"/>
      <c r="J587" s="13"/>
      <c r="K587" s="12"/>
      <c r="L587" s="12"/>
      <c r="M587" s="12"/>
      <c r="N587" s="12"/>
      <c r="O587" s="12"/>
      <c r="P587" s="12"/>
      <c r="Q587" s="12"/>
    </row>
    <row r="588" spans="1:17" x14ac:dyDescent="0.25">
      <c r="A588" s="11"/>
      <c r="B588" s="12"/>
      <c r="C588" s="12"/>
      <c r="D588" s="125"/>
      <c r="E588" s="125"/>
      <c r="F588" s="12"/>
      <c r="G588" s="12"/>
      <c r="H588" s="12"/>
      <c r="I588" s="13"/>
      <c r="J588" s="13"/>
      <c r="K588" s="12"/>
      <c r="L588" s="12"/>
      <c r="M588" s="12"/>
      <c r="N588" s="12"/>
      <c r="O588" s="12"/>
      <c r="P588" s="12"/>
      <c r="Q588" s="12"/>
    </row>
    <row r="589" spans="1:17" x14ac:dyDescent="0.25">
      <c r="A589" s="11"/>
      <c r="B589" s="12"/>
      <c r="C589" s="12"/>
      <c r="D589" s="125"/>
      <c r="E589" s="125"/>
      <c r="F589" s="12"/>
      <c r="G589" s="12"/>
      <c r="H589" s="12"/>
      <c r="I589" s="13"/>
      <c r="J589" s="13"/>
      <c r="K589" s="12"/>
      <c r="L589" s="12"/>
      <c r="M589" s="12"/>
      <c r="N589" s="12"/>
      <c r="O589" s="12"/>
      <c r="P589" s="12"/>
      <c r="Q589" s="12"/>
    </row>
    <row r="590" spans="1:17" x14ac:dyDescent="0.25">
      <c r="A590" s="11"/>
      <c r="B590" s="12"/>
      <c r="C590" s="12"/>
      <c r="D590" s="125"/>
      <c r="E590" s="125"/>
      <c r="F590" s="12"/>
      <c r="G590" s="12"/>
      <c r="H590" s="12"/>
      <c r="I590" s="13"/>
      <c r="J590" s="13"/>
      <c r="K590" s="12"/>
      <c r="L590" s="12"/>
      <c r="M590" s="12"/>
      <c r="N590" s="12"/>
      <c r="O590" s="12"/>
      <c r="P590" s="12"/>
      <c r="Q590" s="12"/>
    </row>
    <row r="591" spans="1:17" x14ac:dyDescent="0.25">
      <c r="A591" s="11"/>
      <c r="B591" s="12"/>
      <c r="C591" s="12"/>
      <c r="D591" s="125"/>
      <c r="E591" s="125"/>
      <c r="F591" s="12"/>
      <c r="G591" s="12"/>
      <c r="H591" s="12"/>
      <c r="I591" s="13"/>
      <c r="J591" s="13"/>
      <c r="K591" s="12"/>
      <c r="L591" s="12"/>
      <c r="M591" s="12"/>
      <c r="N591" s="12"/>
      <c r="O591" s="12"/>
      <c r="P591" s="12"/>
      <c r="Q591" s="12"/>
    </row>
    <row r="592" spans="1:17" x14ac:dyDescent="0.25">
      <c r="A592" s="11"/>
      <c r="B592" s="12"/>
      <c r="C592" s="12"/>
      <c r="D592" s="125"/>
      <c r="E592" s="125"/>
      <c r="F592" s="12"/>
      <c r="G592" s="12"/>
      <c r="H592" s="12"/>
      <c r="I592" s="13"/>
      <c r="J592" s="13"/>
      <c r="K592" s="12"/>
      <c r="L592" s="12"/>
      <c r="M592" s="12"/>
      <c r="N592" s="12"/>
      <c r="O592" s="12"/>
      <c r="P592" s="12"/>
      <c r="Q592" s="12"/>
    </row>
    <row r="593" spans="1:17" x14ac:dyDescent="0.25">
      <c r="A593" s="11"/>
      <c r="B593" s="12"/>
      <c r="C593" s="12"/>
      <c r="D593" s="125"/>
      <c r="E593" s="125"/>
      <c r="F593" s="12"/>
      <c r="G593" s="12"/>
      <c r="H593" s="12"/>
      <c r="I593" s="13"/>
      <c r="J593" s="13"/>
      <c r="K593" s="12"/>
      <c r="L593" s="12"/>
      <c r="M593" s="12"/>
      <c r="N593" s="12"/>
      <c r="O593" s="12"/>
      <c r="P593" s="12"/>
      <c r="Q593" s="12"/>
    </row>
    <row r="594" spans="1:17" x14ac:dyDescent="0.25">
      <c r="A594" s="11"/>
      <c r="B594" s="12"/>
      <c r="C594" s="12"/>
      <c r="D594" s="125"/>
      <c r="E594" s="125"/>
      <c r="F594" s="12"/>
      <c r="G594" s="12"/>
      <c r="H594" s="12"/>
      <c r="I594" s="13"/>
      <c r="J594" s="13"/>
      <c r="K594" s="12"/>
      <c r="L594" s="12"/>
      <c r="M594" s="12"/>
      <c r="N594" s="12"/>
      <c r="O594" s="12"/>
      <c r="P594" s="12"/>
      <c r="Q594" s="12"/>
    </row>
    <row r="595" spans="1:17" x14ac:dyDescent="0.25">
      <c r="A595" s="11"/>
      <c r="B595" s="12"/>
      <c r="C595" s="12"/>
      <c r="D595" s="125"/>
      <c r="E595" s="125"/>
      <c r="F595" s="12"/>
      <c r="G595" s="12"/>
      <c r="H595" s="12"/>
      <c r="I595" s="13"/>
      <c r="J595" s="13"/>
      <c r="K595" s="12"/>
      <c r="L595" s="12"/>
      <c r="M595" s="12"/>
      <c r="N595" s="12"/>
      <c r="O595" s="12"/>
      <c r="P595" s="12"/>
      <c r="Q595" s="12"/>
    </row>
    <row r="596" spans="1:17" x14ac:dyDescent="0.25">
      <c r="A596" s="11"/>
      <c r="B596" s="12"/>
      <c r="C596" s="12"/>
      <c r="D596" s="125"/>
      <c r="E596" s="125"/>
      <c r="F596" s="12"/>
      <c r="G596" s="12"/>
      <c r="H596" s="12"/>
      <c r="I596" s="13"/>
      <c r="J596" s="13"/>
      <c r="K596" s="12"/>
      <c r="L596" s="12"/>
      <c r="M596" s="12"/>
      <c r="N596" s="12"/>
      <c r="O596" s="12"/>
      <c r="P596" s="12"/>
      <c r="Q596" s="12"/>
    </row>
    <row r="597" spans="1:17" x14ac:dyDescent="0.25">
      <c r="A597" s="11"/>
      <c r="B597" s="12"/>
      <c r="C597" s="12"/>
      <c r="D597" s="125"/>
      <c r="E597" s="125"/>
      <c r="F597" s="12"/>
      <c r="G597" s="12"/>
      <c r="H597" s="12"/>
      <c r="I597" s="13"/>
      <c r="J597" s="13"/>
      <c r="K597" s="12"/>
      <c r="L597" s="12"/>
      <c r="M597" s="12"/>
      <c r="N597" s="12"/>
      <c r="O597" s="12"/>
      <c r="P597" s="12"/>
      <c r="Q597" s="12"/>
    </row>
    <row r="598" spans="1:17" x14ac:dyDescent="0.25">
      <c r="A598" s="11"/>
      <c r="B598" s="12"/>
      <c r="C598" s="12"/>
      <c r="D598" s="125"/>
      <c r="E598" s="125"/>
      <c r="F598" s="12"/>
      <c r="G598" s="12"/>
      <c r="H598" s="12"/>
      <c r="I598" s="13"/>
      <c r="J598" s="13"/>
      <c r="K598" s="12"/>
      <c r="L598" s="12"/>
      <c r="M598" s="12"/>
      <c r="N598" s="12"/>
      <c r="O598" s="12"/>
      <c r="P598" s="12"/>
      <c r="Q598" s="12"/>
    </row>
    <row r="599" spans="1:17" x14ac:dyDescent="0.25">
      <c r="A599" s="11"/>
      <c r="B599" s="12"/>
      <c r="C599" s="12"/>
      <c r="D599" s="125"/>
      <c r="E599" s="125"/>
      <c r="F599" s="12"/>
      <c r="G599" s="12"/>
      <c r="H599" s="12"/>
      <c r="I599" s="13"/>
      <c r="J599" s="13"/>
      <c r="K599" s="12"/>
      <c r="L599" s="12"/>
      <c r="M599" s="12"/>
      <c r="N599" s="12"/>
      <c r="O599" s="12"/>
      <c r="P599" s="12"/>
      <c r="Q599" s="12"/>
    </row>
    <row r="600" spans="1:17" x14ac:dyDescent="0.25">
      <c r="A600" s="11"/>
      <c r="B600" s="12"/>
      <c r="C600" s="12"/>
      <c r="D600" s="125"/>
      <c r="E600" s="125"/>
      <c r="F600" s="12"/>
      <c r="G600" s="12"/>
      <c r="H600" s="12"/>
      <c r="I600" s="13"/>
      <c r="J600" s="13"/>
      <c r="K600" s="12"/>
      <c r="L600" s="12"/>
      <c r="M600" s="12"/>
      <c r="N600" s="12"/>
      <c r="O600" s="12"/>
      <c r="P600" s="12"/>
      <c r="Q600" s="12"/>
    </row>
    <row r="601" spans="1:17" x14ac:dyDescent="0.25">
      <c r="A601" s="11"/>
      <c r="B601" s="12"/>
      <c r="C601" s="12"/>
      <c r="D601" s="125"/>
      <c r="E601" s="125"/>
      <c r="F601" s="12"/>
      <c r="G601" s="12"/>
      <c r="H601" s="12"/>
      <c r="I601" s="13"/>
      <c r="J601" s="13"/>
      <c r="K601" s="12"/>
      <c r="L601" s="12"/>
      <c r="M601" s="12"/>
      <c r="N601" s="12"/>
      <c r="O601" s="12"/>
      <c r="P601" s="12"/>
      <c r="Q601" s="12"/>
    </row>
    <row r="602" spans="1:17" x14ac:dyDescent="0.25">
      <c r="A602" s="11"/>
      <c r="B602" s="12"/>
      <c r="C602" s="12"/>
      <c r="D602" s="125"/>
      <c r="E602" s="125"/>
      <c r="F602" s="12"/>
      <c r="G602" s="12"/>
      <c r="H602" s="12"/>
      <c r="I602" s="13"/>
      <c r="J602" s="13"/>
      <c r="K602" s="12"/>
      <c r="L602" s="12"/>
      <c r="M602" s="12"/>
      <c r="N602" s="12"/>
      <c r="O602" s="12"/>
      <c r="P602" s="12"/>
      <c r="Q602" s="12"/>
    </row>
    <row r="603" spans="1:17" x14ac:dyDescent="0.25">
      <c r="A603" s="11"/>
      <c r="B603" s="12"/>
      <c r="C603" s="12"/>
      <c r="D603" s="125"/>
      <c r="E603" s="125"/>
      <c r="F603" s="12"/>
      <c r="G603" s="12"/>
      <c r="H603" s="12"/>
      <c r="I603" s="13"/>
      <c r="J603" s="13"/>
      <c r="K603" s="12"/>
      <c r="L603" s="12"/>
      <c r="M603" s="12"/>
      <c r="N603" s="12"/>
      <c r="O603" s="12"/>
      <c r="P603" s="12"/>
      <c r="Q603" s="12"/>
    </row>
    <row r="604" spans="1:17" x14ac:dyDescent="0.25">
      <c r="A604" s="11"/>
      <c r="B604" s="12"/>
      <c r="C604" s="12"/>
      <c r="D604" s="125"/>
      <c r="E604" s="125"/>
      <c r="F604" s="12"/>
      <c r="G604" s="12"/>
      <c r="H604" s="12"/>
      <c r="I604" s="13"/>
      <c r="J604" s="13"/>
      <c r="K604" s="12"/>
      <c r="L604" s="12"/>
      <c r="M604" s="12"/>
      <c r="N604" s="12"/>
      <c r="O604" s="12"/>
      <c r="P604" s="12"/>
      <c r="Q604" s="12"/>
    </row>
    <row r="605" spans="1:17" x14ac:dyDescent="0.25">
      <c r="A605" s="11"/>
      <c r="B605" s="12"/>
      <c r="C605" s="12"/>
      <c r="D605" s="125"/>
      <c r="E605" s="125"/>
      <c r="F605" s="12"/>
      <c r="G605" s="12"/>
      <c r="H605" s="12"/>
      <c r="I605" s="13"/>
      <c r="J605" s="13"/>
      <c r="K605" s="12"/>
      <c r="L605" s="12"/>
      <c r="M605" s="12"/>
      <c r="N605" s="12"/>
      <c r="O605" s="12"/>
      <c r="P605" s="12"/>
      <c r="Q605" s="12"/>
    </row>
    <row r="606" spans="1:17" x14ac:dyDescent="0.25">
      <c r="A606" s="11"/>
      <c r="B606" s="12"/>
      <c r="C606" s="12"/>
      <c r="D606" s="125"/>
      <c r="E606" s="125"/>
      <c r="F606" s="12"/>
      <c r="G606" s="12"/>
      <c r="H606" s="12"/>
      <c r="I606" s="13"/>
      <c r="J606" s="13"/>
      <c r="K606" s="12"/>
      <c r="L606" s="12"/>
      <c r="M606" s="12"/>
      <c r="N606" s="12"/>
      <c r="O606" s="12"/>
      <c r="P606" s="12"/>
      <c r="Q606" s="12"/>
    </row>
    <row r="607" spans="1:17" x14ac:dyDescent="0.25">
      <c r="A607" s="11"/>
      <c r="B607" s="12"/>
      <c r="C607" s="12"/>
      <c r="D607" s="125"/>
      <c r="E607" s="125"/>
      <c r="F607" s="12"/>
      <c r="G607" s="12"/>
      <c r="H607" s="12"/>
      <c r="I607" s="13"/>
      <c r="J607" s="13"/>
      <c r="K607" s="12"/>
      <c r="L607" s="12"/>
      <c r="M607" s="12"/>
      <c r="N607" s="12"/>
      <c r="O607" s="12"/>
      <c r="P607" s="12"/>
      <c r="Q607" s="12"/>
    </row>
    <row r="608" spans="1:17" x14ac:dyDescent="0.25">
      <c r="A608" s="11"/>
      <c r="B608" s="12"/>
      <c r="C608" s="12"/>
      <c r="D608" s="125"/>
      <c r="E608" s="125"/>
      <c r="F608" s="12"/>
      <c r="G608" s="12"/>
      <c r="H608" s="12"/>
      <c r="I608" s="13"/>
      <c r="J608" s="13"/>
      <c r="K608" s="12"/>
      <c r="L608" s="12"/>
      <c r="M608" s="12"/>
      <c r="N608" s="12"/>
      <c r="O608" s="12"/>
      <c r="P608" s="12"/>
      <c r="Q608" s="12"/>
    </row>
    <row r="609" spans="1:17" x14ac:dyDescent="0.25">
      <c r="A609" s="11"/>
      <c r="B609" s="12"/>
      <c r="C609" s="12"/>
      <c r="D609" s="125"/>
      <c r="E609" s="125"/>
      <c r="F609" s="12"/>
      <c r="G609" s="12"/>
      <c r="H609" s="12"/>
      <c r="I609" s="13"/>
      <c r="J609" s="13"/>
      <c r="K609" s="12"/>
      <c r="L609" s="12"/>
      <c r="M609" s="12"/>
      <c r="N609" s="12"/>
      <c r="O609" s="12"/>
      <c r="P609" s="12"/>
      <c r="Q609" s="12"/>
    </row>
    <row r="610" spans="1:17" x14ac:dyDescent="0.25">
      <c r="A610" s="11"/>
      <c r="B610" s="12"/>
      <c r="C610" s="12"/>
      <c r="D610" s="125"/>
      <c r="E610" s="125"/>
      <c r="F610" s="12"/>
      <c r="G610" s="12"/>
      <c r="H610" s="12"/>
      <c r="I610" s="13"/>
      <c r="J610" s="13"/>
      <c r="K610" s="12"/>
      <c r="L610" s="12"/>
      <c r="M610" s="12"/>
      <c r="N610" s="12"/>
      <c r="O610" s="12"/>
      <c r="P610" s="12"/>
      <c r="Q610" s="12"/>
    </row>
    <row r="611" spans="1:17" x14ac:dyDescent="0.25">
      <c r="A611" s="11"/>
      <c r="B611" s="12"/>
      <c r="C611" s="12"/>
      <c r="D611" s="125"/>
      <c r="E611" s="125"/>
      <c r="F611" s="12"/>
      <c r="G611" s="12"/>
      <c r="H611" s="12"/>
      <c r="I611" s="13"/>
      <c r="J611" s="13"/>
      <c r="K611" s="12"/>
      <c r="L611" s="12"/>
      <c r="M611" s="12"/>
      <c r="N611" s="12"/>
      <c r="O611" s="12"/>
      <c r="P611" s="12"/>
      <c r="Q611" s="12"/>
    </row>
    <row r="612" spans="1:17" x14ac:dyDescent="0.25">
      <c r="A612" s="11"/>
      <c r="B612" s="12"/>
      <c r="C612" s="12"/>
      <c r="D612" s="125"/>
      <c r="E612" s="125"/>
      <c r="F612" s="12"/>
      <c r="G612" s="12"/>
      <c r="H612" s="12"/>
      <c r="I612" s="13"/>
      <c r="J612" s="13"/>
      <c r="K612" s="12"/>
      <c r="L612" s="12"/>
      <c r="M612" s="12"/>
      <c r="N612" s="12"/>
      <c r="O612" s="12"/>
      <c r="P612" s="12"/>
      <c r="Q612" s="12"/>
    </row>
    <row r="613" spans="1:17" x14ac:dyDescent="0.25">
      <c r="A613" s="11"/>
      <c r="B613" s="12"/>
      <c r="C613" s="12"/>
      <c r="D613" s="125"/>
      <c r="E613" s="125"/>
      <c r="F613" s="12"/>
      <c r="G613" s="12"/>
      <c r="H613" s="12"/>
      <c r="I613" s="13"/>
      <c r="J613" s="13"/>
      <c r="K613" s="12"/>
      <c r="L613" s="12"/>
      <c r="M613" s="12"/>
      <c r="N613" s="12"/>
      <c r="O613" s="12"/>
      <c r="P613" s="12"/>
      <c r="Q613" s="12"/>
    </row>
    <row r="614" spans="1:17" x14ac:dyDescent="0.25">
      <c r="A614" s="11"/>
      <c r="B614" s="12"/>
      <c r="C614" s="12"/>
      <c r="D614" s="125"/>
      <c r="E614" s="125"/>
      <c r="F614" s="12"/>
      <c r="G614" s="12"/>
      <c r="H614" s="12"/>
      <c r="I614" s="13"/>
      <c r="J614" s="13"/>
      <c r="K614" s="12"/>
      <c r="L614" s="12"/>
      <c r="M614" s="12"/>
      <c r="N614" s="12"/>
      <c r="O614" s="12"/>
      <c r="P614" s="12"/>
      <c r="Q614" s="12"/>
    </row>
    <row r="615" spans="1:17" x14ac:dyDescent="0.25">
      <c r="A615" s="11"/>
      <c r="B615" s="12"/>
      <c r="C615" s="12"/>
      <c r="D615" s="125"/>
      <c r="E615" s="125"/>
      <c r="F615" s="12"/>
      <c r="G615" s="12"/>
      <c r="H615" s="12"/>
      <c r="I615" s="13"/>
      <c r="J615" s="13"/>
      <c r="K615" s="12"/>
      <c r="L615" s="12"/>
      <c r="M615" s="12"/>
      <c r="N615" s="12"/>
      <c r="O615" s="12"/>
      <c r="P615" s="12"/>
      <c r="Q615" s="12"/>
    </row>
    <row r="616" spans="1:17" x14ac:dyDescent="0.25">
      <c r="A616" s="11"/>
      <c r="B616" s="12"/>
      <c r="C616" s="12"/>
      <c r="D616" s="125"/>
      <c r="E616" s="125"/>
      <c r="F616" s="12"/>
      <c r="G616" s="12"/>
      <c r="H616" s="12"/>
      <c r="I616" s="13"/>
      <c r="J616" s="13"/>
      <c r="K616" s="12"/>
      <c r="L616" s="12"/>
      <c r="M616" s="12"/>
      <c r="N616" s="12"/>
      <c r="O616" s="12"/>
      <c r="P616" s="12"/>
      <c r="Q616" s="12"/>
    </row>
    <row r="617" spans="1:17" x14ac:dyDescent="0.25">
      <c r="A617" s="11"/>
      <c r="B617" s="12"/>
      <c r="C617" s="12"/>
      <c r="D617" s="125"/>
      <c r="E617" s="125"/>
      <c r="F617" s="12"/>
      <c r="G617" s="12"/>
      <c r="H617" s="12"/>
      <c r="I617" s="13"/>
      <c r="J617" s="13"/>
      <c r="K617" s="12"/>
      <c r="L617" s="12"/>
      <c r="M617" s="12"/>
      <c r="N617" s="12"/>
      <c r="O617" s="12"/>
      <c r="P617" s="12"/>
      <c r="Q617" s="12"/>
    </row>
    <row r="618" spans="1:17" x14ac:dyDescent="0.25">
      <c r="A618" s="11"/>
      <c r="B618" s="12"/>
      <c r="C618" s="12"/>
      <c r="D618" s="125"/>
      <c r="E618" s="125"/>
      <c r="F618" s="12"/>
      <c r="G618" s="12"/>
      <c r="H618" s="12"/>
      <c r="I618" s="13"/>
      <c r="J618" s="13"/>
      <c r="K618" s="12"/>
      <c r="L618" s="12"/>
      <c r="M618" s="12"/>
      <c r="N618" s="12"/>
      <c r="O618" s="12"/>
      <c r="P618" s="12"/>
      <c r="Q618" s="12"/>
    </row>
    <row r="619" spans="1:17" x14ac:dyDescent="0.25">
      <c r="A619" s="11"/>
      <c r="B619" s="12"/>
      <c r="C619" s="12"/>
      <c r="D619" s="125"/>
      <c r="E619" s="125"/>
      <c r="F619" s="12"/>
      <c r="G619" s="12"/>
      <c r="H619" s="12"/>
      <c r="I619" s="13"/>
      <c r="J619" s="13"/>
      <c r="K619" s="12"/>
      <c r="L619" s="12"/>
      <c r="M619" s="12"/>
      <c r="N619" s="12"/>
      <c r="O619" s="12"/>
      <c r="P619" s="12"/>
      <c r="Q619" s="12"/>
    </row>
    <row r="620" spans="1:17" x14ac:dyDescent="0.25">
      <c r="A620" s="11"/>
      <c r="B620" s="12"/>
      <c r="C620" s="12"/>
      <c r="D620" s="125"/>
      <c r="E620" s="125"/>
      <c r="F620" s="12"/>
      <c r="G620" s="12"/>
      <c r="H620" s="12"/>
      <c r="I620" s="13"/>
      <c r="J620" s="13"/>
      <c r="K620" s="12"/>
      <c r="L620" s="12"/>
      <c r="M620" s="12"/>
      <c r="N620" s="12"/>
      <c r="O620" s="12"/>
      <c r="P620" s="12"/>
      <c r="Q620" s="12"/>
    </row>
    <row r="621" spans="1:17" x14ac:dyDescent="0.25">
      <c r="A621" s="11"/>
      <c r="B621" s="12"/>
      <c r="C621" s="12"/>
      <c r="D621" s="125"/>
      <c r="E621" s="125"/>
      <c r="F621" s="12"/>
      <c r="G621" s="12"/>
      <c r="H621" s="12"/>
      <c r="I621" s="13"/>
      <c r="J621" s="13"/>
      <c r="K621" s="12"/>
      <c r="L621" s="12"/>
      <c r="M621" s="12"/>
      <c r="N621" s="12"/>
      <c r="O621" s="12"/>
      <c r="P621" s="12"/>
      <c r="Q621" s="12"/>
    </row>
    <row r="622" spans="1:17" x14ac:dyDescent="0.25">
      <c r="A622" s="11"/>
      <c r="B622" s="12"/>
      <c r="C622" s="12"/>
      <c r="D622" s="125"/>
      <c r="E622" s="125"/>
      <c r="F622" s="12"/>
      <c r="G622" s="12"/>
      <c r="H622" s="12"/>
      <c r="I622" s="13"/>
      <c r="J622" s="13"/>
      <c r="K622" s="12"/>
      <c r="L622" s="12"/>
      <c r="M622" s="12"/>
      <c r="N622" s="12"/>
      <c r="O622" s="12"/>
      <c r="P622" s="12"/>
      <c r="Q622" s="12"/>
    </row>
    <row r="623" spans="1:17" x14ac:dyDescent="0.25">
      <c r="A623" s="11"/>
      <c r="B623" s="12"/>
      <c r="C623" s="12"/>
      <c r="D623" s="125"/>
      <c r="E623" s="125"/>
      <c r="F623" s="12"/>
      <c r="G623" s="12"/>
      <c r="H623" s="12"/>
      <c r="I623" s="13"/>
      <c r="J623" s="13"/>
      <c r="K623" s="12"/>
      <c r="L623" s="12"/>
      <c r="M623" s="12"/>
      <c r="N623" s="12"/>
      <c r="O623" s="12"/>
      <c r="P623" s="12"/>
      <c r="Q623" s="12"/>
    </row>
    <row r="624" spans="1:17" x14ac:dyDescent="0.25">
      <c r="A624" s="11"/>
      <c r="B624" s="12"/>
      <c r="C624" s="12"/>
      <c r="D624" s="125"/>
      <c r="E624" s="125"/>
      <c r="F624" s="12"/>
      <c r="G624" s="12"/>
      <c r="H624" s="12"/>
      <c r="I624" s="13"/>
      <c r="J624" s="13"/>
      <c r="K624" s="12"/>
      <c r="L624" s="12"/>
      <c r="M624" s="12"/>
      <c r="N624" s="12"/>
      <c r="O624" s="12"/>
      <c r="P624" s="12"/>
      <c r="Q624" s="12"/>
    </row>
    <row r="625" spans="1:17" x14ac:dyDescent="0.25">
      <c r="A625" s="11"/>
      <c r="B625" s="12"/>
      <c r="C625" s="12"/>
      <c r="D625" s="125"/>
      <c r="E625" s="125"/>
      <c r="F625" s="12"/>
      <c r="G625" s="12"/>
      <c r="H625" s="12"/>
      <c r="I625" s="13"/>
      <c r="J625" s="13"/>
      <c r="K625" s="12"/>
      <c r="L625" s="12"/>
      <c r="M625" s="12"/>
      <c r="N625" s="12"/>
      <c r="O625" s="12"/>
      <c r="P625" s="12"/>
      <c r="Q625" s="12"/>
    </row>
    <row r="626" spans="1:17" x14ac:dyDescent="0.25">
      <c r="A626" s="11"/>
      <c r="B626" s="12"/>
      <c r="C626" s="12"/>
      <c r="D626" s="125"/>
      <c r="E626" s="125"/>
      <c r="F626" s="12"/>
      <c r="G626" s="12"/>
      <c r="H626" s="12"/>
      <c r="I626" s="13"/>
      <c r="J626" s="13"/>
      <c r="K626" s="12"/>
      <c r="L626" s="12"/>
      <c r="M626" s="12"/>
      <c r="N626" s="12"/>
      <c r="O626" s="12"/>
      <c r="P626" s="12"/>
      <c r="Q626" s="12"/>
    </row>
    <row r="627" spans="1:17" x14ac:dyDescent="0.25">
      <c r="A627" s="11"/>
      <c r="B627" s="12"/>
      <c r="C627" s="12"/>
      <c r="D627" s="125"/>
      <c r="E627" s="125"/>
      <c r="F627" s="12"/>
      <c r="G627" s="12"/>
      <c r="H627" s="12"/>
      <c r="I627" s="13"/>
      <c r="J627" s="13"/>
      <c r="K627" s="12"/>
      <c r="L627" s="12"/>
      <c r="M627" s="12"/>
      <c r="N627" s="12"/>
      <c r="O627" s="12"/>
      <c r="P627" s="12"/>
      <c r="Q627" s="12"/>
    </row>
    <row r="628" spans="1:17" x14ac:dyDescent="0.25">
      <c r="A628" s="11"/>
      <c r="B628" s="12"/>
      <c r="C628" s="12"/>
      <c r="D628" s="125"/>
      <c r="E628" s="125"/>
      <c r="F628" s="12"/>
      <c r="G628" s="12"/>
      <c r="H628" s="12"/>
      <c r="I628" s="13"/>
      <c r="J628" s="13"/>
      <c r="K628" s="12"/>
      <c r="L628" s="12"/>
      <c r="M628" s="12"/>
      <c r="N628" s="12"/>
      <c r="O628" s="12"/>
      <c r="P628" s="12"/>
      <c r="Q628" s="12"/>
    </row>
    <row r="629" spans="1:17" x14ac:dyDescent="0.25">
      <c r="A629" s="11"/>
      <c r="B629" s="12"/>
      <c r="C629" s="12"/>
      <c r="D629" s="125"/>
      <c r="E629" s="125"/>
      <c r="F629" s="12"/>
      <c r="G629" s="12"/>
      <c r="H629" s="12"/>
      <c r="I629" s="13"/>
      <c r="J629" s="13"/>
      <c r="K629" s="12"/>
      <c r="L629" s="12"/>
      <c r="M629" s="12"/>
      <c r="N629" s="12"/>
      <c r="O629" s="12"/>
      <c r="P629" s="12"/>
      <c r="Q629" s="12"/>
    </row>
    <row r="630" spans="1:17" x14ac:dyDescent="0.25">
      <c r="A630" s="11"/>
      <c r="B630" s="12"/>
      <c r="C630" s="12"/>
      <c r="D630" s="125"/>
      <c r="E630" s="125"/>
      <c r="F630" s="12"/>
      <c r="G630" s="12"/>
      <c r="H630" s="12"/>
      <c r="I630" s="13"/>
      <c r="J630" s="13"/>
      <c r="K630" s="12"/>
      <c r="L630" s="12"/>
      <c r="M630" s="12"/>
      <c r="N630" s="12"/>
      <c r="O630" s="12"/>
      <c r="P630" s="12"/>
      <c r="Q630" s="12"/>
    </row>
    <row r="631" spans="1:17" x14ac:dyDescent="0.25">
      <c r="A631" s="11"/>
      <c r="B631" s="12"/>
      <c r="C631" s="12"/>
      <c r="D631" s="125"/>
      <c r="E631" s="125"/>
      <c r="F631" s="12"/>
      <c r="G631" s="12"/>
      <c r="H631" s="12"/>
      <c r="I631" s="13"/>
      <c r="J631" s="13"/>
      <c r="K631" s="12"/>
      <c r="L631" s="12"/>
      <c r="M631" s="12"/>
      <c r="N631" s="12"/>
      <c r="O631" s="12"/>
      <c r="P631" s="12"/>
      <c r="Q631" s="12"/>
    </row>
    <row r="632" spans="1:17" x14ac:dyDescent="0.25">
      <c r="A632" s="11"/>
      <c r="B632" s="12"/>
      <c r="C632" s="12"/>
      <c r="D632" s="125"/>
      <c r="E632" s="125"/>
      <c r="F632" s="12"/>
      <c r="G632" s="12"/>
      <c r="H632" s="12"/>
      <c r="I632" s="13"/>
      <c r="J632" s="13"/>
      <c r="K632" s="12"/>
      <c r="L632" s="12"/>
      <c r="M632" s="12"/>
      <c r="N632" s="12"/>
      <c r="O632" s="12"/>
      <c r="P632" s="12"/>
      <c r="Q632" s="12"/>
    </row>
    <row r="633" spans="1:17" x14ac:dyDescent="0.25">
      <c r="A633" s="11"/>
      <c r="B633" s="12"/>
      <c r="C633" s="12"/>
      <c r="D633" s="125"/>
      <c r="E633" s="125"/>
      <c r="F633" s="12"/>
      <c r="G633" s="12"/>
      <c r="H633" s="12"/>
      <c r="I633" s="13"/>
      <c r="J633" s="13"/>
      <c r="K633" s="12"/>
      <c r="L633" s="12"/>
      <c r="M633" s="12"/>
      <c r="N633" s="12"/>
      <c r="O633" s="12"/>
      <c r="P633" s="12"/>
      <c r="Q633" s="12"/>
    </row>
    <row r="634" spans="1:17" x14ac:dyDescent="0.25">
      <c r="A634" s="11"/>
      <c r="B634" s="12"/>
      <c r="C634" s="12"/>
      <c r="D634" s="125"/>
      <c r="E634" s="125"/>
      <c r="F634" s="12"/>
      <c r="G634" s="12"/>
      <c r="H634" s="12"/>
      <c r="I634" s="13"/>
      <c r="J634" s="13"/>
      <c r="K634" s="12"/>
      <c r="L634" s="12"/>
      <c r="M634" s="12"/>
      <c r="N634" s="12"/>
      <c r="O634" s="12"/>
      <c r="P634" s="12"/>
      <c r="Q634" s="12"/>
    </row>
    <row r="635" spans="1:17" x14ac:dyDescent="0.25">
      <c r="A635" s="11"/>
      <c r="B635" s="12"/>
      <c r="C635" s="12"/>
      <c r="D635" s="125"/>
      <c r="E635" s="125"/>
      <c r="F635" s="12"/>
      <c r="G635" s="12"/>
      <c r="H635" s="12"/>
      <c r="I635" s="13"/>
      <c r="J635" s="13"/>
      <c r="K635" s="12"/>
      <c r="L635" s="12"/>
      <c r="M635" s="12"/>
      <c r="N635" s="12"/>
      <c r="O635" s="12"/>
      <c r="P635" s="12"/>
      <c r="Q635" s="12"/>
    </row>
    <row r="636" spans="1:17" x14ac:dyDescent="0.25">
      <c r="A636" s="11"/>
      <c r="B636" s="12"/>
      <c r="C636" s="12"/>
      <c r="D636" s="125"/>
      <c r="E636" s="125"/>
      <c r="F636" s="12"/>
      <c r="G636" s="12"/>
      <c r="H636" s="12"/>
      <c r="I636" s="13"/>
      <c r="J636" s="13"/>
      <c r="K636" s="12"/>
      <c r="L636" s="12"/>
      <c r="M636" s="12"/>
      <c r="N636" s="12"/>
      <c r="O636" s="12"/>
      <c r="P636" s="12"/>
      <c r="Q636" s="12"/>
    </row>
    <row r="637" spans="1:17" x14ac:dyDescent="0.25">
      <c r="A637" s="11"/>
      <c r="B637" s="12"/>
      <c r="C637" s="12"/>
      <c r="D637" s="125"/>
      <c r="E637" s="125"/>
      <c r="F637" s="12"/>
      <c r="G637" s="12"/>
      <c r="H637" s="12"/>
      <c r="I637" s="13"/>
      <c r="J637" s="13"/>
      <c r="K637" s="12"/>
      <c r="L637" s="12"/>
      <c r="M637" s="12"/>
      <c r="N637" s="12"/>
      <c r="O637" s="12"/>
      <c r="P637" s="12"/>
      <c r="Q637" s="12"/>
    </row>
    <row r="638" spans="1:17" x14ac:dyDescent="0.25">
      <c r="A638" s="11"/>
      <c r="B638" s="12"/>
      <c r="C638" s="12"/>
      <c r="D638" s="125"/>
      <c r="E638" s="125"/>
      <c r="F638" s="12"/>
      <c r="G638" s="12"/>
      <c r="H638" s="12"/>
      <c r="I638" s="13"/>
      <c r="J638" s="13"/>
      <c r="K638" s="12"/>
      <c r="L638" s="12"/>
      <c r="M638" s="12"/>
      <c r="N638" s="12"/>
      <c r="O638" s="12"/>
      <c r="P638" s="12"/>
      <c r="Q638" s="12"/>
    </row>
    <row r="639" spans="1:17" x14ac:dyDescent="0.25">
      <c r="A639" s="11"/>
      <c r="B639" s="12"/>
      <c r="C639" s="12"/>
      <c r="D639" s="125"/>
      <c r="E639" s="125"/>
      <c r="F639" s="12"/>
      <c r="G639" s="12"/>
      <c r="H639" s="12"/>
      <c r="I639" s="13"/>
      <c r="J639" s="13"/>
      <c r="K639" s="12"/>
      <c r="L639" s="12"/>
      <c r="M639" s="12"/>
      <c r="N639" s="12"/>
      <c r="O639" s="12"/>
      <c r="P639" s="12"/>
      <c r="Q639" s="12"/>
    </row>
    <row r="640" spans="1:17" x14ac:dyDescent="0.25">
      <c r="A640" s="11"/>
      <c r="B640" s="12"/>
      <c r="C640" s="12"/>
      <c r="D640" s="125"/>
      <c r="E640" s="125"/>
      <c r="F640" s="12"/>
      <c r="G640" s="12"/>
      <c r="H640" s="12"/>
      <c r="I640" s="13"/>
      <c r="J640" s="13"/>
      <c r="K640" s="12"/>
      <c r="L640" s="12"/>
      <c r="M640" s="12"/>
      <c r="N640" s="12"/>
      <c r="O640" s="12"/>
      <c r="P640" s="12"/>
      <c r="Q640" s="12"/>
    </row>
    <row r="641" spans="1:17" x14ac:dyDescent="0.25">
      <c r="A641" s="11"/>
      <c r="B641" s="12"/>
      <c r="C641" s="12"/>
      <c r="D641" s="125"/>
      <c r="E641" s="125"/>
      <c r="F641" s="12"/>
      <c r="G641" s="12"/>
      <c r="H641" s="12"/>
      <c r="I641" s="13"/>
      <c r="J641" s="13"/>
      <c r="K641" s="12"/>
      <c r="L641" s="12"/>
      <c r="M641" s="12"/>
      <c r="N641" s="12"/>
      <c r="O641" s="12"/>
      <c r="P641" s="12"/>
      <c r="Q641" s="12"/>
    </row>
    <row r="642" spans="1:17" x14ac:dyDescent="0.25">
      <c r="A642" s="11"/>
      <c r="B642" s="12"/>
      <c r="C642" s="12"/>
      <c r="D642" s="125"/>
      <c r="E642" s="125"/>
      <c r="F642" s="12"/>
      <c r="G642" s="12"/>
      <c r="H642" s="12"/>
      <c r="I642" s="13"/>
      <c r="J642" s="13"/>
      <c r="K642" s="12"/>
      <c r="L642" s="12"/>
      <c r="M642" s="12"/>
      <c r="N642" s="12"/>
      <c r="O642" s="12"/>
      <c r="P642" s="12"/>
      <c r="Q642" s="12"/>
    </row>
    <row r="643" spans="1:17" x14ac:dyDescent="0.25">
      <c r="A643" s="11"/>
      <c r="B643" s="12"/>
      <c r="C643" s="12"/>
      <c r="D643" s="125"/>
      <c r="E643" s="125"/>
      <c r="F643" s="12"/>
      <c r="G643" s="12"/>
      <c r="H643" s="12"/>
      <c r="I643" s="13"/>
      <c r="J643" s="13"/>
      <c r="K643" s="12"/>
      <c r="L643" s="12"/>
      <c r="M643" s="12"/>
      <c r="N643" s="12"/>
      <c r="O643" s="12"/>
      <c r="P643" s="12"/>
      <c r="Q643" s="12"/>
    </row>
    <row r="644" spans="1:17" x14ac:dyDescent="0.25">
      <c r="A644" s="11"/>
      <c r="B644" s="12"/>
      <c r="C644" s="12"/>
      <c r="D644" s="125"/>
      <c r="E644" s="125"/>
      <c r="F644" s="12"/>
      <c r="G644" s="12"/>
      <c r="H644" s="12"/>
      <c r="I644" s="13"/>
      <c r="J644" s="13"/>
      <c r="K644" s="12"/>
      <c r="L644" s="12"/>
      <c r="M644" s="12"/>
      <c r="N644" s="12"/>
      <c r="O644" s="12"/>
      <c r="P644" s="12"/>
      <c r="Q644" s="12"/>
    </row>
    <row r="645" spans="1:17" x14ac:dyDescent="0.25">
      <c r="A645" s="11"/>
      <c r="B645" s="12"/>
      <c r="C645" s="12"/>
      <c r="D645" s="125"/>
      <c r="E645" s="125"/>
      <c r="F645" s="12"/>
      <c r="G645" s="12"/>
      <c r="H645" s="12"/>
      <c r="I645" s="13"/>
      <c r="J645" s="13"/>
      <c r="K645" s="12"/>
      <c r="L645" s="12"/>
      <c r="M645" s="12"/>
      <c r="N645" s="12"/>
      <c r="O645" s="12"/>
      <c r="P645" s="12"/>
      <c r="Q645" s="12"/>
    </row>
    <row r="646" spans="1:17" x14ac:dyDescent="0.25">
      <c r="A646" s="11"/>
      <c r="B646" s="12"/>
      <c r="C646" s="12"/>
      <c r="D646" s="125"/>
      <c r="E646" s="125"/>
      <c r="F646" s="12"/>
      <c r="G646" s="12"/>
      <c r="H646" s="12"/>
      <c r="I646" s="13"/>
      <c r="J646" s="13"/>
      <c r="K646" s="12"/>
      <c r="L646" s="12"/>
      <c r="M646" s="12"/>
      <c r="N646" s="12"/>
      <c r="O646" s="12"/>
      <c r="P646" s="12"/>
      <c r="Q646" s="12"/>
    </row>
    <row r="647" spans="1:17" x14ac:dyDescent="0.25">
      <c r="A647" s="11"/>
      <c r="B647" s="12"/>
      <c r="C647" s="12"/>
      <c r="D647" s="125"/>
      <c r="E647" s="125"/>
      <c r="F647" s="12"/>
      <c r="G647" s="12"/>
      <c r="H647" s="12"/>
      <c r="I647" s="13"/>
      <c r="J647" s="13"/>
      <c r="K647" s="12"/>
      <c r="L647" s="12"/>
      <c r="M647" s="12"/>
      <c r="N647" s="12"/>
      <c r="O647" s="12"/>
      <c r="P647" s="12"/>
      <c r="Q647" s="12"/>
    </row>
    <row r="648" spans="1:17" x14ac:dyDescent="0.25">
      <c r="A648" s="11"/>
      <c r="B648" s="12"/>
      <c r="C648" s="12"/>
      <c r="D648" s="125"/>
      <c r="E648" s="125"/>
      <c r="F648" s="12"/>
      <c r="G648" s="12"/>
      <c r="H648" s="12"/>
      <c r="I648" s="13"/>
      <c r="J648" s="13"/>
      <c r="K648" s="12"/>
      <c r="L648" s="12"/>
      <c r="M648" s="12"/>
      <c r="N648" s="12"/>
      <c r="O648" s="12"/>
      <c r="P648" s="12"/>
      <c r="Q648" s="12"/>
    </row>
    <row r="649" spans="1:17" x14ac:dyDescent="0.25">
      <c r="A649" s="11"/>
      <c r="B649" s="12"/>
      <c r="C649" s="12"/>
      <c r="D649" s="125"/>
      <c r="E649" s="125"/>
      <c r="F649" s="12"/>
      <c r="G649" s="12"/>
      <c r="H649" s="12"/>
      <c r="I649" s="13"/>
      <c r="J649" s="13"/>
      <c r="K649" s="12"/>
      <c r="L649" s="12"/>
      <c r="M649" s="12"/>
      <c r="N649" s="12"/>
      <c r="O649" s="12"/>
      <c r="P649" s="12"/>
      <c r="Q649" s="12"/>
    </row>
    <row r="650" spans="1:17" x14ac:dyDescent="0.25">
      <c r="A650" s="11"/>
      <c r="B650" s="12"/>
      <c r="C650" s="12"/>
      <c r="D650" s="125"/>
      <c r="E650" s="125"/>
      <c r="F650" s="12"/>
      <c r="G650" s="12"/>
      <c r="H650" s="12"/>
      <c r="I650" s="13"/>
      <c r="J650" s="13"/>
      <c r="K650" s="12"/>
      <c r="L650" s="12"/>
      <c r="M650" s="12"/>
      <c r="N650" s="12"/>
      <c r="O650" s="12"/>
      <c r="P650" s="12"/>
      <c r="Q650" s="12"/>
    </row>
    <row r="651" spans="1:17" x14ac:dyDescent="0.25">
      <c r="A651" s="11"/>
      <c r="B651" s="12"/>
      <c r="C651" s="12"/>
      <c r="D651" s="125"/>
      <c r="E651" s="125"/>
      <c r="F651" s="12"/>
      <c r="G651" s="12"/>
      <c r="H651" s="12"/>
      <c r="I651" s="13"/>
      <c r="J651" s="13"/>
      <c r="K651" s="12"/>
      <c r="L651" s="12"/>
      <c r="M651" s="12"/>
      <c r="N651" s="12"/>
      <c r="O651" s="12"/>
      <c r="P651" s="12"/>
      <c r="Q651" s="12"/>
    </row>
    <row r="652" spans="1:17" x14ac:dyDescent="0.25">
      <c r="A652" s="11"/>
      <c r="B652" s="12"/>
      <c r="C652" s="12"/>
      <c r="D652" s="125"/>
      <c r="E652" s="125"/>
      <c r="F652" s="12"/>
      <c r="G652" s="12"/>
      <c r="H652" s="12"/>
      <c r="I652" s="13"/>
      <c r="J652" s="13"/>
      <c r="K652" s="12"/>
      <c r="L652" s="12"/>
      <c r="M652" s="12"/>
      <c r="N652" s="12"/>
      <c r="O652" s="12"/>
      <c r="P652" s="12"/>
      <c r="Q652" s="12"/>
    </row>
    <row r="653" spans="1:17" x14ac:dyDescent="0.25">
      <c r="A653" s="11"/>
      <c r="B653" s="12"/>
      <c r="C653" s="12"/>
      <c r="D653" s="125"/>
      <c r="E653" s="125"/>
      <c r="F653" s="12"/>
      <c r="G653" s="12"/>
      <c r="H653" s="12"/>
      <c r="I653" s="13"/>
      <c r="J653" s="13"/>
      <c r="K653" s="12"/>
      <c r="L653" s="12"/>
      <c r="M653" s="12"/>
      <c r="N653" s="12"/>
      <c r="O653" s="12"/>
      <c r="P653" s="12"/>
      <c r="Q653" s="12"/>
    </row>
    <row r="654" spans="1:17" x14ac:dyDescent="0.25">
      <c r="A654" s="11"/>
      <c r="B654" s="12"/>
      <c r="C654" s="12"/>
      <c r="D654" s="125"/>
      <c r="E654" s="125"/>
      <c r="F654" s="12"/>
      <c r="G654" s="12"/>
      <c r="H654" s="12"/>
      <c r="I654" s="13"/>
      <c r="J654" s="13"/>
      <c r="K654" s="12"/>
      <c r="L654" s="12"/>
      <c r="M654" s="12"/>
      <c r="N654" s="12"/>
      <c r="O654" s="12"/>
      <c r="P654" s="12"/>
      <c r="Q654" s="12"/>
    </row>
    <row r="655" spans="1:17" x14ac:dyDescent="0.25">
      <c r="A655" s="11"/>
      <c r="B655" s="12"/>
      <c r="C655" s="12"/>
      <c r="D655" s="125"/>
      <c r="E655" s="125"/>
      <c r="F655" s="12"/>
      <c r="G655" s="12"/>
      <c r="H655" s="12"/>
      <c r="I655" s="13"/>
      <c r="J655" s="13"/>
      <c r="K655" s="12"/>
      <c r="L655" s="12"/>
      <c r="M655" s="12"/>
      <c r="N655" s="12"/>
      <c r="O655" s="12"/>
      <c r="P655" s="12"/>
      <c r="Q655" s="12"/>
    </row>
    <row r="656" spans="1:17" x14ac:dyDescent="0.25">
      <c r="A656" s="11"/>
      <c r="B656" s="12"/>
      <c r="C656" s="12"/>
      <c r="D656" s="125"/>
      <c r="E656" s="125"/>
      <c r="F656" s="12"/>
      <c r="G656" s="12"/>
      <c r="H656" s="12"/>
      <c r="I656" s="13"/>
      <c r="J656" s="13"/>
      <c r="K656" s="12"/>
      <c r="L656" s="12"/>
      <c r="M656" s="12"/>
      <c r="N656" s="12"/>
      <c r="O656" s="12"/>
      <c r="P656" s="12"/>
      <c r="Q656" s="12"/>
    </row>
    <row r="657" spans="1:17" x14ac:dyDescent="0.25">
      <c r="A657" s="11"/>
      <c r="B657" s="12"/>
      <c r="C657" s="12"/>
      <c r="D657" s="125"/>
      <c r="E657" s="125"/>
      <c r="F657" s="12"/>
      <c r="G657" s="12"/>
      <c r="H657" s="12"/>
      <c r="I657" s="13"/>
      <c r="J657" s="13"/>
      <c r="K657" s="12"/>
      <c r="L657" s="12"/>
      <c r="M657" s="12"/>
      <c r="N657" s="12"/>
      <c r="O657" s="12"/>
      <c r="P657" s="12"/>
      <c r="Q657" s="12"/>
    </row>
    <row r="658" spans="1:17" x14ac:dyDescent="0.25">
      <c r="A658" s="11"/>
      <c r="B658" s="12"/>
      <c r="C658" s="12"/>
      <c r="D658" s="125"/>
      <c r="E658" s="125"/>
      <c r="F658" s="12"/>
      <c r="G658" s="12"/>
      <c r="H658" s="12"/>
      <c r="I658" s="13"/>
      <c r="J658" s="13"/>
      <c r="K658" s="12"/>
      <c r="L658" s="12"/>
      <c r="M658" s="12"/>
      <c r="N658" s="12"/>
      <c r="O658" s="12"/>
      <c r="P658" s="12"/>
      <c r="Q658" s="12"/>
    </row>
    <row r="659" spans="1:17" x14ac:dyDescent="0.25">
      <c r="A659" s="11"/>
      <c r="B659" s="12"/>
      <c r="C659" s="12"/>
      <c r="D659" s="125"/>
      <c r="E659" s="125"/>
      <c r="F659" s="12"/>
      <c r="G659" s="12"/>
      <c r="H659" s="12"/>
      <c r="I659" s="13"/>
      <c r="J659" s="13"/>
      <c r="K659" s="12"/>
      <c r="L659" s="12"/>
      <c r="M659" s="12"/>
      <c r="N659" s="12"/>
      <c r="O659" s="12"/>
      <c r="P659" s="12"/>
      <c r="Q659" s="12"/>
    </row>
    <row r="660" spans="1:17" x14ac:dyDescent="0.25">
      <c r="A660" s="11"/>
      <c r="B660" s="12"/>
      <c r="C660" s="12"/>
      <c r="D660" s="125"/>
      <c r="E660" s="125"/>
      <c r="F660" s="12"/>
      <c r="G660" s="12"/>
      <c r="H660" s="12"/>
      <c r="I660" s="13"/>
      <c r="J660" s="13"/>
      <c r="K660" s="12"/>
      <c r="L660" s="12"/>
      <c r="M660" s="12"/>
      <c r="N660" s="12"/>
      <c r="O660" s="12"/>
      <c r="P660" s="12"/>
      <c r="Q660" s="12"/>
    </row>
    <row r="661" spans="1:17" x14ac:dyDescent="0.25">
      <c r="A661" s="11"/>
      <c r="B661" s="12"/>
      <c r="C661" s="12"/>
      <c r="D661" s="125"/>
      <c r="E661" s="125"/>
      <c r="F661" s="12"/>
      <c r="G661" s="12"/>
      <c r="H661" s="12"/>
      <c r="I661" s="13"/>
      <c r="J661" s="13"/>
      <c r="K661" s="12"/>
      <c r="L661" s="12"/>
      <c r="M661" s="12"/>
      <c r="N661" s="12"/>
      <c r="O661" s="12"/>
      <c r="P661" s="12"/>
      <c r="Q661" s="12"/>
    </row>
    <row r="662" spans="1:17" x14ac:dyDescent="0.25">
      <c r="A662" s="11"/>
      <c r="B662" s="12"/>
      <c r="C662" s="12"/>
      <c r="D662" s="125"/>
      <c r="E662" s="125"/>
      <c r="F662" s="12"/>
      <c r="G662" s="12"/>
      <c r="H662" s="12"/>
      <c r="I662" s="13"/>
      <c r="J662" s="13"/>
      <c r="K662" s="12"/>
      <c r="L662" s="12"/>
      <c r="M662" s="12"/>
      <c r="N662" s="12"/>
      <c r="O662" s="12"/>
      <c r="P662" s="12"/>
      <c r="Q662" s="12"/>
    </row>
    <row r="663" spans="1:17" x14ac:dyDescent="0.25">
      <c r="A663" s="11"/>
      <c r="B663" s="12"/>
      <c r="C663" s="12"/>
      <c r="D663" s="125"/>
      <c r="E663" s="125"/>
      <c r="F663" s="12"/>
      <c r="G663" s="12"/>
      <c r="H663" s="12"/>
      <c r="I663" s="13"/>
      <c r="J663" s="13"/>
      <c r="K663" s="12"/>
      <c r="L663" s="12"/>
      <c r="M663" s="12"/>
      <c r="N663" s="12"/>
      <c r="O663" s="12"/>
      <c r="P663" s="12"/>
      <c r="Q663" s="12"/>
    </row>
    <row r="664" spans="1:17" x14ac:dyDescent="0.25">
      <c r="A664" s="11"/>
      <c r="B664" s="12"/>
      <c r="C664" s="12"/>
      <c r="D664" s="125"/>
      <c r="E664" s="125"/>
      <c r="F664" s="12"/>
      <c r="G664" s="12"/>
      <c r="H664" s="12"/>
      <c r="I664" s="13"/>
      <c r="J664" s="13"/>
      <c r="K664" s="12"/>
      <c r="L664" s="12"/>
      <c r="M664" s="12"/>
      <c r="N664" s="12"/>
      <c r="O664" s="12"/>
      <c r="P664" s="12"/>
      <c r="Q664" s="12"/>
    </row>
    <row r="665" spans="1:17" x14ac:dyDescent="0.25">
      <c r="A665" s="11"/>
      <c r="B665" s="12"/>
      <c r="C665" s="12"/>
      <c r="D665" s="125"/>
      <c r="E665" s="125"/>
      <c r="F665" s="12"/>
      <c r="G665" s="12"/>
      <c r="H665" s="12"/>
      <c r="I665" s="13"/>
      <c r="J665" s="13"/>
      <c r="K665" s="12"/>
      <c r="L665" s="12"/>
      <c r="M665" s="12"/>
      <c r="N665" s="12"/>
      <c r="O665" s="12"/>
      <c r="P665" s="12"/>
      <c r="Q665" s="12"/>
    </row>
    <row r="666" spans="1:17" x14ac:dyDescent="0.25">
      <c r="A666" s="11"/>
      <c r="B666" s="12"/>
      <c r="C666" s="12"/>
      <c r="D666" s="125"/>
      <c r="E666" s="125"/>
      <c r="F666" s="12"/>
      <c r="G666" s="12"/>
      <c r="H666" s="12"/>
      <c r="I666" s="13"/>
      <c r="J666" s="13"/>
      <c r="K666" s="12"/>
      <c r="L666" s="12"/>
      <c r="M666" s="12"/>
      <c r="N666" s="12"/>
      <c r="O666" s="12"/>
      <c r="P666" s="12"/>
      <c r="Q666" s="12"/>
    </row>
    <row r="667" spans="1:17" x14ac:dyDescent="0.25">
      <c r="A667" s="11"/>
      <c r="B667" s="12"/>
      <c r="C667" s="12"/>
      <c r="D667" s="125"/>
      <c r="E667" s="125"/>
      <c r="F667" s="12"/>
      <c r="G667" s="12"/>
      <c r="H667" s="12"/>
      <c r="I667" s="13"/>
      <c r="J667" s="13"/>
      <c r="K667" s="12"/>
      <c r="L667" s="12"/>
      <c r="M667" s="12"/>
      <c r="N667" s="12"/>
      <c r="O667" s="12"/>
      <c r="P667" s="12"/>
      <c r="Q667" s="12"/>
    </row>
    <row r="668" spans="1:17" x14ac:dyDescent="0.25">
      <c r="A668" s="11"/>
      <c r="B668" s="12"/>
      <c r="C668" s="12"/>
      <c r="D668" s="125"/>
      <c r="E668" s="125"/>
      <c r="F668" s="12"/>
      <c r="G668" s="12"/>
      <c r="H668" s="12"/>
      <c r="I668" s="13"/>
      <c r="J668" s="13"/>
      <c r="K668" s="12"/>
      <c r="L668" s="12"/>
      <c r="M668" s="12"/>
      <c r="N668" s="12"/>
      <c r="O668" s="12"/>
      <c r="P668" s="12"/>
      <c r="Q668" s="12"/>
    </row>
    <row r="669" spans="1:17" x14ac:dyDescent="0.25">
      <c r="A669" s="11"/>
      <c r="B669" s="12"/>
      <c r="C669" s="12"/>
      <c r="D669" s="125"/>
      <c r="E669" s="125"/>
      <c r="F669" s="12"/>
      <c r="G669" s="12"/>
      <c r="H669" s="12"/>
      <c r="I669" s="13"/>
      <c r="J669" s="13"/>
      <c r="K669" s="12"/>
      <c r="L669" s="12"/>
      <c r="M669" s="12"/>
      <c r="N669" s="12"/>
      <c r="O669" s="12"/>
      <c r="P669" s="12"/>
      <c r="Q669" s="12"/>
    </row>
    <row r="670" spans="1:17" x14ac:dyDescent="0.25">
      <c r="A670" s="11"/>
      <c r="B670" s="12"/>
      <c r="C670" s="12"/>
      <c r="D670" s="125"/>
      <c r="E670" s="125"/>
      <c r="F670" s="12"/>
      <c r="G670" s="12"/>
      <c r="H670" s="12"/>
      <c r="I670" s="13"/>
      <c r="J670" s="13"/>
      <c r="K670" s="12"/>
      <c r="L670" s="12"/>
      <c r="M670" s="12"/>
      <c r="N670" s="12"/>
      <c r="O670" s="12"/>
      <c r="P670" s="12"/>
      <c r="Q670" s="12"/>
    </row>
    <row r="671" spans="1:17" x14ac:dyDescent="0.25">
      <c r="A671" s="11"/>
      <c r="B671" s="12"/>
      <c r="C671" s="12"/>
      <c r="D671" s="125"/>
      <c r="E671" s="125"/>
      <c r="F671" s="12"/>
      <c r="G671" s="12"/>
      <c r="H671" s="12"/>
      <c r="I671" s="13"/>
      <c r="J671" s="13"/>
      <c r="K671" s="12"/>
      <c r="L671" s="12"/>
      <c r="M671" s="12"/>
      <c r="N671" s="12"/>
      <c r="O671" s="12"/>
      <c r="P671" s="12"/>
      <c r="Q671" s="12"/>
    </row>
    <row r="672" spans="1:17" x14ac:dyDescent="0.25">
      <c r="A672" s="11"/>
      <c r="B672" s="12"/>
      <c r="C672" s="12"/>
      <c r="D672" s="125"/>
      <c r="E672" s="125"/>
      <c r="F672" s="12"/>
      <c r="G672" s="12"/>
      <c r="H672" s="12"/>
      <c r="I672" s="13"/>
      <c r="J672" s="13"/>
      <c r="K672" s="12"/>
      <c r="L672" s="12"/>
      <c r="M672" s="12"/>
      <c r="N672" s="12"/>
      <c r="O672" s="12"/>
      <c r="P672" s="12"/>
      <c r="Q672" s="12"/>
    </row>
    <row r="673" spans="1:17" x14ac:dyDescent="0.25">
      <c r="A673" s="11"/>
      <c r="B673" s="12"/>
      <c r="C673" s="12"/>
      <c r="D673" s="125"/>
      <c r="E673" s="125"/>
      <c r="F673" s="12"/>
      <c r="G673" s="12"/>
      <c r="H673" s="12"/>
      <c r="I673" s="13"/>
      <c r="J673" s="13"/>
      <c r="K673" s="12"/>
      <c r="L673" s="12"/>
      <c r="M673" s="12"/>
      <c r="N673" s="12"/>
      <c r="O673" s="12"/>
      <c r="P673" s="12"/>
      <c r="Q673" s="12"/>
    </row>
    <row r="674" spans="1:17" x14ac:dyDescent="0.25">
      <c r="A674" s="11"/>
      <c r="B674" s="12"/>
      <c r="C674" s="12"/>
      <c r="D674" s="125"/>
      <c r="E674" s="125"/>
      <c r="F674" s="12"/>
      <c r="G674" s="12"/>
      <c r="H674" s="12"/>
      <c r="I674" s="13"/>
      <c r="J674" s="13"/>
      <c r="K674" s="12"/>
      <c r="L674" s="12"/>
      <c r="M674" s="12"/>
      <c r="N674" s="12"/>
      <c r="O674" s="12"/>
      <c r="P674" s="12"/>
      <c r="Q674" s="12"/>
    </row>
    <row r="675" spans="1:17" x14ac:dyDescent="0.25">
      <c r="A675" s="11"/>
      <c r="B675" s="12"/>
      <c r="C675" s="12"/>
      <c r="D675" s="125"/>
      <c r="E675" s="125"/>
      <c r="F675" s="12"/>
      <c r="G675" s="12"/>
      <c r="H675" s="12"/>
      <c r="I675" s="13"/>
      <c r="J675" s="13"/>
      <c r="K675" s="12"/>
      <c r="L675" s="12"/>
      <c r="M675" s="12"/>
      <c r="N675" s="12"/>
      <c r="O675" s="12"/>
      <c r="P675" s="12"/>
      <c r="Q675" s="12"/>
    </row>
    <row r="676" spans="1:17" x14ac:dyDescent="0.25">
      <c r="A676" s="11"/>
      <c r="B676" s="12"/>
      <c r="C676" s="12"/>
      <c r="D676" s="125"/>
      <c r="E676" s="125"/>
      <c r="F676" s="12"/>
      <c r="G676" s="12"/>
      <c r="H676" s="12"/>
      <c r="I676" s="13"/>
      <c r="J676" s="13"/>
      <c r="K676" s="12"/>
      <c r="L676" s="12"/>
      <c r="M676" s="12"/>
      <c r="N676" s="12"/>
      <c r="O676" s="12"/>
      <c r="P676" s="12"/>
      <c r="Q676" s="12"/>
    </row>
    <row r="677" spans="1:17" x14ac:dyDescent="0.25">
      <c r="A677" s="11"/>
      <c r="B677" s="12"/>
      <c r="C677" s="12"/>
      <c r="D677" s="125"/>
      <c r="E677" s="125"/>
      <c r="F677" s="12"/>
      <c r="G677" s="12"/>
      <c r="H677" s="12"/>
      <c r="I677" s="13"/>
      <c r="J677" s="13"/>
      <c r="K677" s="12"/>
      <c r="L677" s="12"/>
      <c r="M677" s="12"/>
      <c r="N677" s="12"/>
      <c r="O677" s="12"/>
      <c r="P677" s="12"/>
      <c r="Q677" s="12"/>
    </row>
    <row r="678" spans="1:17" x14ac:dyDescent="0.25">
      <c r="A678" s="11"/>
      <c r="B678" s="12"/>
      <c r="C678" s="12"/>
      <c r="D678" s="125"/>
      <c r="E678" s="125"/>
      <c r="F678" s="12"/>
      <c r="G678" s="12"/>
      <c r="H678" s="12"/>
      <c r="I678" s="13"/>
      <c r="J678" s="13"/>
      <c r="K678" s="12"/>
      <c r="L678" s="12"/>
      <c r="M678" s="12"/>
      <c r="N678" s="12"/>
      <c r="O678" s="12"/>
      <c r="P678" s="12"/>
      <c r="Q678" s="12"/>
    </row>
    <row r="679" spans="1:17" x14ac:dyDescent="0.25">
      <c r="A679" s="11"/>
      <c r="B679" s="12"/>
      <c r="C679" s="12"/>
      <c r="D679" s="125"/>
      <c r="E679" s="125"/>
      <c r="F679" s="12"/>
      <c r="G679" s="12"/>
      <c r="H679" s="12"/>
      <c r="I679" s="13"/>
      <c r="J679" s="13"/>
      <c r="K679" s="12"/>
      <c r="L679" s="12"/>
      <c r="M679" s="12"/>
      <c r="N679" s="12"/>
      <c r="O679" s="12"/>
      <c r="P679" s="12"/>
      <c r="Q679" s="12"/>
    </row>
    <row r="680" spans="1:17" x14ac:dyDescent="0.25">
      <c r="A680" s="11"/>
      <c r="B680" s="12"/>
      <c r="C680" s="12"/>
      <c r="D680" s="125"/>
      <c r="E680" s="125"/>
      <c r="F680" s="12"/>
      <c r="G680" s="12"/>
      <c r="H680" s="12"/>
      <c r="I680" s="13"/>
      <c r="J680" s="13"/>
      <c r="K680" s="12"/>
      <c r="L680" s="12"/>
      <c r="M680" s="12"/>
      <c r="N680" s="12"/>
      <c r="O680" s="12"/>
      <c r="P680" s="12"/>
      <c r="Q680" s="12"/>
    </row>
    <row r="681" spans="1:17" x14ac:dyDescent="0.25">
      <c r="A681" s="11"/>
      <c r="B681" s="12"/>
      <c r="C681" s="12"/>
      <c r="D681" s="125"/>
      <c r="E681" s="125"/>
      <c r="F681" s="12"/>
      <c r="G681" s="12"/>
      <c r="H681" s="12"/>
      <c r="I681" s="13"/>
      <c r="J681" s="13"/>
      <c r="K681" s="12"/>
      <c r="L681" s="12"/>
      <c r="M681" s="12"/>
      <c r="N681" s="12"/>
      <c r="O681" s="12"/>
      <c r="P681" s="12"/>
      <c r="Q681" s="12"/>
    </row>
    <row r="682" spans="1:17" x14ac:dyDescent="0.25">
      <c r="A682" s="11"/>
      <c r="B682" s="12"/>
      <c r="C682" s="12"/>
      <c r="D682" s="125"/>
      <c r="E682" s="125"/>
      <c r="F682" s="12"/>
      <c r="G682" s="12"/>
      <c r="H682" s="12"/>
      <c r="I682" s="13"/>
      <c r="J682" s="13"/>
      <c r="K682" s="12"/>
      <c r="L682" s="12"/>
      <c r="M682" s="12"/>
      <c r="N682" s="12"/>
      <c r="O682" s="12"/>
      <c r="P682" s="12"/>
      <c r="Q682" s="12"/>
    </row>
    <row r="683" spans="1:17" x14ac:dyDescent="0.25">
      <c r="A683" s="11"/>
      <c r="B683" s="12"/>
      <c r="C683" s="12"/>
      <c r="D683" s="125"/>
      <c r="E683" s="125"/>
      <c r="F683" s="12"/>
      <c r="G683" s="12"/>
      <c r="H683" s="12"/>
      <c r="I683" s="13"/>
      <c r="J683" s="13"/>
      <c r="K683" s="12"/>
      <c r="L683" s="12"/>
      <c r="M683" s="12"/>
      <c r="N683" s="12"/>
      <c r="O683" s="12"/>
      <c r="P683" s="12"/>
      <c r="Q683" s="12"/>
    </row>
    <row r="684" spans="1:17" x14ac:dyDescent="0.25">
      <c r="A684" s="11"/>
      <c r="B684" s="12"/>
      <c r="C684" s="12"/>
      <c r="D684" s="125"/>
      <c r="E684" s="125"/>
      <c r="F684" s="12"/>
      <c r="G684" s="12"/>
      <c r="H684" s="12"/>
      <c r="I684" s="13"/>
      <c r="J684" s="13"/>
      <c r="K684" s="12"/>
      <c r="L684" s="12"/>
      <c r="M684" s="12"/>
      <c r="N684" s="12"/>
      <c r="O684" s="12"/>
      <c r="P684" s="12"/>
      <c r="Q684" s="12"/>
    </row>
    <row r="685" spans="1:17" x14ac:dyDescent="0.25">
      <c r="A685" s="11"/>
      <c r="B685" s="12"/>
      <c r="C685" s="12"/>
      <c r="D685" s="125"/>
      <c r="E685" s="125"/>
      <c r="F685" s="12"/>
      <c r="G685" s="12"/>
      <c r="H685" s="12"/>
      <c r="I685" s="13"/>
      <c r="J685" s="13"/>
      <c r="K685" s="12"/>
      <c r="L685" s="12"/>
      <c r="M685" s="12"/>
      <c r="N685" s="12"/>
      <c r="O685" s="12"/>
      <c r="P685" s="12"/>
      <c r="Q685" s="12"/>
    </row>
    <row r="686" spans="1:17" x14ac:dyDescent="0.25">
      <c r="A686" s="11"/>
      <c r="B686" s="12"/>
      <c r="C686" s="12"/>
      <c r="D686" s="125"/>
      <c r="E686" s="125"/>
      <c r="F686" s="12"/>
      <c r="G686" s="12"/>
      <c r="H686" s="12"/>
      <c r="I686" s="13"/>
      <c r="J686" s="13"/>
      <c r="K686" s="12"/>
      <c r="L686" s="12"/>
      <c r="M686" s="12"/>
      <c r="N686" s="12"/>
      <c r="O686" s="12"/>
      <c r="P686" s="12"/>
      <c r="Q686" s="12"/>
    </row>
    <row r="687" spans="1:17" x14ac:dyDescent="0.25">
      <c r="A687" s="11"/>
      <c r="B687" s="12"/>
      <c r="C687" s="12"/>
      <c r="D687" s="125"/>
      <c r="E687" s="125"/>
      <c r="F687" s="12"/>
      <c r="G687" s="12"/>
      <c r="H687" s="12"/>
      <c r="I687" s="13"/>
      <c r="J687" s="13"/>
      <c r="K687" s="12"/>
      <c r="L687" s="12"/>
      <c r="M687" s="12"/>
      <c r="N687" s="12"/>
      <c r="O687" s="12"/>
      <c r="P687" s="12"/>
      <c r="Q687" s="12"/>
    </row>
    <row r="688" spans="1:17" x14ac:dyDescent="0.25">
      <c r="A688" s="11"/>
      <c r="B688" s="12"/>
      <c r="C688" s="12"/>
      <c r="D688" s="125"/>
      <c r="E688" s="125"/>
      <c r="F688" s="12"/>
      <c r="G688" s="12"/>
      <c r="H688" s="12"/>
      <c r="I688" s="13"/>
      <c r="J688" s="13"/>
      <c r="K688" s="12"/>
      <c r="L688" s="12"/>
      <c r="M688" s="12"/>
      <c r="N688" s="12"/>
      <c r="O688" s="12"/>
      <c r="P688" s="12"/>
      <c r="Q688" s="12"/>
    </row>
    <row r="689" spans="1:17" x14ac:dyDescent="0.25">
      <c r="A689" s="11"/>
      <c r="B689" s="12"/>
      <c r="C689" s="12"/>
      <c r="D689" s="125"/>
      <c r="E689" s="125"/>
      <c r="F689" s="12"/>
      <c r="G689" s="12"/>
      <c r="H689" s="12"/>
      <c r="I689" s="13"/>
      <c r="J689" s="13"/>
      <c r="K689" s="12"/>
      <c r="L689" s="12"/>
      <c r="M689" s="12"/>
      <c r="N689" s="12"/>
      <c r="O689" s="12"/>
      <c r="P689" s="12"/>
      <c r="Q689" s="12"/>
    </row>
    <row r="690" spans="1:17" x14ac:dyDescent="0.25">
      <c r="A690" s="11"/>
      <c r="B690" s="12"/>
      <c r="C690" s="12"/>
      <c r="D690" s="125"/>
      <c r="E690" s="125"/>
      <c r="F690" s="12"/>
      <c r="G690" s="12"/>
      <c r="H690" s="12"/>
      <c r="I690" s="13"/>
      <c r="J690" s="13"/>
      <c r="K690" s="12"/>
      <c r="L690" s="12"/>
      <c r="M690" s="12"/>
      <c r="N690" s="12"/>
      <c r="O690" s="12"/>
      <c r="P690" s="12"/>
      <c r="Q690" s="12"/>
    </row>
    <row r="691" spans="1:17" x14ac:dyDescent="0.25">
      <c r="A691" s="11"/>
      <c r="B691" s="12"/>
      <c r="C691" s="12"/>
      <c r="D691" s="125"/>
      <c r="E691" s="125"/>
      <c r="F691" s="12"/>
      <c r="G691" s="12"/>
      <c r="H691" s="12"/>
      <c r="I691" s="13"/>
      <c r="J691" s="13"/>
      <c r="K691" s="12"/>
      <c r="L691" s="12"/>
      <c r="M691" s="12"/>
      <c r="N691" s="12"/>
      <c r="O691" s="12"/>
      <c r="P691" s="12"/>
      <c r="Q691" s="12"/>
    </row>
    <row r="692" spans="1:17" x14ac:dyDescent="0.25">
      <c r="A692" s="11"/>
      <c r="B692" s="12"/>
      <c r="C692" s="12"/>
      <c r="D692" s="125"/>
      <c r="E692" s="125"/>
      <c r="F692" s="12"/>
      <c r="G692" s="12"/>
      <c r="H692" s="12"/>
      <c r="I692" s="13"/>
      <c r="J692" s="13"/>
      <c r="K692" s="12"/>
      <c r="L692" s="12"/>
      <c r="M692" s="12"/>
      <c r="N692" s="12"/>
      <c r="O692" s="12"/>
      <c r="P692" s="12"/>
      <c r="Q692" s="12"/>
    </row>
    <row r="693" spans="1:17" x14ac:dyDescent="0.25">
      <c r="A693" s="11"/>
      <c r="B693" s="12"/>
      <c r="C693" s="12"/>
      <c r="D693" s="125"/>
      <c r="E693" s="125"/>
      <c r="F693" s="12"/>
      <c r="G693" s="12"/>
      <c r="H693" s="12"/>
      <c r="I693" s="13"/>
      <c r="J693" s="13"/>
      <c r="K693" s="12"/>
      <c r="L693" s="12"/>
      <c r="M693" s="12"/>
      <c r="N693" s="12"/>
      <c r="O693" s="12"/>
      <c r="P693" s="12"/>
      <c r="Q693" s="12"/>
    </row>
    <row r="694" spans="1:17" x14ac:dyDescent="0.25">
      <c r="A694" s="11"/>
      <c r="B694" s="12"/>
      <c r="C694" s="12"/>
      <c r="D694" s="125"/>
      <c r="E694" s="125"/>
      <c r="F694" s="12"/>
      <c r="G694" s="12"/>
      <c r="H694" s="12"/>
      <c r="I694" s="13"/>
      <c r="J694" s="13"/>
      <c r="K694" s="12"/>
      <c r="L694" s="12"/>
      <c r="M694" s="12"/>
      <c r="N694" s="12"/>
      <c r="O694" s="12"/>
      <c r="P694" s="12"/>
      <c r="Q694" s="12"/>
    </row>
    <row r="695" spans="1:17" x14ac:dyDescent="0.25">
      <c r="A695" s="11"/>
      <c r="B695" s="12"/>
      <c r="C695" s="12"/>
      <c r="D695" s="125"/>
      <c r="E695" s="125"/>
      <c r="F695" s="12"/>
      <c r="G695" s="12"/>
      <c r="H695" s="12"/>
      <c r="I695" s="13"/>
      <c r="J695" s="13"/>
      <c r="K695" s="12"/>
      <c r="L695" s="12"/>
      <c r="M695" s="12"/>
      <c r="N695" s="12"/>
      <c r="O695" s="12"/>
      <c r="P695" s="12"/>
      <c r="Q695" s="12"/>
    </row>
    <row r="696" spans="1:17" x14ac:dyDescent="0.25">
      <c r="A696" s="11"/>
      <c r="B696" s="12"/>
      <c r="C696" s="12"/>
      <c r="D696" s="125"/>
      <c r="E696" s="125"/>
      <c r="F696" s="12"/>
      <c r="G696" s="12"/>
      <c r="H696" s="12"/>
      <c r="I696" s="13"/>
      <c r="J696" s="13"/>
      <c r="K696" s="12"/>
      <c r="L696" s="12"/>
      <c r="M696" s="12"/>
      <c r="N696" s="12"/>
      <c r="O696" s="12"/>
      <c r="P696" s="12"/>
      <c r="Q696" s="12"/>
    </row>
    <row r="697" spans="1:17" x14ac:dyDescent="0.25">
      <c r="A697" s="11"/>
      <c r="B697" s="12"/>
      <c r="C697" s="12"/>
      <c r="D697" s="125"/>
      <c r="E697" s="125"/>
      <c r="F697" s="12"/>
      <c r="G697" s="12"/>
      <c r="H697" s="12"/>
      <c r="I697" s="13"/>
      <c r="J697" s="13"/>
      <c r="K697" s="12"/>
      <c r="L697" s="12"/>
      <c r="M697" s="12"/>
      <c r="N697" s="12"/>
      <c r="O697" s="12"/>
      <c r="P697" s="12"/>
      <c r="Q697" s="12"/>
    </row>
    <row r="698" spans="1:17" x14ac:dyDescent="0.25">
      <c r="A698" s="11"/>
      <c r="B698" s="12"/>
      <c r="C698" s="12"/>
      <c r="D698" s="125"/>
      <c r="E698" s="125"/>
      <c r="F698" s="12"/>
      <c r="G698" s="12"/>
      <c r="H698" s="12"/>
      <c r="I698" s="13"/>
      <c r="J698" s="13"/>
      <c r="K698" s="12"/>
      <c r="L698" s="12"/>
      <c r="M698" s="12"/>
      <c r="N698" s="12"/>
      <c r="O698" s="12"/>
      <c r="P698" s="12"/>
      <c r="Q698" s="12"/>
    </row>
    <row r="699" spans="1:17" x14ac:dyDescent="0.25">
      <c r="A699" s="11"/>
      <c r="B699" s="12"/>
      <c r="C699" s="12"/>
      <c r="D699" s="125"/>
      <c r="E699" s="125"/>
      <c r="F699" s="12"/>
      <c r="G699" s="12"/>
      <c r="H699" s="12"/>
      <c r="I699" s="13"/>
      <c r="J699" s="13"/>
      <c r="K699" s="12"/>
      <c r="L699" s="12"/>
      <c r="M699" s="12"/>
      <c r="N699" s="12"/>
      <c r="O699" s="12"/>
      <c r="P699" s="12"/>
      <c r="Q699" s="12"/>
    </row>
    <row r="700" spans="1:17" x14ac:dyDescent="0.25">
      <c r="A700" s="11"/>
      <c r="B700" s="12"/>
      <c r="C700" s="12"/>
      <c r="D700" s="125"/>
      <c r="E700" s="125"/>
      <c r="F700" s="12"/>
      <c r="G700" s="12"/>
      <c r="H700" s="12"/>
      <c r="I700" s="13"/>
      <c r="J700" s="13"/>
      <c r="K700" s="12"/>
      <c r="L700" s="12"/>
      <c r="M700" s="12"/>
      <c r="N700" s="12"/>
      <c r="O700" s="12"/>
      <c r="P700" s="12"/>
      <c r="Q700" s="12"/>
    </row>
    <row r="701" spans="1:17" x14ac:dyDescent="0.25">
      <c r="A701" s="11"/>
      <c r="B701" s="12"/>
      <c r="C701" s="12"/>
      <c r="D701" s="125"/>
      <c r="E701" s="125"/>
      <c r="F701" s="12"/>
      <c r="G701" s="12"/>
      <c r="H701" s="12"/>
      <c r="I701" s="13"/>
      <c r="J701" s="13"/>
      <c r="K701" s="12"/>
      <c r="L701" s="12"/>
      <c r="M701" s="12"/>
      <c r="N701" s="12"/>
      <c r="O701" s="12"/>
      <c r="P701" s="12"/>
      <c r="Q701" s="12"/>
    </row>
    <row r="702" spans="1:17" x14ac:dyDescent="0.25">
      <c r="A702" s="11"/>
      <c r="B702" s="12"/>
      <c r="C702" s="12"/>
      <c r="D702" s="125"/>
      <c r="E702" s="125"/>
      <c r="F702" s="12"/>
      <c r="G702" s="12"/>
      <c r="H702" s="12"/>
      <c r="I702" s="13"/>
      <c r="J702" s="13"/>
      <c r="K702" s="12"/>
      <c r="L702" s="12"/>
      <c r="M702" s="12"/>
      <c r="N702" s="12"/>
      <c r="O702" s="12"/>
      <c r="P702" s="12"/>
      <c r="Q702" s="12"/>
    </row>
    <row r="703" spans="1:17" x14ac:dyDescent="0.25">
      <c r="A703" s="11"/>
      <c r="B703" s="12"/>
      <c r="C703" s="12"/>
      <c r="D703" s="125"/>
      <c r="E703" s="125"/>
      <c r="F703" s="12"/>
      <c r="G703" s="12"/>
      <c r="H703" s="12"/>
      <c r="I703" s="13"/>
      <c r="J703" s="13"/>
      <c r="K703" s="12"/>
      <c r="L703" s="12"/>
      <c r="M703" s="12"/>
      <c r="N703" s="12"/>
      <c r="O703" s="12"/>
      <c r="P703" s="12"/>
      <c r="Q703" s="12"/>
    </row>
    <row r="704" spans="1:17" x14ac:dyDescent="0.25">
      <c r="A704" s="11"/>
      <c r="B704" s="12"/>
      <c r="C704" s="12"/>
      <c r="D704" s="125"/>
      <c r="E704" s="125"/>
      <c r="F704" s="12"/>
      <c r="G704" s="12"/>
      <c r="H704" s="12"/>
      <c r="I704" s="13"/>
      <c r="J704" s="13"/>
      <c r="K704" s="12"/>
      <c r="L704" s="12"/>
      <c r="M704" s="12"/>
      <c r="N704" s="12"/>
      <c r="O704" s="12"/>
      <c r="P704" s="12"/>
      <c r="Q704" s="12"/>
    </row>
    <row r="705" spans="1:17" x14ac:dyDescent="0.25">
      <c r="A705" s="11"/>
      <c r="B705" s="12"/>
      <c r="C705" s="12"/>
      <c r="D705" s="125"/>
      <c r="E705" s="125"/>
      <c r="F705" s="12"/>
      <c r="G705" s="12"/>
      <c r="H705" s="12"/>
      <c r="I705" s="13"/>
      <c r="J705" s="13"/>
      <c r="K705" s="12"/>
      <c r="L705" s="12"/>
      <c r="M705" s="12"/>
      <c r="N705" s="12"/>
      <c r="O705" s="12"/>
      <c r="P705" s="12"/>
      <c r="Q705" s="12"/>
    </row>
    <row r="706" spans="1:17" x14ac:dyDescent="0.25">
      <c r="A706" s="11"/>
      <c r="B706" s="12"/>
      <c r="C706" s="12"/>
      <c r="D706" s="125"/>
      <c r="E706" s="125"/>
      <c r="F706" s="12"/>
      <c r="G706" s="12"/>
      <c r="H706" s="12"/>
      <c r="I706" s="13"/>
      <c r="J706" s="13"/>
      <c r="K706" s="12"/>
      <c r="L706" s="12"/>
      <c r="M706" s="12"/>
      <c r="N706" s="12"/>
      <c r="O706" s="12"/>
      <c r="P706" s="12"/>
      <c r="Q706" s="12"/>
    </row>
    <row r="707" spans="1:17" x14ac:dyDescent="0.25">
      <c r="A707" s="11"/>
      <c r="B707" s="12"/>
      <c r="C707" s="12"/>
      <c r="D707" s="125"/>
      <c r="E707" s="125"/>
      <c r="F707" s="12"/>
      <c r="G707" s="12"/>
      <c r="H707" s="12"/>
      <c r="I707" s="13"/>
      <c r="J707" s="13"/>
      <c r="K707" s="12"/>
      <c r="L707" s="12"/>
      <c r="M707" s="12"/>
      <c r="N707" s="12"/>
      <c r="O707" s="12"/>
      <c r="P707" s="12"/>
      <c r="Q707" s="12"/>
    </row>
    <row r="708" spans="1:17" x14ac:dyDescent="0.25">
      <c r="A708" s="11"/>
      <c r="B708" s="12"/>
      <c r="C708" s="12"/>
      <c r="D708" s="125"/>
      <c r="E708" s="125"/>
      <c r="F708" s="12"/>
      <c r="G708" s="12"/>
      <c r="H708" s="12"/>
      <c r="I708" s="13"/>
      <c r="J708" s="13"/>
      <c r="K708" s="12"/>
      <c r="L708" s="12"/>
      <c r="M708" s="12"/>
      <c r="N708" s="12"/>
      <c r="O708" s="12"/>
      <c r="P708" s="12"/>
      <c r="Q708" s="12"/>
    </row>
    <row r="709" spans="1:17" x14ac:dyDescent="0.25">
      <c r="A709" s="11"/>
      <c r="B709" s="12"/>
      <c r="C709" s="12"/>
      <c r="D709" s="125"/>
      <c r="E709" s="125"/>
      <c r="F709" s="12"/>
      <c r="G709" s="12"/>
      <c r="H709" s="12"/>
      <c r="I709" s="13"/>
      <c r="J709" s="13"/>
      <c r="K709" s="12"/>
      <c r="L709" s="12"/>
      <c r="M709" s="12"/>
      <c r="N709" s="12"/>
      <c r="O709" s="12"/>
      <c r="P709" s="12"/>
      <c r="Q709" s="12"/>
    </row>
    <row r="710" spans="1:17" x14ac:dyDescent="0.25">
      <c r="A710" s="11"/>
      <c r="B710" s="12"/>
      <c r="C710" s="12"/>
      <c r="D710" s="125"/>
      <c r="E710" s="125"/>
      <c r="F710" s="12"/>
      <c r="G710" s="12"/>
      <c r="H710" s="12"/>
      <c r="I710" s="13"/>
      <c r="J710" s="13"/>
      <c r="K710" s="12"/>
      <c r="L710" s="12"/>
      <c r="M710" s="12"/>
      <c r="N710" s="12"/>
      <c r="O710" s="12"/>
      <c r="P710" s="12"/>
      <c r="Q710" s="12"/>
    </row>
    <row r="711" spans="1:17" x14ac:dyDescent="0.25">
      <c r="A711" s="11"/>
      <c r="B711" s="12"/>
      <c r="C711" s="12"/>
      <c r="D711" s="125"/>
      <c r="E711" s="125"/>
      <c r="F711" s="12"/>
      <c r="G711" s="12"/>
      <c r="H711" s="12"/>
      <c r="I711" s="13"/>
      <c r="J711" s="13"/>
      <c r="K711" s="12"/>
      <c r="L711" s="12"/>
      <c r="M711" s="12"/>
      <c r="N711" s="12"/>
      <c r="O711" s="12"/>
      <c r="P711" s="12"/>
      <c r="Q711" s="12"/>
    </row>
    <row r="712" spans="1:17" x14ac:dyDescent="0.25">
      <c r="A712" s="11"/>
      <c r="B712" s="12"/>
      <c r="C712" s="12"/>
      <c r="D712" s="125"/>
      <c r="E712" s="125"/>
      <c r="F712" s="12"/>
      <c r="G712" s="12"/>
      <c r="H712" s="12"/>
      <c r="I712" s="13"/>
      <c r="J712" s="13"/>
      <c r="K712" s="12"/>
      <c r="L712" s="12"/>
      <c r="M712" s="12"/>
      <c r="N712" s="12"/>
      <c r="O712" s="12"/>
      <c r="P712" s="12"/>
      <c r="Q712" s="12"/>
    </row>
    <row r="713" spans="1:17" x14ac:dyDescent="0.25">
      <c r="A713" s="11"/>
      <c r="B713" s="12"/>
      <c r="C713" s="12"/>
      <c r="D713" s="125"/>
      <c r="E713" s="125"/>
      <c r="F713" s="12"/>
      <c r="G713" s="12"/>
      <c r="H713" s="12"/>
      <c r="I713" s="13"/>
      <c r="J713" s="13"/>
      <c r="K713" s="12"/>
      <c r="L713" s="12"/>
      <c r="M713" s="12"/>
      <c r="N713" s="12"/>
      <c r="O713" s="12"/>
      <c r="P713" s="12"/>
      <c r="Q713" s="12"/>
    </row>
    <row r="714" spans="1:17" x14ac:dyDescent="0.25">
      <c r="A714" s="11"/>
      <c r="B714" s="12"/>
      <c r="C714" s="12"/>
      <c r="D714" s="125"/>
      <c r="E714" s="125"/>
      <c r="F714" s="12"/>
      <c r="G714" s="12"/>
      <c r="H714" s="12"/>
      <c r="I714" s="13"/>
      <c r="J714" s="13"/>
      <c r="K714" s="12"/>
      <c r="L714" s="12"/>
      <c r="M714" s="12"/>
      <c r="N714" s="12"/>
      <c r="O714" s="12"/>
      <c r="P714" s="12"/>
      <c r="Q714" s="12"/>
    </row>
    <row r="715" spans="1:17" x14ac:dyDescent="0.25">
      <c r="A715" s="11"/>
      <c r="B715" s="12"/>
      <c r="C715" s="12"/>
      <c r="D715" s="125"/>
      <c r="E715" s="125"/>
      <c r="F715" s="12"/>
      <c r="G715" s="12"/>
      <c r="H715" s="12"/>
      <c r="I715" s="13"/>
      <c r="J715" s="13"/>
      <c r="K715" s="12"/>
      <c r="L715" s="12"/>
      <c r="M715" s="12"/>
      <c r="N715" s="12"/>
      <c r="O715" s="12"/>
      <c r="P715" s="12"/>
      <c r="Q715" s="12"/>
    </row>
    <row r="716" spans="1:17" x14ac:dyDescent="0.25">
      <c r="A716" s="11"/>
      <c r="B716" s="12"/>
      <c r="C716" s="12"/>
      <c r="D716" s="125"/>
      <c r="E716" s="125"/>
      <c r="F716" s="12"/>
      <c r="G716" s="12"/>
      <c r="H716" s="12"/>
      <c r="I716" s="13"/>
      <c r="J716" s="13"/>
      <c r="K716" s="12"/>
      <c r="L716" s="12"/>
      <c r="M716" s="12"/>
      <c r="N716" s="12"/>
      <c r="O716" s="12"/>
      <c r="P716" s="12"/>
      <c r="Q716" s="12"/>
    </row>
    <row r="717" spans="1:17" x14ac:dyDescent="0.25">
      <c r="A717" s="11"/>
      <c r="B717" s="12"/>
      <c r="C717" s="12"/>
      <c r="D717" s="125"/>
      <c r="E717" s="125"/>
      <c r="F717" s="12"/>
      <c r="G717" s="12"/>
      <c r="H717" s="12"/>
      <c r="I717" s="13"/>
      <c r="J717" s="13"/>
      <c r="K717" s="12"/>
      <c r="L717" s="12"/>
      <c r="M717" s="12"/>
      <c r="N717" s="12"/>
      <c r="O717" s="12"/>
      <c r="P717" s="12"/>
      <c r="Q717" s="12"/>
    </row>
    <row r="718" spans="1:17" x14ac:dyDescent="0.25">
      <c r="A718" s="11"/>
      <c r="B718" s="12"/>
      <c r="C718" s="12"/>
      <c r="D718" s="125"/>
      <c r="E718" s="125"/>
      <c r="F718" s="12"/>
      <c r="G718" s="12"/>
      <c r="H718" s="12"/>
      <c r="I718" s="13"/>
      <c r="J718" s="13"/>
      <c r="K718" s="12"/>
      <c r="L718" s="12"/>
      <c r="M718" s="12"/>
      <c r="N718" s="12"/>
      <c r="O718" s="12"/>
      <c r="P718" s="12"/>
      <c r="Q718" s="12"/>
    </row>
    <row r="719" spans="1:17" x14ac:dyDescent="0.25">
      <c r="A719" s="11"/>
      <c r="B719" s="12"/>
      <c r="C719" s="12"/>
      <c r="D719" s="125"/>
      <c r="E719" s="125"/>
      <c r="F719" s="12"/>
      <c r="G719" s="12"/>
      <c r="H719" s="12"/>
      <c r="I719" s="13"/>
      <c r="J719" s="13"/>
      <c r="K719" s="12"/>
      <c r="L719" s="12"/>
      <c r="M719" s="12"/>
      <c r="N719" s="12"/>
      <c r="O719" s="12"/>
      <c r="P719" s="12"/>
      <c r="Q719" s="12"/>
    </row>
    <row r="720" spans="1:17" x14ac:dyDescent="0.25">
      <c r="A720" s="11"/>
      <c r="B720" s="12"/>
      <c r="C720" s="12"/>
      <c r="D720" s="125"/>
      <c r="E720" s="125"/>
      <c r="F720" s="12"/>
      <c r="G720" s="12"/>
      <c r="H720" s="12"/>
      <c r="I720" s="13"/>
      <c r="J720" s="13"/>
      <c r="K720" s="12"/>
      <c r="L720" s="12"/>
      <c r="M720" s="12"/>
      <c r="N720" s="12"/>
      <c r="O720" s="12"/>
      <c r="P720" s="12"/>
      <c r="Q720" s="12"/>
    </row>
    <row r="721" spans="1:17" x14ac:dyDescent="0.25">
      <c r="A721" s="11"/>
      <c r="B721" s="12"/>
      <c r="C721" s="12"/>
      <c r="D721" s="125"/>
      <c r="E721" s="125"/>
      <c r="F721" s="12"/>
      <c r="G721" s="12"/>
      <c r="H721" s="12"/>
      <c r="I721" s="13"/>
      <c r="J721" s="13"/>
      <c r="K721" s="12"/>
      <c r="L721" s="12"/>
      <c r="M721" s="12"/>
      <c r="N721" s="12"/>
      <c r="O721" s="12"/>
      <c r="P721" s="12"/>
      <c r="Q721" s="12"/>
    </row>
    <row r="722" spans="1:17" x14ac:dyDescent="0.25">
      <c r="A722" s="11"/>
      <c r="B722" s="12"/>
      <c r="C722" s="12"/>
      <c r="D722" s="125"/>
      <c r="E722" s="125"/>
      <c r="F722" s="12"/>
      <c r="G722" s="12"/>
      <c r="H722" s="12"/>
      <c r="I722" s="13"/>
      <c r="J722" s="13"/>
      <c r="K722" s="12"/>
      <c r="L722" s="12"/>
      <c r="M722" s="12"/>
      <c r="N722" s="12"/>
      <c r="O722" s="12"/>
      <c r="P722" s="12"/>
      <c r="Q722" s="12"/>
    </row>
    <row r="723" spans="1:17" x14ac:dyDescent="0.25">
      <c r="A723" s="11"/>
      <c r="B723" s="12"/>
      <c r="C723" s="12"/>
      <c r="D723" s="125"/>
      <c r="E723" s="125"/>
      <c r="F723" s="12"/>
      <c r="G723" s="12"/>
      <c r="H723" s="12"/>
      <c r="I723" s="13"/>
      <c r="J723" s="13"/>
      <c r="K723" s="12"/>
      <c r="L723" s="12"/>
      <c r="M723" s="12"/>
      <c r="N723" s="12"/>
      <c r="O723" s="12"/>
      <c r="P723" s="12"/>
      <c r="Q723" s="12"/>
    </row>
    <row r="724" spans="1:17" x14ac:dyDescent="0.25">
      <c r="A724" s="11"/>
      <c r="B724" s="12"/>
      <c r="C724" s="12"/>
      <c r="D724" s="125"/>
      <c r="E724" s="125"/>
      <c r="F724" s="12"/>
      <c r="G724" s="12"/>
      <c r="H724" s="12"/>
      <c r="I724" s="13"/>
      <c r="J724" s="13"/>
      <c r="K724" s="12"/>
      <c r="L724" s="12"/>
      <c r="M724" s="12"/>
      <c r="N724" s="12"/>
      <c r="O724" s="12"/>
      <c r="P724" s="12"/>
      <c r="Q724" s="12"/>
    </row>
    <row r="725" spans="1:17" x14ac:dyDescent="0.25">
      <c r="A725" s="11"/>
      <c r="B725" s="12"/>
      <c r="C725" s="12"/>
      <c r="D725" s="125"/>
      <c r="E725" s="125"/>
      <c r="F725" s="12"/>
      <c r="G725" s="12"/>
      <c r="H725" s="12"/>
      <c r="I725" s="13"/>
      <c r="J725" s="13"/>
      <c r="K725" s="12"/>
      <c r="L725" s="12"/>
      <c r="M725" s="12"/>
      <c r="N725" s="12"/>
      <c r="O725" s="12"/>
      <c r="P725" s="12"/>
      <c r="Q725" s="12"/>
    </row>
    <row r="726" spans="1:17" x14ac:dyDescent="0.25">
      <c r="A726" s="11"/>
      <c r="B726" s="12"/>
      <c r="C726" s="12"/>
      <c r="D726" s="125"/>
      <c r="E726" s="125"/>
      <c r="F726" s="12"/>
      <c r="G726" s="12"/>
      <c r="H726" s="12"/>
      <c r="I726" s="13"/>
      <c r="J726" s="13"/>
      <c r="K726" s="12"/>
      <c r="L726" s="12"/>
      <c r="M726" s="12"/>
      <c r="N726" s="12"/>
      <c r="O726" s="12"/>
      <c r="P726" s="12"/>
      <c r="Q726" s="12"/>
    </row>
    <row r="727" spans="1:17" x14ac:dyDescent="0.25">
      <c r="A727" s="11"/>
      <c r="B727" s="12"/>
      <c r="C727" s="12"/>
      <c r="D727" s="125"/>
      <c r="E727" s="125"/>
      <c r="F727" s="12"/>
      <c r="G727" s="12"/>
      <c r="H727" s="12"/>
      <c r="I727" s="13"/>
      <c r="J727" s="13"/>
      <c r="K727" s="12"/>
      <c r="L727" s="12"/>
      <c r="M727" s="12"/>
      <c r="N727" s="12"/>
      <c r="O727" s="12"/>
      <c r="P727" s="12"/>
      <c r="Q727" s="12"/>
    </row>
    <row r="728" spans="1:17" x14ac:dyDescent="0.25">
      <c r="A728" s="11"/>
      <c r="B728" s="12"/>
      <c r="C728" s="12"/>
      <c r="D728" s="125"/>
      <c r="E728" s="125"/>
      <c r="F728" s="12"/>
      <c r="G728" s="12"/>
      <c r="H728" s="12"/>
      <c r="I728" s="13"/>
      <c r="J728" s="13"/>
      <c r="K728" s="12"/>
      <c r="L728" s="12"/>
      <c r="M728" s="12"/>
      <c r="N728" s="12"/>
      <c r="O728" s="12"/>
      <c r="P728" s="12"/>
      <c r="Q728" s="12"/>
    </row>
    <row r="729" spans="1:17" x14ac:dyDescent="0.25">
      <c r="A729" s="11"/>
      <c r="B729" s="12"/>
      <c r="C729" s="12"/>
      <c r="D729" s="125"/>
      <c r="E729" s="125"/>
      <c r="F729" s="12"/>
      <c r="G729" s="12"/>
      <c r="H729" s="12"/>
      <c r="I729" s="13"/>
      <c r="J729" s="13"/>
      <c r="K729" s="12"/>
      <c r="L729" s="12"/>
      <c r="M729" s="12"/>
      <c r="N729" s="12"/>
      <c r="O729" s="12"/>
      <c r="P729" s="12"/>
      <c r="Q729" s="12"/>
    </row>
    <row r="730" spans="1:17" x14ac:dyDescent="0.25">
      <c r="A730" s="11"/>
      <c r="B730" s="12"/>
      <c r="C730" s="12"/>
      <c r="D730" s="125"/>
      <c r="E730" s="125"/>
      <c r="F730" s="12"/>
      <c r="G730" s="12"/>
      <c r="H730" s="12"/>
      <c r="I730" s="13"/>
      <c r="J730" s="13"/>
      <c r="K730" s="12"/>
      <c r="L730" s="12"/>
      <c r="M730" s="12"/>
      <c r="N730" s="12"/>
      <c r="O730" s="12"/>
      <c r="P730" s="12"/>
      <c r="Q730" s="12"/>
    </row>
    <row r="731" spans="1:17" x14ac:dyDescent="0.25">
      <c r="A731" s="11"/>
      <c r="B731" s="12"/>
      <c r="C731" s="12"/>
      <c r="D731" s="125"/>
      <c r="E731" s="125"/>
      <c r="F731" s="12"/>
      <c r="G731" s="12"/>
      <c r="H731" s="12"/>
      <c r="I731" s="13"/>
      <c r="J731" s="13"/>
      <c r="K731" s="12"/>
      <c r="L731" s="12"/>
      <c r="M731" s="12"/>
      <c r="N731" s="12"/>
      <c r="O731" s="12"/>
      <c r="P731" s="12"/>
      <c r="Q731" s="12"/>
    </row>
    <row r="732" spans="1:17" x14ac:dyDescent="0.25">
      <c r="A732" s="11"/>
      <c r="B732" s="12"/>
      <c r="C732" s="12"/>
      <c r="D732" s="125"/>
      <c r="E732" s="125"/>
      <c r="F732" s="12"/>
      <c r="G732" s="12"/>
      <c r="H732" s="12"/>
      <c r="I732" s="13"/>
      <c r="J732" s="13"/>
      <c r="K732" s="12"/>
      <c r="L732" s="12"/>
      <c r="M732" s="12"/>
      <c r="N732" s="12"/>
      <c r="O732" s="12"/>
      <c r="P732" s="12"/>
      <c r="Q732" s="12"/>
    </row>
    <row r="733" spans="1:17" x14ac:dyDescent="0.25">
      <c r="A733" s="11"/>
      <c r="B733" s="12"/>
      <c r="C733" s="12"/>
      <c r="D733" s="125"/>
      <c r="E733" s="125"/>
      <c r="F733" s="12"/>
      <c r="G733" s="12"/>
      <c r="H733" s="12"/>
      <c r="I733" s="13"/>
      <c r="J733" s="13"/>
      <c r="K733" s="12"/>
      <c r="L733" s="12"/>
      <c r="M733" s="12"/>
      <c r="N733" s="12"/>
      <c r="O733" s="12"/>
      <c r="P733" s="12"/>
      <c r="Q733" s="12"/>
    </row>
    <row r="734" spans="1:17" x14ac:dyDescent="0.25">
      <c r="A734" s="11"/>
      <c r="B734" s="12"/>
      <c r="C734" s="12"/>
      <c r="D734" s="125"/>
      <c r="E734" s="125"/>
      <c r="F734" s="12"/>
      <c r="G734" s="12"/>
      <c r="H734" s="12"/>
      <c r="I734" s="13"/>
      <c r="J734" s="13"/>
      <c r="K734" s="12"/>
      <c r="L734" s="12"/>
      <c r="M734" s="12"/>
      <c r="N734" s="12"/>
      <c r="O734" s="12"/>
      <c r="P734" s="12"/>
      <c r="Q734" s="12"/>
    </row>
    <row r="735" spans="1:17" x14ac:dyDescent="0.25">
      <c r="A735" s="11"/>
      <c r="B735" s="12"/>
      <c r="C735" s="12"/>
      <c r="D735" s="125"/>
      <c r="E735" s="125"/>
      <c r="F735" s="12"/>
      <c r="G735" s="12"/>
      <c r="H735" s="12"/>
      <c r="I735" s="13"/>
      <c r="J735" s="13"/>
      <c r="K735" s="12"/>
      <c r="L735" s="12"/>
      <c r="M735" s="12"/>
      <c r="N735" s="12"/>
      <c r="O735" s="12"/>
      <c r="P735" s="12"/>
      <c r="Q735" s="12"/>
    </row>
    <row r="736" spans="1:17" x14ac:dyDescent="0.25">
      <c r="A736" s="11"/>
      <c r="B736" s="12"/>
      <c r="C736" s="12"/>
      <c r="D736" s="125"/>
      <c r="E736" s="125"/>
      <c r="F736" s="12"/>
      <c r="G736" s="12"/>
      <c r="H736" s="12"/>
      <c r="I736" s="13"/>
      <c r="J736" s="13"/>
      <c r="K736" s="12"/>
      <c r="L736" s="12"/>
      <c r="M736" s="12"/>
      <c r="N736" s="12"/>
      <c r="O736" s="12"/>
      <c r="P736" s="12"/>
      <c r="Q736" s="12"/>
    </row>
    <row r="737" spans="1:17" x14ac:dyDescent="0.25">
      <c r="A737" s="11"/>
      <c r="B737" s="12"/>
      <c r="C737" s="12"/>
      <c r="D737" s="125"/>
      <c r="E737" s="125"/>
      <c r="F737" s="12"/>
      <c r="G737" s="12"/>
      <c r="H737" s="12"/>
      <c r="I737" s="13"/>
      <c r="J737" s="13"/>
      <c r="K737" s="12"/>
      <c r="L737" s="12"/>
      <c r="M737" s="12"/>
      <c r="N737" s="12"/>
      <c r="O737" s="12"/>
      <c r="P737" s="12"/>
      <c r="Q737" s="12"/>
    </row>
    <row r="738" spans="1:17" x14ac:dyDescent="0.25">
      <c r="A738" s="11"/>
      <c r="B738" s="12"/>
      <c r="C738" s="12"/>
      <c r="D738" s="125"/>
      <c r="E738" s="125"/>
      <c r="F738" s="12"/>
      <c r="G738" s="12"/>
      <c r="H738" s="12"/>
      <c r="I738" s="13"/>
      <c r="J738" s="13"/>
      <c r="K738" s="12"/>
      <c r="L738" s="12"/>
      <c r="M738" s="12"/>
      <c r="N738" s="12"/>
      <c r="O738" s="12"/>
      <c r="P738" s="12"/>
      <c r="Q738" s="12"/>
    </row>
    <row r="739" spans="1:17" x14ac:dyDescent="0.25">
      <c r="A739" s="11"/>
      <c r="B739" s="12"/>
      <c r="C739" s="12"/>
      <c r="D739" s="125"/>
      <c r="E739" s="125"/>
      <c r="F739" s="12"/>
      <c r="G739" s="12"/>
      <c r="H739" s="12"/>
      <c r="I739" s="13"/>
      <c r="J739" s="13"/>
      <c r="K739" s="12"/>
      <c r="L739" s="12"/>
      <c r="M739" s="12"/>
      <c r="N739" s="12"/>
      <c r="O739" s="12"/>
      <c r="P739" s="12"/>
      <c r="Q739" s="12"/>
    </row>
    <row r="740" spans="1:17" x14ac:dyDescent="0.25">
      <c r="A740" s="11"/>
      <c r="B740" s="12"/>
      <c r="C740" s="12"/>
      <c r="D740" s="125"/>
      <c r="E740" s="125"/>
      <c r="F740" s="12"/>
      <c r="G740" s="12"/>
      <c r="H740" s="12"/>
      <c r="I740" s="13"/>
      <c r="J740" s="13"/>
      <c r="K740" s="12"/>
      <c r="L740" s="12"/>
      <c r="M740" s="12"/>
      <c r="N740" s="12"/>
      <c r="O740" s="12"/>
      <c r="P740" s="12"/>
      <c r="Q740" s="12"/>
    </row>
    <row r="741" spans="1:17" x14ac:dyDescent="0.25">
      <c r="A741" s="11"/>
      <c r="B741" s="12"/>
      <c r="C741" s="12"/>
      <c r="D741" s="125"/>
      <c r="E741" s="125"/>
      <c r="F741" s="12"/>
      <c r="G741" s="12"/>
      <c r="H741" s="12"/>
      <c r="I741" s="13"/>
      <c r="J741" s="13"/>
      <c r="K741" s="12"/>
      <c r="L741" s="12"/>
      <c r="M741" s="12"/>
      <c r="N741" s="12"/>
      <c r="O741" s="12"/>
      <c r="P741" s="12"/>
      <c r="Q741" s="12"/>
    </row>
    <row r="742" spans="1:17" x14ac:dyDescent="0.25">
      <c r="A742" s="11"/>
      <c r="B742" s="12"/>
      <c r="C742" s="12"/>
      <c r="D742" s="125"/>
      <c r="E742" s="125"/>
      <c r="F742" s="12"/>
      <c r="G742" s="12"/>
      <c r="H742" s="12"/>
      <c r="I742" s="13"/>
      <c r="J742" s="13"/>
      <c r="K742" s="12"/>
      <c r="L742" s="12"/>
      <c r="M742" s="12"/>
      <c r="N742" s="12"/>
      <c r="O742" s="12"/>
      <c r="P742" s="12"/>
      <c r="Q742" s="12"/>
    </row>
    <row r="743" spans="1:17" x14ac:dyDescent="0.25">
      <c r="A743" s="11"/>
      <c r="B743" s="12"/>
      <c r="C743" s="12"/>
      <c r="D743" s="125"/>
      <c r="E743" s="125"/>
      <c r="F743" s="12"/>
      <c r="G743" s="12"/>
      <c r="H743" s="12"/>
      <c r="I743" s="13"/>
      <c r="J743" s="13"/>
      <c r="K743" s="12"/>
      <c r="L743" s="12"/>
      <c r="M743" s="12"/>
      <c r="N743" s="12"/>
      <c r="O743" s="12"/>
      <c r="P743" s="12"/>
      <c r="Q743" s="12"/>
    </row>
    <row r="744" spans="1:17" x14ac:dyDescent="0.25">
      <c r="A744" s="11"/>
      <c r="B744" s="12"/>
      <c r="C744" s="12"/>
      <c r="D744" s="125"/>
      <c r="E744" s="125"/>
      <c r="F744" s="12"/>
      <c r="G744" s="12"/>
      <c r="H744" s="12"/>
      <c r="I744" s="13"/>
      <c r="J744" s="13"/>
      <c r="K744" s="12"/>
      <c r="L744" s="12"/>
      <c r="M744" s="12"/>
      <c r="N744" s="12"/>
      <c r="O744" s="12"/>
      <c r="P744" s="12"/>
      <c r="Q744" s="12"/>
    </row>
    <row r="745" spans="1:17" x14ac:dyDescent="0.25">
      <c r="A745" s="11"/>
      <c r="B745" s="12"/>
      <c r="C745" s="12"/>
      <c r="D745" s="125"/>
      <c r="E745" s="125"/>
      <c r="F745" s="12"/>
      <c r="G745" s="12"/>
      <c r="H745" s="12"/>
      <c r="I745" s="13"/>
      <c r="J745" s="13"/>
      <c r="K745" s="12"/>
      <c r="L745" s="12"/>
      <c r="M745" s="12"/>
      <c r="N745" s="12"/>
      <c r="O745" s="12"/>
      <c r="P745" s="12"/>
      <c r="Q745" s="12"/>
    </row>
    <row r="746" spans="1:17" x14ac:dyDescent="0.25">
      <c r="A746" s="11"/>
      <c r="B746" s="12"/>
      <c r="C746" s="12"/>
      <c r="D746" s="125"/>
      <c r="E746" s="125"/>
      <c r="F746" s="12"/>
      <c r="G746" s="12"/>
      <c r="H746" s="12"/>
      <c r="I746" s="13"/>
      <c r="J746" s="13"/>
      <c r="K746" s="12"/>
      <c r="L746" s="12"/>
      <c r="M746" s="12"/>
      <c r="N746" s="12"/>
      <c r="O746" s="12"/>
      <c r="P746" s="12"/>
      <c r="Q746" s="12"/>
    </row>
    <row r="747" spans="1:17" x14ac:dyDescent="0.25">
      <c r="A747" s="11"/>
      <c r="B747" s="12"/>
      <c r="C747" s="12"/>
      <c r="D747" s="125"/>
      <c r="E747" s="125"/>
      <c r="F747" s="12"/>
      <c r="G747" s="12"/>
      <c r="H747" s="12"/>
      <c r="I747" s="13"/>
      <c r="J747" s="13"/>
      <c r="K747" s="12"/>
      <c r="L747" s="12"/>
      <c r="M747" s="12"/>
      <c r="N747" s="12"/>
      <c r="O747" s="12"/>
      <c r="P747" s="12"/>
      <c r="Q747" s="12"/>
    </row>
    <row r="748" spans="1:17" x14ac:dyDescent="0.25">
      <c r="A748" s="11"/>
      <c r="B748" s="12"/>
      <c r="C748" s="12"/>
      <c r="D748" s="125"/>
      <c r="E748" s="125"/>
      <c r="F748" s="12"/>
      <c r="G748" s="12"/>
      <c r="H748" s="12"/>
      <c r="I748" s="13"/>
      <c r="J748" s="13"/>
      <c r="K748" s="12"/>
      <c r="L748" s="12"/>
      <c r="M748" s="12"/>
      <c r="N748" s="12"/>
      <c r="O748" s="12"/>
      <c r="P748" s="12"/>
      <c r="Q748" s="12"/>
    </row>
    <row r="749" spans="1:17" x14ac:dyDescent="0.25">
      <c r="A749" s="11"/>
      <c r="B749" s="12"/>
      <c r="C749" s="12"/>
      <c r="D749" s="125"/>
      <c r="E749" s="125"/>
      <c r="F749" s="12"/>
      <c r="G749" s="12"/>
      <c r="H749" s="12"/>
      <c r="I749" s="13"/>
      <c r="J749" s="13"/>
      <c r="K749" s="12"/>
      <c r="L749" s="12"/>
      <c r="M749" s="12"/>
      <c r="N749" s="12"/>
      <c r="O749" s="12"/>
      <c r="P749" s="12"/>
      <c r="Q749" s="12"/>
    </row>
    <row r="750" spans="1:17" x14ac:dyDescent="0.25">
      <c r="A750" s="11"/>
      <c r="B750" s="12"/>
      <c r="C750" s="12"/>
      <c r="D750" s="125"/>
      <c r="E750" s="125"/>
      <c r="F750" s="12"/>
      <c r="G750" s="12"/>
      <c r="H750" s="12"/>
      <c r="I750" s="13"/>
      <c r="J750" s="13"/>
      <c r="K750" s="12"/>
      <c r="L750" s="12"/>
      <c r="M750" s="12"/>
      <c r="N750" s="12"/>
      <c r="O750" s="12"/>
      <c r="P750" s="12"/>
      <c r="Q750" s="12"/>
    </row>
    <row r="751" spans="1:17" x14ac:dyDescent="0.25">
      <c r="A751" s="11"/>
      <c r="B751" s="12"/>
      <c r="C751" s="12"/>
      <c r="D751" s="125"/>
      <c r="E751" s="125"/>
      <c r="F751" s="12"/>
      <c r="G751" s="12"/>
      <c r="H751" s="12"/>
      <c r="I751" s="13"/>
      <c r="J751" s="13"/>
      <c r="K751" s="12"/>
      <c r="L751" s="12"/>
      <c r="M751" s="12"/>
      <c r="N751" s="12"/>
      <c r="O751" s="12"/>
      <c r="P751" s="12"/>
      <c r="Q751" s="12"/>
    </row>
    <row r="752" spans="1:17" x14ac:dyDescent="0.25">
      <c r="A752" s="11"/>
      <c r="B752" s="12"/>
      <c r="C752" s="12"/>
      <c r="D752" s="125"/>
      <c r="E752" s="125"/>
      <c r="F752" s="12"/>
      <c r="G752" s="12"/>
      <c r="H752" s="12"/>
      <c r="I752" s="13"/>
      <c r="J752" s="13"/>
      <c r="K752" s="12"/>
      <c r="L752" s="12"/>
      <c r="M752" s="12"/>
      <c r="N752" s="12"/>
      <c r="O752" s="12"/>
      <c r="P752" s="12"/>
      <c r="Q752" s="12"/>
    </row>
    <row r="753" spans="1:17" x14ac:dyDescent="0.25">
      <c r="A753" s="11"/>
      <c r="B753" s="12"/>
      <c r="C753" s="12"/>
      <c r="D753" s="125"/>
      <c r="E753" s="125"/>
      <c r="F753" s="12"/>
      <c r="G753" s="12"/>
      <c r="H753" s="12"/>
      <c r="I753" s="13"/>
      <c r="J753" s="13"/>
      <c r="K753" s="12"/>
      <c r="L753" s="12"/>
      <c r="M753" s="12"/>
      <c r="N753" s="12"/>
      <c r="O753" s="12"/>
      <c r="P753" s="12"/>
      <c r="Q753" s="12"/>
    </row>
    <row r="754" spans="1:17" x14ac:dyDescent="0.25">
      <c r="A754" s="11"/>
      <c r="B754" s="12"/>
      <c r="C754" s="12"/>
      <c r="D754" s="125"/>
      <c r="E754" s="125"/>
      <c r="F754" s="12"/>
      <c r="G754" s="12"/>
      <c r="H754" s="12"/>
      <c r="I754" s="13"/>
      <c r="J754" s="13"/>
      <c r="K754" s="12"/>
      <c r="L754" s="12"/>
      <c r="M754" s="12"/>
      <c r="N754" s="12"/>
      <c r="O754" s="12"/>
      <c r="P754" s="12"/>
      <c r="Q754" s="12"/>
    </row>
    <row r="755" spans="1:17" x14ac:dyDescent="0.25">
      <c r="A755" s="11"/>
      <c r="B755" s="12"/>
      <c r="C755" s="12"/>
      <c r="D755" s="125"/>
      <c r="E755" s="125"/>
      <c r="F755" s="12"/>
      <c r="G755" s="12"/>
      <c r="H755" s="12"/>
      <c r="I755" s="13"/>
      <c r="J755" s="13"/>
      <c r="K755" s="12"/>
      <c r="L755" s="12"/>
      <c r="M755" s="12"/>
      <c r="N755" s="12"/>
      <c r="O755" s="12"/>
      <c r="P755" s="12"/>
      <c r="Q755" s="12"/>
    </row>
    <row r="756" spans="1:17" x14ac:dyDescent="0.25">
      <c r="A756" s="11"/>
      <c r="B756" s="12"/>
      <c r="C756" s="12"/>
      <c r="D756" s="125"/>
      <c r="E756" s="125"/>
      <c r="F756" s="12"/>
      <c r="G756" s="12"/>
      <c r="H756" s="12"/>
      <c r="I756" s="13"/>
      <c r="J756" s="13"/>
      <c r="K756" s="12"/>
      <c r="L756" s="12"/>
      <c r="M756" s="12"/>
      <c r="N756" s="12"/>
      <c r="O756" s="12"/>
      <c r="P756" s="12"/>
      <c r="Q756" s="12"/>
    </row>
    <row r="757" spans="1:17" x14ac:dyDescent="0.25">
      <c r="A757" s="11"/>
      <c r="B757" s="12"/>
      <c r="C757" s="12"/>
      <c r="D757" s="125"/>
      <c r="E757" s="125"/>
      <c r="F757" s="12"/>
      <c r="G757" s="12"/>
      <c r="H757" s="12"/>
      <c r="I757" s="13"/>
      <c r="J757" s="13"/>
      <c r="K757" s="12"/>
      <c r="L757" s="12"/>
      <c r="M757" s="12"/>
      <c r="N757" s="12"/>
      <c r="O757" s="12"/>
      <c r="P757" s="12"/>
      <c r="Q757" s="12"/>
    </row>
    <row r="758" spans="1:17" x14ac:dyDescent="0.25">
      <c r="A758" s="11"/>
      <c r="B758" s="12"/>
      <c r="C758" s="12"/>
      <c r="D758" s="125"/>
      <c r="E758" s="125"/>
      <c r="F758" s="12"/>
      <c r="G758" s="12"/>
      <c r="H758" s="12"/>
      <c r="I758" s="13"/>
      <c r="J758" s="13"/>
      <c r="K758" s="12"/>
      <c r="L758" s="12"/>
      <c r="M758" s="12"/>
      <c r="N758" s="12"/>
      <c r="O758" s="12"/>
      <c r="P758" s="12"/>
      <c r="Q758" s="12"/>
    </row>
    <row r="759" spans="1:17" x14ac:dyDescent="0.25">
      <c r="A759" s="11"/>
      <c r="B759" s="12"/>
      <c r="C759" s="12"/>
      <c r="D759" s="125"/>
      <c r="E759" s="125"/>
      <c r="F759" s="12"/>
      <c r="G759" s="12"/>
      <c r="H759" s="12"/>
      <c r="I759" s="13"/>
      <c r="J759" s="13"/>
      <c r="K759" s="12"/>
      <c r="L759" s="12"/>
      <c r="M759" s="12"/>
      <c r="N759" s="12"/>
      <c r="O759" s="12"/>
      <c r="P759" s="12"/>
      <c r="Q759" s="12"/>
    </row>
    <row r="760" spans="1:17" x14ac:dyDescent="0.25">
      <c r="A760" s="11"/>
      <c r="B760" s="12"/>
      <c r="C760" s="12"/>
      <c r="D760" s="125"/>
      <c r="E760" s="125"/>
      <c r="F760" s="12"/>
      <c r="G760" s="12"/>
      <c r="H760" s="12"/>
      <c r="I760" s="13"/>
      <c r="J760" s="13"/>
      <c r="K760" s="12"/>
      <c r="L760" s="12"/>
      <c r="M760" s="12"/>
      <c r="N760" s="12"/>
      <c r="O760" s="12"/>
      <c r="P760" s="12"/>
      <c r="Q760" s="12"/>
    </row>
    <row r="761" spans="1:17" x14ac:dyDescent="0.25">
      <c r="A761" s="11"/>
      <c r="B761" s="12"/>
      <c r="C761" s="12"/>
      <c r="D761" s="125"/>
      <c r="E761" s="125"/>
      <c r="F761" s="12"/>
      <c r="G761" s="12"/>
      <c r="H761" s="12"/>
      <c r="I761" s="13"/>
      <c r="J761" s="13"/>
      <c r="K761" s="12"/>
      <c r="L761" s="12"/>
      <c r="M761" s="12"/>
      <c r="N761" s="12"/>
      <c r="O761" s="12"/>
      <c r="P761" s="12"/>
      <c r="Q761" s="12"/>
    </row>
    <row r="762" spans="1:17" x14ac:dyDescent="0.25">
      <c r="A762" s="11"/>
      <c r="B762" s="12"/>
      <c r="C762" s="12"/>
      <c r="D762" s="125"/>
      <c r="E762" s="125"/>
      <c r="F762" s="12"/>
      <c r="G762" s="12"/>
      <c r="H762" s="12"/>
      <c r="I762" s="13"/>
      <c r="J762" s="13"/>
      <c r="K762" s="12"/>
      <c r="L762" s="12"/>
      <c r="M762" s="12"/>
      <c r="N762" s="12"/>
      <c r="O762" s="12"/>
      <c r="P762" s="12"/>
      <c r="Q762" s="12"/>
    </row>
    <row r="763" spans="1:17" x14ac:dyDescent="0.25">
      <c r="A763" s="11"/>
      <c r="B763" s="12"/>
      <c r="C763" s="12"/>
      <c r="D763" s="125"/>
      <c r="E763" s="125"/>
      <c r="F763" s="12"/>
      <c r="G763" s="12"/>
      <c r="H763" s="12"/>
      <c r="I763" s="13"/>
      <c r="J763" s="13"/>
      <c r="K763" s="12"/>
      <c r="L763" s="12"/>
      <c r="M763" s="12"/>
      <c r="N763" s="12"/>
      <c r="O763" s="12"/>
      <c r="P763" s="12"/>
      <c r="Q763" s="12"/>
    </row>
    <row r="764" spans="1:17" x14ac:dyDescent="0.25">
      <c r="A764" s="11"/>
      <c r="B764" s="12"/>
      <c r="C764" s="12"/>
      <c r="D764" s="125"/>
      <c r="E764" s="125"/>
      <c r="F764" s="12"/>
      <c r="G764" s="12"/>
      <c r="H764" s="12"/>
      <c r="I764" s="13"/>
      <c r="J764" s="13"/>
      <c r="K764" s="12"/>
      <c r="L764" s="12"/>
      <c r="M764" s="12"/>
      <c r="N764" s="12"/>
      <c r="O764" s="12"/>
      <c r="P764" s="12"/>
      <c r="Q764" s="12"/>
    </row>
    <row r="765" spans="1:17" x14ac:dyDescent="0.25">
      <c r="A765" s="11"/>
      <c r="B765" s="12"/>
      <c r="C765" s="12"/>
      <c r="D765" s="125"/>
      <c r="E765" s="125"/>
      <c r="F765" s="12"/>
      <c r="G765" s="12"/>
      <c r="H765" s="12"/>
      <c r="I765" s="13"/>
      <c r="J765" s="13"/>
      <c r="K765" s="12"/>
      <c r="L765" s="12"/>
      <c r="M765" s="12"/>
      <c r="N765" s="12"/>
      <c r="O765" s="12"/>
      <c r="P765" s="12"/>
      <c r="Q765" s="12"/>
    </row>
    <row r="766" spans="1:17" x14ac:dyDescent="0.25">
      <c r="A766" s="11"/>
      <c r="B766" s="12"/>
      <c r="C766" s="12"/>
      <c r="D766" s="125"/>
      <c r="E766" s="125"/>
      <c r="F766" s="12"/>
      <c r="G766" s="12"/>
      <c r="H766" s="12"/>
      <c r="I766" s="13"/>
      <c r="J766" s="13"/>
      <c r="K766" s="12"/>
      <c r="L766" s="12"/>
      <c r="M766" s="12"/>
      <c r="N766" s="12"/>
      <c r="O766" s="12"/>
      <c r="P766" s="12"/>
      <c r="Q766" s="12"/>
    </row>
    <row r="767" spans="1:17" x14ac:dyDescent="0.25">
      <c r="A767" s="11"/>
      <c r="B767" s="12"/>
      <c r="C767" s="12"/>
      <c r="D767" s="125"/>
      <c r="E767" s="125"/>
      <c r="F767" s="12"/>
      <c r="G767" s="12"/>
      <c r="H767" s="12"/>
      <c r="I767" s="13"/>
      <c r="J767" s="13"/>
      <c r="K767" s="12"/>
      <c r="L767" s="12"/>
      <c r="M767" s="12"/>
      <c r="N767" s="12"/>
      <c r="O767" s="12"/>
      <c r="P767" s="12"/>
      <c r="Q767" s="12"/>
    </row>
    <row r="768" spans="1:17" x14ac:dyDescent="0.25">
      <c r="A768" s="11"/>
      <c r="B768" s="12"/>
      <c r="C768" s="12"/>
      <c r="D768" s="125"/>
      <c r="E768" s="125"/>
      <c r="F768" s="12"/>
      <c r="G768" s="12"/>
      <c r="H768" s="12"/>
      <c r="I768" s="13"/>
      <c r="J768" s="13"/>
      <c r="K768" s="12"/>
      <c r="L768" s="12"/>
      <c r="M768" s="12"/>
      <c r="N768" s="12"/>
      <c r="O768" s="12"/>
      <c r="P768" s="12"/>
      <c r="Q768" s="12"/>
    </row>
    <row r="769" spans="1:17" x14ac:dyDescent="0.25">
      <c r="A769" s="11"/>
      <c r="B769" s="12"/>
      <c r="C769" s="12"/>
      <c r="D769" s="125"/>
      <c r="E769" s="125"/>
      <c r="F769" s="12"/>
      <c r="G769" s="12"/>
      <c r="H769" s="12"/>
      <c r="I769" s="13"/>
      <c r="J769" s="13"/>
      <c r="K769" s="12"/>
      <c r="L769" s="12"/>
      <c r="M769" s="12"/>
      <c r="N769" s="12"/>
      <c r="O769" s="12"/>
      <c r="P769" s="12"/>
      <c r="Q769" s="12"/>
    </row>
    <row r="770" spans="1:17" x14ac:dyDescent="0.25">
      <c r="A770" s="11"/>
      <c r="B770" s="12"/>
      <c r="C770" s="12"/>
      <c r="D770" s="125"/>
      <c r="E770" s="125"/>
      <c r="F770" s="12"/>
      <c r="G770" s="12"/>
      <c r="H770" s="12"/>
      <c r="I770" s="13"/>
      <c r="J770" s="13"/>
      <c r="K770" s="12"/>
      <c r="L770" s="12"/>
      <c r="M770" s="12"/>
      <c r="N770" s="12"/>
      <c r="O770" s="12"/>
      <c r="P770" s="12"/>
      <c r="Q770" s="12"/>
    </row>
    <row r="771" spans="1:17" x14ac:dyDescent="0.25">
      <c r="A771" s="11"/>
      <c r="B771" s="12"/>
      <c r="C771" s="12"/>
      <c r="D771" s="125"/>
      <c r="E771" s="125"/>
      <c r="F771" s="12"/>
      <c r="G771" s="12"/>
      <c r="H771" s="12"/>
      <c r="I771" s="13"/>
      <c r="J771" s="13"/>
      <c r="K771" s="12"/>
      <c r="L771" s="12"/>
      <c r="M771" s="12"/>
      <c r="N771" s="12"/>
      <c r="O771" s="12"/>
      <c r="P771" s="12"/>
      <c r="Q771" s="12"/>
    </row>
    <row r="772" spans="1:17" x14ac:dyDescent="0.25">
      <c r="A772" s="11"/>
      <c r="B772" s="12"/>
      <c r="C772" s="12"/>
      <c r="D772" s="125"/>
      <c r="E772" s="125"/>
      <c r="F772" s="12"/>
      <c r="G772" s="12"/>
      <c r="H772" s="12"/>
      <c r="I772" s="13"/>
      <c r="J772" s="13"/>
      <c r="K772" s="12"/>
      <c r="L772" s="12"/>
      <c r="M772" s="12"/>
      <c r="N772" s="12"/>
      <c r="O772" s="12"/>
      <c r="P772" s="12"/>
      <c r="Q772" s="12"/>
    </row>
    <row r="773" spans="1:17" x14ac:dyDescent="0.25">
      <c r="A773" s="11"/>
      <c r="B773" s="12"/>
      <c r="C773" s="12"/>
      <c r="D773" s="125"/>
      <c r="E773" s="125"/>
      <c r="F773" s="12"/>
      <c r="G773" s="12"/>
      <c r="H773" s="12"/>
      <c r="I773" s="13"/>
      <c r="J773" s="13"/>
      <c r="K773" s="12"/>
      <c r="L773" s="12"/>
      <c r="M773" s="12"/>
      <c r="N773" s="12"/>
      <c r="O773" s="12"/>
      <c r="P773" s="12"/>
      <c r="Q773" s="12"/>
    </row>
    <row r="774" spans="1:17" x14ac:dyDescent="0.25">
      <c r="A774" s="11"/>
      <c r="B774" s="12"/>
      <c r="C774" s="12"/>
      <c r="D774" s="125"/>
      <c r="E774" s="125"/>
      <c r="F774" s="12"/>
      <c r="G774" s="12"/>
      <c r="H774" s="12"/>
      <c r="I774" s="13"/>
      <c r="J774" s="13"/>
      <c r="K774" s="12"/>
      <c r="L774" s="12"/>
      <c r="M774" s="12"/>
      <c r="N774" s="12"/>
      <c r="O774" s="12"/>
      <c r="P774" s="12"/>
      <c r="Q774" s="12"/>
    </row>
    <row r="775" spans="1:17" x14ac:dyDescent="0.25">
      <c r="A775" s="11"/>
      <c r="B775" s="12"/>
      <c r="C775" s="12"/>
      <c r="D775" s="125"/>
      <c r="E775" s="125"/>
      <c r="F775" s="12"/>
      <c r="G775" s="12"/>
      <c r="H775" s="12"/>
      <c r="I775" s="13"/>
      <c r="J775" s="13"/>
      <c r="K775" s="12"/>
      <c r="L775" s="12"/>
      <c r="M775" s="12"/>
      <c r="N775" s="12"/>
      <c r="O775" s="12"/>
      <c r="P775" s="12"/>
      <c r="Q775" s="12"/>
    </row>
    <row r="776" spans="1:17" x14ac:dyDescent="0.25">
      <c r="A776" s="11"/>
      <c r="B776" s="12"/>
      <c r="C776" s="12"/>
      <c r="D776" s="125"/>
      <c r="E776" s="125"/>
      <c r="F776" s="12"/>
      <c r="G776" s="12"/>
      <c r="H776" s="12"/>
      <c r="I776" s="13"/>
      <c r="J776" s="13"/>
      <c r="K776" s="12"/>
      <c r="L776" s="12"/>
      <c r="M776" s="12"/>
      <c r="N776" s="12"/>
      <c r="O776" s="12"/>
      <c r="P776" s="12"/>
      <c r="Q776" s="12"/>
    </row>
    <row r="777" spans="1:17" x14ac:dyDescent="0.25">
      <c r="A777" s="11"/>
      <c r="B777" s="12"/>
      <c r="C777" s="12"/>
      <c r="D777" s="125"/>
      <c r="E777" s="125"/>
      <c r="F777" s="12"/>
      <c r="G777" s="12"/>
      <c r="H777" s="12"/>
      <c r="I777" s="13"/>
      <c r="J777" s="13"/>
      <c r="K777" s="12"/>
      <c r="L777" s="12"/>
      <c r="M777" s="12"/>
      <c r="N777" s="12"/>
      <c r="O777" s="12"/>
      <c r="P777" s="12"/>
      <c r="Q777" s="12"/>
    </row>
    <row r="778" spans="1:17" x14ac:dyDescent="0.25">
      <c r="A778" s="11"/>
      <c r="B778" s="12"/>
      <c r="C778" s="12"/>
      <c r="D778" s="125"/>
      <c r="E778" s="125"/>
      <c r="F778" s="12"/>
      <c r="G778" s="12"/>
      <c r="H778" s="12"/>
      <c r="I778" s="13"/>
      <c r="J778" s="13"/>
      <c r="K778" s="12"/>
      <c r="L778" s="12"/>
      <c r="M778" s="12"/>
      <c r="N778" s="12"/>
      <c r="O778" s="12"/>
      <c r="P778" s="12"/>
      <c r="Q778" s="12"/>
    </row>
    <row r="779" spans="1:17" x14ac:dyDescent="0.25">
      <c r="A779" s="11"/>
      <c r="B779" s="12"/>
      <c r="C779" s="12"/>
      <c r="D779" s="125"/>
      <c r="E779" s="125"/>
      <c r="F779" s="12"/>
      <c r="G779" s="12"/>
      <c r="H779" s="12"/>
      <c r="I779" s="13"/>
      <c r="J779" s="13"/>
      <c r="K779" s="12"/>
      <c r="L779" s="12"/>
      <c r="M779" s="12"/>
      <c r="N779" s="12"/>
      <c r="O779" s="12"/>
      <c r="P779" s="12"/>
      <c r="Q779" s="12"/>
    </row>
    <row r="780" spans="1:17" x14ac:dyDescent="0.25">
      <c r="A780" s="11"/>
      <c r="B780" s="12"/>
      <c r="C780" s="12"/>
      <c r="D780" s="125"/>
      <c r="E780" s="125"/>
      <c r="F780" s="12"/>
      <c r="G780" s="12"/>
      <c r="H780" s="12"/>
      <c r="I780" s="13"/>
      <c r="J780" s="13"/>
      <c r="K780" s="12"/>
      <c r="L780" s="12"/>
      <c r="M780" s="12"/>
      <c r="N780" s="12"/>
      <c r="O780" s="12"/>
      <c r="P780" s="12"/>
      <c r="Q780" s="12"/>
    </row>
    <row r="781" spans="1:17" x14ac:dyDescent="0.25">
      <c r="A781" s="11"/>
      <c r="B781" s="12"/>
      <c r="C781" s="12"/>
      <c r="D781" s="125"/>
      <c r="E781" s="125"/>
      <c r="F781" s="12"/>
      <c r="G781" s="12"/>
      <c r="H781" s="12"/>
      <c r="I781" s="13"/>
      <c r="J781" s="13"/>
      <c r="K781" s="12"/>
      <c r="L781" s="12"/>
      <c r="M781" s="12"/>
      <c r="N781" s="12"/>
      <c r="O781" s="12"/>
      <c r="P781" s="12"/>
      <c r="Q781" s="12"/>
    </row>
    <row r="782" spans="1:17" x14ac:dyDescent="0.25">
      <c r="A782" s="11"/>
      <c r="B782" s="12"/>
      <c r="C782" s="12"/>
      <c r="D782" s="125"/>
      <c r="E782" s="125"/>
      <c r="F782" s="12"/>
      <c r="G782" s="12"/>
      <c r="H782" s="12"/>
      <c r="I782" s="13"/>
      <c r="J782" s="13"/>
      <c r="K782" s="12"/>
      <c r="L782" s="12"/>
      <c r="M782" s="12"/>
      <c r="N782" s="12"/>
      <c r="O782" s="12"/>
      <c r="P782" s="12"/>
      <c r="Q782" s="12"/>
    </row>
    <row r="783" spans="1:17" x14ac:dyDescent="0.25">
      <c r="A783" s="11"/>
      <c r="B783" s="12"/>
      <c r="C783" s="12"/>
      <c r="D783" s="125"/>
      <c r="E783" s="125"/>
      <c r="F783" s="12"/>
      <c r="G783" s="12"/>
      <c r="H783" s="12"/>
      <c r="I783" s="13"/>
      <c r="J783" s="13"/>
      <c r="K783" s="12"/>
      <c r="L783" s="12"/>
      <c r="M783" s="12"/>
      <c r="N783" s="12"/>
      <c r="O783" s="12"/>
      <c r="P783" s="12"/>
      <c r="Q783" s="12"/>
    </row>
    <row r="784" spans="1:17" x14ac:dyDescent="0.25">
      <c r="A784" s="11"/>
      <c r="B784" s="12"/>
      <c r="C784" s="12"/>
      <c r="D784" s="125"/>
      <c r="E784" s="125"/>
      <c r="F784" s="12"/>
      <c r="G784" s="12"/>
      <c r="H784" s="12"/>
      <c r="I784" s="13"/>
      <c r="J784" s="13"/>
      <c r="K784" s="12"/>
      <c r="L784" s="12"/>
      <c r="M784" s="12"/>
      <c r="N784" s="12"/>
      <c r="O784" s="12"/>
      <c r="P784" s="12"/>
      <c r="Q784" s="12"/>
    </row>
    <row r="785" spans="1:17" x14ac:dyDescent="0.25">
      <c r="A785" s="11"/>
      <c r="B785" s="12"/>
      <c r="C785" s="12"/>
      <c r="D785" s="125"/>
      <c r="E785" s="125"/>
      <c r="F785" s="12"/>
      <c r="G785" s="12"/>
      <c r="H785" s="12"/>
      <c r="I785" s="13"/>
      <c r="J785" s="13"/>
      <c r="K785" s="12"/>
      <c r="L785" s="12"/>
      <c r="M785" s="12"/>
      <c r="N785" s="12"/>
      <c r="O785" s="12"/>
      <c r="P785" s="12"/>
      <c r="Q785" s="12"/>
    </row>
    <row r="786" spans="1:17" x14ac:dyDescent="0.25">
      <c r="A786" s="11"/>
      <c r="B786" s="12"/>
      <c r="C786" s="12"/>
      <c r="D786" s="125"/>
      <c r="E786" s="125"/>
      <c r="F786" s="12"/>
      <c r="G786" s="12"/>
      <c r="H786" s="12"/>
      <c r="I786" s="13"/>
      <c r="J786" s="13"/>
      <c r="K786" s="12"/>
      <c r="L786" s="12"/>
      <c r="M786" s="12"/>
      <c r="N786" s="12"/>
      <c r="O786" s="12"/>
      <c r="P786" s="12"/>
      <c r="Q786" s="12"/>
    </row>
    <row r="787" spans="1:17" x14ac:dyDescent="0.25">
      <c r="A787" s="11"/>
      <c r="B787" s="12"/>
      <c r="C787" s="12"/>
      <c r="D787" s="125"/>
      <c r="E787" s="125"/>
      <c r="F787" s="12"/>
      <c r="G787" s="12"/>
      <c r="H787" s="12"/>
      <c r="I787" s="13"/>
      <c r="J787" s="13"/>
      <c r="K787" s="12"/>
      <c r="L787" s="12"/>
      <c r="M787" s="12"/>
      <c r="N787" s="12"/>
      <c r="O787" s="12"/>
      <c r="P787" s="12"/>
      <c r="Q787" s="12"/>
    </row>
    <row r="788" spans="1:17" x14ac:dyDescent="0.25">
      <c r="A788" s="11"/>
      <c r="B788" s="12"/>
      <c r="C788" s="12"/>
      <c r="D788" s="125"/>
      <c r="E788" s="125"/>
      <c r="F788" s="12"/>
      <c r="G788" s="12"/>
      <c r="H788" s="12"/>
      <c r="I788" s="13"/>
      <c r="J788" s="13"/>
      <c r="K788" s="12"/>
      <c r="L788" s="12"/>
      <c r="M788" s="12"/>
      <c r="N788" s="12"/>
      <c r="O788" s="12"/>
      <c r="P788" s="12"/>
      <c r="Q788" s="12"/>
    </row>
    <row r="789" spans="1:17" x14ac:dyDescent="0.25">
      <c r="A789" s="11"/>
      <c r="B789" s="12"/>
      <c r="C789" s="12"/>
      <c r="D789" s="125"/>
      <c r="E789" s="125"/>
      <c r="F789" s="12"/>
      <c r="G789" s="12"/>
      <c r="H789" s="12"/>
      <c r="I789" s="13"/>
      <c r="J789" s="13"/>
      <c r="K789" s="12"/>
      <c r="L789" s="12"/>
      <c r="M789" s="12"/>
      <c r="N789" s="12"/>
      <c r="O789" s="12"/>
      <c r="P789" s="12"/>
      <c r="Q789" s="12"/>
    </row>
    <row r="790" spans="1:17" x14ac:dyDescent="0.25">
      <c r="A790" s="11"/>
      <c r="B790" s="12"/>
      <c r="C790" s="12"/>
      <c r="D790" s="125"/>
      <c r="E790" s="125"/>
      <c r="F790" s="12"/>
      <c r="G790" s="12"/>
      <c r="H790" s="12"/>
      <c r="I790" s="13"/>
      <c r="J790" s="13"/>
      <c r="K790" s="12"/>
      <c r="L790" s="12"/>
      <c r="M790" s="12"/>
      <c r="N790" s="12"/>
      <c r="O790" s="12"/>
      <c r="P790" s="12"/>
      <c r="Q790" s="12"/>
    </row>
    <row r="791" spans="1:17" x14ac:dyDescent="0.25">
      <c r="A791" s="11"/>
      <c r="B791" s="12"/>
      <c r="C791" s="12"/>
      <c r="D791" s="125"/>
      <c r="E791" s="125"/>
      <c r="F791" s="12"/>
      <c r="G791" s="12"/>
      <c r="H791" s="12"/>
      <c r="I791" s="13"/>
      <c r="J791" s="13"/>
      <c r="K791" s="12"/>
      <c r="L791" s="12"/>
      <c r="M791" s="12"/>
      <c r="N791" s="12"/>
      <c r="O791" s="12"/>
      <c r="P791" s="12"/>
      <c r="Q791" s="12"/>
    </row>
    <row r="792" spans="1:17" x14ac:dyDescent="0.25">
      <c r="A792" s="11"/>
      <c r="B792" s="12"/>
      <c r="C792" s="12"/>
      <c r="D792" s="125"/>
      <c r="E792" s="125"/>
      <c r="F792" s="12"/>
      <c r="G792" s="12"/>
      <c r="H792" s="12"/>
      <c r="I792" s="13"/>
      <c r="J792" s="13"/>
      <c r="K792" s="12"/>
      <c r="L792" s="12"/>
      <c r="M792" s="12"/>
      <c r="N792" s="12"/>
      <c r="O792" s="12"/>
      <c r="P792" s="12"/>
      <c r="Q792" s="12"/>
    </row>
    <row r="793" spans="1:17" x14ac:dyDescent="0.25">
      <c r="A793" s="11"/>
      <c r="B793" s="12"/>
      <c r="C793" s="12"/>
      <c r="D793" s="125"/>
      <c r="E793" s="125"/>
      <c r="F793" s="12"/>
      <c r="G793" s="12"/>
      <c r="H793" s="12"/>
      <c r="I793" s="13"/>
      <c r="J793" s="13"/>
      <c r="K793" s="12"/>
      <c r="L793" s="12"/>
      <c r="M793" s="12"/>
      <c r="N793" s="12"/>
      <c r="O793" s="12"/>
      <c r="P793" s="12"/>
      <c r="Q793" s="12"/>
    </row>
    <row r="794" spans="1:17" x14ac:dyDescent="0.25">
      <c r="A794" s="11"/>
      <c r="B794" s="12"/>
      <c r="C794" s="12"/>
      <c r="D794" s="125"/>
      <c r="E794" s="125"/>
      <c r="F794" s="12"/>
      <c r="G794" s="12"/>
      <c r="H794" s="12"/>
      <c r="I794" s="13"/>
      <c r="J794" s="13"/>
      <c r="K794" s="12"/>
      <c r="L794" s="12"/>
      <c r="M794" s="12"/>
      <c r="N794" s="12"/>
      <c r="O794" s="12"/>
      <c r="P794" s="12"/>
      <c r="Q794" s="12"/>
    </row>
    <row r="795" spans="1:17" x14ac:dyDescent="0.25">
      <c r="A795" s="11"/>
      <c r="B795" s="12"/>
      <c r="C795" s="12"/>
      <c r="D795" s="125"/>
      <c r="E795" s="125"/>
      <c r="F795" s="12"/>
      <c r="G795" s="12"/>
      <c r="H795" s="12"/>
      <c r="I795" s="13"/>
      <c r="J795" s="13"/>
      <c r="K795" s="12"/>
      <c r="L795" s="12"/>
      <c r="M795" s="12"/>
      <c r="N795" s="12"/>
      <c r="O795" s="12"/>
      <c r="P795" s="12"/>
      <c r="Q795" s="12"/>
    </row>
    <row r="796" spans="1:17" x14ac:dyDescent="0.25">
      <c r="A796" s="11"/>
      <c r="B796" s="12"/>
      <c r="C796" s="12"/>
      <c r="D796" s="125"/>
      <c r="E796" s="125"/>
      <c r="F796" s="12"/>
      <c r="G796" s="12"/>
      <c r="H796" s="12"/>
      <c r="I796" s="13"/>
      <c r="J796" s="13"/>
      <c r="K796" s="12"/>
      <c r="L796" s="12"/>
      <c r="M796" s="12"/>
      <c r="N796" s="12"/>
      <c r="O796" s="12"/>
      <c r="P796" s="12"/>
      <c r="Q796" s="12"/>
    </row>
    <row r="797" spans="1:17" x14ac:dyDescent="0.25">
      <c r="A797" s="11"/>
      <c r="B797" s="12"/>
      <c r="C797" s="12"/>
      <c r="D797" s="125"/>
      <c r="E797" s="125"/>
      <c r="F797" s="12"/>
      <c r="G797" s="12"/>
      <c r="H797" s="12"/>
      <c r="I797" s="13"/>
      <c r="J797" s="13"/>
      <c r="K797" s="12"/>
      <c r="L797" s="12"/>
      <c r="M797" s="12"/>
      <c r="N797" s="12"/>
      <c r="O797" s="12"/>
      <c r="P797" s="12"/>
      <c r="Q797" s="12"/>
    </row>
    <row r="798" spans="1:17" x14ac:dyDescent="0.25">
      <c r="A798" s="11"/>
      <c r="B798" s="12"/>
      <c r="C798" s="12"/>
      <c r="D798" s="125"/>
      <c r="E798" s="125"/>
      <c r="F798" s="12"/>
      <c r="G798" s="12"/>
      <c r="H798" s="12"/>
      <c r="I798" s="13"/>
      <c r="J798" s="13"/>
      <c r="K798" s="12"/>
      <c r="L798" s="12"/>
      <c r="M798" s="12"/>
      <c r="N798" s="12"/>
      <c r="O798" s="12"/>
      <c r="P798" s="12"/>
      <c r="Q798" s="12"/>
    </row>
  </sheetData>
  <pageMargins left="0.70866141732283472" right="0.70866141732283472" top="0.74803149606299213" bottom="0.74803149606299213" header="0.31496062992125984" footer="0.31496062992125984"/>
  <pageSetup paperSize="9" orientation="portrait" r:id="rId1"/>
  <headerFooter>
    <oddFooter>&amp;L&amp;D&amp;R32362_Credit Daily Dashboard_T1.7</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Q1506"/>
  <sheetViews>
    <sheetView workbookViewId="0">
      <selection sqref="A1:Q1"/>
    </sheetView>
  </sheetViews>
  <sheetFormatPr defaultColWidth="9.109375" defaultRowHeight="13.2" x14ac:dyDescent="0.25"/>
  <cols>
    <col min="1" max="1" width="8.6640625" customWidth="1"/>
    <col min="2" max="2" width="14.6640625" style="825" customWidth="1"/>
    <col min="3" max="3" width="16.6640625" style="825" customWidth="1"/>
    <col min="4" max="5" width="20.6640625" style="126" customWidth="1"/>
    <col min="6" max="8" width="8.6640625" style="825" customWidth="1"/>
    <col min="9" max="10" width="12.6640625" style="825" customWidth="1"/>
    <col min="11" max="11" width="26.6640625" style="825" customWidth="1"/>
    <col min="12" max="14" width="16.6640625" style="825" customWidth="1"/>
    <col min="15" max="16" width="40.6640625" style="825" customWidth="1"/>
    <col min="17" max="17" width="45.6640625" style="825" customWidth="1"/>
  </cols>
  <sheetData>
    <row r="1" spans="1:17" ht="26.4" x14ac:dyDescent="0.25">
      <c r="A1" s="15" t="s">
        <v>11</v>
      </c>
      <c r="B1" s="15" t="s">
        <v>12</v>
      </c>
      <c r="C1" s="15" t="s">
        <v>13</v>
      </c>
      <c r="D1" s="124" t="s">
        <v>14</v>
      </c>
      <c r="E1" s="124" t="s">
        <v>15</v>
      </c>
      <c r="F1" s="15" t="s">
        <v>16</v>
      </c>
      <c r="G1" s="15" t="s">
        <v>17</v>
      </c>
      <c r="H1" s="15" t="s">
        <v>18</v>
      </c>
      <c r="I1" s="15" t="s">
        <v>19</v>
      </c>
      <c r="J1" s="15" t="s">
        <v>20</v>
      </c>
      <c r="K1" s="15" t="s">
        <v>21</v>
      </c>
      <c r="L1" s="15" t="s">
        <v>22</v>
      </c>
      <c r="M1" s="15" t="s">
        <v>23</v>
      </c>
      <c r="N1" s="15" t="s">
        <v>24</v>
      </c>
      <c r="O1" s="102"/>
      <c r="P1" s="102"/>
      <c r="Q1" s="102"/>
    </row>
    <row r="2" spans="1:17" x14ac:dyDescent="0.25">
      <c r="A2" s="11">
        <v>101042</v>
      </c>
      <c r="B2" s="12" t="s">
        <v>326</v>
      </c>
      <c r="C2" s="12" t="s">
        <v>80</v>
      </c>
      <c r="D2" s="125">
        <v>15000000</v>
      </c>
      <c r="E2" s="125">
        <v>1496244.82</v>
      </c>
      <c r="F2" s="12">
        <v>48</v>
      </c>
      <c r="G2" s="12">
        <v>180</v>
      </c>
      <c r="H2" s="12">
        <v>0</v>
      </c>
      <c r="I2" s="13">
        <v>41957.638357060183</v>
      </c>
      <c r="J2" s="13">
        <v>43053</v>
      </c>
      <c r="K2" s="12" t="s">
        <v>36</v>
      </c>
      <c r="L2" s="12" t="s">
        <v>97</v>
      </c>
      <c r="M2" s="12" t="s">
        <v>98</v>
      </c>
      <c r="N2" s="12" t="s">
        <v>5724</v>
      </c>
      <c r="O2" s="12"/>
      <c r="P2" s="12"/>
      <c r="Q2" s="12"/>
    </row>
    <row r="3" spans="1:17" x14ac:dyDescent="0.25">
      <c r="A3" s="11">
        <v>101068</v>
      </c>
      <c r="B3" s="12" t="s">
        <v>602</v>
      </c>
      <c r="C3" s="12" t="s">
        <v>82</v>
      </c>
      <c r="D3" s="125">
        <v>40000000</v>
      </c>
      <c r="E3" s="125">
        <v>1787422.92</v>
      </c>
      <c r="F3" s="12">
        <v>36</v>
      </c>
      <c r="G3" s="12">
        <v>180</v>
      </c>
      <c r="H3" s="12">
        <v>0</v>
      </c>
      <c r="I3" s="13">
        <v>41970.484529710651</v>
      </c>
      <c r="J3" s="13">
        <v>43071</v>
      </c>
      <c r="K3" s="12" t="s">
        <v>44</v>
      </c>
      <c r="L3" s="12" t="s">
        <v>75</v>
      </c>
      <c r="M3" s="12" t="s">
        <v>26</v>
      </c>
      <c r="N3" s="12" t="s">
        <v>491</v>
      </c>
      <c r="O3" s="12"/>
      <c r="P3" s="12"/>
      <c r="Q3" s="12"/>
    </row>
    <row r="4" spans="1:17" x14ac:dyDescent="0.25">
      <c r="A4" s="11">
        <v>101114</v>
      </c>
      <c r="B4" s="12" t="s">
        <v>595</v>
      </c>
      <c r="C4" s="12" t="s">
        <v>82</v>
      </c>
      <c r="D4" s="125">
        <v>30000000</v>
      </c>
      <c r="E4" s="125">
        <v>1348808.9</v>
      </c>
      <c r="F4" s="12">
        <v>36</v>
      </c>
      <c r="G4" s="12">
        <v>180</v>
      </c>
      <c r="H4" s="12">
        <v>0</v>
      </c>
      <c r="I4" s="13">
        <v>41988.481454317131</v>
      </c>
      <c r="J4" s="13">
        <v>43087</v>
      </c>
      <c r="K4" s="12" t="s">
        <v>44</v>
      </c>
      <c r="L4" s="12" t="s">
        <v>75</v>
      </c>
      <c r="M4" s="12" t="s">
        <v>26</v>
      </c>
      <c r="N4" s="12" t="s">
        <v>546</v>
      </c>
      <c r="O4" s="12"/>
      <c r="P4" s="12"/>
      <c r="Q4" s="12"/>
    </row>
    <row r="5" spans="1:17" x14ac:dyDescent="0.25">
      <c r="A5" s="11">
        <v>101181</v>
      </c>
      <c r="B5" s="12" t="s">
        <v>120</v>
      </c>
      <c r="C5" s="12" t="s">
        <v>82</v>
      </c>
      <c r="D5" s="125">
        <v>40000000</v>
      </c>
      <c r="E5" s="125">
        <v>6896243.7000000002</v>
      </c>
      <c r="F5" s="12">
        <v>36</v>
      </c>
      <c r="G5" s="12">
        <v>180</v>
      </c>
      <c r="H5" s="12">
        <v>0</v>
      </c>
      <c r="I5" s="13">
        <v>42006.451877627318</v>
      </c>
      <c r="J5" s="13">
        <v>43115</v>
      </c>
      <c r="K5" s="12" t="s">
        <v>44</v>
      </c>
      <c r="L5" s="12" t="s">
        <v>92</v>
      </c>
      <c r="M5" s="12" t="s">
        <v>26</v>
      </c>
      <c r="N5" s="12" t="s">
        <v>1039</v>
      </c>
      <c r="O5" s="12"/>
      <c r="P5" s="12"/>
      <c r="Q5" s="12"/>
    </row>
    <row r="6" spans="1:17" x14ac:dyDescent="0.25">
      <c r="A6" s="11">
        <v>101304</v>
      </c>
      <c r="B6" s="12" t="s">
        <v>744</v>
      </c>
      <c r="C6" s="12" t="s">
        <v>82</v>
      </c>
      <c r="D6" s="125">
        <v>45000000</v>
      </c>
      <c r="E6" s="125">
        <v>9430003.2799999993</v>
      </c>
      <c r="F6" s="12">
        <v>36</v>
      </c>
      <c r="G6" s="12">
        <v>180</v>
      </c>
      <c r="H6" s="12">
        <v>0</v>
      </c>
      <c r="I6" s="13">
        <v>42059.636060914352</v>
      </c>
      <c r="J6" s="13">
        <v>43160</v>
      </c>
      <c r="K6" s="12" t="s">
        <v>44</v>
      </c>
      <c r="L6" s="12" t="s">
        <v>75</v>
      </c>
      <c r="M6" s="12" t="s">
        <v>26</v>
      </c>
      <c r="N6" s="12" t="s">
        <v>468</v>
      </c>
      <c r="O6" s="12"/>
      <c r="P6" s="12"/>
      <c r="Q6" s="12"/>
    </row>
    <row r="7" spans="1:17" x14ac:dyDescent="0.25">
      <c r="A7" s="11">
        <v>101313</v>
      </c>
      <c r="B7" s="12" t="s">
        <v>139</v>
      </c>
      <c r="C7" s="12" t="s">
        <v>80</v>
      </c>
      <c r="D7" s="125">
        <v>15333063</v>
      </c>
      <c r="E7" s="125">
        <v>3431151.96</v>
      </c>
      <c r="F7" s="12">
        <v>42</v>
      </c>
      <c r="G7" s="12">
        <v>180</v>
      </c>
      <c r="H7" s="12">
        <v>0</v>
      </c>
      <c r="I7" s="13">
        <v>42061.503410300924</v>
      </c>
      <c r="J7" s="13">
        <v>43160</v>
      </c>
      <c r="K7" s="12" t="s">
        <v>28</v>
      </c>
      <c r="L7" s="12" t="s">
        <v>755</v>
      </c>
      <c r="M7" s="12" t="s">
        <v>26</v>
      </c>
      <c r="N7" s="12" t="s">
        <v>1191</v>
      </c>
      <c r="O7" s="12"/>
      <c r="P7" s="12"/>
      <c r="Q7" s="12"/>
    </row>
    <row r="8" spans="1:17" x14ac:dyDescent="0.25">
      <c r="A8" s="11">
        <v>101339</v>
      </c>
      <c r="B8" s="12" t="s">
        <v>203</v>
      </c>
      <c r="C8" s="12" t="s">
        <v>82</v>
      </c>
      <c r="D8" s="125">
        <v>32000000</v>
      </c>
      <c r="E8" s="125">
        <v>5142447.18</v>
      </c>
      <c r="F8" s="12">
        <v>36</v>
      </c>
      <c r="G8" s="12">
        <v>180</v>
      </c>
      <c r="H8" s="12">
        <v>0</v>
      </c>
      <c r="I8" s="13">
        <v>42067.607975578707</v>
      </c>
      <c r="J8" s="13">
        <v>43161</v>
      </c>
      <c r="K8" s="12" t="s">
        <v>44</v>
      </c>
      <c r="L8" s="12" t="s">
        <v>75</v>
      </c>
      <c r="M8" s="12" t="s">
        <v>26</v>
      </c>
      <c r="N8" s="12" t="s">
        <v>3074</v>
      </c>
      <c r="O8" s="12"/>
      <c r="P8" s="12"/>
      <c r="Q8" s="12"/>
    </row>
    <row r="9" spans="1:17" x14ac:dyDescent="0.25">
      <c r="A9" s="11">
        <v>101385</v>
      </c>
      <c r="B9" s="12" t="s">
        <v>809</v>
      </c>
      <c r="C9" s="12" t="s">
        <v>82</v>
      </c>
      <c r="D9" s="125">
        <v>82000000</v>
      </c>
      <c r="E9" s="125">
        <v>13971913.65</v>
      </c>
      <c r="F9" s="12">
        <v>36</v>
      </c>
      <c r="G9" s="12">
        <v>180</v>
      </c>
      <c r="H9" s="12">
        <v>0</v>
      </c>
      <c r="I9" s="13">
        <v>42080.653667743056</v>
      </c>
      <c r="J9" s="13">
        <v>43176</v>
      </c>
      <c r="K9" s="12" t="s">
        <v>25</v>
      </c>
      <c r="L9" s="12" t="s">
        <v>290</v>
      </c>
      <c r="M9" s="12" t="s">
        <v>26</v>
      </c>
      <c r="N9" s="12" t="s">
        <v>468</v>
      </c>
      <c r="O9" s="12"/>
      <c r="P9" s="12"/>
      <c r="Q9" s="12"/>
    </row>
    <row r="10" spans="1:17" x14ac:dyDescent="0.25">
      <c r="A10" s="11">
        <v>101518</v>
      </c>
      <c r="B10" s="12" t="s">
        <v>626</v>
      </c>
      <c r="C10" s="12" t="s">
        <v>82</v>
      </c>
      <c r="D10" s="125">
        <v>62000000</v>
      </c>
      <c r="E10" s="125">
        <v>21619863.559999999</v>
      </c>
      <c r="F10" s="12">
        <v>36</v>
      </c>
      <c r="G10" s="12">
        <v>180</v>
      </c>
      <c r="H10" s="12">
        <v>0</v>
      </c>
      <c r="I10" s="13">
        <v>42118.63092635417</v>
      </c>
      <c r="J10" s="13">
        <v>43234</v>
      </c>
      <c r="K10" s="12" t="s">
        <v>45</v>
      </c>
      <c r="L10" s="12" t="s">
        <v>45</v>
      </c>
      <c r="M10" s="12" t="s">
        <v>26</v>
      </c>
      <c r="N10" s="12" t="s">
        <v>5725</v>
      </c>
      <c r="O10" s="12"/>
      <c r="P10" s="12"/>
      <c r="Q10" s="12"/>
    </row>
    <row r="11" spans="1:17" x14ac:dyDescent="0.25">
      <c r="A11" s="11">
        <v>101540</v>
      </c>
      <c r="B11" s="12" t="s">
        <v>904</v>
      </c>
      <c r="C11" s="12" t="s">
        <v>82</v>
      </c>
      <c r="D11" s="125">
        <v>65000000</v>
      </c>
      <c r="E11" s="125">
        <v>16284900.460000001</v>
      </c>
      <c r="F11" s="12">
        <v>36</v>
      </c>
      <c r="G11" s="12">
        <v>180</v>
      </c>
      <c r="H11" s="12">
        <v>0</v>
      </c>
      <c r="I11" s="13">
        <v>42123.626142094909</v>
      </c>
      <c r="J11" s="13">
        <v>43229</v>
      </c>
      <c r="K11" s="12" t="s">
        <v>44</v>
      </c>
      <c r="L11" s="12" t="s">
        <v>75</v>
      </c>
      <c r="M11" s="12" t="s">
        <v>26</v>
      </c>
      <c r="N11" s="12" t="s">
        <v>546</v>
      </c>
      <c r="O11" s="12"/>
      <c r="P11" s="12"/>
      <c r="Q11" s="12"/>
    </row>
    <row r="12" spans="1:17" x14ac:dyDescent="0.25">
      <c r="A12" s="11">
        <v>101541</v>
      </c>
      <c r="B12" s="12" t="s">
        <v>534</v>
      </c>
      <c r="C12" s="12" t="s">
        <v>82</v>
      </c>
      <c r="D12" s="125">
        <v>70000000</v>
      </c>
      <c r="E12" s="125">
        <v>25109756.34</v>
      </c>
      <c r="F12" s="12">
        <v>36</v>
      </c>
      <c r="G12" s="12">
        <v>180</v>
      </c>
      <c r="H12" s="12">
        <v>0</v>
      </c>
      <c r="I12" s="13">
        <v>42123.651579201389</v>
      </c>
      <c r="J12" s="13">
        <v>43225</v>
      </c>
      <c r="K12" s="12" t="s">
        <v>25</v>
      </c>
      <c r="L12" s="12" t="s">
        <v>32</v>
      </c>
      <c r="M12" s="12" t="s">
        <v>26</v>
      </c>
      <c r="N12" s="12" t="s">
        <v>491</v>
      </c>
      <c r="O12" s="12"/>
      <c r="P12" s="12"/>
      <c r="Q12" s="12"/>
    </row>
    <row r="13" spans="1:17" x14ac:dyDescent="0.25">
      <c r="A13" s="11">
        <v>101547</v>
      </c>
      <c r="B13" s="12" t="s">
        <v>912</v>
      </c>
      <c r="C13" s="12" t="s">
        <v>82</v>
      </c>
      <c r="D13" s="125">
        <v>72000000</v>
      </c>
      <c r="E13" s="125">
        <v>32858913.73</v>
      </c>
      <c r="F13" s="12">
        <v>36</v>
      </c>
      <c r="G13" s="12">
        <v>180</v>
      </c>
      <c r="H13" s="12">
        <v>0</v>
      </c>
      <c r="I13" s="13">
        <v>42124.534045405089</v>
      </c>
      <c r="J13" s="13">
        <v>43221</v>
      </c>
      <c r="K13" s="12" t="s">
        <v>44</v>
      </c>
      <c r="L13" s="12" t="s">
        <v>92</v>
      </c>
      <c r="M13" s="12" t="s">
        <v>26</v>
      </c>
      <c r="N13" s="12" t="s">
        <v>5726</v>
      </c>
      <c r="O13" s="12"/>
      <c r="P13" s="12"/>
      <c r="Q13" s="12"/>
    </row>
    <row r="14" spans="1:17" x14ac:dyDescent="0.25">
      <c r="A14" s="11">
        <v>101605</v>
      </c>
      <c r="B14" s="12" t="s">
        <v>325</v>
      </c>
      <c r="C14" s="12" t="s">
        <v>80</v>
      </c>
      <c r="D14" s="125">
        <v>75000000</v>
      </c>
      <c r="E14" s="125">
        <v>21402795.050000001</v>
      </c>
      <c r="F14" s="12">
        <v>36</v>
      </c>
      <c r="G14" s="12">
        <v>180</v>
      </c>
      <c r="H14" s="12">
        <v>0</v>
      </c>
      <c r="I14" s="13">
        <v>42133.476330324076</v>
      </c>
      <c r="J14" s="13">
        <v>43221</v>
      </c>
      <c r="K14" s="12" t="s">
        <v>25</v>
      </c>
      <c r="L14" s="12" t="s">
        <v>88</v>
      </c>
      <c r="M14" s="12" t="s">
        <v>285</v>
      </c>
      <c r="N14" s="12" t="s">
        <v>86</v>
      </c>
      <c r="O14" s="12"/>
      <c r="P14" s="12"/>
      <c r="Q14" s="12"/>
    </row>
    <row r="15" spans="1:17" x14ac:dyDescent="0.25">
      <c r="A15" s="11">
        <v>101670</v>
      </c>
      <c r="B15" s="12" t="s">
        <v>994</v>
      </c>
      <c r="C15" s="12" t="s">
        <v>82</v>
      </c>
      <c r="D15" s="125">
        <v>13000000</v>
      </c>
      <c r="E15" s="125">
        <v>4174203.37</v>
      </c>
      <c r="F15" s="12">
        <v>48</v>
      </c>
      <c r="G15" s="12">
        <v>180</v>
      </c>
      <c r="H15" s="12">
        <v>0</v>
      </c>
      <c r="I15" s="13">
        <v>42149.685221527776</v>
      </c>
      <c r="J15" s="13">
        <v>43255</v>
      </c>
      <c r="K15" s="12" t="s">
        <v>44</v>
      </c>
      <c r="L15" s="12" t="s">
        <v>75</v>
      </c>
      <c r="M15" s="12" t="s">
        <v>26</v>
      </c>
      <c r="N15" s="12" t="s">
        <v>86</v>
      </c>
      <c r="O15" s="12"/>
      <c r="P15" s="12"/>
      <c r="Q15" s="12"/>
    </row>
    <row r="16" spans="1:17" x14ac:dyDescent="0.25">
      <c r="A16" s="11">
        <v>101674</v>
      </c>
      <c r="B16" s="12" t="s">
        <v>1005</v>
      </c>
      <c r="C16" s="12" t="s">
        <v>82</v>
      </c>
      <c r="D16" s="125">
        <v>30000000</v>
      </c>
      <c r="E16" s="125">
        <v>9083233.8300000001</v>
      </c>
      <c r="F16" s="12">
        <v>42</v>
      </c>
      <c r="G16" s="12">
        <v>180</v>
      </c>
      <c r="H16" s="12">
        <v>0</v>
      </c>
      <c r="I16" s="13">
        <v>42150.471053935187</v>
      </c>
      <c r="J16" s="13">
        <v>43261</v>
      </c>
      <c r="K16" s="12" t="s">
        <v>44</v>
      </c>
      <c r="L16" s="12" t="s">
        <v>92</v>
      </c>
      <c r="M16" s="12" t="s">
        <v>92</v>
      </c>
      <c r="N16" s="12" t="s">
        <v>963</v>
      </c>
      <c r="O16" s="12"/>
      <c r="P16" s="12"/>
      <c r="Q16" s="12"/>
    </row>
    <row r="17" spans="1:17" x14ac:dyDescent="0.25">
      <c r="A17" s="11">
        <v>101704</v>
      </c>
      <c r="B17" s="12" t="s">
        <v>687</v>
      </c>
      <c r="C17" s="12" t="s">
        <v>82</v>
      </c>
      <c r="D17" s="125">
        <v>25000000</v>
      </c>
      <c r="E17" s="125">
        <v>7505070.71</v>
      </c>
      <c r="F17" s="12">
        <v>42</v>
      </c>
      <c r="G17" s="12">
        <v>180</v>
      </c>
      <c r="H17" s="12">
        <v>0</v>
      </c>
      <c r="I17" s="13">
        <v>42154.480922106479</v>
      </c>
      <c r="J17" s="13">
        <v>43266</v>
      </c>
      <c r="K17" s="12" t="s">
        <v>25</v>
      </c>
      <c r="L17" s="12" t="s">
        <v>106</v>
      </c>
      <c r="M17" s="12" t="s">
        <v>26</v>
      </c>
      <c r="N17" s="12" t="s">
        <v>963</v>
      </c>
      <c r="O17" s="12"/>
      <c r="P17" s="12"/>
      <c r="Q17" s="12"/>
    </row>
    <row r="18" spans="1:17" x14ac:dyDescent="0.25">
      <c r="A18" s="11">
        <v>101711</v>
      </c>
      <c r="B18" s="12" t="s">
        <v>730</v>
      </c>
      <c r="C18" s="12" t="s">
        <v>82</v>
      </c>
      <c r="D18" s="125">
        <v>49219081.039999999</v>
      </c>
      <c r="E18" s="125">
        <v>14326640.18</v>
      </c>
      <c r="F18" s="12">
        <v>36</v>
      </c>
      <c r="G18" s="12">
        <v>180</v>
      </c>
      <c r="H18" s="12">
        <v>0</v>
      </c>
      <c r="I18" s="13">
        <v>42154.654883796298</v>
      </c>
      <c r="J18" s="13">
        <v>43224</v>
      </c>
      <c r="K18" s="12" t="s">
        <v>25</v>
      </c>
      <c r="L18" s="12" t="s">
        <v>26</v>
      </c>
      <c r="M18" s="12" t="s">
        <v>26</v>
      </c>
      <c r="N18" s="12" t="s">
        <v>1467</v>
      </c>
      <c r="O18" s="12"/>
      <c r="P18" s="12"/>
      <c r="Q18" s="12"/>
    </row>
    <row r="19" spans="1:17" x14ac:dyDescent="0.25">
      <c r="A19" s="11">
        <v>101730</v>
      </c>
      <c r="B19" s="12" t="s">
        <v>1047</v>
      </c>
      <c r="C19" s="12" t="s">
        <v>82</v>
      </c>
      <c r="D19" s="125">
        <v>50000000</v>
      </c>
      <c r="E19" s="125">
        <v>16757272.619999999</v>
      </c>
      <c r="F19" s="12">
        <v>36</v>
      </c>
      <c r="G19" s="12">
        <v>180</v>
      </c>
      <c r="H19" s="12">
        <v>0</v>
      </c>
      <c r="I19" s="13">
        <v>42167.549388113424</v>
      </c>
      <c r="J19" s="13">
        <v>43271</v>
      </c>
      <c r="K19" s="12" t="s">
        <v>27</v>
      </c>
      <c r="L19" s="12" t="s">
        <v>26</v>
      </c>
      <c r="M19" s="12" t="s">
        <v>26</v>
      </c>
      <c r="N19" s="12" t="s">
        <v>1039</v>
      </c>
      <c r="O19" s="12"/>
      <c r="P19" s="12"/>
      <c r="Q19" s="12"/>
    </row>
    <row r="20" spans="1:17" x14ac:dyDescent="0.25">
      <c r="A20" s="11">
        <v>101743</v>
      </c>
      <c r="B20" s="12" t="s">
        <v>420</v>
      </c>
      <c r="C20" s="12" t="s">
        <v>82</v>
      </c>
      <c r="D20" s="125">
        <v>30000000</v>
      </c>
      <c r="E20" s="125">
        <v>8610988.6300000008</v>
      </c>
      <c r="F20" s="12">
        <v>36</v>
      </c>
      <c r="G20" s="12">
        <v>180</v>
      </c>
      <c r="H20" s="12">
        <v>0</v>
      </c>
      <c r="I20" s="13">
        <v>42172.712030243056</v>
      </c>
      <c r="J20" s="13">
        <v>43275</v>
      </c>
      <c r="K20" s="12" t="s">
        <v>44</v>
      </c>
      <c r="L20" s="12" t="s">
        <v>75</v>
      </c>
      <c r="M20" s="12" t="s">
        <v>26</v>
      </c>
      <c r="N20" s="12" t="s">
        <v>546</v>
      </c>
      <c r="O20" s="12"/>
      <c r="P20" s="12"/>
      <c r="Q20" s="12"/>
    </row>
    <row r="21" spans="1:17" x14ac:dyDescent="0.25">
      <c r="A21" s="11">
        <v>101758</v>
      </c>
      <c r="B21" s="12" t="s">
        <v>1079</v>
      </c>
      <c r="C21" s="12" t="s">
        <v>82</v>
      </c>
      <c r="D21" s="125">
        <v>35000000</v>
      </c>
      <c r="E21" s="125">
        <v>12627589.939999999</v>
      </c>
      <c r="F21" s="12">
        <v>36</v>
      </c>
      <c r="G21" s="12">
        <v>180</v>
      </c>
      <c r="H21" s="12">
        <v>0</v>
      </c>
      <c r="I21" s="13">
        <v>42175.503005057872</v>
      </c>
      <c r="J21" s="13">
        <v>43283</v>
      </c>
      <c r="K21" s="12" t="s">
        <v>44</v>
      </c>
      <c r="L21" s="12" t="s">
        <v>75</v>
      </c>
      <c r="M21" s="12" t="s">
        <v>26</v>
      </c>
      <c r="N21" s="12" t="s">
        <v>1039</v>
      </c>
      <c r="O21" s="12"/>
      <c r="P21" s="12"/>
      <c r="Q21" s="12"/>
    </row>
    <row r="22" spans="1:17" x14ac:dyDescent="0.25">
      <c r="A22" s="11">
        <v>101780</v>
      </c>
      <c r="B22" s="12" t="s">
        <v>1090</v>
      </c>
      <c r="C22" s="12" t="s">
        <v>82</v>
      </c>
      <c r="D22" s="125">
        <v>31000000</v>
      </c>
      <c r="E22" s="125">
        <v>10112540.810000001</v>
      </c>
      <c r="F22" s="12">
        <v>36</v>
      </c>
      <c r="G22" s="12">
        <v>180</v>
      </c>
      <c r="H22" s="12">
        <v>0</v>
      </c>
      <c r="I22" s="13">
        <v>42180.710793020837</v>
      </c>
      <c r="J22" s="13">
        <v>43291</v>
      </c>
      <c r="K22" s="12" t="s">
        <v>27</v>
      </c>
      <c r="L22" s="12" t="s">
        <v>26</v>
      </c>
      <c r="M22" s="12" t="s">
        <v>26</v>
      </c>
      <c r="N22" s="12" t="s">
        <v>468</v>
      </c>
      <c r="O22" s="12"/>
      <c r="P22" s="12"/>
      <c r="Q22" s="12"/>
    </row>
    <row r="23" spans="1:17" x14ac:dyDescent="0.25">
      <c r="A23" s="11">
        <v>101791</v>
      </c>
      <c r="B23" s="12" t="s">
        <v>1101</v>
      </c>
      <c r="C23" s="12" t="s">
        <v>82</v>
      </c>
      <c r="D23" s="125">
        <v>30000000</v>
      </c>
      <c r="E23" s="125">
        <v>11780976.289999999</v>
      </c>
      <c r="F23" s="12">
        <v>36</v>
      </c>
      <c r="G23" s="12">
        <v>180</v>
      </c>
      <c r="H23" s="12">
        <v>0</v>
      </c>
      <c r="I23" s="13">
        <v>42184.590671412036</v>
      </c>
      <c r="J23" s="13">
        <v>43296</v>
      </c>
      <c r="K23" s="12" t="s">
        <v>44</v>
      </c>
      <c r="L23" s="12" t="s">
        <v>92</v>
      </c>
      <c r="M23" s="12" t="s">
        <v>92</v>
      </c>
      <c r="N23" s="12" t="s">
        <v>1467</v>
      </c>
      <c r="O23" s="12"/>
      <c r="P23" s="12"/>
      <c r="Q23" s="12"/>
    </row>
    <row r="24" spans="1:17" x14ac:dyDescent="0.25">
      <c r="A24" s="11">
        <v>101795</v>
      </c>
      <c r="B24" s="12" t="s">
        <v>344</v>
      </c>
      <c r="C24" s="12" t="s">
        <v>82</v>
      </c>
      <c r="D24" s="125">
        <v>50000000</v>
      </c>
      <c r="E24" s="125">
        <v>15998386.050000001</v>
      </c>
      <c r="F24" s="12">
        <v>36</v>
      </c>
      <c r="G24" s="12">
        <v>180</v>
      </c>
      <c r="H24" s="12">
        <v>0</v>
      </c>
      <c r="I24" s="13">
        <v>42185.557041585649</v>
      </c>
      <c r="J24" s="13">
        <v>43276</v>
      </c>
      <c r="K24" s="12" t="s">
        <v>44</v>
      </c>
      <c r="L24" s="12" t="s">
        <v>75</v>
      </c>
      <c r="M24" s="12" t="s">
        <v>26</v>
      </c>
      <c r="N24" s="12" t="s">
        <v>546</v>
      </c>
      <c r="O24" s="12"/>
      <c r="P24" s="12"/>
      <c r="Q24" s="12"/>
    </row>
    <row r="25" spans="1:17" x14ac:dyDescent="0.25">
      <c r="A25" s="11">
        <v>101802</v>
      </c>
      <c r="B25" s="12" t="s">
        <v>367</v>
      </c>
      <c r="C25" s="12" t="s">
        <v>82</v>
      </c>
      <c r="D25" s="125">
        <v>82000000</v>
      </c>
      <c r="E25" s="125">
        <v>29300717.640000001</v>
      </c>
      <c r="F25" s="12">
        <v>36</v>
      </c>
      <c r="G25" s="12">
        <v>180</v>
      </c>
      <c r="H25" s="12">
        <v>0</v>
      </c>
      <c r="I25" s="13">
        <v>42185.721404432872</v>
      </c>
      <c r="J25" s="13">
        <v>43283</v>
      </c>
      <c r="K25" s="12" t="s">
        <v>25</v>
      </c>
      <c r="L25" s="12" t="s">
        <v>103</v>
      </c>
      <c r="M25" s="12" t="s">
        <v>104</v>
      </c>
      <c r="N25" s="12" t="s">
        <v>546</v>
      </c>
      <c r="O25" s="12"/>
      <c r="P25" s="12"/>
      <c r="Q25" s="12"/>
    </row>
    <row r="26" spans="1:17" x14ac:dyDescent="0.25">
      <c r="A26" s="11">
        <v>101815</v>
      </c>
      <c r="B26" s="12" t="s">
        <v>111</v>
      </c>
      <c r="C26" s="12" t="s">
        <v>82</v>
      </c>
      <c r="D26" s="125">
        <v>55000000</v>
      </c>
      <c r="E26" s="125">
        <v>17649731.629999999</v>
      </c>
      <c r="F26" s="12">
        <v>36</v>
      </c>
      <c r="G26" s="12">
        <v>180</v>
      </c>
      <c r="H26" s="12">
        <v>0</v>
      </c>
      <c r="I26" s="13">
        <v>42189.499219328703</v>
      </c>
      <c r="J26" s="13">
        <v>43283</v>
      </c>
      <c r="K26" s="12" t="s">
        <v>25</v>
      </c>
      <c r="L26" s="12" t="s">
        <v>88</v>
      </c>
      <c r="M26" s="12" t="s">
        <v>26</v>
      </c>
      <c r="N26" s="12" t="s">
        <v>1039</v>
      </c>
      <c r="O26" s="12"/>
      <c r="P26" s="12"/>
      <c r="Q26" s="12"/>
    </row>
    <row r="27" spans="1:17" x14ac:dyDescent="0.25">
      <c r="A27" s="11">
        <v>101817</v>
      </c>
      <c r="B27" s="12" t="s">
        <v>698</v>
      </c>
      <c r="C27" s="12" t="s">
        <v>82</v>
      </c>
      <c r="D27" s="125">
        <v>75000000</v>
      </c>
      <c r="E27" s="125">
        <v>24114640.399999999</v>
      </c>
      <c r="F27" s="12">
        <v>36</v>
      </c>
      <c r="G27" s="12">
        <v>180</v>
      </c>
      <c r="H27" s="12">
        <v>0</v>
      </c>
      <c r="I27" s="13">
        <v>42191.634749965277</v>
      </c>
      <c r="J27" s="13">
        <v>43287</v>
      </c>
      <c r="K27" s="12" t="s">
        <v>44</v>
      </c>
      <c r="L27" s="12" t="s">
        <v>75</v>
      </c>
      <c r="M27" s="12" t="s">
        <v>26</v>
      </c>
      <c r="N27" s="12" t="s">
        <v>546</v>
      </c>
      <c r="O27" s="12"/>
      <c r="P27" s="12"/>
      <c r="Q27" s="12"/>
    </row>
    <row r="28" spans="1:17" x14ac:dyDescent="0.25">
      <c r="A28" s="11">
        <v>101863</v>
      </c>
      <c r="B28" s="12" t="s">
        <v>1157</v>
      </c>
      <c r="C28" s="12" t="s">
        <v>82</v>
      </c>
      <c r="D28" s="125">
        <v>14000000</v>
      </c>
      <c r="E28" s="125">
        <v>4970824.9000000004</v>
      </c>
      <c r="F28" s="12">
        <v>48</v>
      </c>
      <c r="G28" s="12">
        <v>180</v>
      </c>
      <c r="H28" s="12">
        <v>0</v>
      </c>
      <c r="I28" s="13">
        <v>42210.528615312498</v>
      </c>
      <c r="J28" s="13">
        <v>43330</v>
      </c>
      <c r="K28" s="12" t="s">
        <v>46</v>
      </c>
      <c r="L28" s="12" t="s">
        <v>46</v>
      </c>
      <c r="M28" s="12" t="s">
        <v>26</v>
      </c>
      <c r="N28" s="12" t="s">
        <v>1191</v>
      </c>
      <c r="O28" s="12"/>
      <c r="P28" s="12"/>
      <c r="Q28" s="12"/>
    </row>
    <row r="29" spans="1:17" x14ac:dyDescent="0.25">
      <c r="A29" s="11">
        <v>101877</v>
      </c>
      <c r="B29" s="12" t="s">
        <v>1173</v>
      </c>
      <c r="C29" s="12" t="s">
        <v>82</v>
      </c>
      <c r="D29" s="125">
        <v>80000000</v>
      </c>
      <c r="E29" s="125">
        <v>28696864.579999998</v>
      </c>
      <c r="F29" s="12">
        <v>36</v>
      </c>
      <c r="G29" s="12">
        <v>180</v>
      </c>
      <c r="H29" s="12">
        <v>0</v>
      </c>
      <c r="I29" s="13">
        <v>42214.663188969906</v>
      </c>
      <c r="J29" s="13">
        <v>43317</v>
      </c>
      <c r="K29" s="12" t="s">
        <v>31</v>
      </c>
      <c r="L29" s="12" t="s">
        <v>293</v>
      </c>
      <c r="M29" s="12" t="s">
        <v>26</v>
      </c>
      <c r="N29" s="12" t="s">
        <v>90</v>
      </c>
      <c r="O29" s="12"/>
      <c r="P29" s="12"/>
      <c r="Q29" s="12"/>
    </row>
    <row r="30" spans="1:17" x14ac:dyDescent="0.25">
      <c r="A30" s="11">
        <v>101892</v>
      </c>
      <c r="B30" s="12" t="s">
        <v>223</v>
      </c>
      <c r="C30" s="12" t="s">
        <v>82</v>
      </c>
      <c r="D30" s="125">
        <v>42870509</v>
      </c>
      <c r="E30" s="125">
        <v>4853148.8099999996</v>
      </c>
      <c r="F30" s="12">
        <v>36</v>
      </c>
      <c r="G30" s="12">
        <v>180</v>
      </c>
      <c r="H30" s="12">
        <v>0</v>
      </c>
      <c r="I30" s="13">
        <v>42216.629636655096</v>
      </c>
      <c r="J30" s="13">
        <v>42949</v>
      </c>
      <c r="K30" s="12" t="s">
        <v>25</v>
      </c>
      <c r="L30" s="12" t="s">
        <v>26</v>
      </c>
      <c r="M30" s="12" t="s">
        <v>26</v>
      </c>
      <c r="N30" s="12" t="s">
        <v>5725</v>
      </c>
      <c r="O30" s="12"/>
      <c r="P30" s="12"/>
      <c r="Q30" s="12"/>
    </row>
    <row r="31" spans="1:17" x14ac:dyDescent="0.25">
      <c r="A31" s="11">
        <v>101895</v>
      </c>
      <c r="B31" s="12" t="s">
        <v>649</v>
      </c>
      <c r="C31" s="12" t="s">
        <v>82</v>
      </c>
      <c r="D31" s="125">
        <v>55381803</v>
      </c>
      <c r="E31" s="125">
        <v>23516676.079999998</v>
      </c>
      <c r="F31" s="12">
        <v>36</v>
      </c>
      <c r="G31" s="12">
        <v>180</v>
      </c>
      <c r="H31" s="12">
        <v>0</v>
      </c>
      <c r="I31" s="13">
        <v>42216.642023067128</v>
      </c>
      <c r="J31" s="13">
        <v>43314</v>
      </c>
      <c r="K31" s="12" t="s">
        <v>25</v>
      </c>
      <c r="L31" s="12" t="s">
        <v>26</v>
      </c>
      <c r="M31" s="12" t="s">
        <v>26</v>
      </c>
      <c r="N31" s="12" t="s">
        <v>5726</v>
      </c>
      <c r="O31" s="12"/>
      <c r="P31" s="12"/>
      <c r="Q31" s="12"/>
    </row>
    <row r="32" spans="1:17" x14ac:dyDescent="0.25">
      <c r="A32" s="11">
        <v>101896</v>
      </c>
      <c r="B32" s="12" t="s">
        <v>621</v>
      </c>
      <c r="C32" s="12" t="s">
        <v>82</v>
      </c>
      <c r="D32" s="125">
        <v>70000000</v>
      </c>
      <c r="E32" s="125">
        <v>10121571.390000001</v>
      </c>
      <c r="F32" s="12">
        <v>36</v>
      </c>
      <c r="G32" s="12">
        <v>180</v>
      </c>
      <c r="H32" s="12">
        <v>0</v>
      </c>
      <c r="I32" s="13">
        <v>42216.681677314817</v>
      </c>
      <c r="J32" s="13">
        <v>43133</v>
      </c>
      <c r="K32" s="12" t="s">
        <v>35</v>
      </c>
      <c r="L32" s="12" t="s">
        <v>26</v>
      </c>
      <c r="M32" s="12" t="s">
        <v>26</v>
      </c>
      <c r="N32" s="12" t="s">
        <v>1039</v>
      </c>
      <c r="O32" s="12"/>
      <c r="P32" s="12"/>
      <c r="Q32" s="12"/>
    </row>
    <row r="33" spans="1:17" x14ac:dyDescent="0.25">
      <c r="A33" s="11">
        <v>101898</v>
      </c>
      <c r="B33" s="12" t="s">
        <v>1087</v>
      </c>
      <c r="C33" s="12" t="s">
        <v>82</v>
      </c>
      <c r="D33" s="125">
        <v>80000000</v>
      </c>
      <c r="E33" s="125">
        <v>28669164.699999999</v>
      </c>
      <c r="F33" s="12">
        <v>36</v>
      </c>
      <c r="G33" s="12">
        <v>180</v>
      </c>
      <c r="H33" s="12">
        <v>0</v>
      </c>
      <c r="I33" s="13">
        <v>42216.722978275466</v>
      </c>
      <c r="J33" s="13">
        <v>43317</v>
      </c>
      <c r="K33" s="12" t="s">
        <v>29</v>
      </c>
      <c r="L33" s="12" t="s">
        <v>96</v>
      </c>
      <c r="M33" s="12" t="s">
        <v>26</v>
      </c>
      <c r="N33" s="12" t="s">
        <v>2855</v>
      </c>
      <c r="O33" s="12"/>
      <c r="P33" s="12"/>
      <c r="Q33" s="12"/>
    </row>
    <row r="34" spans="1:17" x14ac:dyDescent="0.25">
      <c r="A34" s="11">
        <v>101902</v>
      </c>
      <c r="B34" s="12" t="s">
        <v>572</v>
      </c>
      <c r="C34" s="12" t="s">
        <v>82</v>
      </c>
      <c r="D34" s="125">
        <v>80000000</v>
      </c>
      <c r="E34" s="125">
        <v>28586065.690000001</v>
      </c>
      <c r="F34" s="12">
        <v>36</v>
      </c>
      <c r="G34" s="12">
        <v>180</v>
      </c>
      <c r="H34" s="12">
        <v>0</v>
      </c>
      <c r="I34" s="13">
        <v>42216.604566319445</v>
      </c>
      <c r="J34" s="13">
        <v>43314</v>
      </c>
      <c r="K34" s="12" t="s">
        <v>44</v>
      </c>
      <c r="L34" s="12" t="s">
        <v>75</v>
      </c>
      <c r="M34" s="12" t="s">
        <v>26</v>
      </c>
      <c r="N34" s="12" t="s">
        <v>4684</v>
      </c>
      <c r="O34" s="12"/>
      <c r="P34" s="12"/>
      <c r="Q34" s="12"/>
    </row>
    <row r="35" spans="1:17" x14ac:dyDescent="0.25">
      <c r="A35" s="11">
        <v>101903</v>
      </c>
      <c r="B35" s="12" t="s">
        <v>124</v>
      </c>
      <c r="C35" s="12" t="s">
        <v>82</v>
      </c>
      <c r="D35" s="125">
        <v>80000000</v>
      </c>
      <c r="E35" s="125">
        <v>28641465.129999999</v>
      </c>
      <c r="F35" s="12">
        <v>36</v>
      </c>
      <c r="G35" s="12">
        <v>180</v>
      </c>
      <c r="H35" s="12">
        <v>0</v>
      </c>
      <c r="I35" s="13">
        <v>42216.62358402778</v>
      </c>
      <c r="J35" s="13">
        <v>43316</v>
      </c>
      <c r="K35" s="12" t="s">
        <v>25</v>
      </c>
      <c r="L35" s="12" t="s">
        <v>106</v>
      </c>
      <c r="M35" s="12" t="s">
        <v>107</v>
      </c>
      <c r="N35" s="12" t="s">
        <v>491</v>
      </c>
      <c r="O35" s="12"/>
      <c r="P35" s="12"/>
      <c r="Q35" s="12"/>
    </row>
    <row r="36" spans="1:17" x14ac:dyDescent="0.25">
      <c r="A36" s="11">
        <v>101906</v>
      </c>
      <c r="B36" s="12" t="s">
        <v>1195</v>
      </c>
      <c r="C36" s="12" t="s">
        <v>82</v>
      </c>
      <c r="D36" s="125">
        <v>22000000</v>
      </c>
      <c r="E36" s="125">
        <v>9708159.1500000004</v>
      </c>
      <c r="F36" s="12">
        <v>42</v>
      </c>
      <c r="G36" s="12">
        <v>180</v>
      </c>
      <c r="H36" s="12">
        <v>0</v>
      </c>
      <c r="I36" s="13">
        <v>42219.586541006945</v>
      </c>
      <c r="J36" s="13">
        <v>43315</v>
      </c>
      <c r="K36" s="12" t="s">
        <v>27</v>
      </c>
      <c r="L36" s="12" t="s">
        <v>81</v>
      </c>
      <c r="M36" s="12" t="s">
        <v>26</v>
      </c>
      <c r="N36" s="12" t="s">
        <v>963</v>
      </c>
      <c r="O36" s="12"/>
      <c r="P36" s="12"/>
      <c r="Q36" s="12"/>
    </row>
    <row r="37" spans="1:17" x14ac:dyDescent="0.25">
      <c r="A37" s="11">
        <v>101908</v>
      </c>
      <c r="B37" s="12" t="s">
        <v>1196</v>
      </c>
      <c r="C37" s="12" t="s">
        <v>82</v>
      </c>
      <c r="D37" s="125">
        <v>75000000</v>
      </c>
      <c r="E37" s="125">
        <v>10823524.18</v>
      </c>
      <c r="F37" s="12">
        <v>36</v>
      </c>
      <c r="G37" s="12">
        <v>180</v>
      </c>
      <c r="H37" s="12">
        <v>0</v>
      </c>
      <c r="I37" s="13">
        <v>42219.720567511577</v>
      </c>
      <c r="J37" s="13">
        <v>43134</v>
      </c>
      <c r="K37" s="12" t="s">
        <v>25</v>
      </c>
      <c r="L37" s="12" t="s">
        <v>26</v>
      </c>
      <c r="M37" s="12" t="s">
        <v>26</v>
      </c>
      <c r="N37" s="12" t="s">
        <v>2855</v>
      </c>
      <c r="O37" s="12"/>
      <c r="P37" s="12"/>
      <c r="Q37" s="12"/>
    </row>
    <row r="38" spans="1:17" x14ac:dyDescent="0.25">
      <c r="A38" s="11">
        <v>101916</v>
      </c>
      <c r="B38" s="12" t="s">
        <v>1227</v>
      </c>
      <c r="C38" s="12" t="s">
        <v>80</v>
      </c>
      <c r="D38" s="125">
        <v>50000000</v>
      </c>
      <c r="E38" s="125">
        <v>19592683.27</v>
      </c>
      <c r="F38" s="12">
        <v>36</v>
      </c>
      <c r="G38" s="12">
        <v>180</v>
      </c>
      <c r="H38" s="12">
        <v>0</v>
      </c>
      <c r="I38" s="13">
        <v>42223.544226238424</v>
      </c>
      <c r="J38" s="13">
        <v>43322</v>
      </c>
      <c r="K38" s="12" t="s">
        <v>27</v>
      </c>
      <c r="L38" s="12" t="s">
        <v>26</v>
      </c>
      <c r="M38" s="12" t="s">
        <v>26</v>
      </c>
      <c r="N38" s="12" t="s">
        <v>1191</v>
      </c>
      <c r="O38" s="12"/>
      <c r="P38" s="12"/>
      <c r="Q38" s="12"/>
    </row>
    <row r="39" spans="1:17" x14ac:dyDescent="0.25">
      <c r="A39" s="11">
        <v>101925</v>
      </c>
      <c r="B39" s="12" t="s">
        <v>1240</v>
      </c>
      <c r="C39" s="12" t="s">
        <v>82</v>
      </c>
      <c r="D39" s="125">
        <v>31000000</v>
      </c>
      <c r="E39" s="125">
        <v>11087834.220000001</v>
      </c>
      <c r="F39" s="12">
        <v>36</v>
      </c>
      <c r="G39" s="12">
        <v>180</v>
      </c>
      <c r="H39" s="12">
        <v>0</v>
      </c>
      <c r="I39" s="13">
        <v>42228.610583368056</v>
      </c>
      <c r="J39" s="13">
        <v>43327</v>
      </c>
      <c r="K39" s="12" t="s">
        <v>44</v>
      </c>
      <c r="L39" s="12" t="s">
        <v>75</v>
      </c>
      <c r="M39" s="12" t="s">
        <v>26</v>
      </c>
      <c r="N39" s="12" t="s">
        <v>1191</v>
      </c>
      <c r="O39" s="12"/>
      <c r="P39" s="12"/>
      <c r="Q39" s="12"/>
    </row>
    <row r="40" spans="1:17" x14ac:dyDescent="0.25">
      <c r="A40" s="11">
        <v>101931</v>
      </c>
      <c r="B40" s="12" t="s">
        <v>717</v>
      </c>
      <c r="C40" s="12" t="s">
        <v>82</v>
      </c>
      <c r="D40" s="125">
        <v>43060872</v>
      </c>
      <c r="E40" s="125">
        <v>8344405.3499999996</v>
      </c>
      <c r="F40" s="12">
        <v>36</v>
      </c>
      <c r="G40" s="12">
        <v>180</v>
      </c>
      <c r="H40" s="12">
        <v>0</v>
      </c>
      <c r="I40" s="13">
        <v>42230.654949965276</v>
      </c>
      <c r="J40" s="13">
        <v>43144</v>
      </c>
      <c r="K40" s="12" t="s">
        <v>28</v>
      </c>
      <c r="L40" s="12" t="s">
        <v>26</v>
      </c>
      <c r="M40" s="12" t="s">
        <v>26</v>
      </c>
      <c r="N40" s="12" t="s">
        <v>5726</v>
      </c>
      <c r="O40" s="12"/>
      <c r="P40" s="12"/>
      <c r="Q40" s="12"/>
    </row>
    <row r="41" spans="1:17" x14ac:dyDescent="0.25">
      <c r="A41" s="11">
        <v>101939</v>
      </c>
      <c r="B41" s="12" t="s">
        <v>1123</v>
      </c>
      <c r="C41" s="12" t="s">
        <v>82</v>
      </c>
      <c r="D41" s="125">
        <v>55000000</v>
      </c>
      <c r="E41" s="125">
        <v>23309290.98</v>
      </c>
      <c r="F41" s="12">
        <v>36</v>
      </c>
      <c r="G41" s="12">
        <v>180</v>
      </c>
      <c r="H41" s="12">
        <v>0</v>
      </c>
      <c r="I41" s="13">
        <v>42234.622842789351</v>
      </c>
      <c r="J41" s="13">
        <v>43330</v>
      </c>
      <c r="K41" s="12" t="s">
        <v>25</v>
      </c>
      <c r="L41" s="12" t="s">
        <v>26</v>
      </c>
      <c r="M41" s="12" t="s">
        <v>26</v>
      </c>
      <c r="N41" s="12" t="s">
        <v>5724</v>
      </c>
      <c r="O41" s="12"/>
      <c r="P41" s="12"/>
      <c r="Q41" s="12"/>
    </row>
    <row r="42" spans="1:17" x14ac:dyDescent="0.25">
      <c r="A42" s="11">
        <v>101943</v>
      </c>
      <c r="B42" s="12" t="s">
        <v>1266</v>
      </c>
      <c r="C42" s="12" t="s">
        <v>82</v>
      </c>
      <c r="D42" s="125">
        <v>60000000</v>
      </c>
      <c r="E42" s="125">
        <v>24060353.460000001</v>
      </c>
      <c r="F42" s="12">
        <v>36</v>
      </c>
      <c r="G42" s="12">
        <v>180</v>
      </c>
      <c r="H42" s="12">
        <v>0</v>
      </c>
      <c r="I42" s="13">
        <v>42234.675016782407</v>
      </c>
      <c r="J42" s="13">
        <v>43333</v>
      </c>
      <c r="K42" s="12" t="s">
        <v>25</v>
      </c>
      <c r="L42" s="12" t="s">
        <v>26</v>
      </c>
      <c r="M42" s="12" t="s">
        <v>26</v>
      </c>
      <c r="N42" s="12" t="s">
        <v>5167</v>
      </c>
      <c r="O42" s="12"/>
      <c r="P42" s="12"/>
      <c r="Q42" s="12"/>
    </row>
    <row r="43" spans="1:17" x14ac:dyDescent="0.25">
      <c r="A43" s="11">
        <v>101944</v>
      </c>
      <c r="B43" s="12" t="s">
        <v>451</v>
      </c>
      <c r="C43" s="12" t="s">
        <v>82</v>
      </c>
      <c r="D43" s="125">
        <v>64937977</v>
      </c>
      <c r="E43" s="125">
        <v>29980930.129999999</v>
      </c>
      <c r="F43" s="12">
        <v>36</v>
      </c>
      <c r="G43" s="12">
        <v>180</v>
      </c>
      <c r="H43" s="12">
        <v>0</v>
      </c>
      <c r="I43" s="13">
        <v>42235.604235219907</v>
      </c>
      <c r="J43" s="13">
        <v>43345</v>
      </c>
      <c r="K43" s="12" t="s">
        <v>25</v>
      </c>
      <c r="L43" s="12" t="s">
        <v>26</v>
      </c>
      <c r="M43" s="12" t="s">
        <v>26</v>
      </c>
      <c r="N43" s="12" t="s">
        <v>5724</v>
      </c>
      <c r="O43" s="12"/>
      <c r="P43" s="12"/>
      <c r="Q43" s="12"/>
    </row>
    <row r="44" spans="1:17" x14ac:dyDescent="0.25">
      <c r="A44" s="11">
        <v>101954</v>
      </c>
      <c r="B44" s="12" t="s">
        <v>854</v>
      </c>
      <c r="C44" s="12" t="s">
        <v>82</v>
      </c>
      <c r="D44" s="125">
        <v>72000000</v>
      </c>
      <c r="E44" s="125">
        <v>28568521.719999999</v>
      </c>
      <c r="F44" s="12">
        <v>36</v>
      </c>
      <c r="G44" s="12">
        <v>180</v>
      </c>
      <c r="H44" s="12">
        <v>0</v>
      </c>
      <c r="I44" s="13">
        <v>42237.669844328702</v>
      </c>
      <c r="J44" s="13">
        <v>43350</v>
      </c>
      <c r="K44" s="12" t="s">
        <v>29</v>
      </c>
      <c r="L44" s="12" t="s">
        <v>26</v>
      </c>
      <c r="M44" s="12" t="s">
        <v>26</v>
      </c>
      <c r="N44" s="12" t="s">
        <v>468</v>
      </c>
      <c r="O44" s="12"/>
      <c r="P44" s="12"/>
      <c r="Q44" s="12"/>
    </row>
    <row r="45" spans="1:17" x14ac:dyDescent="0.25">
      <c r="A45" s="11">
        <v>101971</v>
      </c>
      <c r="B45" s="12" t="s">
        <v>215</v>
      </c>
      <c r="C45" s="12" t="s">
        <v>82</v>
      </c>
      <c r="D45" s="125">
        <v>60000000</v>
      </c>
      <c r="E45" s="125">
        <v>29369158.379999999</v>
      </c>
      <c r="F45" s="12">
        <v>36</v>
      </c>
      <c r="G45" s="12">
        <v>180</v>
      </c>
      <c r="H45" s="12">
        <v>0</v>
      </c>
      <c r="I45" s="13">
        <v>42242.439896064818</v>
      </c>
      <c r="J45" s="13">
        <v>43344</v>
      </c>
      <c r="K45" s="12" t="s">
        <v>45</v>
      </c>
      <c r="L45" s="12" t="s">
        <v>45</v>
      </c>
      <c r="M45" s="12" t="s">
        <v>26</v>
      </c>
      <c r="N45" s="12" t="s">
        <v>5725</v>
      </c>
      <c r="O45" s="12"/>
      <c r="P45" s="12"/>
      <c r="Q45" s="12"/>
    </row>
    <row r="46" spans="1:17" x14ac:dyDescent="0.25">
      <c r="A46" s="11">
        <v>101980</v>
      </c>
      <c r="B46" s="12" t="s">
        <v>1145</v>
      </c>
      <c r="C46" s="12" t="s">
        <v>82</v>
      </c>
      <c r="D46" s="125">
        <v>14000000</v>
      </c>
      <c r="E46" s="125">
        <v>4626744.96</v>
      </c>
      <c r="F46" s="12">
        <v>18</v>
      </c>
      <c r="G46" s="12">
        <v>180</v>
      </c>
      <c r="H46" s="12">
        <v>0</v>
      </c>
      <c r="I46" s="13">
        <v>42243.690604050928</v>
      </c>
      <c r="J46" s="13">
        <v>43333</v>
      </c>
      <c r="K46" s="12" t="s">
        <v>43</v>
      </c>
      <c r="L46" s="12" t="s">
        <v>26</v>
      </c>
      <c r="M46" s="12" t="s">
        <v>26</v>
      </c>
      <c r="N46" s="12" t="s">
        <v>5726</v>
      </c>
      <c r="O46" s="12"/>
      <c r="P46" s="12"/>
      <c r="Q46" s="12"/>
    </row>
    <row r="47" spans="1:17" x14ac:dyDescent="0.25">
      <c r="A47" s="11">
        <v>101990</v>
      </c>
      <c r="B47" s="12" t="s">
        <v>1301</v>
      </c>
      <c r="C47" s="12" t="s">
        <v>82</v>
      </c>
      <c r="D47" s="125">
        <v>40000000</v>
      </c>
      <c r="E47" s="125">
        <v>15849705.220000001</v>
      </c>
      <c r="F47" s="12">
        <v>36</v>
      </c>
      <c r="G47" s="12">
        <v>180</v>
      </c>
      <c r="H47" s="12">
        <v>0</v>
      </c>
      <c r="I47" s="13">
        <v>42244.742318634257</v>
      </c>
      <c r="J47" s="13">
        <v>43358</v>
      </c>
      <c r="K47" s="12" t="s">
        <v>35</v>
      </c>
      <c r="L47" s="12" t="s">
        <v>121</v>
      </c>
      <c r="M47" s="12" t="s">
        <v>26</v>
      </c>
      <c r="N47" s="12" t="s">
        <v>5724</v>
      </c>
      <c r="O47" s="12"/>
      <c r="P47" s="12"/>
      <c r="Q47" s="12"/>
    </row>
    <row r="48" spans="1:17" x14ac:dyDescent="0.25">
      <c r="A48" s="11">
        <v>101991</v>
      </c>
      <c r="B48" s="12" t="s">
        <v>1304</v>
      </c>
      <c r="C48" s="12" t="s">
        <v>80</v>
      </c>
      <c r="D48" s="125">
        <v>36500000</v>
      </c>
      <c r="E48" s="125">
        <v>7621404.0199999996</v>
      </c>
      <c r="F48" s="12">
        <v>36</v>
      </c>
      <c r="G48" s="12">
        <v>180</v>
      </c>
      <c r="H48" s="12">
        <v>0</v>
      </c>
      <c r="I48" s="13">
        <v>42244.750642743056</v>
      </c>
      <c r="J48" s="13">
        <v>43164</v>
      </c>
      <c r="K48" s="12" t="s">
        <v>44</v>
      </c>
      <c r="L48" s="12" t="s">
        <v>75</v>
      </c>
      <c r="M48" s="12" t="s">
        <v>26</v>
      </c>
      <c r="N48" s="12" t="s">
        <v>468</v>
      </c>
      <c r="O48" s="12"/>
      <c r="P48" s="12"/>
      <c r="Q48" s="12"/>
    </row>
    <row r="49" spans="1:17" x14ac:dyDescent="0.25">
      <c r="A49" s="11">
        <v>101997</v>
      </c>
      <c r="B49" s="12" t="s">
        <v>824</v>
      </c>
      <c r="C49" s="12" t="s">
        <v>80</v>
      </c>
      <c r="D49" s="125">
        <v>45655298</v>
      </c>
      <c r="E49" s="125">
        <v>20876300.52</v>
      </c>
      <c r="F49" s="12">
        <v>36</v>
      </c>
      <c r="G49" s="12">
        <v>180</v>
      </c>
      <c r="H49" s="12">
        <v>0</v>
      </c>
      <c r="I49" s="13">
        <v>42245.596607175925</v>
      </c>
      <c r="J49" s="13">
        <v>43345</v>
      </c>
      <c r="K49" s="12" t="s">
        <v>44</v>
      </c>
      <c r="L49" s="12" t="s">
        <v>92</v>
      </c>
      <c r="M49" s="12" t="s">
        <v>26</v>
      </c>
      <c r="N49" s="12" t="s">
        <v>5725</v>
      </c>
      <c r="O49" s="12"/>
      <c r="P49" s="12"/>
      <c r="Q49" s="12"/>
    </row>
    <row r="50" spans="1:17" x14ac:dyDescent="0.25">
      <c r="A50" s="11">
        <v>102006</v>
      </c>
      <c r="B50" s="12" t="s">
        <v>1309</v>
      </c>
      <c r="C50" s="12" t="s">
        <v>82</v>
      </c>
      <c r="D50" s="125">
        <v>25000000</v>
      </c>
      <c r="E50" s="125">
        <v>2682654.79</v>
      </c>
      <c r="F50" s="12">
        <v>42</v>
      </c>
      <c r="G50" s="12">
        <v>180</v>
      </c>
      <c r="H50" s="12">
        <v>0</v>
      </c>
      <c r="I50" s="13">
        <v>42247.742464317133</v>
      </c>
      <c r="J50" s="13">
        <v>42983</v>
      </c>
      <c r="K50" s="12" t="s">
        <v>37</v>
      </c>
      <c r="L50" s="12" t="s">
        <v>288</v>
      </c>
      <c r="M50" s="12" t="s">
        <v>1313</v>
      </c>
      <c r="N50" s="12" t="s">
        <v>5724</v>
      </c>
      <c r="O50" s="12"/>
      <c r="P50" s="12"/>
      <c r="Q50" s="12"/>
    </row>
    <row r="51" spans="1:17" x14ac:dyDescent="0.25">
      <c r="A51" s="11">
        <v>102010</v>
      </c>
      <c r="B51" s="12" t="s">
        <v>335</v>
      </c>
      <c r="C51" s="12" t="s">
        <v>1102</v>
      </c>
      <c r="D51" s="125">
        <v>25000000</v>
      </c>
      <c r="E51" s="125">
        <v>10667138.1</v>
      </c>
      <c r="F51" s="12">
        <v>36</v>
      </c>
      <c r="G51" s="12">
        <v>180</v>
      </c>
      <c r="H51" s="12">
        <v>0</v>
      </c>
      <c r="I51" s="13">
        <v>42247.794150810187</v>
      </c>
      <c r="J51" s="13">
        <v>43350</v>
      </c>
      <c r="K51" s="12" t="s">
        <v>28</v>
      </c>
      <c r="L51" s="12" t="s">
        <v>26</v>
      </c>
      <c r="M51" s="12" t="s">
        <v>26</v>
      </c>
      <c r="N51" s="12" t="s">
        <v>546</v>
      </c>
      <c r="O51" s="12"/>
      <c r="P51" s="12"/>
      <c r="Q51" s="12"/>
    </row>
    <row r="52" spans="1:17" x14ac:dyDescent="0.25">
      <c r="A52" s="11">
        <v>102011</v>
      </c>
      <c r="B52" s="12" t="s">
        <v>487</v>
      </c>
      <c r="C52" s="12" t="s">
        <v>82</v>
      </c>
      <c r="D52" s="125">
        <v>22431597</v>
      </c>
      <c r="E52" s="125">
        <v>9246013.3000000007</v>
      </c>
      <c r="F52" s="12">
        <v>42</v>
      </c>
      <c r="G52" s="12">
        <v>180</v>
      </c>
      <c r="H52" s="12">
        <v>0</v>
      </c>
      <c r="I52" s="13">
        <v>42247.800327627316</v>
      </c>
      <c r="J52" s="13">
        <v>43348</v>
      </c>
      <c r="K52" s="12" t="s">
        <v>36</v>
      </c>
      <c r="L52" s="12" t="s">
        <v>97</v>
      </c>
      <c r="M52" s="12" t="s">
        <v>98</v>
      </c>
      <c r="N52" s="12" t="s">
        <v>963</v>
      </c>
      <c r="O52" s="12"/>
      <c r="P52" s="12"/>
      <c r="Q52" s="12"/>
    </row>
    <row r="53" spans="1:17" x14ac:dyDescent="0.25">
      <c r="A53" s="11">
        <v>102044</v>
      </c>
      <c r="B53" s="12" t="s">
        <v>109</v>
      </c>
      <c r="C53" s="12" t="s">
        <v>82</v>
      </c>
      <c r="D53" s="125">
        <v>63762900</v>
      </c>
      <c r="E53" s="125">
        <v>26970582.52</v>
      </c>
      <c r="F53" s="12">
        <v>36</v>
      </c>
      <c r="G53" s="12">
        <v>180</v>
      </c>
      <c r="H53" s="12">
        <v>0</v>
      </c>
      <c r="I53" s="13">
        <v>42259.50795107639</v>
      </c>
      <c r="J53" s="13">
        <v>43353</v>
      </c>
      <c r="K53" s="12" t="s">
        <v>25</v>
      </c>
      <c r="L53" s="12" t="s">
        <v>101</v>
      </c>
      <c r="M53" s="12" t="s">
        <v>26</v>
      </c>
      <c r="N53" s="12" t="s">
        <v>1039</v>
      </c>
      <c r="O53" s="12"/>
      <c r="P53" s="12"/>
      <c r="Q53" s="12"/>
    </row>
    <row r="54" spans="1:17" x14ac:dyDescent="0.25">
      <c r="A54" s="11">
        <v>102051</v>
      </c>
      <c r="B54" s="12" t="s">
        <v>1326</v>
      </c>
      <c r="C54" s="12" t="s">
        <v>82</v>
      </c>
      <c r="D54" s="125">
        <v>60000000</v>
      </c>
      <c r="E54" s="125">
        <v>36253749.93</v>
      </c>
      <c r="F54" s="12">
        <v>36</v>
      </c>
      <c r="G54" s="12">
        <v>180</v>
      </c>
      <c r="H54" s="12">
        <v>0</v>
      </c>
      <c r="I54" s="13">
        <v>42263.613655173613</v>
      </c>
      <c r="J54" s="13">
        <v>43361</v>
      </c>
      <c r="K54" s="12" t="s">
        <v>27</v>
      </c>
      <c r="L54" s="12" t="s">
        <v>116</v>
      </c>
      <c r="M54" s="12" t="s">
        <v>26</v>
      </c>
      <c r="N54" s="12" t="s">
        <v>5724</v>
      </c>
      <c r="O54" s="12"/>
      <c r="P54" s="12"/>
      <c r="Q54" s="12"/>
    </row>
    <row r="55" spans="1:17" x14ac:dyDescent="0.25">
      <c r="A55" s="11">
        <v>102056</v>
      </c>
      <c r="B55" s="12" t="s">
        <v>1370</v>
      </c>
      <c r="C55" s="12" t="s">
        <v>80</v>
      </c>
      <c r="D55" s="125">
        <v>45000000</v>
      </c>
      <c r="E55" s="125">
        <v>17633414.690000001</v>
      </c>
      <c r="F55" s="12">
        <v>36</v>
      </c>
      <c r="G55" s="12">
        <v>180</v>
      </c>
      <c r="H55" s="12">
        <v>0</v>
      </c>
      <c r="I55" s="13">
        <v>42264.720444016202</v>
      </c>
      <c r="J55" s="13">
        <v>43363</v>
      </c>
      <c r="K55" s="12" t="s">
        <v>44</v>
      </c>
      <c r="L55" s="12" t="s">
        <v>75</v>
      </c>
      <c r="M55" s="12" t="s">
        <v>26</v>
      </c>
      <c r="N55" s="12" t="s">
        <v>1191</v>
      </c>
      <c r="O55" s="12"/>
      <c r="P55" s="12"/>
      <c r="Q55" s="12"/>
    </row>
    <row r="56" spans="1:17" x14ac:dyDescent="0.25">
      <c r="A56" s="11">
        <v>102057</v>
      </c>
      <c r="B56" s="12" t="s">
        <v>1211</v>
      </c>
      <c r="C56" s="12" t="s">
        <v>80</v>
      </c>
      <c r="D56" s="125">
        <v>10446351</v>
      </c>
      <c r="E56" s="125">
        <v>3333418.48</v>
      </c>
      <c r="F56" s="12">
        <v>36</v>
      </c>
      <c r="G56" s="12">
        <v>180</v>
      </c>
      <c r="H56" s="12">
        <v>0</v>
      </c>
      <c r="I56" s="13">
        <v>42265.354739814815</v>
      </c>
      <c r="J56" s="13">
        <v>43181</v>
      </c>
      <c r="K56" s="12" t="s">
        <v>44</v>
      </c>
      <c r="L56" s="12" t="s">
        <v>75</v>
      </c>
      <c r="M56" s="12" t="s">
        <v>26</v>
      </c>
      <c r="N56" s="12" t="s">
        <v>5724</v>
      </c>
      <c r="O56" s="12"/>
      <c r="P56" s="12"/>
      <c r="Q56" s="12"/>
    </row>
    <row r="57" spans="1:17" x14ac:dyDescent="0.25">
      <c r="A57" s="11">
        <v>102064</v>
      </c>
      <c r="B57" s="12" t="s">
        <v>1373</v>
      </c>
      <c r="C57" s="12" t="s">
        <v>82</v>
      </c>
      <c r="D57" s="125">
        <v>40000000</v>
      </c>
      <c r="E57" s="125">
        <v>17018045.469999999</v>
      </c>
      <c r="F57" s="12">
        <v>36</v>
      </c>
      <c r="G57" s="12">
        <v>180</v>
      </c>
      <c r="H57" s="12">
        <v>0</v>
      </c>
      <c r="I57" s="13">
        <v>42268.715586689817</v>
      </c>
      <c r="J57" s="13">
        <v>43368</v>
      </c>
      <c r="K57" s="12" t="s">
        <v>27</v>
      </c>
      <c r="L57" s="12" t="s">
        <v>81</v>
      </c>
      <c r="M57" s="12" t="s">
        <v>26</v>
      </c>
      <c r="N57" s="12" t="s">
        <v>1447</v>
      </c>
      <c r="O57" s="12"/>
      <c r="P57" s="12"/>
      <c r="Q57" s="12"/>
    </row>
    <row r="58" spans="1:17" x14ac:dyDescent="0.25">
      <c r="A58" s="11">
        <v>102065</v>
      </c>
      <c r="B58" s="12" t="s">
        <v>1376</v>
      </c>
      <c r="C58" s="12" t="s">
        <v>82</v>
      </c>
      <c r="D58" s="125">
        <v>75000000</v>
      </c>
      <c r="E58" s="125">
        <v>29332124.379999999</v>
      </c>
      <c r="F58" s="12">
        <v>36</v>
      </c>
      <c r="G58" s="12">
        <v>180</v>
      </c>
      <c r="H58" s="12">
        <v>0</v>
      </c>
      <c r="I58" s="13">
        <v>42268.742467361109</v>
      </c>
      <c r="J58" s="13">
        <v>43365</v>
      </c>
      <c r="K58" s="12" t="s">
        <v>35</v>
      </c>
      <c r="L58" s="12" t="s">
        <v>121</v>
      </c>
      <c r="M58" s="12" t="s">
        <v>122</v>
      </c>
      <c r="N58" s="12" t="s">
        <v>546</v>
      </c>
      <c r="O58" s="12"/>
      <c r="P58" s="12"/>
      <c r="Q58" s="12"/>
    </row>
    <row r="59" spans="1:17" x14ac:dyDescent="0.25">
      <c r="A59" s="11">
        <v>102088</v>
      </c>
      <c r="B59" s="12" t="s">
        <v>1419</v>
      </c>
      <c r="C59" s="12" t="s">
        <v>1441</v>
      </c>
      <c r="D59" s="125">
        <v>31000000</v>
      </c>
      <c r="E59" s="125">
        <v>19756376.18</v>
      </c>
      <c r="F59" s="12">
        <v>36</v>
      </c>
      <c r="G59" s="12">
        <v>180</v>
      </c>
      <c r="H59" s="12">
        <v>0</v>
      </c>
      <c r="I59" s="13">
        <v>42275.753918750001</v>
      </c>
      <c r="J59" s="13">
        <v>43383</v>
      </c>
      <c r="K59" s="12" t="s">
        <v>44</v>
      </c>
      <c r="L59" s="12" t="s">
        <v>75</v>
      </c>
      <c r="M59" s="12" t="s">
        <v>26</v>
      </c>
      <c r="N59" s="12" t="s">
        <v>5724</v>
      </c>
      <c r="O59" s="12"/>
      <c r="P59" s="12"/>
      <c r="Q59" s="12"/>
    </row>
    <row r="60" spans="1:17" x14ac:dyDescent="0.25">
      <c r="A60" s="11">
        <v>102099</v>
      </c>
      <c r="B60" s="12" t="s">
        <v>1427</v>
      </c>
      <c r="C60" s="12" t="s">
        <v>1441</v>
      </c>
      <c r="D60" s="125">
        <v>75000000</v>
      </c>
      <c r="E60" s="125">
        <v>32046511.23</v>
      </c>
      <c r="F60" s="12">
        <v>36</v>
      </c>
      <c r="G60" s="12">
        <v>180</v>
      </c>
      <c r="H60" s="12">
        <v>0</v>
      </c>
      <c r="I60" s="13">
        <v>42277.464006365743</v>
      </c>
      <c r="J60" s="13">
        <v>43375</v>
      </c>
      <c r="K60" s="12" t="s">
        <v>44</v>
      </c>
      <c r="L60" s="12" t="s">
        <v>75</v>
      </c>
      <c r="M60" s="12" t="s">
        <v>26</v>
      </c>
      <c r="N60" s="12" t="s">
        <v>2855</v>
      </c>
      <c r="O60" s="12"/>
      <c r="P60" s="12"/>
      <c r="Q60" s="12"/>
    </row>
    <row r="61" spans="1:17" x14ac:dyDescent="0.25">
      <c r="A61" s="11">
        <v>102102</v>
      </c>
      <c r="B61" s="12" t="s">
        <v>1063</v>
      </c>
      <c r="C61" s="12" t="s">
        <v>1441</v>
      </c>
      <c r="D61" s="125">
        <v>75000000</v>
      </c>
      <c r="E61" s="125">
        <v>22239297.010000002</v>
      </c>
      <c r="F61" s="12">
        <v>36</v>
      </c>
      <c r="G61" s="12">
        <v>180</v>
      </c>
      <c r="H61" s="12">
        <v>0</v>
      </c>
      <c r="I61" s="13">
        <v>42277.528308530091</v>
      </c>
      <c r="J61" s="13">
        <v>43388</v>
      </c>
      <c r="K61" s="12" t="s">
        <v>44</v>
      </c>
      <c r="L61" s="12" t="s">
        <v>75</v>
      </c>
      <c r="M61" s="12" t="s">
        <v>26</v>
      </c>
      <c r="N61" s="12" t="s">
        <v>963</v>
      </c>
      <c r="O61" s="12"/>
      <c r="P61" s="12"/>
      <c r="Q61" s="12"/>
    </row>
    <row r="62" spans="1:17" x14ac:dyDescent="0.25">
      <c r="A62" s="11">
        <v>102107</v>
      </c>
      <c r="B62" s="12" t="s">
        <v>1434</v>
      </c>
      <c r="C62" s="12" t="s">
        <v>1441</v>
      </c>
      <c r="D62" s="125">
        <v>22000000</v>
      </c>
      <c r="E62" s="125">
        <v>11183352.5</v>
      </c>
      <c r="F62" s="12">
        <v>42</v>
      </c>
      <c r="G62" s="12">
        <v>180</v>
      </c>
      <c r="H62" s="12">
        <v>0</v>
      </c>
      <c r="I62" s="13">
        <v>42277.652901157409</v>
      </c>
      <c r="J62" s="13">
        <v>43374</v>
      </c>
      <c r="K62" s="12" t="s">
        <v>44</v>
      </c>
      <c r="L62" s="12" t="s">
        <v>75</v>
      </c>
      <c r="M62" s="12" t="s">
        <v>1442</v>
      </c>
      <c r="N62" s="12" t="s">
        <v>90</v>
      </c>
      <c r="O62" s="12"/>
      <c r="P62" s="12"/>
      <c r="Q62" s="12"/>
    </row>
    <row r="63" spans="1:17" x14ac:dyDescent="0.25">
      <c r="A63" s="11">
        <v>102125</v>
      </c>
      <c r="B63" s="12" t="s">
        <v>645</v>
      </c>
      <c r="C63" s="12" t="s">
        <v>82</v>
      </c>
      <c r="D63" s="125">
        <v>75000000</v>
      </c>
      <c r="E63" s="125">
        <v>31785396.940000001</v>
      </c>
      <c r="F63" s="12">
        <v>36</v>
      </c>
      <c r="G63" s="12">
        <v>180</v>
      </c>
      <c r="H63" s="12">
        <v>0</v>
      </c>
      <c r="I63" s="13">
        <v>42284.707001423609</v>
      </c>
      <c r="J63" s="13">
        <v>43380</v>
      </c>
      <c r="K63" s="12" t="s">
        <v>44</v>
      </c>
      <c r="L63" s="12" t="s">
        <v>92</v>
      </c>
      <c r="M63" s="12" t="s">
        <v>26</v>
      </c>
      <c r="N63" s="12" t="s">
        <v>491</v>
      </c>
      <c r="O63" s="12"/>
      <c r="P63" s="12"/>
      <c r="Q63" s="12"/>
    </row>
    <row r="64" spans="1:17" x14ac:dyDescent="0.25">
      <c r="A64" s="11">
        <v>102129</v>
      </c>
      <c r="B64" s="12" t="s">
        <v>1455</v>
      </c>
      <c r="C64" s="12" t="s">
        <v>80</v>
      </c>
      <c r="D64" s="125">
        <v>50000000</v>
      </c>
      <c r="E64" s="125">
        <v>21696618.77</v>
      </c>
      <c r="F64" s="12">
        <v>36</v>
      </c>
      <c r="G64" s="12">
        <v>180</v>
      </c>
      <c r="H64" s="12">
        <v>0</v>
      </c>
      <c r="I64" s="13">
        <v>42289.678322650463</v>
      </c>
      <c r="J64" s="13">
        <v>43385</v>
      </c>
      <c r="K64" s="12" t="s">
        <v>25</v>
      </c>
      <c r="L64" s="12" t="s">
        <v>88</v>
      </c>
      <c r="M64" s="12" t="s">
        <v>26</v>
      </c>
      <c r="N64" s="12" t="s">
        <v>1467</v>
      </c>
      <c r="O64" s="12"/>
      <c r="P64" s="12"/>
      <c r="Q64" s="12"/>
    </row>
    <row r="65" spans="1:17" x14ac:dyDescent="0.25">
      <c r="A65" s="11">
        <v>102130</v>
      </c>
      <c r="B65" s="12" t="s">
        <v>1444</v>
      </c>
      <c r="C65" s="12" t="s">
        <v>80</v>
      </c>
      <c r="D65" s="125">
        <v>75000000</v>
      </c>
      <c r="E65" s="125">
        <v>34294432.770000003</v>
      </c>
      <c r="F65" s="12">
        <v>36</v>
      </c>
      <c r="G65" s="12">
        <v>180</v>
      </c>
      <c r="H65" s="12">
        <v>0</v>
      </c>
      <c r="I65" s="13">
        <v>42289.731255636572</v>
      </c>
      <c r="J65" s="13">
        <v>43388</v>
      </c>
      <c r="K65" s="12" t="s">
        <v>44</v>
      </c>
      <c r="L65" s="12" t="s">
        <v>75</v>
      </c>
      <c r="M65" s="12" t="s">
        <v>26</v>
      </c>
      <c r="N65" s="12" t="s">
        <v>5725</v>
      </c>
      <c r="O65" s="12"/>
      <c r="P65" s="12"/>
      <c r="Q65" s="12"/>
    </row>
    <row r="66" spans="1:17" x14ac:dyDescent="0.25">
      <c r="A66" s="11">
        <v>102131</v>
      </c>
      <c r="B66" s="12" t="s">
        <v>1454</v>
      </c>
      <c r="C66" s="12" t="s">
        <v>1449</v>
      </c>
      <c r="D66" s="125">
        <v>15000000</v>
      </c>
      <c r="E66" s="125">
        <v>7044717.6100000003</v>
      </c>
      <c r="F66" s="12">
        <v>36</v>
      </c>
      <c r="G66" s="12">
        <v>180</v>
      </c>
      <c r="H66" s="12">
        <v>0</v>
      </c>
      <c r="I66" s="13">
        <v>42290.472969710645</v>
      </c>
      <c r="J66" s="13">
        <v>43388</v>
      </c>
      <c r="K66" s="12" t="s">
        <v>44</v>
      </c>
      <c r="L66" s="12" t="s">
        <v>92</v>
      </c>
      <c r="M66" s="12" t="s">
        <v>26</v>
      </c>
      <c r="N66" s="12" t="s">
        <v>1467</v>
      </c>
      <c r="O66" s="12"/>
      <c r="P66" s="12"/>
      <c r="Q66" s="12"/>
    </row>
    <row r="67" spans="1:17" x14ac:dyDescent="0.25">
      <c r="A67" s="11">
        <v>102143</v>
      </c>
      <c r="B67" s="12" t="s">
        <v>1445</v>
      </c>
      <c r="C67" s="12" t="s">
        <v>1441</v>
      </c>
      <c r="D67" s="125">
        <v>40000000</v>
      </c>
      <c r="E67" s="125">
        <v>18237245.899999999</v>
      </c>
      <c r="F67" s="12">
        <v>36</v>
      </c>
      <c r="G67" s="12">
        <v>180</v>
      </c>
      <c r="H67" s="12">
        <v>0</v>
      </c>
      <c r="I67" s="13">
        <v>42292.551115706017</v>
      </c>
      <c r="J67" s="13">
        <v>43388</v>
      </c>
      <c r="K67" s="12" t="s">
        <v>44</v>
      </c>
      <c r="L67" s="12" t="s">
        <v>75</v>
      </c>
      <c r="M67" s="12" t="s">
        <v>26</v>
      </c>
      <c r="N67" s="12" t="s">
        <v>1467</v>
      </c>
      <c r="O67" s="12"/>
      <c r="P67" s="12"/>
      <c r="Q67" s="12"/>
    </row>
    <row r="68" spans="1:17" x14ac:dyDescent="0.25">
      <c r="A68" s="11">
        <v>102148</v>
      </c>
      <c r="B68" s="12" t="s">
        <v>697</v>
      </c>
      <c r="C68" s="12" t="s">
        <v>1449</v>
      </c>
      <c r="D68" s="125">
        <v>10000000</v>
      </c>
      <c r="E68" s="125">
        <v>1855095.95</v>
      </c>
      <c r="F68" s="12">
        <v>48</v>
      </c>
      <c r="G68" s="12">
        <v>180</v>
      </c>
      <c r="H68" s="12">
        <v>0</v>
      </c>
      <c r="I68" s="13">
        <v>42293.454223298613</v>
      </c>
      <c r="J68" s="13">
        <v>43040</v>
      </c>
      <c r="K68" s="12" t="s">
        <v>44</v>
      </c>
      <c r="L68" s="12" t="s">
        <v>75</v>
      </c>
      <c r="M68" s="12" t="s">
        <v>26</v>
      </c>
      <c r="N68" s="12" t="s">
        <v>468</v>
      </c>
      <c r="O68" s="12"/>
      <c r="P68" s="12"/>
      <c r="Q68" s="12"/>
    </row>
    <row r="69" spans="1:17" x14ac:dyDescent="0.25">
      <c r="A69" s="11">
        <v>102150</v>
      </c>
      <c r="B69" s="12" t="s">
        <v>233</v>
      </c>
      <c r="C69" s="12" t="s">
        <v>1449</v>
      </c>
      <c r="D69" s="125">
        <v>66000000</v>
      </c>
      <c r="E69" s="125">
        <v>30558896.16</v>
      </c>
      <c r="F69" s="12">
        <v>36</v>
      </c>
      <c r="G69" s="12">
        <v>180</v>
      </c>
      <c r="H69" s="12">
        <v>0</v>
      </c>
      <c r="I69" s="13">
        <v>42293.597538738424</v>
      </c>
      <c r="J69" s="13">
        <v>43406</v>
      </c>
      <c r="K69" s="12" t="s">
        <v>45</v>
      </c>
      <c r="L69" s="12" t="s">
        <v>45</v>
      </c>
      <c r="M69" s="12" t="s">
        <v>26</v>
      </c>
      <c r="N69" s="12" t="s">
        <v>90</v>
      </c>
      <c r="O69" s="12"/>
      <c r="P69" s="12"/>
      <c r="Q69" s="12"/>
    </row>
    <row r="70" spans="1:17" x14ac:dyDescent="0.25">
      <c r="A70" s="11">
        <v>102151</v>
      </c>
      <c r="B70" s="12" t="s">
        <v>1485</v>
      </c>
      <c r="C70" s="12" t="s">
        <v>1441</v>
      </c>
      <c r="D70" s="125">
        <v>7500000</v>
      </c>
      <c r="E70" s="125">
        <v>832429.84</v>
      </c>
      <c r="F70" s="12">
        <v>36</v>
      </c>
      <c r="G70" s="12">
        <v>180</v>
      </c>
      <c r="H70" s="12">
        <v>0</v>
      </c>
      <c r="I70" s="13">
        <v>42293.624338194444</v>
      </c>
      <c r="J70" s="13">
        <v>43024</v>
      </c>
      <c r="K70" s="12" t="s">
        <v>27</v>
      </c>
      <c r="L70" s="12" t="s">
        <v>81</v>
      </c>
      <c r="M70" s="12" t="s">
        <v>26</v>
      </c>
      <c r="N70" s="12" t="s">
        <v>491</v>
      </c>
      <c r="O70" s="12"/>
      <c r="P70" s="12"/>
      <c r="Q70" s="12"/>
    </row>
    <row r="71" spans="1:17" x14ac:dyDescent="0.25">
      <c r="A71" s="11">
        <v>102156</v>
      </c>
      <c r="B71" s="12" t="s">
        <v>721</v>
      </c>
      <c r="C71" s="12" t="s">
        <v>1449</v>
      </c>
      <c r="D71" s="125">
        <v>25000000</v>
      </c>
      <c r="E71" s="125">
        <v>11376146.18</v>
      </c>
      <c r="F71" s="12">
        <v>36</v>
      </c>
      <c r="G71" s="12">
        <v>180</v>
      </c>
      <c r="H71" s="12">
        <v>0</v>
      </c>
      <c r="I71" s="13">
        <v>42294.570270104166</v>
      </c>
      <c r="J71" s="13">
        <v>43388</v>
      </c>
      <c r="K71" s="12" t="s">
        <v>44</v>
      </c>
      <c r="L71" s="12" t="s">
        <v>92</v>
      </c>
      <c r="M71" s="12" t="s">
        <v>26</v>
      </c>
      <c r="N71" s="12" t="s">
        <v>1039</v>
      </c>
      <c r="O71" s="12"/>
      <c r="P71" s="12"/>
      <c r="Q71" s="12"/>
    </row>
    <row r="72" spans="1:17" x14ac:dyDescent="0.25">
      <c r="A72" s="11">
        <v>102172</v>
      </c>
      <c r="B72" s="12" t="s">
        <v>1504</v>
      </c>
      <c r="C72" s="12" t="s">
        <v>1449</v>
      </c>
      <c r="D72" s="125">
        <v>66000000</v>
      </c>
      <c r="E72" s="125">
        <v>30325175.940000001</v>
      </c>
      <c r="F72" s="12">
        <v>36</v>
      </c>
      <c r="G72" s="12">
        <v>180</v>
      </c>
      <c r="H72" s="12">
        <v>0</v>
      </c>
      <c r="I72" s="13">
        <v>42300.557242129631</v>
      </c>
      <c r="J72" s="13">
        <v>43405</v>
      </c>
      <c r="K72" s="12" t="s">
        <v>44</v>
      </c>
      <c r="L72" s="12" t="s">
        <v>92</v>
      </c>
      <c r="M72" s="12" t="s">
        <v>26</v>
      </c>
      <c r="N72" s="12" t="s">
        <v>5167</v>
      </c>
      <c r="O72" s="12"/>
      <c r="P72" s="12"/>
      <c r="Q72" s="12"/>
    </row>
    <row r="73" spans="1:17" x14ac:dyDescent="0.25">
      <c r="A73" s="11">
        <v>102179</v>
      </c>
      <c r="B73" s="12" t="s">
        <v>1507</v>
      </c>
      <c r="C73" s="12" t="s">
        <v>1449</v>
      </c>
      <c r="D73" s="125">
        <v>31500000</v>
      </c>
      <c r="E73" s="125">
        <v>14431548.67</v>
      </c>
      <c r="F73" s="12">
        <v>36</v>
      </c>
      <c r="G73" s="12">
        <v>180</v>
      </c>
      <c r="H73" s="12">
        <v>0</v>
      </c>
      <c r="I73" s="13">
        <v>42303.658698877312</v>
      </c>
      <c r="J73" s="13">
        <v>43405</v>
      </c>
      <c r="K73" s="12" t="s">
        <v>27</v>
      </c>
      <c r="L73" s="12" t="s">
        <v>81</v>
      </c>
      <c r="M73" s="12" t="s">
        <v>26</v>
      </c>
      <c r="N73" s="12" t="s">
        <v>5725</v>
      </c>
      <c r="O73" s="12"/>
      <c r="P73" s="12"/>
      <c r="Q73" s="12"/>
    </row>
    <row r="74" spans="1:17" x14ac:dyDescent="0.25">
      <c r="A74" s="11">
        <v>102185</v>
      </c>
      <c r="B74" s="12" t="s">
        <v>1511</v>
      </c>
      <c r="C74" s="12" t="s">
        <v>1449</v>
      </c>
      <c r="D74" s="125">
        <v>15000000</v>
      </c>
      <c r="E74" s="125">
        <v>7198622.1799999997</v>
      </c>
      <c r="F74" s="12">
        <v>36</v>
      </c>
      <c r="G74" s="12">
        <v>180</v>
      </c>
      <c r="H74" s="12">
        <v>0</v>
      </c>
      <c r="I74" s="13">
        <v>42305.393427777781</v>
      </c>
      <c r="J74" s="13">
        <v>43407</v>
      </c>
      <c r="K74" s="12" t="s">
        <v>42</v>
      </c>
      <c r="L74" s="12" t="s">
        <v>26</v>
      </c>
      <c r="M74" s="12" t="s">
        <v>26</v>
      </c>
      <c r="N74" s="12" t="s">
        <v>546</v>
      </c>
      <c r="O74" s="12"/>
      <c r="P74" s="12"/>
      <c r="Q74" s="12"/>
    </row>
    <row r="75" spans="1:17" x14ac:dyDescent="0.25">
      <c r="A75" s="11">
        <v>102186</v>
      </c>
      <c r="B75" s="12" t="s">
        <v>1512</v>
      </c>
      <c r="C75" s="12" t="s">
        <v>1441</v>
      </c>
      <c r="D75" s="125">
        <v>35000000</v>
      </c>
      <c r="E75" s="125">
        <v>16066040.01</v>
      </c>
      <c r="F75" s="12">
        <v>36</v>
      </c>
      <c r="G75" s="12">
        <v>180</v>
      </c>
      <c r="H75" s="12">
        <v>0</v>
      </c>
      <c r="I75" s="13">
        <v>42305.414281793979</v>
      </c>
      <c r="J75" s="13">
        <v>43409</v>
      </c>
      <c r="K75" s="12" t="s">
        <v>44</v>
      </c>
      <c r="L75" s="12" t="s">
        <v>92</v>
      </c>
      <c r="M75" s="12" t="s">
        <v>26</v>
      </c>
      <c r="N75" s="12" t="s">
        <v>1467</v>
      </c>
      <c r="O75" s="12"/>
      <c r="P75" s="12"/>
      <c r="Q75" s="12"/>
    </row>
    <row r="76" spans="1:17" x14ac:dyDescent="0.25">
      <c r="A76" s="11">
        <v>102190</v>
      </c>
      <c r="B76" s="12" t="s">
        <v>663</v>
      </c>
      <c r="C76" s="12" t="s">
        <v>1449</v>
      </c>
      <c r="D76" s="125">
        <v>15000000</v>
      </c>
      <c r="E76" s="125">
        <v>6852246.9500000002</v>
      </c>
      <c r="F76" s="12">
        <v>36</v>
      </c>
      <c r="G76" s="12">
        <v>180</v>
      </c>
      <c r="H76" s="12">
        <v>0</v>
      </c>
      <c r="I76" s="13">
        <v>42306.496015428238</v>
      </c>
      <c r="J76" s="13">
        <v>43405</v>
      </c>
      <c r="K76" s="12" t="s">
        <v>25</v>
      </c>
      <c r="L76" s="12" t="s">
        <v>32</v>
      </c>
      <c r="M76" s="12" t="s">
        <v>26</v>
      </c>
      <c r="N76" s="12" t="s">
        <v>491</v>
      </c>
      <c r="O76" s="12"/>
      <c r="P76" s="12"/>
      <c r="Q76" s="12"/>
    </row>
    <row r="77" spans="1:17" x14ac:dyDescent="0.25">
      <c r="A77" s="11">
        <v>102192</v>
      </c>
      <c r="B77" s="12" t="s">
        <v>1151</v>
      </c>
      <c r="C77" s="12" t="s">
        <v>1441</v>
      </c>
      <c r="D77" s="125">
        <v>71711588.780000001</v>
      </c>
      <c r="E77" s="125">
        <v>37211861.189999998</v>
      </c>
      <c r="F77" s="12">
        <v>36</v>
      </c>
      <c r="G77" s="12">
        <v>180</v>
      </c>
      <c r="H77" s="12">
        <v>0</v>
      </c>
      <c r="I77" s="13">
        <v>42306.654785648148</v>
      </c>
      <c r="J77" s="13">
        <v>43406</v>
      </c>
      <c r="K77" s="12" t="s">
        <v>35</v>
      </c>
      <c r="L77" s="12" t="s">
        <v>121</v>
      </c>
      <c r="M77" s="12" t="s">
        <v>26</v>
      </c>
      <c r="N77" s="12" t="s">
        <v>5725</v>
      </c>
      <c r="O77" s="12"/>
      <c r="P77" s="12"/>
      <c r="Q77" s="12"/>
    </row>
    <row r="78" spans="1:17" x14ac:dyDescent="0.25">
      <c r="A78" s="11">
        <v>102207</v>
      </c>
      <c r="B78" s="12" t="s">
        <v>347</v>
      </c>
      <c r="C78" s="12" t="s">
        <v>80</v>
      </c>
      <c r="D78" s="125">
        <v>72000000</v>
      </c>
      <c r="E78" s="125">
        <v>35106785.170000002</v>
      </c>
      <c r="F78" s="12">
        <v>36</v>
      </c>
      <c r="G78" s="12">
        <v>180</v>
      </c>
      <c r="H78" s="12">
        <v>0</v>
      </c>
      <c r="I78" s="13">
        <v>42308.688990127317</v>
      </c>
      <c r="J78" s="13">
        <v>43405</v>
      </c>
      <c r="K78" s="12" t="s">
        <v>44</v>
      </c>
      <c r="L78" s="12" t="s">
        <v>75</v>
      </c>
      <c r="M78" s="12" t="s">
        <v>26</v>
      </c>
      <c r="N78" s="12" t="s">
        <v>491</v>
      </c>
      <c r="O78" s="12"/>
      <c r="P78" s="12"/>
      <c r="Q78" s="12"/>
    </row>
    <row r="79" spans="1:17" x14ac:dyDescent="0.25">
      <c r="A79" s="11">
        <v>102212</v>
      </c>
      <c r="B79" s="12" t="s">
        <v>846</v>
      </c>
      <c r="C79" s="12" t="s">
        <v>1441</v>
      </c>
      <c r="D79" s="125">
        <v>18000000</v>
      </c>
      <c r="E79" s="125">
        <v>3623553.87</v>
      </c>
      <c r="F79" s="12">
        <v>36</v>
      </c>
      <c r="G79" s="12">
        <v>180</v>
      </c>
      <c r="H79" s="12">
        <v>0</v>
      </c>
      <c r="I79" s="13">
        <v>42311.652017129629</v>
      </c>
      <c r="J79" s="13">
        <v>43054</v>
      </c>
      <c r="K79" s="12" t="s">
        <v>42</v>
      </c>
      <c r="L79" s="12" t="s">
        <v>26</v>
      </c>
      <c r="M79" s="12" t="s">
        <v>26</v>
      </c>
      <c r="N79" s="12" t="s">
        <v>1039</v>
      </c>
      <c r="O79" s="12"/>
      <c r="P79" s="12"/>
      <c r="Q79" s="12"/>
    </row>
    <row r="80" spans="1:17" x14ac:dyDescent="0.25">
      <c r="A80" s="11">
        <v>102220</v>
      </c>
      <c r="B80" s="12" t="s">
        <v>542</v>
      </c>
      <c r="C80" s="12" t="s">
        <v>1441</v>
      </c>
      <c r="D80" s="125">
        <v>22000000</v>
      </c>
      <c r="E80" s="125">
        <v>10548347.9</v>
      </c>
      <c r="F80" s="12">
        <v>42</v>
      </c>
      <c r="G80" s="12">
        <v>180</v>
      </c>
      <c r="H80" s="12">
        <v>0</v>
      </c>
      <c r="I80" s="13">
        <v>42315.444171331015</v>
      </c>
      <c r="J80" s="13">
        <v>43417</v>
      </c>
      <c r="K80" s="12" t="s">
        <v>25</v>
      </c>
      <c r="L80" s="12" t="s">
        <v>26</v>
      </c>
      <c r="M80" s="12" t="s">
        <v>26</v>
      </c>
      <c r="N80" s="12" t="s">
        <v>5167</v>
      </c>
      <c r="O80" s="12"/>
      <c r="P80" s="12"/>
      <c r="Q80" s="12"/>
    </row>
    <row r="81" spans="1:17" x14ac:dyDescent="0.25">
      <c r="A81" s="11">
        <v>102222</v>
      </c>
      <c r="B81" s="12" t="s">
        <v>1044</v>
      </c>
      <c r="C81" s="12" t="s">
        <v>1449</v>
      </c>
      <c r="D81" s="125">
        <v>67000000</v>
      </c>
      <c r="E81" s="125">
        <v>30725333.050000001</v>
      </c>
      <c r="F81" s="12">
        <v>36</v>
      </c>
      <c r="G81" s="12">
        <v>180</v>
      </c>
      <c r="H81" s="12">
        <v>0</v>
      </c>
      <c r="I81" s="13">
        <v>42317.601501041667</v>
      </c>
      <c r="J81" s="13">
        <v>43419</v>
      </c>
      <c r="K81" s="12" t="s">
        <v>45</v>
      </c>
      <c r="L81" s="12" t="s">
        <v>45</v>
      </c>
      <c r="M81" s="12" t="s">
        <v>26</v>
      </c>
      <c r="N81" s="12" t="s">
        <v>1447</v>
      </c>
      <c r="O81" s="12"/>
      <c r="P81" s="12"/>
      <c r="Q81" s="12"/>
    </row>
    <row r="82" spans="1:17" x14ac:dyDescent="0.25">
      <c r="A82" s="11">
        <v>102223</v>
      </c>
      <c r="B82" s="12" t="s">
        <v>1553</v>
      </c>
      <c r="C82" s="12" t="s">
        <v>1449</v>
      </c>
      <c r="D82" s="125">
        <v>15000000</v>
      </c>
      <c r="E82" s="125">
        <v>7681324.2800000003</v>
      </c>
      <c r="F82" s="12">
        <v>36</v>
      </c>
      <c r="G82" s="12">
        <v>180</v>
      </c>
      <c r="H82" s="12">
        <v>0</v>
      </c>
      <c r="I82" s="13">
        <v>42317.61409116898</v>
      </c>
      <c r="J82" s="13">
        <v>43413</v>
      </c>
      <c r="K82" s="12" t="s">
        <v>44</v>
      </c>
      <c r="L82" s="12" t="s">
        <v>92</v>
      </c>
      <c r="M82" s="12" t="s">
        <v>26</v>
      </c>
      <c r="N82" s="12" t="s">
        <v>491</v>
      </c>
      <c r="O82" s="12"/>
      <c r="P82" s="12"/>
      <c r="Q82" s="12"/>
    </row>
    <row r="83" spans="1:17" x14ac:dyDescent="0.25">
      <c r="A83" s="11">
        <v>102224</v>
      </c>
      <c r="B83" s="12" t="s">
        <v>1554</v>
      </c>
      <c r="C83" s="12" t="s">
        <v>1449</v>
      </c>
      <c r="D83" s="125">
        <v>55000000</v>
      </c>
      <c r="E83" s="125">
        <v>3159139.76</v>
      </c>
      <c r="F83" s="12">
        <v>36</v>
      </c>
      <c r="G83" s="12">
        <v>180</v>
      </c>
      <c r="H83" s="12">
        <v>0</v>
      </c>
      <c r="I83" s="13">
        <v>42318.462431400461</v>
      </c>
      <c r="J83" s="13">
        <v>43051</v>
      </c>
      <c r="K83" s="12" t="s">
        <v>27</v>
      </c>
      <c r="L83" s="12" t="s">
        <v>26</v>
      </c>
      <c r="M83" s="12" t="s">
        <v>26</v>
      </c>
      <c r="N83" s="12" t="s">
        <v>2855</v>
      </c>
      <c r="O83" s="12"/>
      <c r="P83" s="12"/>
      <c r="Q83" s="12"/>
    </row>
    <row r="84" spans="1:17" x14ac:dyDescent="0.25">
      <c r="A84" s="11">
        <v>102226</v>
      </c>
      <c r="B84" s="12" t="s">
        <v>777</v>
      </c>
      <c r="C84" s="12" t="s">
        <v>1441</v>
      </c>
      <c r="D84" s="125">
        <v>40000000</v>
      </c>
      <c r="E84" s="125">
        <v>21495779.050000001</v>
      </c>
      <c r="F84" s="12">
        <v>36</v>
      </c>
      <c r="G84" s="12">
        <v>180</v>
      </c>
      <c r="H84" s="12">
        <v>0</v>
      </c>
      <c r="I84" s="13">
        <v>42319.608294675927</v>
      </c>
      <c r="J84" s="13">
        <v>43416</v>
      </c>
      <c r="K84" s="12" t="s">
        <v>44</v>
      </c>
      <c r="L84" s="12" t="s">
        <v>75</v>
      </c>
      <c r="M84" s="12" t="s">
        <v>26</v>
      </c>
      <c r="N84" s="12" t="s">
        <v>86</v>
      </c>
      <c r="O84" s="12"/>
      <c r="P84" s="12"/>
      <c r="Q84" s="12"/>
    </row>
    <row r="85" spans="1:17" x14ac:dyDescent="0.25">
      <c r="A85" s="11">
        <v>102248</v>
      </c>
      <c r="B85" s="12" t="s">
        <v>1559</v>
      </c>
      <c r="C85" s="12" t="s">
        <v>1449</v>
      </c>
      <c r="D85" s="125">
        <v>25000000</v>
      </c>
      <c r="E85" s="125">
        <v>11736252.67</v>
      </c>
      <c r="F85" s="12">
        <v>36</v>
      </c>
      <c r="G85" s="12">
        <v>180</v>
      </c>
      <c r="H85" s="12">
        <v>0</v>
      </c>
      <c r="I85" s="13">
        <v>42326.438722303239</v>
      </c>
      <c r="J85" s="13">
        <v>43422</v>
      </c>
      <c r="K85" s="12" t="s">
        <v>25</v>
      </c>
      <c r="L85" s="12" t="s">
        <v>289</v>
      </c>
      <c r="M85" s="12" t="s">
        <v>26</v>
      </c>
      <c r="N85" s="12" t="s">
        <v>1467</v>
      </c>
      <c r="O85" s="12"/>
      <c r="P85" s="12"/>
      <c r="Q85" s="12"/>
    </row>
    <row r="86" spans="1:17" x14ac:dyDescent="0.25">
      <c r="A86" s="11">
        <v>102256</v>
      </c>
      <c r="B86" s="12" t="s">
        <v>1562</v>
      </c>
      <c r="C86" s="12" t="s">
        <v>1449</v>
      </c>
      <c r="D86" s="125">
        <v>36000000</v>
      </c>
      <c r="E86" s="125">
        <v>16413521.43</v>
      </c>
      <c r="F86" s="12">
        <v>36</v>
      </c>
      <c r="G86" s="12">
        <v>180</v>
      </c>
      <c r="H86" s="12">
        <v>0</v>
      </c>
      <c r="I86" s="13">
        <v>42327.745232986112</v>
      </c>
      <c r="J86" s="13">
        <v>43423</v>
      </c>
      <c r="K86" s="12" t="s">
        <v>44</v>
      </c>
      <c r="L86" s="12" t="s">
        <v>92</v>
      </c>
      <c r="M86" s="12" t="s">
        <v>26</v>
      </c>
      <c r="N86" s="12" t="s">
        <v>1191</v>
      </c>
      <c r="O86" s="12"/>
      <c r="P86" s="12"/>
      <c r="Q86" s="12"/>
    </row>
    <row r="87" spans="1:17" x14ac:dyDescent="0.25">
      <c r="A87" s="11">
        <v>102259</v>
      </c>
      <c r="B87" s="12" t="s">
        <v>817</v>
      </c>
      <c r="C87" s="12" t="s">
        <v>1441</v>
      </c>
      <c r="D87" s="125">
        <v>67000000</v>
      </c>
      <c r="E87" s="125">
        <v>34666001.640000001</v>
      </c>
      <c r="F87" s="12">
        <v>36</v>
      </c>
      <c r="G87" s="12">
        <v>180</v>
      </c>
      <c r="H87" s="12">
        <v>0</v>
      </c>
      <c r="I87" s="13">
        <v>42328.725100925927</v>
      </c>
      <c r="J87" s="13">
        <v>43424</v>
      </c>
      <c r="K87" s="12" t="s">
        <v>44</v>
      </c>
      <c r="L87" s="12" t="s">
        <v>92</v>
      </c>
      <c r="M87" s="12" t="s">
        <v>26</v>
      </c>
      <c r="N87" s="12" t="s">
        <v>5724</v>
      </c>
      <c r="O87" s="12"/>
      <c r="P87" s="12"/>
      <c r="Q87" s="12"/>
    </row>
    <row r="88" spans="1:17" x14ac:dyDescent="0.25">
      <c r="A88" s="11">
        <v>102267</v>
      </c>
      <c r="B88" s="12" t="s">
        <v>1154</v>
      </c>
      <c r="C88" s="12" t="s">
        <v>82</v>
      </c>
      <c r="D88" s="125">
        <v>58796578.719999999</v>
      </c>
      <c r="E88" s="125">
        <v>30687345.84</v>
      </c>
      <c r="F88" s="12">
        <v>36</v>
      </c>
      <c r="G88" s="12">
        <v>180</v>
      </c>
      <c r="H88" s="12">
        <v>0</v>
      </c>
      <c r="I88" s="13">
        <v>42332.515357025462</v>
      </c>
      <c r="J88" s="13">
        <v>43437</v>
      </c>
      <c r="K88" s="12" t="s">
        <v>25</v>
      </c>
      <c r="L88" s="12" t="s">
        <v>26</v>
      </c>
      <c r="M88" s="12" t="s">
        <v>26</v>
      </c>
      <c r="N88" s="12" t="s">
        <v>86</v>
      </c>
      <c r="O88" s="12"/>
      <c r="P88" s="12"/>
      <c r="Q88" s="12"/>
    </row>
    <row r="89" spans="1:17" x14ac:dyDescent="0.25">
      <c r="A89" s="11">
        <v>102271</v>
      </c>
      <c r="B89" s="12" t="s">
        <v>1601</v>
      </c>
      <c r="C89" s="12" t="s">
        <v>1441</v>
      </c>
      <c r="D89" s="125">
        <v>25000000</v>
      </c>
      <c r="E89" s="125">
        <v>9843742.1099999994</v>
      </c>
      <c r="F89" s="12">
        <v>18</v>
      </c>
      <c r="G89" s="12">
        <v>180</v>
      </c>
      <c r="H89" s="12">
        <v>0</v>
      </c>
      <c r="I89" s="13">
        <v>42332.723250891206</v>
      </c>
      <c r="J89" s="13">
        <v>43425</v>
      </c>
      <c r="K89" s="12" t="s">
        <v>43</v>
      </c>
      <c r="L89" s="12" t="s">
        <v>338</v>
      </c>
      <c r="M89" s="12" t="s">
        <v>26</v>
      </c>
      <c r="N89" s="12" t="s">
        <v>284</v>
      </c>
      <c r="O89" s="12"/>
      <c r="P89" s="12"/>
      <c r="Q89" s="12"/>
    </row>
    <row r="90" spans="1:17" x14ac:dyDescent="0.25">
      <c r="A90" s="11">
        <v>102272</v>
      </c>
      <c r="B90" s="12" t="s">
        <v>659</v>
      </c>
      <c r="C90" s="12" t="s">
        <v>1441</v>
      </c>
      <c r="D90" s="125">
        <v>27500000</v>
      </c>
      <c r="E90" s="125">
        <v>13473869.890000001</v>
      </c>
      <c r="F90" s="12">
        <v>36</v>
      </c>
      <c r="G90" s="12">
        <v>180</v>
      </c>
      <c r="H90" s="12">
        <v>0</v>
      </c>
      <c r="I90" s="13">
        <v>42333.516573692126</v>
      </c>
      <c r="J90" s="13">
        <v>43435</v>
      </c>
      <c r="K90" s="12" t="s">
        <v>44</v>
      </c>
      <c r="L90" s="12" t="s">
        <v>75</v>
      </c>
      <c r="M90" s="12" t="s">
        <v>26</v>
      </c>
      <c r="N90" s="12" t="s">
        <v>1039</v>
      </c>
      <c r="O90" s="12"/>
      <c r="P90" s="12"/>
      <c r="Q90" s="12"/>
    </row>
    <row r="91" spans="1:17" x14ac:dyDescent="0.25">
      <c r="A91" s="11">
        <v>102277</v>
      </c>
      <c r="B91" s="12" t="s">
        <v>1607</v>
      </c>
      <c r="C91" s="12" t="s">
        <v>1441</v>
      </c>
      <c r="D91" s="125">
        <v>16000000</v>
      </c>
      <c r="E91" s="125">
        <v>8209036.5300000003</v>
      </c>
      <c r="F91" s="12">
        <v>42</v>
      </c>
      <c r="G91" s="12">
        <v>180</v>
      </c>
      <c r="H91" s="12">
        <v>0</v>
      </c>
      <c r="I91" s="13">
        <v>42334.710147881946</v>
      </c>
      <c r="J91" s="13">
        <v>43444</v>
      </c>
      <c r="K91" s="12" t="s">
        <v>25</v>
      </c>
      <c r="L91" s="12" t="s">
        <v>88</v>
      </c>
      <c r="M91" s="12" t="s">
        <v>26</v>
      </c>
      <c r="N91" s="12" t="s">
        <v>1667</v>
      </c>
      <c r="O91" s="12"/>
      <c r="P91" s="12"/>
      <c r="Q91" s="12"/>
    </row>
    <row r="92" spans="1:17" x14ac:dyDescent="0.25">
      <c r="A92" s="11">
        <v>102279</v>
      </c>
      <c r="B92" s="12" t="s">
        <v>1602</v>
      </c>
      <c r="C92" s="12" t="s">
        <v>1449</v>
      </c>
      <c r="D92" s="125">
        <v>31000000</v>
      </c>
      <c r="E92" s="125">
        <v>15188726.189999999</v>
      </c>
      <c r="F92" s="12">
        <v>36</v>
      </c>
      <c r="G92" s="12">
        <v>180</v>
      </c>
      <c r="H92" s="12">
        <v>0</v>
      </c>
      <c r="I92" s="13">
        <v>42334.679847534724</v>
      </c>
      <c r="J92" s="13">
        <v>43436</v>
      </c>
      <c r="K92" s="12" t="s">
        <v>25</v>
      </c>
      <c r="L92" s="12" t="s">
        <v>26</v>
      </c>
      <c r="M92" s="12" t="s">
        <v>26</v>
      </c>
      <c r="N92" s="12" t="s">
        <v>963</v>
      </c>
      <c r="O92" s="12"/>
      <c r="P92" s="12"/>
      <c r="Q92" s="12"/>
    </row>
    <row r="93" spans="1:17" x14ac:dyDescent="0.25">
      <c r="A93" s="11">
        <v>102282</v>
      </c>
      <c r="B93" s="12" t="s">
        <v>1603</v>
      </c>
      <c r="C93" s="12" t="s">
        <v>1449</v>
      </c>
      <c r="D93" s="125">
        <v>15000000</v>
      </c>
      <c r="E93" s="125">
        <v>873594.96</v>
      </c>
      <c r="F93" s="12">
        <v>36</v>
      </c>
      <c r="G93" s="12">
        <v>180</v>
      </c>
      <c r="H93" s="12">
        <v>0</v>
      </c>
      <c r="I93" s="13">
        <v>42335.543069016203</v>
      </c>
      <c r="J93" s="13">
        <v>43073</v>
      </c>
      <c r="K93" s="12" t="s">
        <v>44</v>
      </c>
      <c r="L93" s="12" t="s">
        <v>75</v>
      </c>
      <c r="M93" s="12" t="s">
        <v>26</v>
      </c>
      <c r="N93" s="12" t="s">
        <v>1467</v>
      </c>
      <c r="O93" s="12"/>
      <c r="P93" s="12"/>
      <c r="Q93" s="12"/>
    </row>
    <row r="94" spans="1:17" x14ac:dyDescent="0.25">
      <c r="A94" s="11">
        <v>102284</v>
      </c>
      <c r="B94" s="12" t="s">
        <v>802</v>
      </c>
      <c r="C94" s="12" t="s">
        <v>1449</v>
      </c>
      <c r="D94" s="125">
        <v>31500000</v>
      </c>
      <c r="E94" s="125">
        <v>3603961.3</v>
      </c>
      <c r="F94" s="12">
        <v>36</v>
      </c>
      <c r="G94" s="12">
        <v>180</v>
      </c>
      <c r="H94" s="12">
        <v>0</v>
      </c>
      <c r="I94" s="13">
        <v>42335.629440856479</v>
      </c>
      <c r="J94" s="13">
        <v>43079</v>
      </c>
      <c r="K94" s="12" t="s">
        <v>36</v>
      </c>
      <c r="L94" s="12" t="s">
        <v>118</v>
      </c>
      <c r="M94" s="12" t="s">
        <v>119</v>
      </c>
      <c r="N94" s="12" t="s">
        <v>1191</v>
      </c>
      <c r="O94" s="12"/>
      <c r="P94" s="12"/>
      <c r="Q94" s="12"/>
    </row>
    <row r="95" spans="1:17" x14ac:dyDescent="0.25">
      <c r="A95" s="11">
        <v>102288</v>
      </c>
      <c r="B95" s="12" t="s">
        <v>535</v>
      </c>
      <c r="C95" s="12" t="s">
        <v>1441</v>
      </c>
      <c r="D95" s="125">
        <v>67000000</v>
      </c>
      <c r="E95" s="125">
        <v>35097849.229999997</v>
      </c>
      <c r="F95" s="12">
        <v>36</v>
      </c>
      <c r="G95" s="12">
        <v>180</v>
      </c>
      <c r="H95" s="12">
        <v>0</v>
      </c>
      <c r="I95" s="13">
        <v>42338.701221331015</v>
      </c>
      <c r="J95" s="13">
        <v>43452</v>
      </c>
      <c r="K95" s="12" t="s">
        <v>25</v>
      </c>
      <c r="L95" s="12" t="s">
        <v>26</v>
      </c>
      <c r="M95" s="12" t="s">
        <v>26</v>
      </c>
      <c r="N95" s="12" t="s">
        <v>546</v>
      </c>
      <c r="O95" s="12"/>
      <c r="P95" s="12"/>
      <c r="Q95" s="12"/>
    </row>
    <row r="96" spans="1:17" x14ac:dyDescent="0.25">
      <c r="A96" s="11">
        <v>102293</v>
      </c>
      <c r="B96" s="12" t="s">
        <v>368</v>
      </c>
      <c r="C96" s="12" t="s">
        <v>1441</v>
      </c>
      <c r="D96" s="125">
        <v>67000000</v>
      </c>
      <c r="E96" s="125">
        <v>34144992.619999997</v>
      </c>
      <c r="F96" s="12">
        <v>36</v>
      </c>
      <c r="G96" s="12">
        <v>180</v>
      </c>
      <c r="H96" s="12">
        <v>0</v>
      </c>
      <c r="I96" s="13">
        <v>42339.50013630787</v>
      </c>
      <c r="J96" s="13">
        <v>43449</v>
      </c>
      <c r="K96" s="12" t="s">
        <v>44</v>
      </c>
      <c r="L96" s="12" t="s">
        <v>75</v>
      </c>
      <c r="M96" s="12" t="s">
        <v>26</v>
      </c>
      <c r="N96" s="12" t="s">
        <v>1039</v>
      </c>
      <c r="O96" s="12"/>
      <c r="P96" s="12"/>
      <c r="Q96" s="12"/>
    </row>
    <row r="97" spans="1:17" x14ac:dyDescent="0.25">
      <c r="A97" s="11">
        <v>102295</v>
      </c>
      <c r="B97" s="12" t="s">
        <v>500</v>
      </c>
      <c r="C97" s="12" t="s">
        <v>1441</v>
      </c>
      <c r="D97" s="125">
        <v>17500000</v>
      </c>
      <c r="E97" s="125">
        <v>6286514.0700000003</v>
      </c>
      <c r="F97" s="12">
        <v>42</v>
      </c>
      <c r="G97" s="12">
        <v>180</v>
      </c>
      <c r="H97" s="12">
        <v>0</v>
      </c>
      <c r="I97" s="13">
        <v>42339.717164895832</v>
      </c>
      <c r="J97" s="13">
        <v>43085</v>
      </c>
      <c r="K97" s="12" t="s">
        <v>36</v>
      </c>
      <c r="L97" s="12" t="s">
        <v>97</v>
      </c>
      <c r="M97" s="12" t="s">
        <v>98</v>
      </c>
      <c r="N97" s="12" t="s">
        <v>5725</v>
      </c>
      <c r="O97" s="12"/>
      <c r="P97" s="12"/>
      <c r="Q97" s="12"/>
    </row>
    <row r="98" spans="1:17" x14ac:dyDescent="0.25">
      <c r="A98" s="11">
        <v>102299</v>
      </c>
      <c r="B98" s="12" t="s">
        <v>1631</v>
      </c>
      <c r="C98" s="12" t="s">
        <v>1449</v>
      </c>
      <c r="D98" s="125">
        <v>60000000</v>
      </c>
      <c r="E98" s="125">
        <v>29312406.25</v>
      </c>
      <c r="F98" s="12">
        <v>36</v>
      </c>
      <c r="G98" s="12">
        <v>180</v>
      </c>
      <c r="H98" s="12">
        <v>0</v>
      </c>
      <c r="I98" s="13">
        <v>42340.740084606485</v>
      </c>
      <c r="J98" s="13">
        <v>43439</v>
      </c>
      <c r="K98" s="12" t="s">
        <v>44</v>
      </c>
      <c r="L98" s="12" t="s">
        <v>75</v>
      </c>
      <c r="M98" s="12" t="s">
        <v>26</v>
      </c>
      <c r="N98" s="12" t="s">
        <v>491</v>
      </c>
      <c r="O98" s="12"/>
      <c r="P98" s="12"/>
      <c r="Q98" s="12"/>
    </row>
    <row r="99" spans="1:17" x14ac:dyDescent="0.25">
      <c r="A99" s="11">
        <v>102318</v>
      </c>
      <c r="B99" s="12" t="s">
        <v>975</v>
      </c>
      <c r="C99" s="12" t="s">
        <v>1441</v>
      </c>
      <c r="D99" s="125">
        <v>20000000</v>
      </c>
      <c r="E99" s="125">
        <v>1203339.55</v>
      </c>
      <c r="F99" s="12">
        <v>42</v>
      </c>
      <c r="G99" s="12">
        <v>180</v>
      </c>
      <c r="H99" s="12">
        <v>0</v>
      </c>
      <c r="I99" s="13">
        <v>42349.715272800924</v>
      </c>
      <c r="J99" s="13">
        <v>43080</v>
      </c>
      <c r="K99" s="12" t="s">
        <v>46</v>
      </c>
      <c r="L99" s="12" t="s">
        <v>46</v>
      </c>
      <c r="M99" s="12" t="s">
        <v>26</v>
      </c>
      <c r="N99" s="12" t="s">
        <v>4684</v>
      </c>
      <c r="O99" s="12"/>
      <c r="P99" s="12"/>
      <c r="Q99" s="12"/>
    </row>
    <row r="100" spans="1:17" x14ac:dyDescent="0.25">
      <c r="A100" s="11">
        <v>102319</v>
      </c>
      <c r="B100" s="12" t="s">
        <v>1129</v>
      </c>
      <c r="C100" s="12" t="s">
        <v>1441</v>
      </c>
      <c r="D100" s="125">
        <v>60000000</v>
      </c>
      <c r="E100" s="125">
        <v>29227278.370000001</v>
      </c>
      <c r="F100" s="12">
        <v>36</v>
      </c>
      <c r="G100" s="12">
        <v>180</v>
      </c>
      <c r="H100" s="12">
        <v>0</v>
      </c>
      <c r="I100" s="13">
        <v>42350.529940775465</v>
      </c>
      <c r="J100" s="13">
        <v>43446</v>
      </c>
      <c r="K100" s="12" t="s">
        <v>44</v>
      </c>
      <c r="L100" s="12" t="s">
        <v>75</v>
      </c>
      <c r="M100" s="12" t="s">
        <v>26</v>
      </c>
      <c r="N100" s="12" t="s">
        <v>1191</v>
      </c>
      <c r="O100" s="12"/>
      <c r="P100" s="12"/>
      <c r="Q100" s="12"/>
    </row>
    <row r="101" spans="1:17" x14ac:dyDescent="0.25">
      <c r="A101" s="11">
        <v>102320</v>
      </c>
      <c r="B101" s="12" t="s">
        <v>1656</v>
      </c>
      <c r="C101" s="12" t="s">
        <v>1449</v>
      </c>
      <c r="D101" s="125">
        <v>15500000</v>
      </c>
      <c r="E101" s="125">
        <v>1139260.83</v>
      </c>
      <c r="F101" s="12">
        <v>42</v>
      </c>
      <c r="G101" s="12">
        <v>180</v>
      </c>
      <c r="H101" s="12">
        <v>0</v>
      </c>
      <c r="I101" s="13">
        <v>42352.446862847224</v>
      </c>
      <c r="J101" s="13">
        <v>42903</v>
      </c>
      <c r="K101" s="12" t="s">
        <v>45</v>
      </c>
      <c r="L101" s="12" t="s">
        <v>45</v>
      </c>
      <c r="M101" s="12" t="s">
        <v>1658</v>
      </c>
      <c r="N101" s="12" t="s">
        <v>90</v>
      </c>
      <c r="O101" s="12"/>
      <c r="P101" s="12"/>
      <c r="Q101" s="12"/>
    </row>
    <row r="102" spans="1:17" x14ac:dyDescent="0.25">
      <c r="A102" s="11">
        <v>102325</v>
      </c>
      <c r="B102" s="12" t="s">
        <v>606</v>
      </c>
      <c r="C102" s="12" t="s">
        <v>1441</v>
      </c>
      <c r="D102" s="125">
        <v>43475755.299999997</v>
      </c>
      <c r="E102" s="125">
        <v>23772661.25</v>
      </c>
      <c r="F102" s="12">
        <v>36</v>
      </c>
      <c r="G102" s="12">
        <v>180</v>
      </c>
      <c r="H102" s="12">
        <v>0</v>
      </c>
      <c r="I102" s="13">
        <v>42353.615307094908</v>
      </c>
      <c r="J102" s="13">
        <v>43449</v>
      </c>
      <c r="K102" s="12" t="s">
        <v>27</v>
      </c>
      <c r="L102" s="12" t="s">
        <v>26</v>
      </c>
      <c r="M102" s="12" t="s">
        <v>26</v>
      </c>
      <c r="N102" s="12" t="s">
        <v>5725</v>
      </c>
      <c r="O102" s="12"/>
      <c r="P102" s="12"/>
      <c r="Q102" s="12"/>
    </row>
    <row r="103" spans="1:17" x14ac:dyDescent="0.25">
      <c r="A103" s="11">
        <v>102326</v>
      </c>
      <c r="B103" s="12" t="s">
        <v>650</v>
      </c>
      <c r="C103" s="12" t="s">
        <v>80</v>
      </c>
      <c r="D103" s="125">
        <v>12900000</v>
      </c>
      <c r="E103" s="125">
        <v>1939877.81</v>
      </c>
      <c r="F103" s="12">
        <v>18</v>
      </c>
      <c r="G103" s="12">
        <v>180</v>
      </c>
      <c r="H103" s="12">
        <v>0</v>
      </c>
      <c r="I103" s="13">
        <v>42353.648289930556</v>
      </c>
      <c r="J103" s="13">
        <v>43455</v>
      </c>
      <c r="K103" s="12" t="s">
        <v>43</v>
      </c>
      <c r="L103" s="12" t="s">
        <v>338</v>
      </c>
      <c r="M103" s="12" t="s">
        <v>339</v>
      </c>
      <c r="N103" s="12" t="s">
        <v>284</v>
      </c>
      <c r="O103" s="12"/>
      <c r="P103" s="12"/>
      <c r="Q103" s="12"/>
    </row>
    <row r="104" spans="1:17" x14ac:dyDescent="0.25">
      <c r="A104" s="11">
        <v>102331</v>
      </c>
      <c r="B104" s="12" t="s">
        <v>566</v>
      </c>
      <c r="C104" s="12" t="s">
        <v>80</v>
      </c>
      <c r="D104" s="125">
        <v>11000000</v>
      </c>
      <c r="E104" s="125">
        <v>1306377.28</v>
      </c>
      <c r="F104" s="12">
        <v>36</v>
      </c>
      <c r="G104" s="12">
        <v>180</v>
      </c>
      <c r="H104" s="12">
        <v>0</v>
      </c>
      <c r="I104" s="13">
        <v>42353.74308310185</v>
      </c>
      <c r="J104" s="13">
        <v>43084</v>
      </c>
      <c r="K104" s="12" t="s">
        <v>44</v>
      </c>
      <c r="L104" s="12" t="s">
        <v>75</v>
      </c>
      <c r="M104" s="12" t="s">
        <v>26</v>
      </c>
      <c r="N104" s="12" t="s">
        <v>1039</v>
      </c>
      <c r="O104" s="12"/>
      <c r="P104" s="12"/>
      <c r="Q104" s="12"/>
    </row>
    <row r="105" spans="1:17" x14ac:dyDescent="0.25">
      <c r="A105" s="11">
        <v>102332</v>
      </c>
      <c r="B105" s="12" t="s">
        <v>154</v>
      </c>
      <c r="C105" s="12" t="s">
        <v>1441</v>
      </c>
      <c r="D105" s="125">
        <v>60000000</v>
      </c>
      <c r="E105" s="125">
        <v>6831779.8700000001</v>
      </c>
      <c r="F105" s="12">
        <v>36</v>
      </c>
      <c r="G105" s="12">
        <v>180</v>
      </c>
      <c r="H105" s="12">
        <v>0</v>
      </c>
      <c r="I105" s="13">
        <v>42354.499002662036</v>
      </c>
      <c r="J105" s="13">
        <v>43093</v>
      </c>
      <c r="K105" s="12" t="s">
        <v>25</v>
      </c>
      <c r="L105" s="12" t="s">
        <v>103</v>
      </c>
      <c r="M105" s="12" t="s">
        <v>26</v>
      </c>
      <c r="N105" s="12" t="s">
        <v>86</v>
      </c>
      <c r="O105" s="12"/>
      <c r="P105" s="12"/>
      <c r="Q105" s="12"/>
    </row>
    <row r="106" spans="1:17" x14ac:dyDescent="0.25">
      <c r="A106" s="11">
        <v>102338</v>
      </c>
      <c r="B106" s="12" t="s">
        <v>591</v>
      </c>
      <c r="C106" s="12" t="s">
        <v>80</v>
      </c>
      <c r="D106" s="125">
        <v>15039169.9</v>
      </c>
      <c r="E106" s="125">
        <v>9467414.0500000007</v>
      </c>
      <c r="F106" s="12">
        <v>48</v>
      </c>
      <c r="G106" s="12">
        <v>180</v>
      </c>
      <c r="H106" s="12">
        <v>0</v>
      </c>
      <c r="I106" s="13">
        <v>42355.719460335647</v>
      </c>
      <c r="J106" s="13">
        <v>43475</v>
      </c>
      <c r="K106" s="12" t="s">
        <v>25</v>
      </c>
      <c r="L106" s="12" t="s">
        <v>26</v>
      </c>
      <c r="M106" s="12" t="s">
        <v>26</v>
      </c>
      <c r="N106" s="12" t="s">
        <v>5725</v>
      </c>
      <c r="O106" s="12"/>
      <c r="P106" s="12"/>
      <c r="Q106" s="12"/>
    </row>
    <row r="107" spans="1:17" x14ac:dyDescent="0.25">
      <c r="A107" s="11">
        <v>102339</v>
      </c>
      <c r="B107" s="12" t="s">
        <v>1107</v>
      </c>
      <c r="C107" s="12" t="s">
        <v>80</v>
      </c>
      <c r="D107" s="125">
        <v>40000000</v>
      </c>
      <c r="E107" s="125">
        <v>21579944.219999999</v>
      </c>
      <c r="F107" s="12">
        <v>36</v>
      </c>
      <c r="G107" s="12">
        <v>180</v>
      </c>
      <c r="H107" s="12">
        <v>0</v>
      </c>
      <c r="I107" s="13">
        <v>42355.730444710651</v>
      </c>
      <c r="J107" s="13">
        <v>43482</v>
      </c>
      <c r="K107" s="12" t="s">
        <v>44</v>
      </c>
      <c r="L107" s="12" t="s">
        <v>75</v>
      </c>
      <c r="M107" s="12" t="s">
        <v>26</v>
      </c>
      <c r="N107" s="12" t="s">
        <v>1039</v>
      </c>
      <c r="O107" s="12"/>
      <c r="P107" s="12"/>
      <c r="Q107" s="12"/>
    </row>
    <row r="108" spans="1:17" x14ac:dyDescent="0.25">
      <c r="A108" s="11">
        <v>102349</v>
      </c>
      <c r="B108" s="12" t="s">
        <v>1688</v>
      </c>
      <c r="C108" s="12" t="s">
        <v>1449</v>
      </c>
      <c r="D108" s="125">
        <v>60000000</v>
      </c>
      <c r="E108" s="125">
        <v>16299883.449999999</v>
      </c>
      <c r="F108" s="12">
        <v>36</v>
      </c>
      <c r="G108" s="12">
        <v>180</v>
      </c>
      <c r="H108" s="12">
        <v>0</v>
      </c>
      <c r="I108" s="13">
        <v>42359.423008796293</v>
      </c>
      <c r="J108" s="13">
        <v>43101</v>
      </c>
      <c r="K108" s="12" t="s">
        <v>44</v>
      </c>
      <c r="L108" s="12" t="s">
        <v>75</v>
      </c>
      <c r="M108" s="12" t="s">
        <v>1442</v>
      </c>
      <c r="N108" s="12" t="s">
        <v>5167</v>
      </c>
      <c r="O108" s="12"/>
      <c r="P108" s="12"/>
      <c r="Q108" s="12"/>
    </row>
    <row r="109" spans="1:17" x14ac:dyDescent="0.25">
      <c r="A109" s="11">
        <v>102365</v>
      </c>
      <c r="B109" s="12" t="s">
        <v>1717</v>
      </c>
      <c r="C109" s="12" t="s">
        <v>1441</v>
      </c>
      <c r="D109" s="125">
        <v>15000000</v>
      </c>
      <c r="E109" s="125">
        <v>5387739.1900000004</v>
      </c>
      <c r="F109" s="12">
        <v>36</v>
      </c>
      <c r="G109" s="12">
        <v>180</v>
      </c>
      <c r="H109" s="12">
        <v>0</v>
      </c>
      <c r="I109" s="13">
        <v>42376.666967939818</v>
      </c>
      <c r="J109" s="13">
        <v>43291</v>
      </c>
      <c r="K109" s="12" t="s">
        <v>44</v>
      </c>
      <c r="L109" s="12" t="s">
        <v>75</v>
      </c>
      <c r="M109" s="12" t="s">
        <v>26</v>
      </c>
      <c r="N109" s="12" t="s">
        <v>1467</v>
      </c>
      <c r="O109" s="12"/>
      <c r="P109" s="12"/>
      <c r="Q109" s="12"/>
    </row>
    <row r="110" spans="1:17" x14ac:dyDescent="0.25">
      <c r="A110" s="11">
        <v>102374</v>
      </c>
      <c r="B110" s="12" t="s">
        <v>677</v>
      </c>
      <c r="C110" s="12" t="s">
        <v>1449</v>
      </c>
      <c r="D110" s="125">
        <v>50000000</v>
      </c>
      <c r="E110" s="125">
        <v>25870150.449999999</v>
      </c>
      <c r="F110" s="12">
        <v>36</v>
      </c>
      <c r="G110" s="12">
        <v>180</v>
      </c>
      <c r="H110" s="12">
        <v>0</v>
      </c>
      <c r="I110" s="13">
        <v>42383.680837928237</v>
      </c>
      <c r="J110" s="13">
        <v>43479</v>
      </c>
      <c r="K110" s="12" t="s">
        <v>29</v>
      </c>
      <c r="L110" s="12" t="s">
        <v>96</v>
      </c>
      <c r="M110" s="12" t="s">
        <v>96</v>
      </c>
      <c r="N110" s="12" t="s">
        <v>1191</v>
      </c>
      <c r="O110" s="12"/>
      <c r="P110" s="12"/>
      <c r="Q110" s="12"/>
    </row>
    <row r="111" spans="1:17" x14ac:dyDescent="0.25">
      <c r="A111" s="11">
        <v>102375</v>
      </c>
      <c r="B111" s="12" t="s">
        <v>74</v>
      </c>
      <c r="C111" s="12" t="s">
        <v>1449</v>
      </c>
      <c r="D111" s="125">
        <v>45000000</v>
      </c>
      <c r="E111" s="125">
        <v>23283135.34</v>
      </c>
      <c r="F111" s="12">
        <v>36</v>
      </c>
      <c r="G111" s="12">
        <v>180</v>
      </c>
      <c r="H111" s="12">
        <v>0</v>
      </c>
      <c r="I111" s="13">
        <v>42384.482900497685</v>
      </c>
      <c r="J111" s="13">
        <v>43480</v>
      </c>
      <c r="K111" s="12" t="s">
        <v>25</v>
      </c>
      <c r="L111" s="12" t="s">
        <v>32</v>
      </c>
      <c r="M111" s="12" t="s">
        <v>517</v>
      </c>
      <c r="N111" s="12" t="s">
        <v>491</v>
      </c>
      <c r="O111" s="12"/>
      <c r="P111" s="12"/>
      <c r="Q111" s="12"/>
    </row>
    <row r="112" spans="1:17" x14ac:dyDescent="0.25">
      <c r="A112" s="11">
        <v>102394</v>
      </c>
      <c r="B112" s="12" t="s">
        <v>929</v>
      </c>
      <c r="C112" s="12" t="s">
        <v>80</v>
      </c>
      <c r="D112" s="125">
        <v>21076989</v>
      </c>
      <c r="E112" s="125">
        <v>4875346.83</v>
      </c>
      <c r="F112" s="12">
        <v>42</v>
      </c>
      <c r="G112" s="12">
        <v>180</v>
      </c>
      <c r="H112" s="12">
        <v>0</v>
      </c>
      <c r="I112" s="13">
        <v>42399.498592442127</v>
      </c>
      <c r="J112" s="13">
        <v>43142</v>
      </c>
      <c r="K112" s="12" t="s">
        <v>37</v>
      </c>
      <c r="L112" s="12" t="s">
        <v>38</v>
      </c>
      <c r="M112" s="12" t="s">
        <v>39</v>
      </c>
      <c r="N112" s="12" t="s">
        <v>468</v>
      </c>
      <c r="O112" s="12"/>
      <c r="P112" s="12"/>
      <c r="Q112" s="12"/>
    </row>
    <row r="113" spans="1:17" x14ac:dyDescent="0.25">
      <c r="A113" s="11">
        <v>102395</v>
      </c>
      <c r="B113" s="12" t="s">
        <v>1778</v>
      </c>
      <c r="C113" s="12" t="s">
        <v>80</v>
      </c>
      <c r="D113" s="125">
        <v>20000000</v>
      </c>
      <c r="E113" s="125">
        <v>3508983.22</v>
      </c>
      <c r="F113" s="12">
        <v>42</v>
      </c>
      <c r="G113" s="12">
        <v>180</v>
      </c>
      <c r="H113" s="12">
        <v>0</v>
      </c>
      <c r="I113" s="13">
        <v>42399.587561192129</v>
      </c>
      <c r="J113" s="13">
        <v>43137</v>
      </c>
      <c r="K113" s="12" t="s">
        <v>27</v>
      </c>
      <c r="L113" s="12" t="s">
        <v>81</v>
      </c>
      <c r="M113" s="12" t="s">
        <v>26</v>
      </c>
      <c r="N113" s="12" t="s">
        <v>1447</v>
      </c>
      <c r="O113" s="12"/>
      <c r="P113" s="12"/>
      <c r="Q113" s="12"/>
    </row>
    <row r="114" spans="1:17" x14ac:dyDescent="0.25">
      <c r="A114" s="11">
        <v>102404</v>
      </c>
      <c r="B114" s="12" t="s">
        <v>1748</v>
      </c>
      <c r="C114" s="12" t="s">
        <v>1441</v>
      </c>
      <c r="D114" s="125">
        <v>20000000</v>
      </c>
      <c r="E114" s="125">
        <v>3356659.52</v>
      </c>
      <c r="F114" s="12">
        <v>36</v>
      </c>
      <c r="G114" s="12">
        <v>180</v>
      </c>
      <c r="H114" s="12">
        <v>0</v>
      </c>
      <c r="I114" s="13">
        <v>42410.686364548608</v>
      </c>
      <c r="J114" s="13">
        <v>43146</v>
      </c>
      <c r="K114" s="12" t="s">
        <v>44</v>
      </c>
      <c r="L114" s="12" t="s">
        <v>92</v>
      </c>
      <c r="M114" s="12" t="s">
        <v>26</v>
      </c>
      <c r="N114" s="12" t="s">
        <v>491</v>
      </c>
      <c r="O114" s="12"/>
      <c r="P114" s="12"/>
      <c r="Q114" s="12"/>
    </row>
    <row r="115" spans="1:17" x14ac:dyDescent="0.25">
      <c r="A115" s="11">
        <v>102405</v>
      </c>
      <c r="B115" s="12" t="s">
        <v>872</v>
      </c>
      <c r="C115" s="12" t="s">
        <v>1449</v>
      </c>
      <c r="D115" s="125">
        <v>26000000</v>
      </c>
      <c r="E115" s="125">
        <v>16320894.539999999</v>
      </c>
      <c r="F115" s="12">
        <v>42</v>
      </c>
      <c r="G115" s="12">
        <v>180</v>
      </c>
      <c r="H115" s="12">
        <v>0</v>
      </c>
      <c r="I115" s="13">
        <v>42410.706986689816</v>
      </c>
      <c r="J115" s="13">
        <v>43512</v>
      </c>
      <c r="K115" s="12" t="s">
        <v>25</v>
      </c>
      <c r="L115" s="12" t="s">
        <v>26</v>
      </c>
      <c r="M115" s="12" t="s">
        <v>26</v>
      </c>
      <c r="N115" s="12" t="s">
        <v>1191</v>
      </c>
      <c r="O115" s="12"/>
      <c r="P115" s="12"/>
      <c r="Q115" s="12"/>
    </row>
    <row r="116" spans="1:17" x14ac:dyDescent="0.25">
      <c r="A116" s="11">
        <v>102407</v>
      </c>
      <c r="B116" s="12" t="s">
        <v>1743</v>
      </c>
      <c r="C116" s="12" t="s">
        <v>1441</v>
      </c>
      <c r="D116" s="125">
        <v>45000000</v>
      </c>
      <c r="E116" s="125">
        <v>24773348.710000001</v>
      </c>
      <c r="F116" s="12">
        <v>36</v>
      </c>
      <c r="G116" s="12">
        <v>180</v>
      </c>
      <c r="H116" s="12">
        <v>0</v>
      </c>
      <c r="I116" s="13">
        <v>42413.45611767361</v>
      </c>
      <c r="J116" s="13">
        <v>43516</v>
      </c>
      <c r="K116" s="12" t="s">
        <v>45</v>
      </c>
      <c r="L116" s="12" t="s">
        <v>45</v>
      </c>
      <c r="M116" s="12" t="s">
        <v>26</v>
      </c>
      <c r="N116" s="12" t="s">
        <v>491</v>
      </c>
      <c r="O116" s="12"/>
      <c r="P116" s="12"/>
      <c r="Q116" s="12"/>
    </row>
    <row r="117" spans="1:17" x14ac:dyDescent="0.25">
      <c r="A117" s="11">
        <v>102409</v>
      </c>
      <c r="B117" s="12" t="s">
        <v>1772</v>
      </c>
      <c r="C117" s="12" t="s">
        <v>1441</v>
      </c>
      <c r="D117" s="125">
        <v>22000000</v>
      </c>
      <c r="E117" s="125">
        <v>1624281.74</v>
      </c>
      <c r="F117" s="12">
        <v>42</v>
      </c>
      <c r="G117" s="12">
        <v>180</v>
      </c>
      <c r="H117" s="12">
        <v>0</v>
      </c>
      <c r="I117" s="13">
        <v>42413.487209606479</v>
      </c>
      <c r="J117" s="13">
        <v>42967</v>
      </c>
      <c r="K117" s="12" t="s">
        <v>25</v>
      </c>
      <c r="L117" s="12" t="s">
        <v>26</v>
      </c>
      <c r="M117" s="12" t="s">
        <v>26</v>
      </c>
      <c r="N117" s="12" t="s">
        <v>1191</v>
      </c>
      <c r="O117" s="12"/>
      <c r="P117" s="12"/>
      <c r="Q117" s="12"/>
    </row>
    <row r="118" spans="1:17" x14ac:dyDescent="0.25">
      <c r="A118" s="11">
        <v>102418</v>
      </c>
      <c r="B118" s="12" t="s">
        <v>810</v>
      </c>
      <c r="C118" s="12" t="s">
        <v>1449</v>
      </c>
      <c r="D118" s="125">
        <v>18000000</v>
      </c>
      <c r="E118" s="125">
        <v>11163669.66</v>
      </c>
      <c r="F118" s="12">
        <v>48</v>
      </c>
      <c r="G118" s="12">
        <v>180</v>
      </c>
      <c r="H118" s="12">
        <v>0</v>
      </c>
      <c r="I118" s="13">
        <v>42426.470221099538</v>
      </c>
      <c r="J118" s="13">
        <v>43525</v>
      </c>
      <c r="K118" s="12" t="s">
        <v>25</v>
      </c>
      <c r="L118" s="12" t="s">
        <v>286</v>
      </c>
      <c r="M118" s="12" t="s">
        <v>26</v>
      </c>
      <c r="N118" s="12" t="s">
        <v>86</v>
      </c>
      <c r="O118" s="12"/>
      <c r="P118" s="12"/>
      <c r="Q118" s="12"/>
    </row>
    <row r="119" spans="1:17" x14ac:dyDescent="0.25">
      <c r="A119" s="11">
        <v>102423</v>
      </c>
      <c r="B119" s="12" t="s">
        <v>163</v>
      </c>
      <c r="C119" s="12" t="s">
        <v>1441</v>
      </c>
      <c r="D119" s="125">
        <v>53000000</v>
      </c>
      <c r="E119" s="125">
        <v>39703928.780000001</v>
      </c>
      <c r="F119" s="12">
        <v>36</v>
      </c>
      <c r="G119" s="12">
        <v>180</v>
      </c>
      <c r="H119" s="12">
        <v>0</v>
      </c>
      <c r="I119" s="13">
        <v>42427.511391203705</v>
      </c>
      <c r="J119" s="13">
        <v>43896</v>
      </c>
      <c r="K119" s="12" t="s">
        <v>44</v>
      </c>
      <c r="L119" s="12" t="s">
        <v>75</v>
      </c>
      <c r="M119" s="12" t="s">
        <v>26</v>
      </c>
      <c r="N119" s="12" t="s">
        <v>1467</v>
      </c>
      <c r="O119" s="12"/>
      <c r="P119" s="12"/>
      <c r="Q119" s="12"/>
    </row>
    <row r="120" spans="1:17" x14ac:dyDescent="0.25">
      <c r="A120" s="11">
        <v>102424</v>
      </c>
      <c r="B120" s="12" t="s">
        <v>902</v>
      </c>
      <c r="C120" s="12" t="s">
        <v>1449</v>
      </c>
      <c r="D120" s="125">
        <v>53000000</v>
      </c>
      <c r="E120" s="125">
        <v>14161111.449999999</v>
      </c>
      <c r="F120" s="12">
        <v>36</v>
      </c>
      <c r="G120" s="12">
        <v>180</v>
      </c>
      <c r="H120" s="12">
        <v>0</v>
      </c>
      <c r="I120" s="13">
        <v>42427.581274999997</v>
      </c>
      <c r="J120" s="13">
        <v>43155</v>
      </c>
      <c r="K120" s="12" t="s">
        <v>25</v>
      </c>
      <c r="L120" s="12" t="s">
        <v>106</v>
      </c>
      <c r="M120" s="12" t="s">
        <v>107</v>
      </c>
      <c r="N120" s="12" t="s">
        <v>1191</v>
      </c>
      <c r="O120" s="12"/>
      <c r="P120" s="12"/>
      <c r="Q120" s="12"/>
    </row>
    <row r="121" spans="1:17" x14ac:dyDescent="0.25">
      <c r="A121" s="11">
        <v>102425</v>
      </c>
      <c r="B121" s="12" t="s">
        <v>551</v>
      </c>
      <c r="C121" s="12" t="s">
        <v>1449</v>
      </c>
      <c r="D121" s="125">
        <v>35000000</v>
      </c>
      <c r="E121" s="125">
        <v>20400269.43</v>
      </c>
      <c r="F121" s="12">
        <v>36</v>
      </c>
      <c r="G121" s="12">
        <v>180</v>
      </c>
      <c r="H121" s="12">
        <v>0</v>
      </c>
      <c r="I121" s="13">
        <v>42427.614638923609</v>
      </c>
      <c r="J121" s="13">
        <v>43531</v>
      </c>
      <c r="K121" s="12" t="s">
        <v>25</v>
      </c>
      <c r="L121" s="12" t="s">
        <v>290</v>
      </c>
      <c r="M121" s="12" t="s">
        <v>1824</v>
      </c>
      <c r="N121" s="12" t="s">
        <v>2855</v>
      </c>
      <c r="O121" s="12"/>
      <c r="P121" s="12"/>
      <c r="Q121" s="12"/>
    </row>
    <row r="122" spans="1:17" x14ac:dyDescent="0.25">
      <c r="A122" s="11">
        <v>102426</v>
      </c>
      <c r="B122" s="12" t="s">
        <v>359</v>
      </c>
      <c r="C122" s="12" t="s">
        <v>80</v>
      </c>
      <c r="D122" s="125">
        <v>42000000</v>
      </c>
      <c r="E122" s="125">
        <v>32676053.670000002</v>
      </c>
      <c r="F122" s="12">
        <v>36</v>
      </c>
      <c r="G122" s="12">
        <v>180</v>
      </c>
      <c r="H122" s="12">
        <v>0</v>
      </c>
      <c r="I122" s="13">
        <v>42429.693336076387</v>
      </c>
      <c r="J122" s="13">
        <v>43892</v>
      </c>
      <c r="K122" s="12" t="s">
        <v>25</v>
      </c>
      <c r="L122" s="12" t="s">
        <v>26</v>
      </c>
      <c r="M122" s="12" t="s">
        <v>26</v>
      </c>
      <c r="N122" s="12" t="s">
        <v>468</v>
      </c>
      <c r="O122" s="12"/>
      <c r="P122" s="12"/>
      <c r="Q122" s="12"/>
    </row>
    <row r="123" spans="1:17" x14ac:dyDescent="0.25">
      <c r="A123" s="11">
        <v>102430</v>
      </c>
      <c r="B123" s="12" t="s">
        <v>570</v>
      </c>
      <c r="C123" s="12" t="s">
        <v>1449</v>
      </c>
      <c r="D123" s="125">
        <v>50600000</v>
      </c>
      <c r="E123" s="125">
        <v>37890293.920000002</v>
      </c>
      <c r="F123" s="12">
        <v>36</v>
      </c>
      <c r="G123" s="12">
        <v>180</v>
      </c>
      <c r="H123" s="12">
        <v>0</v>
      </c>
      <c r="I123" s="13">
        <v>42429.801953321759</v>
      </c>
      <c r="J123" s="13">
        <v>43900</v>
      </c>
      <c r="K123" s="12" t="s">
        <v>25</v>
      </c>
      <c r="L123" s="12" t="s">
        <v>106</v>
      </c>
      <c r="M123" s="12" t="s">
        <v>107</v>
      </c>
      <c r="N123" s="12" t="s">
        <v>546</v>
      </c>
      <c r="O123" s="12"/>
      <c r="P123" s="12"/>
      <c r="Q123" s="12"/>
    </row>
    <row r="124" spans="1:17" x14ac:dyDescent="0.25">
      <c r="A124" s="11">
        <v>102431</v>
      </c>
      <c r="B124" s="12" t="s">
        <v>1006</v>
      </c>
      <c r="C124" s="12" t="s">
        <v>1449</v>
      </c>
      <c r="D124" s="125">
        <v>47362475.399999999</v>
      </c>
      <c r="E124" s="125">
        <v>35511680.869999997</v>
      </c>
      <c r="F124" s="12">
        <v>36</v>
      </c>
      <c r="G124" s="12">
        <v>180</v>
      </c>
      <c r="H124" s="12">
        <v>0</v>
      </c>
      <c r="I124" s="13">
        <v>42430.377102164355</v>
      </c>
      <c r="J124" s="13">
        <v>43901</v>
      </c>
      <c r="K124" s="12" t="s">
        <v>44</v>
      </c>
      <c r="L124" s="12" t="s">
        <v>75</v>
      </c>
      <c r="M124" s="12" t="s">
        <v>1442</v>
      </c>
      <c r="N124" s="12" t="s">
        <v>86</v>
      </c>
      <c r="O124" s="12"/>
      <c r="P124" s="12"/>
      <c r="Q124" s="12"/>
    </row>
    <row r="125" spans="1:17" x14ac:dyDescent="0.25">
      <c r="A125" s="11">
        <v>102434</v>
      </c>
      <c r="B125" s="12" t="s">
        <v>1100</v>
      </c>
      <c r="C125" s="12" t="s">
        <v>80</v>
      </c>
      <c r="D125" s="125">
        <v>47916079.32</v>
      </c>
      <c r="E125" s="125">
        <v>36671845.369999997</v>
      </c>
      <c r="F125" s="12">
        <v>36</v>
      </c>
      <c r="G125" s="12">
        <v>180</v>
      </c>
      <c r="H125" s="12">
        <v>0</v>
      </c>
      <c r="I125" s="13">
        <v>42431.627083680556</v>
      </c>
      <c r="J125" s="13">
        <v>43900</v>
      </c>
      <c r="K125" s="12" t="s">
        <v>25</v>
      </c>
      <c r="L125" s="12" t="s">
        <v>88</v>
      </c>
      <c r="M125" s="12" t="s">
        <v>285</v>
      </c>
      <c r="N125" s="12" t="s">
        <v>546</v>
      </c>
      <c r="O125" s="12"/>
      <c r="P125" s="12"/>
      <c r="Q125" s="12"/>
    </row>
    <row r="126" spans="1:17" x14ac:dyDescent="0.25">
      <c r="A126" s="11">
        <v>102437</v>
      </c>
      <c r="B126" s="12" t="s">
        <v>622</v>
      </c>
      <c r="C126" s="12" t="s">
        <v>80</v>
      </c>
      <c r="D126" s="125">
        <v>47000000</v>
      </c>
      <c r="E126" s="125">
        <v>28343734.399999999</v>
      </c>
      <c r="F126" s="12">
        <v>36</v>
      </c>
      <c r="G126" s="12">
        <v>180</v>
      </c>
      <c r="H126" s="12">
        <v>0</v>
      </c>
      <c r="I126" s="13">
        <v>42433.590518518518</v>
      </c>
      <c r="J126" s="13">
        <v>43528</v>
      </c>
      <c r="K126" s="12" t="s">
        <v>44</v>
      </c>
      <c r="L126" s="12" t="s">
        <v>75</v>
      </c>
      <c r="M126" s="12" t="s">
        <v>26</v>
      </c>
      <c r="N126" s="12" t="s">
        <v>546</v>
      </c>
      <c r="O126" s="12"/>
      <c r="P126" s="12"/>
      <c r="Q126" s="12"/>
    </row>
    <row r="127" spans="1:17" x14ac:dyDescent="0.25">
      <c r="A127" s="11">
        <v>102439</v>
      </c>
      <c r="B127" s="12" t="s">
        <v>508</v>
      </c>
      <c r="C127" s="12" t="s">
        <v>80</v>
      </c>
      <c r="D127" s="125">
        <v>20000000</v>
      </c>
      <c r="E127" s="125">
        <v>5623301.6799999997</v>
      </c>
      <c r="F127" s="12">
        <v>42</v>
      </c>
      <c r="G127" s="12">
        <v>180</v>
      </c>
      <c r="H127" s="12">
        <v>0</v>
      </c>
      <c r="I127" s="13">
        <v>42433.703201620374</v>
      </c>
      <c r="J127" s="13">
        <v>43163</v>
      </c>
      <c r="K127" s="12" t="s">
        <v>25</v>
      </c>
      <c r="L127" s="12" t="s">
        <v>106</v>
      </c>
      <c r="M127" s="12" t="s">
        <v>107</v>
      </c>
      <c r="N127" s="12" t="s">
        <v>86</v>
      </c>
      <c r="O127" s="12"/>
      <c r="P127" s="12"/>
      <c r="Q127" s="12"/>
    </row>
    <row r="128" spans="1:17" x14ac:dyDescent="0.25">
      <c r="A128" s="11">
        <v>102444</v>
      </c>
      <c r="B128" s="12" t="s">
        <v>1858</v>
      </c>
      <c r="C128" s="12" t="s">
        <v>80</v>
      </c>
      <c r="D128" s="125">
        <v>40000000</v>
      </c>
      <c r="E128" s="125">
        <v>22352970.59</v>
      </c>
      <c r="F128" s="12">
        <v>40</v>
      </c>
      <c r="G128" s="12">
        <v>180</v>
      </c>
      <c r="H128" s="12">
        <v>0</v>
      </c>
      <c r="I128" s="13">
        <v>42438.497540509263</v>
      </c>
      <c r="J128" s="13">
        <v>43173</v>
      </c>
      <c r="K128" s="12" t="s">
        <v>27</v>
      </c>
      <c r="L128" s="12" t="s">
        <v>81</v>
      </c>
      <c r="M128" s="12" t="s">
        <v>26</v>
      </c>
      <c r="N128" s="12" t="s">
        <v>5726</v>
      </c>
      <c r="O128" s="12"/>
      <c r="P128" s="12"/>
      <c r="Q128" s="12"/>
    </row>
    <row r="129" spans="1:17" x14ac:dyDescent="0.25">
      <c r="A129" s="11">
        <v>102449</v>
      </c>
      <c r="B129" s="12" t="s">
        <v>1555</v>
      </c>
      <c r="C129" s="12" t="s">
        <v>1441</v>
      </c>
      <c r="D129" s="125">
        <v>39502188</v>
      </c>
      <c r="E129" s="125">
        <v>29449895.48</v>
      </c>
      <c r="F129" s="12">
        <v>36</v>
      </c>
      <c r="G129" s="12">
        <v>180</v>
      </c>
      <c r="H129" s="12">
        <v>0</v>
      </c>
      <c r="I129" s="13">
        <v>42440.763313275464</v>
      </c>
      <c r="J129" s="13">
        <v>43905</v>
      </c>
      <c r="K129" s="12" t="s">
        <v>44</v>
      </c>
      <c r="L129" s="12" t="s">
        <v>92</v>
      </c>
      <c r="M129" s="12" t="s">
        <v>92</v>
      </c>
      <c r="N129" s="12" t="s">
        <v>1467</v>
      </c>
      <c r="O129" s="12"/>
      <c r="P129" s="12"/>
      <c r="Q129" s="12"/>
    </row>
    <row r="130" spans="1:17" x14ac:dyDescent="0.25">
      <c r="A130" s="11">
        <v>102453</v>
      </c>
      <c r="B130" s="12" t="s">
        <v>1091</v>
      </c>
      <c r="C130" s="12" t="s">
        <v>1441</v>
      </c>
      <c r="D130" s="125">
        <v>40000000</v>
      </c>
      <c r="E130" s="125">
        <v>29849867.420000002</v>
      </c>
      <c r="F130" s="12">
        <v>36</v>
      </c>
      <c r="G130" s="12">
        <v>180</v>
      </c>
      <c r="H130" s="12">
        <v>0</v>
      </c>
      <c r="I130" s="13">
        <v>42444.561077280094</v>
      </c>
      <c r="J130" s="13">
        <v>43910</v>
      </c>
      <c r="K130" s="12" t="s">
        <v>44</v>
      </c>
      <c r="L130" s="12" t="s">
        <v>92</v>
      </c>
      <c r="M130" s="12" t="s">
        <v>26</v>
      </c>
      <c r="N130" s="12" t="s">
        <v>1467</v>
      </c>
      <c r="O130" s="12"/>
      <c r="P130" s="12"/>
      <c r="Q130" s="12"/>
    </row>
    <row r="131" spans="1:17" x14ac:dyDescent="0.25">
      <c r="A131" s="11">
        <v>102457</v>
      </c>
      <c r="B131" s="12" t="s">
        <v>1869</v>
      </c>
      <c r="C131" s="12" t="s">
        <v>1441</v>
      </c>
      <c r="D131" s="125">
        <v>28000000</v>
      </c>
      <c r="E131" s="125">
        <v>6666053.0499999998</v>
      </c>
      <c r="F131" s="12">
        <v>48</v>
      </c>
      <c r="G131" s="12">
        <v>180</v>
      </c>
      <c r="H131" s="12">
        <v>0</v>
      </c>
      <c r="I131" s="13">
        <v>42445.698319444447</v>
      </c>
      <c r="J131" s="13">
        <v>43175</v>
      </c>
      <c r="K131" s="12" t="s">
        <v>25</v>
      </c>
      <c r="L131" s="12" t="s">
        <v>26</v>
      </c>
      <c r="M131" s="12" t="s">
        <v>26</v>
      </c>
      <c r="N131" s="12" t="s">
        <v>1191</v>
      </c>
      <c r="O131" s="12"/>
      <c r="P131" s="12"/>
      <c r="Q131" s="12"/>
    </row>
    <row r="132" spans="1:17" x14ac:dyDescent="0.25">
      <c r="A132" s="11">
        <v>102459</v>
      </c>
      <c r="B132" s="12" t="s">
        <v>1878</v>
      </c>
      <c r="C132" s="12" t="s">
        <v>1449</v>
      </c>
      <c r="D132" s="125">
        <v>47000000</v>
      </c>
      <c r="E132" s="125">
        <v>28100045.739999998</v>
      </c>
      <c r="F132" s="12">
        <v>40</v>
      </c>
      <c r="G132" s="12">
        <v>180</v>
      </c>
      <c r="H132" s="12">
        <v>0</v>
      </c>
      <c r="I132" s="13">
        <v>42446.599923877315</v>
      </c>
      <c r="J132" s="13">
        <v>43541</v>
      </c>
      <c r="K132" s="12" t="s">
        <v>44</v>
      </c>
      <c r="L132" s="12" t="s">
        <v>26</v>
      </c>
      <c r="M132" s="12" t="s">
        <v>26</v>
      </c>
      <c r="N132" s="12" t="s">
        <v>5167</v>
      </c>
      <c r="O132" s="12"/>
      <c r="P132" s="12"/>
      <c r="Q132" s="12"/>
    </row>
    <row r="133" spans="1:17" x14ac:dyDescent="0.25">
      <c r="A133" s="11">
        <v>102460</v>
      </c>
      <c r="B133" s="12" t="s">
        <v>1172</v>
      </c>
      <c r="C133" s="12" t="s">
        <v>1449</v>
      </c>
      <c r="D133" s="125">
        <v>25000000</v>
      </c>
      <c r="E133" s="125">
        <v>20993030.940000001</v>
      </c>
      <c r="F133" s="12">
        <v>42</v>
      </c>
      <c r="G133" s="12">
        <v>180</v>
      </c>
      <c r="H133" s="12">
        <v>0</v>
      </c>
      <c r="I133" s="13">
        <v>42446.670012499999</v>
      </c>
      <c r="J133" s="13">
        <v>43907</v>
      </c>
      <c r="K133" s="12" t="s">
        <v>44</v>
      </c>
      <c r="L133" s="12" t="s">
        <v>92</v>
      </c>
      <c r="M133" s="12" t="s">
        <v>92</v>
      </c>
      <c r="N133" s="12" t="s">
        <v>468</v>
      </c>
      <c r="O133" s="12"/>
      <c r="P133" s="12"/>
      <c r="Q133" s="12"/>
    </row>
    <row r="134" spans="1:17" x14ac:dyDescent="0.25">
      <c r="A134" s="11">
        <v>102464</v>
      </c>
      <c r="B134" s="12" t="s">
        <v>1130</v>
      </c>
      <c r="C134" s="12" t="s">
        <v>1449</v>
      </c>
      <c r="D134" s="125">
        <v>12000000</v>
      </c>
      <c r="E134" s="125">
        <v>8068862.0700000003</v>
      </c>
      <c r="F134" s="12">
        <v>36</v>
      </c>
      <c r="G134" s="12">
        <v>180</v>
      </c>
      <c r="H134" s="12">
        <v>0</v>
      </c>
      <c r="I134" s="13">
        <v>42450.687901851852</v>
      </c>
      <c r="J134" s="13">
        <v>43729</v>
      </c>
      <c r="K134" s="12" t="s">
        <v>44</v>
      </c>
      <c r="L134" s="12" t="s">
        <v>75</v>
      </c>
      <c r="M134" s="12" t="s">
        <v>26</v>
      </c>
      <c r="N134" s="12" t="s">
        <v>491</v>
      </c>
      <c r="O134" s="12"/>
      <c r="P134" s="12"/>
      <c r="Q134" s="12"/>
    </row>
    <row r="135" spans="1:17" x14ac:dyDescent="0.25">
      <c r="A135" s="11">
        <v>102479</v>
      </c>
      <c r="B135" s="12" t="s">
        <v>681</v>
      </c>
      <c r="C135" s="12" t="s">
        <v>1449</v>
      </c>
      <c r="D135" s="125">
        <v>22329831</v>
      </c>
      <c r="E135" s="125">
        <v>15172808.17</v>
      </c>
      <c r="F135" s="12">
        <v>42</v>
      </c>
      <c r="G135" s="12">
        <v>180</v>
      </c>
      <c r="H135" s="12">
        <v>0</v>
      </c>
      <c r="I135" s="13">
        <v>42459.616795254631</v>
      </c>
      <c r="J135" s="13">
        <v>43560</v>
      </c>
      <c r="K135" s="12" t="s">
        <v>25</v>
      </c>
      <c r="L135" s="12" t="s">
        <v>88</v>
      </c>
      <c r="M135" s="12" t="s">
        <v>26</v>
      </c>
      <c r="N135" s="12" t="s">
        <v>1191</v>
      </c>
      <c r="O135" s="12"/>
      <c r="P135" s="12"/>
      <c r="Q135" s="12"/>
    </row>
    <row r="136" spans="1:17" x14ac:dyDescent="0.25">
      <c r="A136" s="11">
        <v>102483</v>
      </c>
      <c r="B136" s="12" t="s">
        <v>1108</v>
      </c>
      <c r="C136" s="12" t="s">
        <v>82</v>
      </c>
      <c r="D136" s="125">
        <v>27810000</v>
      </c>
      <c r="E136" s="125">
        <v>10357297.82</v>
      </c>
      <c r="F136" s="12">
        <v>42</v>
      </c>
      <c r="G136" s="12">
        <v>180</v>
      </c>
      <c r="H136" s="12">
        <v>0</v>
      </c>
      <c r="I136" s="13">
        <v>42460.545624270831</v>
      </c>
      <c r="J136" s="13">
        <v>43179</v>
      </c>
      <c r="K136" s="12" t="s">
        <v>45</v>
      </c>
      <c r="L136" s="12" t="s">
        <v>45</v>
      </c>
      <c r="M136" s="12" t="s">
        <v>26</v>
      </c>
      <c r="N136" s="12" t="s">
        <v>5724</v>
      </c>
      <c r="O136" s="12"/>
      <c r="P136" s="12"/>
      <c r="Q136" s="12"/>
    </row>
    <row r="137" spans="1:17" x14ac:dyDescent="0.25">
      <c r="A137" s="11">
        <v>102486</v>
      </c>
      <c r="B137" s="12" t="s">
        <v>1256</v>
      </c>
      <c r="C137" s="12" t="s">
        <v>1441</v>
      </c>
      <c r="D137" s="125">
        <v>54802000</v>
      </c>
      <c r="E137" s="125">
        <v>33080880.539999999</v>
      </c>
      <c r="F137" s="12">
        <v>36</v>
      </c>
      <c r="G137" s="12">
        <v>180</v>
      </c>
      <c r="H137" s="12">
        <v>0</v>
      </c>
      <c r="I137" s="13">
        <v>42460.686850891201</v>
      </c>
      <c r="J137" s="13">
        <v>43556</v>
      </c>
      <c r="K137" s="12" t="s">
        <v>44</v>
      </c>
      <c r="L137" s="12" t="s">
        <v>92</v>
      </c>
      <c r="M137" s="12" t="s">
        <v>26</v>
      </c>
      <c r="N137" s="12" t="s">
        <v>1039</v>
      </c>
      <c r="O137" s="12"/>
      <c r="P137" s="12"/>
      <c r="Q137" s="12"/>
    </row>
    <row r="138" spans="1:17" x14ac:dyDescent="0.25">
      <c r="A138" s="11">
        <v>102488</v>
      </c>
      <c r="B138" s="12" t="s">
        <v>461</v>
      </c>
      <c r="C138" s="12" t="s">
        <v>1449</v>
      </c>
      <c r="D138" s="125">
        <v>40000000</v>
      </c>
      <c r="E138" s="125">
        <v>12832112.75</v>
      </c>
      <c r="F138" s="12">
        <v>36</v>
      </c>
      <c r="G138" s="12">
        <v>180</v>
      </c>
      <c r="H138" s="12">
        <v>0</v>
      </c>
      <c r="I138" s="13">
        <v>42460.567592210646</v>
      </c>
      <c r="J138" s="13">
        <v>43193</v>
      </c>
      <c r="K138" s="12" t="s">
        <v>27</v>
      </c>
      <c r="L138" s="12" t="s">
        <v>81</v>
      </c>
      <c r="M138" s="12" t="s">
        <v>1685</v>
      </c>
      <c r="N138" s="12" t="s">
        <v>5725</v>
      </c>
      <c r="O138" s="12"/>
      <c r="P138" s="12"/>
      <c r="Q138" s="12"/>
    </row>
    <row r="139" spans="1:17" x14ac:dyDescent="0.25">
      <c r="A139" s="11">
        <v>102491</v>
      </c>
      <c r="B139" s="12" t="s">
        <v>105</v>
      </c>
      <c r="C139" s="12" t="s">
        <v>1449</v>
      </c>
      <c r="D139" s="125">
        <v>10000000</v>
      </c>
      <c r="E139" s="125">
        <v>6376301.0800000001</v>
      </c>
      <c r="F139" s="12">
        <v>48</v>
      </c>
      <c r="G139" s="12">
        <v>180</v>
      </c>
      <c r="H139" s="12">
        <v>0</v>
      </c>
      <c r="I139" s="13">
        <v>42462.467640393515</v>
      </c>
      <c r="J139" s="13">
        <v>43549</v>
      </c>
      <c r="K139" s="12" t="s">
        <v>25</v>
      </c>
      <c r="L139" s="12" t="s">
        <v>26</v>
      </c>
      <c r="M139" s="12" t="s">
        <v>26</v>
      </c>
      <c r="N139" s="12" t="s">
        <v>5167</v>
      </c>
      <c r="O139" s="12"/>
      <c r="P139" s="12"/>
      <c r="Q139" s="12"/>
    </row>
    <row r="140" spans="1:17" x14ac:dyDescent="0.25">
      <c r="A140" s="11">
        <v>102492</v>
      </c>
      <c r="B140" s="12" t="s">
        <v>529</v>
      </c>
      <c r="C140" s="12" t="s">
        <v>1449</v>
      </c>
      <c r="D140" s="125">
        <v>43994828.359999999</v>
      </c>
      <c r="E140" s="125">
        <v>33457718.48</v>
      </c>
      <c r="F140" s="12">
        <v>36</v>
      </c>
      <c r="G140" s="12">
        <v>180</v>
      </c>
      <c r="H140" s="12">
        <v>0</v>
      </c>
      <c r="I140" s="13">
        <v>42464.513811076387</v>
      </c>
      <c r="J140" s="13">
        <v>43569</v>
      </c>
      <c r="K140" s="12" t="s">
        <v>25</v>
      </c>
      <c r="L140" s="12" t="s">
        <v>88</v>
      </c>
      <c r="M140" s="12" t="s">
        <v>285</v>
      </c>
      <c r="N140" s="12" t="s">
        <v>90</v>
      </c>
      <c r="O140" s="12"/>
      <c r="P140" s="12"/>
      <c r="Q140" s="12"/>
    </row>
    <row r="141" spans="1:17" x14ac:dyDescent="0.25">
      <c r="A141" s="11">
        <v>102495</v>
      </c>
      <c r="B141" s="12" t="s">
        <v>1557</v>
      </c>
      <c r="C141" s="12" t="s">
        <v>1441</v>
      </c>
      <c r="D141" s="125">
        <v>33000000</v>
      </c>
      <c r="E141" s="125">
        <v>20889698.109999999</v>
      </c>
      <c r="F141" s="12">
        <v>36</v>
      </c>
      <c r="G141" s="12">
        <v>180</v>
      </c>
      <c r="H141" s="12">
        <v>0</v>
      </c>
      <c r="I141" s="13">
        <v>42466.533940740737</v>
      </c>
      <c r="J141" s="13">
        <v>43566</v>
      </c>
      <c r="K141" s="12" t="s">
        <v>25</v>
      </c>
      <c r="L141" s="12" t="s">
        <v>289</v>
      </c>
      <c r="M141" s="12" t="s">
        <v>26</v>
      </c>
      <c r="N141" s="12" t="s">
        <v>5725</v>
      </c>
      <c r="O141" s="12"/>
      <c r="P141" s="12"/>
      <c r="Q141" s="12"/>
    </row>
    <row r="142" spans="1:17" x14ac:dyDescent="0.25">
      <c r="A142" s="11">
        <v>102501</v>
      </c>
      <c r="B142" s="12" t="s">
        <v>510</v>
      </c>
      <c r="C142" s="12" t="s">
        <v>1449</v>
      </c>
      <c r="D142" s="125">
        <v>15500000</v>
      </c>
      <c r="E142" s="125">
        <v>11412255.83</v>
      </c>
      <c r="F142" s="12">
        <v>42</v>
      </c>
      <c r="G142" s="12">
        <v>180</v>
      </c>
      <c r="H142" s="12">
        <v>0</v>
      </c>
      <c r="I142" s="13">
        <v>42468.689994479166</v>
      </c>
      <c r="J142" s="13">
        <v>43747</v>
      </c>
      <c r="K142" s="12" t="s">
        <v>25</v>
      </c>
      <c r="L142" s="12" t="s">
        <v>26</v>
      </c>
      <c r="M142" s="12" t="s">
        <v>26</v>
      </c>
      <c r="N142" s="12" t="s">
        <v>5725</v>
      </c>
      <c r="O142" s="12"/>
      <c r="P142" s="12"/>
      <c r="Q142" s="12"/>
    </row>
    <row r="143" spans="1:17" x14ac:dyDescent="0.25">
      <c r="A143" s="11">
        <v>102505</v>
      </c>
      <c r="B143" s="12" t="s">
        <v>556</v>
      </c>
      <c r="C143" s="12" t="s">
        <v>1449</v>
      </c>
      <c r="D143" s="125">
        <v>40000000</v>
      </c>
      <c r="E143" s="125">
        <v>31027359.940000001</v>
      </c>
      <c r="F143" s="12">
        <v>36</v>
      </c>
      <c r="G143" s="12">
        <v>180</v>
      </c>
      <c r="H143" s="12">
        <v>0</v>
      </c>
      <c r="I143" s="13">
        <v>42469.519066898145</v>
      </c>
      <c r="J143" s="13">
        <v>43922</v>
      </c>
      <c r="K143" s="12" t="s">
        <v>44</v>
      </c>
      <c r="L143" s="12" t="s">
        <v>75</v>
      </c>
      <c r="M143" s="12" t="s">
        <v>1442</v>
      </c>
      <c r="N143" s="12" t="s">
        <v>1039</v>
      </c>
      <c r="O143" s="12"/>
      <c r="P143" s="12"/>
      <c r="Q143" s="12"/>
    </row>
    <row r="144" spans="1:17" x14ac:dyDescent="0.25">
      <c r="A144" s="11">
        <v>102513</v>
      </c>
      <c r="B144" s="12" t="s">
        <v>1926</v>
      </c>
      <c r="C144" s="12" t="s">
        <v>1441</v>
      </c>
      <c r="D144" s="125">
        <v>15500000</v>
      </c>
      <c r="E144" s="125">
        <v>4562663.53</v>
      </c>
      <c r="F144" s="12">
        <v>48</v>
      </c>
      <c r="G144" s="12">
        <v>180</v>
      </c>
      <c r="H144" s="12">
        <v>0</v>
      </c>
      <c r="I144" s="13">
        <v>42475.657613773146</v>
      </c>
      <c r="J144" s="13">
        <v>43210</v>
      </c>
      <c r="K144" s="12" t="s">
        <v>44</v>
      </c>
      <c r="L144" s="12" t="s">
        <v>75</v>
      </c>
      <c r="M144" s="12" t="s">
        <v>26</v>
      </c>
      <c r="N144" s="12" t="s">
        <v>5167</v>
      </c>
      <c r="O144" s="12"/>
      <c r="P144" s="12"/>
      <c r="Q144" s="12"/>
    </row>
    <row r="145" spans="1:17" x14ac:dyDescent="0.25">
      <c r="A145" s="11">
        <v>102514</v>
      </c>
      <c r="B145" s="12" t="s">
        <v>327</v>
      </c>
      <c r="C145" s="12" t="s">
        <v>1449</v>
      </c>
      <c r="D145" s="125">
        <v>35000000</v>
      </c>
      <c r="E145" s="125">
        <v>9462264.1300000008</v>
      </c>
      <c r="F145" s="12">
        <v>36</v>
      </c>
      <c r="G145" s="12">
        <v>180</v>
      </c>
      <c r="H145" s="12">
        <v>0</v>
      </c>
      <c r="I145" s="13">
        <v>42475.673721840278</v>
      </c>
      <c r="J145" s="13">
        <v>43195</v>
      </c>
      <c r="K145" s="12" t="s">
        <v>25</v>
      </c>
      <c r="L145" s="12" t="s">
        <v>103</v>
      </c>
      <c r="M145" s="12" t="s">
        <v>1821</v>
      </c>
      <c r="N145" s="12" t="s">
        <v>90</v>
      </c>
      <c r="O145" s="12"/>
      <c r="P145" s="12"/>
      <c r="Q145" s="12"/>
    </row>
    <row r="146" spans="1:17" x14ac:dyDescent="0.25">
      <c r="A146" s="11">
        <v>102521</v>
      </c>
      <c r="B146" s="12" t="s">
        <v>1423</v>
      </c>
      <c r="C146" s="12" t="s">
        <v>1441</v>
      </c>
      <c r="D146" s="125">
        <v>33530386</v>
      </c>
      <c r="E146" s="125">
        <v>11930860.960000001</v>
      </c>
      <c r="F146" s="12">
        <v>36</v>
      </c>
      <c r="G146" s="12">
        <v>180</v>
      </c>
      <c r="H146" s="12">
        <v>0</v>
      </c>
      <c r="I146" s="13">
        <v>42481.618425196757</v>
      </c>
      <c r="J146" s="13">
        <v>43088</v>
      </c>
      <c r="K146" s="12" t="s">
        <v>45</v>
      </c>
      <c r="L146" s="12" t="s">
        <v>45</v>
      </c>
      <c r="M146" s="12" t="s">
        <v>26</v>
      </c>
      <c r="N146" s="12" t="s">
        <v>86</v>
      </c>
      <c r="O146" s="12"/>
      <c r="P146" s="12"/>
      <c r="Q146" s="12"/>
    </row>
    <row r="147" spans="1:17" x14ac:dyDescent="0.25">
      <c r="A147" s="11">
        <v>102528</v>
      </c>
      <c r="B147" s="12" t="s">
        <v>524</v>
      </c>
      <c r="C147" s="12" t="s">
        <v>1441</v>
      </c>
      <c r="D147" s="125">
        <v>41000000</v>
      </c>
      <c r="E147" s="125">
        <v>31136888.829999998</v>
      </c>
      <c r="F147" s="12">
        <v>36</v>
      </c>
      <c r="G147" s="12">
        <v>180</v>
      </c>
      <c r="H147" s="12">
        <v>0</v>
      </c>
      <c r="I147" s="13">
        <v>42483.508859837966</v>
      </c>
      <c r="J147" s="13">
        <v>43944</v>
      </c>
      <c r="K147" s="12" t="s">
        <v>44</v>
      </c>
      <c r="L147" s="12" t="s">
        <v>75</v>
      </c>
      <c r="M147" s="12" t="s">
        <v>26</v>
      </c>
      <c r="N147" s="12" t="s">
        <v>1039</v>
      </c>
      <c r="O147" s="12"/>
      <c r="P147" s="12"/>
      <c r="Q147" s="12"/>
    </row>
    <row r="148" spans="1:17" x14ac:dyDescent="0.25">
      <c r="A148" s="11">
        <v>102531</v>
      </c>
      <c r="B148" s="12" t="s">
        <v>392</v>
      </c>
      <c r="C148" s="12" t="s">
        <v>1449</v>
      </c>
      <c r="D148" s="125">
        <v>41000000</v>
      </c>
      <c r="E148" s="125">
        <v>32108559.550000001</v>
      </c>
      <c r="F148" s="12">
        <v>36</v>
      </c>
      <c r="G148" s="12">
        <v>180</v>
      </c>
      <c r="H148" s="12">
        <v>0</v>
      </c>
      <c r="I148" s="13">
        <v>42486.576036574072</v>
      </c>
      <c r="J148" s="13">
        <v>43956</v>
      </c>
      <c r="K148" s="12" t="s">
        <v>44</v>
      </c>
      <c r="L148" s="12" t="s">
        <v>75</v>
      </c>
      <c r="M148" s="12" t="s">
        <v>1442</v>
      </c>
      <c r="N148" s="12" t="s">
        <v>1467</v>
      </c>
      <c r="O148" s="12"/>
      <c r="P148" s="12"/>
      <c r="Q148" s="12"/>
    </row>
    <row r="149" spans="1:17" x14ac:dyDescent="0.25">
      <c r="A149" s="11">
        <v>102539</v>
      </c>
      <c r="B149" s="12" t="s">
        <v>1960</v>
      </c>
      <c r="C149" s="12" t="s">
        <v>82</v>
      </c>
      <c r="D149" s="125">
        <v>17000000</v>
      </c>
      <c r="E149" s="125">
        <v>6782563.1500000004</v>
      </c>
      <c r="F149" s="12">
        <v>40</v>
      </c>
      <c r="G149" s="12">
        <v>180</v>
      </c>
      <c r="H149" s="12">
        <v>0</v>
      </c>
      <c r="I149" s="13">
        <v>42488.521989930552</v>
      </c>
      <c r="J149" s="13">
        <v>43225</v>
      </c>
      <c r="K149" s="12" t="s">
        <v>25</v>
      </c>
      <c r="L149" s="12" t="s">
        <v>295</v>
      </c>
      <c r="M149" s="12" t="s">
        <v>26</v>
      </c>
      <c r="N149" s="12" t="s">
        <v>1039</v>
      </c>
      <c r="O149" s="12"/>
      <c r="P149" s="12"/>
      <c r="Q149" s="12"/>
    </row>
    <row r="150" spans="1:17" x14ac:dyDescent="0.25">
      <c r="A150" s="11">
        <v>102542</v>
      </c>
      <c r="B150" s="12" t="s">
        <v>1963</v>
      </c>
      <c r="C150" s="12" t="s">
        <v>1441</v>
      </c>
      <c r="D150" s="125">
        <v>41000000</v>
      </c>
      <c r="E150" s="125">
        <v>33251222.120000001</v>
      </c>
      <c r="F150" s="12">
        <v>40</v>
      </c>
      <c r="G150" s="12">
        <v>180</v>
      </c>
      <c r="H150" s="12">
        <v>0</v>
      </c>
      <c r="I150" s="13">
        <v>42488.616505902777</v>
      </c>
      <c r="J150" s="13">
        <v>43956</v>
      </c>
      <c r="K150" s="12" t="s">
        <v>44</v>
      </c>
      <c r="L150" s="12" t="s">
        <v>75</v>
      </c>
      <c r="M150" s="12" t="s">
        <v>26</v>
      </c>
      <c r="N150" s="12" t="s">
        <v>86</v>
      </c>
      <c r="O150" s="12"/>
      <c r="P150" s="12"/>
      <c r="Q150" s="12"/>
    </row>
    <row r="151" spans="1:17" x14ac:dyDescent="0.25">
      <c r="A151" s="11">
        <v>102543</v>
      </c>
      <c r="B151" s="12" t="s">
        <v>482</v>
      </c>
      <c r="C151" s="12" t="s">
        <v>1449</v>
      </c>
      <c r="D151" s="125">
        <v>4000000</v>
      </c>
      <c r="E151" s="125">
        <v>413493.89</v>
      </c>
      <c r="F151" s="12">
        <v>48</v>
      </c>
      <c r="G151" s="12">
        <v>180</v>
      </c>
      <c r="H151" s="12">
        <v>0</v>
      </c>
      <c r="I151" s="13">
        <v>42488.684151504633</v>
      </c>
      <c r="J151" s="13">
        <v>42860</v>
      </c>
      <c r="K151" s="12" t="s">
        <v>44</v>
      </c>
      <c r="L151" s="12" t="s">
        <v>75</v>
      </c>
      <c r="M151" s="12" t="s">
        <v>1442</v>
      </c>
      <c r="N151" s="12" t="s">
        <v>5725</v>
      </c>
      <c r="O151" s="12"/>
      <c r="P151" s="12"/>
      <c r="Q151" s="12"/>
    </row>
    <row r="152" spans="1:17" x14ac:dyDescent="0.25">
      <c r="A152" s="11">
        <v>102544</v>
      </c>
      <c r="B152" s="12" t="s">
        <v>1966</v>
      </c>
      <c r="C152" s="12" t="s">
        <v>1449</v>
      </c>
      <c r="D152" s="125">
        <v>20500000</v>
      </c>
      <c r="E152" s="125">
        <v>6691704.0499999998</v>
      </c>
      <c r="F152" s="12">
        <v>40</v>
      </c>
      <c r="G152" s="12">
        <v>180</v>
      </c>
      <c r="H152" s="12">
        <v>0</v>
      </c>
      <c r="I152" s="13">
        <v>42488.770340856485</v>
      </c>
      <c r="J152" s="13">
        <v>43214</v>
      </c>
      <c r="K152" s="12" t="s">
        <v>44</v>
      </c>
      <c r="L152" s="12" t="s">
        <v>92</v>
      </c>
      <c r="M152" s="12" t="s">
        <v>92</v>
      </c>
      <c r="N152" s="12" t="s">
        <v>491</v>
      </c>
      <c r="O152" s="12"/>
      <c r="P152" s="12"/>
      <c r="Q152" s="12"/>
    </row>
    <row r="153" spans="1:17" x14ac:dyDescent="0.25">
      <c r="A153" s="11">
        <v>102546</v>
      </c>
      <c r="B153" s="12" t="s">
        <v>1262</v>
      </c>
      <c r="C153" s="12" t="s">
        <v>1449</v>
      </c>
      <c r="D153" s="125">
        <v>25000000</v>
      </c>
      <c r="E153" s="125">
        <v>19299402.359999999</v>
      </c>
      <c r="F153" s="12">
        <v>36</v>
      </c>
      <c r="G153" s="12">
        <v>180</v>
      </c>
      <c r="H153" s="12">
        <v>0</v>
      </c>
      <c r="I153" s="13">
        <v>42489.584698958337</v>
      </c>
      <c r="J153" s="13">
        <v>43945</v>
      </c>
      <c r="K153" s="12" t="s">
        <v>45</v>
      </c>
      <c r="L153" s="12" t="s">
        <v>26</v>
      </c>
      <c r="M153" s="12" t="s">
        <v>26</v>
      </c>
      <c r="N153" s="12" t="s">
        <v>491</v>
      </c>
      <c r="O153" s="12"/>
      <c r="P153" s="12"/>
      <c r="Q153" s="12"/>
    </row>
    <row r="154" spans="1:17" x14ac:dyDescent="0.25">
      <c r="A154" s="11">
        <v>102547</v>
      </c>
      <c r="B154" s="12" t="s">
        <v>100</v>
      </c>
      <c r="C154" s="12" t="s">
        <v>1449</v>
      </c>
      <c r="D154" s="125">
        <v>50000000</v>
      </c>
      <c r="E154" s="125">
        <v>32825576.800000001</v>
      </c>
      <c r="F154" s="12">
        <v>36</v>
      </c>
      <c r="G154" s="12">
        <v>180</v>
      </c>
      <c r="H154" s="12">
        <v>0</v>
      </c>
      <c r="I154" s="13">
        <v>42489.647573229166</v>
      </c>
      <c r="J154" s="13">
        <v>43586</v>
      </c>
      <c r="K154" s="12" t="s">
        <v>25</v>
      </c>
      <c r="L154" s="12" t="s">
        <v>88</v>
      </c>
      <c r="M154" s="12" t="s">
        <v>285</v>
      </c>
      <c r="N154" s="12" t="s">
        <v>1447</v>
      </c>
      <c r="O154" s="12"/>
      <c r="P154" s="12"/>
      <c r="Q154" s="12"/>
    </row>
    <row r="155" spans="1:17" x14ac:dyDescent="0.25">
      <c r="A155" s="11">
        <v>102550</v>
      </c>
      <c r="B155" s="12" t="s">
        <v>144</v>
      </c>
      <c r="C155" s="12" t="s">
        <v>1441</v>
      </c>
      <c r="D155" s="125">
        <v>50700000</v>
      </c>
      <c r="E155" s="125">
        <v>4124940.56</v>
      </c>
      <c r="F155" s="12">
        <v>36</v>
      </c>
      <c r="G155" s="12">
        <v>180</v>
      </c>
      <c r="H155" s="12">
        <v>0</v>
      </c>
      <c r="I155" s="13">
        <v>42490.46178020833</v>
      </c>
      <c r="J155" s="13">
        <v>42891</v>
      </c>
      <c r="K155" s="12" t="s">
        <v>35</v>
      </c>
      <c r="L155" s="12" t="s">
        <v>121</v>
      </c>
      <c r="M155" s="12" t="s">
        <v>299</v>
      </c>
      <c r="N155" s="12" t="s">
        <v>5725</v>
      </c>
      <c r="O155" s="12"/>
      <c r="P155" s="12"/>
      <c r="Q155" s="12"/>
    </row>
    <row r="156" spans="1:17" x14ac:dyDescent="0.25">
      <c r="A156" s="11">
        <v>102552</v>
      </c>
      <c r="B156" s="12" t="s">
        <v>1974</v>
      </c>
      <c r="C156" s="12" t="s">
        <v>82</v>
      </c>
      <c r="D156" s="125">
        <v>6500000</v>
      </c>
      <c r="E156" s="125">
        <v>3794918.66</v>
      </c>
      <c r="F156" s="12">
        <v>50</v>
      </c>
      <c r="G156" s="12">
        <v>180</v>
      </c>
      <c r="H156" s="12">
        <v>0</v>
      </c>
      <c r="I156" s="13">
        <v>42490.545032719907</v>
      </c>
      <c r="J156" s="13">
        <v>43226</v>
      </c>
      <c r="K156" s="12" t="s">
        <v>44</v>
      </c>
      <c r="L156" s="12" t="s">
        <v>75</v>
      </c>
      <c r="M156" s="12" t="s">
        <v>26</v>
      </c>
      <c r="N156" s="12" t="s">
        <v>1191</v>
      </c>
      <c r="O156" s="12"/>
      <c r="P156" s="12"/>
      <c r="Q156" s="12"/>
    </row>
    <row r="157" spans="1:17" x14ac:dyDescent="0.25">
      <c r="A157" s="11">
        <v>102558</v>
      </c>
      <c r="B157" s="12" t="s">
        <v>1978</v>
      </c>
      <c r="C157" s="12" t="s">
        <v>1441</v>
      </c>
      <c r="D157" s="125">
        <v>35000000</v>
      </c>
      <c r="E157" s="125">
        <v>28415483.350000001</v>
      </c>
      <c r="F157" s="12">
        <v>40</v>
      </c>
      <c r="G157" s="12">
        <v>180</v>
      </c>
      <c r="H157" s="12">
        <v>0</v>
      </c>
      <c r="I157" s="13">
        <v>42490.691256134261</v>
      </c>
      <c r="J157" s="13">
        <v>43959</v>
      </c>
      <c r="K157" s="12" t="s">
        <v>25</v>
      </c>
      <c r="L157" s="12" t="s">
        <v>106</v>
      </c>
      <c r="M157" s="12" t="s">
        <v>26</v>
      </c>
      <c r="N157" s="12" t="s">
        <v>1467</v>
      </c>
      <c r="O157" s="12"/>
      <c r="P157" s="12"/>
      <c r="Q157" s="12"/>
    </row>
    <row r="158" spans="1:17" x14ac:dyDescent="0.25">
      <c r="A158" s="11">
        <v>102561</v>
      </c>
      <c r="B158" s="12" t="s">
        <v>1218</v>
      </c>
      <c r="C158" s="12" t="s">
        <v>82</v>
      </c>
      <c r="D158" s="125">
        <v>37833877</v>
      </c>
      <c r="E158" s="125">
        <v>31305614.719999999</v>
      </c>
      <c r="F158" s="12">
        <v>36</v>
      </c>
      <c r="G158" s="12">
        <v>180</v>
      </c>
      <c r="H158" s="12">
        <v>0</v>
      </c>
      <c r="I158" s="13">
        <v>42490.803992511574</v>
      </c>
      <c r="J158" s="13">
        <v>43958</v>
      </c>
      <c r="K158" s="12" t="s">
        <v>25</v>
      </c>
      <c r="L158" s="12" t="s">
        <v>88</v>
      </c>
      <c r="M158" s="12" t="s">
        <v>26</v>
      </c>
      <c r="N158" s="12" t="s">
        <v>5725</v>
      </c>
      <c r="O158" s="12"/>
      <c r="P158" s="12"/>
      <c r="Q158" s="12"/>
    </row>
    <row r="159" spans="1:17" x14ac:dyDescent="0.25">
      <c r="A159" s="11">
        <v>102567</v>
      </c>
      <c r="B159" s="12" t="s">
        <v>1036</v>
      </c>
      <c r="C159" s="12" t="s">
        <v>1449</v>
      </c>
      <c r="D159" s="125">
        <v>4000000</v>
      </c>
      <c r="E159" s="125">
        <v>409816.06</v>
      </c>
      <c r="F159" s="12">
        <v>48</v>
      </c>
      <c r="G159" s="12">
        <v>180</v>
      </c>
      <c r="H159" s="12">
        <v>0</v>
      </c>
      <c r="I159" s="13">
        <v>42496.567496099538</v>
      </c>
      <c r="J159" s="13">
        <v>42861</v>
      </c>
      <c r="K159" s="12" t="s">
        <v>44</v>
      </c>
      <c r="L159" s="12" t="s">
        <v>92</v>
      </c>
      <c r="M159" s="12" t="s">
        <v>92</v>
      </c>
      <c r="N159" s="12" t="s">
        <v>86</v>
      </c>
      <c r="O159" s="12"/>
      <c r="P159" s="12"/>
      <c r="Q159" s="12"/>
    </row>
    <row r="160" spans="1:17" x14ac:dyDescent="0.25">
      <c r="A160" s="11">
        <v>102569</v>
      </c>
      <c r="B160" s="12" t="s">
        <v>1109</v>
      </c>
      <c r="C160" s="12" t="s">
        <v>1441</v>
      </c>
      <c r="D160" s="125">
        <v>50000000</v>
      </c>
      <c r="E160" s="125">
        <v>42851075.539999999</v>
      </c>
      <c r="F160" s="12">
        <v>36</v>
      </c>
      <c r="G160" s="12">
        <v>180</v>
      </c>
      <c r="H160" s="12">
        <v>0</v>
      </c>
      <c r="I160" s="13">
        <v>42497.483535150466</v>
      </c>
      <c r="J160" s="13">
        <v>43966</v>
      </c>
      <c r="K160" s="12" t="s">
        <v>45</v>
      </c>
      <c r="L160" s="12" t="s">
        <v>45</v>
      </c>
      <c r="M160" s="12" t="s">
        <v>26</v>
      </c>
      <c r="N160" s="12" t="s">
        <v>1039</v>
      </c>
      <c r="O160" s="12"/>
      <c r="P160" s="12"/>
      <c r="Q160" s="12"/>
    </row>
    <row r="161" spans="1:17" x14ac:dyDescent="0.25">
      <c r="A161" s="11">
        <v>102570</v>
      </c>
      <c r="B161" s="12" t="s">
        <v>1238</v>
      </c>
      <c r="C161" s="12" t="s">
        <v>1449</v>
      </c>
      <c r="D161" s="125">
        <v>13000000</v>
      </c>
      <c r="E161" s="125">
        <v>6125013.7699999996</v>
      </c>
      <c r="F161" s="12">
        <v>48</v>
      </c>
      <c r="G161" s="12">
        <v>180</v>
      </c>
      <c r="H161" s="12">
        <v>0</v>
      </c>
      <c r="I161" s="13">
        <v>42497.538281250003</v>
      </c>
      <c r="J161" s="13">
        <v>43046</v>
      </c>
      <c r="K161" s="12" t="s">
        <v>25</v>
      </c>
      <c r="L161" s="12" t="s">
        <v>88</v>
      </c>
      <c r="M161" s="12" t="s">
        <v>285</v>
      </c>
      <c r="N161" s="12" t="s">
        <v>5725</v>
      </c>
      <c r="O161" s="12"/>
      <c r="P161" s="12"/>
      <c r="Q161" s="12"/>
    </row>
    <row r="162" spans="1:17" x14ac:dyDescent="0.25">
      <c r="A162" s="11">
        <v>102571</v>
      </c>
      <c r="B162" s="12" t="s">
        <v>99</v>
      </c>
      <c r="C162" s="12" t="s">
        <v>1449</v>
      </c>
      <c r="D162" s="125">
        <v>20000000</v>
      </c>
      <c r="E162" s="125">
        <v>6681366.0800000001</v>
      </c>
      <c r="F162" s="12">
        <v>42</v>
      </c>
      <c r="G162" s="12">
        <v>180</v>
      </c>
      <c r="H162" s="12">
        <v>0</v>
      </c>
      <c r="I162" s="13">
        <v>42499.492378900461</v>
      </c>
      <c r="J162" s="13">
        <v>43235</v>
      </c>
      <c r="K162" s="12" t="s">
        <v>25</v>
      </c>
      <c r="L162" s="12" t="s">
        <v>32</v>
      </c>
      <c r="M162" s="12" t="s">
        <v>26</v>
      </c>
      <c r="N162" s="12" t="s">
        <v>86</v>
      </c>
      <c r="O162" s="12"/>
      <c r="P162" s="12"/>
      <c r="Q162" s="12"/>
    </row>
    <row r="163" spans="1:17" x14ac:dyDescent="0.25">
      <c r="A163" s="11">
        <v>102575</v>
      </c>
      <c r="B163" s="12" t="s">
        <v>1097</v>
      </c>
      <c r="C163" s="12" t="s">
        <v>1449</v>
      </c>
      <c r="D163" s="125">
        <v>42000000</v>
      </c>
      <c r="E163" s="125">
        <v>24709811.829999998</v>
      </c>
      <c r="F163" s="12">
        <v>36</v>
      </c>
      <c r="G163" s="12">
        <v>180</v>
      </c>
      <c r="H163" s="12">
        <v>0</v>
      </c>
      <c r="I163" s="13">
        <v>42499.786681168982</v>
      </c>
      <c r="J163" s="13">
        <v>43230</v>
      </c>
      <c r="K163" s="12" t="s">
        <v>27</v>
      </c>
      <c r="L163" s="12" t="s">
        <v>81</v>
      </c>
      <c r="M163" s="12" t="s">
        <v>26</v>
      </c>
      <c r="N163" s="12" t="s">
        <v>5725</v>
      </c>
      <c r="O163" s="12"/>
      <c r="P163" s="12"/>
      <c r="Q163" s="12"/>
    </row>
    <row r="164" spans="1:17" x14ac:dyDescent="0.25">
      <c r="A164" s="11">
        <v>102579</v>
      </c>
      <c r="B164" s="12" t="s">
        <v>860</v>
      </c>
      <c r="C164" s="12" t="s">
        <v>1441</v>
      </c>
      <c r="D164" s="125">
        <v>13807347.57</v>
      </c>
      <c r="E164" s="125">
        <v>9590763.6799999997</v>
      </c>
      <c r="F164" s="12">
        <v>48</v>
      </c>
      <c r="G164" s="12">
        <v>180</v>
      </c>
      <c r="H164" s="12">
        <v>0</v>
      </c>
      <c r="I164" s="13">
        <v>42500.666356168978</v>
      </c>
      <c r="J164" s="13">
        <v>43595</v>
      </c>
      <c r="K164" s="12" t="s">
        <v>44</v>
      </c>
      <c r="L164" s="12" t="s">
        <v>75</v>
      </c>
      <c r="M164" s="12" t="s">
        <v>26</v>
      </c>
      <c r="N164" s="12" t="s">
        <v>5167</v>
      </c>
      <c r="O164" s="12"/>
      <c r="P164" s="12"/>
      <c r="Q164" s="12"/>
    </row>
    <row r="165" spans="1:17" x14ac:dyDescent="0.25">
      <c r="A165" s="11">
        <v>102581</v>
      </c>
      <c r="B165" s="12" t="s">
        <v>555</v>
      </c>
      <c r="C165" s="12" t="s">
        <v>1449</v>
      </c>
      <c r="D165" s="125">
        <v>21041000</v>
      </c>
      <c r="E165" s="125">
        <v>9057587.5299999993</v>
      </c>
      <c r="F165" s="12">
        <v>42</v>
      </c>
      <c r="G165" s="12">
        <v>180</v>
      </c>
      <c r="H165" s="12">
        <v>0</v>
      </c>
      <c r="I165" s="13">
        <v>42500.760113807868</v>
      </c>
      <c r="J165" s="13">
        <v>43235</v>
      </c>
      <c r="K165" s="12" t="s">
        <v>25</v>
      </c>
      <c r="L165" s="12" t="s">
        <v>106</v>
      </c>
      <c r="M165" s="12" t="s">
        <v>107</v>
      </c>
      <c r="N165" s="12" t="s">
        <v>5726</v>
      </c>
      <c r="O165" s="12"/>
      <c r="P165" s="12"/>
      <c r="Q165" s="12"/>
    </row>
    <row r="166" spans="1:17" x14ac:dyDescent="0.25">
      <c r="A166" s="11">
        <v>102583</v>
      </c>
      <c r="B166" s="12" t="s">
        <v>2050</v>
      </c>
      <c r="C166" s="12" t="s">
        <v>1449</v>
      </c>
      <c r="D166" s="125">
        <v>50000000</v>
      </c>
      <c r="E166" s="125">
        <v>32170744.59</v>
      </c>
      <c r="F166" s="12">
        <v>40</v>
      </c>
      <c r="G166" s="12">
        <v>180</v>
      </c>
      <c r="H166" s="12">
        <v>0</v>
      </c>
      <c r="I166" s="13">
        <v>42501.581520914355</v>
      </c>
      <c r="J166" s="13">
        <v>43596</v>
      </c>
      <c r="K166" s="12" t="s">
        <v>44</v>
      </c>
      <c r="L166" s="12" t="s">
        <v>75</v>
      </c>
      <c r="M166" s="12" t="s">
        <v>1442</v>
      </c>
      <c r="N166" s="12" t="s">
        <v>491</v>
      </c>
      <c r="O166" s="12"/>
      <c r="P166" s="12"/>
      <c r="Q166" s="12"/>
    </row>
    <row r="167" spans="1:17" x14ac:dyDescent="0.25">
      <c r="A167" s="11">
        <v>102585</v>
      </c>
      <c r="B167" s="12" t="s">
        <v>195</v>
      </c>
      <c r="C167" s="12" t="s">
        <v>1449</v>
      </c>
      <c r="D167" s="125">
        <v>31000000</v>
      </c>
      <c r="E167" s="125">
        <v>24775096.48</v>
      </c>
      <c r="F167" s="12">
        <v>36</v>
      </c>
      <c r="G167" s="12">
        <v>180</v>
      </c>
      <c r="H167" s="12">
        <v>0</v>
      </c>
      <c r="I167" s="13">
        <v>42503.531356053238</v>
      </c>
      <c r="J167" s="13">
        <v>43974</v>
      </c>
      <c r="K167" s="12" t="s">
        <v>44</v>
      </c>
      <c r="L167" s="12" t="s">
        <v>92</v>
      </c>
      <c r="M167" s="12" t="s">
        <v>92</v>
      </c>
      <c r="N167" s="12" t="s">
        <v>86</v>
      </c>
      <c r="O167" s="12"/>
      <c r="P167" s="12"/>
      <c r="Q167" s="12"/>
    </row>
    <row r="168" spans="1:17" x14ac:dyDescent="0.25">
      <c r="A168" s="11">
        <v>102589</v>
      </c>
      <c r="B168" s="12" t="s">
        <v>2073</v>
      </c>
      <c r="C168" s="12" t="s">
        <v>1441</v>
      </c>
      <c r="D168" s="125">
        <v>37000000</v>
      </c>
      <c r="E168" s="125">
        <v>23831949.239999998</v>
      </c>
      <c r="F168" s="12">
        <v>40</v>
      </c>
      <c r="G168" s="12">
        <v>180</v>
      </c>
      <c r="H168" s="12">
        <v>0</v>
      </c>
      <c r="I168" s="13">
        <v>42506.733621678242</v>
      </c>
      <c r="J168" s="13">
        <v>43602</v>
      </c>
      <c r="K168" s="12" t="s">
        <v>25</v>
      </c>
      <c r="L168" s="12" t="s">
        <v>103</v>
      </c>
      <c r="M168" s="12" t="s">
        <v>104</v>
      </c>
      <c r="N168" s="12" t="s">
        <v>1467</v>
      </c>
      <c r="O168" s="12"/>
      <c r="P168" s="12"/>
      <c r="Q168" s="12"/>
    </row>
    <row r="169" spans="1:17" x14ac:dyDescent="0.25">
      <c r="A169" s="11">
        <v>102592</v>
      </c>
      <c r="B169" s="12" t="s">
        <v>1071</v>
      </c>
      <c r="C169" s="12" t="s">
        <v>1449</v>
      </c>
      <c r="D169" s="125">
        <v>10000000</v>
      </c>
      <c r="E169" s="125">
        <v>954818.3</v>
      </c>
      <c r="F169" s="12">
        <v>48</v>
      </c>
      <c r="G169" s="12">
        <v>180</v>
      </c>
      <c r="H169" s="12">
        <v>0</v>
      </c>
      <c r="I169" s="13">
        <v>42507.562189548611</v>
      </c>
      <c r="J169" s="13">
        <v>43058</v>
      </c>
      <c r="K169" s="12" t="s">
        <v>45</v>
      </c>
      <c r="L169" s="12" t="s">
        <v>45</v>
      </c>
      <c r="M169" s="12" t="s">
        <v>89</v>
      </c>
      <c r="N169" s="12" t="s">
        <v>963</v>
      </c>
      <c r="O169" s="12"/>
      <c r="P169" s="12"/>
      <c r="Q169" s="12"/>
    </row>
    <row r="170" spans="1:17" x14ac:dyDescent="0.25">
      <c r="A170" s="11">
        <v>102596</v>
      </c>
      <c r="B170" s="12" t="s">
        <v>1146</v>
      </c>
      <c r="C170" s="12" t="s">
        <v>1441</v>
      </c>
      <c r="D170" s="125">
        <v>28000000</v>
      </c>
      <c r="E170" s="125">
        <v>20691148.239999998</v>
      </c>
      <c r="F170" s="12">
        <v>36</v>
      </c>
      <c r="G170" s="12">
        <v>180</v>
      </c>
      <c r="H170" s="12">
        <v>0</v>
      </c>
      <c r="I170" s="13">
        <v>42508.715578356481</v>
      </c>
      <c r="J170" s="13">
        <v>43793</v>
      </c>
      <c r="K170" s="12" t="s">
        <v>44</v>
      </c>
      <c r="L170" s="12" t="s">
        <v>75</v>
      </c>
      <c r="M170" s="12" t="s">
        <v>26</v>
      </c>
      <c r="N170" s="12" t="s">
        <v>1039</v>
      </c>
      <c r="O170" s="12"/>
      <c r="P170" s="12"/>
      <c r="Q170" s="12"/>
    </row>
    <row r="171" spans="1:17" x14ac:dyDescent="0.25">
      <c r="A171" s="11">
        <v>102598</v>
      </c>
      <c r="B171" s="12" t="s">
        <v>1624</v>
      </c>
      <c r="C171" s="12" t="s">
        <v>82</v>
      </c>
      <c r="D171" s="125">
        <v>31000000</v>
      </c>
      <c r="E171" s="125">
        <v>23744478.52</v>
      </c>
      <c r="F171" s="12">
        <v>36</v>
      </c>
      <c r="G171" s="12">
        <v>180</v>
      </c>
      <c r="H171" s="12">
        <v>0</v>
      </c>
      <c r="I171" s="13">
        <v>42508.736337349539</v>
      </c>
      <c r="J171" s="13">
        <v>43956</v>
      </c>
      <c r="K171" s="12" t="s">
        <v>44</v>
      </c>
      <c r="L171" s="12" t="s">
        <v>92</v>
      </c>
      <c r="M171" s="12" t="s">
        <v>92</v>
      </c>
      <c r="N171" s="12" t="s">
        <v>2855</v>
      </c>
      <c r="O171" s="12"/>
      <c r="P171" s="12"/>
      <c r="Q171" s="12"/>
    </row>
    <row r="172" spans="1:17" x14ac:dyDescent="0.25">
      <c r="A172" s="11">
        <v>102599</v>
      </c>
      <c r="B172" s="12" t="s">
        <v>352</v>
      </c>
      <c r="C172" s="12" t="s">
        <v>82</v>
      </c>
      <c r="D172" s="125">
        <v>20000000</v>
      </c>
      <c r="E172" s="125">
        <v>8561213.2300000004</v>
      </c>
      <c r="F172" s="12">
        <v>42</v>
      </c>
      <c r="G172" s="12">
        <v>180</v>
      </c>
      <c r="H172" s="12">
        <v>0</v>
      </c>
      <c r="I172" s="13">
        <v>42508.752132905094</v>
      </c>
      <c r="J172" s="13">
        <v>43238</v>
      </c>
      <c r="K172" s="12" t="s">
        <v>44</v>
      </c>
      <c r="L172" s="12" t="s">
        <v>92</v>
      </c>
      <c r="M172" s="12" t="s">
        <v>92</v>
      </c>
      <c r="N172" s="12" t="s">
        <v>5726</v>
      </c>
      <c r="O172" s="12"/>
      <c r="P172" s="12"/>
      <c r="Q172" s="12"/>
    </row>
    <row r="173" spans="1:17" x14ac:dyDescent="0.25">
      <c r="A173" s="11">
        <v>102602</v>
      </c>
      <c r="B173" s="12" t="s">
        <v>2102</v>
      </c>
      <c r="C173" s="12" t="s">
        <v>1449</v>
      </c>
      <c r="D173" s="125">
        <v>15500000</v>
      </c>
      <c r="E173" s="125">
        <v>5329134.6500000004</v>
      </c>
      <c r="F173" s="12">
        <v>48</v>
      </c>
      <c r="G173" s="12">
        <v>180</v>
      </c>
      <c r="H173" s="12">
        <v>0</v>
      </c>
      <c r="I173" s="13">
        <v>42510.571932754632</v>
      </c>
      <c r="J173" s="13">
        <v>43240</v>
      </c>
      <c r="K173" s="12" t="s">
        <v>37</v>
      </c>
      <c r="L173" s="12" t="s">
        <v>38</v>
      </c>
      <c r="M173" s="12" t="s">
        <v>39</v>
      </c>
      <c r="N173" s="12" t="s">
        <v>86</v>
      </c>
      <c r="O173" s="12"/>
      <c r="P173" s="12"/>
      <c r="Q173" s="12"/>
    </row>
    <row r="174" spans="1:17" x14ac:dyDescent="0.25">
      <c r="A174" s="11">
        <v>102605</v>
      </c>
      <c r="B174" s="12" t="s">
        <v>590</v>
      </c>
      <c r="C174" s="12" t="s">
        <v>1449</v>
      </c>
      <c r="D174" s="125">
        <v>30500000</v>
      </c>
      <c r="E174" s="125">
        <v>16531356.49</v>
      </c>
      <c r="F174" s="12">
        <v>36</v>
      </c>
      <c r="G174" s="12">
        <v>180</v>
      </c>
      <c r="H174" s="12">
        <v>0</v>
      </c>
      <c r="I174" s="13">
        <v>42510.774510763891</v>
      </c>
      <c r="J174" s="13">
        <v>43424</v>
      </c>
      <c r="K174" s="12" t="s">
        <v>44</v>
      </c>
      <c r="L174" s="12" t="s">
        <v>92</v>
      </c>
      <c r="M174" s="12" t="s">
        <v>92</v>
      </c>
      <c r="N174" s="12" t="s">
        <v>468</v>
      </c>
      <c r="O174" s="12"/>
      <c r="P174" s="12"/>
      <c r="Q174" s="12"/>
    </row>
    <row r="175" spans="1:17" x14ac:dyDescent="0.25">
      <c r="A175" s="11">
        <v>102607</v>
      </c>
      <c r="B175" s="12" t="s">
        <v>1530</v>
      </c>
      <c r="C175" s="12" t="s">
        <v>1441</v>
      </c>
      <c r="D175" s="125">
        <v>31000000</v>
      </c>
      <c r="E175" s="125">
        <v>20417599.690000001</v>
      </c>
      <c r="F175" s="12">
        <v>36</v>
      </c>
      <c r="G175" s="12">
        <v>180</v>
      </c>
      <c r="H175" s="12">
        <v>0</v>
      </c>
      <c r="I175" s="13">
        <v>42511.555987268519</v>
      </c>
      <c r="J175" s="13">
        <v>43610</v>
      </c>
      <c r="K175" s="12" t="s">
        <v>44</v>
      </c>
      <c r="L175" s="12" t="s">
        <v>92</v>
      </c>
      <c r="M175" s="12" t="s">
        <v>26</v>
      </c>
      <c r="N175" s="12" t="s">
        <v>2861</v>
      </c>
      <c r="O175" s="12"/>
      <c r="P175" s="12"/>
      <c r="Q175" s="12"/>
    </row>
    <row r="176" spans="1:17" x14ac:dyDescent="0.25">
      <c r="A176" s="11">
        <v>102608</v>
      </c>
      <c r="B176" s="12" t="s">
        <v>1255</v>
      </c>
      <c r="C176" s="12" t="s">
        <v>1449</v>
      </c>
      <c r="D176" s="125">
        <v>12346030</v>
      </c>
      <c r="E176" s="125">
        <v>8898075.0199999996</v>
      </c>
      <c r="F176" s="12">
        <v>25</v>
      </c>
      <c r="G176" s="12">
        <v>180</v>
      </c>
      <c r="H176" s="12">
        <v>0</v>
      </c>
      <c r="I176" s="13">
        <v>42511.570760416667</v>
      </c>
      <c r="J176" s="13">
        <v>43606</v>
      </c>
      <c r="K176" s="12" t="s">
        <v>43</v>
      </c>
      <c r="L176" s="12" t="s">
        <v>338</v>
      </c>
      <c r="M176" s="12" t="s">
        <v>339</v>
      </c>
      <c r="N176" s="12" t="s">
        <v>5726</v>
      </c>
      <c r="O176" s="12"/>
      <c r="P176" s="12"/>
      <c r="Q176" s="12"/>
    </row>
    <row r="177" spans="1:17" x14ac:dyDescent="0.25">
      <c r="A177" s="11">
        <v>102609</v>
      </c>
      <c r="B177" s="12" t="s">
        <v>2100</v>
      </c>
      <c r="C177" s="12" t="s">
        <v>1449</v>
      </c>
      <c r="D177" s="125">
        <v>15500000</v>
      </c>
      <c r="E177" s="125">
        <v>5400586.4299999997</v>
      </c>
      <c r="F177" s="12">
        <v>48</v>
      </c>
      <c r="G177" s="12">
        <v>180</v>
      </c>
      <c r="H177" s="12">
        <v>0</v>
      </c>
      <c r="I177" s="13">
        <v>42511.581972997687</v>
      </c>
      <c r="J177" s="13">
        <v>43060</v>
      </c>
      <c r="K177" s="12" t="s">
        <v>31</v>
      </c>
      <c r="L177" s="12" t="s">
        <v>509</v>
      </c>
      <c r="M177" s="12" t="s">
        <v>1814</v>
      </c>
      <c r="N177" s="12" t="s">
        <v>468</v>
      </c>
      <c r="O177" s="12"/>
      <c r="P177" s="12"/>
      <c r="Q177" s="12"/>
    </row>
    <row r="178" spans="1:17" x14ac:dyDescent="0.25">
      <c r="A178" s="11">
        <v>102611</v>
      </c>
      <c r="B178" s="12" t="s">
        <v>1566</v>
      </c>
      <c r="C178" s="12" t="s">
        <v>1441</v>
      </c>
      <c r="D178" s="125">
        <v>50000000</v>
      </c>
      <c r="E178" s="125">
        <v>40735858.659999996</v>
      </c>
      <c r="F178" s="12">
        <v>36</v>
      </c>
      <c r="G178" s="12">
        <v>180</v>
      </c>
      <c r="H178" s="12">
        <v>0</v>
      </c>
      <c r="I178" s="13">
        <v>42513.546250266205</v>
      </c>
      <c r="J178" s="13">
        <v>43985</v>
      </c>
      <c r="K178" s="12" t="s">
        <v>25</v>
      </c>
      <c r="L178" s="12" t="s">
        <v>88</v>
      </c>
      <c r="M178" s="12" t="s">
        <v>26</v>
      </c>
      <c r="N178" s="12" t="s">
        <v>491</v>
      </c>
      <c r="O178" s="12"/>
      <c r="P178" s="12"/>
      <c r="Q178" s="12"/>
    </row>
    <row r="179" spans="1:17" x14ac:dyDescent="0.25">
      <c r="A179" s="11">
        <v>102613</v>
      </c>
      <c r="B179" s="12" t="s">
        <v>1016</v>
      </c>
      <c r="C179" s="12" t="s">
        <v>82</v>
      </c>
      <c r="D179" s="125">
        <v>54043930</v>
      </c>
      <c r="E179" s="125">
        <v>43070421.020000003</v>
      </c>
      <c r="F179" s="12">
        <v>36</v>
      </c>
      <c r="G179" s="12">
        <v>180</v>
      </c>
      <c r="H179" s="12">
        <v>0</v>
      </c>
      <c r="I179" s="13">
        <v>42514.419436111108</v>
      </c>
      <c r="J179" s="13">
        <v>43983</v>
      </c>
      <c r="K179" s="12" t="s">
        <v>44</v>
      </c>
      <c r="L179" s="12" t="s">
        <v>92</v>
      </c>
      <c r="M179" s="12" t="s">
        <v>92</v>
      </c>
      <c r="N179" s="12" t="s">
        <v>1039</v>
      </c>
      <c r="O179" s="12"/>
      <c r="P179" s="12"/>
      <c r="Q179" s="12"/>
    </row>
    <row r="180" spans="1:17" x14ac:dyDescent="0.25">
      <c r="A180" s="11">
        <v>102615</v>
      </c>
      <c r="B180" s="12" t="s">
        <v>2137</v>
      </c>
      <c r="C180" s="12" t="s">
        <v>1449</v>
      </c>
      <c r="D180" s="125">
        <v>25000000</v>
      </c>
      <c r="E180" s="125">
        <v>18153043.07</v>
      </c>
      <c r="F180" s="12">
        <v>48</v>
      </c>
      <c r="G180" s="12">
        <v>180</v>
      </c>
      <c r="H180" s="12">
        <v>0</v>
      </c>
      <c r="I180" s="13">
        <v>42514.757372719905</v>
      </c>
      <c r="J180" s="13">
        <v>43618</v>
      </c>
      <c r="K180" s="12" t="s">
        <v>46</v>
      </c>
      <c r="L180" s="12" t="s">
        <v>46</v>
      </c>
      <c r="M180" s="12" t="s">
        <v>1812</v>
      </c>
      <c r="N180" s="12" t="s">
        <v>1191</v>
      </c>
      <c r="O180" s="12"/>
      <c r="P180" s="12"/>
      <c r="Q180" s="12"/>
    </row>
    <row r="181" spans="1:17" x14ac:dyDescent="0.25">
      <c r="A181" s="11">
        <v>102616</v>
      </c>
      <c r="B181" s="12" t="s">
        <v>453</v>
      </c>
      <c r="C181" s="12" t="s">
        <v>1441</v>
      </c>
      <c r="D181" s="125">
        <v>8000000</v>
      </c>
      <c r="E181" s="125">
        <v>597121.59</v>
      </c>
      <c r="F181" s="12">
        <v>48</v>
      </c>
      <c r="G181" s="12">
        <v>180</v>
      </c>
      <c r="H181" s="12">
        <v>0</v>
      </c>
      <c r="I181" s="13">
        <v>42515.406449224538</v>
      </c>
      <c r="J181" s="13">
        <v>42972</v>
      </c>
      <c r="K181" s="12" t="s">
        <v>44</v>
      </c>
      <c r="L181" s="12" t="s">
        <v>92</v>
      </c>
      <c r="M181" s="12" t="s">
        <v>26</v>
      </c>
      <c r="N181" s="12" t="s">
        <v>1909</v>
      </c>
      <c r="O181" s="12"/>
      <c r="P181" s="12"/>
      <c r="Q181" s="12"/>
    </row>
    <row r="182" spans="1:17" x14ac:dyDescent="0.25">
      <c r="A182" s="11">
        <v>102618</v>
      </c>
      <c r="B182" s="12" t="s">
        <v>199</v>
      </c>
      <c r="C182" s="12" t="s">
        <v>1449</v>
      </c>
      <c r="D182" s="125">
        <v>7000000</v>
      </c>
      <c r="E182" s="125">
        <v>269587.37</v>
      </c>
      <c r="F182" s="12">
        <v>44</v>
      </c>
      <c r="G182" s="12">
        <v>180</v>
      </c>
      <c r="H182" s="12">
        <v>0</v>
      </c>
      <c r="I182" s="13">
        <v>42515.50470528935</v>
      </c>
      <c r="J182" s="13">
        <v>42979</v>
      </c>
      <c r="K182" s="12" t="s">
        <v>44</v>
      </c>
      <c r="L182" s="12" t="s">
        <v>92</v>
      </c>
      <c r="M182" s="12" t="s">
        <v>92</v>
      </c>
      <c r="N182" s="12" t="s">
        <v>1191</v>
      </c>
      <c r="O182" s="12"/>
      <c r="P182" s="12"/>
      <c r="Q182" s="12"/>
    </row>
    <row r="183" spans="1:17" x14ac:dyDescent="0.25">
      <c r="A183" s="11">
        <v>102619</v>
      </c>
      <c r="B183" s="12" t="s">
        <v>301</v>
      </c>
      <c r="C183" s="12" t="s">
        <v>1449</v>
      </c>
      <c r="D183" s="125">
        <v>25000000</v>
      </c>
      <c r="E183" s="125">
        <v>17082354.920000002</v>
      </c>
      <c r="F183" s="12">
        <v>42</v>
      </c>
      <c r="G183" s="12">
        <v>180</v>
      </c>
      <c r="H183" s="12">
        <v>0</v>
      </c>
      <c r="I183" s="13">
        <v>42515.566288078706</v>
      </c>
      <c r="J183" s="13">
        <v>43621</v>
      </c>
      <c r="K183" s="12" t="s">
        <v>25</v>
      </c>
      <c r="L183" s="12" t="s">
        <v>103</v>
      </c>
      <c r="M183" s="12" t="s">
        <v>26</v>
      </c>
      <c r="N183" s="12" t="s">
        <v>468</v>
      </c>
      <c r="O183" s="12"/>
      <c r="P183" s="12"/>
      <c r="Q183" s="12"/>
    </row>
    <row r="184" spans="1:17" x14ac:dyDescent="0.25">
      <c r="A184" s="11">
        <v>102620</v>
      </c>
      <c r="B184" s="12" t="s">
        <v>2132</v>
      </c>
      <c r="C184" s="12" t="s">
        <v>1449</v>
      </c>
      <c r="D184" s="125">
        <v>18500000</v>
      </c>
      <c r="E184" s="125">
        <v>9091104.7799999993</v>
      </c>
      <c r="F184" s="12">
        <v>48</v>
      </c>
      <c r="G184" s="12">
        <v>180</v>
      </c>
      <c r="H184" s="12">
        <v>0</v>
      </c>
      <c r="I184" s="13">
        <v>42515.655396678238</v>
      </c>
      <c r="J184" s="13">
        <v>43252</v>
      </c>
      <c r="K184" s="12" t="s">
        <v>25</v>
      </c>
      <c r="L184" s="12" t="s">
        <v>88</v>
      </c>
      <c r="M184" s="12" t="s">
        <v>285</v>
      </c>
      <c r="N184" s="12" t="s">
        <v>468</v>
      </c>
      <c r="O184" s="12"/>
      <c r="P184" s="12"/>
      <c r="Q184" s="12"/>
    </row>
    <row r="185" spans="1:17" x14ac:dyDescent="0.25">
      <c r="A185" s="11">
        <v>102626</v>
      </c>
      <c r="B185" s="12" t="s">
        <v>134</v>
      </c>
      <c r="C185" s="12" t="s">
        <v>1449</v>
      </c>
      <c r="D185" s="125">
        <v>31000000</v>
      </c>
      <c r="E185" s="125">
        <v>11820208.539999999</v>
      </c>
      <c r="F185" s="12">
        <v>36</v>
      </c>
      <c r="G185" s="12">
        <v>180</v>
      </c>
      <c r="H185" s="12">
        <v>0</v>
      </c>
      <c r="I185" s="13">
        <v>42517.672851238429</v>
      </c>
      <c r="J185" s="13">
        <v>43252</v>
      </c>
      <c r="K185" s="12" t="s">
        <v>25</v>
      </c>
      <c r="L185" s="12" t="s">
        <v>103</v>
      </c>
      <c r="M185" s="12" t="s">
        <v>104</v>
      </c>
      <c r="N185" s="12" t="s">
        <v>1191</v>
      </c>
      <c r="O185" s="12"/>
      <c r="P185" s="12"/>
      <c r="Q185" s="12"/>
    </row>
    <row r="186" spans="1:17" x14ac:dyDescent="0.25">
      <c r="A186" s="11">
        <v>102630</v>
      </c>
      <c r="B186" s="12" t="s">
        <v>2176</v>
      </c>
      <c r="C186" s="12" t="s">
        <v>1449</v>
      </c>
      <c r="D186" s="125">
        <v>15500000</v>
      </c>
      <c r="E186" s="125">
        <v>10535979.98</v>
      </c>
      <c r="F186" s="12">
        <v>48</v>
      </c>
      <c r="G186" s="12">
        <v>180</v>
      </c>
      <c r="H186" s="12">
        <v>0</v>
      </c>
      <c r="I186" s="13">
        <v>42520.556637766203</v>
      </c>
      <c r="J186" s="13">
        <v>43252</v>
      </c>
      <c r="K186" s="12" t="s">
        <v>25</v>
      </c>
      <c r="L186" s="12" t="s">
        <v>290</v>
      </c>
      <c r="M186" s="12" t="s">
        <v>1825</v>
      </c>
      <c r="N186" s="12" t="s">
        <v>5726</v>
      </c>
      <c r="O186" s="12"/>
      <c r="P186" s="12"/>
      <c r="Q186" s="12"/>
    </row>
    <row r="187" spans="1:17" x14ac:dyDescent="0.25">
      <c r="A187" s="11">
        <v>102631</v>
      </c>
      <c r="B187" s="12" t="s">
        <v>1291</v>
      </c>
      <c r="C187" s="12" t="s">
        <v>1449</v>
      </c>
      <c r="D187" s="125">
        <v>12556138</v>
      </c>
      <c r="E187" s="125">
        <v>1704219.93</v>
      </c>
      <c r="F187" s="12">
        <v>48</v>
      </c>
      <c r="G187" s="12">
        <v>180</v>
      </c>
      <c r="H187" s="12">
        <v>0</v>
      </c>
      <c r="I187" s="13">
        <v>42520.646828206016</v>
      </c>
      <c r="J187" s="13">
        <v>43074</v>
      </c>
      <c r="K187" s="12" t="s">
        <v>25</v>
      </c>
      <c r="L187" s="12" t="s">
        <v>103</v>
      </c>
      <c r="M187" s="12" t="s">
        <v>104</v>
      </c>
      <c r="N187" s="12" t="s">
        <v>963</v>
      </c>
      <c r="O187" s="12"/>
      <c r="P187" s="12"/>
      <c r="Q187" s="12"/>
    </row>
    <row r="188" spans="1:17" x14ac:dyDescent="0.25">
      <c r="A188" s="11">
        <v>102632</v>
      </c>
      <c r="B188" s="12" t="s">
        <v>834</v>
      </c>
      <c r="C188" s="12" t="s">
        <v>1449</v>
      </c>
      <c r="D188" s="125">
        <v>50000000</v>
      </c>
      <c r="E188" s="125">
        <v>18483397.329999998</v>
      </c>
      <c r="F188" s="12">
        <v>36</v>
      </c>
      <c r="G188" s="12">
        <v>180</v>
      </c>
      <c r="H188" s="12">
        <v>0</v>
      </c>
      <c r="I188" s="13">
        <v>42520.70437172454</v>
      </c>
      <c r="J188" s="13">
        <v>43256</v>
      </c>
      <c r="K188" s="12" t="s">
        <v>25</v>
      </c>
      <c r="L188" s="12" t="s">
        <v>106</v>
      </c>
      <c r="M188" s="12" t="s">
        <v>107</v>
      </c>
      <c r="N188" s="12" t="s">
        <v>546</v>
      </c>
      <c r="O188" s="12"/>
      <c r="P188" s="12"/>
      <c r="Q188" s="12"/>
    </row>
    <row r="189" spans="1:17" x14ac:dyDescent="0.25">
      <c r="A189" s="11">
        <v>102633</v>
      </c>
      <c r="B189" s="12" t="s">
        <v>816</v>
      </c>
      <c r="C189" s="12" t="s">
        <v>1441</v>
      </c>
      <c r="D189" s="125">
        <v>42000000</v>
      </c>
      <c r="E189" s="125">
        <v>34218121.240000002</v>
      </c>
      <c r="F189" s="12">
        <v>36</v>
      </c>
      <c r="G189" s="12">
        <v>180</v>
      </c>
      <c r="H189" s="12">
        <v>0</v>
      </c>
      <c r="I189" s="13">
        <v>42520.725074965281</v>
      </c>
      <c r="J189" s="13">
        <v>43992</v>
      </c>
      <c r="K189" s="12" t="s">
        <v>25</v>
      </c>
      <c r="L189" s="12" t="s">
        <v>26</v>
      </c>
      <c r="M189" s="12" t="s">
        <v>26</v>
      </c>
      <c r="N189" s="12" t="s">
        <v>90</v>
      </c>
      <c r="O189" s="12"/>
      <c r="P189" s="12"/>
      <c r="Q189" s="12"/>
    </row>
    <row r="190" spans="1:17" x14ac:dyDescent="0.25">
      <c r="A190" s="11">
        <v>102634</v>
      </c>
      <c r="B190" s="12" t="s">
        <v>930</v>
      </c>
      <c r="C190" s="12" t="s">
        <v>1449</v>
      </c>
      <c r="D190" s="125">
        <v>40429858</v>
      </c>
      <c r="E190" s="125">
        <v>32782919.98</v>
      </c>
      <c r="F190" s="12">
        <v>36</v>
      </c>
      <c r="G190" s="12">
        <v>180</v>
      </c>
      <c r="H190" s="12">
        <v>0</v>
      </c>
      <c r="I190" s="13">
        <v>42521.574859918983</v>
      </c>
      <c r="J190" s="13">
        <v>43987</v>
      </c>
      <c r="K190" s="12" t="s">
        <v>37</v>
      </c>
      <c r="L190" s="12" t="s">
        <v>686</v>
      </c>
      <c r="M190" s="12" t="s">
        <v>686</v>
      </c>
      <c r="N190" s="12" t="s">
        <v>468</v>
      </c>
      <c r="O190" s="12"/>
      <c r="P190" s="12"/>
      <c r="Q190" s="12"/>
    </row>
    <row r="191" spans="1:17" x14ac:dyDescent="0.25">
      <c r="A191" s="11">
        <v>102636</v>
      </c>
      <c r="B191" s="12" t="s">
        <v>1657</v>
      </c>
      <c r="C191" s="12" t="s">
        <v>1449</v>
      </c>
      <c r="D191" s="125">
        <v>50000000</v>
      </c>
      <c r="E191" s="125">
        <v>32836066.149999999</v>
      </c>
      <c r="F191" s="12">
        <v>36</v>
      </c>
      <c r="G191" s="12">
        <v>180</v>
      </c>
      <c r="H191" s="12">
        <v>0</v>
      </c>
      <c r="I191" s="13">
        <v>42521.698426122683</v>
      </c>
      <c r="J191" s="13">
        <v>43617</v>
      </c>
      <c r="K191" s="12" t="s">
        <v>44</v>
      </c>
      <c r="L191" s="12" t="s">
        <v>75</v>
      </c>
      <c r="M191" s="12" t="s">
        <v>26</v>
      </c>
      <c r="N191" s="12" t="s">
        <v>546</v>
      </c>
      <c r="O191" s="12"/>
      <c r="P191" s="12"/>
      <c r="Q191" s="12"/>
    </row>
    <row r="192" spans="1:17" x14ac:dyDescent="0.25">
      <c r="A192" s="11">
        <v>102637</v>
      </c>
      <c r="B192" s="12" t="s">
        <v>630</v>
      </c>
      <c r="C192" s="12" t="s">
        <v>1449</v>
      </c>
      <c r="D192" s="125">
        <v>18201000</v>
      </c>
      <c r="E192" s="125">
        <v>12523393.949999999</v>
      </c>
      <c r="F192" s="12">
        <v>36</v>
      </c>
      <c r="G192" s="12">
        <v>180</v>
      </c>
      <c r="H192" s="12">
        <v>0</v>
      </c>
      <c r="I192" s="13">
        <v>42521.727298182872</v>
      </c>
      <c r="J192" s="13">
        <v>43626</v>
      </c>
      <c r="K192" s="12" t="s">
        <v>44</v>
      </c>
      <c r="L192" s="12" t="s">
        <v>75</v>
      </c>
      <c r="M192" s="12" t="s">
        <v>26</v>
      </c>
      <c r="N192" s="12" t="s">
        <v>491</v>
      </c>
      <c r="O192" s="12"/>
      <c r="P192" s="12"/>
      <c r="Q192" s="12"/>
    </row>
    <row r="193" spans="1:17" x14ac:dyDescent="0.25">
      <c r="A193" s="11">
        <v>102642</v>
      </c>
      <c r="B193" s="12" t="s">
        <v>410</v>
      </c>
      <c r="C193" s="12" t="s">
        <v>1441</v>
      </c>
      <c r="D193" s="125">
        <v>42556117</v>
      </c>
      <c r="E193" s="125">
        <v>33849774.689999998</v>
      </c>
      <c r="F193" s="12">
        <v>36</v>
      </c>
      <c r="G193" s="12">
        <v>180</v>
      </c>
      <c r="H193" s="12">
        <v>0</v>
      </c>
      <c r="I193" s="13">
        <v>42521.819705821756</v>
      </c>
      <c r="J193" s="13">
        <v>43987</v>
      </c>
      <c r="K193" s="12" t="s">
        <v>44</v>
      </c>
      <c r="L193" s="12" t="s">
        <v>92</v>
      </c>
      <c r="M193" s="12" t="s">
        <v>92</v>
      </c>
      <c r="N193" s="12" t="s">
        <v>468</v>
      </c>
      <c r="O193" s="12"/>
      <c r="P193" s="12"/>
      <c r="Q193" s="12"/>
    </row>
    <row r="194" spans="1:17" x14ac:dyDescent="0.25">
      <c r="A194" s="11">
        <v>102644</v>
      </c>
      <c r="B194" s="12" t="s">
        <v>399</v>
      </c>
      <c r="C194" s="12" t="s">
        <v>1441</v>
      </c>
      <c r="D194" s="125">
        <v>20000000</v>
      </c>
      <c r="E194" s="125">
        <v>16319497.07</v>
      </c>
      <c r="F194" s="12">
        <v>42</v>
      </c>
      <c r="G194" s="12">
        <v>180</v>
      </c>
      <c r="H194" s="12">
        <v>0</v>
      </c>
      <c r="I194" s="13">
        <v>42521.845722418984</v>
      </c>
      <c r="J194" s="13">
        <v>43987</v>
      </c>
      <c r="K194" s="12" t="s">
        <v>44</v>
      </c>
      <c r="L194" s="12" t="s">
        <v>75</v>
      </c>
      <c r="M194" s="12" t="s">
        <v>26</v>
      </c>
      <c r="N194" s="12" t="s">
        <v>468</v>
      </c>
      <c r="O194" s="12"/>
      <c r="P194" s="12"/>
      <c r="Q194" s="12"/>
    </row>
    <row r="195" spans="1:17" x14ac:dyDescent="0.25">
      <c r="A195" s="11">
        <v>102649</v>
      </c>
      <c r="B195" s="12" t="s">
        <v>710</v>
      </c>
      <c r="C195" s="12" t="s">
        <v>1449</v>
      </c>
      <c r="D195" s="125">
        <v>40000000</v>
      </c>
      <c r="E195" s="125">
        <v>33362207.190000001</v>
      </c>
      <c r="F195" s="12">
        <v>36</v>
      </c>
      <c r="G195" s="12">
        <v>180</v>
      </c>
      <c r="H195" s="12">
        <v>0</v>
      </c>
      <c r="I195" s="13">
        <v>42527.501020868054</v>
      </c>
      <c r="J195" s="13">
        <v>44171</v>
      </c>
      <c r="K195" s="12" t="s">
        <v>44</v>
      </c>
      <c r="L195" s="12" t="s">
        <v>92</v>
      </c>
      <c r="M195" s="12" t="s">
        <v>92</v>
      </c>
      <c r="N195" s="12" t="s">
        <v>491</v>
      </c>
      <c r="O195" s="12"/>
      <c r="P195" s="12"/>
      <c r="Q195" s="12"/>
    </row>
    <row r="196" spans="1:17" x14ac:dyDescent="0.25">
      <c r="A196" s="11">
        <v>102651</v>
      </c>
      <c r="B196" s="12" t="s">
        <v>705</v>
      </c>
      <c r="C196" s="12" t="s">
        <v>1449</v>
      </c>
      <c r="D196" s="125">
        <v>39457012</v>
      </c>
      <c r="E196" s="125">
        <v>32117727.530000001</v>
      </c>
      <c r="F196" s="12">
        <v>36</v>
      </c>
      <c r="G196" s="12">
        <v>180</v>
      </c>
      <c r="H196" s="12">
        <v>0</v>
      </c>
      <c r="I196" s="13">
        <v>42527.695888275462</v>
      </c>
      <c r="J196" s="13">
        <v>43997</v>
      </c>
      <c r="K196" s="12" t="s">
        <v>25</v>
      </c>
      <c r="L196" s="12" t="s">
        <v>88</v>
      </c>
      <c r="M196" s="12" t="s">
        <v>285</v>
      </c>
      <c r="N196" s="12" t="s">
        <v>4684</v>
      </c>
      <c r="O196" s="12"/>
      <c r="P196" s="12"/>
      <c r="Q196" s="12"/>
    </row>
    <row r="197" spans="1:17" x14ac:dyDescent="0.25">
      <c r="A197" s="11">
        <v>102652</v>
      </c>
      <c r="B197" s="12" t="s">
        <v>87</v>
      </c>
      <c r="C197" s="12" t="s">
        <v>1441</v>
      </c>
      <c r="D197" s="125">
        <v>35000000</v>
      </c>
      <c r="E197" s="125">
        <v>12914223.6</v>
      </c>
      <c r="F197" s="12">
        <v>36</v>
      </c>
      <c r="G197" s="12">
        <v>180</v>
      </c>
      <c r="H197" s="12">
        <v>0</v>
      </c>
      <c r="I197" s="13">
        <v>42528.575429780096</v>
      </c>
      <c r="J197" s="13">
        <v>43259</v>
      </c>
      <c r="K197" s="12" t="s">
        <v>44</v>
      </c>
      <c r="L197" s="12" t="s">
        <v>92</v>
      </c>
      <c r="M197" s="12" t="s">
        <v>26</v>
      </c>
      <c r="N197" s="12" t="s">
        <v>1447</v>
      </c>
      <c r="O197" s="12"/>
      <c r="P197" s="12"/>
      <c r="Q197" s="12"/>
    </row>
    <row r="198" spans="1:17" x14ac:dyDescent="0.25">
      <c r="A198" s="11">
        <v>102653</v>
      </c>
      <c r="B198" s="12" t="s">
        <v>219</v>
      </c>
      <c r="C198" s="12" t="s">
        <v>1441</v>
      </c>
      <c r="D198" s="125">
        <v>7000000</v>
      </c>
      <c r="E198" s="125">
        <v>1613790.34</v>
      </c>
      <c r="F198" s="12">
        <v>48</v>
      </c>
      <c r="G198" s="12">
        <v>180</v>
      </c>
      <c r="H198" s="12">
        <v>0</v>
      </c>
      <c r="I198" s="13">
        <v>42529.70623556713</v>
      </c>
      <c r="J198" s="13">
        <v>42990</v>
      </c>
      <c r="K198" s="12" t="s">
        <v>25</v>
      </c>
      <c r="L198" s="12" t="s">
        <v>88</v>
      </c>
      <c r="M198" s="12" t="s">
        <v>26</v>
      </c>
      <c r="N198" s="12" t="s">
        <v>5725</v>
      </c>
      <c r="O198" s="12"/>
      <c r="P198" s="12"/>
      <c r="Q198" s="12"/>
    </row>
    <row r="199" spans="1:17" x14ac:dyDescent="0.25">
      <c r="A199" s="11">
        <v>102655</v>
      </c>
      <c r="B199" s="12" t="s">
        <v>786</v>
      </c>
      <c r="C199" s="12" t="s">
        <v>1441</v>
      </c>
      <c r="D199" s="125">
        <v>46000000</v>
      </c>
      <c r="E199" s="125">
        <v>18337097.82</v>
      </c>
      <c r="F199" s="12">
        <v>36</v>
      </c>
      <c r="G199" s="12">
        <v>180</v>
      </c>
      <c r="H199" s="12">
        <v>0</v>
      </c>
      <c r="I199" s="13">
        <v>42529.736859259261</v>
      </c>
      <c r="J199" s="13">
        <v>43261</v>
      </c>
      <c r="K199" s="12" t="s">
        <v>25</v>
      </c>
      <c r="L199" s="12" t="s">
        <v>88</v>
      </c>
      <c r="M199" s="12" t="s">
        <v>26</v>
      </c>
      <c r="N199" s="12" t="s">
        <v>1191</v>
      </c>
      <c r="O199" s="12"/>
      <c r="P199" s="12"/>
      <c r="Q199" s="12"/>
    </row>
    <row r="200" spans="1:17" x14ac:dyDescent="0.25">
      <c r="A200" s="11">
        <v>102658</v>
      </c>
      <c r="B200" s="12" t="s">
        <v>1642</v>
      </c>
      <c r="C200" s="12" t="s">
        <v>1441</v>
      </c>
      <c r="D200" s="125">
        <v>35000000</v>
      </c>
      <c r="E200" s="125">
        <v>23337204.469999999</v>
      </c>
      <c r="F200" s="12">
        <v>36</v>
      </c>
      <c r="G200" s="12">
        <v>180</v>
      </c>
      <c r="H200" s="12">
        <v>0</v>
      </c>
      <c r="I200" s="13">
        <v>42531.702821261577</v>
      </c>
      <c r="J200" s="13">
        <v>43631</v>
      </c>
      <c r="K200" s="12" t="s">
        <v>44</v>
      </c>
      <c r="L200" s="12" t="s">
        <v>75</v>
      </c>
      <c r="M200" s="12" t="s">
        <v>26</v>
      </c>
      <c r="N200" s="12" t="s">
        <v>491</v>
      </c>
      <c r="O200" s="12"/>
      <c r="P200" s="12"/>
      <c r="Q200" s="12"/>
    </row>
    <row r="201" spans="1:17" x14ac:dyDescent="0.25">
      <c r="A201" s="11">
        <v>102661</v>
      </c>
      <c r="B201" s="12" t="s">
        <v>147</v>
      </c>
      <c r="C201" s="12" t="s">
        <v>1449</v>
      </c>
      <c r="D201" s="125">
        <v>46000000</v>
      </c>
      <c r="E201" s="125">
        <v>10731396.800000001</v>
      </c>
      <c r="F201" s="12">
        <v>36</v>
      </c>
      <c r="G201" s="12">
        <v>180</v>
      </c>
      <c r="H201" s="12">
        <v>0</v>
      </c>
      <c r="I201" s="13">
        <v>42534.671389467592</v>
      </c>
      <c r="J201" s="13">
        <v>43085</v>
      </c>
      <c r="K201" s="12" t="s">
        <v>25</v>
      </c>
      <c r="L201" s="12" t="s">
        <v>103</v>
      </c>
      <c r="M201" s="12" t="s">
        <v>26</v>
      </c>
      <c r="N201" s="12" t="s">
        <v>90</v>
      </c>
      <c r="O201" s="12"/>
      <c r="P201" s="12"/>
      <c r="Q201" s="12"/>
    </row>
    <row r="202" spans="1:17" x14ac:dyDescent="0.25">
      <c r="A202" s="11">
        <v>102663</v>
      </c>
      <c r="B202" s="12" t="s">
        <v>519</v>
      </c>
      <c r="C202" s="12" t="s">
        <v>1449</v>
      </c>
      <c r="D202" s="125">
        <v>21437688</v>
      </c>
      <c r="E202" s="125">
        <v>15118720.9</v>
      </c>
      <c r="F202" s="12">
        <v>42</v>
      </c>
      <c r="G202" s="12">
        <v>180</v>
      </c>
      <c r="H202" s="12">
        <v>0</v>
      </c>
      <c r="I202" s="13">
        <v>42535.638698958333</v>
      </c>
      <c r="J202" s="13">
        <v>43691</v>
      </c>
      <c r="K202" s="12" t="s">
        <v>44</v>
      </c>
      <c r="L202" s="12" t="s">
        <v>92</v>
      </c>
      <c r="M202" s="12" t="s">
        <v>92</v>
      </c>
      <c r="N202" s="12" t="s">
        <v>86</v>
      </c>
      <c r="O202" s="12"/>
      <c r="P202" s="12"/>
      <c r="Q202" s="12"/>
    </row>
    <row r="203" spans="1:17" x14ac:dyDescent="0.25">
      <c r="A203" s="11">
        <v>102664</v>
      </c>
      <c r="B203" s="12" t="s">
        <v>2258</v>
      </c>
      <c r="C203" s="12" t="s">
        <v>1449</v>
      </c>
      <c r="D203" s="125">
        <v>46000000</v>
      </c>
      <c r="E203" s="125">
        <v>17317769.809999999</v>
      </c>
      <c r="F203" s="12">
        <v>40</v>
      </c>
      <c r="G203" s="12">
        <v>180</v>
      </c>
      <c r="H203" s="12">
        <v>0</v>
      </c>
      <c r="I203" s="13">
        <v>42536.550141354164</v>
      </c>
      <c r="J203" s="13">
        <v>43266</v>
      </c>
      <c r="K203" s="12" t="s">
        <v>44</v>
      </c>
      <c r="L203" s="12" t="s">
        <v>75</v>
      </c>
      <c r="M203" s="12" t="s">
        <v>1442</v>
      </c>
      <c r="N203" s="12" t="s">
        <v>2855</v>
      </c>
      <c r="O203" s="12"/>
      <c r="P203" s="12"/>
      <c r="Q203" s="12"/>
    </row>
    <row r="204" spans="1:17" x14ac:dyDescent="0.25">
      <c r="A204" s="11">
        <v>102670</v>
      </c>
      <c r="B204" s="12" t="s">
        <v>598</v>
      </c>
      <c r="C204" s="12" t="s">
        <v>1441</v>
      </c>
      <c r="D204" s="125">
        <v>46000000</v>
      </c>
      <c r="E204" s="125">
        <v>30179879.940000001</v>
      </c>
      <c r="F204" s="12">
        <v>36</v>
      </c>
      <c r="G204" s="12">
        <v>180</v>
      </c>
      <c r="H204" s="12">
        <v>0</v>
      </c>
      <c r="I204" s="13">
        <v>42541.563828900464</v>
      </c>
      <c r="J204" s="13">
        <v>43636</v>
      </c>
      <c r="K204" s="12" t="s">
        <v>44</v>
      </c>
      <c r="L204" s="12" t="s">
        <v>92</v>
      </c>
      <c r="M204" s="12" t="s">
        <v>26</v>
      </c>
      <c r="N204" s="12" t="s">
        <v>491</v>
      </c>
      <c r="O204" s="12"/>
      <c r="P204" s="12"/>
      <c r="Q204" s="12"/>
    </row>
    <row r="205" spans="1:17" x14ac:dyDescent="0.25">
      <c r="A205" s="11">
        <v>102671</v>
      </c>
      <c r="B205" s="12" t="s">
        <v>2280</v>
      </c>
      <c r="C205" s="12" t="s">
        <v>1449</v>
      </c>
      <c r="D205" s="125">
        <v>20000000</v>
      </c>
      <c r="E205" s="125">
        <v>8831587.9800000004</v>
      </c>
      <c r="F205" s="12">
        <v>48</v>
      </c>
      <c r="G205" s="12">
        <v>180</v>
      </c>
      <c r="H205" s="12">
        <v>0</v>
      </c>
      <c r="I205" s="13">
        <v>42541.662755983794</v>
      </c>
      <c r="J205" s="13">
        <v>43271</v>
      </c>
      <c r="K205" s="12" t="s">
        <v>44</v>
      </c>
      <c r="L205" s="12" t="s">
        <v>92</v>
      </c>
      <c r="M205" s="12" t="s">
        <v>92</v>
      </c>
      <c r="N205" s="12" t="s">
        <v>963</v>
      </c>
      <c r="O205" s="12"/>
      <c r="P205" s="12"/>
      <c r="Q205" s="12"/>
    </row>
    <row r="206" spans="1:17" x14ac:dyDescent="0.25">
      <c r="A206" s="11">
        <v>102672</v>
      </c>
      <c r="B206" s="12" t="s">
        <v>2294</v>
      </c>
      <c r="C206" s="12" t="s">
        <v>1449</v>
      </c>
      <c r="D206" s="125">
        <v>5000000</v>
      </c>
      <c r="E206" s="125">
        <v>1026841.7</v>
      </c>
      <c r="F206" s="12">
        <v>54</v>
      </c>
      <c r="G206" s="12">
        <v>180</v>
      </c>
      <c r="H206" s="12">
        <v>0</v>
      </c>
      <c r="I206" s="13">
        <v>42542.497367048614</v>
      </c>
      <c r="J206" s="13">
        <v>42907</v>
      </c>
      <c r="K206" s="12" t="s">
        <v>44</v>
      </c>
      <c r="L206" s="12" t="s">
        <v>92</v>
      </c>
      <c r="M206" s="12" t="s">
        <v>92</v>
      </c>
      <c r="N206" s="12" t="s">
        <v>2419</v>
      </c>
      <c r="O206" s="12"/>
      <c r="P206" s="12"/>
      <c r="Q206" s="12"/>
    </row>
    <row r="207" spans="1:17" x14ac:dyDescent="0.25">
      <c r="A207" s="11">
        <v>102675</v>
      </c>
      <c r="B207" s="12" t="s">
        <v>1359</v>
      </c>
      <c r="C207" s="12" t="s">
        <v>1449</v>
      </c>
      <c r="D207" s="125">
        <v>43000000</v>
      </c>
      <c r="E207" s="125">
        <v>34037614.799999997</v>
      </c>
      <c r="F207" s="12">
        <v>36</v>
      </c>
      <c r="G207" s="12">
        <v>180</v>
      </c>
      <c r="H207" s="12">
        <v>0</v>
      </c>
      <c r="I207" s="13">
        <v>42543.719333414352</v>
      </c>
      <c r="J207" s="13">
        <v>44004</v>
      </c>
      <c r="K207" s="12" t="s">
        <v>36</v>
      </c>
      <c r="L207" s="12" t="s">
        <v>97</v>
      </c>
      <c r="M207" s="12" t="s">
        <v>98</v>
      </c>
      <c r="N207" s="12" t="s">
        <v>1467</v>
      </c>
      <c r="O207" s="12"/>
      <c r="P207" s="12"/>
      <c r="Q207" s="12"/>
    </row>
    <row r="208" spans="1:17" x14ac:dyDescent="0.25">
      <c r="A208" s="11">
        <v>102677</v>
      </c>
      <c r="B208" s="12" t="s">
        <v>2308</v>
      </c>
      <c r="C208" s="12" t="s">
        <v>1449</v>
      </c>
      <c r="D208" s="125">
        <v>42000000</v>
      </c>
      <c r="E208" s="125">
        <v>30444560.640000001</v>
      </c>
      <c r="F208" s="12">
        <v>40</v>
      </c>
      <c r="G208" s="12">
        <v>180</v>
      </c>
      <c r="H208" s="12">
        <v>0</v>
      </c>
      <c r="I208" s="13">
        <v>42543.779445138891</v>
      </c>
      <c r="J208" s="13">
        <v>43760</v>
      </c>
      <c r="K208" s="12" t="s">
        <v>44</v>
      </c>
      <c r="L208" s="12" t="s">
        <v>75</v>
      </c>
      <c r="M208" s="12" t="s">
        <v>26</v>
      </c>
      <c r="N208" s="12" t="s">
        <v>86</v>
      </c>
      <c r="O208" s="12"/>
      <c r="P208" s="12"/>
      <c r="Q208" s="12"/>
    </row>
    <row r="209" spans="1:17" x14ac:dyDescent="0.25">
      <c r="A209" s="11">
        <v>102678</v>
      </c>
      <c r="B209" s="12" t="s">
        <v>2326</v>
      </c>
      <c r="C209" s="12" t="s">
        <v>1449</v>
      </c>
      <c r="D209" s="125">
        <v>25000000</v>
      </c>
      <c r="E209" s="125">
        <v>11039485.130000001</v>
      </c>
      <c r="F209" s="12">
        <v>48</v>
      </c>
      <c r="G209" s="12">
        <v>180</v>
      </c>
      <c r="H209" s="12">
        <v>0</v>
      </c>
      <c r="I209" s="13">
        <v>42544.500216585649</v>
      </c>
      <c r="J209" s="13">
        <v>43274</v>
      </c>
      <c r="K209" s="12" t="s">
        <v>43</v>
      </c>
      <c r="L209" s="12" t="s">
        <v>338</v>
      </c>
      <c r="M209" s="12" t="s">
        <v>339</v>
      </c>
      <c r="N209" s="12" t="s">
        <v>86</v>
      </c>
      <c r="O209" s="12"/>
      <c r="P209" s="12"/>
      <c r="Q209" s="12"/>
    </row>
    <row r="210" spans="1:17" x14ac:dyDescent="0.25">
      <c r="A210" s="11">
        <v>102679</v>
      </c>
      <c r="B210" s="12" t="s">
        <v>2325</v>
      </c>
      <c r="C210" s="12" t="s">
        <v>82</v>
      </c>
      <c r="D210" s="125">
        <v>45000000</v>
      </c>
      <c r="E210" s="125">
        <v>19059430.239999998</v>
      </c>
      <c r="F210" s="12">
        <v>40</v>
      </c>
      <c r="G210" s="12">
        <v>180</v>
      </c>
      <c r="H210" s="12">
        <v>0</v>
      </c>
      <c r="I210" s="13">
        <v>42544.64699212963</v>
      </c>
      <c r="J210" s="13">
        <v>43274</v>
      </c>
      <c r="K210" s="12" t="s">
        <v>37</v>
      </c>
      <c r="L210" s="12" t="s">
        <v>288</v>
      </c>
      <c r="M210" s="12" t="s">
        <v>1829</v>
      </c>
      <c r="N210" s="12" t="s">
        <v>86</v>
      </c>
      <c r="O210" s="12"/>
      <c r="P210" s="12"/>
      <c r="Q210" s="12"/>
    </row>
    <row r="211" spans="1:17" x14ac:dyDescent="0.25">
      <c r="A211" s="11">
        <v>102681</v>
      </c>
      <c r="B211" s="12" t="s">
        <v>1072</v>
      </c>
      <c r="C211" s="12" t="s">
        <v>1449</v>
      </c>
      <c r="D211" s="125">
        <v>45050000</v>
      </c>
      <c r="E211" s="125">
        <v>35774340.950000003</v>
      </c>
      <c r="F211" s="12">
        <v>36</v>
      </c>
      <c r="G211" s="12">
        <v>180</v>
      </c>
      <c r="H211" s="12">
        <v>0</v>
      </c>
      <c r="I211" s="13">
        <v>42545.381421412036</v>
      </c>
      <c r="J211" s="13">
        <v>44001</v>
      </c>
      <c r="K211" s="12" t="s">
        <v>25</v>
      </c>
      <c r="L211" s="12" t="s">
        <v>295</v>
      </c>
      <c r="M211" s="12" t="s">
        <v>26</v>
      </c>
      <c r="N211" s="12" t="s">
        <v>5167</v>
      </c>
      <c r="O211" s="12"/>
      <c r="P211" s="12"/>
      <c r="Q211" s="12"/>
    </row>
    <row r="212" spans="1:17" x14ac:dyDescent="0.25">
      <c r="A212" s="11">
        <v>102693</v>
      </c>
      <c r="B212" s="12" t="s">
        <v>2359</v>
      </c>
      <c r="C212" s="12" t="s">
        <v>1449</v>
      </c>
      <c r="D212" s="125">
        <v>10000000</v>
      </c>
      <c r="E212" s="125">
        <v>1742440.87</v>
      </c>
      <c r="F212" s="12">
        <v>54</v>
      </c>
      <c r="G212" s="12">
        <v>180</v>
      </c>
      <c r="H212" s="12">
        <v>0</v>
      </c>
      <c r="I212" s="13">
        <v>42550.383685104163</v>
      </c>
      <c r="J212" s="13">
        <v>43101</v>
      </c>
      <c r="K212" s="12" t="s">
        <v>25</v>
      </c>
      <c r="L212" s="12" t="s">
        <v>88</v>
      </c>
      <c r="M212" s="12" t="s">
        <v>26</v>
      </c>
      <c r="N212" s="12" t="s">
        <v>3074</v>
      </c>
      <c r="O212" s="12"/>
      <c r="P212" s="12"/>
      <c r="Q212" s="12"/>
    </row>
    <row r="213" spans="1:17" x14ac:dyDescent="0.25">
      <c r="A213" s="11">
        <v>102694</v>
      </c>
      <c r="B213" s="12" t="s">
        <v>2370</v>
      </c>
      <c r="C213" s="12" t="s">
        <v>82</v>
      </c>
      <c r="D213" s="125">
        <v>46000000</v>
      </c>
      <c r="E213" s="125">
        <v>19566770.960000001</v>
      </c>
      <c r="F213" s="12">
        <v>40</v>
      </c>
      <c r="G213" s="12">
        <v>180</v>
      </c>
      <c r="H213" s="12">
        <v>0</v>
      </c>
      <c r="I213" s="13">
        <v>42550.659041122686</v>
      </c>
      <c r="J213" s="13">
        <v>43284</v>
      </c>
      <c r="K213" s="12" t="s">
        <v>27</v>
      </c>
      <c r="L213" s="12" t="s">
        <v>81</v>
      </c>
      <c r="M213" s="12" t="s">
        <v>26</v>
      </c>
      <c r="N213" s="12" t="s">
        <v>468</v>
      </c>
      <c r="O213" s="12"/>
      <c r="P213" s="12"/>
      <c r="Q213" s="12"/>
    </row>
    <row r="214" spans="1:17" x14ac:dyDescent="0.25">
      <c r="A214" s="11">
        <v>102696</v>
      </c>
      <c r="B214" s="12" t="s">
        <v>2379</v>
      </c>
      <c r="C214" s="12" t="s">
        <v>1441</v>
      </c>
      <c r="D214" s="125">
        <v>25000000</v>
      </c>
      <c r="E214" s="125">
        <v>17522656.920000002</v>
      </c>
      <c r="F214" s="12">
        <v>40</v>
      </c>
      <c r="G214" s="12">
        <v>180</v>
      </c>
      <c r="H214" s="12">
        <v>0</v>
      </c>
      <c r="I214" s="13">
        <v>42551.073891319444</v>
      </c>
      <c r="J214" s="13">
        <v>43655</v>
      </c>
      <c r="K214" s="12" t="s">
        <v>42</v>
      </c>
      <c r="L214" s="12" t="s">
        <v>1244</v>
      </c>
      <c r="M214" s="12" t="s">
        <v>26</v>
      </c>
      <c r="N214" s="12" t="s">
        <v>1039</v>
      </c>
      <c r="O214" s="12"/>
      <c r="P214" s="12"/>
      <c r="Q214" s="12"/>
    </row>
    <row r="215" spans="1:17" x14ac:dyDescent="0.25">
      <c r="A215" s="11">
        <v>102698</v>
      </c>
      <c r="B215" s="12" t="s">
        <v>2380</v>
      </c>
      <c r="C215" s="12" t="s">
        <v>1441</v>
      </c>
      <c r="D215" s="125">
        <v>30100000</v>
      </c>
      <c r="E215" s="125">
        <v>17831541.02</v>
      </c>
      <c r="F215" s="12">
        <v>40</v>
      </c>
      <c r="G215" s="12">
        <v>180</v>
      </c>
      <c r="H215" s="12">
        <v>0</v>
      </c>
      <c r="I215" s="13">
        <v>42551.145418518521</v>
      </c>
      <c r="J215" s="13">
        <v>43472</v>
      </c>
      <c r="K215" s="12" t="s">
        <v>36</v>
      </c>
      <c r="L215" s="12" t="s">
        <v>1023</v>
      </c>
      <c r="M215" s="12" t="s">
        <v>26</v>
      </c>
      <c r="N215" s="12" t="s">
        <v>1447</v>
      </c>
      <c r="O215" s="12"/>
      <c r="P215" s="12"/>
      <c r="Q215" s="12"/>
    </row>
    <row r="216" spans="1:17" x14ac:dyDescent="0.25">
      <c r="A216" s="11">
        <v>102701</v>
      </c>
      <c r="B216" s="12" t="s">
        <v>2381</v>
      </c>
      <c r="C216" s="12" t="s">
        <v>1449</v>
      </c>
      <c r="D216" s="125">
        <v>46000000</v>
      </c>
      <c r="E216" s="125">
        <v>33157684.32</v>
      </c>
      <c r="F216" s="12">
        <v>40</v>
      </c>
      <c r="G216" s="12">
        <v>180</v>
      </c>
      <c r="H216" s="12">
        <v>0</v>
      </c>
      <c r="I216" s="13">
        <v>42551.364522303244</v>
      </c>
      <c r="J216" s="13">
        <v>43291</v>
      </c>
      <c r="K216" s="12" t="s">
        <v>37</v>
      </c>
      <c r="L216" s="12" t="s">
        <v>288</v>
      </c>
      <c r="M216" s="12" t="s">
        <v>1829</v>
      </c>
      <c r="N216" s="12" t="s">
        <v>5725</v>
      </c>
      <c r="O216" s="12"/>
      <c r="P216" s="12"/>
      <c r="Q216" s="12"/>
    </row>
    <row r="217" spans="1:17" x14ac:dyDescent="0.25">
      <c r="A217" s="11">
        <v>102703</v>
      </c>
      <c r="B217" s="12" t="s">
        <v>1167</v>
      </c>
      <c r="C217" s="12" t="s">
        <v>1449</v>
      </c>
      <c r="D217" s="125">
        <v>40000000</v>
      </c>
      <c r="E217" s="125">
        <v>15934664.880000001</v>
      </c>
      <c r="F217" s="12">
        <v>36</v>
      </c>
      <c r="G217" s="12">
        <v>180</v>
      </c>
      <c r="H217" s="12">
        <v>0</v>
      </c>
      <c r="I217" s="13">
        <v>42551.396343287037</v>
      </c>
      <c r="J217" s="13">
        <v>43647</v>
      </c>
      <c r="K217" s="12" t="s">
        <v>27</v>
      </c>
      <c r="L217" s="12" t="s">
        <v>116</v>
      </c>
      <c r="M217" s="12" t="s">
        <v>1825</v>
      </c>
      <c r="N217" s="12" t="s">
        <v>1039</v>
      </c>
      <c r="O217" s="12"/>
      <c r="P217" s="12"/>
      <c r="Q217" s="12"/>
    </row>
    <row r="218" spans="1:17" x14ac:dyDescent="0.25">
      <c r="A218" s="11">
        <v>102704</v>
      </c>
      <c r="B218" s="12" t="s">
        <v>125</v>
      </c>
      <c r="C218" s="12" t="s">
        <v>1441</v>
      </c>
      <c r="D218" s="125">
        <v>43957853.270000003</v>
      </c>
      <c r="E218" s="125">
        <v>35609189</v>
      </c>
      <c r="F218" s="12">
        <v>36</v>
      </c>
      <c r="G218" s="12">
        <v>180</v>
      </c>
      <c r="H218" s="12">
        <v>0</v>
      </c>
      <c r="I218" s="13">
        <v>42552.70148009259</v>
      </c>
      <c r="J218" s="13">
        <v>44017</v>
      </c>
      <c r="K218" s="12" t="s">
        <v>25</v>
      </c>
      <c r="L218" s="12" t="s">
        <v>88</v>
      </c>
      <c r="M218" s="12" t="s">
        <v>26</v>
      </c>
      <c r="N218" s="12" t="s">
        <v>86</v>
      </c>
      <c r="O218" s="12"/>
      <c r="P218" s="12"/>
      <c r="Q218" s="12"/>
    </row>
    <row r="219" spans="1:17" x14ac:dyDescent="0.25">
      <c r="A219" s="11">
        <v>102706</v>
      </c>
      <c r="B219" s="12" t="s">
        <v>2420</v>
      </c>
      <c r="C219" s="12" t="s">
        <v>1449</v>
      </c>
      <c r="D219" s="125">
        <v>17000000</v>
      </c>
      <c r="E219" s="125">
        <v>8290217.3399999999</v>
      </c>
      <c r="F219" s="12">
        <v>48</v>
      </c>
      <c r="G219" s="12">
        <v>180</v>
      </c>
      <c r="H219" s="12">
        <v>0</v>
      </c>
      <c r="I219" s="13">
        <v>42558.591984756946</v>
      </c>
      <c r="J219" s="13">
        <v>43288</v>
      </c>
      <c r="K219" s="12" t="s">
        <v>25</v>
      </c>
      <c r="L219" s="12" t="s">
        <v>290</v>
      </c>
      <c r="M219" s="12" t="s">
        <v>297</v>
      </c>
      <c r="N219" s="12" t="s">
        <v>1448</v>
      </c>
      <c r="O219" s="12"/>
      <c r="P219" s="12"/>
      <c r="Q219" s="12"/>
    </row>
    <row r="220" spans="1:17" x14ac:dyDescent="0.25">
      <c r="A220" s="11">
        <v>102712</v>
      </c>
      <c r="B220" s="12" t="s">
        <v>2429</v>
      </c>
      <c r="C220" s="12" t="s">
        <v>1441</v>
      </c>
      <c r="D220" s="125">
        <v>18000000</v>
      </c>
      <c r="E220" s="125">
        <v>8789130.75</v>
      </c>
      <c r="F220" s="12">
        <v>48</v>
      </c>
      <c r="G220" s="12">
        <v>180</v>
      </c>
      <c r="H220" s="12">
        <v>0</v>
      </c>
      <c r="I220" s="13">
        <v>42564.684344710651</v>
      </c>
      <c r="J220" s="13">
        <v>43295</v>
      </c>
      <c r="K220" s="12" t="s">
        <v>37</v>
      </c>
      <c r="L220" s="12" t="s">
        <v>38</v>
      </c>
      <c r="M220" s="12" t="s">
        <v>26</v>
      </c>
      <c r="N220" s="12" t="s">
        <v>86</v>
      </c>
      <c r="O220" s="12"/>
      <c r="P220" s="12"/>
      <c r="Q220" s="12"/>
    </row>
    <row r="221" spans="1:17" x14ac:dyDescent="0.25">
      <c r="A221" s="11">
        <v>102713</v>
      </c>
      <c r="B221" s="12" t="s">
        <v>759</v>
      </c>
      <c r="C221" s="12" t="s">
        <v>1449</v>
      </c>
      <c r="D221" s="125">
        <v>30000000</v>
      </c>
      <c r="E221" s="125">
        <v>12446913.1</v>
      </c>
      <c r="F221" s="12">
        <v>36</v>
      </c>
      <c r="G221" s="12">
        <v>180</v>
      </c>
      <c r="H221" s="12">
        <v>0</v>
      </c>
      <c r="I221" s="13">
        <v>42564.693873611111</v>
      </c>
      <c r="J221" s="13">
        <v>43295</v>
      </c>
      <c r="K221" s="12" t="s">
        <v>27</v>
      </c>
      <c r="L221" s="12" t="s">
        <v>116</v>
      </c>
      <c r="M221" s="12" t="s">
        <v>26</v>
      </c>
      <c r="N221" s="12" t="s">
        <v>491</v>
      </c>
      <c r="O221" s="12"/>
      <c r="P221" s="12"/>
      <c r="Q221" s="12"/>
    </row>
    <row r="222" spans="1:17" x14ac:dyDescent="0.25">
      <c r="A222" s="11">
        <v>102714</v>
      </c>
      <c r="B222" s="12" t="s">
        <v>2433</v>
      </c>
      <c r="C222" s="12" t="s">
        <v>1441</v>
      </c>
      <c r="D222" s="125">
        <v>35000000</v>
      </c>
      <c r="E222" s="125">
        <v>14839941.060000001</v>
      </c>
      <c r="F222" s="12">
        <v>40</v>
      </c>
      <c r="G222" s="12">
        <v>180</v>
      </c>
      <c r="H222" s="12">
        <v>0</v>
      </c>
      <c r="I222" s="13">
        <v>42564.702947187499</v>
      </c>
      <c r="J222" s="13">
        <v>43295</v>
      </c>
      <c r="K222" s="12" t="s">
        <v>25</v>
      </c>
      <c r="L222" s="12" t="s">
        <v>101</v>
      </c>
      <c r="M222" s="12" t="s">
        <v>95</v>
      </c>
      <c r="N222" s="12" t="s">
        <v>2175</v>
      </c>
      <c r="O222" s="12"/>
      <c r="P222" s="12"/>
      <c r="Q222" s="12"/>
    </row>
    <row r="223" spans="1:17" x14ac:dyDescent="0.25">
      <c r="A223" s="11">
        <v>102717</v>
      </c>
      <c r="B223" s="12" t="s">
        <v>364</v>
      </c>
      <c r="C223" s="12" t="s">
        <v>1449</v>
      </c>
      <c r="D223" s="125">
        <v>7000000</v>
      </c>
      <c r="E223" s="125">
        <v>26402.05</v>
      </c>
      <c r="F223" s="12">
        <v>48</v>
      </c>
      <c r="G223" s="12">
        <v>180</v>
      </c>
      <c r="H223" s="12">
        <v>0</v>
      </c>
      <c r="I223" s="13">
        <v>42566.624112268517</v>
      </c>
      <c r="J223" s="13">
        <v>42934</v>
      </c>
      <c r="K223" s="12" t="s">
        <v>25</v>
      </c>
      <c r="L223" s="12" t="s">
        <v>94</v>
      </c>
      <c r="M223" s="12" t="s">
        <v>26</v>
      </c>
      <c r="N223" s="12" t="s">
        <v>5725</v>
      </c>
      <c r="O223" s="12"/>
      <c r="P223" s="12"/>
      <c r="Q223" s="12"/>
    </row>
    <row r="224" spans="1:17" x14ac:dyDescent="0.25">
      <c r="A224" s="11">
        <v>102721</v>
      </c>
      <c r="B224" s="12" t="s">
        <v>1668</v>
      </c>
      <c r="C224" s="12" t="s">
        <v>1449</v>
      </c>
      <c r="D224" s="125">
        <v>6000000</v>
      </c>
      <c r="E224" s="125">
        <v>1205804.8700000001</v>
      </c>
      <c r="F224" s="12">
        <v>48</v>
      </c>
      <c r="G224" s="12">
        <v>180</v>
      </c>
      <c r="H224" s="12">
        <v>0</v>
      </c>
      <c r="I224" s="13">
        <v>42567.597271990744</v>
      </c>
      <c r="J224" s="13">
        <v>42932</v>
      </c>
      <c r="K224" s="12" t="s">
        <v>44</v>
      </c>
      <c r="L224" s="12" t="s">
        <v>75</v>
      </c>
      <c r="M224" s="12" t="s">
        <v>1442</v>
      </c>
      <c r="N224" s="12" t="s">
        <v>90</v>
      </c>
      <c r="O224" s="12"/>
      <c r="P224" s="12"/>
      <c r="Q224" s="12"/>
    </row>
    <row r="225" spans="1:17" x14ac:dyDescent="0.25">
      <c r="A225" s="11">
        <v>102722</v>
      </c>
      <c r="B225" s="12" t="s">
        <v>2439</v>
      </c>
      <c r="C225" s="12" t="s">
        <v>1449</v>
      </c>
      <c r="D225" s="125">
        <v>12000000</v>
      </c>
      <c r="E225" s="125">
        <v>4804821.63</v>
      </c>
      <c r="F225" s="12">
        <v>48</v>
      </c>
      <c r="G225" s="12">
        <v>180</v>
      </c>
      <c r="H225" s="12">
        <v>0</v>
      </c>
      <c r="I225" s="13">
        <v>42569.726373645834</v>
      </c>
      <c r="J225" s="13">
        <v>43026</v>
      </c>
      <c r="K225" s="12" t="s">
        <v>37</v>
      </c>
      <c r="L225" s="12" t="s">
        <v>288</v>
      </c>
      <c r="M225" s="12" t="s">
        <v>1313</v>
      </c>
      <c r="N225" s="12" t="s">
        <v>5725</v>
      </c>
      <c r="O225" s="12"/>
      <c r="P225" s="12"/>
      <c r="Q225" s="12"/>
    </row>
    <row r="226" spans="1:17" x14ac:dyDescent="0.25">
      <c r="A226" s="11">
        <v>102726</v>
      </c>
      <c r="B226" s="12" t="s">
        <v>2506</v>
      </c>
      <c r="C226" s="12" t="s">
        <v>1449</v>
      </c>
      <c r="D226" s="125">
        <v>35000000</v>
      </c>
      <c r="E226" s="125">
        <v>24348842.100000001</v>
      </c>
      <c r="F226" s="12">
        <v>40</v>
      </c>
      <c r="G226" s="12">
        <v>180</v>
      </c>
      <c r="H226" s="12">
        <v>0</v>
      </c>
      <c r="I226" s="13">
        <v>42571.776242210646</v>
      </c>
      <c r="J226" s="13">
        <v>43668</v>
      </c>
      <c r="K226" s="12" t="s">
        <v>45</v>
      </c>
      <c r="L226" s="12" t="s">
        <v>45</v>
      </c>
      <c r="M226" s="12" t="s">
        <v>1658</v>
      </c>
      <c r="N226" s="12" t="s">
        <v>1191</v>
      </c>
      <c r="O226" s="12"/>
      <c r="P226" s="12"/>
      <c r="Q226" s="12"/>
    </row>
    <row r="227" spans="1:17" x14ac:dyDescent="0.25">
      <c r="A227" s="11">
        <v>102728</v>
      </c>
      <c r="B227" s="12" t="s">
        <v>2513</v>
      </c>
      <c r="C227" s="12" t="s">
        <v>1449</v>
      </c>
      <c r="D227" s="125">
        <v>5000000</v>
      </c>
      <c r="E227" s="125">
        <v>524718.64</v>
      </c>
      <c r="F227" s="12">
        <v>54</v>
      </c>
      <c r="G227" s="12">
        <v>180</v>
      </c>
      <c r="H227" s="12">
        <v>0</v>
      </c>
      <c r="I227" s="13">
        <v>42572.520186770831</v>
      </c>
      <c r="J227" s="13">
        <v>42937</v>
      </c>
      <c r="K227" s="12" t="s">
        <v>45</v>
      </c>
      <c r="L227" s="12" t="s">
        <v>45</v>
      </c>
      <c r="M227" s="12" t="s">
        <v>89</v>
      </c>
      <c r="N227" s="12" t="s">
        <v>1448</v>
      </c>
      <c r="O227" s="12"/>
      <c r="P227" s="12"/>
      <c r="Q227" s="12"/>
    </row>
    <row r="228" spans="1:17" x14ac:dyDescent="0.25">
      <c r="A228" s="11">
        <v>102735</v>
      </c>
      <c r="B228" s="12" t="s">
        <v>2531</v>
      </c>
      <c r="C228" s="12" t="s">
        <v>1449</v>
      </c>
      <c r="D228" s="125">
        <v>36000000</v>
      </c>
      <c r="E228" s="125">
        <v>25860721.039999999</v>
      </c>
      <c r="F228" s="12">
        <v>40</v>
      </c>
      <c r="G228" s="12">
        <v>180</v>
      </c>
      <c r="H228" s="12">
        <v>0</v>
      </c>
      <c r="I228" s="13">
        <v>42576.56290138889</v>
      </c>
      <c r="J228" s="13">
        <v>43671</v>
      </c>
      <c r="K228" s="12" t="s">
        <v>44</v>
      </c>
      <c r="L228" s="12" t="s">
        <v>75</v>
      </c>
      <c r="M228" s="12" t="s">
        <v>26</v>
      </c>
      <c r="N228" s="12" t="s">
        <v>1191</v>
      </c>
      <c r="O228" s="12"/>
      <c r="P228" s="12"/>
      <c r="Q228" s="12"/>
    </row>
    <row r="229" spans="1:17" x14ac:dyDescent="0.25">
      <c r="A229" s="11">
        <v>102737</v>
      </c>
      <c r="B229" s="12" t="s">
        <v>664</v>
      </c>
      <c r="C229" s="12" t="s">
        <v>80</v>
      </c>
      <c r="D229" s="125">
        <v>33000000</v>
      </c>
      <c r="E229" s="125">
        <v>22356682.059999999</v>
      </c>
      <c r="F229" s="12">
        <v>36</v>
      </c>
      <c r="G229" s="12">
        <v>180</v>
      </c>
      <c r="H229" s="12">
        <v>0</v>
      </c>
      <c r="I229" s="13">
        <v>42577.617198148146</v>
      </c>
      <c r="J229" s="13">
        <v>43666</v>
      </c>
      <c r="K229" s="12" t="s">
        <v>44</v>
      </c>
      <c r="L229" s="12" t="s">
        <v>75</v>
      </c>
      <c r="M229" s="12" t="s">
        <v>26</v>
      </c>
      <c r="N229" s="12" t="s">
        <v>1447</v>
      </c>
      <c r="O229" s="12"/>
      <c r="P229" s="12"/>
      <c r="Q229" s="12"/>
    </row>
    <row r="230" spans="1:17" x14ac:dyDescent="0.25">
      <c r="A230" s="11">
        <v>102738</v>
      </c>
      <c r="B230" s="12" t="s">
        <v>2540</v>
      </c>
      <c r="C230" s="12" t="s">
        <v>1441</v>
      </c>
      <c r="D230" s="125">
        <v>15500000</v>
      </c>
      <c r="E230" s="125">
        <v>4501411.18</v>
      </c>
      <c r="F230" s="12">
        <v>48</v>
      </c>
      <c r="G230" s="12">
        <v>180</v>
      </c>
      <c r="H230" s="12">
        <v>0</v>
      </c>
      <c r="I230" s="13">
        <v>42577.712034340278</v>
      </c>
      <c r="J230" s="13">
        <v>43137</v>
      </c>
      <c r="K230" s="12" t="s">
        <v>37</v>
      </c>
      <c r="L230" s="12" t="s">
        <v>2192</v>
      </c>
      <c r="M230" s="12" t="s">
        <v>26</v>
      </c>
      <c r="N230" s="12" t="s">
        <v>1448</v>
      </c>
      <c r="O230" s="12"/>
      <c r="P230" s="12"/>
      <c r="Q230" s="12"/>
    </row>
    <row r="231" spans="1:17" x14ac:dyDescent="0.25">
      <c r="A231" s="11">
        <v>102741</v>
      </c>
      <c r="B231" s="12" t="s">
        <v>2558</v>
      </c>
      <c r="C231" s="12" t="s">
        <v>1441</v>
      </c>
      <c r="D231" s="125">
        <v>26000000</v>
      </c>
      <c r="E231" s="125">
        <v>5487555.21</v>
      </c>
      <c r="F231" s="12">
        <v>40</v>
      </c>
      <c r="G231" s="12">
        <v>180</v>
      </c>
      <c r="H231" s="12">
        <v>0</v>
      </c>
      <c r="I231" s="13">
        <v>42578.643912581021</v>
      </c>
      <c r="J231" s="13">
        <v>43132</v>
      </c>
      <c r="K231" s="12" t="s">
        <v>45</v>
      </c>
      <c r="L231" s="12" t="s">
        <v>45</v>
      </c>
      <c r="M231" s="12" t="s">
        <v>26</v>
      </c>
      <c r="N231" s="12" t="s">
        <v>491</v>
      </c>
      <c r="O231" s="12"/>
      <c r="P231" s="12"/>
      <c r="Q231" s="12"/>
    </row>
    <row r="232" spans="1:17" x14ac:dyDescent="0.25">
      <c r="A232" s="11">
        <v>102742</v>
      </c>
      <c r="B232" s="12" t="s">
        <v>2576</v>
      </c>
      <c r="C232" s="12" t="s">
        <v>80</v>
      </c>
      <c r="D232" s="125">
        <v>1500000</v>
      </c>
      <c r="E232" s="125">
        <v>309379.08</v>
      </c>
      <c r="F232" s="12">
        <v>54</v>
      </c>
      <c r="G232" s="12">
        <v>180</v>
      </c>
      <c r="H232" s="12">
        <v>0</v>
      </c>
      <c r="I232" s="13">
        <v>42579.529619988425</v>
      </c>
      <c r="J232" s="13">
        <v>42948</v>
      </c>
      <c r="K232" s="12" t="s">
        <v>29</v>
      </c>
      <c r="L232" s="12" t="s">
        <v>30</v>
      </c>
      <c r="M232" s="12" t="s">
        <v>1820</v>
      </c>
      <c r="N232" s="12" t="s">
        <v>1447</v>
      </c>
      <c r="O232" s="12"/>
      <c r="P232" s="12"/>
      <c r="Q232" s="12"/>
    </row>
    <row r="233" spans="1:17" x14ac:dyDescent="0.25">
      <c r="A233" s="11">
        <v>102743</v>
      </c>
      <c r="B233" s="12" t="s">
        <v>1163</v>
      </c>
      <c r="C233" s="12" t="s">
        <v>1449</v>
      </c>
      <c r="D233" s="125">
        <v>35000000</v>
      </c>
      <c r="E233" s="125">
        <v>27229000.399999999</v>
      </c>
      <c r="F233" s="12">
        <v>36</v>
      </c>
      <c r="G233" s="12">
        <v>180</v>
      </c>
      <c r="H233" s="12">
        <v>0</v>
      </c>
      <c r="I233" s="13">
        <v>42579.575141006942</v>
      </c>
      <c r="J233" s="13">
        <v>43678</v>
      </c>
      <c r="K233" s="12" t="s">
        <v>44</v>
      </c>
      <c r="L233" s="12" t="s">
        <v>75</v>
      </c>
      <c r="M233" s="12" t="s">
        <v>1442</v>
      </c>
      <c r="N233" s="12" t="s">
        <v>5724</v>
      </c>
      <c r="O233" s="12"/>
      <c r="P233" s="12"/>
      <c r="Q233" s="12"/>
    </row>
    <row r="234" spans="1:17" x14ac:dyDescent="0.25">
      <c r="A234" s="11">
        <v>102749</v>
      </c>
      <c r="B234" s="12" t="s">
        <v>2615</v>
      </c>
      <c r="C234" s="12" t="s">
        <v>1449</v>
      </c>
      <c r="D234" s="125">
        <v>8000000</v>
      </c>
      <c r="E234" s="125">
        <v>1410988.6</v>
      </c>
      <c r="F234" s="12">
        <v>54</v>
      </c>
      <c r="G234" s="12">
        <v>180</v>
      </c>
      <c r="H234" s="12">
        <v>0</v>
      </c>
      <c r="I234" s="13">
        <v>42581.595540312497</v>
      </c>
      <c r="J234" s="13">
        <v>43047</v>
      </c>
      <c r="K234" s="12" t="s">
        <v>44</v>
      </c>
      <c r="L234" s="12" t="s">
        <v>75</v>
      </c>
      <c r="M234" s="12" t="s">
        <v>26</v>
      </c>
      <c r="N234" s="12" t="s">
        <v>86</v>
      </c>
      <c r="O234" s="12"/>
      <c r="P234" s="12"/>
      <c r="Q234" s="12"/>
    </row>
    <row r="235" spans="1:17" x14ac:dyDescent="0.25">
      <c r="A235" s="11">
        <v>102752</v>
      </c>
      <c r="B235" s="12" t="s">
        <v>894</v>
      </c>
      <c r="C235" s="12" t="s">
        <v>80</v>
      </c>
      <c r="D235" s="125">
        <v>16500000</v>
      </c>
      <c r="E235" s="125">
        <v>7825722.2000000002</v>
      </c>
      <c r="F235" s="12">
        <v>42</v>
      </c>
      <c r="G235" s="12">
        <v>180</v>
      </c>
      <c r="H235" s="12">
        <v>0</v>
      </c>
      <c r="I235" s="13">
        <v>42581.587760960647</v>
      </c>
      <c r="J235" s="13">
        <v>43313</v>
      </c>
      <c r="K235" s="12" t="s">
        <v>44</v>
      </c>
      <c r="L235" s="12" t="s">
        <v>92</v>
      </c>
      <c r="M235" s="12" t="s">
        <v>26</v>
      </c>
      <c r="N235" s="12" t="s">
        <v>86</v>
      </c>
      <c r="O235" s="12"/>
      <c r="P235" s="12"/>
      <c r="Q235" s="12"/>
    </row>
    <row r="236" spans="1:17" x14ac:dyDescent="0.25">
      <c r="A236" s="11">
        <v>102753</v>
      </c>
      <c r="B236" s="12" t="s">
        <v>748</v>
      </c>
      <c r="C236" s="12" t="s">
        <v>1441</v>
      </c>
      <c r="D236" s="125">
        <v>15000000</v>
      </c>
      <c r="E236" s="125">
        <v>1298890.55</v>
      </c>
      <c r="F236" s="12">
        <v>48</v>
      </c>
      <c r="G236" s="12">
        <v>180</v>
      </c>
      <c r="H236" s="12">
        <v>0</v>
      </c>
      <c r="I236" s="13">
        <v>42581.697517592591</v>
      </c>
      <c r="J236" s="13">
        <v>43040</v>
      </c>
      <c r="K236" s="12" t="s">
        <v>44</v>
      </c>
      <c r="L236" s="12" t="s">
        <v>75</v>
      </c>
      <c r="M236" s="12" t="s">
        <v>26</v>
      </c>
      <c r="N236" s="12" t="s">
        <v>1448</v>
      </c>
      <c r="O236" s="12"/>
      <c r="P236" s="12"/>
      <c r="Q236" s="12"/>
    </row>
    <row r="237" spans="1:17" x14ac:dyDescent="0.25">
      <c r="A237" s="11">
        <v>102754</v>
      </c>
      <c r="B237" s="12" t="s">
        <v>895</v>
      </c>
      <c r="C237" s="12" t="s">
        <v>1441</v>
      </c>
      <c r="D237" s="125">
        <v>12000000</v>
      </c>
      <c r="E237" s="125">
        <v>4251163.26</v>
      </c>
      <c r="F237" s="12">
        <v>54</v>
      </c>
      <c r="G237" s="12">
        <v>180</v>
      </c>
      <c r="H237" s="12">
        <v>0</v>
      </c>
      <c r="I237" s="13">
        <v>42581.711515196759</v>
      </c>
      <c r="J237" s="13">
        <v>43133</v>
      </c>
      <c r="K237" s="12" t="s">
        <v>25</v>
      </c>
      <c r="L237" s="12" t="s">
        <v>88</v>
      </c>
      <c r="M237" s="12" t="s">
        <v>285</v>
      </c>
      <c r="N237" s="12" t="s">
        <v>963</v>
      </c>
      <c r="O237" s="12"/>
      <c r="P237" s="12"/>
      <c r="Q237" s="12"/>
    </row>
    <row r="238" spans="1:17" x14ac:dyDescent="0.25">
      <c r="A238" s="11">
        <v>102755</v>
      </c>
      <c r="B238" s="12" t="s">
        <v>474</v>
      </c>
      <c r="C238" s="12" t="s">
        <v>1441</v>
      </c>
      <c r="D238" s="125">
        <v>31000000</v>
      </c>
      <c r="E238" s="125">
        <v>21909314.940000001</v>
      </c>
      <c r="F238" s="12">
        <v>36</v>
      </c>
      <c r="G238" s="12">
        <v>180</v>
      </c>
      <c r="H238" s="12">
        <v>0</v>
      </c>
      <c r="I238" s="13">
        <v>42581.724880902781</v>
      </c>
      <c r="J238" s="13">
        <v>43678</v>
      </c>
      <c r="K238" s="12" t="s">
        <v>45</v>
      </c>
      <c r="L238" s="12" t="s">
        <v>45</v>
      </c>
      <c r="M238" s="12" t="s">
        <v>26</v>
      </c>
      <c r="N238" s="12" t="s">
        <v>468</v>
      </c>
      <c r="O238" s="12"/>
      <c r="P238" s="12"/>
      <c r="Q238" s="12"/>
    </row>
    <row r="239" spans="1:17" x14ac:dyDescent="0.25">
      <c r="A239" s="11">
        <v>102756</v>
      </c>
      <c r="B239" s="12" t="s">
        <v>2637</v>
      </c>
      <c r="C239" s="12" t="s">
        <v>1449</v>
      </c>
      <c r="D239" s="125">
        <v>5000000</v>
      </c>
      <c r="E239" s="125">
        <v>1507342.24</v>
      </c>
      <c r="F239" s="12">
        <v>54</v>
      </c>
      <c r="G239" s="12">
        <v>180</v>
      </c>
      <c r="H239" s="12">
        <v>0</v>
      </c>
      <c r="I239" s="13">
        <v>42584.494557557868</v>
      </c>
      <c r="J239" s="13">
        <v>42949</v>
      </c>
      <c r="K239" s="12" t="s">
        <v>25</v>
      </c>
      <c r="L239" s="12" t="s">
        <v>88</v>
      </c>
      <c r="M239" s="12" t="s">
        <v>285</v>
      </c>
      <c r="N239" s="12" t="s">
        <v>5726</v>
      </c>
      <c r="O239" s="12"/>
      <c r="P239" s="12"/>
      <c r="Q239" s="12"/>
    </row>
    <row r="240" spans="1:17" x14ac:dyDescent="0.25">
      <c r="A240" s="11">
        <v>102757</v>
      </c>
      <c r="B240" s="12" t="s">
        <v>2648</v>
      </c>
      <c r="C240" s="12" t="s">
        <v>1449</v>
      </c>
      <c r="D240" s="125">
        <v>13000000</v>
      </c>
      <c r="E240" s="125">
        <v>3884898.3</v>
      </c>
      <c r="F240" s="12">
        <v>54</v>
      </c>
      <c r="G240" s="12">
        <v>180</v>
      </c>
      <c r="H240" s="12">
        <v>0</v>
      </c>
      <c r="I240" s="13">
        <v>42586.573019594907</v>
      </c>
      <c r="J240" s="13">
        <v>43144</v>
      </c>
      <c r="K240" s="12" t="s">
        <v>44</v>
      </c>
      <c r="L240" s="12" t="s">
        <v>75</v>
      </c>
      <c r="M240" s="12" t="s">
        <v>1442</v>
      </c>
      <c r="N240" s="12" t="s">
        <v>1448</v>
      </c>
      <c r="O240" s="12"/>
      <c r="P240" s="12"/>
      <c r="Q240" s="12"/>
    </row>
    <row r="241" spans="1:17" x14ac:dyDescent="0.25">
      <c r="A241" s="11">
        <v>102759</v>
      </c>
      <c r="B241" s="12" t="s">
        <v>795</v>
      </c>
      <c r="C241" s="12" t="s">
        <v>1441</v>
      </c>
      <c r="D241" s="125">
        <v>40000000</v>
      </c>
      <c r="E241" s="125">
        <v>29032086</v>
      </c>
      <c r="F241" s="12">
        <v>36</v>
      </c>
      <c r="G241" s="12">
        <v>180</v>
      </c>
      <c r="H241" s="12">
        <v>0</v>
      </c>
      <c r="I241" s="13">
        <v>42587.395447187497</v>
      </c>
      <c r="J241" s="13">
        <v>43691</v>
      </c>
      <c r="K241" s="12" t="s">
        <v>25</v>
      </c>
      <c r="L241" s="12" t="s">
        <v>289</v>
      </c>
      <c r="M241" s="12" t="s">
        <v>26</v>
      </c>
      <c r="N241" s="12" t="s">
        <v>4684</v>
      </c>
      <c r="O241" s="12"/>
      <c r="P241" s="12"/>
      <c r="Q241" s="12"/>
    </row>
    <row r="242" spans="1:17" x14ac:dyDescent="0.25">
      <c r="A242" s="11">
        <v>102761</v>
      </c>
      <c r="B242" s="12" t="s">
        <v>767</v>
      </c>
      <c r="C242" s="12" t="s">
        <v>1441</v>
      </c>
      <c r="D242" s="125">
        <v>20000000</v>
      </c>
      <c r="E242" s="125">
        <v>10671998.07</v>
      </c>
      <c r="F242" s="12">
        <v>48</v>
      </c>
      <c r="G242" s="12">
        <v>180</v>
      </c>
      <c r="H242" s="12">
        <v>0</v>
      </c>
      <c r="I242" s="13">
        <v>42587.71225196759</v>
      </c>
      <c r="J242" s="13">
        <v>43322</v>
      </c>
      <c r="K242" s="12" t="s">
        <v>44</v>
      </c>
      <c r="L242" s="12" t="s">
        <v>92</v>
      </c>
      <c r="M242" s="12" t="s">
        <v>26</v>
      </c>
      <c r="N242" s="12" t="s">
        <v>1191</v>
      </c>
      <c r="O242" s="12"/>
      <c r="P242" s="12"/>
      <c r="Q242" s="12"/>
    </row>
    <row r="243" spans="1:17" x14ac:dyDescent="0.25">
      <c r="A243" s="11">
        <v>102765</v>
      </c>
      <c r="B243" s="12" t="s">
        <v>2659</v>
      </c>
      <c r="C243" s="12" t="s">
        <v>1441</v>
      </c>
      <c r="D243" s="125">
        <v>6000000</v>
      </c>
      <c r="E243" s="125">
        <v>425686.41</v>
      </c>
      <c r="F243" s="12">
        <v>50</v>
      </c>
      <c r="G243" s="12">
        <v>180</v>
      </c>
      <c r="H243" s="12">
        <v>0</v>
      </c>
      <c r="I243" s="13">
        <v>42590.682513657404</v>
      </c>
      <c r="J243" s="13">
        <v>42955</v>
      </c>
      <c r="K243" s="12" t="s">
        <v>27</v>
      </c>
      <c r="L243" s="12" t="s">
        <v>81</v>
      </c>
      <c r="M243" s="12"/>
      <c r="N243" s="12" t="s">
        <v>5725</v>
      </c>
      <c r="O243" s="12"/>
      <c r="P243" s="12"/>
      <c r="Q243" s="12"/>
    </row>
    <row r="244" spans="1:17" x14ac:dyDescent="0.25">
      <c r="A244" s="11">
        <v>102769</v>
      </c>
      <c r="B244" s="12" t="s">
        <v>2701</v>
      </c>
      <c r="C244" s="12" t="s">
        <v>80</v>
      </c>
      <c r="D244" s="125">
        <v>8000000</v>
      </c>
      <c r="E244" s="125">
        <v>5152490.5599999996</v>
      </c>
      <c r="F244" s="12">
        <v>50</v>
      </c>
      <c r="G244" s="12">
        <v>180</v>
      </c>
      <c r="H244" s="12">
        <v>0</v>
      </c>
      <c r="I244" s="13">
        <v>42595.561834108797</v>
      </c>
      <c r="J244" s="13">
        <v>43144</v>
      </c>
      <c r="K244" s="12" t="s">
        <v>44</v>
      </c>
      <c r="L244" s="12" t="s">
        <v>75</v>
      </c>
      <c r="M244" s="12" t="s">
        <v>26</v>
      </c>
      <c r="N244" s="12" t="s">
        <v>5725</v>
      </c>
      <c r="O244" s="12"/>
      <c r="P244" s="12"/>
      <c r="Q244" s="12"/>
    </row>
    <row r="245" spans="1:17" x14ac:dyDescent="0.25">
      <c r="A245" s="11">
        <v>102776</v>
      </c>
      <c r="B245" s="12" t="s">
        <v>823</v>
      </c>
      <c r="C245" s="12" t="s">
        <v>1449</v>
      </c>
      <c r="D245" s="125">
        <v>39000000</v>
      </c>
      <c r="E245" s="125">
        <v>17878010.98</v>
      </c>
      <c r="F245" s="12">
        <v>36</v>
      </c>
      <c r="G245" s="12">
        <v>180</v>
      </c>
      <c r="H245" s="12">
        <v>0</v>
      </c>
      <c r="I245" s="13">
        <v>42605.457988043985</v>
      </c>
      <c r="J245" s="13">
        <v>43332</v>
      </c>
      <c r="K245" s="12" t="s">
        <v>25</v>
      </c>
      <c r="L245" s="12" t="s">
        <v>101</v>
      </c>
      <c r="M245" s="12" t="s">
        <v>95</v>
      </c>
      <c r="N245" s="12" t="s">
        <v>86</v>
      </c>
      <c r="O245" s="12"/>
      <c r="P245" s="12"/>
      <c r="Q245" s="12"/>
    </row>
    <row r="246" spans="1:17" x14ac:dyDescent="0.25">
      <c r="A246" s="11">
        <v>102778</v>
      </c>
      <c r="B246" s="12" t="s">
        <v>2746</v>
      </c>
      <c r="C246" s="12" t="s">
        <v>1449</v>
      </c>
      <c r="D246" s="125">
        <v>12000000</v>
      </c>
      <c r="E246" s="125">
        <v>7282420.3399999999</v>
      </c>
      <c r="F246" s="12">
        <v>40</v>
      </c>
      <c r="G246" s="12">
        <v>180</v>
      </c>
      <c r="H246" s="12">
        <v>0</v>
      </c>
      <c r="I246" s="13">
        <v>42605.746936377313</v>
      </c>
      <c r="J246" s="13">
        <v>43335</v>
      </c>
      <c r="K246" s="12" t="s">
        <v>44</v>
      </c>
      <c r="L246" s="12" t="s">
        <v>75</v>
      </c>
      <c r="M246" s="12" t="s">
        <v>1442</v>
      </c>
      <c r="N246" s="12" t="s">
        <v>1447</v>
      </c>
      <c r="O246" s="12"/>
      <c r="P246" s="12"/>
      <c r="Q246" s="12"/>
    </row>
    <row r="247" spans="1:17" x14ac:dyDescent="0.25">
      <c r="A247" s="11">
        <v>102782</v>
      </c>
      <c r="B247" s="12" t="s">
        <v>1666</v>
      </c>
      <c r="C247" s="12" t="s">
        <v>1449</v>
      </c>
      <c r="D247" s="125">
        <v>11000000</v>
      </c>
      <c r="E247" s="125">
        <v>1877973.43</v>
      </c>
      <c r="F247" s="12">
        <v>48</v>
      </c>
      <c r="G247" s="12">
        <v>180</v>
      </c>
      <c r="H247" s="12">
        <v>0</v>
      </c>
      <c r="I247" s="13">
        <v>42608.746518171298</v>
      </c>
      <c r="J247" s="13">
        <v>43070</v>
      </c>
      <c r="K247" s="12" t="s">
        <v>27</v>
      </c>
      <c r="L247" s="12" t="s">
        <v>81</v>
      </c>
      <c r="M247" s="12" t="s">
        <v>26</v>
      </c>
      <c r="N247" s="12" t="s">
        <v>1667</v>
      </c>
      <c r="O247" s="12"/>
      <c r="P247" s="12"/>
      <c r="Q247" s="12"/>
    </row>
    <row r="248" spans="1:17" x14ac:dyDescent="0.25">
      <c r="A248" s="11">
        <v>102784</v>
      </c>
      <c r="B248" s="12" t="s">
        <v>151</v>
      </c>
      <c r="C248" s="12" t="s">
        <v>1441</v>
      </c>
      <c r="D248" s="125">
        <v>25000000</v>
      </c>
      <c r="E248" s="125">
        <v>16587575.98</v>
      </c>
      <c r="F248" s="12">
        <v>42</v>
      </c>
      <c r="G248" s="12">
        <v>180</v>
      </c>
      <c r="H248" s="12">
        <v>0</v>
      </c>
      <c r="I248" s="13">
        <v>42609.577209027775</v>
      </c>
      <c r="J248" s="13">
        <v>43529</v>
      </c>
      <c r="K248" s="12" t="s">
        <v>44</v>
      </c>
      <c r="L248" s="12" t="s">
        <v>75</v>
      </c>
      <c r="M248" s="12" t="s">
        <v>26</v>
      </c>
      <c r="N248" s="12" t="s">
        <v>86</v>
      </c>
      <c r="O248" s="12"/>
      <c r="P248" s="12"/>
      <c r="Q248" s="12"/>
    </row>
    <row r="249" spans="1:17" x14ac:dyDescent="0.25">
      <c r="A249" s="11">
        <v>102787</v>
      </c>
      <c r="B249" s="12" t="s">
        <v>1415</v>
      </c>
      <c r="C249" s="12" t="s">
        <v>1449</v>
      </c>
      <c r="D249" s="125">
        <v>39000000</v>
      </c>
      <c r="E249" s="125">
        <v>28551797.800000001</v>
      </c>
      <c r="F249" s="12">
        <v>36</v>
      </c>
      <c r="G249" s="12">
        <v>180</v>
      </c>
      <c r="H249" s="12">
        <v>0</v>
      </c>
      <c r="I249" s="13">
        <v>42612.443188310186</v>
      </c>
      <c r="J249" s="13">
        <v>43711</v>
      </c>
      <c r="K249" s="12" t="s">
        <v>42</v>
      </c>
      <c r="L249" s="12" t="s">
        <v>1244</v>
      </c>
      <c r="M249" s="12" t="s">
        <v>1813</v>
      </c>
      <c r="N249" s="12" t="s">
        <v>86</v>
      </c>
      <c r="O249" s="12"/>
      <c r="P249" s="12"/>
      <c r="Q249" s="12"/>
    </row>
    <row r="250" spans="1:17" x14ac:dyDescent="0.25">
      <c r="A250" s="11">
        <v>102788</v>
      </c>
      <c r="B250" s="12" t="s">
        <v>2806</v>
      </c>
      <c r="C250" s="12" t="s">
        <v>2807</v>
      </c>
      <c r="D250" s="125">
        <v>15000000</v>
      </c>
      <c r="E250" s="125">
        <v>9833312.0600000005</v>
      </c>
      <c r="F250" s="12">
        <v>40</v>
      </c>
      <c r="G250" s="12">
        <v>180</v>
      </c>
      <c r="H250" s="12">
        <v>0</v>
      </c>
      <c r="I250" s="13">
        <v>42612.494395057867</v>
      </c>
      <c r="J250" s="13">
        <v>43529</v>
      </c>
      <c r="K250" s="12" t="s">
        <v>25</v>
      </c>
      <c r="L250" s="12" t="s">
        <v>101</v>
      </c>
      <c r="M250" s="12" t="s">
        <v>26</v>
      </c>
      <c r="N250" s="12" t="s">
        <v>2175</v>
      </c>
      <c r="O250" s="12"/>
      <c r="P250" s="12"/>
      <c r="Q250" s="12"/>
    </row>
    <row r="251" spans="1:17" x14ac:dyDescent="0.25">
      <c r="A251" s="11">
        <v>102791</v>
      </c>
      <c r="B251" s="12" t="s">
        <v>2808</v>
      </c>
      <c r="C251" s="12" t="s">
        <v>2807</v>
      </c>
      <c r="D251" s="125">
        <v>3000000</v>
      </c>
      <c r="E251" s="125">
        <v>406767.94</v>
      </c>
      <c r="F251" s="12">
        <v>54</v>
      </c>
      <c r="G251" s="12">
        <v>180</v>
      </c>
      <c r="H251" s="12">
        <v>0</v>
      </c>
      <c r="I251" s="13">
        <v>42612.721365590274</v>
      </c>
      <c r="J251" s="13">
        <v>42981</v>
      </c>
      <c r="K251" s="12" t="s">
        <v>25</v>
      </c>
      <c r="L251" s="12" t="s">
        <v>26</v>
      </c>
      <c r="M251" s="12" t="s">
        <v>26</v>
      </c>
      <c r="N251" s="12" t="s">
        <v>2494</v>
      </c>
      <c r="O251" s="12"/>
      <c r="P251" s="12"/>
      <c r="Q251" s="12"/>
    </row>
    <row r="252" spans="1:17" x14ac:dyDescent="0.25">
      <c r="A252" s="11">
        <v>102793</v>
      </c>
      <c r="B252" s="12" t="s">
        <v>2831</v>
      </c>
      <c r="C252" s="12" t="s">
        <v>2832</v>
      </c>
      <c r="D252" s="125">
        <v>28000000</v>
      </c>
      <c r="E252" s="125">
        <v>14952391.619999999</v>
      </c>
      <c r="F252" s="12">
        <v>48</v>
      </c>
      <c r="G252" s="12">
        <v>180</v>
      </c>
      <c r="H252" s="12">
        <v>0</v>
      </c>
      <c r="I252" s="13">
        <v>42613.480887962964</v>
      </c>
      <c r="J252" s="13">
        <v>43346</v>
      </c>
      <c r="K252" s="12" t="s">
        <v>44</v>
      </c>
      <c r="L252" s="12" t="s">
        <v>75</v>
      </c>
      <c r="M252" s="12" t="s">
        <v>26</v>
      </c>
      <c r="N252" s="12" t="s">
        <v>1191</v>
      </c>
      <c r="O252" s="12"/>
      <c r="P252" s="12"/>
      <c r="Q252" s="12"/>
    </row>
    <row r="253" spans="1:17" x14ac:dyDescent="0.25">
      <c r="A253" s="11">
        <v>102795</v>
      </c>
      <c r="B253" s="12" t="s">
        <v>1239</v>
      </c>
      <c r="C253" s="12" t="s">
        <v>2807</v>
      </c>
      <c r="D253" s="125">
        <v>16000000</v>
      </c>
      <c r="E253" s="125">
        <v>13672713.18</v>
      </c>
      <c r="F253" s="12">
        <v>36</v>
      </c>
      <c r="G253" s="12">
        <v>180</v>
      </c>
      <c r="H253" s="12">
        <v>0</v>
      </c>
      <c r="I253" s="13">
        <v>42613.501085497686</v>
      </c>
      <c r="J253" s="13">
        <v>44079</v>
      </c>
      <c r="K253" s="12" t="s">
        <v>44</v>
      </c>
      <c r="L253" s="12" t="s">
        <v>75</v>
      </c>
      <c r="M253" s="12" t="s">
        <v>26</v>
      </c>
      <c r="N253" s="12" t="s">
        <v>491</v>
      </c>
      <c r="O253" s="12"/>
      <c r="P253" s="12"/>
      <c r="Q253" s="12"/>
    </row>
    <row r="254" spans="1:17" x14ac:dyDescent="0.25">
      <c r="A254" s="11">
        <v>102796</v>
      </c>
      <c r="B254" s="12" t="s">
        <v>2830</v>
      </c>
      <c r="C254" s="12" t="s">
        <v>2807</v>
      </c>
      <c r="D254" s="125">
        <v>3500000</v>
      </c>
      <c r="E254" s="125">
        <v>478281.87</v>
      </c>
      <c r="F254" s="12">
        <v>54</v>
      </c>
      <c r="G254" s="12">
        <v>180</v>
      </c>
      <c r="H254" s="12">
        <v>0</v>
      </c>
      <c r="I254" s="13">
        <v>42613.622245254628</v>
      </c>
      <c r="J254" s="13">
        <v>42981</v>
      </c>
      <c r="K254" s="12" t="s">
        <v>44</v>
      </c>
      <c r="L254" s="12" t="s">
        <v>75</v>
      </c>
      <c r="M254" s="12" t="s">
        <v>26</v>
      </c>
      <c r="N254" s="12" t="s">
        <v>468</v>
      </c>
      <c r="O254" s="12"/>
      <c r="P254" s="12"/>
      <c r="Q254" s="12"/>
    </row>
    <row r="255" spans="1:17" x14ac:dyDescent="0.25">
      <c r="A255" s="11">
        <v>102797</v>
      </c>
      <c r="B255" s="12" t="s">
        <v>2829</v>
      </c>
      <c r="C255" s="12" t="s">
        <v>2807</v>
      </c>
      <c r="D255" s="125">
        <v>1000000</v>
      </c>
      <c r="E255" s="125">
        <v>302766.58</v>
      </c>
      <c r="F255" s="12">
        <v>54</v>
      </c>
      <c r="G255" s="12">
        <v>180</v>
      </c>
      <c r="H255" s="12">
        <v>0</v>
      </c>
      <c r="I255" s="13">
        <v>42613.657020451392</v>
      </c>
      <c r="J255" s="13">
        <v>42981</v>
      </c>
      <c r="K255" s="12" t="s">
        <v>44</v>
      </c>
      <c r="L255" s="12" t="s">
        <v>75</v>
      </c>
      <c r="M255" s="12" t="s">
        <v>26</v>
      </c>
      <c r="N255" s="12" t="s">
        <v>86</v>
      </c>
      <c r="O255" s="12"/>
      <c r="P255" s="12"/>
      <c r="Q255" s="12"/>
    </row>
    <row r="256" spans="1:17" x14ac:dyDescent="0.25">
      <c r="A256" s="11">
        <v>102799</v>
      </c>
      <c r="B256" s="12" t="s">
        <v>2825</v>
      </c>
      <c r="C256" s="12" t="s">
        <v>1449</v>
      </c>
      <c r="D256" s="125">
        <v>2000000</v>
      </c>
      <c r="E256" s="125">
        <v>605533.28</v>
      </c>
      <c r="F256" s="12">
        <v>54</v>
      </c>
      <c r="G256" s="12">
        <v>180</v>
      </c>
      <c r="H256" s="12">
        <v>0</v>
      </c>
      <c r="I256" s="13">
        <v>42613.756618981482</v>
      </c>
      <c r="J256" s="13">
        <v>42981</v>
      </c>
      <c r="K256" s="12" t="s">
        <v>25</v>
      </c>
      <c r="L256" s="12" t="s">
        <v>286</v>
      </c>
      <c r="M256" s="12" t="s">
        <v>287</v>
      </c>
      <c r="N256" s="12" t="s">
        <v>5725</v>
      </c>
      <c r="O256" s="12"/>
      <c r="P256" s="12"/>
      <c r="Q256" s="12"/>
    </row>
    <row r="257" spans="1:17" x14ac:dyDescent="0.25">
      <c r="A257" s="11">
        <v>102801</v>
      </c>
      <c r="B257" s="12" t="s">
        <v>2852</v>
      </c>
      <c r="C257" s="12" t="s">
        <v>1449</v>
      </c>
      <c r="D257" s="125">
        <v>8000000</v>
      </c>
      <c r="E257" s="125">
        <v>4359233.2699999996</v>
      </c>
      <c r="F257" s="12">
        <v>40</v>
      </c>
      <c r="G257" s="12">
        <v>180</v>
      </c>
      <c r="H257" s="12">
        <v>0</v>
      </c>
      <c r="I257" s="13">
        <v>42614.517180937502</v>
      </c>
      <c r="J257" s="13">
        <v>43346</v>
      </c>
      <c r="K257" s="12" t="s">
        <v>25</v>
      </c>
      <c r="L257" s="12" t="s">
        <v>106</v>
      </c>
      <c r="M257" s="12" t="s">
        <v>704</v>
      </c>
      <c r="N257" s="12" t="s">
        <v>1467</v>
      </c>
      <c r="O257" s="12"/>
      <c r="P257" s="12"/>
      <c r="Q257" s="12"/>
    </row>
    <row r="258" spans="1:17" x14ac:dyDescent="0.25">
      <c r="A258" s="11">
        <v>102803</v>
      </c>
      <c r="B258" s="12" t="s">
        <v>84</v>
      </c>
      <c r="C258" s="12" t="s">
        <v>2807</v>
      </c>
      <c r="D258" s="125">
        <v>16000000</v>
      </c>
      <c r="E258" s="125">
        <v>8305057.8300000001</v>
      </c>
      <c r="F258" s="12">
        <v>42</v>
      </c>
      <c r="G258" s="12">
        <v>180</v>
      </c>
      <c r="H258" s="12">
        <v>0</v>
      </c>
      <c r="I258" s="13">
        <v>42616.578436493059</v>
      </c>
      <c r="J258" s="13">
        <v>43348</v>
      </c>
      <c r="K258" s="12" t="s">
        <v>25</v>
      </c>
      <c r="L258" s="12" t="s">
        <v>26</v>
      </c>
      <c r="M258" s="12" t="s">
        <v>26</v>
      </c>
      <c r="N258" s="12" t="s">
        <v>86</v>
      </c>
      <c r="O258" s="12"/>
      <c r="P258" s="12"/>
      <c r="Q258" s="12"/>
    </row>
    <row r="259" spans="1:17" x14ac:dyDescent="0.25">
      <c r="A259" s="11">
        <v>102807</v>
      </c>
      <c r="B259" s="12" t="s">
        <v>993</v>
      </c>
      <c r="C259" s="12" t="s">
        <v>80</v>
      </c>
      <c r="D259" s="125">
        <v>25000000</v>
      </c>
      <c r="E259" s="125">
        <v>18829491.420000002</v>
      </c>
      <c r="F259" s="12">
        <v>36</v>
      </c>
      <c r="G259" s="12">
        <v>180</v>
      </c>
      <c r="H259" s="12">
        <v>0</v>
      </c>
      <c r="I259" s="13">
        <v>42623.615724421295</v>
      </c>
      <c r="J259" s="13">
        <v>43718</v>
      </c>
      <c r="K259" s="12" t="s">
        <v>36</v>
      </c>
      <c r="L259" s="12" t="s">
        <v>97</v>
      </c>
      <c r="M259" s="12" t="s">
        <v>98</v>
      </c>
      <c r="N259" s="12" t="s">
        <v>491</v>
      </c>
      <c r="O259" s="12"/>
      <c r="P259" s="12"/>
      <c r="Q259" s="12"/>
    </row>
    <row r="260" spans="1:17" x14ac:dyDescent="0.25">
      <c r="A260" s="11">
        <v>102809</v>
      </c>
      <c r="B260" s="12" t="s">
        <v>2233</v>
      </c>
      <c r="C260" s="12" t="s">
        <v>1449</v>
      </c>
      <c r="D260" s="125">
        <v>16000000</v>
      </c>
      <c r="E260" s="125">
        <v>4587800.0999999996</v>
      </c>
      <c r="F260" s="12">
        <v>48</v>
      </c>
      <c r="G260" s="12">
        <v>180</v>
      </c>
      <c r="H260" s="12">
        <v>0</v>
      </c>
      <c r="I260" s="13">
        <v>42626.617915509261</v>
      </c>
      <c r="J260" s="13">
        <v>43172</v>
      </c>
      <c r="K260" s="12" t="s">
        <v>36</v>
      </c>
      <c r="L260" s="12" t="s">
        <v>97</v>
      </c>
      <c r="M260" s="12" t="s">
        <v>98</v>
      </c>
      <c r="N260" s="12" t="s">
        <v>468</v>
      </c>
      <c r="O260" s="12"/>
      <c r="P260" s="12"/>
      <c r="Q260" s="12"/>
    </row>
    <row r="261" spans="1:17" x14ac:dyDescent="0.25">
      <c r="A261" s="11">
        <v>102812</v>
      </c>
      <c r="B261" s="12" t="s">
        <v>2910</v>
      </c>
      <c r="C261" s="12" t="s">
        <v>82</v>
      </c>
      <c r="D261" s="125">
        <v>10000000</v>
      </c>
      <c r="E261" s="125">
        <v>5883846.4699999997</v>
      </c>
      <c r="F261" s="12">
        <v>54</v>
      </c>
      <c r="G261" s="12">
        <v>180</v>
      </c>
      <c r="H261" s="12">
        <v>0</v>
      </c>
      <c r="I261" s="13">
        <v>42628.641779942132</v>
      </c>
      <c r="J261" s="13">
        <v>43358</v>
      </c>
      <c r="K261" s="12" t="s">
        <v>36</v>
      </c>
      <c r="L261" s="12" t="s">
        <v>97</v>
      </c>
      <c r="M261" s="12" t="s">
        <v>98</v>
      </c>
      <c r="N261" s="12" t="s">
        <v>86</v>
      </c>
      <c r="O261" s="12"/>
      <c r="P261" s="12"/>
      <c r="Q261" s="12"/>
    </row>
    <row r="262" spans="1:17" x14ac:dyDescent="0.25">
      <c r="A262" s="11">
        <v>102813</v>
      </c>
      <c r="B262" s="12" t="s">
        <v>1563</v>
      </c>
      <c r="C262" s="12" t="s">
        <v>2807</v>
      </c>
      <c r="D262" s="125">
        <v>38000000</v>
      </c>
      <c r="E262" s="125">
        <v>32315820.850000001</v>
      </c>
      <c r="F262" s="12">
        <v>36</v>
      </c>
      <c r="G262" s="12">
        <v>180</v>
      </c>
      <c r="H262" s="12">
        <v>0</v>
      </c>
      <c r="I262" s="13">
        <v>42629.37976851852</v>
      </c>
      <c r="J262" s="13">
        <v>44090</v>
      </c>
      <c r="K262" s="12" t="s">
        <v>44</v>
      </c>
      <c r="L262" s="12" t="s">
        <v>75</v>
      </c>
      <c r="M262" s="12" t="s">
        <v>26</v>
      </c>
      <c r="N262" s="12" t="s">
        <v>546</v>
      </c>
      <c r="O262" s="12"/>
      <c r="P262" s="12"/>
      <c r="Q262" s="12"/>
    </row>
    <row r="263" spans="1:17" x14ac:dyDescent="0.25">
      <c r="A263" s="11">
        <v>102815</v>
      </c>
      <c r="B263" s="12" t="s">
        <v>2917</v>
      </c>
      <c r="C263" s="12" t="s">
        <v>82</v>
      </c>
      <c r="D263" s="125">
        <v>6000000</v>
      </c>
      <c r="E263" s="125">
        <v>1973998.11</v>
      </c>
      <c r="F263" s="12">
        <v>50</v>
      </c>
      <c r="G263" s="12">
        <v>180</v>
      </c>
      <c r="H263" s="12">
        <v>0</v>
      </c>
      <c r="I263" s="13">
        <v>42629.536900312502</v>
      </c>
      <c r="J263" s="13">
        <v>43085</v>
      </c>
      <c r="K263" s="12" t="s">
        <v>25</v>
      </c>
      <c r="L263" s="12" t="s">
        <v>103</v>
      </c>
      <c r="M263" s="12" t="s">
        <v>104</v>
      </c>
      <c r="N263" s="12" t="s">
        <v>1467</v>
      </c>
      <c r="O263" s="12"/>
      <c r="P263" s="12"/>
      <c r="Q263" s="12"/>
    </row>
    <row r="264" spans="1:17" x14ac:dyDescent="0.25">
      <c r="A264" s="11">
        <v>102820</v>
      </c>
      <c r="B264" s="12" t="s">
        <v>351</v>
      </c>
      <c r="C264" s="12" t="s">
        <v>82</v>
      </c>
      <c r="D264" s="125">
        <v>28000000</v>
      </c>
      <c r="E264" s="125">
        <v>21252828.609999999</v>
      </c>
      <c r="F264" s="12">
        <v>36</v>
      </c>
      <c r="G264" s="12">
        <v>180</v>
      </c>
      <c r="H264" s="12">
        <v>0</v>
      </c>
      <c r="I264" s="13">
        <v>42629.669620335648</v>
      </c>
      <c r="J264" s="13">
        <v>43732</v>
      </c>
      <c r="K264" s="12" t="s">
        <v>44</v>
      </c>
      <c r="L264" s="12" t="s">
        <v>75</v>
      </c>
      <c r="M264" s="12" t="s">
        <v>26</v>
      </c>
      <c r="N264" s="12" t="s">
        <v>1039</v>
      </c>
      <c r="O264" s="12"/>
      <c r="P264" s="12"/>
      <c r="Q264" s="12"/>
    </row>
    <row r="265" spans="1:17" x14ac:dyDescent="0.25">
      <c r="A265" s="11">
        <v>102824</v>
      </c>
      <c r="B265" s="12" t="s">
        <v>2928</v>
      </c>
      <c r="C265" s="12" t="s">
        <v>1449</v>
      </c>
      <c r="D265" s="125">
        <v>2500000</v>
      </c>
      <c r="E265" s="125">
        <v>737567.53</v>
      </c>
      <c r="F265" s="12">
        <v>54</v>
      </c>
      <c r="G265" s="12">
        <v>180</v>
      </c>
      <c r="H265" s="12">
        <v>0</v>
      </c>
      <c r="I265" s="13">
        <v>42632.60021689815</v>
      </c>
      <c r="J265" s="13">
        <v>43178</v>
      </c>
      <c r="K265" s="12" t="s">
        <v>44</v>
      </c>
      <c r="L265" s="12" t="s">
        <v>75</v>
      </c>
      <c r="M265" s="12" t="s">
        <v>1442</v>
      </c>
      <c r="N265" s="12" t="s">
        <v>2538</v>
      </c>
      <c r="O265" s="12"/>
      <c r="P265" s="12"/>
      <c r="Q265" s="12"/>
    </row>
    <row r="266" spans="1:17" x14ac:dyDescent="0.25">
      <c r="A266" s="11">
        <v>102828</v>
      </c>
      <c r="B266" s="12" t="s">
        <v>694</v>
      </c>
      <c r="C266" s="12" t="s">
        <v>1449</v>
      </c>
      <c r="D266" s="125">
        <v>25000000</v>
      </c>
      <c r="E266" s="125">
        <v>13029039.82</v>
      </c>
      <c r="F266" s="12">
        <v>42</v>
      </c>
      <c r="G266" s="12">
        <v>180</v>
      </c>
      <c r="H266" s="12">
        <v>0</v>
      </c>
      <c r="I266" s="13">
        <v>42633.671304826392</v>
      </c>
      <c r="J266" s="13">
        <v>43179</v>
      </c>
      <c r="K266" s="12" t="s">
        <v>25</v>
      </c>
      <c r="L266" s="12" t="s">
        <v>32</v>
      </c>
      <c r="M266" s="12" t="s">
        <v>517</v>
      </c>
      <c r="N266" s="12" t="s">
        <v>468</v>
      </c>
      <c r="O266" s="12"/>
      <c r="P266" s="12"/>
      <c r="Q266" s="12"/>
    </row>
    <row r="267" spans="1:17" x14ac:dyDescent="0.25">
      <c r="A267" s="11">
        <v>102835</v>
      </c>
      <c r="B267" s="12" t="s">
        <v>2942</v>
      </c>
      <c r="C267" s="12" t="s">
        <v>80</v>
      </c>
      <c r="D267" s="125">
        <v>38000000</v>
      </c>
      <c r="E267" s="125">
        <v>27303712.030000001</v>
      </c>
      <c r="F267" s="12">
        <v>40</v>
      </c>
      <c r="G267" s="12">
        <v>180</v>
      </c>
      <c r="H267" s="12">
        <v>0</v>
      </c>
      <c r="I267" s="13">
        <v>42637.580909259261</v>
      </c>
      <c r="J267" s="13">
        <v>43374</v>
      </c>
      <c r="K267" s="12" t="s">
        <v>45</v>
      </c>
      <c r="L267" s="12" t="s">
        <v>45</v>
      </c>
      <c r="M267" s="12" t="s">
        <v>89</v>
      </c>
      <c r="N267" s="12" t="s">
        <v>5724</v>
      </c>
      <c r="O267" s="12"/>
      <c r="P267" s="12"/>
      <c r="Q267" s="12"/>
    </row>
    <row r="268" spans="1:17" x14ac:dyDescent="0.25">
      <c r="A268" s="11">
        <v>102838</v>
      </c>
      <c r="B268" s="12" t="s">
        <v>3024</v>
      </c>
      <c r="C268" s="12" t="s">
        <v>2807</v>
      </c>
      <c r="D268" s="125">
        <v>17000000</v>
      </c>
      <c r="E268" s="125">
        <v>9805290.6500000004</v>
      </c>
      <c r="F268" s="12">
        <v>48</v>
      </c>
      <c r="G268" s="12">
        <v>180</v>
      </c>
      <c r="H268" s="12">
        <v>0</v>
      </c>
      <c r="I268" s="13">
        <v>42641.698485300927</v>
      </c>
      <c r="J268" s="13">
        <v>43374</v>
      </c>
      <c r="K268" s="12" t="s">
        <v>29</v>
      </c>
      <c r="L268" s="12" t="s">
        <v>96</v>
      </c>
      <c r="M268" s="12" t="s">
        <v>26</v>
      </c>
      <c r="N268" s="12" t="s">
        <v>2538</v>
      </c>
      <c r="O268" s="12"/>
      <c r="P268" s="12"/>
      <c r="Q268" s="12"/>
    </row>
    <row r="269" spans="1:17" x14ac:dyDescent="0.25">
      <c r="A269" s="11">
        <v>102841</v>
      </c>
      <c r="B269" s="12" t="s">
        <v>3052</v>
      </c>
      <c r="C269" s="12" t="s">
        <v>1449</v>
      </c>
      <c r="D269" s="125">
        <v>15000000</v>
      </c>
      <c r="E269" s="125">
        <v>1492287.63</v>
      </c>
      <c r="F269" s="12">
        <v>40</v>
      </c>
      <c r="G269" s="12">
        <v>180</v>
      </c>
      <c r="H269" s="12">
        <v>0</v>
      </c>
      <c r="I269" s="13">
        <v>42643.590179548613</v>
      </c>
      <c r="J269" s="13">
        <v>43011</v>
      </c>
      <c r="K269" s="12" t="s">
        <v>45</v>
      </c>
      <c r="L269" s="12" t="s">
        <v>45</v>
      </c>
      <c r="M269" s="12" t="s">
        <v>89</v>
      </c>
      <c r="N269" s="12" t="s">
        <v>491</v>
      </c>
      <c r="O269" s="12"/>
      <c r="P269" s="12"/>
      <c r="Q269" s="12"/>
    </row>
    <row r="270" spans="1:17" x14ac:dyDescent="0.25">
      <c r="A270" s="11">
        <v>102843</v>
      </c>
      <c r="B270" s="12" t="s">
        <v>3050</v>
      </c>
      <c r="C270" s="12" t="s">
        <v>82</v>
      </c>
      <c r="D270" s="125">
        <v>2500000</v>
      </c>
      <c r="E270" s="125">
        <v>226805.78</v>
      </c>
      <c r="F270" s="12">
        <v>54</v>
      </c>
      <c r="G270" s="12">
        <v>180</v>
      </c>
      <c r="H270" s="12">
        <v>0</v>
      </c>
      <c r="I270" s="13">
        <v>42643.759618668984</v>
      </c>
      <c r="J270" s="13">
        <v>43009</v>
      </c>
      <c r="K270" s="12" t="s">
        <v>44</v>
      </c>
      <c r="L270" s="12" t="s">
        <v>75</v>
      </c>
      <c r="M270" s="12" t="s">
        <v>26</v>
      </c>
      <c r="N270" s="12" t="s">
        <v>2034</v>
      </c>
      <c r="O270" s="12"/>
      <c r="P270" s="12"/>
      <c r="Q270" s="12"/>
    </row>
    <row r="271" spans="1:17" x14ac:dyDescent="0.25">
      <c r="A271" s="11">
        <v>102845</v>
      </c>
      <c r="B271" s="12" t="s">
        <v>3049</v>
      </c>
      <c r="C271" s="12" t="s">
        <v>1449</v>
      </c>
      <c r="D271" s="125">
        <v>12000000</v>
      </c>
      <c r="E271" s="125">
        <v>9202028.8800000008</v>
      </c>
      <c r="F271" s="12">
        <v>40</v>
      </c>
      <c r="G271" s="12">
        <v>180</v>
      </c>
      <c r="H271" s="12">
        <v>0</v>
      </c>
      <c r="I271" s="13">
        <v>42643.508438425924</v>
      </c>
      <c r="J271" s="13">
        <v>43741</v>
      </c>
      <c r="K271" s="12" t="s">
        <v>44</v>
      </c>
      <c r="L271" s="12" t="s">
        <v>75</v>
      </c>
      <c r="M271" s="12" t="s">
        <v>1442</v>
      </c>
      <c r="N271" s="12" t="s">
        <v>491</v>
      </c>
      <c r="O271" s="12"/>
      <c r="P271" s="12"/>
      <c r="Q271" s="12"/>
    </row>
    <row r="272" spans="1:17" x14ac:dyDescent="0.25">
      <c r="A272" s="11">
        <v>102848</v>
      </c>
      <c r="B272" s="12" t="s">
        <v>185</v>
      </c>
      <c r="C272" s="12" t="s">
        <v>1449</v>
      </c>
      <c r="D272" s="125">
        <v>65000000</v>
      </c>
      <c r="E272" s="125">
        <v>37664953.229999997</v>
      </c>
      <c r="F272" s="12">
        <v>36</v>
      </c>
      <c r="G272" s="12">
        <v>180</v>
      </c>
      <c r="H272" s="12">
        <v>0</v>
      </c>
      <c r="I272" s="13">
        <v>42648.49790667824</v>
      </c>
      <c r="J272" s="13">
        <v>43378</v>
      </c>
      <c r="K272" s="12" t="s">
        <v>27</v>
      </c>
      <c r="L272" s="12" t="s">
        <v>116</v>
      </c>
      <c r="M272" s="12" t="s">
        <v>26</v>
      </c>
      <c r="N272" s="12" t="s">
        <v>963</v>
      </c>
      <c r="O272" s="12"/>
      <c r="P272" s="12"/>
      <c r="Q272" s="12"/>
    </row>
    <row r="273" spans="1:17" x14ac:dyDescent="0.25">
      <c r="A273" s="11">
        <v>102849</v>
      </c>
      <c r="B273" s="12" t="s">
        <v>3103</v>
      </c>
      <c r="C273" s="12" t="s">
        <v>2807</v>
      </c>
      <c r="D273" s="125">
        <v>42000000</v>
      </c>
      <c r="E273" s="125">
        <v>23345107.75</v>
      </c>
      <c r="F273" s="12">
        <v>40</v>
      </c>
      <c r="G273" s="12">
        <v>180</v>
      </c>
      <c r="H273" s="12">
        <v>0</v>
      </c>
      <c r="I273" s="13">
        <v>42650.479875925928</v>
      </c>
      <c r="J273" s="13">
        <v>43380</v>
      </c>
      <c r="K273" s="12" t="s">
        <v>31</v>
      </c>
      <c r="L273" s="12" t="s">
        <v>509</v>
      </c>
      <c r="M273" s="12" t="s">
        <v>26</v>
      </c>
      <c r="N273" s="12" t="s">
        <v>2494</v>
      </c>
      <c r="O273" s="12"/>
      <c r="P273" s="12"/>
      <c r="Q273" s="12"/>
    </row>
    <row r="274" spans="1:17" x14ac:dyDescent="0.25">
      <c r="A274" s="11">
        <v>102850</v>
      </c>
      <c r="B274" s="12" t="s">
        <v>3102</v>
      </c>
      <c r="C274" s="12" t="s">
        <v>1449</v>
      </c>
      <c r="D274" s="125">
        <v>12000000</v>
      </c>
      <c r="E274" s="125">
        <v>3071598.41</v>
      </c>
      <c r="F274" s="12">
        <v>54</v>
      </c>
      <c r="G274" s="12">
        <v>180</v>
      </c>
      <c r="H274" s="12">
        <v>0</v>
      </c>
      <c r="I274" s="13">
        <v>42650.610318055558</v>
      </c>
      <c r="J274" s="13">
        <v>43107</v>
      </c>
      <c r="K274" s="12" t="s">
        <v>44</v>
      </c>
      <c r="L274" s="12" t="s">
        <v>75</v>
      </c>
      <c r="M274" s="12" t="s">
        <v>1442</v>
      </c>
      <c r="N274" s="12" t="s">
        <v>2494</v>
      </c>
      <c r="O274" s="12"/>
      <c r="P274" s="12"/>
      <c r="Q274" s="12"/>
    </row>
    <row r="275" spans="1:17" x14ac:dyDescent="0.25">
      <c r="A275" s="11">
        <v>102852</v>
      </c>
      <c r="B275" s="12" t="s">
        <v>1410</v>
      </c>
      <c r="C275" s="12" t="s">
        <v>2807</v>
      </c>
      <c r="D275" s="125">
        <v>4500000</v>
      </c>
      <c r="E275" s="125">
        <v>2353744.7999999998</v>
      </c>
      <c r="F275" s="12">
        <v>25</v>
      </c>
      <c r="G275" s="12">
        <v>180</v>
      </c>
      <c r="H275" s="12">
        <v>0</v>
      </c>
      <c r="I275" s="13">
        <v>42654.569900925926</v>
      </c>
      <c r="J275" s="13">
        <v>43393</v>
      </c>
      <c r="K275" s="12" t="s">
        <v>43</v>
      </c>
      <c r="L275" s="12" t="s">
        <v>338</v>
      </c>
      <c r="M275" s="12" t="s">
        <v>339</v>
      </c>
      <c r="N275" s="12" t="s">
        <v>284</v>
      </c>
      <c r="O275" s="12"/>
      <c r="P275" s="12"/>
      <c r="Q275" s="12"/>
    </row>
    <row r="276" spans="1:17" x14ac:dyDescent="0.25">
      <c r="A276" s="11">
        <v>102854</v>
      </c>
      <c r="B276" s="12" t="s">
        <v>926</v>
      </c>
      <c r="C276" s="12" t="s">
        <v>2807</v>
      </c>
      <c r="D276" s="125">
        <v>65000000</v>
      </c>
      <c r="E276" s="125">
        <v>48956677.560000002</v>
      </c>
      <c r="F276" s="12">
        <v>36</v>
      </c>
      <c r="G276" s="12">
        <v>180</v>
      </c>
      <c r="H276" s="12">
        <v>0</v>
      </c>
      <c r="I276" s="13">
        <v>42655.686754247683</v>
      </c>
      <c r="J276" s="13">
        <v>43750</v>
      </c>
      <c r="K276" s="12" t="s">
        <v>31</v>
      </c>
      <c r="L276" s="12" t="s">
        <v>26</v>
      </c>
      <c r="M276" s="12" t="s">
        <v>26</v>
      </c>
      <c r="N276" s="12" t="s">
        <v>90</v>
      </c>
      <c r="O276" s="12"/>
      <c r="P276" s="12"/>
      <c r="Q276" s="12"/>
    </row>
    <row r="277" spans="1:17" x14ac:dyDescent="0.25">
      <c r="A277" s="11">
        <v>102856</v>
      </c>
      <c r="B277" s="12" t="s">
        <v>974</v>
      </c>
      <c r="C277" s="12" t="s">
        <v>2807</v>
      </c>
      <c r="D277" s="125">
        <v>13000000</v>
      </c>
      <c r="E277" s="125">
        <v>9479857.4000000004</v>
      </c>
      <c r="F277" s="12">
        <v>48</v>
      </c>
      <c r="G277" s="12">
        <v>180</v>
      </c>
      <c r="H277" s="12">
        <v>0</v>
      </c>
      <c r="I277" s="13">
        <v>42658.427251504632</v>
      </c>
      <c r="J277" s="13">
        <v>43388</v>
      </c>
      <c r="K277" s="12" t="s">
        <v>44</v>
      </c>
      <c r="L277" s="12" t="s">
        <v>92</v>
      </c>
      <c r="M277" s="12" t="s">
        <v>26</v>
      </c>
      <c r="N277" s="12" t="s">
        <v>2538</v>
      </c>
      <c r="O277" s="12"/>
      <c r="P277" s="12"/>
      <c r="Q277" s="12"/>
    </row>
    <row r="278" spans="1:17" x14ac:dyDescent="0.25">
      <c r="A278" s="11">
        <v>102860</v>
      </c>
      <c r="B278" s="12" t="s">
        <v>1332</v>
      </c>
      <c r="C278" s="12" t="s">
        <v>1449</v>
      </c>
      <c r="D278" s="125">
        <v>45000000</v>
      </c>
      <c r="E278" s="125">
        <v>14011588.01</v>
      </c>
      <c r="F278" s="12">
        <v>36</v>
      </c>
      <c r="G278" s="12">
        <v>180</v>
      </c>
      <c r="H278" s="12">
        <v>0</v>
      </c>
      <c r="I278" s="13">
        <v>42663.545598645833</v>
      </c>
      <c r="J278" s="13">
        <v>43120</v>
      </c>
      <c r="K278" s="12" t="s">
        <v>25</v>
      </c>
      <c r="L278" s="12" t="s">
        <v>26</v>
      </c>
      <c r="M278" s="12" t="s">
        <v>26</v>
      </c>
      <c r="N278" s="12" t="s">
        <v>1039</v>
      </c>
      <c r="O278" s="12"/>
      <c r="P278" s="12"/>
      <c r="Q278" s="12"/>
    </row>
    <row r="279" spans="1:17" x14ac:dyDescent="0.25">
      <c r="A279" s="11">
        <v>102861</v>
      </c>
      <c r="B279" s="12" t="s">
        <v>3160</v>
      </c>
      <c r="C279" s="12" t="s">
        <v>2807</v>
      </c>
      <c r="D279" s="125">
        <v>20000000</v>
      </c>
      <c r="E279" s="125">
        <v>11942392.939999999</v>
      </c>
      <c r="F279" s="12">
        <v>40</v>
      </c>
      <c r="G279" s="12">
        <v>180</v>
      </c>
      <c r="H279" s="12">
        <v>0</v>
      </c>
      <c r="I279" s="13">
        <v>42663.599580520837</v>
      </c>
      <c r="J279" s="13">
        <v>43393</v>
      </c>
      <c r="K279" s="12" t="s">
        <v>37</v>
      </c>
      <c r="L279" s="12" t="s">
        <v>26</v>
      </c>
      <c r="M279" s="12" t="s">
        <v>26</v>
      </c>
      <c r="N279" s="12" t="s">
        <v>2175</v>
      </c>
      <c r="O279" s="12"/>
      <c r="P279" s="12"/>
      <c r="Q279" s="12"/>
    </row>
    <row r="280" spans="1:17" x14ac:dyDescent="0.25">
      <c r="A280" s="11">
        <v>102866</v>
      </c>
      <c r="B280" s="12" t="s">
        <v>181</v>
      </c>
      <c r="C280" s="12" t="s">
        <v>1449</v>
      </c>
      <c r="D280" s="125">
        <v>15500000</v>
      </c>
      <c r="E280" s="125">
        <v>12023537.32</v>
      </c>
      <c r="F280" s="12">
        <v>36</v>
      </c>
      <c r="G280" s="12">
        <v>180</v>
      </c>
      <c r="H280" s="12">
        <v>0</v>
      </c>
      <c r="I280" s="13">
        <v>42664.717809062502</v>
      </c>
      <c r="J280" s="13">
        <v>43759</v>
      </c>
      <c r="K280" s="12" t="s">
        <v>44</v>
      </c>
      <c r="L280" s="12" t="s">
        <v>75</v>
      </c>
      <c r="M280" s="12" t="s">
        <v>1442</v>
      </c>
      <c r="N280" s="12" t="s">
        <v>1448</v>
      </c>
      <c r="O280" s="12"/>
      <c r="P280" s="12"/>
      <c r="Q280" s="12"/>
    </row>
    <row r="281" spans="1:17" x14ac:dyDescent="0.25">
      <c r="A281" s="11">
        <v>102871</v>
      </c>
      <c r="B281" s="12" t="s">
        <v>1056</v>
      </c>
      <c r="C281" s="12" t="s">
        <v>2807</v>
      </c>
      <c r="D281" s="125">
        <v>46730398</v>
      </c>
      <c r="E281" s="125">
        <v>40965108.899999999</v>
      </c>
      <c r="F281" s="12">
        <v>36</v>
      </c>
      <c r="G281" s="12">
        <v>180</v>
      </c>
      <c r="H281" s="12">
        <v>0</v>
      </c>
      <c r="I281" s="13">
        <v>42667.551442280092</v>
      </c>
      <c r="J281" s="13">
        <v>44139</v>
      </c>
      <c r="K281" s="12" t="s">
        <v>25</v>
      </c>
      <c r="L281" s="12" t="s">
        <v>88</v>
      </c>
      <c r="M281" s="12" t="s">
        <v>26</v>
      </c>
      <c r="N281" s="12" t="s">
        <v>546</v>
      </c>
      <c r="O281" s="12"/>
      <c r="P281" s="12"/>
      <c r="Q281" s="12"/>
    </row>
    <row r="282" spans="1:17" x14ac:dyDescent="0.25">
      <c r="A282" s="11">
        <v>102872</v>
      </c>
      <c r="B282" s="12" t="s">
        <v>2307</v>
      </c>
      <c r="C282" s="12" t="s">
        <v>1449</v>
      </c>
      <c r="D282" s="125">
        <v>39962140</v>
      </c>
      <c r="E282" s="125">
        <v>33350739.02</v>
      </c>
      <c r="F282" s="12">
        <v>40</v>
      </c>
      <c r="G282" s="12">
        <v>180</v>
      </c>
      <c r="H282" s="12">
        <v>0</v>
      </c>
      <c r="I282" s="13">
        <v>42668.394561689813</v>
      </c>
      <c r="J282" s="13">
        <v>43773</v>
      </c>
      <c r="K282" s="12" t="s">
        <v>37</v>
      </c>
      <c r="L282" s="12" t="s">
        <v>288</v>
      </c>
      <c r="M282" s="12" t="s">
        <v>1829</v>
      </c>
      <c r="N282" s="12" t="s">
        <v>90</v>
      </c>
      <c r="O282" s="12"/>
      <c r="P282" s="12"/>
      <c r="Q282" s="12"/>
    </row>
    <row r="283" spans="1:17" x14ac:dyDescent="0.25">
      <c r="A283" s="11">
        <v>102874</v>
      </c>
      <c r="B283" s="12" t="s">
        <v>200</v>
      </c>
      <c r="C283" s="12" t="s">
        <v>1449</v>
      </c>
      <c r="D283" s="125">
        <v>15500000</v>
      </c>
      <c r="E283" s="125">
        <v>9327329.2699999996</v>
      </c>
      <c r="F283" s="12">
        <v>42</v>
      </c>
      <c r="G283" s="12">
        <v>180</v>
      </c>
      <c r="H283" s="12">
        <v>0</v>
      </c>
      <c r="I283" s="13">
        <v>42668.520148530093</v>
      </c>
      <c r="J283" s="13">
        <v>43398</v>
      </c>
      <c r="K283" s="12" t="s">
        <v>25</v>
      </c>
      <c r="L283" s="12" t="s">
        <v>26</v>
      </c>
      <c r="M283" s="12" t="s">
        <v>26</v>
      </c>
      <c r="N283" s="12" t="s">
        <v>1925</v>
      </c>
      <c r="O283" s="12"/>
      <c r="P283" s="12"/>
      <c r="Q283" s="12"/>
    </row>
    <row r="284" spans="1:17" x14ac:dyDescent="0.25">
      <c r="A284" s="11">
        <v>102877</v>
      </c>
      <c r="B284" s="12" t="s">
        <v>1188</v>
      </c>
      <c r="C284" s="12" t="s">
        <v>1449</v>
      </c>
      <c r="D284" s="125">
        <v>50000000</v>
      </c>
      <c r="E284" s="125">
        <v>39124507.549999997</v>
      </c>
      <c r="F284" s="12">
        <v>36</v>
      </c>
      <c r="G284" s="12">
        <v>180</v>
      </c>
      <c r="H284" s="12">
        <v>0</v>
      </c>
      <c r="I284" s="13">
        <v>42669.588513807874</v>
      </c>
      <c r="J284" s="13">
        <v>43774</v>
      </c>
      <c r="K284" s="12" t="s">
        <v>41</v>
      </c>
      <c r="L284" s="12" t="s">
        <v>1189</v>
      </c>
      <c r="M284" s="12" t="s">
        <v>1190</v>
      </c>
      <c r="N284" s="12" t="s">
        <v>1191</v>
      </c>
      <c r="O284" s="12"/>
      <c r="P284" s="12"/>
      <c r="Q284" s="12"/>
    </row>
    <row r="285" spans="1:17" x14ac:dyDescent="0.25">
      <c r="A285" s="11">
        <v>102878</v>
      </c>
      <c r="B285" s="12" t="s">
        <v>927</v>
      </c>
      <c r="C285" s="12" t="s">
        <v>2807</v>
      </c>
      <c r="D285" s="125">
        <v>12000000</v>
      </c>
      <c r="E285" s="125">
        <v>2423977.04</v>
      </c>
      <c r="F285" s="12">
        <v>48</v>
      </c>
      <c r="G285" s="12">
        <v>180</v>
      </c>
      <c r="H285" s="12">
        <v>0</v>
      </c>
      <c r="I285" s="13">
        <v>42670.607920833332</v>
      </c>
      <c r="J285" s="13">
        <v>43040</v>
      </c>
      <c r="K285" s="12" t="s">
        <v>25</v>
      </c>
      <c r="L285" s="12" t="s">
        <v>106</v>
      </c>
      <c r="M285" s="12" t="s">
        <v>26</v>
      </c>
      <c r="N285" s="12" t="s">
        <v>2855</v>
      </c>
      <c r="O285" s="12"/>
      <c r="P285" s="12"/>
      <c r="Q285" s="12"/>
    </row>
    <row r="286" spans="1:17" x14ac:dyDescent="0.25">
      <c r="A286" s="11">
        <v>102879</v>
      </c>
      <c r="B286" s="12" t="s">
        <v>1503</v>
      </c>
      <c r="C286" s="12" t="s">
        <v>1449</v>
      </c>
      <c r="D286" s="125">
        <v>65000000</v>
      </c>
      <c r="E286" s="125">
        <v>52044568.159999996</v>
      </c>
      <c r="F286" s="12">
        <v>36</v>
      </c>
      <c r="G286" s="12">
        <v>180</v>
      </c>
      <c r="H286" s="12">
        <v>0</v>
      </c>
      <c r="I286" s="13">
        <v>42670.619203553244</v>
      </c>
      <c r="J286" s="13">
        <v>43770</v>
      </c>
      <c r="K286" s="12" t="s">
        <v>44</v>
      </c>
      <c r="L286" s="12" t="s">
        <v>75</v>
      </c>
      <c r="M286" s="12" t="s">
        <v>26</v>
      </c>
      <c r="N286" s="12" t="s">
        <v>1039</v>
      </c>
      <c r="O286" s="12"/>
      <c r="P286" s="12"/>
      <c r="Q286" s="12"/>
    </row>
    <row r="287" spans="1:17" x14ac:dyDescent="0.25">
      <c r="A287" s="11">
        <v>102881</v>
      </c>
      <c r="B287" s="12" t="s">
        <v>3202</v>
      </c>
      <c r="C287" s="12" t="s">
        <v>2807</v>
      </c>
      <c r="D287" s="125">
        <v>20000000</v>
      </c>
      <c r="E287" s="125">
        <v>5119768.72</v>
      </c>
      <c r="F287" s="12">
        <v>42</v>
      </c>
      <c r="G287" s="12">
        <v>180</v>
      </c>
      <c r="H287" s="12">
        <v>0</v>
      </c>
      <c r="I287" s="13">
        <v>42671.498852118057</v>
      </c>
      <c r="J287" s="13">
        <v>43586</v>
      </c>
      <c r="K287" s="12" t="s">
        <v>27</v>
      </c>
      <c r="L287" s="12" t="s">
        <v>116</v>
      </c>
      <c r="M287" s="12" t="s">
        <v>26</v>
      </c>
      <c r="N287" s="12" t="s">
        <v>1191</v>
      </c>
      <c r="O287" s="12"/>
      <c r="P287" s="12"/>
      <c r="Q287" s="12"/>
    </row>
    <row r="288" spans="1:17" x14ac:dyDescent="0.25">
      <c r="A288" s="11">
        <v>102886</v>
      </c>
      <c r="B288" s="12" t="s">
        <v>1689</v>
      </c>
      <c r="C288" s="12" t="s">
        <v>2807</v>
      </c>
      <c r="D288" s="125">
        <v>10000000</v>
      </c>
      <c r="E288" s="125">
        <v>4551947.53</v>
      </c>
      <c r="F288" s="12">
        <v>36</v>
      </c>
      <c r="G288" s="12">
        <v>180</v>
      </c>
      <c r="H288" s="12">
        <v>0</v>
      </c>
      <c r="I288" s="13">
        <v>42672.573115127314</v>
      </c>
      <c r="J288" s="13">
        <v>43224</v>
      </c>
      <c r="K288" s="12" t="s">
        <v>44</v>
      </c>
      <c r="L288" s="12" t="s">
        <v>75</v>
      </c>
      <c r="M288" s="12" t="s">
        <v>26</v>
      </c>
      <c r="N288" s="12" t="s">
        <v>86</v>
      </c>
      <c r="O288" s="12"/>
      <c r="P288" s="12"/>
      <c r="Q288" s="12"/>
    </row>
    <row r="289" spans="1:17" x14ac:dyDescent="0.25">
      <c r="A289" s="11">
        <v>102889</v>
      </c>
      <c r="B289" s="12" t="s">
        <v>159</v>
      </c>
      <c r="C289" s="12" t="s">
        <v>2807</v>
      </c>
      <c r="D289" s="125">
        <v>25265064</v>
      </c>
      <c r="E289" s="125">
        <v>5228891.32</v>
      </c>
      <c r="F289" s="12">
        <v>42</v>
      </c>
      <c r="G289" s="12">
        <v>180</v>
      </c>
      <c r="H289" s="12">
        <v>0</v>
      </c>
      <c r="I289" s="13">
        <v>42674.520662071758</v>
      </c>
      <c r="J289" s="13">
        <v>43018</v>
      </c>
      <c r="K289" s="12" t="s">
        <v>37</v>
      </c>
      <c r="L289" s="12" t="s">
        <v>38</v>
      </c>
      <c r="M289" s="12" t="s">
        <v>26</v>
      </c>
      <c r="N289" s="12" t="s">
        <v>5725</v>
      </c>
      <c r="O289" s="12"/>
      <c r="P289" s="12"/>
      <c r="Q289" s="12"/>
    </row>
    <row r="290" spans="1:17" x14ac:dyDescent="0.25">
      <c r="A290" s="11">
        <v>102891</v>
      </c>
      <c r="B290" s="12" t="s">
        <v>690</v>
      </c>
      <c r="C290" s="12" t="s">
        <v>1449</v>
      </c>
      <c r="D290" s="125">
        <v>46000000</v>
      </c>
      <c r="E290" s="125">
        <v>35474895.289999999</v>
      </c>
      <c r="F290" s="12">
        <v>36</v>
      </c>
      <c r="G290" s="12">
        <v>180</v>
      </c>
      <c r="H290" s="12">
        <v>0</v>
      </c>
      <c r="I290" s="13">
        <v>42674.614062037035</v>
      </c>
      <c r="J290" s="13">
        <v>43762</v>
      </c>
      <c r="K290" s="12" t="s">
        <v>37</v>
      </c>
      <c r="L290" s="12" t="s">
        <v>288</v>
      </c>
      <c r="M290" s="12" t="s">
        <v>1313</v>
      </c>
      <c r="N290" s="12" t="s">
        <v>2855</v>
      </c>
      <c r="O290" s="12"/>
      <c r="P290" s="12"/>
      <c r="Q290" s="12"/>
    </row>
    <row r="291" spans="1:17" x14ac:dyDescent="0.25">
      <c r="A291" s="11">
        <v>102894</v>
      </c>
      <c r="B291" s="12" t="s">
        <v>1032</v>
      </c>
      <c r="C291" s="12" t="s">
        <v>2807</v>
      </c>
      <c r="D291" s="125">
        <v>58138700</v>
      </c>
      <c r="E291" s="125">
        <v>50479884.149999999</v>
      </c>
      <c r="F291" s="12">
        <v>36</v>
      </c>
      <c r="G291" s="12">
        <v>180</v>
      </c>
      <c r="H291" s="12">
        <v>0</v>
      </c>
      <c r="I291" s="13">
        <v>42674.689139780094</v>
      </c>
      <c r="J291" s="13">
        <v>44140</v>
      </c>
      <c r="K291" s="12" t="s">
        <v>36</v>
      </c>
      <c r="L291" s="12" t="s">
        <v>97</v>
      </c>
      <c r="M291" s="12" t="s">
        <v>98</v>
      </c>
      <c r="N291" s="12" t="s">
        <v>5167</v>
      </c>
      <c r="O291" s="12"/>
      <c r="P291" s="12"/>
      <c r="Q291" s="12"/>
    </row>
    <row r="292" spans="1:17" x14ac:dyDescent="0.25">
      <c r="A292" s="11">
        <v>102895</v>
      </c>
      <c r="B292" s="12" t="s">
        <v>1170</v>
      </c>
      <c r="C292" s="12" t="s">
        <v>1449</v>
      </c>
      <c r="D292" s="125">
        <v>25008925</v>
      </c>
      <c r="E292" s="125">
        <v>19418560.120000001</v>
      </c>
      <c r="F292" s="12">
        <v>36</v>
      </c>
      <c r="G292" s="12">
        <v>180</v>
      </c>
      <c r="H292" s="12">
        <v>0</v>
      </c>
      <c r="I292" s="13">
        <v>42674.712631099537</v>
      </c>
      <c r="J292" s="13">
        <v>43770</v>
      </c>
      <c r="K292" s="12" t="s">
        <v>44</v>
      </c>
      <c r="L292" s="12" t="s">
        <v>75</v>
      </c>
      <c r="M292" s="12" t="s">
        <v>1442</v>
      </c>
      <c r="N292" s="12" t="s">
        <v>86</v>
      </c>
      <c r="O292" s="12"/>
      <c r="P292" s="12"/>
      <c r="Q292" s="12"/>
    </row>
    <row r="293" spans="1:17" x14ac:dyDescent="0.25">
      <c r="A293" s="11">
        <v>102898</v>
      </c>
      <c r="B293" s="12" t="s">
        <v>1955</v>
      </c>
      <c r="C293" s="12" t="s">
        <v>1449</v>
      </c>
      <c r="D293" s="125">
        <v>65000000</v>
      </c>
      <c r="E293" s="125">
        <v>43397347.869999997</v>
      </c>
      <c r="F293" s="12">
        <v>36</v>
      </c>
      <c r="G293" s="12">
        <v>180</v>
      </c>
      <c r="H293" s="12">
        <v>0</v>
      </c>
      <c r="I293" s="13">
        <v>42674.837199421294</v>
      </c>
      <c r="J293" s="13">
        <v>43405</v>
      </c>
      <c r="K293" s="12" t="s">
        <v>25</v>
      </c>
      <c r="L293" s="12" t="s">
        <v>103</v>
      </c>
      <c r="M293" s="12" t="s">
        <v>104</v>
      </c>
      <c r="N293" s="12" t="s">
        <v>5725</v>
      </c>
      <c r="O293" s="12"/>
      <c r="P293" s="12"/>
      <c r="Q293" s="12"/>
    </row>
    <row r="294" spans="1:17" x14ac:dyDescent="0.25">
      <c r="A294" s="11">
        <v>102900</v>
      </c>
      <c r="B294" s="12" t="s">
        <v>3226</v>
      </c>
      <c r="C294" s="12" t="s">
        <v>1449</v>
      </c>
      <c r="D294" s="125">
        <v>20000000</v>
      </c>
      <c r="E294" s="125">
        <v>15742332.01</v>
      </c>
      <c r="F294" s="12">
        <v>40</v>
      </c>
      <c r="G294" s="12">
        <v>180</v>
      </c>
      <c r="H294" s="12">
        <v>0</v>
      </c>
      <c r="I294" s="13">
        <v>42674.865867476852</v>
      </c>
      <c r="J294" s="13">
        <v>43770</v>
      </c>
      <c r="K294" s="12" t="s">
        <v>44</v>
      </c>
      <c r="L294" s="12" t="s">
        <v>92</v>
      </c>
      <c r="M294" s="12" t="s">
        <v>26</v>
      </c>
      <c r="N294" s="12" t="s">
        <v>2494</v>
      </c>
      <c r="O294" s="12"/>
      <c r="P294" s="12"/>
      <c r="Q294" s="12"/>
    </row>
    <row r="295" spans="1:17" x14ac:dyDescent="0.25">
      <c r="A295" s="11">
        <v>102901</v>
      </c>
      <c r="B295" s="12" t="s">
        <v>3231</v>
      </c>
      <c r="C295" s="12" t="s">
        <v>2807</v>
      </c>
      <c r="D295" s="125">
        <v>13000000</v>
      </c>
      <c r="E295" s="125">
        <v>10232515.77</v>
      </c>
      <c r="F295" s="12">
        <v>40</v>
      </c>
      <c r="G295" s="12">
        <v>180</v>
      </c>
      <c r="H295" s="12">
        <v>0</v>
      </c>
      <c r="I295" s="13">
        <v>42674.895723530091</v>
      </c>
      <c r="J295" s="13">
        <v>43770</v>
      </c>
      <c r="K295" s="12" t="s">
        <v>44</v>
      </c>
      <c r="L295" s="12" t="s">
        <v>75</v>
      </c>
      <c r="M295" s="12" t="s">
        <v>26</v>
      </c>
      <c r="N295" s="12" t="s">
        <v>2494</v>
      </c>
      <c r="O295" s="12"/>
      <c r="P295" s="12"/>
      <c r="Q295" s="12"/>
    </row>
    <row r="296" spans="1:17" x14ac:dyDescent="0.25">
      <c r="A296" s="11">
        <v>102903</v>
      </c>
      <c r="B296" s="12" t="s">
        <v>3262</v>
      </c>
      <c r="C296" s="12" t="s">
        <v>1449</v>
      </c>
      <c r="D296" s="125">
        <v>20000000</v>
      </c>
      <c r="E296" s="125">
        <v>12893149.109999999</v>
      </c>
      <c r="F296" s="12">
        <v>48</v>
      </c>
      <c r="G296" s="12">
        <v>180</v>
      </c>
      <c r="H296" s="12">
        <v>0</v>
      </c>
      <c r="I296" s="13">
        <v>42676.695485613425</v>
      </c>
      <c r="J296" s="13">
        <v>43406</v>
      </c>
      <c r="K296" s="12" t="s">
        <v>25</v>
      </c>
      <c r="L296" s="12" t="s">
        <v>106</v>
      </c>
      <c r="M296" s="12" t="s">
        <v>704</v>
      </c>
      <c r="N296" s="12" t="s">
        <v>2855</v>
      </c>
      <c r="O296" s="12"/>
      <c r="P296" s="12"/>
      <c r="Q296" s="12"/>
    </row>
    <row r="297" spans="1:17" x14ac:dyDescent="0.25">
      <c r="A297" s="11">
        <v>102904</v>
      </c>
      <c r="B297" s="12" t="s">
        <v>3272</v>
      </c>
      <c r="C297" s="12" t="s">
        <v>2807</v>
      </c>
      <c r="D297" s="125">
        <v>6000000</v>
      </c>
      <c r="E297" s="125">
        <v>619690.30000000005</v>
      </c>
      <c r="F297" s="12">
        <v>50</v>
      </c>
      <c r="G297" s="12">
        <v>180</v>
      </c>
      <c r="H297" s="12">
        <v>0</v>
      </c>
      <c r="I297" s="13">
        <v>42677.695845682872</v>
      </c>
      <c r="J297" s="13">
        <v>43042</v>
      </c>
      <c r="K297" s="12" t="s">
        <v>31</v>
      </c>
      <c r="L297" s="12" t="s">
        <v>26</v>
      </c>
      <c r="M297" s="12" t="s">
        <v>26</v>
      </c>
      <c r="N297" s="12" t="s">
        <v>2494</v>
      </c>
      <c r="O297" s="12"/>
      <c r="P297" s="12"/>
      <c r="Q297" s="12"/>
    </row>
    <row r="298" spans="1:17" x14ac:dyDescent="0.25">
      <c r="A298" s="11">
        <v>102905</v>
      </c>
      <c r="B298" s="12" t="s">
        <v>3268</v>
      </c>
      <c r="C298" s="12" t="s">
        <v>1449</v>
      </c>
      <c r="D298" s="125">
        <v>5000000</v>
      </c>
      <c r="E298" s="125">
        <v>524718.64</v>
      </c>
      <c r="F298" s="12">
        <v>54</v>
      </c>
      <c r="G298" s="12">
        <v>180</v>
      </c>
      <c r="H298" s="12">
        <v>0</v>
      </c>
      <c r="I298" s="13">
        <v>42677.736543402774</v>
      </c>
      <c r="J298" s="13">
        <v>43042</v>
      </c>
      <c r="K298" s="12" t="s">
        <v>44</v>
      </c>
      <c r="L298" s="12" t="s">
        <v>75</v>
      </c>
      <c r="M298" s="12" t="s">
        <v>1442</v>
      </c>
      <c r="N298" s="12" t="s">
        <v>1191</v>
      </c>
      <c r="O298" s="12"/>
      <c r="P298" s="12"/>
      <c r="Q298" s="12"/>
    </row>
    <row r="299" spans="1:17" x14ac:dyDescent="0.25">
      <c r="A299" s="11">
        <v>102909</v>
      </c>
      <c r="B299" s="12" t="s">
        <v>1287</v>
      </c>
      <c r="C299" s="12" t="s">
        <v>1449</v>
      </c>
      <c r="D299" s="125">
        <v>61768300</v>
      </c>
      <c r="E299" s="125">
        <v>53372255.450000003</v>
      </c>
      <c r="F299" s="12">
        <v>36</v>
      </c>
      <c r="G299" s="12">
        <v>180</v>
      </c>
      <c r="H299" s="12">
        <v>0</v>
      </c>
      <c r="I299" s="13">
        <v>42679.558800775463</v>
      </c>
      <c r="J299" s="13">
        <v>44140</v>
      </c>
      <c r="K299" s="12" t="s">
        <v>44</v>
      </c>
      <c r="L299" s="12" t="s">
        <v>75</v>
      </c>
      <c r="M299" s="12" t="s">
        <v>1442</v>
      </c>
      <c r="N299" s="12" t="s">
        <v>1447</v>
      </c>
      <c r="O299" s="12"/>
      <c r="P299" s="12"/>
      <c r="Q299" s="12"/>
    </row>
    <row r="300" spans="1:17" x14ac:dyDescent="0.25">
      <c r="A300" s="11">
        <v>102916</v>
      </c>
      <c r="B300" s="12" t="s">
        <v>3331</v>
      </c>
      <c r="C300" s="12" t="s">
        <v>2807</v>
      </c>
      <c r="D300" s="125">
        <v>6000000</v>
      </c>
      <c r="E300" s="125">
        <v>438630.34</v>
      </c>
      <c r="F300" s="12">
        <v>44</v>
      </c>
      <c r="G300" s="12">
        <v>180</v>
      </c>
      <c r="H300" s="12">
        <v>0</v>
      </c>
      <c r="I300" s="13">
        <v>42685.65754039352</v>
      </c>
      <c r="J300" s="13">
        <v>43050</v>
      </c>
      <c r="K300" s="12" t="s">
        <v>44</v>
      </c>
      <c r="L300" s="12" t="s">
        <v>75</v>
      </c>
      <c r="M300" s="12" t="s">
        <v>26</v>
      </c>
      <c r="N300" s="12" t="s">
        <v>1448</v>
      </c>
      <c r="O300" s="12"/>
      <c r="P300" s="12"/>
      <c r="Q300" s="12"/>
    </row>
    <row r="301" spans="1:17" x14ac:dyDescent="0.25">
      <c r="A301" s="11">
        <v>102917</v>
      </c>
      <c r="B301" s="12" t="s">
        <v>890</v>
      </c>
      <c r="C301" s="12" t="s">
        <v>2807</v>
      </c>
      <c r="D301" s="125">
        <v>50000000</v>
      </c>
      <c r="E301" s="125">
        <v>39365416.740000002</v>
      </c>
      <c r="F301" s="12">
        <v>36</v>
      </c>
      <c r="G301" s="12">
        <v>180</v>
      </c>
      <c r="H301" s="12">
        <v>0</v>
      </c>
      <c r="I301" s="13">
        <v>42685.711265127313</v>
      </c>
      <c r="J301" s="13">
        <v>43781</v>
      </c>
      <c r="K301" s="12" t="s">
        <v>25</v>
      </c>
      <c r="L301" s="12" t="s">
        <v>26</v>
      </c>
      <c r="M301" s="12" t="s">
        <v>26</v>
      </c>
      <c r="N301" s="12" t="s">
        <v>546</v>
      </c>
      <c r="O301" s="12"/>
      <c r="P301" s="12"/>
      <c r="Q301" s="12"/>
    </row>
    <row r="302" spans="1:17" x14ac:dyDescent="0.25">
      <c r="A302" s="11">
        <v>102919</v>
      </c>
      <c r="B302" s="12" t="s">
        <v>3351</v>
      </c>
      <c r="C302" s="12" t="s">
        <v>1449</v>
      </c>
      <c r="D302" s="125">
        <v>4000000</v>
      </c>
      <c r="E302" s="125">
        <v>821473.39</v>
      </c>
      <c r="F302" s="12">
        <v>54</v>
      </c>
      <c r="G302" s="12">
        <v>180</v>
      </c>
      <c r="H302" s="12">
        <v>0</v>
      </c>
      <c r="I302" s="13">
        <v>42686.502644872686</v>
      </c>
      <c r="J302" s="13">
        <v>43051</v>
      </c>
      <c r="K302" s="12" t="s">
        <v>45</v>
      </c>
      <c r="L302" s="12" t="s">
        <v>45</v>
      </c>
      <c r="M302" s="12" t="s">
        <v>89</v>
      </c>
      <c r="N302" s="12" t="s">
        <v>5725</v>
      </c>
      <c r="O302" s="12"/>
      <c r="P302" s="12"/>
      <c r="Q302" s="12"/>
    </row>
    <row r="303" spans="1:17" x14ac:dyDescent="0.25">
      <c r="A303" s="11">
        <v>102923</v>
      </c>
      <c r="B303" s="12" t="s">
        <v>1527</v>
      </c>
      <c r="C303" s="12" t="s">
        <v>2807</v>
      </c>
      <c r="D303" s="125">
        <v>16000000</v>
      </c>
      <c r="E303" s="125">
        <v>9628210.9199999999</v>
      </c>
      <c r="F303" s="12">
        <v>42</v>
      </c>
      <c r="G303" s="12">
        <v>180</v>
      </c>
      <c r="H303" s="12">
        <v>0</v>
      </c>
      <c r="I303" s="13">
        <v>42688.730867858794</v>
      </c>
      <c r="J303" s="13">
        <v>43418</v>
      </c>
      <c r="K303" s="12" t="s">
        <v>25</v>
      </c>
      <c r="L303" s="12" t="s">
        <v>103</v>
      </c>
      <c r="M303" s="12" t="s">
        <v>104</v>
      </c>
      <c r="N303" s="12" t="s">
        <v>468</v>
      </c>
      <c r="O303" s="12"/>
      <c r="P303" s="12"/>
      <c r="Q303" s="12"/>
    </row>
    <row r="304" spans="1:17" x14ac:dyDescent="0.25">
      <c r="A304" s="11">
        <v>102926</v>
      </c>
      <c r="B304" s="12" t="s">
        <v>3373</v>
      </c>
      <c r="C304" s="12" t="s">
        <v>1449</v>
      </c>
      <c r="D304" s="125">
        <v>16000000</v>
      </c>
      <c r="E304" s="125">
        <v>3215479.8</v>
      </c>
      <c r="F304" s="12">
        <v>48</v>
      </c>
      <c r="G304" s="12">
        <v>180</v>
      </c>
      <c r="H304" s="12">
        <v>0</v>
      </c>
      <c r="I304" s="13">
        <v>42689.727213576392</v>
      </c>
      <c r="J304" s="13">
        <v>43054</v>
      </c>
      <c r="K304" s="12" t="s">
        <v>37</v>
      </c>
      <c r="L304" s="12" t="s">
        <v>38</v>
      </c>
      <c r="M304" s="12" t="s">
        <v>39</v>
      </c>
      <c r="N304" s="12" t="s">
        <v>2494</v>
      </c>
      <c r="O304" s="12"/>
      <c r="P304" s="12"/>
      <c r="Q304" s="12"/>
    </row>
    <row r="305" spans="1:17" x14ac:dyDescent="0.25">
      <c r="A305" s="11">
        <v>102928</v>
      </c>
      <c r="B305" s="12" t="s">
        <v>3385</v>
      </c>
      <c r="C305" s="12" t="s">
        <v>1449</v>
      </c>
      <c r="D305" s="125">
        <v>25000000</v>
      </c>
      <c r="E305" s="125">
        <v>20186644.280000001</v>
      </c>
      <c r="F305" s="12">
        <v>40</v>
      </c>
      <c r="G305" s="12">
        <v>180</v>
      </c>
      <c r="H305" s="12">
        <v>0</v>
      </c>
      <c r="I305" s="13">
        <v>42690.685126122684</v>
      </c>
      <c r="J305" s="13">
        <v>43785</v>
      </c>
      <c r="K305" s="12" t="s">
        <v>44</v>
      </c>
      <c r="L305" s="12" t="s">
        <v>75</v>
      </c>
      <c r="M305" s="12" t="s">
        <v>1442</v>
      </c>
      <c r="N305" s="12" t="s">
        <v>491</v>
      </c>
      <c r="O305" s="12"/>
      <c r="P305" s="12"/>
      <c r="Q305" s="12"/>
    </row>
    <row r="306" spans="1:17" x14ac:dyDescent="0.25">
      <c r="A306" s="11">
        <v>102929</v>
      </c>
      <c r="B306" s="12" t="s">
        <v>919</v>
      </c>
      <c r="C306" s="12" t="s">
        <v>2807</v>
      </c>
      <c r="D306" s="125">
        <v>65000000</v>
      </c>
      <c r="E306" s="125">
        <v>56164676.759999998</v>
      </c>
      <c r="F306" s="12">
        <v>36</v>
      </c>
      <c r="G306" s="12">
        <v>180</v>
      </c>
      <c r="H306" s="12">
        <v>0</v>
      </c>
      <c r="I306" s="13">
        <v>42691.430251157406</v>
      </c>
      <c r="J306" s="13">
        <v>44152</v>
      </c>
      <c r="K306" s="12" t="s">
        <v>44</v>
      </c>
      <c r="L306" s="12" t="s">
        <v>75</v>
      </c>
      <c r="M306" s="12" t="s">
        <v>26</v>
      </c>
      <c r="N306" s="12" t="s">
        <v>90</v>
      </c>
      <c r="O306" s="12"/>
      <c r="P306" s="12"/>
      <c r="Q306" s="12"/>
    </row>
    <row r="307" spans="1:17" x14ac:dyDescent="0.25">
      <c r="A307" s="11">
        <v>102932</v>
      </c>
      <c r="B307" s="12" t="s">
        <v>3393</v>
      </c>
      <c r="C307" s="12" t="s">
        <v>1449</v>
      </c>
      <c r="D307" s="125">
        <v>65000000</v>
      </c>
      <c r="E307" s="125">
        <v>50421285.609999999</v>
      </c>
      <c r="F307" s="12">
        <v>36</v>
      </c>
      <c r="G307" s="12">
        <v>180</v>
      </c>
      <c r="H307" s="12">
        <v>0</v>
      </c>
      <c r="I307" s="13">
        <v>42691.780292905096</v>
      </c>
      <c r="J307" s="13">
        <v>43786</v>
      </c>
      <c r="K307" s="12" t="s">
        <v>31</v>
      </c>
      <c r="L307" s="12" t="s">
        <v>298</v>
      </c>
      <c r="M307" s="12" t="s">
        <v>298</v>
      </c>
      <c r="N307" s="12" t="s">
        <v>86</v>
      </c>
      <c r="O307" s="12"/>
      <c r="P307" s="12"/>
      <c r="Q307" s="12"/>
    </row>
    <row r="308" spans="1:17" x14ac:dyDescent="0.25">
      <c r="A308" s="11">
        <v>102933</v>
      </c>
      <c r="B308" s="12" t="s">
        <v>79</v>
      </c>
      <c r="C308" s="12" t="s">
        <v>2807</v>
      </c>
      <c r="D308" s="125">
        <v>50000000</v>
      </c>
      <c r="E308" s="125">
        <v>35245210.909999996</v>
      </c>
      <c r="F308" s="12">
        <v>36</v>
      </c>
      <c r="G308" s="12">
        <v>180</v>
      </c>
      <c r="H308" s="12">
        <v>0</v>
      </c>
      <c r="I308" s="13">
        <v>42693.545957638889</v>
      </c>
      <c r="J308" s="13">
        <v>43423</v>
      </c>
      <c r="K308" s="12" t="s">
        <v>27</v>
      </c>
      <c r="L308" s="12" t="s">
        <v>116</v>
      </c>
      <c r="M308" s="12" t="s">
        <v>3426</v>
      </c>
      <c r="N308" s="12" t="s">
        <v>5725</v>
      </c>
      <c r="O308" s="12"/>
      <c r="P308" s="12"/>
      <c r="Q308" s="12"/>
    </row>
    <row r="309" spans="1:17" x14ac:dyDescent="0.25">
      <c r="A309" s="11">
        <v>102935</v>
      </c>
      <c r="B309" s="12" t="s">
        <v>1051</v>
      </c>
      <c r="C309" s="12" t="s">
        <v>1449</v>
      </c>
      <c r="D309" s="125">
        <v>20000000</v>
      </c>
      <c r="E309" s="125">
        <v>15951764.710000001</v>
      </c>
      <c r="F309" s="12">
        <v>36</v>
      </c>
      <c r="G309" s="12">
        <v>180</v>
      </c>
      <c r="H309" s="12">
        <v>0</v>
      </c>
      <c r="I309" s="13">
        <v>42695.465715706021</v>
      </c>
      <c r="J309" s="13">
        <v>43790</v>
      </c>
      <c r="K309" s="12" t="s">
        <v>36</v>
      </c>
      <c r="L309" s="12" t="s">
        <v>97</v>
      </c>
      <c r="M309" s="12" t="s">
        <v>98</v>
      </c>
      <c r="N309" s="12" t="s">
        <v>3074</v>
      </c>
      <c r="O309" s="12"/>
      <c r="P309" s="12"/>
      <c r="Q309" s="12"/>
    </row>
    <row r="310" spans="1:17" x14ac:dyDescent="0.25">
      <c r="A310" s="11">
        <v>102936</v>
      </c>
      <c r="B310" s="12" t="s">
        <v>3446</v>
      </c>
      <c r="C310" s="12" t="s">
        <v>2807</v>
      </c>
      <c r="D310" s="125">
        <v>3000000</v>
      </c>
      <c r="E310" s="125">
        <v>307362.03000000003</v>
      </c>
      <c r="F310" s="12">
        <v>48</v>
      </c>
      <c r="G310" s="12">
        <v>180</v>
      </c>
      <c r="H310" s="12">
        <v>0</v>
      </c>
      <c r="I310" s="13">
        <v>42696.624011689812</v>
      </c>
      <c r="J310" s="13">
        <v>43061</v>
      </c>
      <c r="K310" s="12" t="s">
        <v>44</v>
      </c>
      <c r="L310" s="12" t="s">
        <v>75</v>
      </c>
      <c r="M310" s="12" t="s">
        <v>26</v>
      </c>
      <c r="N310" s="12" t="s">
        <v>90</v>
      </c>
      <c r="O310" s="12"/>
      <c r="P310" s="12"/>
      <c r="Q310" s="12"/>
    </row>
    <row r="311" spans="1:17" x14ac:dyDescent="0.25">
      <c r="A311" s="11">
        <v>102937</v>
      </c>
      <c r="B311" s="12" t="s">
        <v>1446</v>
      </c>
      <c r="C311" s="12" t="s">
        <v>2807</v>
      </c>
      <c r="D311" s="125">
        <v>35000000</v>
      </c>
      <c r="E311" s="125">
        <v>21978832.079999998</v>
      </c>
      <c r="F311" s="12">
        <v>36</v>
      </c>
      <c r="G311" s="12">
        <v>180</v>
      </c>
      <c r="H311" s="12">
        <v>0</v>
      </c>
      <c r="I311" s="13">
        <v>42696.410496215278</v>
      </c>
      <c r="J311" s="13">
        <v>43426</v>
      </c>
      <c r="K311" s="12" t="s">
        <v>37</v>
      </c>
      <c r="L311" s="12" t="s">
        <v>288</v>
      </c>
      <c r="M311" s="12" t="s">
        <v>26</v>
      </c>
      <c r="N311" s="12" t="s">
        <v>86</v>
      </c>
      <c r="O311" s="12"/>
      <c r="P311" s="12"/>
      <c r="Q311" s="12"/>
    </row>
    <row r="312" spans="1:17" x14ac:dyDescent="0.25">
      <c r="A312" s="11">
        <v>102938</v>
      </c>
      <c r="B312" s="12" t="s">
        <v>1561</v>
      </c>
      <c r="C312" s="12" t="s">
        <v>2807</v>
      </c>
      <c r="D312" s="125">
        <v>65000000</v>
      </c>
      <c r="E312" s="125">
        <v>51843235.170000002</v>
      </c>
      <c r="F312" s="12">
        <v>36</v>
      </c>
      <c r="G312" s="12">
        <v>180</v>
      </c>
      <c r="H312" s="12">
        <v>0</v>
      </c>
      <c r="I312" s="13">
        <v>42696.446680520836</v>
      </c>
      <c r="J312" s="13">
        <v>43791</v>
      </c>
      <c r="K312" s="12" t="s">
        <v>44</v>
      </c>
      <c r="L312" s="12" t="s">
        <v>75</v>
      </c>
      <c r="M312" s="12" t="s">
        <v>26</v>
      </c>
      <c r="N312" s="12" t="s">
        <v>2855</v>
      </c>
      <c r="O312" s="12"/>
      <c r="P312" s="12"/>
      <c r="Q312" s="12"/>
    </row>
    <row r="313" spans="1:17" x14ac:dyDescent="0.25">
      <c r="A313" s="11">
        <v>102939</v>
      </c>
      <c r="B313" s="12" t="s">
        <v>1670</v>
      </c>
      <c r="C313" s="12" t="s">
        <v>1449</v>
      </c>
      <c r="D313" s="125">
        <v>31000000</v>
      </c>
      <c r="E313" s="125">
        <v>24047074.66</v>
      </c>
      <c r="F313" s="12">
        <v>36</v>
      </c>
      <c r="G313" s="12">
        <v>180</v>
      </c>
      <c r="H313" s="12">
        <v>0</v>
      </c>
      <c r="I313" s="13">
        <v>42696.639129594907</v>
      </c>
      <c r="J313" s="13">
        <v>43791</v>
      </c>
      <c r="K313" s="12" t="s">
        <v>45</v>
      </c>
      <c r="L313" s="12" t="s">
        <v>45</v>
      </c>
      <c r="M313" s="12" t="s">
        <v>89</v>
      </c>
      <c r="N313" s="12" t="s">
        <v>2538</v>
      </c>
      <c r="O313" s="12"/>
      <c r="P313" s="12"/>
      <c r="Q313" s="12"/>
    </row>
    <row r="314" spans="1:17" x14ac:dyDescent="0.25">
      <c r="A314" s="11">
        <v>102942</v>
      </c>
      <c r="B314" s="12" t="s">
        <v>1495</v>
      </c>
      <c r="C314" s="12" t="s">
        <v>2807</v>
      </c>
      <c r="D314" s="125">
        <v>30000000</v>
      </c>
      <c r="E314" s="125">
        <v>24368329.510000002</v>
      </c>
      <c r="F314" s="12">
        <v>42</v>
      </c>
      <c r="G314" s="12">
        <v>180</v>
      </c>
      <c r="H314" s="12">
        <v>0</v>
      </c>
      <c r="I314" s="13">
        <v>42698.645172337965</v>
      </c>
      <c r="J314" s="13">
        <v>43793</v>
      </c>
      <c r="K314" s="12" t="s">
        <v>25</v>
      </c>
      <c r="L314" s="12" t="s">
        <v>88</v>
      </c>
      <c r="M314" s="12" t="s">
        <v>26</v>
      </c>
      <c r="N314" s="12" t="s">
        <v>90</v>
      </c>
      <c r="O314" s="12"/>
      <c r="P314" s="12"/>
      <c r="Q314" s="12"/>
    </row>
    <row r="315" spans="1:17" x14ac:dyDescent="0.25">
      <c r="A315" s="11">
        <v>102944</v>
      </c>
      <c r="B315" s="12" t="s">
        <v>1119</v>
      </c>
      <c r="C315" s="12" t="s">
        <v>1449</v>
      </c>
      <c r="D315" s="125">
        <v>5000000</v>
      </c>
      <c r="E315" s="125">
        <v>524718.64</v>
      </c>
      <c r="F315" s="12">
        <v>54</v>
      </c>
      <c r="G315" s="12">
        <v>180</v>
      </c>
      <c r="H315" s="12">
        <v>0</v>
      </c>
      <c r="I315" s="13">
        <v>42698.594912384258</v>
      </c>
      <c r="J315" s="13">
        <v>43063</v>
      </c>
      <c r="K315" s="12" t="s">
        <v>44</v>
      </c>
      <c r="L315" s="12" t="s">
        <v>75</v>
      </c>
      <c r="M315" s="12" t="s">
        <v>1442</v>
      </c>
      <c r="N315" s="12" t="s">
        <v>2855</v>
      </c>
      <c r="O315" s="12"/>
      <c r="P315" s="12"/>
      <c r="Q315" s="12"/>
    </row>
    <row r="316" spans="1:17" x14ac:dyDescent="0.25">
      <c r="A316" s="11">
        <v>102945</v>
      </c>
      <c r="B316" s="12" t="s">
        <v>1022</v>
      </c>
      <c r="C316" s="12" t="s">
        <v>1449</v>
      </c>
      <c r="D316" s="125">
        <v>55000000</v>
      </c>
      <c r="E316" s="125">
        <v>43867352.810000002</v>
      </c>
      <c r="F316" s="12">
        <v>36</v>
      </c>
      <c r="G316" s="12">
        <v>180</v>
      </c>
      <c r="H316" s="12">
        <v>0</v>
      </c>
      <c r="I316" s="13">
        <v>42698.788664467589</v>
      </c>
      <c r="J316" s="13">
        <v>43793</v>
      </c>
      <c r="K316" s="12" t="s">
        <v>36</v>
      </c>
      <c r="L316" s="12" t="s">
        <v>3461</v>
      </c>
      <c r="M316" s="12" t="s">
        <v>3462</v>
      </c>
      <c r="N316" s="12" t="s">
        <v>468</v>
      </c>
      <c r="O316" s="12"/>
      <c r="P316" s="12"/>
      <c r="Q316" s="12"/>
    </row>
    <row r="317" spans="1:17" x14ac:dyDescent="0.25">
      <c r="A317" s="11">
        <v>102946</v>
      </c>
      <c r="B317" s="12" t="s">
        <v>776</v>
      </c>
      <c r="C317" s="12" t="s">
        <v>2807</v>
      </c>
      <c r="D317" s="125">
        <v>7000000</v>
      </c>
      <c r="E317" s="125">
        <v>723614.31</v>
      </c>
      <c r="F317" s="12">
        <v>48</v>
      </c>
      <c r="G317" s="12">
        <v>180</v>
      </c>
      <c r="H317" s="12">
        <v>0</v>
      </c>
      <c r="I317" s="13">
        <v>42699.590798611112</v>
      </c>
      <c r="J317" s="13">
        <v>43071</v>
      </c>
      <c r="K317" s="12" t="s">
        <v>25</v>
      </c>
      <c r="L317" s="12" t="s">
        <v>106</v>
      </c>
      <c r="M317" s="12" t="s">
        <v>26</v>
      </c>
      <c r="N317" s="12" t="s">
        <v>5167</v>
      </c>
      <c r="O317" s="12"/>
      <c r="P317" s="12"/>
      <c r="Q317" s="12"/>
    </row>
    <row r="318" spans="1:17" x14ac:dyDescent="0.25">
      <c r="A318" s="11">
        <v>102948</v>
      </c>
      <c r="B318" s="12" t="s">
        <v>457</v>
      </c>
      <c r="C318" s="12" t="s">
        <v>2807</v>
      </c>
      <c r="D318" s="125">
        <v>12000000</v>
      </c>
      <c r="E318" s="125">
        <v>3963617.78</v>
      </c>
      <c r="F318" s="12">
        <v>48</v>
      </c>
      <c r="G318" s="12">
        <v>180</v>
      </c>
      <c r="H318" s="12">
        <v>0</v>
      </c>
      <c r="I318" s="13">
        <v>42699.680538541666</v>
      </c>
      <c r="J318" s="13">
        <v>43161</v>
      </c>
      <c r="K318" s="12" t="s">
        <v>25</v>
      </c>
      <c r="L318" s="12" t="s">
        <v>88</v>
      </c>
      <c r="M318" s="12" t="s">
        <v>285</v>
      </c>
      <c r="N318" s="12" t="s">
        <v>963</v>
      </c>
      <c r="O318" s="12"/>
      <c r="P318" s="12"/>
      <c r="Q318" s="12"/>
    </row>
    <row r="319" spans="1:17" x14ac:dyDescent="0.25">
      <c r="A319" s="11">
        <v>102949</v>
      </c>
      <c r="B319" s="12" t="s">
        <v>3487</v>
      </c>
      <c r="C319" s="12" t="s">
        <v>1449</v>
      </c>
      <c r="D319" s="125">
        <v>65000000</v>
      </c>
      <c r="E319" s="125">
        <v>6510659.5899999999</v>
      </c>
      <c r="F319" s="12">
        <v>36</v>
      </c>
      <c r="G319" s="12">
        <v>180</v>
      </c>
      <c r="H319" s="12">
        <v>0</v>
      </c>
      <c r="I319" s="13">
        <v>42699.601465046297</v>
      </c>
      <c r="J319" s="13">
        <v>43064</v>
      </c>
      <c r="K319" s="12" t="s">
        <v>35</v>
      </c>
      <c r="L319" s="12" t="s">
        <v>26</v>
      </c>
      <c r="M319" s="12" t="s">
        <v>26</v>
      </c>
      <c r="N319" s="12" t="s">
        <v>2855</v>
      </c>
      <c r="O319" s="12"/>
      <c r="P319" s="12"/>
      <c r="Q319" s="12"/>
    </row>
    <row r="320" spans="1:17" x14ac:dyDescent="0.25">
      <c r="A320" s="11">
        <v>102950</v>
      </c>
      <c r="B320" s="12" t="s">
        <v>2164</v>
      </c>
      <c r="C320" s="12" t="s">
        <v>1449</v>
      </c>
      <c r="D320" s="125">
        <v>4435650</v>
      </c>
      <c r="E320" s="125">
        <v>907019.33</v>
      </c>
      <c r="F320" s="12">
        <v>54</v>
      </c>
      <c r="G320" s="12">
        <v>180</v>
      </c>
      <c r="H320" s="12">
        <v>0</v>
      </c>
      <c r="I320" s="13">
        <v>42702.384067974534</v>
      </c>
      <c r="J320" s="13">
        <v>43064</v>
      </c>
      <c r="K320" s="12" t="s">
        <v>27</v>
      </c>
      <c r="L320" s="12" t="s">
        <v>81</v>
      </c>
      <c r="M320" s="12" t="s">
        <v>26</v>
      </c>
      <c r="N320" s="12" t="s">
        <v>4684</v>
      </c>
      <c r="O320" s="12"/>
      <c r="P320" s="12"/>
      <c r="Q320" s="12"/>
    </row>
    <row r="321" spans="1:17" x14ac:dyDescent="0.25">
      <c r="A321" s="11">
        <v>102951</v>
      </c>
      <c r="B321" s="12" t="s">
        <v>651</v>
      </c>
      <c r="C321" s="12" t="s">
        <v>1449</v>
      </c>
      <c r="D321" s="125">
        <v>7000000</v>
      </c>
      <c r="E321" s="125">
        <v>1419397.29</v>
      </c>
      <c r="F321" s="12">
        <v>48</v>
      </c>
      <c r="G321" s="12">
        <v>180</v>
      </c>
      <c r="H321" s="12">
        <v>0</v>
      </c>
      <c r="I321" s="13">
        <v>42702.545250578703</v>
      </c>
      <c r="J321" s="13">
        <v>43074</v>
      </c>
      <c r="K321" s="12" t="s">
        <v>36</v>
      </c>
      <c r="L321" s="12" t="s">
        <v>118</v>
      </c>
      <c r="M321" s="12" t="s">
        <v>119</v>
      </c>
      <c r="N321" s="12" t="s">
        <v>3074</v>
      </c>
      <c r="O321" s="12"/>
      <c r="P321" s="12"/>
      <c r="Q321" s="12"/>
    </row>
    <row r="322" spans="1:17" x14ac:dyDescent="0.25">
      <c r="A322" s="11">
        <v>102954</v>
      </c>
      <c r="B322" s="12" t="s">
        <v>2135</v>
      </c>
      <c r="C322" s="12" t="s">
        <v>1449</v>
      </c>
      <c r="D322" s="125">
        <v>45000000</v>
      </c>
      <c r="E322" s="125">
        <v>28313369.27</v>
      </c>
      <c r="F322" s="12">
        <v>36</v>
      </c>
      <c r="G322" s="12">
        <v>180</v>
      </c>
      <c r="H322" s="12">
        <v>0</v>
      </c>
      <c r="I322" s="13">
        <v>42703.748234027778</v>
      </c>
      <c r="J322" s="13">
        <v>43435</v>
      </c>
      <c r="K322" s="12" t="s">
        <v>44</v>
      </c>
      <c r="L322" s="12" t="s">
        <v>75</v>
      </c>
      <c r="M322" s="12" t="s">
        <v>1442</v>
      </c>
      <c r="N322" s="12" t="s">
        <v>491</v>
      </c>
      <c r="O322" s="12"/>
      <c r="P322" s="12"/>
      <c r="Q322" s="12"/>
    </row>
    <row r="323" spans="1:17" x14ac:dyDescent="0.25">
      <c r="A323" s="11">
        <v>102955</v>
      </c>
      <c r="B323" s="12" t="s">
        <v>1558</v>
      </c>
      <c r="C323" s="12" t="s">
        <v>2807</v>
      </c>
      <c r="D323" s="125">
        <v>25000000</v>
      </c>
      <c r="E323" s="125">
        <v>15739148.41</v>
      </c>
      <c r="F323" s="12">
        <v>36</v>
      </c>
      <c r="G323" s="12">
        <v>180</v>
      </c>
      <c r="H323" s="12">
        <v>0</v>
      </c>
      <c r="I323" s="13">
        <v>42704.745354050923</v>
      </c>
      <c r="J323" s="13">
        <v>43436</v>
      </c>
      <c r="K323" s="12" t="s">
        <v>44</v>
      </c>
      <c r="L323" s="12" t="s">
        <v>75</v>
      </c>
      <c r="M323" s="12" t="s">
        <v>26</v>
      </c>
      <c r="N323" s="12" t="s">
        <v>1447</v>
      </c>
      <c r="O323" s="12"/>
      <c r="P323" s="12"/>
      <c r="Q323" s="12"/>
    </row>
    <row r="324" spans="1:17" x14ac:dyDescent="0.25">
      <c r="A324" s="11">
        <v>102957</v>
      </c>
      <c r="B324" s="12" t="s">
        <v>3608</v>
      </c>
      <c r="C324" s="12" t="s">
        <v>2807</v>
      </c>
      <c r="D324" s="125">
        <v>3500000</v>
      </c>
      <c r="E324" s="125">
        <v>367830.3</v>
      </c>
      <c r="F324" s="12">
        <v>54</v>
      </c>
      <c r="G324" s="12">
        <v>180</v>
      </c>
      <c r="H324" s="12">
        <v>0</v>
      </c>
      <c r="I324" s="13">
        <v>42705.715405752315</v>
      </c>
      <c r="J324" s="13">
        <v>43071</v>
      </c>
      <c r="K324" s="12" t="s">
        <v>25</v>
      </c>
      <c r="L324" s="12" t="s">
        <v>94</v>
      </c>
      <c r="M324" s="12" t="s">
        <v>1828</v>
      </c>
      <c r="N324" s="12" t="s">
        <v>1191</v>
      </c>
      <c r="O324" s="12"/>
      <c r="P324" s="12"/>
      <c r="Q324" s="12"/>
    </row>
    <row r="325" spans="1:17" x14ac:dyDescent="0.25">
      <c r="A325" s="11">
        <v>102960</v>
      </c>
      <c r="B325" s="12" t="s">
        <v>3554</v>
      </c>
      <c r="C325" s="12" t="s">
        <v>1449</v>
      </c>
      <c r="D325" s="125">
        <v>10000000</v>
      </c>
      <c r="E325" s="125">
        <v>1052449.93</v>
      </c>
      <c r="F325" s="12">
        <v>54</v>
      </c>
      <c r="G325" s="12">
        <v>180</v>
      </c>
      <c r="H325" s="12">
        <v>0</v>
      </c>
      <c r="I325" s="13">
        <v>42704.533907210651</v>
      </c>
      <c r="J325" s="13">
        <v>43071</v>
      </c>
      <c r="K325" s="12" t="s">
        <v>44</v>
      </c>
      <c r="L325" s="12" t="s">
        <v>75</v>
      </c>
      <c r="M325" s="12" t="s">
        <v>1442</v>
      </c>
      <c r="N325" s="12" t="s">
        <v>1447</v>
      </c>
      <c r="O325" s="12"/>
      <c r="P325" s="12"/>
      <c r="Q325" s="12"/>
    </row>
    <row r="326" spans="1:17" x14ac:dyDescent="0.25">
      <c r="A326" s="11">
        <v>102961</v>
      </c>
      <c r="B326" s="12" t="s">
        <v>3549</v>
      </c>
      <c r="C326" s="12" t="s">
        <v>2807</v>
      </c>
      <c r="D326" s="125">
        <v>6000000</v>
      </c>
      <c r="E326" s="125">
        <v>2867921.12</v>
      </c>
      <c r="F326" s="12">
        <v>50</v>
      </c>
      <c r="G326" s="12">
        <v>180</v>
      </c>
      <c r="H326" s="12">
        <v>0</v>
      </c>
      <c r="I326" s="13">
        <v>42704.698594525464</v>
      </c>
      <c r="J326" s="13">
        <v>43071</v>
      </c>
      <c r="K326" s="12" t="s">
        <v>25</v>
      </c>
      <c r="L326" s="12" t="s">
        <v>290</v>
      </c>
      <c r="M326" s="12" t="s">
        <v>26</v>
      </c>
      <c r="N326" s="12" t="s">
        <v>1039</v>
      </c>
      <c r="O326" s="12"/>
      <c r="P326" s="12"/>
      <c r="Q326" s="12"/>
    </row>
    <row r="327" spans="1:17" x14ac:dyDescent="0.25">
      <c r="A327" s="11">
        <v>102962</v>
      </c>
      <c r="B327" s="12" t="s">
        <v>492</v>
      </c>
      <c r="C327" s="12" t="s">
        <v>2807</v>
      </c>
      <c r="D327" s="125">
        <v>65000000</v>
      </c>
      <c r="E327" s="125">
        <v>52094901.259999998</v>
      </c>
      <c r="F327" s="12">
        <v>36</v>
      </c>
      <c r="G327" s="12">
        <v>180</v>
      </c>
      <c r="H327" s="12">
        <v>0</v>
      </c>
      <c r="I327" s="13">
        <v>42704.670561608793</v>
      </c>
      <c r="J327" s="13">
        <v>43804</v>
      </c>
      <c r="K327" s="12" t="s">
        <v>27</v>
      </c>
      <c r="L327" s="12" t="s">
        <v>116</v>
      </c>
      <c r="M327" s="12" t="s">
        <v>1825</v>
      </c>
      <c r="N327" s="12" t="s">
        <v>1191</v>
      </c>
      <c r="O327" s="12"/>
      <c r="P327" s="12"/>
      <c r="Q327" s="12"/>
    </row>
    <row r="328" spans="1:17" x14ac:dyDescent="0.25">
      <c r="A328" s="11">
        <v>102964</v>
      </c>
      <c r="B328" s="12" t="s">
        <v>3562</v>
      </c>
      <c r="C328" s="12" t="s">
        <v>1449</v>
      </c>
      <c r="D328" s="125">
        <v>20000000</v>
      </c>
      <c r="E328" s="125">
        <v>13115333.039999999</v>
      </c>
      <c r="F328" s="12">
        <v>48</v>
      </c>
      <c r="G328" s="12">
        <v>180</v>
      </c>
      <c r="H328" s="12">
        <v>0</v>
      </c>
      <c r="I328" s="13">
        <v>42704.93469707176</v>
      </c>
      <c r="J328" s="13">
        <v>43435</v>
      </c>
      <c r="K328" s="12" t="s">
        <v>28</v>
      </c>
      <c r="L328" s="12" t="s">
        <v>26</v>
      </c>
      <c r="M328" s="12" t="s">
        <v>26</v>
      </c>
      <c r="N328" s="12" t="s">
        <v>2494</v>
      </c>
      <c r="O328" s="12"/>
      <c r="P328" s="12"/>
      <c r="Q328" s="12"/>
    </row>
    <row r="329" spans="1:17" x14ac:dyDescent="0.25">
      <c r="A329" s="11">
        <v>102965</v>
      </c>
      <c r="B329" s="12" t="s">
        <v>3557</v>
      </c>
      <c r="C329" s="12" t="s">
        <v>1449</v>
      </c>
      <c r="D329" s="125">
        <v>12000000</v>
      </c>
      <c r="E329" s="125">
        <v>7661300.5300000003</v>
      </c>
      <c r="F329" s="12">
        <v>40</v>
      </c>
      <c r="G329" s="12">
        <v>180</v>
      </c>
      <c r="H329" s="12">
        <v>0</v>
      </c>
      <c r="I329" s="13">
        <v>42704.733085879627</v>
      </c>
      <c r="J329" s="13">
        <v>43436</v>
      </c>
      <c r="K329" s="12" t="s">
        <v>44</v>
      </c>
      <c r="L329" s="12" t="s">
        <v>75</v>
      </c>
      <c r="M329" s="12" t="s">
        <v>1442</v>
      </c>
      <c r="N329" s="12" t="s">
        <v>2494</v>
      </c>
      <c r="O329" s="12"/>
      <c r="P329" s="12"/>
      <c r="Q329" s="12"/>
    </row>
    <row r="330" spans="1:17" x14ac:dyDescent="0.25">
      <c r="A330" s="11">
        <v>102966</v>
      </c>
      <c r="B330" s="12" t="s">
        <v>3559</v>
      </c>
      <c r="C330" s="12" t="s">
        <v>2807</v>
      </c>
      <c r="D330" s="125">
        <v>45000000</v>
      </c>
      <c r="E330" s="125">
        <v>28313369.27</v>
      </c>
      <c r="F330" s="12">
        <v>36</v>
      </c>
      <c r="G330" s="12">
        <v>180</v>
      </c>
      <c r="H330" s="12">
        <v>0</v>
      </c>
      <c r="I330" s="13">
        <v>42704.840857754629</v>
      </c>
      <c r="J330" s="13">
        <v>43436</v>
      </c>
      <c r="K330" s="12" t="s">
        <v>44</v>
      </c>
      <c r="L330" s="12" t="s">
        <v>75</v>
      </c>
      <c r="M330" s="12" t="s">
        <v>26</v>
      </c>
      <c r="N330" s="12" t="s">
        <v>90</v>
      </c>
      <c r="O330" s="12"/>
      <c r="P330" s="12"/>
      <c r="Q330" s="12"/>
    </row>
    <row r="331" spans="1:17" x14ac:dyDescent="0.25">
      <c r="A331" s="11">
        <v>102969</v>
      </c>
      <c r="B331" s="12" t="s">
        <v>3548</v>
      </c>
      <c r="C331" s="12" t="s">
        <v>2807</v>
      </c>
      <c r="D331" s="125">
        <v>16000000</v>
      </c>
      <c r="E331" s="125">
        <v>10215067.34</v>
      </c>
      <c r="F331" s="12">
        <v>40</v>
      </c>
      <c r="G331" s="12">
        <v>180</v>
      </c>
      <c r="H331" s="12">
        <v>0</v>
      </c>
      <c r="I331" s="13">
        <v>42704.872326157405</v>
      </c>
      <c r="J331" s="13">
        <v>43436</v>
      </c>
      <c r="K331" s="12" t="s">
        <v>25</v>
      </c>
      <c r="L331" s="12" t="s">
        <v>32</v>
      </c>
      <c r="M331" s="12" t="s">
        <v>26</v>
      </c>
      <c r="N331" s="12" t="s">
        <v>468</v>
      </c>
      <c r="O331" s="12"/>
      <c r="P331" s="12"/>
      <c r="Q331" s="12"/>
    </row>
    <row r="332" spans="1:17" x14ac:dyDescent="0.25">
      <c r="A332" s="11">
        <v>102970</v>
      </c>
      <c r="B332" s="12" t="s">
        <v>192</v>
      </c>
      <c r="C332" s="12" t="s">
        <v>2807</v>
      </c>
      <c r="D332" s="125">
        <v>12000000</v>
      </c>
      <c r="E332" s="125">
        <v>1358781.2</v>
      </c>
      <c r="F332" s="12">
        <v>48</v>
      </c>
      <c r="G332" s="12">
        <v>180</v>
      </c>
      <c r="H332" s="12">
        <v>0</v>
      </c>
      <c r="I332" s="13">
        <v>42704.926051736111</v>
      </c>
      <c r="J332" s="13">
        <v>43071</v>
      </c>
      <c r="K332" s="12" t="s">
        <v>45</v>
      </c>
      <c r="L332" s="12" t="s">
        <v>45</v>
      </c>
      <c r="M332" s="12" t="s">
        <v>26</v>
      </c>
      <c r="N332" s="12" t="s">
        <v>1191</v>
      </c>
      <c r="O332" s="12"/>
      <c r="P332" s="12"/>
      <c r="Q332" s="12"/>
    </row>
    <row r="333" spans="1:17" x14ac:dyDescent="0.25">
      <c r="A333" s="11">
        <v>102971</v>
      </c>
      <c r="B333" s="12" t="s">
        <v>3558</v>
      </c>
      <c r="C333" s="12" t="s">
        <v>1449</v>
      </c>
      <c r="D333" s="125">
        <v>25000000</v>
      </c>
      <c r="E333" s="125">
        <v>15943917.039999999</v>
      </c>
      <c r="F333" s="12">
        <v>40</v>
      </c>
      <c r="G333" s="12">
        <v>180</v>
      </c>
      <c r="H333" s="12">
        <v>0</v>
      </c>
      <c r="I333" s="13">
        <v>42704.964472187501</v>
      </c>
      <c r="J333" s="13">
        <v>43435</v>
      </c>
      <c r="K333" s="12" t="s">
        <v>44</v>
      </c>
      <c r="L333" s="12" t="s">
        <v>75</v>
      </c>
      <c r="M333" s="12" t="s">
        <v>1442</v>
      </c>
      <c r="N333" s="12" t="s">
        <v>491</v>
      </c>
      <c r="O333" s="12"/>
      <c r="P333" s="12"/>
      <c r="Q333" s="12"/>
    </row>
    <row r="334" spans="1:17" x14ac:dyDescent="0.25">
      <c r="A334" s="11">
        <v>102972</v>
      </c>
      <c r="B334" s="12" t="s">
        <v>932</v>
      </c>
      <c r="C334" s="12" t="s">
        <v>1449</v>
      </c>
      <c r="D334" s="125">
        <v>20000000</v>
      </c>
      <c r="E334" s="125">
        <v>14771174.380000001</v>
      </c>
      <c r="F334" s="12">
        <v>36</v>
      </c>
      <c r="G334" s="12">
        <v>180</v>
      </c>
      <c r="H334" s="12">
        <v>0</v>
      </c>
      <c r="I334" s="13">
        <v>42704.975202430556</v>
      </c>
      <c r="J334" s="13">
        <v>43617</v>
      </c>
      <c r="K334" s="12" t="s">
        <v>44</v>
      </c>
      <c r="L334" s="12" t="s">
        <v>75</v>
      </c>
      <c r="M334" s="12" t="s">
        <v>1442</v>
      </c>
      <c r="N334" s="12" t="s">
        <v>546</v>
      </c>
      <c r="O334" s="12"/>
      <c r="P334" s="12"/>
      <c r="Q334" s="12"/>
    </row>
    <row r="335" spans="1:17" x14ac:dyDescent="0.25">
      <c r="A335" s="11">
        <v>102975</v>
      </c>
      <c r="B335" s="12" t="s">
        <v>731</v>
      </c>
      <c r="C335" s="12" t="s">
        <v>2807</v>
      </c>
      <c r="D335" s="125">
        <v>21163000</v>
      </c>
      <c r="E335" s="125">
        <v>10134166.34</v>
      </c>
      <c r="F335" s="12">
        <v>42</v>
      </c>
      <c r="G335" s="12">
        <v>180</v>
      </c>
      <c r="H335" s="12">
        <v>0</v>
      </c>
      <c r="I335" s="13">
        <v>42705.689972488428</v>
      </c>
      <c r="J335" s="13">
        <v>43261</v>
      </c>
      <c r="K335" s="12" t="s">
        <v>44</v>
      </c>
      <c r="L335" s="12" t="s">
        <v>75</v>
      </c>
      <c r="M335" s="12" t="s">
        <v>26</v>
      </c>
      <c r="N335" s="12" t="s">
        <v>86</v>
      </c>
      <c r="O335" s="12"/>
      <c r="P335" s="12"/>
      <c r="Q335" s="12"/>
    </row>
    <row r="336" spans="1:17" x14ac:dyDescent="0.25">
      <c r="A336" s="11">
        <v>102976</v>
      </c>
      <c r="B336" s="12" t="s">
        <v>615</v>
      </c>
      <c r="C336" s="12" t="s">
        <v>2807</v>
      </c>
      <c r="D336" s="125">
        <v>65000000</v>
      </c>
      <c r="E336" s="125">
        <v>40817830.979999997</v>
      </c>
      <c r="F336" s="12">
        <v>36</v>
      </c>
      <c r="G336" s="12">
        <v>180</v>
      </c>
      <c r="H336" s="12">
        <v>0</v>
      </c>
      <c r="I336" s="13">
        <v>42705.631719942132</v>
      </c>
      <c r="J336" s="13">
        <v>43435</v>
      </c>
      <c r="K336" s="12" t="s">
        <v>45</v>
      </c>
      <c r="L336" s="12" t="s">
        <v>45</v>
      </c>
      <c r="M336" s="12" t="s">
        <v>26</v>
      </c>
      <c r="N336" s="12" t="s">
        <v>468</v>
      </c>
      <c r="O336" s="12"/>
      <c r="P336" s="12"/>
      <c r="Q336" s="12"/>
    </row>
    <row r="337" spans="1:17" x14ac:dyDescent="0.25">
      <c r="A337" s="11">
        <v>102977</v>
      </c>
      <c r="B337" s="12" t="s">
        <v>3611</v>
      </c>
      <c r="C337" s="12" t="s">
        <v>2807</v>
      </c>
      <c r="D337" s="125">
        <v>30000000</v>
      </c>
      <c r="E337" s="125">
        <v>20686130.359999999</v>
      </c>
      <c r="F337" s="12">
        <v>40</v>
      </c>
      <c r="G337" s="12">
        <v>180</v>
      </c>
      <c r="H337" s="12">
        <v>0</v>
      </c>
      <c r="I337" s="13">
        <v>42706.412457141203</v>
      </c>
      <c r="J337" s="13">
        <v>43436</v>
      </c>
      <c r="K337" s="12" t="s">
        <v>42</v>
      </c>
      <c r="L337" s="12" t="s">
        <v>26</v>
      </c>
      <c r="M337" s="12" t="s">
        <v>26</v>
      </c>
      <c r="N337" s="12" t="s">
        <v>1448</v>
      </c>
      <c r="O337" s="12"/>
      <c r="P337" s="12"/>
      <c r="Q337" s="12"/>
    </row>
    <row r="338" spans="1:17" x14ac:dyDescent="0.25">
      <c r="A338" s="11">
        <v>102979</v>
      </c>
      <c r="B338" s="12" t="s">
        <v>3612</v>
      </c>
      <c r="C338" s="12" t="s">
        <v>1449</v>
      </c>
      <c r="D338" s="125">
        <v>6000000</v>
      </c>
      <c r="E338" s="125">
        <v>1785699.53</v>
      </c>
      <c r="F338" s="12">
        <v>50</v>
      </c>
      <c r="G338" s="12">
        <v>180</v>
      </c>
      <c r="H338" s="12">
        <v>0</v>
      </c>
      <c r="I338" s="13">
        <v>42706.578117592595</v>
      </c>
      <c r="J338" s="13">
        <v>43071</v>
      </c>
      <c r="K338" s="12" t="s">
        <v>44</v>
      </c>
      <c r="L338" s="12" t="s">
        <v>75</v>
      </c>
      <c r="M338" s="12" t="s">
        <v>1442</v>
      </c>
      <c r="N338" s="12" t="s">
        <v>468</v>
      </c>
      <c r="O338" s="12"/>
      <c r="P338" s="12"/>
      <c r="Q338" s="12"/>
    </row>
    <row r="339" spans="1:17" x14ac:dyDescent="0.25">
      <c r="A339" s="11">
        <v>102980</v>
      </c>
      <c r="B339" s="12" t="s">
        <v>3621</v>
      </c>
      <c r="C339" s="12" t="s">
        <v>2807</v>
      </c>
      <c r="D339" s="125">
        <v>20000000</v>
      </c>
      <c r="E339" s="125">
        <v>10636838.539999999</v>
      </c>
      <c r="F339" s="12">
        <v>48</v>
      </c>
      <c r="G339" s="12">
        <v>180</v>
      </c>
      <c r="H339" s="12">
        <v>0</v>
      </c>
      <c r="I339" s="13">
        <v>42709.601917326392</v>
      </c>
      <c r="J339" s="13">
        <v>43256</v>
      </c>
      <c r="K339" s="12" t="s">
        <v>25</v>
      </c>
      <c r="L339" s="12" t="s">
        <v>101</v>
      </c>
      <c r="M339" s="12" t="s">
        <v>26</v>
      </c>
      <c r="N339" s="12" t="s">
        <v>86</v>
      </c>
      <c r="O339" s="12"/>
      <c r="P339" s="12"/>
      <c r="Q339" s="12"/>
    </row>
    <row r="340" spans="1:17" x14ac:dyDescent="0.25">
      <c r="A340" s="11">
        <v>102981</v>
      </c>
      <c r="B340" s="12" t="s">
        <v>614</v>
      </c>
      <c r="C340" s="12" t="s">
        <v>2807</v>
      </c>
      <c r="D340" s="125">
        <v>15100000</v>
      </c>
      <c r="E340" s="125">
        <v>4815621.8499999996</v>
      </c>
      <c r="F340" s="12">
        <v>42</v>
      </c>
      <c r="G340" s="12">
        <v>180</v>
      </c>
      <c r="H340" s="12">
        <v>0</v>
      </c>
      <c r="I340" s="13">
        <v>42709.677225578707</v>
      </c>
      <c r="J340" s="13">
        <v>43164</v>
      </c>
      <c r="K340" s="12" t="s">
        <v>44</v>
      </c>
      <c r="L340" s="12" t="s">
        <v>92</v>
      </c>
      <c r="M340" s="12" t="s">
        <v>26</v>
      </c>
      <c r="N340" s="12" t="s">
        <v>86</v>
      </c>
      <c r="O340" s="12"/>
      <c r="P340" s="12"/>
      <c r="Q340" s="12"/>
    </row>
    <row r="341" spans="1:17" x14ac:dyDescent="0.25">
      <c r="A341" s="11">
        <v>102982</v>
      </c>
      <c r="B341" s="12" t="s">
        <v>3622</v>
      </c>
      <c r="C341" s="12" t="s">
        <v>1449</v>
      </c>
      <c r="D341" s="125">
        <v>5000000</v>
      </c>
      <c r="E341" s="125">
        <v>491941.29</v>
      </c>
      <c r="F341" s="12">
        <v>36</v>
      </c>
      <c r="G341" s="12">
        <v>180</v>
      </c>
      <c r="H341" s="12">
        <v>0</v>
      </c>
      <c r="I341" s="13">
        <v>42709.676114201386</v>
      </c>
      <c r="J341" s="13">
        <v>43083</v>
      </c>
      <c r="K341" s="12" t="s">
        <v>44</v>
      </c>
      <c r="L341" s="12" t="s">
        <v>75</v>
      </c>
      <c r="M341" s="12" t="s">
        <v>1442</v>
      </c>
      <c r="N341" s="12" t="s">
        <v>546</v>
      </c>
      <c r="O341" s="12"/>
      <c r="P341" s="12"/>
      <c r="Q341" s="12"/>
    </row>
    <row r="342" spans="1:17" x14ac:dyDescent="0.25">
      <c r="A342" s="11">
        <v>102986</v>
      </c>
      <c r="B342" s="12" t="s">
        <v>3641</v>
      </c>
      <c r="C342" s="12" t="s">
        <v>1449</v>
      </c>
      <c r="D342" s="125">
        <v>6000000</v>
      </c>
      <c r="E342" s="125">
        <v>1232210.03</v>
      </c>
      <c r="F342" s="12">
        <v>54</v>
      </c>
      <c r="G342" s="12">
        <v>180</v>
      </c>
      <c r="H342" s="12">
        <v>0</v>
      </c>
      <c r="I342" s="13">
        <v>42712.699027083334</v>
      </c>
      <c r="J342" s="13">
        <v>43077</v>
      </c>
      <c r="K342" s="12" t="s">
        <v>44</v>
      </c>
      <c r="L342" s="12" t="s">
        <v>75</v>
      </c>
      <c r="M342" s="12" t="s">
        <v>1442</v>
      </c>
      <c r="N342" s="12" t="s">
        <v>2494</v>
      </c>
      <c r="O342" s="12"/>
      <c r="P342" s="12"/>
      <c r="Q342" s="12"/>
    </row>
    <row r="343" spans="1:17" x14ac:dyDescent="0.25">
      <c r="A343" s="11">
        <v>102987</v>
      </c>
      <c r="B343" s="12" t="s">
        <v>3646</v>
      </c>
      <c r="C343" s="12" t="s">
        <v>2807</v>
      </c>
      <c r="D343" s="125">
        <v>5000000</v>
      </c>
      <c r="E343" s="125">
        <v>1026841.7</v>
      </c>
      <c r="F343" s="12">
        <v>54</v>
      </c>
      <c r="G343" s="12">
        <v>180</v>
      </c>
      <c r="H343" s="12">
        <v>0</v>
      </c>
      <c r="I343" s="13">
        <v>42713.562692789354</v>
      </c>
      <c r="J343" s="13">
        <v>43078</v>
      </c>
      <c r="K343" s="12" t="s">
        <v>25</v>
      </c>
      <c r="L343" s="12" t="s">
        <v>88</v>
      </c>
      <c r="M343" s="12" t="s">
        <v>285</v>
      </c>
      <c r="N343" s="12" t="s">
        <v>1448</v>
      </c>
      <c r="O343" s="12"/>
      <c r="P343" s="12"/>
      <c r="Q343" s="12"/>
    </row>
    <row r="344" spans="1:17" x14ac:dyDescent="0.25">
      <c r="A344" s="11">
        <v>102989</v>
      </c>
      <c r="B344" s="12" t="s">
        <v>934</v>
      </c>
      <c r="C344" s="12" t="s">
        <v>1449</v>
      </c>
      <c r="D344" s="125">
        <v>5000000</v>
      </c>
      <c r="E344" s="125">
        <v>1425294.5</v>
      </c>
      <c r="F344" s="12">
        <v>48</v>
      </c>
      <c r="G344" s="12">
        <v>180</v>
      </c>
      <c r="H344" s="12">
        <v>0</v>
      </c>
      <c r="I344" s="13">
        <v>42713.660623761571</v>
      </c>
      <c r="J344" s="13">
        <v>43078</v>
      </c>
      <c r="K344" s="12" t="s">
        <v>44</v>
      </c>
      <c r="L344" s="12" t="s">
        <v>75</v>
      </c>
      <c r="M344" s="12" t="s">
        <v>1442</v>
      </c>
      <c r="N344" s="12" t="s">
        <v>963</v>
      </c>
      <c r="O344" s="12"/>
      <c r="P344" s="12"/>
      <c r="Q344" s="12"/>
    </row>
    <row r="345" spans="1:17" x14ac:dyDescent="0.25">
      <c r="A345" s="11">
        <v>102990</v>
      </c>
      <c r="B345" s="12" t="s">
        <v>3647</v>
      </c>
      <c r="C345" s="12" t="s">
        <v>1449</v>
      </c>
      <c r="D345" s="125">
        <v>10000000</v>
      </c>
      <c r="E345" s="125">
        <v>1864993.12</v>
      </c>
      <c r="F345" s="12">
        <v>48</v>
      </c>
      <c r="G345" s="12">
        <v>180</v>
      </c>
      <c r="H345" s="12">
        <v>0</v>
      </c>
      <c r="I345" s="13">
        <v>42713.678413275462</v>
      </c>
      <c r="J345" s="13">
        <v>43078</v>
      </c>
      <c r="K345" s="12" t="s">
        <v>25</v>
      </c>
      <c r="L345" s="12" t="s">
        <v>88</v>
      </c>
      <c r="M345" s="12" t="s">
        <v>285</v>
      </c>
      <c r="N345" s="12" t="s">
        <v>1909</v>
      </c>
      <c r="O345" s="12"/>
      <c r="P345" s="12"/>
      <c r="Q345" s="12"/>
    </row>
    <row r="346" spans="1:17" x14ac:dyDescent="0.25">
      <c r="A346" s="11">
        <v>102996</v>
      </c>
      <c r="B346" s="12" t="s">
        <v>765</v>
      </c>
      <c r="C346" s="12" t="s">
        <v>2807</v>
      </c>
      <c r="D346" s="125">
        <v>22000000</v>
      </c>
      <c r="E346" s="125">
        <v>14114775</v>
      </c>
      <c r="F346" s="12">
        <v>42</v>
      </c>
      <c r="G346" s="12">
        <v>180</v>
      </c>
      <c r="H346" s="12">
        <v>0</v>
      </c>
      <c r="I346" s="13">
        <v>42717.69995332176</v>
      </c>
      <c r="J346" s="13">
        <v>43447</v>
      </c>
      <c r="K346" s="12" t="s">
        <v>25</v>
      </c>
      <c r="L346" s="12" t="s">
        <v>295</v>
      </c>
      <c r="M346" s="12" t="s">
        <v>296</v>
      </c>
      <c r="N346" s="12" t="s">
        <v>963</v>
      </c>
      <c r="O346" s="12"/>
      <c r="P346" s="12"/>
      <c r="Q346" s="12"/>
    </row>
    <row r="347" spans="1:17" x14ac:dyDescent="0.25">
      <c r="A347" s="11">
        <v>102997</v>
      </c>
      <c r="B347" s="12" t="s">
        <v>1411</v>
      </c>
      <c r="C347" s="12" t="s">
        <v>1449</v>
      </c>
      <c r="D347" s="125">
        <v>25000000</v>
      </c>
      <c r="E347" s="125">
        <v>11589635.189999999</v>
      </c>
      <c r="F347" s="12">
        <v>42</v>
      </c>
      <c r="G347" s="12">
        <v>180</v>
      </c>
      <c r="H347" s="12">
        <v>0</v>
      </c>
      <c r="I347" s="13">
        <v>42717.529608645833</v>
      </c>
      <c r="J347" s="13">
        <v>43264</v>
      </c>
      <c r="K347" s="12" t="s">
        <v>37</v>
      </c>
      <c r="L347" s="12" t="s">
        <v>38</v>
      </c>
      <c r="M347" s="12" t="s">
        <v>39</v>
      </c>
      <c r="N347" s="12" t="s">
        <v>1191</v>
      </c>
      <c r="O347" s="12"/>
      <c r="P347" s="12"/>
      <c r="Q347" s="12"/>
    </row>
    <row r="348" spans="1:17" x14ac:dyDescent="0.25">
      <c r="A348" s="11">
        <v>102998</v>
      </c>
      <c r="B348" s="12" t="s">
        <v>3695</v>
      </c>
      <c r="C348" s="12" t="s">
        <v>2807</v>
      </c>
      <c r="D348" s="125">
        <v>10000000</v>
      </c>
      <c r="E348" s="125">
        <v>1049437.17</v>
      </c>
      <c r="F348" s="12">
        <v>54</v>
      </c>
      <c r="G348" s="12">
        <v>180</v>
      </c>
      <c r="H348" s="12">
        <v>0</v>
      </c>
      <c r="I348" s="13">
        <v>42718.660504432868</v>
      </c>
      <c r="J348" s="13">
        <v>43083</v>
      </c>
      <c r="K348" s="12" t="s">
        <v>37</v>
      </c>
      <c r="L348" s="12" t="s">
        <v>288</v>
      </c>
      <c r="M348" s="12" t="s">
        <v>1829</v>
      </c>
      <c r="N348" s="12" t="s">
        <v>2494</v>
      </c>
      <c r="O348" s="12"/>
      <c r="P348" s="12"/>
      <c r="Q348" s="12"/>
    </row>
    <row r="349" spans="1:17" x14ac:dyDescent="0.25">
      <c r="A349" s="11">
        <v>102999</v>
      </c>
      <c r="B349" s="12" t="s">
        <v>3705</v>
      </c>
      <c r="C349" s="12" t="s">
        <v>1449</v>
      </c>
      <c r="D349" s="125">
        <v>65000000</v>
      </c>
      <c r="E349" s="125">
        <v>53223768.729999997</v>
      </c>
      <c r="F349" s="12">
        <v>36</v>
      </c>
      <c r="G349" s="12">
        <v>180</v>
      </c>
      <c r="H349" s="12">
        <v>0</v>
      </c>
      <c r="I349" s="13">
        <v>42719.47424841435</v>
      </c>
      <c r="J349" s="13">
        <v>43814</v>
      </c>
      <c r="K349" s="12" t="s">
        <v>44</v>
      </c>
      <c r="L349" s="12" t="s">
        <v>75</v>
      </c>
      <c r="M349" s="12" t="s">
        <v>1442</v>
      </c>
      <c r="N349" s="12" t="s">
        <v>491</v>
      </c>
      <c r="O349" s="12"/>
      <c r="P349" s="12"/>
      <c r="Q349" s="12"/>
    </row>
    <row r="350" spans="1:17" x14ac:dyDescent="0.25">
      <c r="A350" s="11">
        <v>103000</v>
      </c>
      <c r="B350" s="12" t="s">
        <v>3703</v>
      </c>
      <c r="C350" s="12" t="s">
        <v>1449</v>
      </c>
      <c r="D350" s="125">
        <v>25000000</v>
      </c>
      <c r="E350" s="125">
        <v>16044405.65</v>
      </c>
      <c r="F350" s="12">
        <v>40</v>
      </c>
      <c r="G350" s="12">
        <v>180</v>
      </c>
      <c r="H350" s="12">
        <v>0</v>
      </c>
      <c r="I350" s="13">
        <v>42719.680272303238</v>
      </c>
      <c r="J350" s="13">
        <v>43454</v>
      </c>
      <c r="K350" s="12" t="s">
        <v>25</v>
      </c>
      <c r="L350" s="12" t="s">
        <v>289</v>
      </c>
      <c r="M350" s="12" t="s">
        <v>3704</v>
      </c>
      <c r="N350" s="12" t="s">
        <v>86</v>
      </c>
      <c r="O350" s="12"/>
      <c r="P350" s="12"/>
      <c r="Q350" s="12"/>
    </row>
    <row r="351" spans="1:17" x14ac:dyDescent="0.25">
      <c r="A351" s="11">
        <v>103001</v>
      </c>
      <c r="B351" s="12" t="s">
        <v>3706</v>
      </c>
      <c r="C351" s="12" t="s">
        <v>2807</v>
      </c>
      <c r="D351" s="125">
        <v>22000000</v>
      </c>
      <c r="E351" s="125">
        <v>15224422.66</v>
      </c>
      <c r="F351" s="12">
        <v>48</v>
      </c>
      <c r="G351" s="12">
        <v>180</v>
      </c>
      <c r="H351" s="12">
        <v>0</v>
      </c>
      <c r="I351" s="13">
        <v>42719.749187303241</v>
      </c>
      <c r="J351" s="13">
        <v>43266</v>
      </c>
      <c r="K351" s="12" t="s">
        <v>44</v>
      </c>
      <c r="L351" s="12" t="s">
        <v>75</v>
      </c>
      <c r="M351" s="12" t="s">
        <v>26</v>
      </c>
      <c r="N351" s="12" t="s">
        <v>5725</v>
      </c>
      <c r="O351" s="12"/>
      <c r="P351" s="12"/>
      <c r="Q351" s="12"/>
    </row>
    <row r="352" spans="1:17" x14ac:dyDescent="0.25">
      <c r="A352" s="11">
        <v>103002</v>
      </c>
      <c r="B352" s="12" t="s">
        <v>390</v>
      </c>
      <c r="C352" s="12" t="s">
        <v>1449</v>
      </c>
      <c r="D352" s="125">
        <v>50000000</v>
      </c>
      <c r="E352" s="125">
        <v>36148514.509999998</v>
      </c>
      <c r="F352" s="12">
        <v>36</v>
      </c>
      <c r="G352" s="12">
        <v>180</v>
      </c>
      <c r="H352" s="12">
        <v>0</v>
      </c>
      <c r="I352" s="13">
        <v>42720.486729861113</v>
      </c>
      <c r="J352" s="13">
        <v>43458</v>
      </c>
      <c r="K352" s="12" t="s">
        <v>37</v>
      </c>
      <c r="L352" s="12" t="s">
        <v>288</v>
      </c>
      <c r="M352" s="12" t="s">
        <v>1313</v>
      </c>
      <c r="N352" s="12" t="s">
        <v>1447</v>
      </c>
      <c r="O352" s="12"/>
      <c r="P352" s="12"/>
      <c r="Q352" s="12"/>
    </row>
    <row r="353" spans="1:17" x14ac:dyDescent="0.25">
      <c r="A353" s="11">
        <v>103005</v>
      </c>
      <c r="B353" s="12" t="s">
        <v>913</v>
      </c>
      <c r="C353" s="12" t="s">
        <v>1449</v>
      </c>
      <c r="D353" s="125">
        <v>12165000</v>
      </c>
      <c r="E353" s="125">
        <v>9929962.5099999998</v>
      </c>
      <c r="F353" s="12">
        <v>25</v>
      </c>
      <c r="G353" s="12">
        <v>180</v>
      </c>
      <c r="H353" s="12">
        <v>0</v>
      </c>
      <c r="I353" s="13">
        <v>42723.521864155089</v>
      </c>
      <c r="J353" s="13">
        <v>44003</v>
      </c>
      <c r="K353" s="12" t="s">
        <v>43</v>
      </c>
      <c r="L353" s="12" t="s">
        <v>338</v>
      </c>
      <c r="M353" s="12" t="s">
        <v>339</v>
      </c>
      <c r="N353" s="12" t="s">
        <v>284</v>
      </c>
      <c r="O353" s="12"/>
      <c r="P353" s="12"/>
      <c r="Q353" s="12"/>
    </row>
    <row r="354" spans="1:17" x14ac:dyDescent="0.25">
      <c r="A354" s="11">
        <v>103007</v>
      </c>
      <c r="B354" s="12" t="s">
        <v>2925</v>
      </c>
      <c r="C354" s="12" t="s">
        <v>1449</v>
      </c>
      <c r="D354" s="125">
        <v>16000000</v>
      </c>
      <c r="E354" s="125">
        <v>1599751.86</v>
      </c>
      <c r="F354" s="12">
        <v>42</v>
      </c>
      <c r="G354" s="12">
        <v>180</v>
      </c>
      <c r="H354" s="12">
        <v>0</v>
      </c>
      <c r="I354" s="13">
        <v>42724.610130636574</v>
      </c>
      <c r="J354" s="13">
        <v>43089</v>
      </c>
      <c r="K354" s="12" t="s">
        <v>27</v>
      </c>
      <c r="L354" s="12" t="s">
        <v>116</v>
      </c>
      <c r="M354" s="12" t="s">
        <v>26</v>
      </c>
      <c r="N354" s="12" t="s">
        <v>1467</v>
      </c>
      <c r="O354" s="12"/>
      <c r="P354" s="12"/>
      <c r="Q354" s="12"/>
    </row>
    <row r="355" spans="1:17" x14ac:dyDescent="0.25">
      <c r="A355" s="11">
        <v>103009</v>
      </c>
      <c r="B355" s="12" t="s">
        <v>1604</v>
      </c>
      <c r="C355" s="12" t="s">
        <v>1449</v>
      </c>
      <c r="D355" s="125">
        <v>65000000</v>
      </c>
      <c r="E355" s="125">
        <v>49385354.020000003</v>
      </c>
      <c r="F355" s="12">
        <v>36</v>
      </c>
      <c r="G355" s="12">
        <v>180</v>
      </c>
      <c r="H355" s="12">
        <v>0</v>
      </c>
      <c r="I355" s="13">
        <v>42727.369213576392</v>
      </c>
      <c r="J355" s="13">
        <v>43640</v>
      </c>
      <c r="K355" s="12" t="s">
        <v>46</v>
      </c>
      <c r="L355" s="12" t="s">
        <v>46</v>
      </c>
      <c r="M355" s="12" t="s">
        <v>112</v>
      </c>
      <c r="N355" s="12" t="s">
        <v>491</v>
      </c>
      <c r="O355" s="12"/>
      <c r="P355" s="12"/>
      <c r="Q355" s="12"/>
    </row>
    <row r="356" spans="1:17" x14ac:dyDescent="0.25">
      <c r="A356" s="11">
        <v>103011</v>
      </c>
      <c r="B356" s="12" t="s">
        <v>3781</v>
      </c>
      <c r="C356" s="12" t="s">
        <v>2807</v>
      </c>
      <c r="D356" s="125">
        <v>7500000</v>
      </c>
      <c r="E356" s="125">
        <v>1540262.57</v>
      </c>
      <c r="F356" s="12">
        <v>54</v>
      </c>
      <c r="G356" s="12">
        <v>180</v>
      </c>
      <c r="H356" s="12">
        <v>0</v>
      </c>
      <c r="I356" s="13">
        <v>42727.653175810185</v>
      </c>
      <c r="J356" s="13">
        <v>43092</v>
      </c>
      <c r="K356" s="12" t="s">
        <v>37</v>
      </c>
      <c r="L356" s="12" t="s">
        <v>38</v>
      </c>
      <c r="M356" s="12" t="s">
        <v>26</v>
      </c>
      <c r="N356" s="12" t="s">
        <v>5167</v>
      </c>
      <c r="O356" s="12"/>
      <c r="P356" s="12"/>
      <c r="Q356" s="12"/>
    </row>
    <row r="357" spans="1:17" x14ac:dyDescent="0.25">
      <c r="A357" s="11">
        <v>103013</v>
      </c>
      <c r="B357" s="12" t="s">
        <v>3782</v>
      </c>
      <c r="C357" s="12" t="s">
        <v>1449</v>
      </c>
      <c r="D357" s="125">
        <v>5000000</v>
      </c>
      <c r="E357" s="125">
        <v>1026841.7</v>
      </c>
      <c r="F357" s="12">
        <v>54</v>
      </c>
      <c r="G357" s="12">
        <v>180</v>
      </c>
      <c r="H357" s="12">
        <v>0</v>
      </c>
      <c r="I357" s="13">
        <v>42728.535344097225</v>
      </c>
      <c r="J357" s="13">
        <v>43093</v>
      </c>
      <c r="K357" s="12" t="s">
        <v>37</v>
      </c>
      <c r="L357" s="12" t="s">
        <v>26</v>
      </c>
      <c r="M357" s="12" t="s">
        <v>26</v>
      </c>
      <c r="N357" s="12" t="s">
        <v>2494</v>
      </c>
      <c r="O357" s="12"/>
      <c r="P357" s="12"/>
      <c r="Q357" s="12"/>
    </row>
    <row r="358" spans="1:17" x14ac:dyDescent="0.25">
      <c r="A358" s="11">
        <v>103014</v>
      </c>
      <c r="B358" s="12" t="s">
        <v>861</v>
      </c>
      <c r="C358" s="12" t="s">
        <v>1449</v>
      </c>
      <c r="D358" s="125">
        <v>50000000</v>
      </c>
      <c r="E358" s="125">
        <v>33350196.440000001</v>
      </c>
      <c r="F358" s="12">
        <v>36</v>
      </c>
      <c r="G358" s="12">
        <v>180</v>
      </c>
      <c r="H358" s="12">
        <v>0</v>
      </c>
      <c r="I358" s="13">
        <v>42728.544728125002</v>
      </c>
      <c r="J358" s="13">
        <v>43458</v>
      </c>
      <c r="K358" s="12" t="s">
        <v>44</v>
      </c>
      <c r="L358" s="12" t="s">
        <v>75</v>
      </c>
      <c r="M358" s="12" t="s">
        <v>1442</v>
      </c>
      <c r="N358" s="12" t="s">
        <v>1039</v>
      </c>
      <c r="O358" s="12"/>
      <c r="P358" s="12"/>
      <c r="Q358" s="12"/>
    </row>
    <row r="359" spans="1:17" x14ac:dyDescent="0.25">
      <c r="A359" s="11">
        <v>103018</v>
      </c>
      <c r="B359" s="12" t="s">
        <v>3808</v>
      </c>
      <c r="C359" s="12" t="s">
        <v>1449</v>
      </c>
      <c r="D359" s="125">
        <v>2000000</v>
      </c>
      <c r="E359" s="125">
        <v>475101.42</v>
      </c>
      <c r="F359" s="12">
        <v>54</v>
      </c>
      <c r="G359" s="12">
        <v>180</v>
      </c>
      <c r="H359" s="12">
        <v>0</v>
      </c>
      <c r="I359" s="13">
        <v>42733.488834525466</v>
      </c>
      <c r="J359" s="13">
        <v>43102</v>
      </c>
      <c r="K359" s="12" t="s">
        <v>25</v>
      </c>
      <c r="L359" s="12" t="s">
        <v>88</v>
      </c>
      <c r="M359" s="12" t="s">
        <v>285</v>
      </c>
      <c r="N359" s="12" t="s">
        <v>2034</v>
      </c>
      <c r="O359" s="12"/>
      <c r="P359" s="12"/>
      <c r="Q359" s="12"/>
    </row>
    <row r="360" spans="1:17" x14ac:dyDescent="0.25">
      <c r="A360" s="11">
        <v>103021</v>
      </c>
      <c r="B360" s="12" t="s">
        <v>709</v>
      </c>
      <c r="C360" s="12" t="s">
        <v>2807</v>
      </c>
      <c r="D360" s="125">
        <v>65000000</v>
      </c>
      <c r="E360" s="125">
        <v>53621693.109999999</v>
      </c>
      <c r="F360" s="12">
        <v>36</v>
      </c>
      <c r="G360" s="12">
        <v>180</v>
      </c>
      <c r="H360" s="12">
        <v>0</v>
      </c>
      <c r="I360" s="13">
        <v>42734.610254942127</v>
      </c>
      <c r="J360" s="13">
        <v>43831</v>
      </c>
      <c r="K360" s="12" t="s">
        <v>27</v>
      </c>
      <c r="L360" s="12" t="s">
        <v>26</v>
      </c>
      <c r="M360" s="12" t="s">
        <v>26</v>
      </c>
      <c r="N360" s="12" t="s">
        <v>90</v>
      </c>
      <c r="O360" s="12"/>
      <c r="P360" s="12"/>
      <c r="Q360" s="12"/>
    </row>
    <row r="361" spans="1:17" x14ac:dyDescent="0.25">
      <c r="A361" s="11">
        <v>103022</v>
      </c>
      <c r="B361" s="12" t="s">
        <v>1491</v>
      </c>
      <c r="C361" s="12" t="s">
        <v>1449</v>
      </c>
      <c r="D361" s="125">
        <v>18000000</v>
      </c>
      <c r="E361" s="125">
        <v>9454928.7699999996</v>
      </c>
      <c r="F361" s="12">
        <v>42</v>
      </c>
      <c r="G361" s="12">
        <v>180</v>
      </c>
      <c r="H361" s="12">
        <v>0</v>
      </c>
      <c r="I361" s="13">
        <v>42734.642636886572</v>
      </c>
      <c r="J361" s="13">
        <v>43288</v>
      </c>
      <c r="K361" s="12" t="s">
        <v>25</v>
      </c>
      <c r="L361" s="12" t="s">
        <v>289</v>
      </c>
      <c r="M361" s="12" t="s">
        <v>1771</v>
      </c>
      <c r="N361" s="12" t="s">
        <v>86</v>
      </c>
      <c r="O361" s="12"/>
      <c r="P361" s="12"/>
      <c r="Q361" s="12"/>
    </row>
    <row r="362" spans="1:17" x14ac:dyDescent="0.25">
      <c r="A362" s="11">
        <v>103024</v>
      </c>
      <c r="B362" s="12" t="s">
        <v>806</v>
      </c>
      <c r="C362" s="12" t="s">
        <v>2807</v>
      </c>
      <c r="D362" s="125">
        <v>10000000</v>
      </c>
      <c r="E362" s="125">
        <v>4749594.84</v>
      </c>
      <c r="F362" s="12">
        <v>48</v>
      </c>
      <c r="G362" s="12">
        <v>180</v>
      </c>
      <c r="H362" s="12">
        <v>0</v>
      </c>
      <c r="I362" s="13">
        <v>42735.676254317128</v>
      </c>
      <c r="J362" s="13">
        <v>43101</v>
      </c>
      <c r="K362" s="12" t="s">
        <v>25</v>
      </c>
      <c r="L362" s="12" t="s">
        <v>26</v>
      </c>
      <c r="M362" s="12" t="s">
        <v>26</v>
      </c>
      <c r="N362" s="12" t="s">
        <v>468</v>
      </c>
      <c r="O362" s="12"/>
      <c r="P362" s="12"/>
      <c r="Q362" s="12"/>
    </row>
    <row r="363" spans="1:17" x14ac:dyDescent="0.25">
      <c r="A363" s="11">
        <v>103027</v>
      </c>
      <c r="B363" s="12" t="s">
        <v>1142</v>
      </c>
      <c r="C363" s="12" t="s">
        <v>1449</v>
      </c>
      <c r="D363" s="125">
        <v>15000000</v>
      </c>
      <c r="E363" s="125">
        <v>3018377.05</v>
      </c>
      <c r="F363" s="12">
        <v>48</v>
      </c>
      <c r="G363" s="12">
        <v>180</v>
      </c>
      <c r="H363" s="12">
        <v>0</v>
      </c>
      <c r="I363" s="13">
        <v>42735.800914467596</v>
      </c>
      <c r="J363" s="13">
        <v>43101</v>
      </c>
      <c r="K363" s="12" t="s">
        <v>44</v>
      </c>
      <c r="L363" s="12" t="s">
        <v>75</v>
      </c>
      <c r="M363" s="12" t="s">
        <v>1442</v>
      </c>
      <c r="N363" s="12" t="s">
        <v>468</v>
      </c>
      <c r="O363" s="12"/>
      <c r="P363" s="12"/>
      <c r="Q363" s="12"/>
    </row>
    <row r="364" spans="1:17" x14ac:dyDescent="0.25">
      <c r="A364" s="11">
        <v>103032</v>
      </c>
      <c r="B364" s="12" t="s">
        <v>638</v>
      </c>
      <c r="C364" s="12" t="s">
        <v>2807</v>
      </c>
      <c r="D364" s="125">
        <v>42474000</v>
      </c>
      <c r="E364" s="125">
        <v>37810420.979999997</v>
      </c>
      <c r="F364" s="12">
        <v>36</v>
      </c>
      <c r="G364" s="12">
        <v>180</v>
      </c>
      <c r="H364" s="12">
        <v>0</v>
      </c>
      <c r="I364" s="13">
        <v>42744.597391631942</v>
      </c>
      <c r="J364" s="13">
        <v>44205</v>
      </c>
      <c r="K364" s="12" t="s">
        <v>27</v>
      </c>
      <c r="L364" s="12" t="s">
        <v>26</v>
      </c>
      <c r="M364" s="12" t="s">
        <v>26</v>
      </c>
      <c r="N364" s="12" t="s">
        <v>1191</v>
      </c>
      <c r="O364" s="12"/>
      <c r="P364" s="12"/>
      <c r="Q364" s="12"/>
    </row>
    <row r="365" spans="1:17" x14ac:dyDescent="0.25">
      <c r="A365" s="11">
        <v>103033</v>
      </c>
      <c r="B365" s="12" t="s">
        <v>1443</v>
      </c>
      <c r="C365" s="12" t="s">
        <v>1449</v>
      </c>
      <c r="D365" s="125">
        <v>65000000</v>
      </c>
      <c r="E365" s="125">
        <v>53223768.729999997</v>
      </c>
      <c r="F365" s="12">
        <v>36</v>
      </c>
      <c r="G365" s="12">
        <v>180</v>
      </c>
      <c r="H365" s="12">
        <v>0</v>
      </c>
      <c r="I365" s="13">
        <v>42744.666961030096</v>
      </c>
      <c r="J365" s="13">
        <v>43839</v>
      </c>
      <c r="K365" s="12" t="s">
        <v>37</v>
      </c>
      <c r="L365" s="12" t="s">
        <v>288</v>
      </c>
      <c r="M365" s="12" t="s">
        <v>26</v>
      </c>
      <c r="N365" s="12" t="s">
        <v>86</v>
      </c>
      <c r="O365" s="12"/>
      <c r="P365" s="12"/>
      <c r="Q365" s="12"/>
    </row>
    <row r="366" spans="1:17" x14ac:dyDescent="0.25">
      <c r="A366" s="11">
        <v>103034</v>
      </c>
      <c r="B366" s="12" t="s">
        <v>3849</v>
      </c>
      <c r="C366" s="12" t="s">
        <v>1449</v>
      </c>
      <c r="D366" s="125">
        <v>65000000</v>
      </c>
      <c r="E366" s="125">
        <v>50535831.579999998</v>
      </c>
      <c r="F366" s="12">
        <v>36</v>
      </c>
      <c r="G366" s="12">
        <v>180</v>
      </c>
      <c r="H366" s="12">
        <v>0</v>
      </c>
      <c r="I366" s="13">
        <v>42746.718805671298</v>
      </c>
      <c r="J366" s="13">
        <v>43661</v>
      </c>
      <c r="K366" s="12" t="s">
        <v>44</v>
      </c>
      <c r="L366" s="12" t="s">
        <v>75</v>
      </c>
      <c r="M366" s="12" t="s">
        <v>1442</v>
      </c>
      <c r="N366" s="12" t="s">
        <v>2855</v>
      </c>
      <c r="O366" s="12"/>
      <c r="P366" s="12"/>
      <c r="Q366" s="12"/>
    </row>
    <row r="367" spans="1:17" x14ac:dyDescent="0.25">
      <c r="A367" s="11">
        <v>103035</v>
      </c>
      <c r="B367" s="12" t="s">
        <v>3861</v>
      </c>
      <c r="C367" s="12" t="s">
        <v>2807</v>
      </c>
      <c r="D367" s="125">
        <v>16000000</v>
      </c>
      <c r="E367" s="125">
        <v>6279386.0099999998</v>
      </c>
      <c r="F367" s="12">
        <v>42</v>
      </c>
      <c r="G367" s="12">
        <v>180</v>
      </c>
      <c r="H367" s="12">
        <v>0</v>
      </c>
      <c r="I367" s="13">
        <v>42747.567707326387</v>
      </c>
      <c r="J367" s="13">
        <v>43203</v>
      </c>
      <c r="K367" s="12" t="s">
        <v>36</v>
      </c>
      <c r="L367" s="12" t="s">
        <v>97</v>
      </c>
      <c r="M367" s="12" t="s">
        <v>98</v>
      </c>
      <c r="N367" s="12" t="s">
        <v>468</v>
      </c>
      <c r="O367" s="12"/>
      <c r="P367" s="12"/>
      <c r="Q367" s="12"/>
    </row>
    <row r="368" spans="1:17" x14ac:dyDescent="0.25">
      <c r="A368" s="11">
        <v>103036</v>
      </c>
      <c r="B368" s="12" t="s">
        <v>685</v>
      </c>
      <c r="C368" s="12" t="s">
        <v>1449</v>
      </c>
      <c r="D368" s="125">
        <v>20000000</v>
      </c>
      <c r="E368" s="125">
        <v>3844623.11</v>
      </c>
      <c r="F368" s="12">
        <v>36</v>
      </c>
      <c r="G368" s="12">
        <v>180</v>
      </c>
      <c r="H368" s="12">
        <v>0</v>
      </c>
      <c r="I368" s="13">
        <v>42747.564159062502</v>
      </c>
      <c r="J368" s="13">
        <v>43112</v>
      </c>
      <c r="K368" s="12" t="s">
        <v>37</v>
      </c>
      <c r="L368" s="12" t="s">
        <v>288</v>
      </c>
      <c r="M368" s="12" t="s">
        <v>1313</v>
      </c>
      <c r="N368" s="12" t="s">
        <v>86</v>
      </c>
      <c r="O368" s="12"/>
      <c r="P368" s="12"/>
      <c r="Q368" s="12"/>
    </row>
    <row r="369" spans="1:17" x14ac:dyDescent="0.25">
      <c r="A369" s="11">
        <v>103037</v>
      </c>
      <c r="B369" s="12" t="s">
        <v>1356</v>
      </c>
      <c r="C369" s="12" t="s">
        <v>2807</v>
      </c>
      <c r="D369" s="125">
        <v>55000000</v>
      </c>
      <c r="E369" s="125">
        <v>38769731.990000002</v>
      </c>
      <c r="F369" s="12">
        <v>36</v>
      </c>
      <c r="G369" s="12">
        <v>180</v>
      </c>
      <c r="H369" s="12">
        <v>0</v>
      </c>
      <c r="I369" s="13">
        <v>42758.473323611113</v>
      </c>
      <c r="J369" s="13">
        <v>43488</v>
      </c>
      <c r="K369" s="12" t="s">
        <v>44</v>
      </c>
      <c r="L369" s="12" t="s">
        <v>75</v>
      </c>
      <c r="M369" s="12" t="s">
        <v>26</v>
      </c>
      <c r="N369" s="12" t="s">
        <v>90</v>
      </c>
      <c r="O369" s="12"/>
      <c r="P369" s="12"/>
      <c r="Q369" s="12"/>
    </row>
    <row r="370" spans="1:17" x14ac:dyDescent="0.25">
      <c r="A370" s="11">
        <v>103038</v>
      </c>
      <c r="B370" s="12" t="s">
        <v>3867</v>
      </c>
      <c r="C370" s="12" t="s">
        <v>2807</v>
      </c>
      <c r="D370" s="125">
        <v>35000000</v>
      </c>
      <c r="E370" s="125">
        <v>23650721.469999999</v>
      </c>
      <c r="F370" s="12">
        <v>40</v>
      </c>
      <c r="G370" s="12">
        <v>180</v>
      </c>
      <c r="H370" s="12">
        <v>0</v>
      </c>
      <c r="I370" s="13">
        <v>42748.569454629629</v>
      </c>
      <c r="J370" s="13">
        <v>43478</v>
      </c>
      <c r="K370" s="12" t="s">
        <v>27</v>
      </c>
      <c r="L370" s="12" t="s">
        <v>81</v>
      </c>
      <c r="M370" s="12" t="s">
        <v>26</v>
      </c>
      <c r="N370" s="12" t="s">
        <v>468</v>
      </c>
      <c r="O370" s="12"/>
      <c r="P370" s="12"/>
      <c r="Q370" s="12"/>
    </row>
    <row r="371" spans="1:17" x14ac:dyDescent="0.25">
      <c r="A371" s="11">
        <v>103041</v>
      </c>
      <c r="B371" s="12" t="s">
        <v>2060</v>
      </c>
      <c r="C371" s="12" t="s">
        <v>2807</v>
      </c>
      <c r="D371" s="125">
        <v>65000000</v>
      </c>
      <c r="E371" s="125">
        <v>58355347.810000002</v>
      </c>
      <c r="F371" s="12">
        <v>36</v>
      </c>
      <c r="G371" s="12">
        <v>180</v>
      </c>
      <c r="H371" s="12">
        <v>0</v>
      </c>
      <c r="I371" s="13">
        <v>42748.729617824072</v>
      </c>
      <c r="J371" s="13">
        <v>43843</v>
      </c>
      <c r="K371" s="12" t="s">
        <v>25</v>
      </c>
      <c r="L371" s="12" t="s">
        <v>26</v>
      </c>
      <c r="M371" s="12" t="s">
        <v>26</v>
      </c>
      <c r="N371" s="12" t="s">
        <v>5725</v>
      </c>
      <c r="O371" s="12"/>
      <c r="P371" s="12"/>
      <c r="Q371" s="12"/>
    </row>
    <row r="372" spans="1:17" x14ac:dyDescent="0.25">
      <c r="A372" s="11">
        <v>103042</v>
      </c>
      <c r="B372" s="12" t="s">
        <v>3877</v>
      </c>
      <c r="C372" s="12" t="s">
        <v>1449</v>
      </c>
      <c r="D372" s="125">
        <v>5000000</v>
      </c>
      <c r="E372" s="125">
        <v>1004837.48</v>
      </c>
      <c r="F372" s="12">
        <v>48</v>
      </c>
      <c r="G372" s="12">
        <v>180</v>
      </c>
      <c r="H372" s="12">
        <v>0</v>
      </c>
      <c r="I372" s="13">
        <v>42749.543612303241</v>
      </c>
      <c r="J372" s="13">
        <v>43114</v>
      </c>
      <c r="K372" s="12" t="s">
        <v>25</v>
      </c>
      <c r="L372" s="12" t="s">
        <v>295</v>
      </c>
      <c r="M372" s="12" t="s">
        <v>3613</v>
      </c>
      <c r="N372" s="12" t="s">
        <v>5167</v>
      </c>
      <c r="O372" s="12"/>
      <c r="P372" s="12"/>
      <c r="Q372" s="12"/>
    </row>
    <row r="373" spans="1:17" x14ac:dyDescent="0.25">
      <c r="A373" s="11">
        <v>103044</v>
      </c>
      <c r="B373" s="12" t="s">
        <v>1939</v>
      </c>
      <c r="C373" s="12" t="s">
        <v>1449</v>
      </c>
      <c r="D373" s="125">
        <v>4000000</v>
      </c>
      <c r="E373" s="125">
        <v>803869.95</v>
      </c>
      <c r="F373" s="12">
        <v>48</v>
      </c>
      <c r="G373" s="12">
        <v>180</v>
      </c>
      <c r="H373" s="12">
        <v>0</v>
      </c>
      <c r="I373" s="13">
        <v>42749.609014085647</v>
      </c>
      <c r="J373" s="13">
        <v>43114</v>
      </c>
      <c r="K373" s="12" t="s">
        <v>25</v>
      </c>
      <c r="L373" s="12" t="s">
        <v>88</v>
      </c>
      <c r="M373" s="12" t="s">
        <v>285</v>
      </c>
      <c r="N373" s="12" t="s">
        <v>1447</v>
      </c>
      <c r="O373" s="12"/>
      <c r="P373" s="12"/>
      <c r="Q373" s="12"/>
    </row>
    <row r="374" spans="1:17" x14ac:dyDescent="0.25">
      <c r="A374" s="11">
        <v>103045</v>
      </c>
      <c r="B374" s="12" t="s">
        <v>3888</v>
      </c>
      <c r="C374" s="12" t="s">
        <v>1449</v>
      </c>
      <c r="D374" s="125">
        <v>18000000</v>
      </c>
      <c r="E374" s="125">
        <v>9573154.6099999994</v>
      </c>
      <c r="F374" s="12">
        <v>48</v>
      </c>
      <c r="G374" s="12">
        <v>180</v>
      </c>
      <c r="H374" s="12">
        <v>0</v>
      </c>
      <c r="I374" s="13">
        <v>42751.566293634256</v>
      </c>
      <c r="J374" s="13">
        <v>43297</v>
      </c>
      <c r="K374" s="12" t="s">
        <v>45</v>
      </c>
      <c r="L374" s="12" t="s">
        <v>45</v>
      </c>
      <c r="M374" s="12" t="s">
        <v>89</v>
      </c>
      <c r="N374" s="12" t="s">
        <v>468</v>
      </c>
      <c r="O374" s="12"/>
      <c r="P374" s="12"/>
      <c r="Q374" s="12"/>
    </row>
    <row r="375" spans="1:17" x14ac:dyDescent="0.25">
      <c r="A375" s="11">
        <v>103046</v>
      </c>
      <c r="B375" s="12" t="s">
        <v>3887</v>
      </c>
      <c r="C375" s="12" t="s">
        <v>1449</v>
      </c>
      <c r="D375" s="125">
        <v>50000000</v>
      </c>
      <c r="E375" s="125">
        <v>40941360.549999997</v>
      </c>
      <c r="F375" s="12">
        <v>36</v>
      </c>
      <c r="G375" s="12">
        <v>180</v>
      </c>
      <c r="H375" s="12">
        <v>0</v>
      </c>
      <c r="I375" s="13">
        <v>42751.604390127315</v>
      </c>
      <c r="J375" s="13">
        <v>43846</v>
      </c>
      <c r="K375" s="12" t="s">
        <v>25</v>
      </c>
      <c r="L375" s="12" t="s">
        <v>289</v>
      </c>
      <c r="M375" s="12" t="s">
        <v>26</v>
      </c>
      <c r="N375" s="12" t="s">
        <v>4684</v>
      </c>
      <c r="O375" s="12"/>
      <c r="P375" s="12"/>
      <c r="Q375" s="12"/>
    </row>
    <row r="376" spans="1:17" x14ac:dyDescent="0.25">
      <c r="A376" s="11">
        <v>103048</v>
      </c>
      <c r="B376" s="12" t="s">
        <v>3897</v>
      </c>
      <c r="C376" s="12" t="s">
        <v>80</v>
      </c>
      <c r="D376" s="125">
        <v>4000000</v>
      </c>
      <c r="E376" s="125">
        <v>1202411.95</v>
      </c>
      <c r="F376" s="12">
        <v>54</v>
      </c>
      <c r="G376" s="12">
        <v>180</v>
      </c>
      <c r="H376" s="12">
        <v>0</v>
      </c>
      <c r="I376" s="13">
        <v>42752.6407056713</v>
      </c>
      <c r="J376" s="13">
        <v>43115</v>
      </c>
      <c r="K376" s="12" t="s">
        <v>25</v>
      </c>
      <c r="L376" s="12" t="s">
        <v>103</v>
      </c>
      <c r="M376" s="12" t="s">
        <v>104</v>
      </c>
      <c r="N376" s="12" t="s">
        <v>1448</v>
      </c>
      <c r="O376" s="12"/>
      <c r="P376" s="12"/>
      <c r="Q376" s="12"/>
    </row>
    <row r="377" spans="1:17" x14ac:dyDescent="0.25">
      <c r="A377" s="11">
        <v>103049</v>
      </c>
      <c r="B377" s="12" t="s">
        <v>1605</v>
      </c>
      <c r="C377" s="12" t="s">
        <v>1449</v>
      </c>
      <c r="D377" s="125">
        <v>40000000</v>
      </c>
      <c r="E377" s="125">
        <v>27579126.210000001</v>
      </c>
      <c r="F377" s="12">
        <v>36</v>
      </c>
      <c r="G377" s="12">
        <v>180</v>
      </c>
      <c r="H377" s="12">
        <v>0</v>
      </c>
      <c r="I377" s="13">
        <v>42752.741705243054</v>
      </c>
      <c r="J377" s="13">
        <v>43482</v>
      </c>
      <c r="K377" s="12" t="s">
        <v>25</v>
      </c>
      <c r="L377" s="12" t="s">
        <v>88</v>
      </c>
      <c r="M377" s="12" t="s">
        <v>285</v>
      </c>
      <c r="N377" s="12" t="s">
        <v>468</v>
      </c>
      <c r="O377" s="12"/>
      <c r="P377" s="12"/>
      <c r="Q377" s="12"/>
    </row>
    <row r="378" spans="1:17" x14ac:dyDescent="0.25">
      <c r="A378" s="11">
        <v>103051</v>
      </c>
      <c r="B378" s="12" t="s">
        <v>3921</v>
      </c>
      <c r="C378" s="12" t="s">
        <v>1449</v>
      </c>
      <c r="D378" s="125">
        <v>16000000</v>
      </c>
      <c r="E378" s="125">
        <v>6406428.7599999998</v>
      </c>
      <c r="F378" s="12">
        <v>48</v>
      </c>
      <c r="G378" s="12">
        <v>180</v>
      </c>
      <c r="H378" s="12">
        <v>0</v>
      </c>
      <c r="I378" s="13">
        <v>42753.750005520837</v>
      </c>
      <c r="J378" s="13">
        <v>43208</v>
      </c>
      <c r="K378" s="12" t="s">
        <v>25</v>
      </c>
      <c r="L378" s="12" t="s">
        <v>32</v>
      </c>
      <c r="M378" s="12" t="s">
        <v>517</v>
      </c>
      <c r="N378" s="12" t="s">
        <v>2538</v>
      </c>
      <c r="O378" s="12"/>
      <c r="P378" s="12"/>
      <c r="Q378" s="12"/>
    </row>
    <row r="379" spans="1:17" x14ac:dyDescent="0.25">
      <c r="A379" s="11">
        <v>103052</v>
      </c>
      <c r="B379" s="12" t="s">
        <v>2758</v>
      </c>
      <c r="C379" s="12" t="s">
        <v>80</v>
      </c>
      <c r="D379" s="125">
        <v>65000000</v>
      </c>
      <c r="E379" s="125">
        <v>58355347.810000002</v>
      </c>
      <c r="F379" s="12">
        <v>36</v>
      </c>
      <c r="G379" s="12">
        <v>180</v>
      </c>
      <c r="H379" s="12">
        <v>0</v>
      </c>
      <c r="I379" s="13">
        <v>42753.754402546299</v>
      </c>
      <c r="J379" s="13">
        <v>43848</v>
      </c>
      <c r="K379" s="12" t="s">
        <v>37</v>
      </c>
      <c r="L379" s="12" t="s">
        <v>38</v>
      </c>
      <c r="M379" s="12" t="s">
        <v>26</v>
      </c>
      <c r="N379" s="12" t="s">
        <v>5724</v>
      </c>
      <c r="O379" s="12"/>
      <c r="P379" s="12"/>
      <c r="Q379" s="12"/>
    </row>
    <row r="380" spans="1:17" x14ac:dyDescent="0.25">
      <c r="A380" s="11">
        <v>103054</v>
      </c>
      <c r="B380" s="12" t="s">
        <v>408</v>
      </c>
      <c r="C380" s="12" t="s">
        <v>1449</v>
      </c>
      <c r="D380" s="125">
        <v>35000000</v>
      </c>
      <c r="E380" s="125">
        <v>21707697.300000001</v>
      </c>
      <c r="F380" s="12">
        <v>36</v>
      </c>
      <c r="G380" s="12">
        <v>180</v>
      </c>
      <c r="H380" s="12">
        <v>0</v>
      </c>
      <c r="I380" s="13">
        <v>42753.798224386577</v>
      </c>
      <c r="J380" s="13">
        <v>43299</v>
      </c>
      <c r="K380" s="12" t="s">
        <v>31</v>
      </c>
      <c r="L380" s="12" t="s">
        <v>416</v>
      </c>
      <c r="M380" s="12" t="s">
        <v>3920</v>
      </c>
      <c r="N380" s="12" t="s">
        <v>1191</v>
      </c>
      <c r="O380" s="12"/>
      <c r="P380" s="12"/>
      <c r="Q380" s="12"/>
    </row>
    <row r="381" spans="1:17" x14ac:dyDescent="0.25">
      <c r="A381" s="11">
        <v>103057</v>
      </c>
      <c r="B381" s="12" t="s">
        <v>3941</v>
      </c>
      <c r="C381" s="12" t="s">
        <v>2807</v>
      </c>
      <c r="D381" s="125">
        <v>4500000</v>
      </c>
      <c r="E381" s="125">
        <v>924157.49</v>
      </c>
      <c r="F381" s="12">
        <v>54</v>
      </c>
      <c r="G381" s="12">
        <v>180</v>
      </c>
      <c r="H381" s="12">
        <v>0</v>
      </c>
      <c r="I381" s="13">
        <v>42755.644958530094</v>
      </c>
      <c r="J381" s="13">
        <v>43120</v>
      </c>
      <c r="K381" s="12" t="s">
        <v>27</v>
      </c>
      <c r="L381" s="12" t="s">
        <v>81</v>
      </c>
      <c r="M381" s="12" t="s">
        <v>26</v>
      </c>
      <c r="N381" s="12" t="s">
        <v>468</v>
      </c>
      <c r="O381" s="12"/>
      <c r="P381" s="12"/>
      <c r="Q381" s="12"/>
    </row>
    <row r="382" spans="1:17" x14ac:dyDescent="0.25">
      <c r="A382" s="11">
        <v>103059</v>
      </c>
      <c r="B382" s="12" t="s">
        <v>3964</v>
      </c>
      <c r="C382" s="12" t="s">
        <v>1449</v>
      </c>
      <c r="D382" s="125">
        <v>20000000</v>
      </c>
      <c r="E382" s="125">
        <v>9429671.0999999996</v>
      </c>
      <c r="F382" s="12">
        <v>48</v>
      </c>
      <c r="G382" s="12">
        <v>180</v>
      </c>
      <c r="H382" s="12">
        <v>0</v>
      </c>
      <c r="I382" s="13">
        <v>42758.605742858796</v>
      </c>
      <c r="J382" s="13">
        <v>43213</v>
      </c>
      <c r="K382" s="12" t="s">
        <v>25</v>
      </c>
      <c r="L382" s="12" t="s">
        <v>295</v>
      </c>
      <c r="M382" s="12" t="s">
        <v>296</v>
      </c>
      <c r="N382" s="12" t="s">
        <v>2494</v>
      </c>
      <c r="O382" s="12"/>
      <c r="P382" s="12"/>
      <c r="Q382" s="12"/>
    </row>
    <row r="383" spans="1:17" x14ac:dyDescent="0.25">
      <c r="A383" s="11">
        <v>103060</v>
      </c>
      <c r="B383" s="12" t="s">
        <v>732</v>
      </c>
      <c r="C383" s="12" t="s">
        <v>1449</v>
      </c>
      <c r="D383" s="125">
        <v>6000000</v>
      </c>
      <c r="E383" s="125">
        <v>1774151.84</v>
      </c>
      <c r="F383" s="12">
        <v>48</v>
      </c>
      <c r="G383" s="12">
        <v>180</v>
      </c>
      <c r="H383" s="12">
        <v>0</v>
      </c>
      <c r="I383" s="13">
        <v>42760.566499189816</v>
      </c>
      <c r="J383" s="13">
        <v>43125</v>
      </c>
      <c r="K383" s="12" t="s">
        <v>44</v>
      </c>
      <c r="L383" s="12" t="s">
        <v>75</v>
      </c>
      <c r="M383" s="12" t="s">
        <v>1442</v>
      </c>
      <c r="N383" s="12" t="s">
        <v>2861</v>
      </c>
      <c r="O383" s="12"/>
      <c r="P383" s="12"/>
      <c r="Q383" s="12"/>
    </row>
    <row r="384" spans="1:17" x14ac:dyDescent="0.25">
      <c r="A384" s="11">
        <v>103061</v>
      </c>
      <c r="B384" s="12" t="s">
        <v>3986</v>
      </c>
      <c r="C384" s="12" t="s">
        <v>2807</v>
      </c>
      <c r="D384" s="125">
        <v>35000000</v>
      </c>
      <c r="E384" s="125">
        <v>25166255.359999999</v>
      </c>
      <c r="F384" s="12">
        <v>36</v>
      </c>
      <c r="G384" s="12">
        <v>180</v>
      </c>
      <c r="H384" s="12">
        <v>0</v>
      </c>
      <c r="I384" s="13">
        <v>42762.731174305554</v>
      </c>
      <c r="J384" s="13">
        <v>43497</v>
      </c>
      <c r="K384" s="12" t="s">
        <v>37</v>
      </c>
      <c r="L384" s="12" t="s">
        <v>38</v>
      </c>
      <c r="M384" s="12" t="s">
        <v>26</v>
      </c>
      <c r="N384" s="12" t="s">
        <v>963</v>
      </c>
      <c r="O384" s="12"/>
      <c r="P384" s="12"/>
      <c r="Q384" s="12"/>
    </row>
    <row r="385" spans="1:17" x14ac:dyDescent="0.25">
      <c r="A385" s="11">
        <v>103063</v>
      </c>
      <c r="B385" s="12" t="s">
        <v>579</v>
      </c>
      <c r="C385" s="12" t="s">
        <v>2807</v>
      </c>
      <c r="D385" s="125">
        <v>65000000</v>
      </c>
      <c r="E385" s="125">
        <v>55626405.399999999</v>
      </c>
      <c r="F385" s="12">
        <v>36</v>
      </c>
      <c r="G385" s="12">
        <v>180</v>
      </c>
      <c r="H385" s="12">
        <v>0</v>
      </c>
      <c r="I385" s="13">
        <v>42763.488965046294</v>
      </c>
      <c r="J385" s="13">
        <v>43862</v>
      </c>
      <c r="K385" s="12" t="s">
        <v>35</v>
      </c>
      <c r="L385" s="12" t="s">
        <v>121</v>
      </c>
      <c r="M385" s="12" t="s">
        <v>26</v>
      </c>
      <c r="N385" s="12" t="s">
        <v>963</v>
      </c>
      <c r="O385" s="12"/>
      <c r="P385" s="12"/>
      <c r="Q385" s="12"/>
    </row>
    <row r="386" spans="1:17" x14ac:dyDescent="0.25">
      <c r="A386" s="11">
        <v>103064</v>
      </c>
      <c r="B386" s="12" t="s">
        <v>3989</v>
      </c>
      <c r="C386" s="12" t="s">
        <v>2807</v>
      </c>
      <c r="D386" s="125">
        <v>20000000</v>
      </c>
      <c r="E386" s="125">
        <v>7735464.4800000004</v>
      </c>
      <c r="F386" s="12">
        <v>48</v>
      </c>
      <c r="G386" s="12">
        <v>180</v>
      </c>
      <c r="H386" s="12">
        <v>0</v>
      </c>
      <c r="I386" s="13">
        <v>42763.562554895834</v>
      </c>
      <c r="J386" s="13">
        <v>43134</v>
      </c>
      <c r="K386" s="12" t="s">
        <v>25</v>
      </c>
      <c r="L386" s="12" t="s">
        <v>88</v>
      </c>
      <c r="M386" s="12" t="s">
        <v>26</v>
      </c>
      <c r="N386" s="12" t="s">
        <v>86</v>
      </c>
      <c r="O386" s="12"/>
      <c r="P386" s="12"/>
      <c r="Q386" s="12"/>
    </row>
    <row r="387" spans="1:17" x14ac:dyDescent="0.25">
      <c r="A387" s="11">
        <v>103065</v>
      </c>
      <c r="B387" s="12" t="s">
        <v>1124</v>
      </c>
      <c r="C387" s="12" t="s">
        <v>80</v>
      </c>
      <c r="D387" s="125">
        <v>38938000</v>
      </c>
      <c r="E387" s="125">
        <v>34861966.829999998</v>
      </c>
      <c r="F387" s="12">
        <v>22</v>
      </c>
      <c r="G387" s="12">
        <v>180</v>
      </c>
      <c r="H387" s="12">
        <v>0</v>
      </c>
      <c r="I387" s="13">
        <v>42763.603369560187</v>
      </c>
      <c r="J387" s="13">
        <v>44582</v>
      </c>
      <c r="K387" s="12" t="s">
        <v>43</v>
      </c>
      <c r="L387" s="12" t="s">
        <v>338</v>
      </c>
      <c r="M387" s="12" t="s">
        <v>26</v>
      </c>
      <c r="N387" s="12" t="s">
        <v>284</v>
      </c>
      <c r="O387" s="12"/>
      <c r="P387" s="12"/>
      <c r="Q387" s="12"/>
    </row>
    <row r="388" spans="1:17" x14ac:dyDescent="0.25">
      <c r="A388" s="11">
        <v>103066</v>
      </c>
      <c r="B388" s="12" t="s">
        <v>2104</v>
      </c>
      <c r="C388" s="12" t="s">
        <v>2807</v>
      </c>
      <c r="D388" s="125">
        <v>10000000</v>
      </c>
      <c r="E388" s="125">
        <v>7761.31</v>
      </c>
      <c r="F388" s="12">
        <v>48</v>
      </c>
      <c r="G388" s="12">
        <v>180</v>
      </c>
      <c r="H388" s="12">
        <v>0</v>
      </c>
      <c r="I388" s="13">
        <v>42765.530551701391</v>
      </c>
      <c r="J388" s="13">
        <v>43042</v>
      </c>
      <c r="K388" s="12" t="s">
        <v>25</v>
      </c>
      <c r="L388" s="12" t="s">
        <v>103</v>
      </c>
      <c r="M388" s="12" t="s">
        <v>26</v>
      </c>
      <c r="N388" s="12" t="s">
        <v>468</v>
      </c>
      <c r="O388" s="12"/>
      <c r="P388" s="12"/>
      <c r="Q388" s="12"/>
    </row>
    <row r="389" spans="1:17" x14ac:dyDescent="0.25">
      <c r="A389" s="11">
        <v>103067</v>
      </c>
      <c r="B389" s="12" t="s">
        <v>665</v>
      </c>
      <c r="C389" s="12" t="s">
        <v>2807</v>
      </c>
      <c r="D389" s="125">
        <v>20000000</v>
      </c>
      <c r="E389" s="125">
        <v>11548818.5</v>
      </c>
      <c r="F389" s="12">
        <v>42</v>
      </c>
      <c r="G389" s="12">
        <v>180</v>
      </c>
      <c r="H389" s="12">
        <v>0</v>
      </c>
      <c r="I389" s="13">
        <v>42765.62096990741</v>
      </c>
      <c r="J389" s="13">
        <v>43315</v>
      </c>
      <c r="K389" s="12" t="s">
        <v>29</v>
      </c>
      <c r="L389" s="12" t="s">
        <v>30</v>
      </c>
      <c r="M389" s="12" t="s">
        <v>26</v>
      </c>
      <c r="N389" s="12" t="s">
        <v>86</v>
      </c>
      <c r="O389" s="12"/>
      <c r="P389" s="12"/>
      <c r="Q389" s="12"/>
    </row>
    <row r="390" spans="1:17" x14ac:dyDescent="0.25">
      <c r="A390" s="11">
        <v>103068</v>
      </c>
      <c r="B390" s="12" t="s">
        <v>811</v>
      </c>
      <c r="C390" s="12" t="s">
        <v>2807</v>
      </c>
      <c r="D390" s="125">
        <v>2500000</v>
      </c>
      <c r="E390" s="125">
        <v>1398192.91</v>
      </c>
      <c r="F390" s="12">
        <v>48</v>
      </c>
      <c r="G390" s="12">
        <v>180</v>
      </c>
      <c r="H390" s="12">
        <v>0</v>
      </c>
      <c r="I390" s="13">
        <v>42765.675759456019</v>
      </c>
      <c r="J390" s="13">
        <v>43134</v>
      </c>
      <c r="K390" s="12" t="s">
        <v>25</v>
      </c>
      <c r="L390" s="12" t="s">
        <v>26</v>
      </c>
      <c r="M390" s="12" t="s">
        <v>26</v>
      </c>
      <c r="N390" s="12" t="s">
        <v>2538</v>
      </c>
      <c r="O390" s="12"/>
      <c r="P390" s="12"/>
      <c r="Q390" s="12"/>
    </row>
    <row r="391" spans="1:17" x14ac:dyDescent="0.25">
      <c r="A391" s="11">
        <v>103069</v>
      </c>
      <c r="B391" s="12" t="s">
        <v>639</v>
      </c>
      <c r="C391" s="12" t="s">
        <v>1449</v>
      </c>
      <c r="D391" s="125">
        <v>10000000</v>
      </c>
      <c r="E391" s="125">
        <v>3508050.77</v>
      </c>
      <c r="F391" s="12">
        <v>36</v>
      </c>
      <c r="G391" s="12">
        <v>180</v>
      </c>
      <c r="H391" s="12">
        <v>0</v>
      </c>
      <c r="I391" s="13">
        <v>42765.716487962964</v>
      </c>
      <c r="J391" s="13">
        <v>43134</v>
      </c>
      <c r="K391" s="12" t="s">
        <v>44</v>
      </c>
      <c r="L391" s="12" t="s">
        <v>75</v>
      </c>
      <c r="M391" s="12" t="s">
        <v>4000</v>
      </c>
      <c r="N391" s="12" t="s">
        <v>86</v>
      </c>
      <c r="O391" s="12"/>
      <c r="P391" s="12"/>
      <c r="Q391" s="12"/>
    </row>
    <row r="392" spans="1:17" x14ac:dyDescent="0.25">
      <c r="A392" s="11">
        <v>103070</v>
      </c>
      <c r="B392" s="12" t="s">
        <v>4012</v>
      </c>
      <c r="C392" s="12" t="s">
        <v>2807</v>
      </c>
      <c r="D392" s="125">
        <v>50000000</v>
      </c>
      <c r="E392" s="125">
        <v>48442901.219999999</v>
      </c>
      <c r="F392" s="12">
        <v>36</v>
      </c>
      <c r="G392" s="12">
        <v>180</v>
      </c>
      <c r="H392" s="12">
        <v>0</v>
      </c>
      <c r="I392" s="13">
        <v>42766.59911087963</v>
      </c>
      <c r="J392" s="13">
        <v>43864</v>
      </c>
      <c r="K392" s="12" t="s">
        <v>25</v>
      </c>
      <c r="L392" s="12" t="s">
        <v>26</v>
      </c>
      <c r="M392" s="12" t="s">
        <v>26</v>
      </c>
      <c r="N392" s="12" t="s">
        <v>5725</v>
      </c>
      <c r="O392" s="12"/>
      <c r="P392" s="12"/>
      <c r="Q392" s="12"/>
    </row>
    <row r="393" spans="1:17" x14ac:dyDescent="0.25">
      <c r="A393" s="11">
        <v>103071</v>
      </c>
      <c r="B393" s="12" t="s">
        <v>93</v>
      </c>
      <c r="C393" s="12" t="s">
        <v>1449</v>
      </c>
      <c r="D393" s="125">
        <v>7000000</v>
      </c>
      <c r="E393" s="125">
        <v>2679456.13</v>
      </c>
      <c r="F393" s="12">
        <v>44</v>
      </c>
      <c r="G393" s="12">
        <v>180</v>
      </c>
      <c r="H393" s="12">
        <v>0</v>
      </c>
      <c r="I393" s="13">
        <v>42766.770023611112</v>
      </c>
      <c r="J393" s="13">
        <v>43134</v>
      </c>
      <c r="K393" s="12" t="s">
        <v>25</v>
      </c>
      <c r="L393" s="12" t="s">
        <v>94</v>
      </c>
      <c r="M393" s="12" t="s">
        <v>95</v>
      </c>
      <c r="N393" s="12" t="s">
        <v>1447</v>
      </c>
      <c r="O393" s="12"/>
      <c r="P393" s="12"/>
      <c r="Q393" s="12"/>
    </row>
    <row r="394" spans="1:17" x14ac:dyDescent="0.25">
      <c r="A394" s="11">
        <v>103072</v>
      </c>
      <c r="B394" s="12" t="s">
        <v>4015</v>
      </c>
      <c r="C394" s="12" t="s">
        <v>1449</v>
      </c>
      <c r="D394" s="125">
        <v>4000000</v>
      </c>
      <c r="E394" s="125">
        <v>1549076.36</v>
      </c>
      <c r="F394" s="12">
        <v>48</v>
      </c>
      <c r="G394" s="12">
        <v>180</v>
      </c>
      <c r="H394" s="12">
        <v>0</v>
      </c>
      <c r="I394" s="13">
        <v>42766.783886226855</v>
      </c>
      <c r="J394" s="13">
        <v>43134</v>
      </c>
      <c r="K394" s="12" t="s">
        <v>44</v>
      </c>
      <c r="L394" s="12" t="s">
        <v>75</v>
      </c>
      <c r="M394" s="12" t="s">
        <v>1442</v>
      </c>
      <c r="N394" s="12" t="s">
        <v>963</v>
      </c>
      <c r="O394" s="12"/>
      <c r="P394" s="12"/>
      <c r="Q394" s="12"/>
    </row>
    <row r="395" spans="1:17" x14ac:dyDescent="0.25">
      <c r="A395" s="11">
        <v>103073</v>
      </c>
      <c r="B395" s="12" t="s">
        <v>1899</v>
      </c>
      <c r="C395" s="12" t="s">
        <v>1449</v>
      </c>
      <c r="D395" s="125">
        <v>65000000</v>
      </c>
      <c r="E395" s="125">
        <v>50377873.240000002</v>
      </c>
      <c r="F395" s="12">
        <v>36</v>
      </c>
      <c r="G395" s="12">
        <v>180</v>
      </c>
      <c r="H395" s="12">
        <v>0</v>
      </c>
      <c r="I395" s="13">
        <v>42766.845477395836</v>
      </c>
      <c r="J395" s="13">
        <v>43503</v>
      </c>
      <c r="K395" s="12" t="s">
        <v>35</v>
      </c>
      <c r="L395" s="12" t="s">
        <v>121</v>
      </c>
      <c r="M395" s="12" t="s">
        <v>122</v>
      </c>
      <c r="N395" s="12" t="s">
        <v>1447</v>
      </c>
      <c r="O395" s="12"/>
      <c r="P395" s="12"/>
      <c r="Q395" s="12"/>
    </row>
    <row r="396" spans="1:17" x14ac:dyDescent="0.25">
      <c r="A396" s="11">
        <v>103074</v>
      </c>
      <c r="B396" s="12" t="s">
        <v>130</v>
      </c>
      <c r="C396" s="12" t="s">
        <v>1449</v>
      </c>
      <c r="D396" s="125">
        <v>65000000</v>
      </c>
      <c r="E396" s="125">
        <v>51169733.530000001</v>
      </c>
      <c r="F396" s="12">
        <v>36</v>
      </c>
      <c r="G396" s="12">
        <v>180</v>
      </c>
      <c r="H396" s="12">
        <v>0</v>
      </c>
      <c r="I396" s="13">
        <v>42766.894392326387</v>
      </c>
      <c r="J396" s="13">
        <v>43680</v>
      </c>
      <c r="K396" s="12" t="s">
        <v>25</v>
      </c>
      <c r="L396" s="12" t="s">
        <v>26</v>
      </c>
      <c r="M396" s="12" t="s">
        <v>26</v>
      </c>
      <c r="N396" s="12" t="s">
        <v>90</v>
      </c>
      <c r="O396" s="12"/>
      <c r="P396" s="12"/>
      <c r="Q396" s="12"/>
    </row>
    <row r="397" spans="1:17" x14ac:dyDescent="0.25">
      <c r="A397" s="11">
        <v>103075</v>
      </c>
      <c r="B397" s="12" t="s">
        <v>4010</v>
      </c>
      <c r="C397" s="12" t="s">
        <v>2807</v>
      </c>
      <c r="D397" s="125">
        <v>2500000</v>
      </c>
      <c r="E397" s="125">
        <v>984987.52</v>
      </c>
      <c r="F397" s="12">
        <v>54</v>
      </c>
      <c r="G397" s="12">
        <v>180</v>
      </c>
      <c r="H397" s="12">
        <v>0</v>
      </c>
      <c r="I397" s="13">
        <v>42766.930841747686</v>
      </c>
      <c r="J397" s="13">
        <v>43134</v>
      </c>
      <c r="K397" s="12" t="s">
        <v>25</v>
      </c>
      <c r="L397" s="12" t="s">
        <v>26</v>
      </c>
      <c r="M397" s="12" t="s">
        <v>26</v>
      </c>
      <c r="N397" s="12" t="s">
        <v>2494</v>
      </c>
      <c r="O397" s="12"/>
      <c r="P397" s="12"/>
      <c r="Q397" s="12"/>
    </row>
    <row r="398" spans="1:17" x14ac:dyDescent="0.25">
      <c r="A398" s="11">
        <v>103076</v>
      </c>
      <c r="B398" s="12" t="s">
        <v>4041</v>
      </c>
      <c r="C398" s="12" t="s">
        <v>1449</v>
      </c>
      <c r="D398" s="125">
        <v>6000000</v>
      </c>
      <c r="E398" s="125">
        <v>711293.86</v>
      </c>
      <c r="F398" s="12">
        <v>48</v>
      </c>
      <c r="G398" s="12">
        <v>180</v>
      </c>
      <c r="H398" s="12">
        <v>0</v>
      </c>
      <c r="I398" s="13">
        <v>42768.689616203701</v>
      </c>
      <c r="J398" s="13">
        <v>43071</v>
      </c>
      <c r="K398" s="12" t="s">
        <v>36</v>
      </c>
      <c r="L398" s="12" t="s">
        <v>97</v>
      </c>
      <c r="M398" s="12" t="s">
        <v>98</v>
      </c>
      <c r="N398" s="12" t="s">
        <v>5725</v>
      </c>
      <c r="O398" s="12"/>
      <c r="P398" s="12"/>
      <c r="Q398" s="12"/>
    </row>
    <row r="399" spans="1:17" x14ac:dyDescent="0.25">
      <c r="A399" s="11">
        <v>103077</v>
      </c>
      <c r="B399" s="12" t="s">
        <v>1015</v>
      </c>
      <c r="C399" s="12" t="s">
        <v>2807</v>
      </c>
      <c r="D399" s="125">
        <v>40000000</v>
      </c>
      <c r="E399" s="125">
        <v>11366727.82</v>
      </c>
      <c r="F399" s="12">
        <v>36</v>
      </c>
      <c r="G399" s="12">
        <v>180</v>
      </c>
      <c r="H399" s="12">
        <v>0</v>
      </c>
      <c r="I399" s="13">
        <v>42769.700199687497</v>
      </c>
      <c r="J399" s="13">
        <v>43134</v>
      </c>
      <c r="K399" s="12" t="s">
        <v>25</v>
      </c>
      <c r="L399" s="12" t="s">
        <v>88</v>
      </c>
      <c r="M399" s="12" t="s">
        <v>285</v>
      </c>
      <c r="N399" s="12" t="s">
        <v>2855</v>
      </c>
      <c r="O399" s="12"/>
      <c r="P399" s="12"/>
      <c r="Q399" s="12"/>
    </row>
    <row r="400" spans="1:17" x14ac:dyDescent="0.25">
      <c r="A400" s="11">
        <v>103078</v>
      </c>
      <c r="B400" s="12" t="s">
        <v>1947</v>
      </c>
      <c r="C400" s="12" t="s">
        <v>2807</v>
      </c>
      <c r="D400" s="125">
        <v>20000000</v>
      </c>
      <c r="E400" s="125">
        <v>11535815.109999999</v>
      </c>
      <c r="F400" s="12">
        <v>42</v>
      </c>
      <c r="G400" s="12">
        <v>180</v>
      </c>
      <c r="H400" s="12">
        <v>0</v>
      </c>
      <c r="I400" s="13">
        <v>42769.714571296296</v>
      </c>
      <c r="J400" s="13">
        <v>43315</v>
      </c>
      <c r="K400" s="12" t="s">
        <v>25</v>
      </c>
      <c r="L400" s="12" t="s">
        <v>88</v>
      </c>
      <c r="M400" s="12" t="s">
        <v>26</v>
      </c>
      <c r="N400" s="12" t="s">
        <v>4684</v>
      </c>
      <c r="O400" s="12"/>
      <c r="P400" s="12"/>
      <c r="Q400" s="12"/>
    </row>
    <row r="401" spans="1:17" x14ac:dyDescent="0.25">
      <c r="A401" s="11">
        <v>103079</v>
      </c>
      <c r="B401" s="12" t="s">
        <v>4046</v>
      </c>
      <c r="C401" s="12" t="s">
        <v>2807</v>
      </c>
      <c r="D401" s="125">
        <v>16000000</v>
      </c>
      <c r="E401" s="125">
        <v>4638791.34</v>
      </c>
      <c r="F401" s="12">
        <v>42</v>
      </c>
      <c r="G401" s="12">
        <v>180</v>
      </c>
      <c r="H401" s="12">
        <v>0</v>
      </c>
      <c r="I401" s="13">
        <v>42769.727911192131</v>
      </c>
      <c r="J401" s="13">
        <v>43134</v>
      </c>
      <c r="K401" s="12" t="s">
        <v>29</v>
      </c>
      <c r="L401" s="12" t="s">
        <v>26</v>
      </c>
      <c r="M401" s="12" t="s">
        <v>26</v>
      </c>
      <c r="N401" s="12" t="s">
        <v>5167</v>
      </c>
      <c r="O401" s="12"/>
      <c r="P401" s="12"/>
      <c r="Q401" s="12"/>
    </row>
    <row r="402" spans="1:17" x14ac:dyDescent="0.25">
      <c r="A402" s="11">
        <v>103081</v>
      </c>
      <c r="B402" s="12" t="s">
        <v>4056</v>
      </c>
      <c r="C402" s="12" t="s">
        <v>2807</v>
      </c>
      <c r="D402" s="125">
        <v>10000000</v>
      </c>
      <c r="E402" s="125">
        <v>2956919.77</v>
      </c>
      <c r="F402" s="12">
        <v>48</v>
      </c>
      <c r="G402" s="12">
        <v>180</v>
      </c>
      <c r="H402" s="12">
        <v>0</v>
      </c>
      <c r="I402" s="13">
        <v>42773.480308715276</v>
      </c>
      <c r="J402" s="13">
        <v>43138</v>
      </c>
      <c r="K402" s="12" t="s">
        <v>25</v>
      </c>
      <c r="L402" s="12" t="s">
        <v>286</v>
      </c>
      <c r="M402" s="12" t="s">
        <v>26</v>
      </c>
      <c r="N402" s="12" t="s">
        <v>2494</v>
      </c>
      <c r="O402" s="12"/>
      <c r="P402" s="12"/>
      <c r="Q402" s="12"/>
    </row>
    <row r="403" spans="1:17" x14ac:dyDescent="0.25">
      <c r="A403" s="11">
        <v>103082</v>
      </c>
      <c r="B403" s="12" t="s">
        <v>478</v>
      </c>
      <c r="C403" s="12" t="s">
        <v>2807</v>
      </c>
      <c r="D403" s="125">
        <v>20000000</v>
      </c>
      <c r="E403" s="125">
        <v>14098084.359999999</v>
      </c>
      <c r="F403" s="12">
        <v>36</v>
      </c>
      <c r="G403" s="12">
        <v>180</v>
      </c>
      <c r="H403" s="12">
        <v>0</v>
      </c>
      <c r="I403" s="13">
        <v>42773.655355821757</v>
      </c>
      <c r="J403" s="13">
        <v>43503</v>
      </c>
      <c r="K403" s="12" t="s">
        <v>36</v>
      </c>
      <c r="L403" s="12" t="s">
        <v>1023</v>
      </c>
      <c r="M403" s="12" t="s">
        <v>4042</v>
      </c>
      <c r="N403" s="12" t="s">
        <v>86</v>
      </c>
      <c r="O403" s="12"/>
      <c r="P403" s="12"/>
      <c r="Q403" s="12"/>
    </row>
    <row r="404" spans="1:17" x14ac:dyDescent="0.25">
      <c r="A404" s="11">
        <v>103083</v>
      </c>
      <c r="B404" s="12" t="s">
        <v>4060</v>
      </c>
      <c r="C404" s="12" t="s">
        <v>2807</v>
      </c>
      <c r="D404" s="125">
        <v>5500000</v>
      </c>
      <c r="E404" s="125">
        <v>413059.12</v>
      </c>
      <c r="F404" s="12">
        <v>54</v>
      </c>
      <c r="G404" s="12">
        <v>180</v>
      </c>
      <c r="H404" s="12">
        <v>0</v>
      </c>
      <c r="I404" s="13">
        <v>42774.582986076392</v>
      </c>
      <c r="J404" s="13">
        <v>43047</v>
      </c>
      <c r="K404" s="12" t="s">
        <v>36</v>
      </c>
      <c r="L404" s="12" t="s">
        <v>97</v>
      </c>
      <c r="M404" s="12" t="s">
        <v>98</v>
      </c>
      <c r="N404" s="12" t="s">
        <v>2855</v>
      </c>
      <c r="O404" s="12"/>
      <c r="P404" s="12"/>
      <c r="Q404" s="12"/>
    </row>
    <row r="405" spans="1:17" x14ac:dyDescent="0.25">
      <c r="A405" s="11">
        <v>103085</v>
      </c>
      <c r="B405" s="12" t="s">
        <v>1542</v>
      </c>
      <c r="C405" s="12" t="s">
        <v>1449</v>
      </c>
      <c r="D405" s="125">
        <v>17500000</v>
      </c>
      <c r="E405" s="125">
        <v>10162105.699999999</v>
      </c>
      <c r="F405" s="12">
        <v>42</v>
      </c>
      <c r="G405" s="12">
        <v>180</v>
      </c>
      <c r="H405" s="12">
        <v>0</v>
      </c>
      <c r="I405" s="13">
        <v>42775.669208182873</v>
      </c>
      <c r="J405" s="13">
        <v>43327</v>
      </c>
      <c r="K405" s="12" t="s">
        <v>25</v>
      </c>
      <c r="L405" s="12" t="s">
        <v>103</v>
      </c>
      <c r="M405" s="12" t="s">
        <v>26</v>
      </c>
      <c r="N405" s="12" t="s">
        <v>1191</v>
      </c>
      <c r="O405" s="12"/>
      <c r="P405" s="12"/>
      <c r="Q405" s="12"/>
    </row>
    <row r="406" spans="1:17" x14ac:dyDescent="0.25">
      <c r="A406" s="11">
        <v>103086</v>
      </c>
      <c r="B406" s="12" t="s">
        <v>1028</v>
      </c>
      <c r="C406" s="12" t="s">
        <v>2807</v>
      </c>
      <c r="D406" s="125">
        <v>16500000</v>
      </c>
      <c r="E406" s="125">
        <v>9340944.1600000001</v>
      </c>
      <c r="F406" s="12">
        <v>36</v>
      </c>
      <c r="G406" s="12">
        <v>180</v>
      </c>
      <c r="H406" s="12">
        <v>0</v>
      </c>
      <c r="I406" s="13">
        <v>42776.647220682869</v>
      </c>
      <c r="J406" s="13">
        <v>43322</v>
      </c>
      <c r="K406" s="12" t="s">
        <v>25</v>
      </c>
      <c r="L406" s="12" t="s">
        <v>88</v>
      </c>
      <c r="M406" s="12" t="s">
        <v>285</v>
      </c>
      <c r="N406" s="12" t="s">
        <v>963</v>
      </c>
      <c r="O406" s="12"/>
      <c r="P406" s="12"/>
      <c r="Q406" s="12"/>
    </row>
    <row r="407" spans="1:17" x14ac:dyDescent="0.25">
      <c r="A407" s="11">
        <v>103088</v>
      </c>
      <c r="B407" s="12" t="s">
        <v>2124</v>
      </c>
      <c r="C407" s="12" t="s">
        <v>2807</v>
      </c>
      <c r="D407" s="125">
        <v>31000000</v>
      </c>
      <c r="E407" s="125">
        <v>22992719.140000001</v>
      </c>
      <c r="F407" s="12">
        <v>36</v>
      </c>
      <c r="G407" s="12">
        <v>180</v>
      </c>
      <c r="H407" s="12">
        <v>0</v>
      </c>
      <c r="I407" s="13">
        <v>42779.397830173613</v>
      </c>
      <c r="J407" s="13">
        <v>43509</v>
      </c>
      <c r="K407" s="12" t="s">
        <v>35</v>
      </c>
      <c r="L407" s="12" t="s">
        <v>121</v>
      </c>
      <c r="M407" s="12" t="s">
        <v>26</v>
      </c>
      <c r="N407" s="12" t="s">
        <v>1447</v>
      </c>
      <c r="O407" s="12"/>
      <c r="P407" s="12"/>
      <c r="Q407" s="12"/>
    </row>
    <row r="408" spans="1:17" x14ac:dyDescent="0.25">
      <c r="A408" s="11">
        <v>103089</v>
      </c>
      <c r="B408" s="12" t="s">
        <v>4104</v>
      </c>
      <c r="C408" s="12" t="s">
        <v>2807</v>
      </c>
      <c r="D408" s="125">
        <v>7000000</v>
      </c>
      <c r="E408" s="125">
        <v>2110279.12</v>
      </c>
      <c r="F408" s="12">
        <v>54</v>
      </c>
      <c r="G408" s="12">
        <v>180</v>
      </c>
      <c r="H408" s="12">
        <v>0</v>
      </c>
      <c r="I408" s="13">
        <v>42780.510733530093</v>
      </c>
      <c r="J408" s="13">
        <v>43145</v>
      </c>
      <c r="K408" s="12" t="s">
        <v>44</v>
      </c>
      <c r="L408" s="12" t="s">
        <v>75</v>
      </c>
      <c r="M408" s="12" t="s">
        <v>26</v>
      </c>
      <c r="N408" s="12" t="s">
        <v>5167</v>
      </c>
      <c r="O408" s="12"/>
      <c r="P408" s="12"/>
      <c r="Q408" s="12"/>
    </row>
    <row r="409" spans="1:17" x14ac:dyDescent="0.25">
      <c r="A409" s="11">
        <v>103091</v>
      </c>
      <c r="B409" s="12" t="s">
        <v>841</v>
      </c>
      <c r="C409" s="12" t="s">
        <v>2807</v>
      </c>
      <c r="D409" s="125">
        <v>55000000</v>
      </c>
      <c r="E409" s="125">
        <v>37944964.439999998</v>
      </c>
      <c r="F409" s="12">
        <v>36</v>
      </c>
      <c r="G409" s="12">
        <v>180</v>
      </c>
      <c r="H409" s="12">
        <v>0</v>
      </c>
      <c r="I409" s="13">
        <v>42780.685994212959</v>
      </c>
      <c r="J409" s="13">
        <v>43418</v>
      </c>
      <c r="K409" s="12" t="s">
        <v>25</v>
      </c>
      <c r="L409" s="12" t="s">
        <v>26</v>
      </c>
      <c r="M409" s="12" t="s">
        <v>26</v>
      </c>
      <c r="N409" s="12" t="s">
        <v>86</v>
      </c>
      <c r="O409" s="12"/>
      <c r="P409" s="12"/>
      <c r="Q409" s="12"/>
    </row>
    <row r="410" spans="1:17" x14ac:dyDescent="0.25">
      <c r="A410" s="11">
        <v>103092</v>
      </c>
      <c r="B410" s="12" t="s">
        <v>1529</v>
      </c>
      <c r="C410" s="12" t="s">
        <v>2807</v>
      </c>
      <c r="D410" s="125">
        <v>40000000</v>
      </c>
      <c r="E410" s="125">
        <v>22644713</v>
      </c>
      <c r="F410" s="12">
        <v>36</v>
      </c>
      <c r="G410" s="12">
        <v>180</v>
      </c>
      <c r="H410" s="12">
        <v>0</v>
      </c>
      <c r="I410" s="13">
        <v>42780.734529895832</v>
      </c>
      <c r="J410" s="13">
        <v>43326</v>
      </c>
      <c r="K410" s="12" t="s">
        <v>25</v>
      </c>
      <c r="L410" s="12" t="s">
        <v>88</v>
      </c>
      <c r="M410" s="12" t="s">
        <v>26</v>
      </c>
      <c r="N410" s="12" t="s">
        <v>90</v>
      </c>
      <c r="O410" s="12"/>
      <c r="P410" s="12"/>
      <c r="Q410" s="12"/>
    </row>
    <row r="411" spans="1:17" x14ac:dyDescent="0.25">
      <c r="A411" s="11">
        <v>103093</v>
      </c>
      <c r="B411" s="12" t="s">
        <v>174</v>
      </c>
      <c r="C411" s="12" t="s">
        <v>2807</v>
      </c>
      <c r="D411" s="125">
        <v>3000000</v>
      </c>
      <c r="E411" s="125">
        <v>1049643.77</v>
      </c>
      <c r="F411" s="12">
        <v>48</v>
      </c>
      <c r="G411" s="12">
        <v>180</v>
      </c>
      <c r="H411" s="12">
        <v>0</v>
      </c>
      <c r="I411" s="13">
        <v>42781.736808333335</v>
      </c>
      <c r="J411" s="13">
        <v>43146</v>
      </c>
      <c r="K411" s="12" t="s">
        <v>25</v>
      </c>
      <c r="L411" s="12" t="s">
        <v>88</v>
      </c>
      <c r="M411" s="12" t="s">
        <v>285</v>
      </c>
      <c r="N411" s="12" t="s">
        <v>90</v>
      </c>
      <c r="O411" s="12"/>
      <c r="P411" s="12"/>
      <c r="Q411" s="12"/>
    </row>
    <row r="412" spans="1:17" x14ac:dyDescent="0.25">
      <c r="A412" s="11">
        <v>103094</v>
      </c>
      <c r="B412" s="12" t="s">
        <v>4110</v>
      </c>
      <c r="C412" s="12" t="s">
        <v>1449</v>
      </c>
      <c r="D412" s="125">
        <v>35000000</v>
      </c>
      <c r="E412" s="125">
        <v>9945886.8599999994</v>
      </c>
      <c r="F412" s="12">
        <v>36</v>
      </c>
      <c r="G412" s="12">
        <v>180</v>
      </c>
      <c r="H412" s="12">
        <v>0</v>
      </c>
      <c r="I412" s="13">
        <v>42781.798640624998</v>
      </c>
      <c r="J412" s="13">
        <v>43146</v>
      </c>
      <c r="K412" s="12" t="s">
        <v>44</v>
      </c>
      <c r="L412" s="12" t="s">
        <v>75</v>
      </c>
      <c r="M412" s="12" t="s">
        <v>1442</v>
      </c>
      <c r="N412" s="12" t="s">
        <v>468</v>
      </c>
      <c r="O412" s="12"/>
      <c r="P412" s="12"/>
      <c r="Q412" s="12"/>
    </row>
    <row r="413" spans="1:17" x14ac:dyDescent="0.25">
      <c r="A413" s="11">
        <v>103095</v>
      </c>
      <c r="B413" s="12" t="s">
        <v>415</v>
      </c>
      <c r="C413" s="12" t="s">
        <v>1449</v>
      </c>
      <c r="D413" s="125">
        <v>45000000</v>
      </c>
      <c r="E413" s="125">
        <v>35390840.109999999</v>
      </c>
      <c r="F413" s="12">
        <v>36</v>
      </c>
      <c r="G413" s="12">
        <v>180</v>
      </c>
      <c r="H413" s="12">
        <v>0</v>
      </c>
      <c r="I413" s="13">
        <v>42783.688062303241</v>
      </c>
      <c r="J413" s="13">
        <v>43694</v>
      </c>
      <c r="K413" s="12" t="s">
        <v>35</v>
      </c>
      <c r="L413" s="12" t="s">
        <v>26</v>
      </c>
      <c r="M413" s="12" t="s">
        <v>26</v>
      </c>
      <c r="N413" s="12" t="s">
        <v>1925</v>
      </c>
      <c r="O413" s="12"/>
      <c r="P413" s="12"/>
      <c r="Q413" s="12"/>
    </row>
    <row r="414" spans="1:17" x14ac:dyDescent="0.25">
      <c r="A414" s="11">
        <v>103096</v>
      </c>
      <c r="B414" s="12" t="s">
        <v>230</v>
      </c>
      <c r="C414" s="12" t="s">
        <v>2807</v>
      </c>
      <c r="D414" s="125">
        <v>55000000</v>
      </c>
      <c r="E414" s="125">
        <v>38769731.990000002</v>
      </c>
      <c r="F414" s="12">
        <v>36</v>
      </c>
      <c r="G414" s="12">
        <v>180</v>
      </c>
      <c r="H414" s="12">
        <v>0</v>
      </c>
      <c r="I414" s="13">
        <v>42786.551654629628</v>
      </c>
      <c r="J414" s="13">
        <v>43516</v>
      </c>
      <c r="K414" s="12" t="s">
        <v>35</v>
      </c>
      <c r="L414" s="12" t="s">
        <v>121</v>
      </c>
      <c r="M414" s="12" t="s">
        <v>26</v>
      </c>
      <c r="N414" s="12" t="s">
        <v>86</v>
      </c>
      <c r="O414" s="12"/>
      <c r="P414" s="12"/>
      <c r="Q414" s="12"/>
    </row>
    <row r="415" spans="1:17" x14ac:dyDescent="0.25">
      <c r="A415" s="11">
        <v>103097</v>
      </c>
      <c r="B415" s="12" t="s">
        <v>4128</v>
      </c>
      <c r="C415" s="12" t="s">
        <v>2807</v>
      </c>
      <c r="D415" s="125">
        <v>55000000</v>
      </c>
      <c r="E415" s="125">
        <v>41214800.259999998</v>
      </c>
      <c r="F415" s="12">
        <v>40</v>
      </c>
      <c r="G415" s="12">
        <v>180</v>
      </c>
      <c r="H415" s="12">
        <v>0</v>
      </c>
      <c r="I415" s="13">
        <v>42786.513189849538</v>
      </c>
      <c r="J415" s="13">
        <v>43516</v>
      </c>
      <c r="K415" s="12" t="s">
        <v>44</v>
      </c>
      <c r="L415" s="12" t="s">
        <v>75</v>
      </c>
      <c r="M415" s="12" t="s">
        <v>26</v>
      </c>
      <c r="N415" s="12" t="s">
        <v>4684</v>
      </c>
      <c r="O415" s="12"/>
      <c r="P415" s="12"/>
      <c r="Q415" s="12"/>
    </row>
    <row r="416" spans="1:17" x14ac:dyDescent="0.25">
      <c r="A416" s="11">
        <v>103098</v>
      </c>
      <c r="B416" s="12" t="s">
        <v>1116</v>
      </c>
      <c r="C416" s="12" t="s">
        <v>2807</v>
      </c>
      <c r="D416" s="125">
        <v>15000000</v>
      </c>
      <c r="E416" s="125">
        <v>8876699.7300000004</v>
      </c>
      <c r="F416" s="12">
        <v>48</v>
      </c>
      <c r="G416" s="12">
        <v>180</v>
      </c>
      <c r="H416" s="12">
        <v>0</v>
      </c>
      <c r="I416" s="13">
        <v>42786.562125231481</v>
      </c>
      <c r="J416" s="13">
        <v>43332</v>
      </c>
      <c r="K416" s="12" t="s">
        <v>46</v>
      </c>
      <c r="L416" s="12" t="s">
        <v>46</v>
      </c>
      <c r="M416" s="12" t="s">
        <v>26</v>
      </c>
      <c r="N416" s="12" t="s">
        <v>1447</v>
      </c>
      <c r="O416" s="12"/>
      <c r="P416" s="12"/>
      <c r="Q416" s="12"/>
    </row>
    <row r="417" spans="1:17" x14ac:dyDescent="0.25">
      <c r="A417" s="11">
        <v>103099</v>
      </c>
      <c r="B417" s="12" t="s">
        <v>4352</v>
      </c>
      <c r="C417" s="12" t="s">
        <v>2807</v>
      </c>
      <c r="D417" s="125">
        <v>55000000</v>
      </c>
      <c r="E417" s="125">
        <v>47114080.979999997</v>
      </c>
      <c r="F417" s="12">
        <v>40</v>
      </c>
      <c r="G417" s="12">
        <v>180</v>
      </c>
      <c r="H417" s="12">
        <v>0</v>
      </c>
      <c r="I417" s="13">
        <v>42819.574463344907</v>
      </c>
      <c r="J417" s="13">
        <v>43556</v>
      </c>
      <c r="K417" s="12" t="s">
        <v>25</v>
      </c>
      <c r="L417" s="12" t="s">
        <v>88</v>
      </c>
      <c r="M417" s="12" t="s">
        <v>285</v>
      </c>
      <c r="N417" s="12" t="s">
        <v>1039</v>
      </c>
      <c r="O417" s="12"/>
      <c r="P417" s="12"/>
      <c r="Q417" s="12"/>
    </row>
    <row r="418" spans="1:17" x14ac:dyDescent="0.25">
      <c r="A418" s="11">
        <v>103100</v>
      </c>
      <c r="B418" s="12" t="s">
        <v>1024</v>
      </c>
      <c r="C418" s="12" t="s">
        <v>2807</v>
      </c>
      <c r="D418" s="125">
        <v>40000000</v>
      </c>
      <c r="E418" s="125">
        <v>15219031</v>
      </c>
      <c r="F418" s="12">
        <v>36</v>
      </c>
      <c r="G418" s="12">
        <v>180</v>
      </c>
      <c r="H418" s="12">
        <v>0</v>
      </c>
      <c r="I418" s="13">
        <v>42786.588575462963</v>
      </c>
      <c r="J418" s="13">
        <v>43151</v>
      </c>
      <c r="K418" s="12" t="s">
        <v>37</v>
      </c>
      <c r="L418" s="12" t="s">
        <v>26</v>
      </c>
      <c r="M418" s="12" t="s">
        <v>26</v>
      </c>
      <c r="N418" s="12" t="s">
        <v>86</v>
      </c>
      <c r="O418" s="12"/>
      <c r="P418" s="12"/>
      <c r="Q418" s="12"/>
    </row>
    <row r="419" spans="1:17" x14ac:dyDescent="0.25">
      <c r="A419" s="11">
        <v>103101</v>
      </c>
      <c r="B419" s="12" t="s">
        <v>4122</v>
      </c>
      <c r="C419" s="12" t="s">
        <v>2807</v>
      </c>
      <c r="D419" s="125">
        <v>3000000</v>
      </c>
      <c r="E419" s="125">
        <v>851743.54</v>
      </c>
      <c r="F419" s="12">
        <v>54</v>
      </c>
      <c r="G419" s="12">
        <v>180</v>
      </c>
      <c r="H419" s="12">
        <v>0</v>
      </c>
      <c r="I419" s="13">
        <v>42786.700476157406</v>
      </c>
      <c r="J419" s="13">
        <v>43028</v>
      </c>
      <c r="K419" s="12" t="s">
        <v>25</v>
      </c>
      <c r="L419" s="12" t="s">
        <v>94</v>
      </c>
      <c r="M419" s="12" t="s">
        <v>26</v>
      </c>
      <c r="N419" s="12" t="s">
        <v>4684</v>
      </c>
      <c r="O419" s="12"/>
      <c r="P419" s="12"/>
      <c r="Q419" s="12"/>
    </row>
    <row r="420" spans="1:17" x14ac:dyDescent="0.25">
      <c r="A420" s="11">
        <v>103102</v>
      </c>
      <c r="B420" s="12" t="s">
        <v>4123</v>
      </c>
      <c r="C420" s="12" t="s">
        <v>1449</v>
      </c>
      <c r="D420" s="125">
        <v>5000000</v>
      </c>
      <c r="E420" s="125">
        <v>1967151.37</v>
      </c>
      <c r="F420" s="12">
        <v>54</v>
      </c>
      <c r="G420" s="12">
        <v>180</v>
      </c>
      <c r="H420" s="12">
        <v>0</v>
      </c>
      <c r="I420" s="13">
        <v>42786.695248414355</v>
      </c>
      <c r="J420" s="13">
        <v>43151</v>
      </c>
      <c r="K420" s="12" t="s">
        <v>25</v>
      </c>
      <c r="L420" s="12" t="s">
        <v>88</v>
      </c>
      <c r="M420" s="12" t="s">
        <v>285</v>
      </c>
      <c r="N420" s="12" t="s">
        <v>2494</v>
      </c>
      <c r="O420" s="12"/>
      <c r="P420" s="12"/>
      <c r="Q420" s="12"/>
    </row>
    <row r="421" spans="1:17" x14ac:dyDescent="0.25">
      <c r="A421" s="11">
        <v>103103</v>
      </c>
      <c r="B421" s="12" t="s">
        <v>4126</v>
      </c>
      <c r="C421" s="12" t="s">
        <v>1449</v>
      </c>
      <c r="D421" s="125">
        <v>5000000</v>
      </c>
      <c r="E421" s="125">
        <v>1967151.37</v>
      </c>
      <c r="F421" s="12">
        <v>54</v>
      </c>
      <c r="G421" s="12">
        <v>180</v>
      </c>
      <c r="H421" s="12">
        <v>0</v>
      </c>
      <c r="I421" s="13">
        <v>42786.698819942132</v>
      </c>
      <c r="J421" s="13">
        <v>43151</v>
      </c>
      <c r="K421" s="12" t="s">
        <v>44</v>
      </c>
      <c r="L421" s="12" t="s">
        <v>75</v>
      </c>
      <c r="M421" s="12" t="s">
        <v>1442</v>
      </c>
      <c r="N421" s="12" t="s">
        <v>4684</v>
      </c>
      <c r="O421" s="12"/>
      <c r="P421" s="12"/>
      <c r="Q421" s="12"/>
    </row>
    <row r="422" spans="1:17" x14ac:dyDescent="0.25">
      <c r="A422" s="11">
        <v>103104</v>
      </c>
      <c r="B422" s="12" t="s">
        <v>4161</v>
      </c>
      <c r="C422" s="12" t="s">
        <v>2807</v>
      </c>
      <c r="D422" s="125">
        <v>2500000</v>
      </c>
      <c r="E422" s="125">
        <v>983575.67</v>
      </c>
      <c r="F422" s="12">
        <v>54</v>
      </c>
      <c r="G422" s="12">
        <v>180</v>
      </c>
      <c r="H422" s="12">
        <v>0</v>
      </c>
      <c r="I422" s="13">
        <v>42787.723566932873</v>
      </c>
      <c r="J422" s="13">
        <v>43152</v>
      </c>
      <c r="K422" s="12" t="s">
        <v>44</v>
      </c>
      <c r="L422" s="12" t="s">
        <v>92</v>
      </c>
      <c r="M422" s="12" t="s">
        <v>26</v>
      </c>
      <c r="N422" s="12" t="s">
        <v>1191</v>
      </c>
      <c r="O422" s="12"/>
      <c r="P422" s="12"/>
      <c r="Q422" s="12"/>
    </row>
    <row r="423" spans="1:17" x14ac:dyDescent="0.25">
      <c r="A423" s="11">
        <v>103105</v>
      </c>
      <c r="B423" s="12" t="s">
        <v>1135</v>
      </c>
      <c r="C423" s="12" t="s">
        <v>1449</v>
      </c>
      <c r="D423" s="125">
        <v>12000000</v>
      </c>
      <c r="E423" s="125">
        <v>8698654.6600000001</v>
      </c>
      <c r="F423" s="12">
        <v>48</v>
      </c>
      <c r="G423" s="12">
        <v>180</v>
      </c>
      <c r="H423" s="12">
        <v>0</v>
      </c>
      <c r="I423" s="13">
        <v>42787.705114351855</v>
      </c>
      <c r="J423" s="13">
        <v>43344</v>
      </c>
      <c r="K423" s="12" t="s">
        <v>44</v>
      </c>
      <c r="L423" s="12" t="s">
        <v>75</v>
      </c>
      <c r="M423" s="12" t="s">
        <v>1442</v>
      </c>
      <c r="N423" s="12" t="s">
        <v>468</v>
      </c>
      <c r="O423" s="12"/>
      <c r="P423" s="12"/>
      <c r="Q423" s="12"/>
    </row>
    <row r="424" spans="1:17" x14ac:dyDescent="0.25">
      <c r="A424" s="11">
        <v>103106</v>
      </c>
      <c r="B424" s="12" t="s">
        <v>2189</v>
      </c>
      <c r="C424" s="12" t="s">
        <v>1449</v>
      </c>
      <c r="D424" s="125">
        <v>40000000</v>
      </c>
      <c r="E424" s="125">
        <v>24808796.93</v>
      </c>
      <c r="F424" s="12">
        <v>36</v>
      </c>
      <c r="G424" s="12">
        <v>180</v>
      </c>
      <c r="H424" s="12">
        <v>0</v>
      </c>
      <c r="I424" s="13">
        <v>42787.732135335646</v>
      </c>
      <c r="J424" s="13">
        <v>43333</v>
      </c>
      <c r="K424" s="12" t="s">
        <v>35</v>
      </c>
      <c r="L424" s="12" t="s">
        <v>26</v>
      </c>
      <c r="M424" s="12" t="s">
        <v>26</v>
      </c>
      <c r="N424" s="12" t="s">
        <v>468</v>
      </c>
      <c r="O424" s="12"/>
      <c r="P424" s="12"/>
      <c r="Q424" s="12"/>
    </row>
    <row r="425" spans="1:17" x14ac:dyDescent="0.25">
      <c r="A425" s="11">
        <v>103108</v>
      </c>
      <c r="B425" s="12" t="s">
        <v>4183</v>
      </c>
      <c r="C425" s="12" t="s">
        <v>1449</v>
      </c>
      <c r="D425" s="125">
        <v>35000000</v>
      </c>
      <c r="E425" s="125">
        <v>11605983.99</v>
      </c>
      <c r="F425" s="12">
        <v>36</v>
      </c>
      <c r="G425" s="12">
        <v>180</v>
      </c>
      <c r="H425" s="12">
        <v>0</v>
      </c>
      <c r="I425" s="13">
        <v>42790.731250810182</v>
      </c>
      <c r="J425" s="13">
        <v>43093</v>
      </c>
      <c r="K425" s="12" t="s">
        <v>27</v>
      </c>
      <c r="L425" s="12" t="s">
        <v>116</v>
      </c>
      <c r="M425" s="12" t="s">
        <v>26</v>
      </c>
      <c r="N425" s="12" t="s">
        <v>1447</v>
      </c>
      <c r="O425" s="12"/>
      <c r="P425" s="12"/>
      <c r="Q425" s="12"/>
    </row>
    <row r="426" spans="1:17" x14ac:dyDescent="0.25">
      <c r="A426" s="11">
        <v>103109</v>
      </c>
      <c r="B426" s="12" t="s">
        <v>173</v>
      </c>
      <c r="C426" s="12" t="s">
        <v>1449</v>
      </c>
      <c r="D426" s="125">
        <v>7000000</v>
      </c>
      <c r="E426" s="125">
        <v>2721296.72</v>
      </c>
      <c r="F426" s="12">
        <v>48</v>
      </c>
      <c r="G426" s="12">
        <v>180</v>
      </c>
      <c r="H426" s="12">
        <v>0</v>
      </c>
      <c r="I426" s="13">
        <v>42793.752921446758</v>
      </c>
      <c r="J426" s="13">
        <v>43160</v>
      </c>
      <c r="K426" s="12" t="s">
        <v>44</v>
      </c>
      <c r="L426" s="12" t="s">
        <v>75</v>
      </c>
      <c r="M426" s="12" t="s">
        <v>4000</v>
      </c>
      <c r="N426" s="12" t="s">
        <v>5167</v>
      </c>
      <c r="O426" s="12"/>
      <c r="P426" s="12"/>
      <c r="Q426" s="12"/>
    </row>
    <row r="427" spans="1:17" x14ac:dyDescent="0.25">
      <c r="A427" s="11">
        <v>103110</v>
      </c>
      <c r="B427" s="12" t="s">
        <v>366</v>
      </c>
      <c r="C427" s="12" t="s">
        <v>1449</v>
      </c>
      <c r="D427" s="125">
        <v>26000000</v>
      </c>
      <c r="E427" s="125">
        <v>19736014.850000001</v>
      </c>
      <c r="F427" s="12">
        <v>42</v>
      </c>
      <c r="G427" s="12">
        <v>180</v>
      </c>
      <c r="H427" s="12">
        <v>0</v>
      </c>
      <c r="I427" s="13">
        <v>42794.581930787041</v>
      </c>
      <c r="J427" s="13">
        <v>43529</v>
      </c>
      <c r="K427" s="12" t="s">
        <v>25</v>
      </c>
      <c r="L427" s="12" t="s">
        <v>88</v>
      </c>
      <c r="M427" s="12" t="s">
        <v>285</v>
      </c>
      <c r="N427" s="12" t="s">
        <v>2538</v>
      </c>
      <c r="O427" s="12"/>
      <c r="P427" s="12"/>
      <c r="Q427" s="12"/>
    </row>
    <row r="428" spans="1:17" x14ac:dyDescent="0.25">
      <c r="A428" s="11">
        <v>103112</v>
      </c>
      <c r="B428" s="12" t="s">
        <v>4209</v>
      </c>
      <c r="C428" s="12" t="s">
        <v>1449</v>
      </c>
      <c r="D428" s="125">
        <v>20000000</v>
      </c>
      <c r="E428" s="125">
        <v>7490302.2000000002</v>
      </c>
      <c r="F428" s="12">
        <v>36</v>
      </c>
      <c r="G428" s="12">
        <v>180</v>
      </c>
      <c r="H428" s="12">
        <v>0</v>
      </c>
      <c r="I428" s="13">
        <v>42794.806688159719</v>
      </c>
      <c r="J428" s="13">
        <v>43160</v>
      </c>
      <c r="K428" s="12" t="s">
        <v>25</v>
      </c>
      <c r="L428" s="12" t="s">
        <v>94</v>
      </c>
      <c r="M428" s="12" t="s">
        <v>95</v>
      </c>
      <c r="N428" s="12" t="s">
        <v>4684</v>
      </c>
      <c r="O428" s="12"/>
      <c r="P428" s="12"/>
      <c r="Q428" s="12"/>
    </row>
    <row r="429" spans="1:17" x14ac:dyDescent="0.25">
      <c r="A429" s="11">
        <v>103113</v>
      </c>
      <c r="B429" s="12" t="s">
        <v>2337</v>
      </c>
      <c r="C429" s="12" t="s">
        <v>2807</v>
      </c>
      <c r="D429" s="125">
        <v>5000000</v>
      </c>
      <c r="E429" s="125">
        <v>2106431.0099999998</v>
      </c>
      <c r="F429" s="12">
        <v>48</v>
      </c>
      <c r="G429" s="12">
        <v>180</v>
      </c>
      <c r="H429" s="12">
        <v>0</v>
      </c>
      <c r="I429" s="13">
        <v>42794.808092974534</v>
      </c>
      <c r="J429" s="13">
        <v>43160</v>
      </c>
      <c r="K429" s="12" t="s">
        <v>44</v>
      </c>
      <c r="L429" s="12" t="s">
        <v>75</v>
      </c>
      <c r="M429" s="12" t="s">
        <v>26</v>
      </c>
      <c r="N429" s="12" t="s">
        <v>1447</v>
      </c>
      <c r="O429" s="12"/>
      <c r="P429" s="12"/>
      <c r="Q429" s="12"/>
    </row>
    <row r="430" spans="1:17" x14ac:dyDescent="0.25">
      <c r="A430" s="11">
        <v>103114</v>
      </c>
      <c r="B430" s="12" t="s">
        <v>432</v>
      </c>
      <c r="C430" s="12" t="s">
        <v>1449</v>
      </c>
      <c r="D430" s="125">
        <v>55000000</v>
      </c>
      <c r="E430" s="125">
        <v>45390845.670000002</v>
      </c>
      <c r="F430" s="12">
        <v>36</v>
      </c>
      <c r="G430" s="12">
        <v>180</v>
      </c>
      <c r="H430" s="12">
        <v>0</v>
      </c>
      <c r="I430" s="13">
        <v>42794.908129085648</v>
      </c>
      <c r="J430" s="13">
        <v>43709</v>
      </c>
      <c r="K430" s="12" t="s">
        <v>27</v>
      </c>
      <c r="L430" s="12" t="s">
        <v>26</v>
      </c>
      <c r="M430" s="12" t="s">
        <v>26</v>
      </c>
      <c r="N430" s="12" t="s">
        <v>468</v>
      </c>
      <c r="O430" s="12"/>
      <c r="P430" s="12"/>
      <c r="Q430" s="12"/>
    </row>
    <row r="431" spans="1:17" x14ac:dyDescent="0.25">
      <c r="A431" s="11">
        <v>103117</v>
      </c>
      <c r="B431" s="12" t="s">
        <v>4206</v>
      </c>
      <c r="C431" s="12" t="s">
        <v>2807</v>
      </c>
      <c r="D431" s="125">
        <v>3500000</v>
      </c>
      <c r="E431" s="125">
        <v>1903662.33</v>
      </c>
      <c r="F431" s="12">
        <v>54</v>
      </c>
      <c r="G431" s="12">
        <v>180</v>
      </c>
      <c r="H431" s="12">
        <v>0</v>
      </c>
      <c r="I431" s="13">
        <v>42796.546903969909</v>
      </c>
      <c r="J431" s="13">
        <v>43041</v>
      </c>
      <c r="K431" s="12" t="s">
        <v>44</v>
      </c>
      <c r="L431" s="12" t="s">
        <v>75</v>
      </c>
      <c r="M431" s="12" t="s">
        <v>26</v>
      </c>
      <c r="N431" s="12" t="s">
        <v>1448</v>
      </c>
      <c r="O431" s="12"/>
      <c r="P431" s="12"/>
      <c r="Q431" s="12"/>
    </row>
    <row r="432" spans="1:17" x14ac:dyDescent="0.25">
      <c r="A432" s="11">
        <v>103119</v>
      </c>
      <c r="B432" s="12" t="s">
        <v>2269</v>
      </c>
      <c r="C432" s="12" t="s">
        <v>2807</v>
      </c>
      <c r="D432" s="125">
        <v>3500000</v>
      </c>
      <c r="E432" s="125">
        <v>1370232.91</v>
      </c>
      <c r="F432" s="12">
        <v>48</v>
      </c>
      <c r="G432" s="12">
        <v>180</v>
      </c>
      <c r="H432" s="12">
        <v>0</v>
      </c>
      <c r="I432" s="13">
        <v>42801.556260300924</v>
      </c>
      <c r="J432" s="13">
        <v>43166</v>
      </c>
      <c r="K432" s="12" t="s">
        <v>25</v>
      </c>
      <c r="L432" s="12" t="s">
        <v>94</v>
      </c>
      <c r="M432" s="12" t="s">
        <v>26</v>
      </c>
      <c r="N432" s="12" t="s">
        <v>1447</v>
      </c>
      <c r="O432" s="12"/>
      <c r="P432" s="12"/>
      <c r="Q432" s="12"/>
    </row>
    <row r="433" spans="1:17" x14ac:dyDescent="0.25">
      <c r="A433" s="11">
        <v>103122</v>
      </c>
      <c r="B433" s="12" t="s">
        <v>4240</v>
      </c>
      <c r="C433" s="12" t="s">
        <v>2807</v>
      </c>
      <c r="D433" s="125">
        <v>4000000</v>
      </c>
      <c r="E433" s="125">
        <v>2259329.16</v>
      </c>
      <c r="F433" s="12">
        <v>54</v>
      </c>
      <c r="G433" s="12">
        <v>180</v>
      </c>
      <c r="H433" s="12">
        <v>0</v>
      </c>
      <c r="I433" s="13">
        <v>42805.452683599535</v>
      </c>
      <c r="J433" s="13">
        <v>43169</v>
      </c>
      <c r="K433" s="12" t="s">
        <v>45</v>
      </c>
      <c r="L433" s="12" t="s">
        <v>45</v>
      </c>
      <c r="M433" s="12" t="s">
        <v>26</v>
      </c>
      <c r="N433" s="12" t="s">
        <v>963</v>
      </c>
      <c r="O433" s="12"/>
      <c r="P433" s="12"/>
      <c r="Q433" s="12"/>
    </row>
    <row r="434" spans="1:17" x14ac:dyDescent="0.25">
      <c r="A434" s="11">
        <v>103123</v>
      </c>
      <c r="B434" s="12" t="s">
        <v>1488</v>
      </c>
      <c r="C434" s="12" t="s">
        <v>2807</v>
      </c>
      <c r="D434" s="125">
        <v>40227873</v>
      </c>
      <c r="E434" s="125">
        <v>15791541.779999999</v>
      </c>
      <c r="F434" s="12">
        <v>36</v>
      </c>
      <c r="G434" s="12">
        <v>180</v>
      </c>
      <c r="H434" s="12">
        <v>0</v>
      </c>
      <c r="I434" s="13">
        <v>42805.507712268518</v>
      </c>
      <c r="J434" s="13">
        <v>43170</v>
      </c>
      <c r="K434" s="12" t="s">
        <v>44</v>
      </c>
      <c r="L434" s="12" t="s">
        <v>75</v>
      </c>
      <c r="M434" s="12" t="s">
        <v>26</v>
      </c>
      <c r="N434" s="12" t="s">
        <v>546</v>
      </c>
      <c r="O434" s="12"/>
      <c r="P434" s="12"/>
      <c r="Q434" s="12"/>
    </row>
    <row r="435" spans="1:17" x14ac:dyDescent="0.25">
      <c r="A435" s="11">
        <v>103125</v>
      </c>
      <c r="B435" s="12" t="s">
        <v>2442</v>
      </c>
      <c r="C435" s="12" t="s">
        <v>1449</v>
      </c>
      <c r="D435" s="125">
        <v>8000000</v>
      </c>
      <c r="E435" s="125">
        <v>3058629.38</v>
      </c>
      <c r="F435" s="12">
        <v>44</v>
      </c>
      <c r="G435" s="12">
        <v>180</v>
      </c>
      <c r="H435" s="12">
        <v>0</v>
      </c>
      <c r="I435" s="13">
        <v>42810.643248958331</v>
      </c>
      <c r="J435" s="13">
        <v>43175</v>
      </c>
      <c r="K435" s="12" t="s">
        <v>25</v>
      </c>
      <c r="L435" s="12" t="s">
        <v>88</v>
      </c>
      <c r="M435" s="12" t="s">
        <v>285</v>
      </c>
      <c r="N435" s="12" t="s">
        <v>1925</v>
      </c>
      <c r="O435" s="12"/>
      <c r="P435" s="12"/>
      <c r="Q435" s="12"/>
    </row>
    <row r="436" spans="1:17" x14ac:dyDescent="0.25">
      <c r="A436" s="11">
        <v>103126</v>
      </c>
      <c r="B436" s="12" t="s">
        <v>1608</v>
      </c>
      <c r="C436" s="12" t="s">
        <v>1449</v>
      </c>
      <c r="D436" s="125">
        <v>10000000</v>
      </c>
      <c r="E436" s="125">
        <v>4600869.3899999997</v>
      </c>
      <c r="F436" s="12">
        <v>36</v>
      </c>
      <c r="G436" s="12">
        <v>180</v>
      </c>
      <c r="H436" s="12">
        <v>0</v>
      </c>
      <c r="I436" s="13">
        <v>42811.458580868057</v>
      </c>
      <c r="J436" s="13">
        <v>43176</v>
      </c>
      <c r="K436" s="12" t="s">
        <v>35</v>
      </c>
      <c r="L436" s="12" t="s">
        <v>121</v>
      </c>
      <c r="M436" s="12" t="s">
        <v>26</v>
      </c>
      <c r="N436" s="12" t="s">
        <v>1467</v>
      </c>
      <c r="O436" s="12"/>
      <c r="P436" s="12"/>
      <c r="Q436" s="12"/>
    </row>
    <row r="437" spans="1:17" x14ac:dyDescent="0.25">
      <c r="A437" s="11">
        <v>103129</v>
      </c>
      <c r="B437" s="12" t="s">
        <v>4271</v>
      </c>
      <c r="C437" s="12" t="s">
        <v>2807</v>
      </c>
      <c r="D437" s="125">
        <v>2000000</v>
      </c>
      <c r="E437" s="125">
        <v>694821.79</v>
      </c>
      <c r="F437" s="12">
        <v>54</v>
      </c>
      <c r="G437" s="12">
        <v>180</v>
      </c>
      <c r="H437" s="12">
        <v>0</v>
      </c>
      <c r="I437" s="13">
        <v>42814.751309525462</v>
      </c>
      <c r="J437" s="13">
        <v>43120</v>
      </c>
      <c r="K437" s="12" t="s">
        <v>44</v>
      </c>
      <c r="L437" s="12" t="s">
        <v>75</v>
      </c>
      <c r="M437" s="12" t="s">
        <v>26</v>
      </c>
      <c r="N437" s="12" t="s">
        <v>963</v>
      </c>
      <c r="O437" s="12"/>
      <c r="P437" s="12"/>
      <c r="Q437" s="12"/>
    </row>
    <row r="438" spans="1:17" x14ac:dyDescent="0.25">
      <c r="A438" s="11">
        <v>103130</v>
      </c>
      <c r="B438" s="12" t="s">
        <v>4307</v>
      </c>
      <c r="C438" s="12" t="s">
        <v>2807</v>
      </c>
      <c r="D438" s="125">
        <v>2000000</v>
      </c>
      <c r="E438" s="125">
        <v>746175.73</v>
      </c>
      <c r="F438" s="12">
        <v>54</v>
      </c>
      <c r="G438" s="12">
        <v>180</v>
      </c>
      <c r="H438" s="12">
        <v>0</v>
      </c>
      <c r="I438" s="13">
        <v>42816.715197534722</v>
      </c>
      <c r="J438" s="13">
        <v>43062</v>
      </c>
      <c r="K438" s="12" t="s">
        <v>25</v>
      </c>
      <c r="L438" s="12" t="s">
        <v>26</v>
      </c>
      <c r="M438" s="12" t="s">
        <v>26</v>
      </c>
      <c r="N438" s="12" t="s">
        <v>1039</v>
      </c>
      <c r="O438" s="12"/>
      <c r="P438" s="12"/>
      <c r="Q438" s="12"/>
    </row>
    <row r="439" spans="1:17" x14ac:dyDescent="0.25">
      <c r="A439" s="11">
        <v>103131</v>
      </c>
      <c r="B439" s="12" t="s">
        <v>4278</v>
      </c>
      <c r="C439" s="12" t="s">
        <v>2807</v>
      </c>
      <c r="D439" s="125">
        <v>4000000</v>
      </c>
      <c r="E439" s="125">
        <v>1913905.56</v>
      </c>
      <c r="F439" s="12">
        <v>48</v>
      </c>
      <c r="G439" s="12">
        <v>180</v>
      </c>
      <c r="H439" s="12">
        <v>0</v>
      </c>
      <c r="I439" s="13">
        <v>42815.560575694442</v>
      </c>
      <c r="J439" s="13">
        <v>43121</v>
      </c>
      <c r="K439" s="12" t="s">
        <v>36</v>
      </c>
      <c r="L439" s="12" t="s">
        <v>1023</v>
      </c>
      <c r="M439" s="12" t="s">
        <v>26</v>
      </c>
      <c r="N439" s="12" t="s">
        <v>1467</v>
      </c>
      <c r="O439" s="12"/>
      <c r="P439" s="12"/>
      <c r="Q439" s="12"/>
    </row>
    <row r="440" spans="1:17" x14ac:dyDescent="0.25">
      <c r="A440" s="11">
        <v>103134</v>
      </c>
      <c r="B440" s="12" t="s">
        <v>4331</v>
      </c>
      <c r="C440" s="12" t="s">
        <v>1449</v>
      </c>
      <c r="D440" s="125">
        <v>35000000</v>
      </c>
      <c r="E440" s="125">
        <v>16269963.73</v>
      </c>
      <c r="F440" s="12">
        <v>40</v>
      </c>
      <c r="G440" s="12">
        <v>180</v>
      </c>
      <c r="H440" s="12">
        <v>0</v>
      </c>
      <c r="I440" s="13">
        <v>42818.553093368057</v>
      </c>
      <c r="J440" s="13">
        <v>43183</v>
      </c>
      <c r="K440" s="12" t="s">
        <v>37</v>
      </c>
      <c r="L440" s="12" t="s">
        <v>38</v>
      </c>
      <c r="M440" s="12" t="s">
        <v>39</v>
      </c>
      <c r="N440" s="12" t="s">
        <v>1448</v>
      </c>
      <c r="O440" s="12"/>
      <c r="P440" s="12"/>
      <c r="Q440" s="12"/>
    </row>
    <row r="441" spans="1:17" x14ac:dyDescent="0.25">
      <c r="A441" s="11">
        <v>103135</v>
      </c>
      <c r="B441" s="12" t="s">
        <v>4326</v>
      </c>
      <c r="C441" s="12" t="s">
        <v>2807</v>
      </c>
      <c r="D441" s="125">
        <v>5000000</v>
      </c>
      <c r="E441" s="125">
        <v>3750488.76</v>
      </c>
      <c r="F441" s="12">
        <v>54</v>
      </c>
      <c r="G441" s="12">
        <v>180</v>
      </c>
      <c r="H441" s="12">
        <v>0</v>
      </c>
      <c r="I441" s="13">
        <v>42818.509962847224</v>
      </c>
      <c r="J441" s="13">
        <v>43063</v>
      </c>
      <c r="K441" s="12" t="s">
        <v>25</v>
      </c>
      <c r="L441" s="12" t="s">
        <v>295</v>
      </c>
      <c r="M441" s="12" t="s">
        <v>26</v>
      </c>
      <c r="N441" s="12" t="s">
        <v>546</v>
      </c>
      <c r="O441" s="12"/>
      <c r="P441" s="12"/>
      <c r="Q441" s="12"/>
    </row>
    <row r="442" spans="1:17" x14ac:dyDescent="0.25">
      <c r="A442" s="11">
        <v>103136</v>
      </c>
      <c r="B442" s="12" t="s">
        <v>853</v>
      </c>
      <c r="C442" s="12" t="s">
        <v>2807</v>
      </c>
      <c r="D442" s="125">
        <v>8000000</v>
      </c>
      <c r="E442" s="125">
        <v>3794810.74</v>
      </c>
      <c r="F442" s="12">
        <v>48</v>
      </c>
      <c r="G442" s="12">
        <v>180</v>
      </c>
      <c r="H442" s="12">
        <v>0</v>
      </c>
      <c r="I442" s="13">
        <v>42818.624222951388</v>
      </c>
      <c r="J442" s="13">
        <v>43183</v>
      </c>
      <c r="K442" s="12" t="s">
        <v>25</v>
      </c>
      <c r="L442" s="12" t="s">
        <v>88</v>
      </c>
      <c r="M442" s="12" t="s">
        <v>26</v>
      </c>
      <c r="N442" s="12" t="s">
        <v>90</v>
      </c>
      <c r="O442" s="12"/>
      <c r="P442" s="12"/>
      <c r="Q442" s="12"/>
    </row>
    <row r="443" spans="1:17" x14ac:dyDescent="0.25">
      <c r="A443" s="11">
        <v>103137</v>
      </c>
      <c r="B443" s="12" t="s">
        <v>1011</v>
      </c>
      <c r="C443" s="12" t="s">
        <v>1449</v>
      </c>
      <c r="D443" s="125">
        <v>7000000</v>
      </c>
      <c r="E443" s="125">
        <v>3320459.39</v>
      </c>
      <c r="F443" s="12">
        <v>48</v>
      </c>
      <c r="G443" s="12">
        <v>180</v>
      </c>
      <c r="H443" s="12">
        <v>0</v>
      </c>
      <c r="I443" s="13">
        <v>42818.652881828704</v>
      </c>
      <c r="J443" s="13">
        <v>43183</v>
      </c>
      <c r="K443" s="12" t="s">
        <v>44</v>
      </c>
      <c r="L443" s="12" t="s">
        <v>75</v>
      </c>
      <c r="M443" s="12" t="s">
        <v>1442</v>
      </c>
      <c r="N443" s="12" t="s">
        <v>468</v>
      </c>
      <c r="O443" s="12"/>
      <c r="P443" s="12"/>
      <c r="Q443" s="12"/>
    </row>
    <row r="444" spans="1:17" x14ac:dyDescent="0.25">
      <c r="A444" s="11">
        <v>103138</v>
      </c>
      <c r="B444" s="12" t="s">
        <v>4330</v>
      </c>
      <c r="C444" s="12" t="s">
        <v>2807</v>
      </c>
      <c r="D444" s="125">
        <v>9000000</v>
      </c>
      <c r="E444" s="125">
        <v>3095098.46</v>
      </c>
      <c r="F444" s="12">
        <v>50</v>
      </c>
      <c r="G444" s="12">
        <v>180</v>
      </c>
      <c r="H444" s="12">
        <v>0</v>
      </c>
      <c r="I444" s="13">
        <v>42818.790010416669</v>
      </c>
      <c r="J444" s="13">
        <v>43124</v>
      </c>
      <c r="K444" s="12" t="s">
        <v>25</v>
      </c>
      <c r="L444" s="12" t="s">
        <v>26</v>
      </c>
      <c r="M444" s="12" t="s">
        <v>26</v>
      </c>
      <c r="N444" s="12" t="s">
        <v>468</v>
      </c>
      <c r="O444" s="12"/>
      <c r="P444" s="12"/>
      <c r="Q444" s="12"/>
    </row>
    <row r="445" spans="1:17" x14ac:dyDescent="0.25">
      <c r="A445" s="11">
        <v>103139</v>
      </c>
      <c r="B445" s="12" t="s">
        <v>2921</v>
      </c>
      <c r="C445" s="12" t="s">
        <v>80</v>
      </c>
      <c r="D445" s="125">
        <v>8000000</v>
      </c>
      <c r="E445" s="125">
        <v>2737148.79</v>
      </c>
      <c r="F445" s="12">
        <v>48</v>
      </c>
      <c r="G445" s="12">
        <v>180</v>
      </c>
      <c r="H445" s="12">
        <v>0</v>
      </c>
      <c r="I445" s="13">
        <v>42818.802715590275</v>
      </c>
      <c r="J445" s="13">
        <v>43124</v>
      </c>
      <c r="K445" s="12" t="s">
        <v>37</v>
      </c>
      <c r="L445" s="12" t="s">
        <v>38</v>
      </c>
      <c r="M445" s="12" t="s">
        <v>39</v>
      </c>
      <c r="N445" s="12" t="s">
        <v>90</v>
      </c>
      <c r="O445" s="12"/>
      <c r="P445" s="12"/>
      <c r="Q445" s="12"/>
    </row>
    <row r="446" spans="1:17" x14ac:dyDescent="0.25">
      <c r="A446" s="11">
        <v>103141</v>
      </c>
      <c r="B446" s="12" t="s">
        <v>4356</v>
      </c>
      <c r="C446" s="12" t="s">
        <v>1449</v>
      </c>
      <c r="D446" s="125">
        <v>50000000</v>
      </c>
      <c r="E446" s="125">
        <v>23093684.050000001</v>
      </c>
      <c r="F446" s="12">
        <v>36</v>
      </c>
      <c r="G446" s="12">
        <v>180</v>
      </c>
      <c r="H446" s="12">
        <v>0</v>
      </c>
      <c r="I446" s="13">
        <v>42821.535370682868</v>
      </c>
      <c r="J446" s="13">
        <v>43191</v>
      </c>
      <c r="K446" s="12" t="s">
        <v>25</v>
      </c>
      <c r="L446" s="12" t="s">
        <v>106</v>
      </c>
      <c r="M446" s="12" t="s">
        <v>4357</v>
      </c>
      <c r="N446" s="12" t="s">
        <v>86</v>
      </c>
      <c r="O446" s="12"/>
      <c r="P446" s="12"/>
      <c r="Q446" s="12"/>
    </row>
    <row r="447" spans="1:17" x14ac:dyDescent="0.25">
      <c r="A447" s="11">
        <v>103142</v>
      </c>
      <c r="B447" s="12" t="s">
        <v>4360</v>
      </c>
      <c r="C447" s="12" t="s">
        <v>2807</v>
      </c>
      <c r="D447" s="125">
        <v>1500000</v>
      </c>
      <c r="E447" s="125">
        <v>272314.43</v>
      </c>
      <c r="F447" s="12">
        <v>54</v>
      </c>
      <c r="G447" s="12">
        <v>180</v>
      </c>
      <c r="H447" s="12">
        <v>0</v>
      </c>
      <c r="I447" s="13">
        <v>42821.547604201391</v>
      </c>
      <c r="J447" s="13">
        <v>43070</v>
      </c>
      <c r="K447" s="12" t="s">
        <v>25</v>
      </c>
      <c r="L447" s="12" t="s">
        <v>26</v>
      </c>
      <c r="M447" s="12" t="s">
        <v>26</v>
      </c>
      <c r="N447" s="12" t="s">
        <v>2494</v>
      </c>
      <c r="O447" s="12"/>
      <c r="P447" s="12"/>
      <c r="Q447" s="12"/>
    </row>
    <row r="448" spans="1:17" x14ac:dyDescent="0.25">
      <c r="A448" s="11">
        <v>103143</v>
      </c>
      <c r="B448" s="12" t="s">
        <v>4358</v>
      </c>
      <c r="C448" s="12" t="s">
        <v>1449</v>
      </c>
      <c r="D448" s="125">
        <v>6000000</v>
      </c>
      <c r="E448" s="125">
        <v>2876153.22</v>
      </c>
      <c r="F448" s="12">
        <v>54</v>
      </c>
      <c r="G448" s="12">
        <v>180</v>
      </c>
      <c r="H448" s="12">
        <v>0</v>
      </c>
      <c r="I448" s="13">
        <v>42821.581233136574</v>
      </c>
      <c r="J448" s="13">
        <v>43183</v>
      </c>
      <c r="K448" s="12" t="s">
        <v>25</v>
      </c>
      <c r="L448" s="12" t="s">
        <v>32</v>
      </c>
      <c r="M448" s="12" t="s">
        <v>517</v>
      </c>
      <c r="N448" s="12" t="s">
        <v>2175</v>
      </c>
      <c r="O448" s="12"/>
      <c r="P448" s="12"/>
      <c r="Q448" s="12"/>
    </row>
    <row r="449" spans="1:17" x14ac:dyDescent="0.25">
      <c r="A449" s="11">
        <v>103144</v>
      </c>
      <c r="B449" s="12" t="s">
        <v>2931</v>
      </c>
      <c r="C449" s="12" t="s">
        <v>1449</v>
      </c>
      <c r="D449" s="125">
        <v>5000000</v>
      </c>
      <c r="E449" s="125">
        <v>1715104.46</v>
      </c>
      <c r="F449" s="12">
        <v>48</v>
      </c>
      <c r="G449" s="12">
        <v>180</v>
      </c>
      <c r="H449" s="12">
        <v>0</v>
      </c>
      <c r="I449" s="13">
        <v>42823.50057758102</v>
      </c>
      <c r="J449" s="13">
        <v>43132</v>
      </c>
      <c r="K449" s="12" t="s">
        <v>25</v>
      </c>
      <c r="L449" s="12" t="s">
        <v>88</v>
      </c>
      <c r="M449" s="12" t="s">
        <v>285</v>
      </c>
      <c r="N449" s="12" t="s">
        <v>2494</v>
      </c>
      <c r="O449" s="12"/>
      <c r="P449" s="12"/>
      <c r="Q449" s="12"/>
    </row>
    <row r="450" spans="1:17" x14ac:dyDescent="0.25">
      <c r="A450" s="11">
        <v>103145</v>
      </c>
      <c r="B450" s="12" t="s">
        <v>4375</v>
      </c>
      <c r="C450" s="12" t="s">
        <v>1449</v>
      </c>
      <c r="D450" s="125">
        <v>10000000</v>
      </c>
      <c r="E450" s="125">
        <v>4712721.71</v>
      </c>
      <c r="F450" s="12">
        <v>44</v>
      </c>
      <c r="G450" s="12">
        <v>180</v>
      </c>
      <c r="H450" s="12">
        <v>0</v>
      </c>
      <c r="I450" s="13">
        <v>42822.714810034726</v>
      </c>
      <c r="J450" s="13">
        <v>43191</v>
      </c>
      <c r="K450" s="12" t="s">
        <v>29</v>
      </c>
      <c r="L450" s="12" t="s">
        <v>96</v>
      </c>
      <c r="M450" s="12" t="s">
        <v>96</v>
      </c>
      <c r="N450" s="12" t="s">
        <v>4684</v>
      </c>
      <c r="O450" s="12"/>
      <c r="P450" s="12"/>
      <c r="Q450" s="12"/>
    </row>
    <row r="451" spans="1:17" x14ac:dyDescent="0.25">
      <c r="A451" s="11">
        <v>103146</v>
      </c>
      <c r="B451" s="12" t="s">
        <v>4374</v>
      </c>
      <c r="C451" s="12" t="s">
        <v>1449</v>
      </c>
      <c r="D451" s="125">
        <v>2500000</v>
      </c>
      <c r="E451" s="125">
        <v>465821.2</v>
      </c>
      <c r="F451" s="12">
        <v>54</v>
      </c>
      <c r="G451" s="12">
        <v>180</v>
      </c>
      <c r="H451" s="12">
        <v>0</v>
      </c>
      <c r="I451" s="13">
        <v>42822.749953356484</v>
      </c>
      <c r="J451" s="13">
        <v>43009</v>
      </c>
      <c r="K451" s="12" t="s">
        <v>46</v>
      </c>
      <c r="L451" s="12" t="s">
        <v>46</v>
      </c>
      <c r="M451" s="12" t="s">
        <v>112</v>
      </c>
      <c r="N451" s="12" t="s">
        <v>90</v>
      </c>
      <c r="O451" s="12"/>
      <c r="P451" s="12"/>
      <c r="Q451" s="12"/>
    </row>
    <row r="452" spans="1:17" x14ac:dyDescent="0.25">
      <c r="A452" s="11">
        <v>103147</v>
      </c>
      <c r="B452" s="12" t="s">
        <v>1520</v>
      </c>
      <c r="C452" s="12" t="s">
        <v>2807</v>
      </c>
      <c r="D452" s="125">
        <v>55000000</v>
      </c>
      <c r="E452" s="125">
        <v>42841416.07</v>
      </c>
      <c r="F452" s="12">
        <v>36</v>
      </c>
      <c r="G452" s="12">
        <v>180</v>
      </c>
      <c r="H452" s="12">
        <v>0</v>
      </c>
      <c r="I452" s="13">
        <v>42823.728314814813</v>
      </c>
      <c r="J452" s="13">
        <v>43556</v>
      </c>
      <c r="K452" s="12" t="s">
        <v>25</v>
      </c>
      <c r="L452" s="12" t="s">
        <v>88</v>
      </c>
      <c r="M452" s="12" t="s">
        <v>285</v>
      </c>
      <c r="N452" s="12" t="s">
        <v>1925</v>
      </c>
      <c r="O452" s="12"/>
      <c r="P452" s="12"/>
      <c r="Q452" s="12"/>
    </row>
    <row r="453" spans="1:17" x14ac:dyDescent="0.25">
      <c r="A453" s="11">
        <v>103148</v>
      </c>
      <c r="B453" s="12" t="s">
        <v>634</v>
      </c>
      <c r="C453" s="12" t="s">
        <v>1449</v>
      </c>
      <c r="D453" s="125">
        <v>35000000</v>
      </c>
      <c r="E453" s="125">
        <v>28451425.239999998</v>
      </c>
      <c r="F453" s="12">
        <v>36</v>
      </c>
      <c r="G453" s="12">
        <v>180</v>
      </c>
      <c r="H453" s="12">
        <v>0</v>
      </c>
      <c r="I453" s="13">
        <v>42824.69433283565</v>
      </c>
      <c r="J453" s="13">
        <v>43556</v>
      </c>
      <c r="K453" s="12" t="s">
        <v>25</v>
      </c>
      <c r="L453" s="12" t="s">
        <v>94</v>
      </c>
      <c r="M453" s="12" t="s">
        <v>26</v>
      </c>
      <c r="N453" s="12" t="s">
        <v>86</v>
      </c>
      <c r="O453" s="12"/>
      <c r="P453" s="12"/>
      <c r="Q453" s="12"/>
    </row>
    <row r="454" spans="1:17" x14ac:dyDescent="0.25">
      <c r="A454" s="11">
        <v>103149</v>
      </c>
      <c r="B454" s="12" t="s">
        <v>4420</v>
      </c>
      <c r="C454" s="12" t="s">
        <v>2807</v>
      </c>
      <c r="D454" s="125">
        <v>20000000</v>
      </c>
      <c r="E454" s="125">
        <v>12807037.58</v>
      </c>
      <c r="F454" s="12">
        <v>48</v>
      </c>
      <c r="G454" s="12">
        <v>180</v>
      </c>
      <c r="H454" s="12">
        <v>0</v>
      </c>
      <c r="I454" s="13">
        <v>42825.540685879627</v>
      </c>
      <c r="J454" s="13">
        <v>43192</v>
      </c>
      <c r="K454" s="12" t="s">
        <v>25</v>
      </c>
      <c r="L454" s="12" t="s">
        <v>101</v>
      </c>
      <c r="M454" s="12" t="s">
        <v>95</v>
      </c>
      <c r="N454" s="12" t="s">
        <v>2861</v>
      </c>
      <c r="O454" s="12"/>
      <c r="P454" s="12"/>
      <c r="Q454" s="12"/>
    </row>
    <row r="455" spans="1:17" x14ac:dyDescent="0.25">
      <c r="A455" s="11">
        <v>103151</v>
      </c>
      <c r="B455" s="12" t="s">
        <v>1143</v>
      </c>
      <c r="C455" s="12" t="s">
        <v>2807</v>
      </c>
      <c r="D455" s="125">
        <v>5000000</v>
      </c>
      <c r="E455" s="125">
        <v>2377838.12</v>
      </c>
      <c r="F455" s="12">
        <v>48</v>
      </c>
      <c r="G455" s="12">
        <v>180</v>
      </c>
      <c r="H455" s="12">
        <v>0</v>
      </c>
      <c r="I455" s="13">
        <v>42823.699560844907</v>
      </c>
      <c r="J455" s="13">
        <v>43191</v>
      </c>
      <c r="K455" s="12" t="s">
        <v>44</v>
      </c>
      <c r="L455" s="12" t="s">
        <v>75</v>
      </c>
      <c r="M455" s="12" t="s">
        <v>26</v>
      </c>
      <c r="N455" s="12" t="s">
        <v>1909</v>
      </c>
      <c r="O455" s="12"/>
      <c r="P455" s="12"/>
      <c r="Q455" s="12"/>
    </row>
    <row r="456" spans="1:17" x14ac:dyDescent="0.25">
      <c r="A456" s="11">
        <v>103152</v>
      </c>
      <c r="B456" s="12" t="s">
        <v>4417</v>
      </c>
      <c r="C456" s="12" t="s">
        <v>1449</v>
      </c>
      <c r="D456" s="125">
        <v>6000000</v>
      </c>
      <c r="E456" s="125">
        <v>2892738.38</v>
      </c>
      <c r="F456" s="12">
        <v>54</v>
      </c>
      <c r="G456" s="12">
        <v>180</v>
      </c>
      <c r="H456" s="12">
        <v>0</v>
      </c>
      <c r="I456" s="13">
        <v>42825.540231712963</v>
      </c>
      <c r="J456" s="13">
        <v>43191</v>
      </c>
      <c r="K456" s="12" t="s">
        <v>27</v>
      </c>
      <c r="L456" s="12" t="s">
        <v>26</v>
      </c>
      <c r="M456" s="12" t="s">
        <v>26</v>
      </c>
      <c r="N456" s="12" t="s">
        <v>1039</v>
      </c>
      <c r="O456" s="12"/>
      <c r="P456" s="12"/>
      <c r="Q456" s="12"/>
    </row>
    <row r="457" spans="1:17" x14ac:dyDescent="0.25">
      <c r="A457" s="11">
        <v>103155</v>
      </c>
      <c r="B457" s="12" t="s">
        <v>211</v>
      </c>
      <c r="C457" s="12" t="s">
        <v>2807</v>
      </c>
      <c r="D457" s="125">
        <v>2500000</v>
      </c>
      <c r="E457" s="125">
        <v>1277122.79</v>
      </c>
      <c r="F457" s="12">
        <v>48</v>
      </c>
      <c r="G457" s="12">
        <v>180</v>
      </c>
      <c r="H457" s="12">
        <v>0</v>
      </c>
      <c r="I457" s="13">
        <v>42825.804170289353</v>
      </c>
      <c r="J457" s="13">
        <v>43191</v>
      </c>
      <c r="K457" s="12" t="s">
        <v>25</v>
      </c>
      <c r="L457" s="12" t="s">
        <v>26</v>
      </c>
      <c r="M457" s="12" t="s">
        <v>26</v>
      </c>
      <c r="N457" s="12" t="s">
        <v>1448</v>
      </c>
      <c r="O457" s="12"/>
      <c r="P457" s="12"/>
      <c r="Q457" s="12"/>
    </row>
    <row r="458" spans="1:17" x14ac:dyDescent="0.25">
      <c r="A458" s="11">
        <v>103158</v>
      </c>
      <c r="B458" s="12" t="s">
        <v>102</v>
      </c>
      <c r="C458" s="12" t="s">
        <v>2807</v>
      </c>
      <c r="D458" s="125">
        <v>10000000</v>
      </c>
      <c r="E458" s="125">
        <v>4696111.6900000004</v>
      </c>
      <c r="F458" s="12">
        <v>44</v>
      </c>
      <c r="G458" s="12">
        <v>180</v>
      </c>
      <c r="H458" s="12">
        <v>0</v>
      </c>
      <c r="I458" s="13">
        <v>42828.694925266202</v>
      </c>
      <c r="J458" s="13">
        <v>43193</v>
      </c>
      <c r="K458" s="12" t="s">
        <v>27</v>
      </c>
      <c r="L458" s="12" t="s">
        <v>26</v>
      </c>
      <c r="M458" s="12" t="s">
        <v>26</v>
      </c>
      <c r="N458" s="12" t="s">
        <v>90</v>
      </c>
      <c r="O458" s="12"/>
      <c r="P458" s="12"/>
      <c r="Q458" s="12"/>
    </row>
    <row r="459" spans="1:17" x14ac:dyDescent="0.25">
      <c r="A459" s="11">
        <v>103160</v>
      </c>
      <c r="B459" s="12" t="s">
        <v>4471</v>
      </c>
      <c r="C459" s="12" t="s">
        <v>2807</v>
      </c>
      <c r="D459" s="125">
        <v>55000000</v>
      </c>
      <c r="E459" s="125">
        <v>37358593.020000003</v>
      </c>
      <c r="F459" s="12">
        <v>40</v>
      </c>
      <c r="G459" s="12">
        <v>180</v>
      </c>
      <c r="H459" s="12">
        <v>0</v>
      </c>
      <c r="I459" s="13">
        <v>42832.668168750002</v>
      </c>
      <c r="J459" s="13">
        <v>43380</v>
      </c>
      <c r="K459" s="12" t="s">
        <v>27</v>
      </c>
      <c r="L459" s="12" t="s">
        <v>81</v>
      </c>
      <c r="M459" s="12" t="s">
        <v>1706</v>
      </c>
      <c r="N459" s="12" t="s">
        <v>2175</v>
      </c>
      <c r="O459" s="12"/>
      <c r="P459" s="12"/>
      <c r="Q459" s="12"/>
    </row>
    <row r="460" spans="1:17" x14ac:dyDescent="0.25">
      <c r="A460" s="11">
        <v>103161</v>
      </c>
      <c r="B460" s="12" t="s">
        <v>4486</v>
      </c>
      <c r="C460" s="12" t="s">
        <v>1449</v>
      </c>
      <c r="D460" s="125">
        <v>4000000</v>
      </c>
      <c r="E460" s="125">
        <v>580324.06000000006</v>
      </c>
      <c r="F460" s="12">
        <v>54</v>
      </c>
      <c r="G460" s="12">
        <v>180</v>
      </c>
      <c r="H460" s="12">
        <v>0</v>
      </c>
      <c r="I460" s="13">
        <v>42835.743929548611</v>
      </c>
      <c r="J460" s="13">
        <v>43079</v>
      </c>
      <c r="K460" s="12" t="s">
        <v>25</v>
      </c>
      <c r="L460" s="12" t="s">
        <v>88</v>
      </c>
      <c r="M460" s="12" t="s">
        <v>285</v>
      </c>
      <c r="N460" s="12" t="s">
        <v>2494</v>
      </c>
      <c r="O460" s="12"/>
      <c r="P460" s="12"/>
      <c r="Q460" s="12"/>
    </row>
    <row r="461" spans="1:17" x14ac:dyDescent="0.25">
      <c r="A461" s="11">
        <v>103162</v>
      </c>
      <c r="B461" s="12" t="s">
        <v>2035</v>
      </c>
      <c r="C461" s="12" t="s">
        <v>1449</v>
      </c>
      <c r="D461" s="125">
        <v>45000000</v>
      </c>
      <c r="E461" s="125">
        <v>34796417.969999999</v>
      </c>
      <c r="F461" s="12">
        <v>36</v>
      </c>
      <c r="G461" s="12">
        <v>180</v>
      </c>
      <c r="H461" s="12">
        <v>0</v>
      </c>
      <c r="I461" s="13">
        <v>42836.656538773146</v>
      </c>
      <c r="J461" s="13">
        <v>43384</v>
      </c>
      <c r="K461" s="12" t="s">
        <v>25</v>
      </c>
      <c r="L461" s="12" t="s">
        <v>88</v>
      </c>
      <c r="M461" s="12" t="s">
        <v>285</v>
      </c>
      <c r="N461" s="12" t="s">
        <v>5725</v>
      </c>
      <c r="O461" s="12"/>
      <c r="P461" s="12"/>
      <c r="Q461" s="12"/>
    </row>
    <row r="462" spans="1:17" x14ac:dyDescent="0.25">
      <c r="A462" s="11">
        <v>103163</v>
      </c>
      <c r="B462" s="12" t="s">
        <v>845</v>
      </c>
      <c r="C462" s="12" t="s">
        <v>1449</v>
      </c>
      <c r="D462" s="125">
        <v>50000000</v>
      </c>
      <c r="E462" s="125">
        <v>40605470.369999997</v>
      </c>
      <c r="F462" s="12">
        <v>36</v>
      </c>
      <c r="G462" s="12">
        <v>180</v>
      </c>
      <c r="H462" s="12">
        <v>0</v>
      </c>
      <c r="I462" s="13">
        <v>42836.70204290509</v>
      </c>
      <c r="J462" s="13">
        <v>43566</v>
      </c>
      <c r="K462" s="12" t="s">
        <v>27</v>
      </c>
      <c r="L462" s="12" t="s">
        <v>26</v>
      </c>
      <c r="M462" s="12" t="s">
        <v>26</v>
      </c>
      <c r="N462" s="12" t="s">
        <v>86</v>
      </c>
      <c r="O462" s="12"/>
      <c r="P462" s="12"/>
      <c r="Q462" s="12"/>
    </row>
    <row r="463" spans="1:17" x14ac:dyDescent="0.25">
      <c r="A463" s="11">
        <v>103164</v>
      </c>
      <c r="B463" s="12" t="s">
        <v>747</v>
      </c>
      <c r="C463" s="12" t="s">
        <v>1449</v>
      </c>
      <c r="D463" s="125">
        <v>45000000</v>
      </c>
      <c r="E463" s="125">
        <v>36108753.939999998</v>
      </c>
      <c r="F463" s="12">
        <v>36</v>
      </c>
      <c r="G463" s="12">
        <v>180</v>
      </c>
      <c r="H463" s="12">
        <v>0</v>
      </c>
      <c r="I463" s="13">
        <v>42836.730920254631</v>
      </c>
      <c r="J463" s="13">
        <v>43445</v>
      </c>
      <c r="K463" s="12" t="s">
        <v>37</v>
      </c>
      <c r="L463" s="12" t="s">
        <v>288</v>
      </c>
      <c r="M463" s="12" t="s">
        <v>1313</v>
      </c>
      <c r="N463" s="12" t="s">
        <v>1191</v>
      </c>
      <c r="O463" s="12"/>
      <c r="P463" s="12"/>
      <c r="Q463" s="12"/>
    </row>
    <row r="464" spans="1:17" x14ac:dyDescent="0.25">
      <c r="A464" s="11">
        <v>103167</v>
      </c>
      <c r="B464" s="12" t="s">
        <v>2716</v>
      </c>
      <c r="C464" s="12" t="s">
        <v>1449</v>
      </c>
      <c r="D464" s="125">
        <v>3500000</v>
      </c>
      <c r="E464" s="125">
        <v>1660229.73</v>
      </c>
      <c r="F464" s="12">
        <v>48</v>
      </c>
      <c r="G464" s="12">
        <v>180</v>
      </c>
      <c r="H464" s="12">
        <v>0</v>
      </c>
      <c r="I464" s="13">
        <v>42837.703277581022</v>
      </c>
      <c r="J464" s="13">
        <v>43202</v>
      </c>
      <c r="K464" s="12" t="s">
        <v>25</v>
      </c>
      <c r="L464" s="12" t="s">
        <v>295</v>
      </c>
      <c r="M464" s="12" t="s">
        <v>26</v>
      </c>
      <c r="N464" s="12" t="s">
        <v>2494</v>
      </c>
      <c r="O464" s="12"/>
      <c r="P464" s="12"/>
      <c r="Q464" s="12"/>
    </row>
    <row r="465" spans="1:17" x14ac:dyDescent="0.25">
      <c r="A465" s="11">
        <v>103168</v>
      </c>
      <c r="B465" s="12" t="s">
        <v>4502</v>
      </c>
      <c r="C465" s="12" t="s">
        <v>1449</v>
      </c>
      <c r="D465" s="125">
        <v>2500000</v>
      </c>
      <c r="E465" s="125">
        <v>652726.67000000004</v>
      </c>
      <c r="F465" s="12">
        <v>54</v>
      </c>
      <c r="G465" s="12">
        <v>180</v>
      </c>
      <c r="H465" s="12">
        <v>0</v>
      </c>
      <c r="I465" s="13">
        <v>42840.496137534719</v>
      </c>
      <c r="J465" s="13">
        <v>43084</v>
      </c>
      <c r="K465" s="12" t="s">
        <v>44</v>
      </c>
      <c r="L465" s="12" t="s">
        <v>75</v>
      </c>
      <c r="M465" s="12" t="s">
        <v>1442</v>
      </c>
      <c r="N465" s="12" t="s">
        <v>468</v>
      </c>
      <c r="O465" s="12"/>
      <c r="P465" s="12"/>
      <c r="Q465" s="12"/>
    </row>
    <row r="466" spans="1:17" x14ac:dyDescent="0.25">
      <c r="A466" s="11">
        <v>103169</v>
      </c>
      <c r="B466" s="12" t="s">
        <v>4503</v>
      </c>
      <c r="C466" s="12" t="s">
        <v>1449</v>
      </c>
      <c r="D466" s="125">
        <v>25000000</v>
      </c>
      <c r="E466" s="125">
        <v>19610025.949999999</v>
      </c>
      <c r="F466" s="12">
        <v>40</v>
      </c>
      <c r="G466" s="12">
        <v>180</v>
      </c>
      <c r="H466" s="12">
        <v>0</v>
      </c>
      <c r="I466" s="13">
        <v>42838.697300960652</v>
      </c>
      <c r="J466" s="13">
        <v>43568</v>
      </c>
      <c r="K466" s="12" t="s">
        <v>44</v>
      </c>
      <c r="L466" s="12" t="s">
        <v>75</v>
      </c>
      <c r="M466" s="12" t="s">
        <v>4000</v>
      </c>
      <c r="N466" s="12" t="s">
        <v>1925</v>
      </c>
      <c r="O466" s="12"/>
      <c r="P466" s="12"/>
      <c r="Q466" s="12"/>
    </row>
    <row r="467" spans="1:17" x14ac:dyDescent="0.25">
      <c r="A467" s="11">
        <v>103170</v>
      </c>
      <c r="B467" s="12" t="s">
        <v>4501</v>
      </c>
      <c r="C467" s="12" t="s">
        <v>1449</v>
      </c>
      <c r="D467" s="125">
        <v>35000000</v>
      </c>
      <c r="E467" s="125">
        <v>30996850.809999999</v>
      </c>
      <c r="F467" s="12">
        <v>40</v>
      </c>
      <c r="G467" s="12">
        <v>180</v>
      </c>
      <c r="H467" s="12">
        <v>0</v>
      </c>
      <c r="I467" s="13">
        <v>42838.715688738426</v>
      </c>
      <c r="J467" s="13">
        <v>43934</v>
      </c>
      <c r="K467" s="12" t="s">
        <v>27</v>
      </c>
      <c r="L467" s="12" t="s">
        <v>26</v>
      </c>
      <c r="M467" s="12" t="s">
        <v>26</v>
      </c>
      <c r="N467" s="12" t="s">
        <v>468</v>
      </c>
      <c r="O467" s="12"/>
      <c r="P467" s="12"/>
      <c r="Q467" s="12"/>
    </row>
    <row r="468" spans="1:17" x14ac:dyDescent="0.25">
      <c r="A468" s="11">
        <v>103171</v>
      </c>
      <c r="B468" s="12" t="s">
        <v>611</v>
      </c>
      <c r="C468" s="12" t="s">
        <v>2807</v>
      </c>
      <c r="D468" s="125">
        <v>45000000</v>
      </c>
      <c r="E468" s="125">
        <v>36544923.329999998</v>
      </c>
      <c r="F468" s="12">
        <v>36</v>
      </c>
      <c r="G468" s="12">
        <v>180</v>
      </c>
      <c r="H468" s="12">
        <v>0</v>
      </c>
      <c r="I468" s="13">
        <v>42844.408231597219</v>
      </c>
      <c r="J468" s="13">
        <v>43574</v>
      </c>
      <c r="K468" s="12" t="s">
        <v>27</v>
      </c>
      <c r="L468" s="12" t="s">
        <v>81</v>
      </c>
      <c r="M468" s="12" t="s">
        <v>26</v>
      </c>
      <c r="N468" s="12" t="s">
        <v>1925</v>
      </c>
      <c r="O468" s="12"/>
      <c r="P468" s="12"/>
      <c r="Q468" s="12"/>
    </row>
    <row r="469" spans="1:17" x14ac:dyDescent="0.25">
      <c r="A469" s="11">
        <v>103172</v>
      </c>
      <c r="B469" s="12" t="s">
        <v>4524</v>
      </c>
      <c r="C469" s="12" t="s">
        <v>1449</v>
      </c>
      <c r="D469" s="125">
        <v>6000000</v>
      </c>
      <c r="E469" s="125">
        <v>3877380.33</v>
      </c>
      <c r="F469" s="12">
        <v>54</v>
      </c>
      <c r="G469" s="12">
        <v>180</v>
      </c>
      <c r="H469" s="12">
        <v>0</v>
      </c>
      <c r="I469" s="13">
        <v>42843.689945798615</v>
      </c>
      <c r="J469" s="13">
        <v>43208</v>
      </c>
      <c r="K469" s="12" t="s">
        <v>25</v>
      </c>
      <c r="L469" s="12" t="s">
        <v>88</v>
      </c>
      <c r="M469" s="12" t="s">
        <v>285</v>
      </c>
      <c r="N469" s="12" t="s">
        <v>1039</v>
      </c>
      <c r="O469" s="12"/>
      <c r="P469" s="12"/>
      <c r="Q469" s="12"/>
    </row>
    <row r="470" spans="1:17" x14ac:dyDescent="0.25">
      <c r="A470" s="11">
        <v>103173</v>
      </c>
      <c r="B470" s="12" t="s">
        <v>4523</v>
      </c>
      <c r="C470" s="12" t="s">
        <v>2807</v>
      </c>
      <c r="D470" s="125">
        <v>35000000</v>
      </c>
      <c r="E470" s="125">
        <v>19215934.48</v>
      </c>
      <c r="F470" s="12">
        <v>40</v>
      </c>
      <c r="G470" s="12">
        <v>180</v>
      </c>
      <c r="H470" s="12">
        <v>0</v>
      </c>
      <c r="I470" s="13">
        <v>42843.712621377315</v>
      </c>
      <c r="J470" s="13">
        <v>43208</v>
      </c>
      <c r="K470" s="12" t="s">
        <v>27</v>
      </c>
      <c r="L470" s="12" t="s">
        <v>81</v>
      </c>
      <c r="M470" s="12" t="s">
        <v>4000</v>
      </c>
      <c r="N470" s="12" t="s">
        <v>1191</v>
      </c>
      <c r="O470" s="12"/>
      <c r="P470" s="12"/>
      <c r="Q470" s="12"/>
    </row>
    <row r="471" spans="1:17" x14ac:dyDescent="0.25">
      <c r="A471" s="11">
        <v>103175</v>
      </c>
      <c r="B471" s="12" t="s">
        <v>4531</v>
      </c>
      <c r="C471" s="12" t="s">
        <v>1449</v>
      </c>
      <c r="D471" s="125">
        <v>30000000</v>
      </c>
      <c r="E471" s="125">
        <v>16561238.32</v>
      </c>
      <c r="F471" s="12">
        <v>42</v>
      </c>
      <c r="G471" s="12">
        <v>180</v>
      </c>
      <c r="H471" s="12">
        <v>0</v>
      </c>
      <c r="I471" s="13">
        <v>42844.763246956019</v>
      </c>
      <c r="J471" s="13">
        <v>43210</v>
      </c>
      <c r="K471" s="12" t="s">
        <v>37</v>
      </c>
      <c r="L471" s="12" t="s">
        <v>288</v>
      </c>
      <c r="M471" s="12" t="s">
        <v>1829</v>
      </c>
      <c r="N471" s="12" t="s">
        <v>546</v>
      </c>
      <c r="O471" s="12"/>
      <c r="P471" s="12"/>
      <c r="Q471" s="12"/>
    </row>
    <row r="472" spans="1:17" x14ac:dyDescent="0.25">
      <c r="A472" s="11">
        <v>103176</v>
      </c>
      <c r="B472" s="12" t="s">
        <v>4536</v>
      </c>
      <c r="C472" s="12" t="s">
        <v>2807</v>
      </c>
      <c r="D472" s="125">
        <v>4000000</v>
      </c>
      <c r="E472" s="125">
        <v>2262576.9</v>
      </c>
      <c r="F472" s="12">
        <v>54</v>
      </c>
      <c r="G472" s="12">
        <v>180</v>
      </c>
      <c r="H472" s="12">
        <v>0</v>
      </c>
      <c r="I472" s="13">
        <v>42845.790484872683</v>
      </c>
      <c r="J472" s="13">
        <v>43210</v>
      </c>
      <c r="K472" s="12" t="s">
        <v>25</v>
      </c>
      <c r="L472" s="12" t="s">
        <v>101</v>
      </c>
      <c r="M472" s="12" t="s">
        <v>26</v>
      </c>
      <c r="N472" s="12" t="s">
        <v>2034</v>
      </c>
      <c r="O472" s="12"/>
      <c r="P472" s="12"/>
      <c r="Q472" s="12"/>
    </row>
    <row r="473" spans="1:17" x14ac:dyDescent="0.25">
      <c r="A473" s="11">
        <v>103177</v>
      </c>
      <c r="B473" s="12" t="s">
        <v>4535</v>
      </c>
      <c r="C473" s="12" t="s">
        <v>1449</v>
      </c>
      <c r="D473" s="125">
        <v>7000000</v>
      </c>
      <c r="E473" s="125">
        <v>3959509.52</v>
      </c>
      <c r="F473" s="12">
        <v>54</v>
      </c>
      <c r="G473" s="12">
        <v>180</v>
      </c>
      <c r="H473" s="12">
        <v>0</v>
      </c>
      <c r="I473" s="13">
        <v>42845.712040509257</v>
      </c>
      <c r="J473" s="13">
        <v>43210</v>
      </c>
      <c r="K473" s="12" t="s">
        <v>35</v>
      </c>
      <c r="L473" s="12" t="s">
        <v>121</v>
      </c>
      <c r="M473" s="12" t="s">
        <v>299</v>
      </c>
      <c r="N473" s="12" t="s">
        <v>5167</v>
      </c>
      <c r="O473" s="12"/>
      <c r="P473" s="12"/>
      <c r="Q473" s="12"/>
    </row>
    <row r="474" spans="1:17" x14ac:dyDescent="0.25">
      <c r="A474" s="11">
        <v>103178</v>
      </c>
      <c r="B474" s="12" t="s">
        <v>601</v>
      </c>
      <c r="C474" s="12" t="s">
        <v>2807</v>
      </c>
      <c r="D474" s="125">
        <v>20000000</v>
      </c>
      <c r="E474" s="125">
        <v>9354514.9399999995</v>
      </c>
      <c r="F474" s="12">
        <v>42</v>
      </c>
      <c r="G474" s="12">
        <v>180</v>
      </c>
      <c r="H474" s="12">
        <v>0</v>
      </c>
      <c r="I474" s="13">
        <v>42845.736991701386</v>
      </c>
      <c r="J474" s="13">
        <v>43210</v>
      </c>
      <c r="K474" s="12" t="s">
        <v>25</v>
      </c>
      <c r="L474" s="12" t="s">
        <v>26</v>
      </c>
      <c r="M474" s="12" t="s">
        <v>26</v>
      </c>
      <c r="N474" s="12" t="s">
        <v>2855</v>
      </c>
      <c r="O474" s="12"/>
      <c r="P474" s="12"/>
      <c r="Q474" s="12"/>
    </row>
    <row r="475" spans="1:17" x14ac:dyDescent="0.25">
      <c r="A475" s="11">
        <v>103180</v>
      </c>
      <c r="B475" s="12" t="s">
        <v>1641</v>
      </c>
      <c r="C475" s="12" t="s">
        <v>1449</v>
      </c>
      <c r="D475" s="125">
        <v>6118000</v>
      </c>
      <c r="E475" s="125">
        <v>3973137.41</v>
      </c>
      <c r="F475" s="12">
        <v>22</v>
      </c>
      <c r="G475" s="12">
        <v>180</v>
      </c>
      <c r="H475" s="12">
        <v>0</v>
      </c>
      <c r="I475" s="13">
        <v>42846.412896608796</v>
      </c>
      <c r="J475" s="13">
        <v>43394</v>
      </c>
      <c r="K475" s="12" t="s">
        <v>43</v>
      </c>
      <c r="L475" s="12" t="s">
        <v>338</v>
      </c>
      <c r="M475" s="12" t="s">
        <v>339</v>
      </c>
      <c r="N475" s="12" t="s">
        <v>284</v>
      </c>
      <c r="O475" s="12"/>
      <c r="P475" s="12"/>
      <c r="Q475" s="12"/>
    </row>
    <row r="476" spans="1:17" x14ac:dyDescent="0.25">
      <c r="A476" s="11">
        <v>103181</v>
      </c>
      <c r="B476" s="12" t="s">
        <v>4565</v>
      </c>
      <c r="C476" s="12" t="s">
        <v>1449</v>
      </c>
      <c r="D476" s="125">
        <v>1000000</v>
      </c>
      <c r="E476" s="125">
        <v>283914.53999999998</v>
      </c>
      <c r="F476" s="12">
        <v>54</v>
      </c>
      <c r="G476" s="12">
        <v>180</v>
      </c>
      <c r="H476" s="12">
        <v>0</v>
      </c>
      <c r="I476" s="13">
        <v>42849.712158020833</v>
      </c>
      <c r="J476" s="13">
        <v>43093</v>
      </c>
      <c r="K476" s="12" t="s">
        <v>25</v>
      </c>
      <c r="L476" s="12" t="s">
        <v>88</v>
      </c>
      <c r="M476" s="12" t="s">
        <v>285</v>
      </c>
      <c r="N476" s="12" t="s">
        <v>2494</v>
      </c>
      <c r="O476" s="12"/>
      <c r="P476" s="12"/>
      <c r="Q476" s="12"/>
    </row>
    <row r="477" spans="1:17" x14ac:dyDescent="0.25">
      <c r="A477" s="11">
        <v>103182</v>
      </c>
      <c r="B477" s="12" t="s">
        <v>4577</v>
      </c>
      <c r="C477" s="12" t="s">
        <v>1449</v>
      </c>
      <c r="D477" s="125">
        <v>40000000</v>
      </c>
      <c r="E477" s="125">
        <v>28949705.949999999</v>
      </c>
      <c r="F477" s="12">
        <v>36</v>
      </c>
      <c r="G477" s="12">
        <v>180</v>
      </c>
      <c r="H477" s="12">
        <v>0</v>
      </c>
      <c r="I477" s="13">
        <v>42850.729542013891</v>
      </c>
      <c r="J477" s="13">
        <v>43398</v>
      </c>
      <c r="K477" s="12" t="s">
        <v>44</v>
      </c>
      <c r="L477" s="12" t="s">
        <v>75</v>
      </c>
      <c r="M477" s="12" t="s">
        <v>1442</v>
      </c>
      <c r="N477" s="12" t="s">
        <v>5167</v>
      </c>
      <c r="O477" s="12"/>
      <c r="P477" s="12"/>
      <c r="Q477" s="12"/>
    </row>
    <row r="478" spans="1:17" x14ac:dyDescent="0.25">
      <c r="A478" s="11">
        <v>103183</v>
      </c>
      <c r="B478" s="12" t="s">
        <v>4576</v>
      </c>
      <c r="C478" s="12" t="s">
        <v>2807</v>
      </c>
      <c r="D478" s="125">
        <v>3000000</v>
      </c>
      <c r="E478" s="125">
        <v>859079.1</v>
      </c>
      <c r="F478" s="12">
        <v>54</v>
      </c>
      <c r="G478" s="12">
        <v>180</v>
      </c>
      <c r="H478" s="12">
        <v>0</v>
      </c>
      <c r="I478" s="13">
        <v>42850.732010648149</v>
      </c>
      <c r="J478" s="13">
        <v>43101</v>
      </c>
      <c r="K478" s="12" t="s">
        <v>25</v>
      </c>
      <c r="L478" s="12" t="s">
        <v>26</v>
      </c>
      <c r="M478" s="12" t="s">
        <v>26</v>
      </c>
      <c r="N478" s="12" t="s">
        <v>2175</v>
      </c>
      <c r="O478" s="12"/>
      <c r="P478" s="12"/>
      <c r="Q478" s="12"/>
    </row>
    <row r="479" spans="1:17" x14ac:dyDescent="0.25">
      <c r="A479" s="11">
        <v>103185</v>
      </c>
      <c r="B479" s="12" t="s">
        <v>4596</v>
      </c>
      <c r="C479" s="12" t="s">
        <v>1449</v>
      </c>
      <c r="D479" s="125">
        <v>55000000</v>
      </c>
      <c r="E479" s="125">
        <v>49965967.280000001</v>
      </c>
      <c r="F479" s="12">
        <v>40</v>
      </c>
      <c r="G479" s="12">
        <v>180</v>
      </c>
      <c r="H479" s="12">
        <v>0</v>
      </c>
      <c r="I479" s="13">
        <v>42851.579203969908</v>
      </c>
      <c r="J479" s="13">
        <v>43952</v>
      </c>
      <c r="K479" s="12" t="s">
        <v>46</v>
      </c>
      <c r="L479" s="12" t="s">
        <v>46</v>
      </c>
      <c r="M479" s="12" t="s">
        <v>112</v>
      </c>
      <c r="N479" s="12" t="s">
        <v>468</v>
      </c>
      <c r="O479" s="12"/>
      <c r="P479" s="12"/>
      <c r="Q479" s="12"/>
    </row>
    <row r="480" spans="1:17" x14ac:dyDescent="0.25">
      <c r="A480" s="11">
        <v>103187</v>
      </c>
      <c r="B480" s="12" t="s">
        <v>4620</v>
      </c>
      <c r="C480" s="12" t="s">
        <v>2807</v>
      </c>
      <c r="D480" s="125">
        <v>12000000</v>
      </c>
      <c r="E480" s="125">
        <v>5029949.62</v>
      </c>
      <c r="F480" s="12">
        <v>54</v>
      </c>
      <c r="G480" s="12">
        <v>180</v>
      </c>
      <c r="H480" s="12">
        <v>0</v>
      </c>
      <c r="I480" s="13">
        <v>42852.668469062497</v>
      </c>
      <c r="J480" s="13">
        <v>43101</v>
      </c>
      <c r="K480" s="12" t="s">
        <v>25</v>
      </c>
      <c r="L480" s="12" t="s">
        <v>26</v>
      </c>
      <c r="M480" s="12" t="s">
        <v>26</v>
      </c>
      <c r="N480" s="12" t="s">
        <v>90</v>
      </c>
      <c r="O480" s="12"/>
      <c r="P480" s="12"/>
      <c r="Q480" s="12"/>
    </row>
    <row r="481" spans="1:17" x14ac:dyDescent="0.25">
      <c r="A481" s="11">
        <v>103189</v>
      </c>
      <c r="B481" s="12" t="s">
        <v>1606</v>
      </c>
      <c r="C481" s="12" t="s">
        <v>1449</v>
      </c>
      <c r="D481" s="125">
        <v>20000000</v>
      </c>
      <c r="E481" s="125">
        <v>16540720.689999999</v>
      </c>
      <c r="F481" s="12">
        <v>36</v>
      </c>
      <c r="G481" s="12">
        <v>180</v>
      </c>
      <c r="H481" s="12">
        <v>0</v>
      </c>
      <c r="I481" s="13">
        <v>42872.613226273148</v>
      </c>
      <c r="J481" s="13">
        <v>43602</v>
      </c>
      <c r="K481" s="12" t="s">
        <v>29</v>
      </c>
      <c r="L481" s="12" t="s">
        <v>30</v>
      </c>
      <c r="M481" s="12" t="s">
        <v>26</v>
      </c>
      <c r="N481" s="12" t="s">
        <v>86</v>
      </c>
      <c r="O481" s="12"/>
      <c r="P481" s="12"/>
      <c r="Q481" s="12"/>
    </row>
    <row r="482" spans="1:17" x14ac:dyDescent="0.25">
      <c r="A482" s="11">
        <v>103190</v>
      </c>
      <c r="B482" s="12" t="s">
        <v>1528</v>
      </c>
      <c r="C482" s="12" t="s">
        <v>1449</v>
      </c>
      <c r="D482" s="125">
        <v>45000000</v>
      </c>
      <c r="E482" s="125">
        <v>32631658.890000001</v>
      </c>
      <c r="F482" s="12">
        <v>36</v>
      </c>
      <c r="G482" s="12">
        <v>180</v>
      </c>
      <c r="H482" s="12">
        <v>0</v>
      </c>
      <c r="I482" s="13">
        <v>42854.553883449073</v>
      </c>
      <c r="J482" s="13">
        <v>43406</v>
      </c>
      <c r="K482" s="12" t="s">
        <v>25</v>
      </c>
      <c r="L482" s="12" t="s">
        <v>289</v>
      </c>
      <c r="M482" s="12" t="s">
        <v>26</v>
      </c>
      <c r="N482" s="12" t="s">
        <v>963</v>
      </c>
      <c r="O482" s="12"/>
      <c r="P482" s="12"/>
      <c r="Q482" s="12"/>
    </row>
    <row r="483" spans="1:17" x14ac:dyDescent="0.25">
      <c r="A483" s="11">
        <v>103192</v>
      </c>
      <c r="B483" s="12" t="s">
        <v>4650</v>
      </c>
      <c r="C483" s="12" t="s">
        <v>1449</v>
      </c>
      <c r="D483" s="125">
        <v>30000000</v>
      </c>
      <c r="E483" s="125">
        <v>16799798.390000001</v>
      </c>
      <c r="F483" s="12">
        <v>48</v>
      </c>
      <c r="G483" s="12">
        <v>180</v>
      </c>
      <c r="H483" s="12">
        <v>0</v>
      </c>
      <c r="I483" s="13">
        <v>42854.47204980324</v>
      </c>
      <c r="J483" s="13">
        <v>43222</v>
      </c>
      <c r="K483" s="12" t="s">
        <v>37</v>
      </c>
      <c r="L483" s="12" t="s">
        <v>38</v>
      </c>
      <c r="M483" s="12" t="s">
        <v>39</v>
      </c>
      <c r="N483" s="12" t="s">
        <v>86</v>
      </c>
      <c r="O483" s="12"/>
      <c r="P483" s="12"/>
      <c r="Q483" s="12"/>
    </row>
    <row r="484" spans="1:17" x14ac:dyDescent="0.25">
      <c r="A484" s="11">
        <v>103193</v>
      </c>
      <c r="B484" s="12" t="s">
        <v>4632</v>
      </c>
      <c r="C484" s="12" t="s">
        <v>2807</v>
      </c>
      <c r="D484" s="125">
        <v>5000000</v>
      </c>
      <c r="E484" s="125">
        <v>5000000</v>
      </c>
      <c r="F484" s="12">
        <v>54</v>
      </c>
      <c r="G484" s="12">
        <v>180</v>
      </c>
      <c r="H484" s="12">
        <v>0</v>
      </c>
      <c r="I484" s="13">
        <v>42853.803187233796</v>
      </c>
      <c r="J484" s="13">
        <v>43101</v>
      </c>
      <c r="K484" s="12" t="s">
        <v>25</v>
      </c>
      <c r="L484" s="12" t="s">
        <v>26</v>
      </c>
      <c r="M484" s="12" t="s">
        <v>26</v>
      </c>
      <c r="N484" s="12" t="s">
        <v>2494</v>
      </c>
      <c r="O484" s="12"/>
      <c r="P484" s="12"/>
      <c r="Q484" s="12"/>
    </row>
    <row r="485" spans="1:17" x14ac:dyDescent="0.25">
      <c r="A485" s="11">
        <v>103195</v>
      </c>
      <c r="B485" s="12" t="s">
        <v>4648</v>
      </c>
      <c r="C485" s="12" t="s">
        <v>1449</v>
      </c>
      <c r="D485" s="125">
        <v>5000000</v>
      </c>
      <c r="E485" s="125">
        <v>2799966.38</v>
      </c>
      <c r="F485" s="12">
        <v>48</v>
      </c>
      <c r="G485" s="12">
        <v>180</v>
      </c>
      <c r="H485" s="12">
        <v>0</v>
      </c>
      <c r="I485" s="13">
        <v>42854.724098032406</v>
      </c>
      <c r="J485" s="13">
        <v>43221</v>
      </c>
      <c r="K485" s="12" t="s">
        <v>25</v>
      </c>
      <c r="L485" s="12" t="s">
        <v>88</v>
      </c>
      <c r="M485" s="12" t="s">
        <v>26</v>
      </c>
      <c r="N485" s="12" t="s">
        <v>2861</v>
      </c>
      <c r="O485" s="12"/>
      <c r="P485" s="12"/>
      <c r="Q485" s="12"/>
    </row>
    <row r="486" spans="1:17" x14ac:dyDescent="0.25">
      <c r="A486" s="11">
        <v>103196</v>
      </c>
      <c r="B486" s="12" t="s">
        <v>1338</v>
      </c>
      <c r="C486" s="12" t="s">
        <v>2807</v>
      </c>
      <c r="D486" s="125">
        <v>55000000</v>
      </c>
      <c r="E486" s="125">
        <v>32005438.300000001</v>
      </c>
      <c r="F486" s="12">
        <v>36</v>
      </c>
      <c r="G486" s="12">
        <v>180</v>
      </c>
      <c r="H486" s="12">
        <v>0</v>
      </c>
      <c r="I486" s="13">
        <v>42854.692172997682</v>
      </c>
      <c r="J486" s="13">
        <v>43221</v>
      </c>
      <c r="K486" s="12" t="s">
        <v>25</v>
      </c>
      <c r="L486" s="12" t="s">
        <v>26</v>
      </c>
      <c r="M486" s="12" t="s">
        <v>26</v>
      </c>
      <c r="N486" s="12" t="s">
        <v>2494</v>
      </c>
      <c r="O486" s="12"/>
      <c r="P486" s="12"/>
      <c r="Q486" s="12"/>
    </row>
    <row r="487" spans="1:17" x14ac:dyDescent="0.25">
      <c r="A487" s="11">
        <v>103197</v>
      </c>
      <c r="B487" s="12" t="s">
        <v>4647</v>
      </c>
      <c r="C487" s="12" t="s">
        <v>1449</v>
      </c>
      <c r="D487" s="125">
        <v>20000000</v>
      </c>
      <c r="E487" s="125">
        <v>14625325.84</v>
      </c>
      <c r="F487" s="12">
        <v>40</v>
      </c>
      <c r="G487" s="12">
        <v>180</v>
      </c>
      <c r="H487" s="12">
        <v>0</v>
      </c>
      <c r="I487" s="13">
        <v>42854.752476076392</v>
      </c>
      <c r="J487" s="13">
        <v>43405</v>
      </c>
      <c r="K487" s="12" t="s">
        <v>25</v>
      </c>
      <c r="L487" s="12" t="s">
        <v>88</v>
      </c>
      <c r="M487" s="12" t="s">
        <v>285</v>
      </c>
      <c r="N487" s="12" t="s">
        <v>468</v>
      </c>
      <c r="O487" s="12"/>
      <c r="P487" s="12"/>
      <c r="Q487" s="12"/>
    </row>
    <row r="488" spans="1:17" x14ac:dyDescent="0.25">
      <c r="A488" s="11">
        <v>103199</v>
      </c>
      <c r="B488" s="12" t="s">
        <v>764</v>
      </c>
      <c r="C488" s="12" t="s">
        <v>2807</v>
      </c>
      <c r="D488" s="125">
        <v>12000000</v>
      </c>
      <c r="E488" s="125">
        <v>6702732.8700000001</v>
      </c>
      <c r="F488" s="12">
        <v>48</v>
      </c>
      <c r="G488" s="12">
        <v>180</v>
      </c>
      <c r="H488" s="12">
        <v>0</v>
      </c>
      <c r="I488" s="13">
        <v>42858.693313425923</v>
      </c>
      <c r="J488" s="13">
        <v>43223</v>
      </c>
      <c r="K488" s="12" t="s">
        <v>25</v>
      </c>
      <c r="L488" s="12" t="s">
        <v>26</v>
      </c>
      <c r="M488" s="12" t="s">
        <v>26</v>
      </c>
      <c r="N488" s="12" t="s">
        <v>963</v>
      </c>
      <c r="O488" s="12"/>
      <c r="P488" s="12"/>
      <c r="Q488" s="12"/>
    </row>
    <row r="489" spans="1:17" x14ac:dyDescent="0.25">
      <c r="A489" s="11">
        <v>103200</v>
      </c>
      <c r="B489" s="12" t="s">
        <v>4677</v>
      </c>
      <c r="C489" s="12" t="s">
        <v>1449</v>
      </c>
      <c r="D489" s="125">
        <v>25000000</v>
      </c>
      <c r="E489" s="125">
        <v>14805544.539999999</v>
      </c>
      <c r="F489" s="12">
        <v>48</v>
      </c>
      <c r="G489" s="12">
        <v>180</v>
      </c>
      <c r="H489" s="12">
        <v>0</v>
      </c>
      <c r="I489" s="13">
        <v>42859.722962268519</v>
      </c>
      <c r="J489" s="13">
        <v>43224</v>
      </c>
      <c r="K489" s="12" t="s">
        <v>31</v>
      </c>
      <c r="L489" s="12" t="s">
        <v>1815</v>
      </c>
      <c r="M489" s="12" t="s">
        <v>1815</v>
      </c>
      <c r="N489" s="12" t="s">
        <v>2494</v>
      </c>
      <c r="O489" s="12"/>
      <c r="P489" s="12"/>
      <c r="Q489" s="12"/>
    </row>
    <row r="490" spans="1:17" x14ac:dyDescent="0.25">
      <c r="A490" s="11">
        <v>103204</v>
      </c>
      <c r="B490" s="12" t="s">
        <v>4694</v>
      </c>
      <c r="C490" s="12" t="s">
        <v>1449</v>
      </c>
      <c r="D490" s="125">
        <v>1000000</v>
      </c>
      <c r="E490" s="125">
        <v>199880.89</v>
      </c>
      <c r="F490" s="12">
        <v>54</v>
      </c>
      <c r="G490" s="12">
        <v>180</v>
      </c>
      <c r="H490" s="12">
        <v>0</v>
      </c>
      <c r="I490" s="13">
        <v>42863.729602083331</v>
      </c>
      <c r="J490" s="13">
        <v>43047</v>
      </c>
      <c r="K490" s="12" t="s">
        <v>25</v>
      </c>
      <c r="L490" s="12" t="s">
        <v>88</v>
      </c>
      <c r="M490" s="12" t="s">
        <v>285</v>
      </c>
      <c r="N490" s="12" t="s">
        <v>3074</v>
      </c>
      <c r="O490" s="12"/>
      <c r="P490" s="12"/>
      <c r="Q490" s="12"/>
    </row>
    <row r="491" spans="1:17" x14ac:dyDescent="0.25">
      <c r="A491" s="11">
        <v>103206</v>
      </c>
      <c r="B491" s="12" t="s">
        <v>4723</v>
      </c>
      <c r="C491" s="12" t="s">
        <v>1449</v>
      </c>
      <c r="D491" s="125">
        <v>14000000</v>
      </c>
      <c r="E491" s="125">
        <v>12341899.75</v>
      </c>
      <c r="F491" s="12">
        <v>22</v>
      </c>
      <c r="G491" s="12">
        <v>180</v>
      </c>
      <c r="H491" s="12">
        <v>0</v>
      </c>
      <c r="I491" s="13">
        <v>42864.697911261574</v>
      </c>
      <c r="J491" s="13">
        <v>43972</v>
      </c>
      <c r="K491" s="12" t="s">
        <v>43</v>
      </c>
      <c r="L491" s="12" t="s">
        <v>338</v>
      </c>
      <c r="M491" s="12" t="s">
        <v>4724</v>
      </c>
      <c r="N491" s="12" t="s">
        <v>284</v>
      </c>
      <c r="O491" s="12"/>
      <c r="P491" s="12"/>
      <c r="Q491" s="12"/>
    </row>
    <row r="492" spans="1:17" x14ac:dyDescent="0.25">
      <c r="A492" s="11">
        <v>103207</v>
      </c>
      <c r="B492" s="12" t="s">
        <v>4730</v>
      </c>
      <c r="C492" s="12" t="s">
        <v>2807</v>
      </c>
      <c r="D492" s="125">
        <v>4000000</v>
      </c>
      <c r="E492" s="125">
        <v>2607383.38</v>
      </c>
      <c r="F492" s="12">
        <v>54</v>
      </c>
      <c r="G492" s="12">
        <v>180</v>
      </c>
      <c r="H492" s="12">
        <v>0</v>
      </c>
      <c r="I492" s="13">
        <v>42865.59297716435</v>
      </c>
      <c r="J492" s="13">
        <v>43169</v>
      </c>
      <c r="K492" s="12" t="s">
        <v>25</v>
      </c>
      <c r="L492" s="12" t="s">
        <v>26</v>
      </c>
      <c r="M492" s="12" t="s">
        <v>26</v>
      </c>
      <c r="N492" s="12" t="s">
        <v>2175</v>
      </c>
      <c r="O492" s="12"/>
      <c r="P492" s="12"/>
      <c r="Q492" s="12"/>
    </row>
    <row r="493" spans="1:17" x14ac:dyDescent="0.25">
      <c r="A493" s="11">
        <v>103209</v>
      </c>
      <c r="B493" s="12" t="s">
        <v>4737</v>
      </c>
      <c r="C493" s="12" t="s">
        <v>2807</v>
      </c>
      <c r="D493" s="125">
        <v>40000000</v>
      </c>
      <c r="E493" s="125">
        <v>21961068.010000002</v>
      </c>
      <c r="F493" s="12">
        <v>40</v>
      </c>
      <c r="G493" s="12">
        <v>180</v>
      </c>
      <c r="H493" s="12">
        <v>0</v>
      </c>
      <c r="I493" s="13">
        <v>42866.529079629632</v>
      </c>
      <c r="J493" s="13">
        <v>43231</v>
      </c>
      <c r="K493" s="12" t="s">
        <v>27</v>
      </c>
      <c r="L493" s="12" t="s">
        <v>26</v>
      </c>
      <c r="M493" s="12" t="s">
        <v>26</v>
      </c>
      <c r="N493" s="12" t="s">
        <v>468</v>
      </c>
      <c r="O493" s="12"/>
      <c r="P493" s="12"/>
      <c r="Q493" s="12"/>
    </row>
    <row r="494" spans="1:17" x14ac:dyDescent="0.25">
      <c r="A494" s="11">
        <v>103210</v>
      </c>
      <c r="B494" s="12" t="s">
        <v>4738</v>
      </c>
      <c r="C494" s="12" t="s">
        <v>2807</v>
      </c>
      <c r="D494" s="125">
        <v>7000000</v>
      </c>
      <c r="E494" s="125">
        <v>4470160.33</v>
      </c>
      <c r="F494" s="12">
        <v>54</v>
      </c>
      <c r="G494" s="12">
        <v>180</v>
      </c>
      <c r="H494" s="12">
        <v>0</v>
      </c>
      <c r="I494" s="13">
        <v>42866.691571412041</v>
      </c>
      <c r="J494" s="13">
        <v>43231</v>
      </c>
      <c r="K494" s="12" t="s">
        <v>25</v>
      </c>
      <c r="L494" s="12" t="s">
        <v>26</v>
      </c>
      <c r="M494" s="12" t="s">
        <v>26</v>
      </c>
      <c r="N494" s="12" t="s">
        <v>5167</v>
      </c>
      <c r="O494" s="12"/>
      <c r="P494" s="12"/>
      <c r="Q494" s="12"/>
    </row>
    <row r="495" spans="1:17" x14ac:dyDescent="0.25">
      <c r="A495" s="11">
        <v>103211</v>
      </c>
      <c r="B495" s="12" t="s">
        <v>4751</v>
      </c>
      <c r="C495" s="12" t="s">
        <v>2807</v>
      </c>
      <c r="D495" s="125">
        <v>12000000</v>
      </c>
      <c r="E495" s="125">
        <v>3271031.77</v>
      </c>
      <c r="F495" s="12">
        <v>36</v>
      </c>
      <c r="G495" s="12">
        <v>180</v>
      </c>
      <c r="H495" s="12">
        <v>0</v>
      </c>
      <c r="I495" s="13">
        <v>42867.662933217594</v>
      </c>
      <c r="J495" s="13">
        <v>43112</v>
      </c>
      <c r="K495" s="12" t="s">
        <v>25</v>
      </c>
      <c r="L495" s="12" t="s">
        <v>26</v>
      </c>
      <c r="M495" s="12" t="s">
        <v>26</v>
      </c>
      <c r="N495" s="12" t="s">
        <v>86</v>
      </c>
      <c r="O495" s="12"/>
      <c r="P495" s="12"/>
      <c r="Q495" s="12"/>
    </row>
    <row r="496" spans="1:17" x14ac:dyDescent="0.25">
      <c r="A496" s="11">
        <v>103212</v>
      </c>
      <c r="B496" s="12" t="s">
        <v>4754</v>
      </c>
      <c r="C496" s="12" t="s">
        <v>2807</v>
      </c>
      <c r="D496" s="125">
        <v>5000000</v>
      </c>
      <c r="E496" s="125">
        <v>3231150.28</v>
      </c>
      <c r="F496" s="12">
        <v>54</v>
      </c>
      <c r="G496" s="12">
        <v>180</v>
      </c>
      <c r="H496" s="12">
        <v>0</v>
      </c>
      <c r="I496" s="13">
        <v>42868.464225613425</v>
      </c>
      <c r="J496" s="13">
        <v>43233</v>
      </c>
      <c r="K496" s="12" t="s">
        <v>25</v>
      </c>
      <c r="L496" s="12" t="s">
        <v>26</v>
      </c>
      <c r="M496" s="12" t="s">
        <v>26</v>
      </c>
      <c r="N496" s="12" t="s">
        <v>2494</v>
      </c>
      <c r="O496" s="12"/>
      <c r="P496" s="12"/>
      <c r="Q496" s="12"/>
    </row>
    <row r="497" spans="1:17" x14ac:dyDescent="0.25">
      <c r="A497" s="11">
        <v>103213</v>
      </c>
      <c r="B497" s="12" t="s">
        <v>440</v>
      </c>
      <c r="C497" s="12" t="s">
        <v>2807</v>
      </c>
      <c r="D497" s="125">
        <v>20000000</v>
      </c>
      <c r="E497" s="125">
        <v>11028394.18</v>
      </c>
      <c r="F497" s="12">
        <v>42</v>
      </c>
      <c r="G497" s="12">
        <v>180</v>
      </c>
      <c r="H497" s="12">
        <v>0</v>
      </c>
      <c r="I497" s="13">
        <v>42870.572094293981</v>
      </c>
      <c r="J497" s="13">
        <v>43235</v>
      </c>
      <c r="K497" s="12" t="s">
        <v>27</v>
      </c>
      <c r="L497" s="12" t="s">
        <v>26</v>
      </c>
      <c r="M497" s="12" t="s">
        <v>26</v>
      </c>
      <c r="N497" s="12" t="s">
        <v>1667</v>
      </c>
      <c r="O497" s="12"/>
      <c r="P497" s="12"/>
      <c r="Q497" s="12"/>
    </row>
    <row r="498" spans="1:17" x14ac:dyDescent="0.25">
      <c r="A498" s="11">
        <v>103216</v>
      </c>
      <c r="B498" s="12" t="s">
        <v>3296</v>
      </c>
      <c r="C498" s="12" t="s">
        <v>2807</v>
      </c>
      <c r="D498" s="125">
        <v>7000000</v>
      </c>
      <c r="E498" s="125">
        <v>3449876.28</v>
      </c>
      <c r="F498" s="12">
        <v>44</v>
      </c>
      <c r="G498" s="12">
        <v>180</v>
      </c>
      <c r="H498" s="12">
        <v>0</v>
      </c>
      <c r="I498" s="13">
        <v>42871.590581400465</v>
      </c>
      <c r="J498" s="13">
        <v>43116</v>
      </c>
      <c r="K498" s="12" t="s">
        <v>25</v>
      </c>
      <c r="L498" s="12" t="s">
        <v>88</v>
      </c>
      <c r="M498" s="12" t="s">
        <v>26</v>
      </c>
      <c r="N498" s="12" t="s">
        <v>2538</v>
      </c>
      <c r="O498" s="12"/>
      <c r="P498" s="12"/>
      <c r="Q498" s="12"/>
    </row>
    <row r="499" spans="1:17" x14ac:dyDescent="0.25">
      <c r="A499" s="11">
        <v>103219</v>
      </c>
      <c r="B499" s="12" t="s">
        <v>4778</v>
      </c>
      <c r="C499" s="12" t="s">
        <v>2807</v>
      </c>
      <c r="D499" s="125">
        <v>10000000</v>
      </c>
      <c r="E499" s="125">
        <v>7233456.8399999999</v>
      </c>
      <c r="F499" s="12">
        <v>54</v>
      </c>
      <c r="G499" s="12">
        <v>180</v>
      </c>
      <c r="H499" s="12">
        <v>0</v>
      </c>
      <c r="I499" s="13">
        <v>42872.656395949074</v>
      </c>
      <c r="J499" s="13">
        <v>43237</v>
      </c>
      <c r="K499" s="12" t="s">
        <v>25</v>
      </c>
      <c r="L499" s="12" t="s">
        <v>26</v>
      </c>
      <c r="M499" s="12" t="s">
        <v>26</v>
      </c>
      <c r="N499" s="12" t="s">
        <v>1039</v>
      </c>
      <c r="O499" s="12"/>
      <c r="P499" s="12"/>
      <c r="Q499" s="12"/>
    </row>
    <row r="500" spans="1:17" x14ac:dyDescent="0.25">
      <c r="A500" s="11">
        <v>103220</v>
      </c>
      <c r="B500" s="12" t="s">
        <v>4798</v>
      </c>
      <c r="C500" s="12" t="s">
        <v>2807</v>
      </c>
      <c r="D500" s="125">
        <v>4000000</v>
      </c>
      <c r="E500" s="125">
        <v>3188562.22</v>
      </c>
      <c r="F500" s="12">
        <v>54</v>
      </c>
      <c r="G500" s="12">
        <v>180</v>
      </c>
      <c r="H500" s="12">
        <v>0</v>
      </c>
      <c r="I500" s="13">
        <v>42873.577588541666</v>
      </c>
      <c r="J500" s="13">
        <v>43238</v>
      </c>
      <c r="K500" s="12" t="s">
        <v>44</v>
      </c>
      <c r="L500" s="12" t="s">
        <v>75</v>
      </c>
      <c r="M500" s="12" t="s">
        <v>26</v>
      </c>
      <c r="N500" s="12" t="s">
        <v>2034</v>
      </c>
      <c r="O500" s="12"/>
      <c r="P500" s="12"/>
      <c r="Q500" s="12"/>
    </row>
    <row r="501" spans="1:17" x14ac:dyDescent="0.25">
      <c r="A501" s="11">
        <v>103221</v>
      </c>
      <c r="B501" s="12" t="s">
        <v>911</v>
      </c>
      <c r="C501" s="12" t="s">
        <v>2807</v>
      </c>
      <c r="D501" s="125">
        <v>6000000</v>
      </c>
      <c r="E501" s="125">
        <v>3810143.15</v>
      </c>
      <c r="F501" s="12">
        <v>44</v>
      </c>
      <c r="G501" s="12">
        <v>180</v>
      </c>
      <c r="H501" s="12">
        <v>0</v>
      </c>
      <c r="I501" s="13">
        <v>42873.523146331019</v>
      </c>
      <c r="J501" s="13">
        <v>43238</v>
      </c>
      <c r="K501" s="12" t="s">
        <v>25</v>
      </c>
      <c r="L501" s="12" t="s">
        <v>26</v>
      </c>
      <c r="M501" s="12" t="s">
        <v>26</v>
      </c>
      <c r="N501" s="12" t="s">
        <v>963</v>
      </c>
      <c r="O501" s="12"/>
      <c r="P501" s="12"/>
      <c r="Q501" s="12"/>
    </row>
    <row r="502" spans="1:17" x14ac:dyDescent="0.25">
      <c r="A502" s="11">
        <v>103223</v>
      </c>
      <c r="B502" s="12" t="s">
        <v>462</v>
      </c>
      <c r="C502" s="12" t="s">
        <v>1449</v>
      </c>
      <c r="D502" s="125">
        <v>25000000</v>
      </c>
      <c r="E502" s="125">
        <v>19528027.09</v>
      </c>
      <c r="F502" s="12">
        <v>42</v>
      </c>
      <c r="G502" s="12">
        <v>180</v>
      </c>
      <c r="H502" s="12">
        <v>0</v>
      </c>
      <c r="I502" s="13">
        <v>42874.675922800925</v>
      </c>
      <c r="J502" s="13">
        <v>43423</v>
      </c>
      <c r="K502" s="12" t="s">
        <v>25</v>
      </c>
      <c r="L502" s="12" t="s">
        <v>88</v>
      </c>
      <c r="M502" s="12" t="s">
        <v>285</v>
      </c>
      <c r="N502" s="12" t="s">
        <v>1447</v>
      </c>
      <c r="O502" s="12"/>
      <c r="P502" s="12"/>
      <c r="Q502" s="12"/>
    </row>
    <row r="503" spans="1:17" x14ac:dyDescent="0.25">
      <c r="A503" s="11">
        <v>103224</v>
      </c>
      <c r="B503" s="12" t="s">
        <v>113</v>
      </c>
      <c r="C503" s="12" t="s">
        <v>1449</v>
      </c>
      <c r="D503" s="125">
        <v>40000000</v>
      </c>
      <c r="E503" s="125">
        <v>32484376.289999999</v>
      </c>
      <c r="F503" s="12">
        <v>36</v>
      </c>
      <c r="G503" s="12">
        <v>180</v>
      </c>
      <c r="H503" s="12">
        <v>0</v>
      </c>
      <c r="I503" s="13">
        <v>42875.655063391205</v>
      </c>
      <c r="J503" s="13">
        <v>43605</v>
      </c>
      <c r="K503" s="12" t="s">
        <v>44</v>
      </c>
      <c r="L503" s="12" t="s">
        <v>75</v>
      </c>
      <c r="M503" s="12" t="s">
        <v>4000</v>
      </c>
      <c r="N503" s="12" t="s">
        <v>1039</v>
      </c>
      <c r="O503" s="12"/>
      <c r="P503" s="12"/>
      <c r="Q503" s="12"/>
    </row>
    <row r="504" spans="1:17" x14ac:dyDescent="0.25">
      <c r="A504" s="11">
        <v>103226</v>
      </c>
      <c r="B504" s="12" t="s">
        <v>3286</v>
      </c>
      <c r="C504" s="12" t="s">
        <v>2807</v>
      </c>
      <c r="D504" s="125">
        <v>20000000</v>
      </c>
      <c r="E504" s="125">
        <v>14474852.970000001</v>
      </c>
      <c r="F504" s="12">
        <v>36</v>
      </c>
      <c r="G504" s="12">
        <v>180</v>
      </c>
      <c r="H504" s="12">
        <v>0</v>
      </c>
      <c r="I504" s="13">
        <v>42877.711354976855</v>
      </c>
      <c r="J504" s="13">
        <v>43426</v>
      </c>
      <c r="K504" s="12" t="s">
        <v>25</v>
      </c>
      <c r="L504" s="12" t="s">
        <v>26</v>
      </c>
      <c r="M504" s="12" t="s">
        <v>26</v>
      </c>
      <c r="N504" s="12" t="s">
        <v>491</v>
      </c>
      <c r="O504" s="12"/>
      <c r="P504" s="12"/>
      <c r="Q504" s="12"/>
    </row>
    <row r="505" spans="1:17" x14ac:dyDescent="0.25">
      <c r="A505" s="11">
        <v>103228</v>
      </c>
      <c r="B505" s="12" t="s">
        <v>4832</v>
      </c>
      <c r="C505" s="12" t="s">
        <v>2807</v>
      </c>
      <c r="D505" s="125">
        <v>10000000</v>
      </c>
      <c r="E505" s="125">
        <v>6076263.7999999998</v>
      </c>
      <c r="F505" s="12">
        <v>48</v>
      </c>
      <c r="G505" s="12">
        <v>180</v>
      </c>
      <c r="H505" s="12">
        <v>0</v>
      </c>
      <c r="I505" s="13">
        <v>42878.671710416667</v>
      </c>
      <c r="J505" s="13">
        <v>43243</v>
      </c>
      <c r="K505" s="12" t="s">
        <v>25</v>
      </c>
      <c r="L505" s="12" t="s">
        <v>26</v>
      </c>
      <c r="M505" s="12" t="s">
        <v>26</v>
      </c>
      <c r="N505" s="12" t="s">
        <v>2538</v>
      </c>
      <c r="O505" s="12"/>
      <c r="P505" s="12"/>
      <c r="Q505" s="12"/>
    </row>
    <row r="506" spans="1:17" x14ac:dyDescent="0.25">
      <c r="A506" s="11">
        <v>103229</v>
      </c>
      <c r="B506" s="12" t="s">
        <v>2938</v>
      </c>
      <c r="C506" s="12" t="s">
        <v>1449</v>
      </c>
      <c r="D506" s="125">
        <v>6000000</v>
      </c>
      <c r="E506" s="125">
        <v>3416895.12</v>
      </c>
      <c r="F506" s="12">
        <v>44</v>
      </c>
      <c r="G506" s="12">
        <v>180</v>
      </c>
      <c r="H506" s="12">
        <v>0</v>
      </c>
      <c r="I506" s="13">
        <v>42877.588088622688</v>
      </c>
      <c r="J506" s="13">
        <v>43242</v>
      </c>
      <c r="K506" s="12" t="s">
        <v>25</v>
      </c>
      <c r="L506" s="12" t="s">
        <v>88</v>
      </c>
      <c r="M506" s="12" t="s">
        <v>285</v>
      </c>
      <c r="N506" s="12" t="s">
        <v>2494</v>
      </c>
      <c r="O506" s="12"/>
      <c r="P506" s="12"/>
      <c r="Q506" s="12"/>
    </row>
    <row r="507" spans="1:17" x14ac:dyDescent="0.25">
      <c r="A507" s="11">
        <v>103230</v>
      </c>
      <c r="B507" s="12" t="s">
        <v>4831</v>
      </c>
      <c r="C507" s="12" t="s">
        <v>1449</v>
      </c>
      <c r="D507" s="125">
        <v>5000000</v>
      </c>
      <c r="E507" s="125">
        <v>2179526.98</v>
      </c>
      <c r="F507" s="12">
        <v>54</v>
      </c>
      <c r="G507" s="12">
        <v>180</v>
      </c>
      <c r="H507" s="12">
        <v>0</v>
      </c>
      <c r="I507" s="13">
        <v>42878.627374571763</v>
      </c>
      <c r="J507" s="13">
        <v>43154</v>
      </c>
      <c r="K507" s="12" t="s">
        <v>25</v>
      </c>
      <c r="L507" s="12" t="s">
        <v>88</v>
      </c>
      <c r="M507" s="12" t="s">
        <v>285</v>
      </c>
      <c r="N507" s="12" t="s">
        <v>1467</v>
      </c>
      <c r="O507" s="12"/>
      <c r="P507" s="12"/>
      <c r="Q507" s="12"/>
    </row>
    <row r="508" spans="1:17" x14ac:dyDescent="0.25">
      <c r="A508" s="11">
        <v>103231</v>
      </c>
      <c r="B508" s="12" t="s">
        <v>436</v>
      </c>
      <c r="C508" s="12" t="s">
        <v>2807</v>
      </c>
      <c r="D508" s="125">
        <v>12000000</v>
      </c>
      <c r="E508" s="125">
        <v>9477873.8399999999</v>
      </c>
      <c r="F508" s="12">
        <v>48</v>
      </c>
      <c r="G508" s="12">
        <v>180</v>
      </c>
      <c r="H508" s="12">
        <v>0</v>
      </c>
      <c r="I508" s="13">
        <v>42885.689436111112</v>
      </c>
      <c r="J508" s="13">
        <v>43435</v>
      </c>
      <c r="K508" s="12" t="s">
        <v>44</v>
      </c>
      <c r="L508" s="12" t="s">
        <v>75</v>
      </c>
      <c r="M508" s="12" t="s">
        <v>26</v>
      </c>
      <c r="N508" s="12" t="s">
        <v>90</v>
      </c>
      <c r="O508" s="12"/>
      <c r="P508" s="12"/>
      <c r="Q508" s="12"/>
    </row>
    <row r="509" spans="1:17" x14ac:dyDescent="0.25">
      <c r="A509" s="11">
        <v>103233</v>
      </c>
      <c r="B509" s="12" t="s">
        <v>778</v>
      </c>
      <c r="C509" s="12" t="s">
        <v>1449</v>
      </c>
      <c r="D509" s="125">
        <v>7000000</v>
      </c>
      <c r="E509" s="125">
        <v>4445166.99</v>
      </c>
      <c r="F509" s="12">
        <v>44</v>
      </c>
      <c r="G509" s="12">
        <v>180</v>
      </c>
      <c r="H509" s="12">
        <v>0</v>
      </c>
      <c r="I509" s="13">
        <v>42887.506757442126</v>
      </c>
      <c r="J509" s="13">
        <v>43252</v>
      </c>
      <c r="K509" s="12" t="s">
        <v>25</v>
      </c>
      <c r="L509" s="12" t="s">
        <v>88</v>
      </c>
      <c r="M509" s="12" t="s">
        <v>285</v>
      </c>
      <c r="N509" s="12" t="s">
        <v>1448</v>
      </c>
      <c r="O509" s="12"/>
      <c r="P509" s="12"/>
      <c r="Q509" s="12"/>
    </row>
    <row r="510" spans="1:17" x14ac:dyDescent="0.25">
      <c r="A510" s="11">
        <v>103234</v>
      </c>
      <c r="B510" s="12" t="s">
        <v>4877</v>
      </c>
      <c r="C510" s="12" t="s">
        <v>1449</v>
      </c>
      <c r="D510" s="125">
        <v>15000000</v>
      </c>
      <c r="E510" s="125">
        <v>11051749.84</v>
      </c>
      <c r="F510" s="12">
        <v>54</v>
      </c>
      <c r="G510" s="12">
        <v>180</v>
      </c>
      <c r="H510" s="12">
        <v>0</v>
      </c>
      <c r="I510" s="13">
        <v>42888.546742592589</v>
      </c>
      <c r="J510" s="13">
        <v>43345</v>
      </c>
      <c r="K510" s="12" t="s">
        <v>37</v>
      </c>
      <c r="L510" s="12" t="s">
        <v>288</v>
      </c>
      <c r="M510" s="12" t="s">
        <v>1313</v>
      </c>
      <c r="N510" s="12" t="s">
        <v>546</v>
      </c>
      <c r="O510" s="12"/>
      <c r="P510" s="12"/>
      <c r="Q510" s="12"/>
    </row>
    <row r="511" spans="1:17" x14ac:dyDescent="0.25">
      <c r="A511" s="11">
        <v>103236</v>
      </c>
      <c r="B511" s="12" t="s">
        <v>2946</v>
      </c>
      <c r="C511" s="12" t="s">
        <v>2807</v>
      </c>
      <c r="D511" s="125">
        <v>20000000</v>
      </c>
      <c r="E511" s="125">
        <v>16896536.18</v>
      </c>
      <c r="F511" s="12">
        <v>42</v>
      </c>
      <c r="G511" s="12">
        <v>180</v>
      </c>
      <c r="H511" s="12">
        <v>0</v>
      </c>
      <c r="I511" s="13">
        <v>42893.679667048615</v>
      </c>
      <c r="J511" s="13">
        <v>43441</v>
      </c>
      <c r="K511" s="12" t="s">
        <v>25</v>
      </c>
      <c r="L511" s="12" t="s">
        <v>26</v>
      </c>
      <c r="M511" s="12" t="s">
        <v>26</v>
      </c>
      <c r="N511" s="12" t="s">
        <v>1447</v>
      </c>
      <c r="O511" s="12"/>
      <c r="P511" s="12"/>
      <c r="Q511" s="12"/>
    </row>
    <row r="512" spans="1:17" x14ac:dyDescent="0.25">
      <c r="A512" s="11">
        <v>103237</v>
      </c>
      <c r="B512" s="12" t="s">
        <v>931</v>
      </c>
      <c r="C512" s="12" t="s">
        <v>1449</v>
      </c>
      <c r="D512" s="125">
        <v>6000000</v>
      </c>
      <c r="E512" s="125">
        <v>3837077.99</v>
      </c>
      <c r="F512" s="12">
        <v>44</v>
      </c>
      <c r="G512" s="12">
        <v>180</v>
      </c>
      <c r="H512" s="12">
        <v>0</v>
      </c>
      <c r="I512" s="13">
        <v>42896.482501967592</v>
      </c>
      <c r="J512" s="13">
        <v>43261</v>
      </c>
      <c r="K512" s="12" t="s">
        <v>25</v>
      </c>
      <c r="L512" s="12" t="s">
        <v>286</v>
      </c>
      <c r="M512" s="12" t="s">
        <v>4463</v>
      </c>
      <c r="N512" s="12" t="s">
        <v>86</v>
      </c>
      <c r="O512" s="12"/>
      <c r="P512" s="12"/>
      <c r="Q512" s="12"/>
    </row>
    <row r="513" spans="1:17" x14ac:dyDescent="0.25">
      <c r="A513" s="11">
        <v>103238</v>
      </c>
      <c r="B513" s="12" t="s">
        <v>4887</v>
      </c>
      <c r="C513" s="12" t="s">
        <v>2807</v>
      </c>
      <c r="D513" s="125">
        <v>3000000</v>
      </c>
      <c r="E513" s="125">
        <v>1646608.16</v>
      </c>
      <c r="F513" s="12">
        <v>48</v>
      </c>
      <c r="G513" s="12">
        <v>180</v>
      </c>
      <c r="H513" s="12">
        <v>0</v>
      </c>
      <c r="I513" s="13">
        <v>42898.650460185185</v>
      </c>
      <c r="J513" s="13">
        <v>43202</v>
      </c>
      <c r="K513" s="12" t="s">
        <v>25</v>
      </c>
      <c r="L513" s="12" t="s">
        <v>88</v>
      </c>
      <c r="M513" s="12" t="s">
        <v>26</v>
      </c>
      <c r="N513" s="12" t="s">
        <v>86</v>
      </c>
      <c r="O513" s="12"/>
      <c r="P513" s="12"/>
      <c r="Q513" s="12"/>
    </row>
    <row r="514" spans="1:17" x14ac:dyDescent="0.25">
      <c r="A514" s="11">
        <v>103240</v>
      </c>
      <c r="B514" s="12" t="s">
        <v>787</v>
      </c>
      <c r="C514" s="12" t="s">
        <v>2807</v>
      </c>
      <c r="D514" s="125">
        <v>32000000</v>
      </c>
      <c r="E514" s="125">
        <v>27775734.129999999</v>
      </c>
      <c r="F514" s="12">
        <v>36</v>
      </c>
      <c r="G514" s="12">
        <v>180</v>
      </c>
      <c r="H514" s="12">
        <v>0</v>
      </c>
      <c r="I514" s="13">
        <v>42901.710854594909</v>
      </c>
      <c r="J514" s="13">
        <v>43449</v>
      </c>
      <c r="K514" s="12" t="s">
        <v>27</v>
      </c>
      <c r="L514" s="12" t="s">
        <v>26</v>
      </c>
      <c r="M514" s="12" t="s">
        <v>26</v>
      </c>
      <c r="N514" s="12" t="s">
        <v>1447</v>
      </c>
      <c r="O514" s="12"/>
      <c r="P514" s="12"/>
      <c r="Q514" s="12"/>
    </row>
    <row r="515" spans="1:17" x14ac:dyDescent="0.25">
      <c r="A515" s="11">
        <v>103242</v>
      </c>
      <c r="B515" s="12" t="s">
        <v>2530</v>
      </c>
      <c r="C515" s="12" t="s">
        <v>2807</v>
      </c>
      <c r="D515" s="125">
        <v>40000000</v>
      </c>
      <c r="E515" s="125">
        <v>35139057.840000004</v>
      </c>
      <c r="F515" s="12">
        <v>36</v>
      </c>
      <c r="G515" s="12">
        <v>180</v>
      </c>
      <c r="H515" s="12">
        <v>0</v>
      </c>
      <c r="I515" s="13">
        <v>42902.657832442128</v>
      </c>
      <c r="J515" s="13">
        <v>43632</v>
      </c>
      <c r="K515" s="12" t="s">
        <v>27</v>
      </c>
      <c r="L515" s="12" t="s">
        <v>81</v>
      </c>
      <c r="M515" s="12" t="s">
        <v>26</v>
      </c>
      <c r="N515" s="12" t="s">
        <v>468</v>
      </c>
      <c r="O515" s="12"/>
      <c r="P515" s="12"/>
      <c r="Q515" s="12"/>
    </row>
    <row r="516" spans="1:17" x14ac:dyDescent="0.25">
      <c r="A516" s="11">
        <v>103243</v>
      </c>
      <c r="B516" s="12" t="s">
        <v>1725</v>
      </c>
      <c r="C516" s="12" t="s">
        <v>2807</v>
      </c>
      <c r="D516" s="125">
        <v>35000000</v>
      </c>
      <c r="E516" s="125">
        <v>29717377.190000001</v>
      </c>
      <c r="F516" s="12">
        <v>36</v>
      </c>
      <c r="G516" s="12">
        <v>180</v>
      </c>
      <c r="H516" s="12">
        <v>0</v>
      </c>
      <c r="I516" s="13">
        <v>42902.556814467593</v>
      </c>
      <c r="J516" s="13">
        <v>43636</v>
      </c>
      <c r="K516" s="12" t="s">
        <v>44</v>
      </c>
      <c r="L516" s="12" t="s">
        <v>75</v>
      </c>
      <c r="M516" s="12" t="s">
        <v>26</v>
      </c>
      <c r="N516" s="12" t="s">
        <v>86</v>
      </c>
      <c r="O516" s="12"/>
      <c r="P516" s="12"/>
      <c r="Q516" s="12"/>
    </row>
    <row r="517" spans="1:17" x14ac:dyDescent="0.25">
      <c r="A517" s="11">
        <v>103244</v>
      </c>
      <c r="B517" s="12" t="s">
        <v>4903</v>
      </c>
      <c r="C517" s="12" t="s">
        <v>2807</v>
      </c>
      <c r="D517" s="125">
        <v>22000000</v>
      </c>
      <c r="E517" s="125">
        <v>13823434.369999999</v>
      </c>
      <c r="F517" s="12">
        <v>36</v>
      </c>
      <c r="G517" s="12">
        <v>180</v>
      </c>
      <c r="H517" s="12">
        <v>0</v>
      </c>
      <c r="I517" s="13">
        <v>42902.535563807869</v>
      </c>
      <c r="J517" s="13">
        <v>43271</v>
      </c>
      <c r="K517" s="12" t="s">
        <v>44</v>
      </c>
      <c r="L517" s="12" t="s">
        <v>26</v>
      </c>
      <c r="M517" s="12" t="s">
        <v>26</v>
      </c>
      <c r="N517" s="12" t="s">
        <v>2494</v>
      </c>
      <c r="O517" s="12"/>
      <c r="P517" s="12"/>
      <c r="Q517" s="12"/>
    </row>
    <row r="518" spans="1:17" x14ac:dyDescent="0.25">
      <c r="A518" s="11">
        <v>103245</v>
      </c>
      <c r="B518" s="12" t="s">
        <v>3822</v>
      </c>
      <c r="C518" s="12" t="s">
        <v>1449</v>
      </c>
      <c r="D518" s="125">
        <v>4000000</v>
      </c>
      <c r="E518" s="125">
        <v>3169002.95</v>
      </c>
      <c r="F518" s="12">
        <v>48</v>
      </c>
      <c r="G518" s="12">
        <v>180</v>
      </c>
      <c r="H518" s="12">
        <v>0</v>
      </c>
      <c r="I518" s="13">
        <v>42905.720340162035</v>
      </c>
      <c r="J518" s="13">
        <v>43270</v>
      </c>
      <c r="K518" s="12" t="s">
        <v>25</v>
      </c>
      <c r="L518" s="12" t="s">
        <v>289</v>
      </c>
      <c r="M518" s="12" t="s">
        <v>26</v>
      </c>
      <c r="N518" s="12" t="s">
        <v>468</v>
      </c>
      <c r="O518" s="12"/>
      <c r="P518" s="12"/>
      <c r="Q518" s="12"/>
    </row>
    <row r="519" spans="1:17" x14ac:dyDescent="0.25">
      <c r="A519" s="11">
        <v>103246</v>
      </c>
      <c r="B519" s="12" t="s">
        <v>4927</v>
      </c>
      <c r="C519" s="12" t="s">
        <v>2807</v>
      </c>
      <c r="D519" s="125">
        <v>3000000</v>
      </c>
      <c r="E519" s="125">
        <v>1839707.8</v>
      </c>
      <c r="F519" s="12">
        <v>54</v>
      </c>
      <c r="G519" s="12">
        <v>180</v>
      </c>
      <c r="H519" s="12">
        <v>0</v>
      </c>
      <c r="I519" s="13">
        <v>42907.661151273147</v>
      </c>
      <c r="J519" s="13">
        <v>43211</v>
      </c>
      <c r="K519" s="12" t="s">
        <v>27</v>
      </c>
      <c r="L519" s="12" t="s">
        <v>26</v>
      </c>
      <c r="M519" s="12" t="s">
        <v>26</v>
      </c>
      <c r="N519" s="12" t="s">
        <v>2538</v>
      </c>
      <c r="O519" s="12"/>
      <c r="P519" s="12"/>
      <c r="Q519" s="12"/>
    </row>
    <row r="520" spans="1:17" x14ac:dyDescent="0.25">
      <c r="A520" s="11">
        <v>103247</v>
      </c>
      <c r="B520" s="12" t="s">
        <v>3157</v>
      </c>
      <c r="C520" s="12" t="s">
        <v>2807</v>
      </c>
      <c r="D520" s="125">
        <v>15000000</v>
      </c>
      <c r="E520" s="125">
        <v>10007086.789999999</v>
      </c>
      <c r="F520" s="12">
        <v>48</v>
      </c>
      <c r="G520" s="12">
        <v>180</v>
      </c>
      <c r="H520" s="12">
        <v>0</v>
      </c>
      <c r="I520" s="13">
        <v>42906.645920254632</v>
      </c>
      <c r="J520" s="13">
        <v>43271</v>
      </c>
      <c r="K520" s="12" t="s">
        <v>25</v>
      </c>
      <c r="L520" s="12" t="s">
        <v>26</v>
      </c>
      <c r="M520" s="12" t="s">
        <v>26</v>
      </c>
      <c r="N520" s="12" t="s">
        <v>2175</v>
      </c>
      <c r="O520" s="12"/>
      <c r="P520" s="12"/>
      <c r="Q520" s="12"/>
    </row>
    <row r="521" spans="1:17" x14ac:dyDescent="0.25">
      <c r="A521" s="11">
        <v>103249</v>
      </c>
      <c r="B521" s="12" t="s">
        <v>4928</v>
      </c>
      <c r="C521" s="12" t="s">
        <v>2807</v>
      </c>
      <c r="D521" s="125">
        <v>3500000</v>
      </c>
      <c r="E521" s="125">
        <v>2531709.91</v>
      </c>
      <c r="F521" s="12">
        <v>54</v>
      </c>
      <c r="G521" s="12">
        <v>180</v>
      </c>
      <c r="H521" s="12">
        <v>0</v>
      </c>
      <c r="I521" s="13">
        <v>42907.708400844909</v>
      </c>
      <c r="J521" s="13">
        <v>43272</v>
      </c>
      <c r="K521" s="12" t="s">
        <v>25</v>
      </c>
      <c r="L521" s="12" t="s">
        <v>26</v>
      </c>
      <c r="M521" s="12" t="s">
        <v>26</v>
      </c>
      <c r="N521" s="12" t="s">
        <v>1191</v>
      </c>
      <c r="O521" s="12"/>
      <c r="P521" s="12"/>
      <c r="Q521" s="12"/>
    </row>
    <row r="522" spans="1:17" x14ac:dyDescent="0.25">
      <c r="A522" s="11">
        <v>103252</v>
      </c>
      <c r="B522" s="12" t="s">
        <v>1380</v>
      </c>
      <c r="C522" s="12" t="s">
        <v>1449</v>
      </c>
      <c r="D522" s="125">
        <v>20000000</v>
      </c>
      <c r="E522" s="125">
        <v>15465074.65</v>
      </c>
      <c r="F522" s="12">
        <v>36</v>
      </c>
      <c r="G522" s="12">
        <v>180</v>
      </c>
      <c r="H522" s="12">
        <v>0</v>
      </c>
      <c r="I522" s="13">
        <v>42909.574963113424</v>
      </c>
      <c r="J522" s="13">
        <v>43457</v>
      </c>
      <c r="K522" s="12" t="s">
        <v>44</v>
      </c>
      <c r="L522" s="12" t="s">
        <v>75</v>
      </c>
      <c r="M522" s="12" t="s">
        <v>1442</v>
      </c>
      <c r="N522" s="12" t="s">
        <v>963</v>
      </c>
      <c r="O522" s="12"/>
      <c r="P522" s="12"/>
      <c r="Q522" s="12"/>
    </row>
    <row r="523" spans="1:17" x14ac:dyDescent="0.25">
      <c r="A523" s="11">
        <v>103253</v>
      </c>
      <c r="B523" s="12" t="s">
        <v>4954</v>
      </c>
      <c r="C523" s="12" t="s">
        <v>2807</v>
      </c>
      <c r="D523" s="125">
        <v>5000000</v>
      </c>
      <c r="E523" s="125">
        <v>2712982.47</v>
      </c>
      <c r="F523" s="12">
        <v>48</v>
      </c>
      <c r="G523" s="12">
        <v>180</v>
      </c>
      <c r="H523" s="12">
        <v>0</v>
      </c>
      <c r="I523" s="13">
        <v>42912.611653206019</v>
      </c>
      <c r="J523" s="13">
        <v>43160</v>
      </c>
      <c r="K523" s="12" t="s">
        <v>25</v>
      </c>
      <c r="L523" s="12" t="s">
        <v>26</v>
      </c>
      <c r="M523" s="12" t="s">
        <v>26</v>
      </c>
      <c r="N523" s="12" t="s">
        <v>1448</v>
      </c>
      <c r="O523" s="12"/>
      <c r="P523" s="12"/>
      <c r="Q523" s="12"/>
    </row>
    <row r="524" spans="1:17" x14ac:dyDescent="0.25">
      <c r="A524" s="11">
        <v>103254</v>
      </c>
      <c r="B524" s="12" t="s">
        <v>365</v>
      </c>
      <c r="C524" s="12" t="s">
        <v>2807</v>
      </c>
      <c r="D524" s="125">
        <v>4000000</v>
      </c>
      <c r="E524" s="125">
        <v>3185254.24</v>
      </c>
      <c r="F524" s="12">
        <v>48</v>
      </c>
      <c r="G524" s="12">
        <v>180</v>
      </c>
      <c r="H524" s="12">
        <v>0</v>
      </c>
      <c r="I524" s="13">
        <v>42913.651675497684</v>
      </c>
      <c r="J524" s="13">
        <v>43282</v>
      </c>
      <c r="K524" s="12" t="s">
        <v>25</v>
      </c>
      <c r="L524" s="12" t="s">
        <v>26</v>
      </c>
      <c r="M524" s="12" t="s">
        <v>26</v>
      </c>
      <c r="N524" s="12" t="s">
        <v>1448</v>
      </c>
      <c r="O524" s="12"/>
      <c r="P524" s="12"/>
      <c r="Q524" s="12"/>
    </row>
    <row r="525" spans="1:17" x14ac:dyDescent="0.25">
      <c r="A525" s="11">
        <v>103255</v>
      </c>
      <c r="B525" s="12" t="s">
        <v>83</v>
      </c>
      <c r="C525" s="12" t="s">
        <v>2807</v>
      </c>
      <c r="D525" s="125">
        <v>5000000</v>
      </c>
      <c r="E525" s="125">
        <v>3622295.32</v>
      </c>
      <c r="F525" s="12">
        <v>48</v>
      </c>
      <c r="G525" s="12">
        <v>174</v>
      </c>
      <c r="H525" s="12">
        <v>0</v>
      </c>
      <c r="I525" s="13">
        <v>42912.638030983799</v>
      </c>
      <c r="J525" s="13">
        <v>43282</v>
      </c>
      <c r="K525" s="12" t="s">
        <v>25</v>
      </c>
      <c r="L525" s="12" t="s">
        <v>26</v>
      </c>
      <c r="M525" s="12" t="s">
        <v>26</v>
      </c>
      <c r="N525" s="12" t="s">
        <v>1447</v>
      </c>
      <c r="O525" s="12"/>
      <c r="P525" s="12"/>
      <c r="Q525" s="12"/>
    </row>
    <row r="526" spans="1:17" x14ac:dyDescent="0.25">
      <c r="A526" s="11">
        <v>103256</v>
      </c>
      <c r="B526" s="12" t="s">
        <v>4982</v>
      </c>
      <c r="C526" s="12" t="s">
        <v>1449</v>
      </c>
      <c r="D526" s="125">
        <v>10000000</v>
      </c>
      <c r="E526" s="125">
        <v>7982847.71</v>
      </c>
      <c r="F526" s="12">
        <v>54</v>
      </c>
      <c r="G526" s="12">
        <v>180</v>
      </c>
      <c r="H526" s="12">
        <v>0</v>
      </c>
      <c r="I526" s="13">
        <v>42916.532879861108</v>
      </c>
      <c r="J526" s="13">
        <v>43282</v>
      </c>
      <c r="K526" s="12" t="s">
        <v>44</v>
      </c>
      <c r="L526" s="12" t="s">
        <v>92</v>
      </c>
      <c r="M526" s="12" t="s">
        <v>92</v>
      </c>
      <c r="N526" s="12" t="s">
        <v>1191</v>
      </c>
      <c r="O526" s="12"/>
      <c r="P526" s="12"/>
      <c r="Q526" s="12"/>
    </row>
    <row r="527" spans="1:17" x14ac:dyDescent="0.25">
      <c r="A527" s="11">
        <v>103257</v>
      </c>
      <c r="B527" s="12" t="s">
        <v>3196</v>
      </c>
      <c r="C527" s="12" t="s">
        <v>1449</v>
      </c>
      <c r="D527" s="125">
        <v>5000000</v>
      </c>
      <c r="E527" s="125">
        <v>3547750.49</v>
      </c>
      <c r="F527" s="12">
        <v>48</v>
      </c>
      <c r="G527" s="12">
        <v>180</v>
      </c>
      <c r="H527" s="12">
        <v>0</v>
      </c>
      <c r="I527" s="13">
        <v>42916.649968831021</v>
      </c>
      <c r="J527" s="13">
        <v>43195</v>
      </c>
      <c r="K527" s="12" t="s">
        <v>25</v>
      </c>
      <c r="L527" s="12" t="s">
        <v>88</v>
      </c>
      <c r="M527" s="12" t="s">
        <v>285</v>
      </c>
      <c r="N527" s="12" t="s">
        <v>491</v>
      </c>
      <c r="O527" s="12"/>
      <c r="P527" s="12"/>
      <c r="Q527" s="12"/>
    </row>
    <row r="528" spans="1:17" x14ac:dyDescent="0.25">
      <c r="A528" s="11">
        <v>103258</v>
      </c>
      <c r="B528" s="12" t="s">
        <v>4994</v>
      </c>
      <c r="C528" s="12" t="s">
        <v>1484</v>
      </c>
      <c r="D528" s="125">
        <v>2000000</v>
      </c>
      <c r="E528" s="125">
        <v>347408.68</v>
      </c>
      <c r="F528" s="12">
        <v>25</v>
      </c>
      <c r="G528" s="12">
        <v>180</v>
      </c>
      <c r="H528" s="12">
        <v>0</v>
      </c>
      <c r="I528" s="13">
        <v>42921.436926539354</v>
      </c>
      <c r="J528" s="13">
        <v>43090</v>
      </c>
      <c r="K528" s="12" t="s">
        <v>28</v>
      </c>
      <c r="L528" s="12" t="s">
        <v>26</v>
      </c>
      <c r="M528" s="12" t="s">
        <v>26</v>
      </c>
      <c r="N528" s="12" t="s">
        <v>284</v>
      </c>
      <c r="O528" s="12"/>
      <c r="P528" s="12"/>
      <c r="Q528" s="12"/>
    </row>
    <row r="529" spans="1:17" x14ac:dyDescent="0.25">
      <c r="A529" s="11">
        <v>103259</v>
      </c>
      <c r="B529" s="12" t="s">
        <v>3550</v>
      </c>
      <c r="C529" s="12" t="s">
        <v>1449</v>
      </c>
      <c r="D529" s="125">
        <v>6000000</v>
      </c>
      <c r="E529" s="125">
        <v>4280211.46</v>
      </c>
      <c r="F529" s="12">
        <v>44</v>
      </c>
      <c r="G529" s="12">
        <v>180</v>
      </c>
      <c r="H529" s="12">
        <v>0</v>
      </c>
      <c r="I529" s="13">
        <v>42927.551533831022</v>
      </c>
      <c r="J529" s="13">
        <v>43292</v>
      </c>
      <c r="K529" s="12" t="s">
        <v>25</v>
      </c>
      <c r="L529" s="12" t="s">
        <v>88</v>
      </c>
      <c r="M529" s="12" t="s">
        <v>285</v>
      </c>
      <c r="N529" s="12" t="s">
        <v>2034</v>
      </c>
      <c r="O529" s="12"/>
      <c r="P529" s="12"/>
      <c r="Q529" s="12"/>
    </row>
    <row r="530" spans="1:17" x14ac:dyDescent="0.25">
      <c r="A530" s="11">
        <v>103260</v>
      </c>
      <c r="B530" s="12" t="s">
        <v>5024</v>
      </c>
      <c r="C530" s="12" t="s">
        <v>2807</v>
      </c>
      <c r="D530" s="125">
        <v>6000000</v>
      </c>
      <c r="E530" s="125">
        <v>3911075.08</v>
      </c>
      <c r="F530" s="12">
        <v>54</v>
      </c>
      <c r="G530" s="12">
        <v>180</v>
      </c>
      <c r="H530" s="12">
        <v>0</v>
      </c>
      <c r="I530" s="13">
        <v>42928.569796956021</v>
      </c>
      <c r="J530" s="13">
        <v>43232</v>
      </c>
      <c r="K530" s="12" t="s">
        <v>25</v>
      </c>
      <c r="L530" s="12" t="s">
        <v>26</v>
      </c>
      <c r="M530" s="12" t="s">
        <v>26</v>
      </c>
      <c r="N530" s="12" t="s">
        <v>491</v>
      </c>
      <c r="O530" s="12"/>
      <c r="P530" s="12"/>
      <c r="Q530" s="12"/>
    </row>
    <row r="531" spans="1:17" x14ac:dyDescent="0.25">
      <c r="A531" s="11">
        <v>103261</v>
      </c>
      <c r="B531" s="12" t="s">
        <v>5026</v>
      </c>
      <c r="C531" s="12" t="s">
        <v>1449</v>
      </c>
      <c r="D531" s="125">
        <v>10000000</v>
      </c>
      <c r="E531" s="125">
        <v>7093099.29</v>
      </c>
      <c r="F531" s="12">
        <v>40</v>
      </c>
      <c r="G531" s="12">
        <v>180</v>
      </c>
      <c r="H531" s="12">
        <v>0</v>
      </c>
      <c r="I531" s="13">
        <v>42928.637483252314</v>
      </c>
      <c r="J531" s="13">
        <v>43293</v>
      </c>
      <c r="K531" s="12" t="s">
        <v>25</v>
      </c>
      <c r="L531" s="12" t="s">
        <v>88</v>
      </c>
      <c r="M531" s="12" t="s">
        <v>285</v>
      </c>
      <c r="N531" s="12" t="s">
        <v>1191</v>
      </c>
      <c r="O531" s="12"/>
      <c r="P531" s="12"/>
      <c r="Q531" s="12"/>
    </row>
    <row r="532" spans="1:17" x14ac:dyDescent="0.25">
      <c r="A532" s="11">
        <v>103262</v>
      </c>
      <c r="B532" s="12" t="s">
        <v>3682</v>
      </c>
      <c r="C532" s="12" t="s">
        <v>1449</v>
      </c>
      <c r="D532" s="125">
        <v>3500000</v>
      </c>
      <c r="E532" s="125">
        <v>2510860.1</v>
      </c>
      <c r="F532" s="12">
        <v>48</v>
      </c>
      <c r="G532" s="12">
        <v>180</v>
      </c>
      <c r="H532" s="12">
        <v>0</v>
      </c>
      <c r="I532" s="13">
        <v>42930.724245289355</v>
      </c>
      <c r="J532" s="13">
        <v>43295</v>
      </c>
      <c r="K532" s="12" t="s">
        <v>25</v>
      </c>
      <c r="L532" s="12" t="s">
        <v>88</v>
      </c>
      <c r="M532" s="12" t="s">
        <v>285</v>
      </c>
      <c r="N532" s="12" t="s">
        <v>86</v>
      </c>
      <c r="O532" s="12"/>
      <c r="P532" s="12"/>
      <c r="Q532" s="12"/>
    </row>
    <row r="533" spans="1:17" x14ac:dyDescent="0.25">
      <c r="A533" s="11">
        <v>103263</v>
      </c>
      <c r="B533" s="12" t="s">
        <v>5042</v>
      </c>
      <c r="C533" s="12" t="s">
        <v>1449</v>
      </c>
      <c r="D533" s="125">
        <v>7000000</v>
      </c>
      <c r="E533" s="125">
        <v>5579983.8499999996</v>
      </c>
      <c r="F533" s="12">
        <v>54</v>
      </c>
      <c r="G533" s="12">
        <v>180</v>
      </c>
      <c r="H533" s="12">
        <v>0</v>
      </c>
      <c r="I533" s="13">
        <v>42933.649654201392</v>
      </c>
      <c r="J533" s="13">
        <v>43298</v>
      </c>
      <c r="K533" s="12" t="s">
        <v>25</v>
      </c>
      <c r="L533" s="12" t="s">
        <v>88</v>
      </c>
      <c r="M533" s="12" t="s">
        <v>285</v>
      </c>
      <c r="N533" s="12" t="s">
        <v>1039</v>
      </c>
      <c r="O533" s="12"/>
      <c r="P533" s="12"/>
      <c r="Q533" s="12"/>
    </row>
    <row r="534" spans="1:17" x14ac:dyDescent="0.25">
      <c r="A534" s="11">
        <v>103264</v>
      </c>
      <c r="B534" s="12" t="s">
        <v>901</v>
      </c>
      <c r="C534" s="12" t="s">
        <v>2807</v>
      </c>
      <c r="D534" s="125">
        <v>6000000</v>
      </c>
      <c r="E534" s="125">
        <v>4280211.46</v>
      </c>
      <c r="F534" s="12">
        <v>44</v>
      </c>
      <c r="G534" s="12">
        <v>180</v>
      </c>
      <c r="H534" s="12">
        <v>0</v>
      </c>
      <c r="I534" s="13">
        <v>42931.511849884257</v>
      </c>
      <c r="J534" s="13">
        <v>43296</v>
      </c>
      <c r="K534" s="12" t="s">
        <v>25</v>
      </c>
      <c r="L534" s="12" t="s">
        <v>26</v>
      </c>
      <c r="M534" s="12" t="s">
        <v>26</v>
      </c>
      <c r="N534" s="12" t="s">
        <v>86</v>
      </c>
      <c r="O534" s="12"/>
      <c r="P534" s="12"/>
      <c r="Q534" s="12"/>
    </row>
    <row r="535" spans="1:17" x14ac:dyDescent="0.25">
      <c r="A535" s="11">
        <v>103265</v>
      </c>
      <c r="B535" s="12" t="s">
        <v>1600</v>
      </c>
      <c r="C535" s="12" t="s">
        <v>1449</v>
      </c>
      <c r="D535" s="125">
        <v>11029000</v>
      </c>
      <c r="E535" s="125">
        <v>9905521.0899999999</v>
      </c>
      <c r="F535" s="12">
        <v>22</v>
      </c>
      <c r="G535" s="12">
        <v>180</v>
      </c>
      <c r="H535" s="12">
        <v>0</v>
      </c>
      <c r="I535" s="13">
        <v>42933.644140509263</v>
      </c>
      <c r="J535" s="13">
        <v>43851</v>
      </c>
      <c r="K535" s="12" t="s">
        <v>43</v>
      </c>
      <c r="L535" s="12" t="s">
        <v>338</v>
      </c>
      <c r="M535" s="12" t="s">
        <v>339</v>
      </c>
      <c r="N535" s="12" t="s">
        <v>284</v>
      </c>
      <c r="O535" s="12"/>
      <c r="P535" s="12"/>
      <c r="Q535" s="12"/>
    </row>
    <row r="536" spans="1:17" x14ac:dyDescent="0.25">
      <c r="A536" s="11">
        <v>103266</v>
      </c>
      <c r="B536" s="12" t="s">
        <v>3180</v>
      </c>
      <c r="C536" s="12" t="s">
        <v>1449</v>
      </c>
      <c r="D536" s="125">
        <v>10000000</v>
      </c>
      <c r="E536" s="125">
        <v>7133685.7599999998</v>
      </c>
      <c r="F536" s="12">
        <v>44</v>
      </c>
      <c r="G536" s="12">
        <v>180</v>
      </c>
      <c r="H536" s="12">
        <v>0</v>
      </c>
      <c r="I536" s="13">
        <v>42934.646169641201</v>
      </c>
      <c r="J536" s="13">
        <v>43299</v>
      </c>
      <c r="K536" s="12" t="s">
        <v>25</v>
      </c>
      <c r="L536" s="12" t="s">
        <v>290</v>
      </c>
      <c r="M536" s="12" t="s">
        <v>1822</v>
      </c>
      <c r="N536" s="12" t="s">
        <v>2855</v>
      </c>
      <c r="O536" s="12"/>
      <c r="P536" s="12"/>
      <c r="Q536" s="12"/>
    </row>
    <row r="537" spans="1:17" x14ac:dyDescent="0.25">
      <c r="A537" s="11">
        <v>103267</v>
      </c>
      <c r="B537" s="12" t="s">
        <v>5051</v>
      </c>
      <c r="C537" s="12" t="s">
        <v>1449</v>
      </c>
      <c r="D537" s="125">
        <v>10000000</v>
      </c>
      <c r="E537" s="125">
        <v>7971405.4800000004</v>
      </c>
      <c r="F537" s="12">
        <v>54</v>
      </c>
      <c r="G537" s="12">
        <v>180</v>
      </c>
      <c r="H537" s="12">
        <v>0</v>
      </c>
      <c r="I537" s="13">
        <v>42936.509644131947</v>
      </c>
      <c r="J537" s="13">
        <v>43301</v>
      </c>
      <c r="K537" s="12" t="s">
        <v>25</v>
      </c>
      <c r="L537" s="12" t="s">
        <v>88</v>
      </c>
      <c r="M537" s="12" t="s">
        <v>285</v>
      </c>
      <c r="N537" s="12" t="s">
        <v>1191</v>
      </c>
      <c r="O537" s="12"/>
      <c r="P537" s="12"/>
      <c r="Q537" s="12"/>
    </row>
    <row r="538" spans="1:17" x14ac:dyDescent="0.25">
      <c r="A538" s="11">
        <v>103268</v>
      </c>
      <c r="B538" s="12" t="s">
        <v>5052</v>
      </c>
      <c r="C538" s="12" t="s">
        <v>1449</v>
      </c>
      <c r="D538" s="125">
        <v>10000000</v>
      </c>
      <c r="E538" s="125">
        <v>7193840.4400000004</v>
      </c>
      <c r="F538" s="12">
        <v>50</v>
      </c>
      <c r="G538" s="12">
        <v>180</v>
      </c>
      <c r="H538" s="12">
        <v>0</v>
      </c>
      <c r="I538" s="13">
        <v>42936.650801469907</v>
      </c>
      <c r="J538" s="13">
        <v>43301</v>
      </c>
      <c r="K538" s="12" t="s">
        <v>25</v>
      </c>
      <c r="L538" s="12" t="s">
        <v>88</v>
      </c>
      <c r="M538" s="12" t="s">
        <v>285</v>
      </c>
      <c r="N538" s="12" t="s">
        <v>2175</v>
      </c>
      <c r="O538" s="12"/>
      <c r="P538" s="12"/>
      <c r="Q538" s="12"/>
    </row>
    <row r="539" spans="1:17" x14ac:dyDescent="0.25">
      <c r="A539" s="11">
        <v>103269</v>
      </c>
      <c r="B539" s="12" t="s">
        <v>5102</v>
      </c>
      <c r="C539" s="12" t="s">
        <v>1449</v>
      </c>
      <c r="D539" s="125">
        <v>20000000</v>
      </c>
      <c r="E539" s="125">
        <v>15834211.49</v>
      </c>
      <c r="F539" s="12">
        <v>42</v>
      </c>
      <c r="G539" s="12">
        <v>180</v>
      </c>
      <c r="H539" s="12">
        <v>0</v>
      </c>
      <c r="I539" s="13">
        <v>42942.4851346875</v>
      </c>
      <c r="J539" s="13">
        <v>43313</v>
      </c>
      <c r="K539" s="12" t="s">
        <v>25</v>
      </c>
      <c r="L539" s="12" t="s">
        <v>88</v>
      </c>
      <c r="M539" s="12" t="s">
        <v>285</v>
      </c>
      <c r="N539" s="12" t="s">
        <v>963</v>
      </c>
      <c r="O539" s="12"/>
      <c r="P539" s="12"/>
      <c r="Q539" s="12"/>
    </row>
    <row r="540" spans="1:17" x14ac:dyDescent="0.25">
      <c r="A540" s="11">
        <v>103270</v>
      </c>
      <c r="B540" s="12" t="s">
        <v>935</v>
      </c>
      <c r="C540" s="12" t="s">
        <v>1449</v>
      </c>
      <c r="D540" s="125">
        <v>12000000</v>
      </c>
      <c r="E540" s="125">
        <v>11692958.02</v>
      </c>
      <c r="F540" s="12">
        <v>48</v>
      </c>
      <c r="G540" s="12">
        <v>180</v>
      </c>
      <c r="H540" s="12">
        <v>0</v>
      </c>
      <c r="I540" s="13">
        <v>42937.715785185188</v>
      </c>
      <c r="J540" s="13">
        <v>43667</v>
      </c>
      <c r="K540" s="12" t="s">
        <v>25</v>
      </c>
      <c r="L540" s="12" t="s">
        <v>88</v>
      </c>
      <c r="M540" s="12" t="s">
        <v>285</v>
      </c>
      <c r="N540" s="12" t="s">
        <v>1191</v>
      </c>
      <c r="O540" s="12"/>
      <c r="P540" s="12"/>
      <c r="Q540" s="12"/>
    </row>
    <row r="541" spans="1:17" x14ac:dyDescent="0.25">
      <c r="A541" s="11">
        <v>103271</v>
      </c>
      <c r="B541" s="12" t="s">
        <v>5063</v>
      </c>
      <c r="C541" s="12" t="s">
        <v>2807</v>
      </c>
      <c r="D541" s="125">
        <v>10000000</v>
      </c>
      <c r="E541" s="125">
        <v>6655628.54</v>
      </c>
      <c r="F541" s="12">
        <v>54</v>
      </c>
      <c r="G541" s="12">
        <v>180</v>
      </c>
      <c r="H541" s="12">
        <v>0</v>
      </c>
      <c r="I541" s="13">
        <v>42937.581503587964</v>
      </c>
      <c r="J541" s="13">
        <v>43180</v>
      </c>
      <c r="K541" s="12" t="s">
        <v>27</v>
      </c>
      <c r="L541" s="12" t="s">
        <v>26</v>
      </c>
      <c r="M541" s="12" t="s">
        <v>26</v>
      </c>
      <c r="N541" s="12" t="s">
        <v>1667</v>
      </c>
      <c r="O541" s="12"/>
      <c r="P541" s="12"/>
      <c r="Q541" s="12"/>
    </row>
    <row r="542" spans="1:17" x14ac:dyDescent="0.25">
      <c r="A542" s="11">
        <v>103272</v>
      </c>
      <c r="B542" s="12" t="s">
        <v>5064</v>
      </c>
      <c r="C542" s="12" t="s">
        <v>2807</v>
      </c>
      <c r="D542" s="125">
        <v>8000000</v>
      </c>
      <c r="E542" s="125">
        <v>5786765.4800000004</v>
      </c>
      <c r="F542" s="12">
        <v>54</v>
      </c>
      <c r="G542" s="12">
        <v>180</v>
      </c>
      <c r="H542" s="12">
        <v>0</v>
      </c>
      <c r="I542" s="13">
        <v>42937.69081940972</v>
      </c>
      <c r="J542" s="13">
        <v>43302</v>
      </c>
      <c r="K542" s="12" t="s">
        <v>25</v>
      </c>
      <c r="L542" s="12" t="s">
        <v>26</v>
      </c>
      <c r="M542" s="12" t="s">
        <v>26</v>
      </c>
      <c r="N542" s="12" t="s">
        <v>491</v>
      </c>
      <c r="O542" s="12"/>
      <c r="P542" s="12"/>
      <c r="Q542" s="12"/>
    </row>
    <row r="543" spans="1:17" x14ac:dyDescent="0.25">
      <c r="A543" s="11">
        <v>103273</v>
      </c>
      <c r="B543" s="12" t="s">
        <v>562</v>
      </c>
      <c r="C543" s="12" t="s">
        <v>1449</v>
      </c>
      <c r="D543" s="125">
        <v>13000000</v>
      </c>
      <c r="E543" s="125">
        <v>10299259.609999999</v>
      </c>
      <c r="F543" s="12">
        <v>48</v>
      </c>
      <c r="G543" s="12">
        <v>180</v>
      </c>
      <c r="H543" s="12">
        <v>0</v>
      </c>
      <c r="I543" s="13">
        <v>42940.558297488424</v>
      </c>
      <c r="J543" s="13">
        <v>43305</v>
      </c>
      <c r="K543" s="12" t="s">
        <v>25</v>
      </c>
      <c r="L543" s="12" t="s">
        <v>88</v>
      </c>
      <c r="M543" s="12" t="s">
        <v>285</v>
      </c>
      <c r="N543" s="12" t="s">
        <v>4684</v>
      </c>
      <c r="O543" s="12"/>
      <c r="P543" s="12"/>
      <c r="Q543" s="12"/>
    </row>
    <row r="544" spans="1:17" x14ac:dyDescent="0.25">
      <c r="A544" s="11">
        <v>103274</v>
      </c>
      <c r="B544" s="12" t="s">
        <v>5117</v>
      </c>
      <c r="C544" s="12" t="s">
        <v>1449</v>
      </c>
      <c r="D544" s="125">
        <v>1000000</v>
      </c>
      <c r="E544" s="125">
        <v>698538.86</v>
      </c>
      <c r="F544" s="12">
        <v>54</v>
      </c>
      <c r="G544" s="12">
        <v>180</v>
      </c>
      <c r="H544" s="12">
        <v>0</v>
      </c>
      <c r="I544" s="13">
        <v>42944.603416516205</v>
      </c>
      <c r="J544" s="13">
        <v>43132</v>
      </c>
      <c r="K544" s="12" t="s">
        <v>25</v>
      </c>
      <c r="L544" s="12" t="s">
        <v>88</v>
      </c>
      <c r="M544" s="12" t="s">
        <v>26</v>
      </c>
      <c r="N544" s="12" t="s">
        <v>1191</v>
      </c>
      <c r="O544" s="12"/>
      <c r="P544" s="12"/>
      <c r="Q544" s="12"/>
    </row>
    <row r="545" spans="1:17" x14ac:dyDescent="0.25">
      <c r="A545" s="11">
        <v>103275</v>
      </c>
      <c r="B545" s="12" t="s">
        <v>2770</v>
      </c>
      <c r="C545" s="12" t="s">
        <v>2807</v>
      </c>
      <c r="D545" s="125">
        <v>15000000</v>
      </c>
      <c r="E545" s="125">
        <v>11944703.43</v>
      </c>
      <c r="F545" s="12">
        <v>48</v>
      </c>
      <c r="G545" s="12">
        <v>180</v>
      </c>
      <c r="H545" s="12">
        <v>0</v>
      </c>
      <c r="I545" s="13">
        <v>42943.421116435187</v>
      </c>
      <c r="J545" s="13">
        <v>43313</v>
      </c>
      <c r="K545" s="12" t="s">
        <v>27</v>
      </c>
      <c r="L545" s="12" t="s">
        <v>81</v>
      </c>
      <c r="M545" s="12" t="s">
        <v>26</v>
      </c>
      <c r="N545" s="12" t="s">
        <v>1191</v>
      </c>
      <c r="O545" s="12"/>
      <c r="P545" s="12"/>
      <c r="Q545" s="12"/>
    </row>
    <row r="546" spans="1:17" x14ac:dyDescent="0.25">
      <c r="A546" s="11">
        <v>103276</v>
      </c>
      <c r="B546" s="12" t="s">
        <v>5110</v>
      </c>
      <c r="C546" s="12" t="s">
        <v>1449</v>
      </c>
      <c r="D546" s="125">
        <v>6000000</v>
      </c>
      <c r="E546" s="125">
        <v>4473194.5199999996</v>
      </c>
      <c r="F546" s="12">
        <v>50</v>
      </c>
      <c r="G546" s="12">
        <v>180</v>
      </c>
      <c r="H546" s="12">
        <v>0</v>
      </c>
      <c r="I546" s="13">
        <v>42943.604014502314</v>
      </c>
      <c r="J546" s="13">
        <v>43252</v>
      </c>
      <c r="K546" s="12" t="s">
        <v>25</v>
      </c>
      <c r="L546" s="12" t="s">
        <v>88</v>
      </c>
      <c r="M546" s="12" t="s">
        <v>285</v>
      </c>
      <c r="N546" s="12" t="s">
        <v>5124</v>
      </c>
      <c r="O546" s="12"/>
      <c r="P546" s="12"/>
      <c r="Q546" s="12"/>
    </row>
    <row r="547" spans="1:17" x14ac:dyDescent="0.25">
      <c r="A547" s="11">
        <v>103277</v>
      </c>
      <c r="B547" s="12" t="s">
        <v>1541</v>
      </c>
      <c r="C547" s="12" t="s">
        <v>2807</v>
      </c>
      <c r="D547" s="125">
        <v>25000000</v>
      </c>
      <c r="E547" s="125">
        <v>19704021.75</v>
      </c>
      <c r="F547" s="12">
        <v>42</v>
      </c>
      <c r="G547" s="12">
        <v>180</v>
      </c>
      <c r="H547" s="12">
        <v>0</v>
      </c>
      <c r="I547" s="13">
        <v>42947.694353125</v>
      </c>
      <c r="J547" s="13">
        <v>43313</v>
      </c>
      <c r="K547" s="12" t="s">
        <v>44</v>
      </c>
      <c r="L547" s="12" t="s">
        <v>92</v>
      </c>
      <c r="M547" s="12" t="s">
        <v>92</v>
      </c>
      <c r="N547" s="12" t="s">
        <v>5167</v>
      </c>
      <c r="O547" s="12"/>
      <c r="P547" s="12"/>
      <c r="Q547" s="12"/>
    </row>
    <row r="548" spans="1:17" x14ac:dyDescent="0.25">
      <c r="A548" s="11">
        <v>103278</v>
      </c>
      <c r="B548" s="12" t="s">
        <v>5123</v>
      </c>
      <c r="C548" s="12" t="s">
        <v>1449</v>
      </c>
      <c r="D548" s="125">
        <v>1500000</v>
      </c>
      <c r="E548" s="125">
        <v>1010568.19</v>
      </c>
      <c r="F548" s="12">
        <v>54</v>
      </c>
      <c r="G548" s="12">
        <v>180</v>
      </c>
      <c r="H548" s="12">
        <v>0</v>
      </c>
      <c r="I548" s="13">
        <v>42947.548754085648</v>
      </c>
      <c r="J548" s="13">
        <v>43191</v>
      </c>
      <c r="K548" s="12" t="s">
        <v>25</v>
      </c>
      <c r="L548" s="12" t="s">
        <v>88</v>
      </c>
      <c r="M548" s="12" t="s">
        <v>285</v>
      </c>
      <c r="N548" s="12" t="s">
        <v>5124</v>
      </c>
      <c r="O548" s="12"/>
      <c r="P548" s="12"/>
      <c r="Q548" s="12"/>
    </row>
    <row r="549" spans="1:17" x14ac:dyDescent="0.25">
      <c r="A549" s="11">
        <v>103279</v>
      </c>
      <c r="B549" s="12" t="s">
        <v>5122</v>
      </c>
      <c r="C549" s="12" t="s">
        <v>2807</v>
      </c>
      <c r="D549" s="125">
        <v>5000000</v>
      </c>
      <c r="E549" s="125">
        <v>3991423.86</v>
      </c>
      <c r="F549" s="12">
        <v>54</v>
      </c>
      <c r="G549" s="12">
        <v>180</v>
      </c>
      <c r="H549" s="12">
        <v>0</v>
      </c>
      <c r="I549" s="13">
        <v>42947.689028935187</v>
      </c>
      <c r="J549" s="13">
        <v>43313</v>
      </c>
      <c r="K549" s="12" t="s">
        <v>36</v>
      </c>
      <c r="L549" s="12" t="s">
        <v>118</v>
      </c>
      <c r="M549" s="12" t="s">
        <v>119</v>
      </c>
      <c r="N549" s="12" t="s">
        <v>4683</v>
      </c>
      <c r="O549" s="12"/>
      <c r="P549" s="12"/>
      <c r="Q549" s="12"/>
    </row>
    <row r="550" spans="1:17" x14ac:dyDescent="0.25">
      <c r="A550" s="11">
        <v>103280</v>
      </c>
      <c r="B550" s="12" t="s">
        <v>5125</v>
      </c>
      <c r="C550" s="12" t="s">
        <v>1449</v>
      </c>
      <c r="D550" s="125">
        <v>30000000</v>
      </c>
      <c r="E550" s="125">
        <v>25509805.93</v>
      </c>
      <c r="F550" s="12">
        <v>48</v>
      </c>
      <c r="G550" s="12">
        <v>180</v>
      </c>
      <c r="H550" s="12">
        <v>0</v>
      </c>
      <c r="I550" s="13">
        <v>42947.675540972225</v>
      </c>
      <c r="J550" s="13">
        <v>43132</v>
      </c>
      <c r="K550" s="12" t="s">
        <v>25</v>
      </c>
      <c r="L550" s="12" t="s">
        <v>88</v>
      </c>
      <c r="M550" s="12" t="s">
        <v>285</v>
      </c>
      <c r="N550" s="12" t="s">
        <v>2175</v>
      </c>
      <c r="O550" s="12"/>
      <c r="P550" s="12"/>
      <c r="Q550" s="12"/>
    </row>
    <row r="551" spans="1:17" x14ac:dyDescent="0.25">
      <c r="A551" s="11">
        <v>103281</v>
      </c>
      <c r="B551" s="12" t="s">
        <v>5142</v>
      </c>
      <c r="C551" s="12" t="s">
        <v>2807</v>
      </c>
      <c r="D551" s="125">
        <v>5000000</v>
      </c>
      <c r="E551" s="125">
        <v>3723563.01</v>
      </c>
      <c r="F551" s="12">
        <v>54</v>
      </c>
      <c r="G551" s="12">
        <v>180</v>
      </c>
      <c r="H551" s="12">
        <v>0</v>
      </c>
      <c r="I551" s="13">
        <v>42950.703443483799</v>
      </c>
      <c r="J551" s="13">
        <v>43254</v>
      </c>
      <c r="K551" s="12" t="s">
        <v>27</v>
      </c>
      <c r="L551" s="12" t="s">
        <v>116</v>
      </c>
      <c r="M551" s="12" t="s">
        <v>1825</v>
      </c>
      <c r="N551" s="12" t="s">
        <v>2175</v>
      </c>
      <c r="O551" s="12"/>
      <c r="P551" s="12"/>
      <c r="Q551" s="12"/>
    </row>
    <row r="552" spans="1:17" x14ac:dyDescent="0.25">
      <c r="A552" s="11">
        <v>103282</v>
      </c>
      <c r="B552" s="12" t="s">
        <v>2789</v>
      </c>
      <c r="C552" s="12" t="s">
        <v>1449</v>
      </c>
      <c r="D552" s="125">
        <v>3000000</v>
      </c>
      <c r="E552" s="125">
        <v>1671318.49</v>
      </c>
      <c r="F552" s="12">
        <v>48</v>
      </c>
      <c r="G552" s="12">
        <v>180</v>
      </c>
      <c r="H552" s="12">
        <v>0</v>
      </c>
      <c r="I552" s="13">
        <v>42951.56538148148</v>
      </c>
      <c r="J552" s="13">
        <v>43135</v>
      </c>
      <c r="K552" s="12" t="s">
        <v>25</v>
      </c>
      <c r="L552" s="12" t="s">
        <v>88</v>
      </c>
      <c r="M552" s="12" t="s">
        <v>285</v>
      </c>
      <c r="N552" s="12" t="s">
        <v>2538</v>
      </c>
      <c r="O552" s="12"/>
      <c r="P552" s="12"/>
      <c r="Q552" s="12"/>
    </row>
    <row r="553" spans="1:17" x14ac:dyDescent="0.25">
      <c r="A553" s="11">
        <v>103283</v>
      </c>
      <c r="B553" s="12" t="s">
        <v>5141</v>
      </c>
      <c r="C553" s="12" t="s">
        <v>1449</v>
      </c>
      <c r="D553" s="125">
        <v>3500000</v>
      </c>
      <c r="E553" s="125">
        <v>2789991.93</v>
      </c>
      <c r="F553" s="12">
        <v>54</v>
      </c>
      <c r="G553" s="12">
        <v>180</v>
      </c>
      <c r="H553" s="12">
        <v>0</v>
      </c>
      <c r="I553" s="13">
        <v>42950.647246643515</v>
      </c>
      <c r="J553" s="13">
        <v>43315</v>
      </c>
      <c r="K553" s="12" t="s">
        <v>25</v>
      </c>
      <c r="L553" s="12" t="s">
        <v>88</v>
      </c>
      <c r="M553" s="12" t="s">
        <v>285</v>
      </c>
      <c r="N553" s="12" t="s">
        <v>1039</v>
      </c>
      <c r="O553" s="12"/>
      <c r="P553" s="12"/>
      <c r="Q553" s="12"/>
    </row>
    <row r="554" spans="1:17" x14ac:dyDescent="0.25">
      <c r="A554" s="11">
        <v>103284</v>
      </c>
      <c r="B554" s="12" t="s">
        <v>5151</v>
      </c>
      <c r="C554" s="12" t="s">
        <v>4939</v>
      </c>
      <c r="D554" s="125">
        <v>2300000</v>
      </c>
      <c r="E554" s="125">
        <v>789800.11</v>
      </c>
      <c r="F554" s="12">
        <v>25</v>
      </c>
      <c r="G554" s="12">
        <v>180</v>
      </c>
      <c r="H554" s="12">
        <v>0</v>
      </c>
      <c r="I554" s="13">
        <v>42954.633464432867</v>
      </c>
      <c r="J554" s="13">
        <v>43121</v>
      </c>
      <c r="K554" s="12" t="s">
        <v>28</v>
      </c>
      <c r="L554" s="12" t="s">
        <v>26</v>
      </c>
      <c r="M554" s="12" t="s">
        <v>26</v>
      </c>
      <c r="N554" s="12" t="s">
        <v>284</v>
      </c>
      <c r="O554" s="12"/>
      <c r="P554" s="12"/>
      <c r="Q554" s="12"/>
    </row>
    <row r="555" spans="1:17" x14ac:dyDescent="0.25">
      <c r="A555" s="11">
        <v>103286</v>
      </c>
      <c r="B555" s="12" t="s">
        <v>5161</v>
      </c>
      <c r="C555" s="12" t="s">
        <v>2807</v>
      </c>
      <c r="D555" s="125">
        <v>3500000</v>
      </c>
      <c r="E555" s="125">
        <v>1865376.7</v>
      </c>
      <c r="F555" s="12">
        <v>54</v>
      </c>
      <c r="G555" s="12">
        <v>180</v>
      </c>
      <c r="H555" s="12">
        <v>0</v>
      </c>
      <c r="I555" s="13">
        <v>42955.56868434028</v>
      </c>
      <c r="J555" s="13">
        <v>43139</v>
      </c>
      <c r="K555" s="12" t="s">
        <v>25</v>
      </c>
      <c r="L555" s="12" t="s">
        <v>103</v>
      </c>
      <c r="M555" s="12" t="s">
        <v>104</v>
      </c>
      <c r="N555" s="12" t="s">
        <v>5124</v>
      </c>
      <c r="O555" s="12"/>
      <c r="P555" s="12"/>
      <c r="Q555" s="12"/>
    </row>
    <row r="556" spans="1:17" x14ac:dyDescent="0.25">
      <c r="A556" s="11">
        <v>103287</v>
      </c>
      <c r="B556" s="12" t="s">
        <v>5164</v>
      </c>
      <c r="C556" s="12" t="s">
        <v>1449</v>
      </c>
      <c r="D556" s="125">
        <v>3000000</v>
      </c>
      <c r="E556" s="125">
        <v>1996688.56</v>
      </c>
      <c r="F556" s="12">
        <v>54</v>
      </c>
      <c r="G556" s="12">
        <v>180</v>
      </c>
      <c r="H556" s="12">
        <v>0</v>
      </c>
      <c r="I556" s="13">
        <v>42956.540528437501</v>
      </c>
      <c r="J556" s="13">
        <v>43199</v>
      </c>
      <c r="K556" s="12" t="s">
        <v>25</v>
      </c>
      <c r="L556" s="12" t="s">
        <v>88</v>
      </c>
      <c r="M556" s="12" t="s">
        <v>285</v>
      </c>
      <c r="N556" s="12" t="s">
        <v>1925</v>
      </c>
      <c r="O556" s="12"/>
      <c r="P556" s="12"/>
      <c r="Q556" s="12"/>
    </row>
    <row r="557" spans="1:17" x14ac:dyDescent="0.25">
      <c r="A557" s="11">
        <v>103288</v>
      </c>
      <c r="B557" s="12" t="s">
        <v>1565</v>
      </c>
      <c r="C557" s="12" t="s">
        <v>1449</v>
      </c>
      <c r="D557" s="125">
        <v>15000000</v>
      </c>
      <c r="E557" s="125">
        <v>10506255.109999999</v>
      </c>
      <c r="F557" s="12">
        <v>42</v>
      </c>
      <c r="G557" s="12">
        <v>180</v>
      </c>
      <c r="H557" s="12">
        <v>0</v>
      </c>
      <c r="I557" s="13">
        <v>42956.716109641202</v>
      </c>
      <c r="J557" s="13">
        <v>43229</v>
      </c>
      <c r="K557" s="12" t="s">
        <v>45</v>
      </c>
      <c r="L557" s="12" t="s">
        <v>45</v>
      </c>
      <c r="M557" s="12" t="s">
        <v>89</v>
      </c>
      <c r="N557" s="12" t="s">
        <v>963</v>
      </c>
      <c r="O557" s="12"/>
      <c r="P557" s="12"/>
      <c r="Q557" s="12"/>
    </row>
    <row r="558" spans="1:17" x14ac:dyDescent="0.25">
      <c r="A558" s="11">
        <v>103289</v>
      </c>
      <c r="B558" s="12" t="s">
        <v>547</v>
      </c>
      <c r="C558" s="12" t="s">
        <v>1449</v>
      </c>
      <c r="D558" s="125">
        <v>30000000</v>
      </c>
      <c r="E558" s="125">
        <v>26383875.649999999</v>
      </c>
      <c r="F558" s="12">
        <v>42</v>
      </c>
      <c r="G558" s="12">
        <v>180</v>
      </c>
      <c r="H558" s="12">
        <v>0</v>
      </c>
      <c r="I558" s="13">
        <v>42956.687870405091</v>
      </c>
      <c r="J558" s="13">
        <v>43510</v>
      </c>
      <c r="K558" s="12" t="s">
        <v>25</v>
      </c>
      <c r="L558" s="12" t="s">
        <v>88</v>
      </c>
      <c r="M558" s="12" t="s">
        <v>285</v>
      </c>
      <c r="N558" s="12" t="s">
        <v>1448</v>
      </c>
      <c r="O558" s="12"/>
      <c r="P558" s="12"/>
      <c r="Q558" s="12"/>
    </row>
    <row r="559" spans="1:17" x14ac:dyDescent="0.25">
      <c r="A559" s="11">
        <v>103290</v>
      </c>
      <c r="B559" s="12" t="s">
        <v>1384</v>
      </c>
      <c r="C559" s="12" t="s">
        <v>2807</v>
      </c>
      <c r="D559" s="125">
        <v>22000000</v>
      </c>
      <c r="E559" s="125">
        <v>18458432.82</v>
      </c>
      <c r="F559" s="12">
        <v>42</v>
      </c>
      <c r="G559" s="12">
        <v>180</v>
      </c>
      <c r="H559" s="12">
        <v>0</v>
      </c>
      <c r="I559" s="13">
        <v>42958.6777147338</v>
      </c>
      <c r="J559" s="13">
        <v>43415</v>
      </c>
      <c r="K559" s="12" t="s">
        <v>25</v>
      </c>
      <c r="L559" s="12" t="s">
        <v>101</v>
      </c>
      <c r="M559" s="12" t="s">
        <v>26</v>
      </c>
      <c r="N559" s="12" t="s">
        <v>963</v>
      </c>
      <c r="O559" s="12"/>
      <c r="P559" s="12"/>
      <c r="Q559" s="12"/>
    </row>
    <row r="560" spans="1:17" x14ac:dyDescent="0.25">
      <c r="A560" s="11">
        <v>103291</v>
      </c>
      <c r="B560" s="12" t="s">
        <v>5183</v>
      </c>
      <c r="C560" s="12" t="s">
        <v>1449</v>
      </c>
      <c r="D560" s="125">
        <v>35000000</v>
      </c>
      <c r="E560" s="125">
        <v>27377305.899999999</v>
      </c>
      <c r="F560" s="12">
        <v>36</v>
      </c>
      <c r="G560" s="12">
        <v>180</v>
      </c>
      <c r="H560" s="12">
        <v>0</v>
      </c>
      <c r="I560" s="13">
        <v>42959.445603969907</v>
      </c>
      <c r="J560" s="13">
        <v>43324</v>
      </c>
      <c r="K560" s="12" t="s">
        <v>25</v>
      </c>
      <c r="L560" s="12" t="s">
        <v>88</v>
      </c>
      <c r="M560" s="12" t="s">
        <v>285</v>
      </c>
      <c r="N560" s="12" t="s">
        <v>1467</v>
      </c>
      <c r="O560" s="12"/>
      <c r="P560" s="12"/>
      <c r="Q560" s="12"/>
    </row>
    <row r="561" spans="1:17" x14ac:dyDescent="0.25">
      <c r="A561" s="11">
        <v>103292</v>
      </c>
      <c r="B561" s="12" t="s">
        <v>2234</v>
      </c>
      <c r="C561" s="12" t="s">
        <v>2807</v>
      </c>
      <c r="D561" s="125">
        <v>20000000</v>
      </c>
      <c r="E561" s="125">
        <v>15745468.880000001</v>
      </c>
      <c r="F561" s="12">
        <v>42</v>
      </c>
      <c r="G561" s="12">
        <v>180</v>
      </c>
      <c r="H561" s="12">
        <v>0</v>
      </c>
      <c r="I561" s="13">
        <v>42961.548503900463</v>
      </c>
      <c r="J561" s="13">
        <v>43326</v>
      </c>
      <c r="K561" s="12" t="s">
        <v>25</v>
      </c>
      <c r="L561" s="12" t="s">
        <v>103</v>
      </c>
      <c r="M561" s="12" t="s">
        <v>104</v>
      </c>
      <c r="N561" s="12" t="s">
        <v>90</v>
      </c>
      <c r="O561" s="12"/>
      <c r="P561" s="12"/>
      <c r="Q561" s="12"/>
    </row>
    <row r="562" spans="1:17" x14ac:dyDescent="0.25">
      <c r="A562" s="11">
        <v>103293</v>
      </c>
      <c r="B562" s="12" t="s">
        <v>5191</v>
      </c>
      <c r="C562" s="12" t="s">
        <v>1449</v>
      </c>
      <c r="D562" s="125">
        <v>15000000</v>
      </c>
      <c r="E562" s="125">
        <v>11957108.24</v>
      </c>
      <c r="F562" s="12">
        <v>54</v>
      </c>
      <c r="G562" s="12">
        <v>180</v>
      </c>
      <c r="H562" s="12">
        <v>0</v>
      </c>
      <c r="I562" s="13">
        <v>42961.705719097219</v>
      </c>
      <c r="J562" s="13">
        <v>43326</v>
      </c>
      <c r="K562" s="12" t="s">
        <v>25</v>
      </c>
      <c r="L562" s="12" t="s">
        <v>88</v>
      </c>
      <c r="M562" s="12" t="s">
        <v>285</v>
      </c>
      <c r="N562" s="12" t="s">
        <v>4683</v>
      </c>
      <c r="O562" s="12"/>
      <c r="P562" s="12"/>
      <c r="Q562" s="12"/>
    </row>
    <row r="563" spans="1:17" x14ac:dyDescent="0.25">
      <c r="A563" s="11">
        <v>103294</v>
      </c>
      <c r="B563" s="12" t="s">
        <v>305</v>
      </c>
      <c r="C563" s="12" t="s">
        <v>1449</v>
      </c>
      <c r="D563" s="125">
        <v>6000000</v>
      </c>
      <c r="E563" s="125">
        <v>4439993.91</v>
      </c>
      <c r="F563" s="12">
        <v>48</v>
      </c>
      <c r="G563" s="12">
        <v>180</v>
      </c>
      <c r="H563" s="12">
        <v>0</v>
      </c>
      <c r="I563" s="13">
        <v>42962.466988194443</v>
      </c>
      <c r="J563" s="13">
        <v>43266</v>
      </c>
      <c r="K563" s="12" t="s">
        <v>25</v>
      </c>
      <c r="L563" s="12" t="s">
        <v>88</v>
      </c>
      <c r="M563" s="12" t="s">
        <v>285</v>
      </c>
      <c r="N563" s="12" t="s">
        <v>468</v>
      </c>
      <c r="O563" s="12"/>
      <c r="P563" s="12"/>
      <c r="Q563" s="12"/>
    </row>
    <row r="564" spans="1:17" x14ac:dyDescent="0.25">
      <c r="A564" s="11">
        <v>103295</v>
      </c>
      <c r="B564" s="12" t="s">
        <v>5190</v>
      </c>
      <c r="C564" s="12" t="s">
        <v>2807</v>
      </c>
      <c r="D564" s="125">
        <v>1200000</v>
      </c>
      <c r="E564" s="125">
        <v>641245.48</v>
      </c>
      <c r="F564" s="12">
        <v>54</v>
      </c>
      <c r="G564" s="12">
        <v>180</v>
      </c>
      <c r="H564" s="12">
        <v>0</v>
      </c>
      <c r="I564" s="13">
        <v>42961.61328391204</v>
      </c>
      <c r="J564" s="13">
        <v>43145</v>
      </c>
      <c r="K564" s="12" t="s">
        <v>25</v>
      </c>
      <c r="L564" s="12" t="s">
        <v>290</v>
      </c>
      <c r="M564" s="12" t="s">
        <v>1768</v>
      </c>
      <c r="N564" s="12" t="s">
        <v>5124</v>
      </c>
      <c r="O564" s="12"/>
      <c r="P564" s="12"/>
      <c r="Q564" s="12"/>
    </row>
    <row r="565" spans="1:17" x14ac:dyDescent="0.25">
      <c r="A565" s="11">
        <v>103296</v>
      </c>
      <c r="B565" s="12" t="s">
        <v>5193</v>
      </c>
      <c r="C565" s="12" t="s">
        <v>1449</v>
      </c>
      <c r="D565" s="125">
        <v>20000000</v>
      </c>
      <c r="E565" s="125">
        <v>17212703.260000002</v>
      </c>
      <c r="F565" s="12">
        <v>42</v>
      </c>
      <c r="G565" s="12">
        <v>180</v>
      </c>
      <c r="H565" s="12">
        <v>0</v>
      </c>
      <c r="I565" s="13">
        <v>42961.64805625</v>
      </c>
      <c r="J565" s="13">
        <v>43326</v>
      </c>
      <c r="K565" s="12" t="s">
        <v>25</v>
      </c>
      <c r="L565" s="12" t="s">
        <v>88</v>
      </c>
      <c r="M565" s="12" t="s">
        <v>285</v>
      </c>
      <c r="N565" s="12" t="s">
        <v>1909</v>
      </c>
      <c r="O565" s="12"/>
      <c r="P565" s="12"/>
      <c r="Q565" s="12"/>
    </row>
    <row r="566" spans="1:17" x14ac:dyDescent="0.25">
      <c r="A566" s="11">
        <v>103297</v>
      </c>
      <c r="B566" s="12" t="s">
        <v>5189</v>
      </c>
      <c r="C566" s="12" t="s">
        <v>2807</v>
      </c>
      <c r="D566" s="125">
        <v>5000000</v>
      </c>
      <c r="E566" s="125">
        <v>3765854.15</v>
      </c>
      <c r="F566" s="12">
        <v>54</v>
      </c>
      <c r="G566" s="12">
        <v>180</v>
      </c>
      <c r="H566" s="12">
        <v>0</v>
      </c>
      <c r="I566" s="13">
        <v>42961.702593136572</v>
      </c>
      <c r="J566" s="13">
        <v>43265</v>
      </c>
      <c r="K566" s="12" t="s">
        <v>25</v>
      </c>
      <c r="L566" s="12" t="s">
        <v>103</v>
      </c>
      <c r="M566" s="12" t="s">
        <v>104</v>
      </c>
      <c r="N566" s="12" t="s">
        <v>3074</v>
      </c>
      <c r="O566" s="12"/>
      <c r="P566" s="12"/>
      <c r="Q566" s="12"/>
    </row>
    <row r="567" spans="1:17" x14ac:dyDescent="0.25">
      <c r="A567" s="11">
        <v>103298</v>
      </c>
      <c r="B567" s="12" t="s">
        <v>5209</v>
      </c>
      <c r="C567" s="12" t="s">
        <v>1449</v>
      </c>
      <c r="D567" s="125">
        <v>4000000</v>
      </c>
      <c r="E567" s="125">
        <v>3188562.22</v>
      </c>
      <c r="F567" s="12">
        <v>54</v>
      </c>
      <c r="G567" s="12">
        <v>180</v>
      </c>
      <c r="H567" s="12">
        <v>0</v>
      </c>
      <c r="I567" s="13">
        <v>42962.635241203701</v>
      </c>
      <c r="J567" s="13">
        <v>43327</v>
      </c>
      <c r="K567" s="12" t="s">
        <v>25</v>
      </c>
      <c r="L567" s="12" t="s">
        <v>88</v>
      </c>
      <c r="M567" s="12" t="s">
        <v>285</v>
      </c>
      <c r="N567" s="12" t="s">
        <v>5352</v>
      </c>
      <c r="O567" s="12"/>
      <c r="P567" s="12"/>
      <c r="Q567" s="12"/>
    </row>
    <row r="568" spans="1:17" x14ac:dyDescent="0.25">
      <c r="A568" s="11">
        <v>103299</v>
      </c>
      <c r="B568" s="12" t="s">
        <v>5211</v>
      </c>
      <c r="C568" s="12" t="s">
        <v>1449</v>
      </c>
      <c r="D568" s="125">
        <v>3000000</v>
      </c>
      <c r="E568" s="125">
        <v>2391421.63</v>
      </c>
      <c r="F568" s="12">
        <v>54</v>
      </c>
      <c r="G568" s="12">
        <v>180</v>
      </c>
      <c r="H568" s="12">
        <v>0</v>
      </c>
      <c r="I568" s="13">
        <v>42962.688732025461</v>
      </c>
      <c r="J568" s="13">
        <v>43327</v>
      </c>
      <c r="K568" s="12" t="s">
        <v>25</v>
      </c>
      <c r="L568" s="12" t="s">
        <v>88</v>
      </c>
      <c r="M568" s="12" t="s">
        <v>285</v>
      </c>
      <c r="N568" s="12" t="s">
        <v>546</v>
      </c>
      <c r="O568" s="12"/>
      <c r="P568" s="12"/>
      <c r="Q568" s="12"/>
    </row>
    <row r="569" spans="1:17" x14ac:dyDescent="0.25">
      <c r="A569" s="11">
        <v>103300</v>
      </c>
      <c r="B569" s="12" t="s">
        <v>1040</v>
      </c>
      <c r="C569" s="12" t="s">
        <v>2807</v>
      </c>
      <c r="D569" s="125">
        <v>12000000</v>
      </c>
      <c r="E569" s="125">
        <v>10005754.5</v>
      </c>
      <c r="F569" s="12">
        <v>36</v>
      </c>
      <c r="G569" s="12">
        <v>180</v>
      </c>
      <c r="H569" s="12">
        <v>0</v>
      </c>
      <c r="I569" s="13">
        <v>42962.698615740737</v>
      </c>
      <c r="J569" s="13">
        <v>43419</v>
      </c>
      <c r="K569" s="12" t="s">
        <v>29</v>
      </c>
      <c r="L569" s="12" t="s">
        <v>30</v>
      </c>
      <c r="M569" s="12" t="s">
        <v>1819</v>
      </c>
      <c r="N569" s="12" t="s">
        <v>963</v>
      </c>
      <c r="O569" s="12"/>
      <c r="P569" s="12"/>
      <c r="Q569" s="12"/>
    </row>
    <row r="570" spans="1:17" x14ac:dyDescent="0.25">
      <c r="A570" s="11">
        <v>103302</v>
      </c>
      <c r="B570" s="12" t="s">
        <v>4263</v>
      </c>
      <c r="C570" s="12" t="s">
        <v>2807</v>
      </c>
      <c r="D570" s="125">
        <v>4000000</v>
      </c>
      <c r="E570" s="125">
        <v>3320345.89</v>
      </c>
      <c r="F570" s="12">
        <v>48</v>
      </c>
      <c r="G570" s="12">
        <v>180</v>
      </c>
      <c r="H570" s="12">
        <v>0</v>
      </c>
      <c r="I570" s="13">
        <v>42963.622981099536</v>
      </c>
      <c r="J570" s="13">
        <v>43267</v>
      </c>
      <c r="K570" s="12" t="s">
        <v>44</v>
      </c>
      <c r="L570" s="12" t="s">
        <v>75</v>
      </c>
      <c r="M570" s="12" t="s">
        <v>1442</v>
      </c>
      <c r="N570" s="12" t="s">
        <v>2538</v>
      </c>
      <c r="O570" s="12"/>
      <c r="P570" s="12"/>
      <c r="Q570" s="12"/>
    </row>
    <row r="571" spans="1:17" x14ac:dyDescent="0.25">
      <c r="A571" s="11">
        <v>103303</v>
      </c>
      <c r="B571" s="12" t="s">
        <v>5243</v>
      </c>
      <c r="C571" s="12" t="s">
        <v>2807</v>
      </c>
      <c r="D571" s="125">
        <v>5000000</v>
      </c>
      <c r="E571" s="125">
        <v>2664823.87</v>
      </c>
      <c r="F571" s="12">
        <v>54</v>
      </c>
      <c r="G571" s="12">
        <v>180</v>
      </c>
      <c r="H571" s="12">
        <v>0</v>
      </c>
      <c r="I571" s="13">
        <v>42966.501115196763</v>
      </c>
      <c r="J571" s="13">
        <v>43150</v>
      </c>
      <c r="K571" s="12" t="s">
        <v>31</v>
      </c>
      <c r="L571" s="12" t="s">
        <v>509</v>
      </c>
      <c r="M571" s="12" t="s">
        <v>26</v>
      </c>
      <c r="N571" s="12" t="s">
        <v>1925</v>
      </c>
      <c r="O571" s="12"/>
      <c r="P571" s="12"/>
      <c r="Q571" s="12"/>
    </row>
    <row r="572" spans="1:17" x14ac:dyDescent="0.25">
      <c r="A572" s="11">
        <v>103304</v>
      </c>
      <c r="B572" s="12" t="s">
        <v>85</v>
      </c>
      <c r="C572" s="12" t="s">
        <v>1449</v>
      </c>
      <c r="D572" s="125">
        <v>7000000</v>
      </c>
      <c r="E572" s="125">
        <v>5546549.6200000001</v>
      </c>
      <c r="F572" s="12">
        <v>48</v>
      </c>
      <c r="G572" s="12">
        <v>180</v>
      </c>
      <c r="H572" s="12">
        <v>0</v>
      </c>
      <c r="I572" s="13">
        <v>42966.547201238427</v>
      </c>
      <c r="J572" s="13">
        <v>43331</v>
      </c>
      <c r="K572" s="12" t="s">
        <v>25</v>
      </c>
      <c r="L572" s="12" t="s">
        <v>88</v>
      </c>
      <c r="M572" s="12" t="s">
        <v>285</v>
      </c>
      <c r="N572" s="12" t="s">
        <v>86</v>
      </c>
      <c r="O572" s="12"/>
      <c r="P572" s="12"/>
      <c r="Q572" s="12"/>
    </row>
    <row r="573" spans="1:17" x14ac:dyDescent="0.25">
      <c r="A573" s="11">
        <v>103305</v>
      </c>
      <c r="B573" s="12" t="s">
        <v>5252</v>
      </c>
      <c r="C573" s="12" t="s">
        <v>1449</v>
      </c>
      <c r="D573" s="125">
        <v>3000000</v>
      </c>
      <c r="E573" s="125">
        <v>1996688.56</v>
      </c>
      <c r="F573" s="12">
        <v>54</v>
      </c>
      <c r="G573" s="12">
        <v>180</v>
      </c>
      <c r="H573" s="12">
        <v>0</v>
      </c>
      <c r="I573" s="13">
        <v>42968.717358368056</v>
      </c>
      <c r="J573" s="13">
        <v>43211</v>
      </c>
      <c r="K573" s="12" t="s">
        <v>25</v>
      </c>
      <c r="L573" s="12" t="s">
        <v>88</v>
      </c>
      <c r="M573" s="12" t="s">
        <v>285</v>
      </c>
      <c r="N573" s="12" t="s">
        <v>546</v>
      </c>
      <c r="O573" s="12"/>
      <c r="P573" s="12"/>
      <c r="Q573" s="12"/>
    </row>
    <row r="574" spans="1:17" x14ac:dyDescent="0.25">
      <c r="A574" s="11">
        <v>103306</v>
      </c>
      <c r="B574" s="12" t="s">
        <v>5254</v>
      </c>
      <c r="C574" s="12" t="s">
        <v>2807</v>
      </c>
      <c r="D574" s="125">
        <v>8500000</v>
      </c>
      <c r="E574" s="125">
        <v>6330057.1299999999</v>
      </c>
      <c r="F574" s="12">
        <v>54</v>
      </c>
      <c r="G574" s="12">
        <v>180</v>
      </c>
      <c r="H574" s="12">
        <v>0</v>
      </c>
      <c r="I574" s="13">
        <v>42968.609788622685</v>
      </c>
      <c r="J574" s="13">
        <v>43272</v>
      </c>
      <c r="K574" s="12" t="s">
        <v>37</v>
      </c>
      <c r="L574" s="12" t="s">
        <v>288</v>
      </c>
      <c r="M574" s="12" t="s">
        <v>1829</v>
      </c>
      <c r="N574" s="12" t="s">
        <v>1039</v>
      </c>
      <c r="O574" s="12"/>
      <c r="P574" s="12"/>
      <c r="Q574" s="12"/>
    </row>
    <row r="575" spans="1:17" x14ac:dyDescent="0.25">
      <c r="A575" s="11">
        <v>103307</v>
      </c>
      <c r="B575" s="12" t="s">
        <v>5256</v>
      </c>
      <c r="C575" s="12" t="s">
        <v>2807</v>
      </c>
      <c r="D575" s="125">
        <v>5000000</v>
      </c>
      <c r="E575" s="125">
        <v>2664823.87</v>
      </c>
      <c r="F575" s="12">
        <v>54</v>
      </c>
      <c r="G575" s="12">
        <v>180</v>
      </c>
      <c r="H575" s="12">
        <v>0</v>
      </c>
      <c r="I575" s="13">
        <v>42968.741020104164</v>
      </c>
      <c r="J575" s="13">
        <v>43152</v>
      </c>
      <c r="K575" s="12" t="s">
        <v>29</v>
      </c>
      <c r="L575" s="12" t="s">
        <v>30</v>
      </c>
      <c r="M575" s="12" t="s">
        <v>1819</v>
      </c>
      <c r="N575" s="12" t="s">
        <v>1039</v>
      </c>
      <c r="O575" s="12"/>
      <c r="P575" s="12"/>
      <c r="Q575" s="12"/>
    </row>
    <row r="576" spans="1:17" x14ac:dyDescent="0.25">
      <c r="A576" s="11">
        <v>103308</v>
      </c>
      <c r="B576" s="12" t="s">
        <v>1314</v>
      </c>
      <c r="C576" s="12" t="s">
        <v>1449</v>
      </c>
      <c r="D576" s="125">
        <v>8000000</v>
      </c>
      <c r="E576" s="125">
        <v>6913868.54</v>
      </c>
      <c r="F576" s="12">
        <v>48</v>
      </c>
      <c r="G576" s="12">
        <v>180</v>
      </c>
      <c r="H576" s="12">
        <v>0</v>
      </c>
      <c r="I576" s="13">
        <v>42969.451779976851</v>
      </c>
      <c r="J576" s="13">
        <v>43334</v>
      </c>
      <c r="K576" s="12" t="s">
        <v>25</v>
      </c>
      <c r="L576" s="12" t="s">
        <v>88</v>
      </c>
      <c r="M576" s="12" t="s">
        <v>285</v>
      </c>
      <c r="N576" s="12" t="s">
        <v>963</v>
      </c>
      <c r="O576" s="12"/>
      <c r="P576" s="12"/>
      <c r="Q576" s="12"/>
    </row>
    <row r="577" spans="1:17" x14ac:dyDescent="0.25">
      <c r="A577" s="11">
        <v>103310</v>
      </c>
      <c r="B577" s="12" t="s">
        <v>5283</v>
      </c>
      <c r="C577" s="12" t="s">
        <v>1449</v>
      </c>
      <c r="D577" s="125">
        <v>2500000</v>
      </c>
      <c r="E577" s="125">
        <v>2169394.11</v>
      </c>
      <c r="F577" s="12">
        <v>54</v>
      </c>
      <c r="G577" s="12">
        <v>180</v>
      </c>
      <c r="H577" s="12">
        <v>0</v>
      </c>
      <c r="I577" s="13">
        <v>42970.699644444445</v>
      </c>
      <c r="J577" s="13">
        <v>43335</v>
      </c>
      <c r="K577" s="12" t="s">
        <v>25</v>
      </c>
      <c r="L577" s="12" t="s">
        <v>88</v>
      </c>
      <c r="M577" s="12" t="s">
        <v>285</v>
      </c>
      <c r="N577" s="12" t="s">
        <v>4684</v>
      </c>
      <c r="O577" s="12"/>
      <c r="P577" s="12"/>
      <c r="Q577" s="12"/>
    </row>
    <row r="578" spans="1:17" x14ac:dyDescent="0.25">
      <c r="A578" s="11">
        <v>103311</v>
      </c>
      <c r="B578" s="12" t="s">
        <v>5293</v>
      </c>
      <c r="C578" s="12" t="s">
        <v>1449</v>
      </c>
      <c r="D578" s="125">
        <v>10000000</v>
      </c>
      <c r="E578" s="125">
        <v>8312576.0700000003</v>
      </c>
      <c r="F578" s="12">
        <v>50</v>
      </c>
      <c r="G578" s="12">
        <v>180</v>
      </c>
      <c r="H578" s="12">
        <v>0</v>
      </c>
      <c r="I578" s="13">
        <v>42971.706171412035</v>
      </c>
      <c r="J578" s="13">
        <v>43275</v>
      </c>
      <c r="K578" s="12" t="s">
        <v>25</v>
      </c>
      <c r="L578" s="12" t="s">
        <v>88</v>
      </c>
      <c r="M578" s="12" t="s">
        <v>285</v>
      </c>
      <c r="N578" s="12" t="s">
        <v>5124</v>
      </c>
      <c r="O578" s="12"/>
      <c r="P578" s="12"/>
      <c r="Q578" s="12"/>
    </row>
    <row r="579" spans="1:17" x14ac:dyDescent="0.25">
      <c r="A579" s="11">
        <v>103312</v>
      </c>
      <c r="B579" s="12" t="s">
        <v>5304</v>
      </c>
      <c r="C579" s="12" t="s">
        <v>82</v>
      </c>
      <c r="D579" s="125">
        <v>30000000</v>
      </c>
      <c r="E579" s="125">
        <v>23255400.719999999</v>
      </c>
      <c r="F579" s="12">
        <v>42</v>
      </c>
      <c r="G579" s="12">
        <v>180</v>
      </c>
      <c r="H579" s="12">
        <v>0</v>
      </c>
      <c r="I579" s="13">
        <v>42972.434798379632</v>
      </c>
      <c r="J579" s="13">
        <v>43215</v>
      </c>
      <c r="K579" s="12" t="s">
        <v>27</v>
      </c>
      <c r="L579" s="12" t="s">
        <v>81</v>
      </c>
      <c r="M579" s="12" t="s">
        <v>26</v>
      </c>
      <c r="N579" s="12" t="s">
        <v>2175</v>
      </c>
      <c r="O579" s="12"/>
      <c r="P579" s="12"/>
      <c r="Q579" s="12"/>
    </row>
    <row r="580" spans="1:17" x14ac:dyDescent="0.25">
      <c r="A580" s="11">
        <v>103313</v>
      </c>
      <c r="B580" s="12" t="s">
        <v>5307</v>
      </c>
      <c r="C580" s="12" t="s">
        <v>82</v>
      </c>
      <c r="D580" s="125">
        <v>8000000</v>
      </c>
      <c r="E580" s="125">
        <v>6228825.7699999996</v>
      </c>
      <c r="F580" s="12">
        <v>48</v>
      </c>
      <c r="G580" s="12">
        <v>180</v>
      </c>
      <c r="H580" s="12">
        <v>0</v>
      </c>
      <c r="I580" s="13">
        <v>42972.497745833331</v>
      </c>
      <c r="J580" s="13">
        <v>43215</v>
      </c>
      <c r="K580" s="12" t="s">
        <v>28</v>
      </c>
      <c r="L580" s="12" t="s">
        <v>26</v>
      </c>
      <c r="M580" s="12" t="s">
        <v>26</v>
      </c>
      <c r="N580" s="12" t="s">
        <v>2855</v>
      </c>
      <c r="O580" s="12"/>
      <c r="P580" s="12"/>
      <c r="Q580" s="12"/>
    </row>
    <row r="581" spans="1:17" x14ac:dyDescent="0.25">
      <c r="A581" s="11">
        <v>103314</v>
      </c>
      <c r="B581" s="12" t="s">
        <v>5306</v>
      </c>
      <c r="C581" s="12" t="s">
        <v>1449</v>
      </c>
      <c r="D581" s="125">
        <v>6000000</v>
      </c>
      <c r="E581" s="125">
        <v>4311644.3</v>
      </c>
      <c r="F581" s="12">
        <v>54</v>
      </c>
      <c r="G581" s="12">
        <v>180</v>
      </c>
      <c r="H581" s="12">
        <v>0</v>
      </c>
      <c r="I581" s="13">
        <v>42972.678314583332</v>
      </c>
      <c r="J581" s="13">
        <v>43160</v>
      </c>
      <c r="K581" s="12" t="s">
        <v>25</v>
      </c>
      <c r="L581" s="12" t="s">
        <v>88</v>
      </c>
      <c r="M581" s="12" t="s">
        <v>285</v>
      </c>
      <c r="N581" s="12" t="s">
        <v>1191</v>
      </c>
      <c r="O581" s="12"/>
      <c r="P581" s="12"/>
      <c r="Q581" s="12"/>
    </row>
    <row r="582" spans="1:17" x14ac:dyDescent="0.25">
      <c r="A582" s="11">
        <v>103315</v>
      </c>
      <c r="B582" s="12" t="s">
        <v>114</v>
      </c>
      <c r="C582" s="12" t="s">
        <v>2807</v>
      </c>
      <c r="D582" s="125">
        <v>11000000</v>
      </c>
      <c r="E582" s="125">
        <v>9543132.9600000009</v>
      </c>
      <c r="F582" s="12">
        <v>48</v>
      </c>
      <c r="G582" s="12">
        <v>180</v>
      </c>
      <c r="H582" s="12">
        <v>0</v>
      </c>
      <c r="I582" s="13">
        <v>42975.555813460647</v>
      </c>
      <c r="J582" s="13">
        <v>43344</v>
      </c>
      <c r="K582" s="12" t="s">
        <v>25</v>
      </c>
      <c r="L582" s="12" t="s">
        <v>88</v>
      </c>
      <c r="M582" s="12" t="s">
        <v>285</v>
      </c>
      <c r="N582" s="12" t="s">
        <v>90</v>
      </c>
      <c r="O582" s="12"/>
      <c r="P582" s="12"/>
      <c r="Q582" s="12"/>
    </row>
    <row r="583" spans="1:17" x14ac:dyDescent="0.25">
      <c r="A583" s="11">
        <v>103316</v>
      </c>
      <c r="B583" s="12" t="s">
        <v>5330</v>
      </c>
      <c r="C583" s="12" t="s">
        <v>2807</v>
      </c>
      <c r="D583" s="125">
        <v>6000000</v>
      </c>
      <c r="E583" s="125">
        <v>4177532.16</v>
      </c>
      <c r="F583" s="12">
        <v>50</v>
      </c>
      <c r="G583" s="12">
        <v>180</v>
      </c>
      <c r="H583" s="12">
        <v>0</v>
      </c>
      <c r="I583" s="13">
        <v>42975.539610914355</v>
      </c>
      <c r="J583" s="13">
        <v>43160</v>
      </c>
      <c r="K583" s="12" t="s">
        <v>25</v>
      </c>
      <c r="L583" s="12" t="s">
        <v>88</v>
      </c>
      <c r="M583" s="12" t="s">
        <v>285</v>
      </c>
      <c r="N583" s="12" t="s">
        <v>5124</v>
      </c>
      <c r="O583" s="12"/>
      <c r="P583" s="12"/>
      <c r="Q583" s="12"/>
    </row>
    <row r="584" spans="1:17" x14ac:dyDescent="0.25">
      <c r="A584" s="11">
        <v>103317</v>
      </c>
      <c r="B584" s="12" t="s">
        <v>5332</v>
      </c>
      <c r="C584" s="12" t="s">
        <v>1449</v>
      </c>
      <c r="D584" s="125">
        <v>6000000</v>
      </c>
      <c r="E584" s="125">
        <v>5692511.4699999997</v>
      </c>
      <c r="F584" s="12">
        <v>54</v>
      </c>
      <c r="G584" s="12">
        <v>180</v>
      </c>
      <c r="H584" s="12">
        <v>0</v>
      </c>
      <c r="I584" s="13">
        <v>42975.650625347225</v>
      </c>
      <c r="J584" s="13">
        <v>43282</v>
      </c>
      <c r="K584" s="12" t="s">
        <v>25</v>
      </c>
      <c r="L584" s="12" t="s">
        <v>88</v>
      </c>
      <c r="M584" s="12" t="s">
        <v>285</v>
      </c>
      <c r="N584" s="12" t="s">
        <v>3074</v>
      </c>
      <c r="O584" s="12"/>
      <c r="P584" s="12"/>
      <c r="Q584" s="12"/>
    </row>
    <row r="585" spans="1:17" x14ac:dyDescent="0.25">
      <c r="A585" s="11">
        <v>103318</v>
      </c>
      <c r="B585" s="12" t="s">
        <v>5331</v>
      </c>
      <c r="C585" s="12" t="s">
        <v>1449</v>
      </c>
      <c r="D585" s="125">
        <v>1200000</v>
      </c>
      <c r="E585" s="125">
        <v>838246.64</v>
      </c>
      <c r="F585" s="12">
        <v>54</v>
      </c>
      <c r="G585" s="12">
        <v>180</v>
      </c>
      <c r="H585" s="12">
        <v>0</v>
      </c>
      <c r="I585" s="13">
        <v>42975.660906168981</v>
      </c>
      <c r="J585" s="13">
        <v>43160</v>
      </c>
      <c r="K585" s="12" t="s">
        <v>25</v>
      </c>
      <c r="L585" s="12" t="s">
        <v>88</v>
      </c>
      <c r="M585" s="12" t="s">
        <v>285</v>
      </c>
      <c r="N585" s="12" t="s">
        <v>4844</v>
      </c>
      <c r="O585" s="12"/>
      <c r="P585" s="12"/>
      <c r="Q585" s="12"/>
    </row>
    <row r="586" spans="1:17" x14ac:dyDescent="0.25">
      <c r="A586" s="11">
        <v>103319</v>
      </c>
      <c r="B586" s="12" t="s">
        <v>5333</v>
      </c>
      <c r="C586" s="12" t="s">
        <v>2807</v>
      </c>
      <c r="D586" s="125">
        <v>14000000</v>
      </c>
      <c r="E586" s="125">
        <v>11720378.470000001</v>
      </c>
      <c r="F586" s="12">
        <v>54</v>
      </c>
      <c r="G586" s="12">
        <v>180</v>
      </c>
      <c r="H586" s="12">
        <v>0</v>
      </c>
      <c r="I586" s="13">
        <v>42975.715995138889</v>
      </c>
      <c r="J586" s="13">
        <v>43282</v>
      </c>
      <c r="K586" s="12" t="s">
        <v>37</v>
      </c>
      <c r="L586" s="12" t="s">
        <v>38</v>
      </c>
      <c r="M586" s="12" t="s">
        <v>39</v>
      </c>
      <c r="N586" s="12" t="s">
        <v>1191</v>
      </c>
      <c r="O586" s="12"/>
      <c r="P586" s="12"/>
      <c r="Q586" s="12"/>
    </row>
    <row r="587" spans="1:17" x14ac:dyDescent="0.25">
      <c r="A587" s="11">
        <v>103320</v>
      </c>
      <c r="B587" s="12" t="s">
        <v>5353</v>
      </c>
      <c r="C587" s="12" t="s">
        <v>1449</v>
      </c>
      <c r="D587" s="125">
        <v>5000000</v>
      </c>
      <c r="E587" s="125">
        <v>4351244.07</v>
      </c>
      <c r="F587" s="12">
        <v>54</v>
      </c>
      <c r="G587" s="12">
        <v>180</v>
      </c>
      <c r="H587" s="12">
        <v>0</v>
      </c>
      <c r="I587" s="13">
        <v>42976.521201967589</v>
      </c>
      <c r="J587" s="13">
        <v>43344</v>
      </c>
      <c r="K587" s="12" t="s">
        <v>25</v>
      </c>
      <c r="L587" s="12" t="s">
        <v>88</v>
      </c>
      <c r="M587" s="12" t="s">
        <v>285</v>
      </c>
      <c r="N587" s="12" t="s">
        <v>4844</v>
      </c>
      <c r="O587" s="12"/>
      <c r="P587" s="12"/>
      <c r="Q587" s="12"/>
    </row>
    <row r="588" spans="1:17" x14ac:dyDescent="0.25">
      <c r="A588" s="11">
        <v>103321</v>
      </c>
      <c r="B588" s="12" t="s">
        <v>5351</v>
      </c>
      <c r="C588" s="12" t="s">
        <v>2807</v>
      </c>
      <c r="D588" s="125">
        <v>3000000</v>
      </c>
      <c r="E588" s="125">
        <v>2092621.42</v>
      </c>
      <c r="F588" s="12">
        <v>54</v>
      </c>
      <c r="G588" s="12">
        <v>180</v>
      </c>
      <c r="H588" s="12">
        <v>0</v>
      </c>
      <c r="I588" s="13">
        <v>42976.540823842595</v>
      </c>
      <c r="J588" s="13">
        <v>43160</v>
      </c>
      <c r="K588" s="12" t="s">
        <v>25</v>
      </c>
      <c r="L588" s="12" t="s">
        <v>94</v>
      </c>
      <c r="M588" s="12" t="s">
        <v>95</v>
      </c>
      <c r="N588" s="12" t="s">
        <v>5352</v>
      </c>
      <c r="O588" s="12"/>
      <c r="P588" s="12"/>
      <c r="Q588" s="12"/>
    </row>
    <row r="589" spans="1:17" x14ac:dyDescent="0.25">
      <c r="A589" s="11">
        <v>103322</v>
      </c>
      <c r="B589" s="12" t="s">
        <v>5367</v>
      </c>
      <c r="C589" s="12" t="s">
        <v>1449</v>
      </c>
      <c r="D589" s="125">
        <v>6000000</v>
      </c>
      <c r="E589" s="125">
        <v>4684646.0199999996</v>
      </c>
      <c r="F589" s="12">
        <v>50</v>
      </c>
      <c r="G589" s="12">
        <v>180</v>
      </c>
      <c r="H589" s="12">
        <v>0</v>
      </c>
      <c r="I589" s="13">
        <v>42977.493870914353</v>
      </c>
      <c r="J589" s="13">
        <v>43222</v>
      </c>
      <c r="K589" s="12" t="s">
        <v>25</v>
      </c>
      <c r="L589" s="12" t="s">
        <v>88</v>
      </c>
      <c r="M589" s="12" t="s">
        <v>285</v>
      </c>
      <c r="N589" s="12" t="s">
        <v>5124</v>
      </c>
      <c r="O589" s="12"/>
      <c r="P589" s="12"/>
      <c r="Q589" s="12"/>
    </row>
    <row r="590" spans="1:17" x14ac:dyDescent="0.25">
      <c r="A590" s="11">
        <v>103323</v>
      </c>
      <c r="B590" s="12" t="s">
        <v>4083</v>
      </c>
      <c r="C590" s="12" t="s">
        <v>1449</v>
      </c>
      <c r="D590" s="125">
        <v>16000000</v>
      </c>
      <c r="E590" s="125">
        <v>13785684.529999999</v>
      </c>
      <c r="F590" s="12">
        <v>42</v>
      </c>
      <c r="G590" s="12">
        <v>180</v>
      </c>
      <c r="H590" s="12">
        <v>0</v>
      </c>
      <c r="I590" s="13">
        <v>42977.530860300925</v>
      </c>
      <c r="J590" s="13">
        <v>43344</v>
      </c>
      <c r="K590" s="12" t="s">
        <v>25</v>
      </c>
      <c r="L590" s="12" t="s">
        <v>88</v>
      </c>
      <c r="M590" s="12" t="s">
        <v>285</v>
      </c>
      <c r="N590" s="12" t="s">
        <v>491</v>
      </c>
      <c r="O590" s="12"/>
      <c r="P590" s="12"/>
      <c r="Q590" s="12"/>
    </row>
    <row r="591" spans="1:17" x14ac:dyDescent="0.25">
      <c r="A591" s="11">
        <v>103324</v>
      </c>
      <c r="B591" s="12" t="s">
        <v>3185</v>
      </c>
      <c r="C591" s="12" t="s">
        <v>2807</v>
      </c>
      <c r="D591" s="125">
        <v>5500000</v>
      </c>
      <c r="E591" s="125">
        <v>5140545.05</v>
      </c>
      <c r="F591" s="12">
        <v>48</v>
      </c>
      <c r="G591" s="12">
        <v>180</v>
      </c>
      <c r="H591" s="12">
        <v>0</v>
      </c>
      <c r="I591" s="13">
        <v>42977.704196030092</v>
      </c>
      <c r="J591" s="13">
        <v>43344</v>
      </c>
      <c r="K591" s="12" t="s">
        <v>25</v>
      </c>
      <c r="L591" s="12" t="s">
        <v>88</v>
      </c>
      <c r="M591" s="12" t="s">
        <v>285</v>
      </c>
      <c r="N591" s="12" t="s">
        <v>1039</v>
      </c>
      <c r="O591" s="12"/>
      <c r="P591" s="12"/>
      <c r="Q591" s="12"/>
    </row>
    <row r="592" spans="1:17" x14ac:dyDescent="0.25">
      <c r="A592" s="11">
        <v>103325</v>
      </c>
      <c r="B592" s="12" t="s">
        <v>868</v>
      </c>
      <c r="C592" s="12" t="s">
        <v>1449</v>
      </c>
      <c r="D592" s="125">
        <v>27000000</v>
      </c>
      <c r="E592" s="125">
        <v>25871959.25</v>
      </c>
      <c r="F592" s="12">
        <v>36</v>
      </c>
      <c r="G592" s="12">
        <v>180</v>
      </c>
      <c r="H592" s="12">
        <v>0</v>
      </c>
      <c r="I592" s="13">
        <v>42978.51465853009</v>
      </c>
      <c r="J592" s="13">
        <v>43525</v>
      </c>
      <c r="K592" s="12" t="s">
        <v>25</v>
      </c>
      <c r="L592" s="12" t="s">
        <v>88</v>
      </c>
      <c r="M592" s="12" t="s">
        <v>285</v>
      </c>
      <c r="N592" s="12" t="s">
        <v>86</v>
      </c>
      <c r="O592" s="12"/>
      <c r="P592" s="12"/>
      <c r="Q592" s="12"/>
    </row>
    <row r="593" spans="1:17" x14ac:dyDescent="0.25">
      <c r="A593" s="11">
        <v>103326</v>
      </c>
      <c r="B593" s="12" t="s">
        <v>5370</v>
      </c>
      <c r="C593" s="12" t="s">
        <v>2807</v>
      </c>
      <c r="D593" s="125">
        <v>5000000</v>
      </c>
      <c r="E593" s="125">
        <v>4599698.87</v>
      </c>
      <c r="F593" s="12">
        <v>54</v>
      </c>
      <c r="G593" s="12">
        <v>180</v>
      </c>
      <c r="H593" s="12">
        <v>0</v>
      </c>
      <c r="I593" s="13">
        <v>42978.663012650461</v>
      </c>
      <c r="J593" s="13">
        <v>43282</v>
      </c>
      <c r="K593" s="12" t="s">
        <v>27</v>
      </c>
      <c r="L593" s="12" t="s">
        <v>81</v>
      </c>
      <c r="M593" s="12" t="s">
        <v>5371</v>
      </c>
      <c r="N593" s="12" t="s">
        <v>1191</v>
      </c>
      <c r="O593" s="12"/>
      <c r="P593" s="12"/>
      <c r="Q593" s="12"/>
    </row>
    <row r="594" spans="1:17" x14ac:dyDescent="0.25">
      <c r="A594" s="11">
        <v>103327</v>
      </c>
      <c r="B594" s="12" t="s">
        <v>5373</v>
      </c>
      <c r="C594" s="12" t="s">
        <v>2807</v>
      </c>
      <c r="D594" s="125">
        <v>5000000</v>
      </c>
      <c r="E594" s="125">
        <v>4173884.19</v>
      </c>
      <c r="F594" s="12">
        <v>54</v>
      </c>
      <c r="G594" s="12">
        <v>180</v>
      </c>
      <c r="H594" s="12">
        <v>0</v>
      </c>
      <c r="I594" s="13">
        <v>42978.741225428239</v>
      </c>
      <c r="J594" s="13">
        <v>43282</v>
      </c>
      <c r="K594" s="12" t="s">
        <v>25</v>
      </c>
      <c r="L594" s="12" t="s">
        <v>88</v>
      </c>
      <c r="M594" s="12" t="s">
        <v>285</v>
      </c>
      <c r="N594" s="12" t="s">
        <v>5352</v>
      </c>
      <c r="O594" s="12"/>
      <c r="P594" s="12"/>
      <c r="Q594" s="12"/>
    </row>
    <row r="595" spans="1:17" x14ac:dyDescent="0.25">
      <c r="A595" s="11">
        <v>103328</v>
      </c>
      <c r="B595" s="12" t="s">
        <v>5372</v>
      </c>
      <c r="C595" s="12" t="s">
        <v>1449</v>
      </c>
      <c r="D595" s="125">
        <v>13000000</v>
      </c>
      <c r="E595" s="125">
        <v>9055047.1199999992</v>
      </c>
      <c r="F595" s="12">
        <v>54</v>
      </c>
      <c r="G595" s="12">
        <v>180</v>
      </c>
      <c r="H595" s="12">
        <v>0</v>
      </c>
      <c r="I595" s="13">
        <v>42978.731462037038</v>
      </c>
      <c r="J595" s="13">
        <v>43160</v>
      </c>
      <c r="K595" s="12" t="s">
        <v>25</v>
      </c>
      <c r="L595" s="12" t="s">
        <v>88</v>
      </c>
      <c r="M595" s="12" t="s">
        <v>285</v>
      </c>
      <c r="N595" s="12" t="s">
        <v>2175</v>
      </c>
      <c r="O595" s="12"/>
      <c r="P595" s="12"/>
      <c r="Q595" s="12"/>
    </row>
    <row r="596" spans="1:17" x14ac:dyDescent="0.25">
      <c r="A596" s="11">
        <v>103329</v>
      </c>
      <c r="B596" s="12" t="s">
        <v>5388</v>
      </c>
      <c r="C596" s="12" t="s">
        <v>1449</v>
      </c>
      <c r="D596" s="125">
        <v>17000000</v>
      </c>
      <c r="E596" s="125">
        <v>14111470.060000001</v>
      </c>
      <c r="F596" s="12">
        <v>48</v>
      </c>
      <c r="G596" s="12">
        <v>180</v>
      </c>
      <c r="H596" s="12">
        <v>0</v>
      </c>
      <c r="I596" s="13">
        <v>42982.679339236114</v>
      </c>
      <c r="J596" s="13">
        <v>43285</v>
      </c>
      <c r="K596" s="12" t="s">
        <v>25</v>
      </c>
      <c r="L596" s="12" t="s">
        <v>88</v>
      </c>
      <c r="M596" s="12" t="s">
        <v>285</v>
      </c>
      <c r="N596" s="12" t="s">
        <v>2175</v>
      </c>
      <c r="O596" s="12"/>
      <c r="P596" s="12"/>
      <c r="Q596" s="12"/>
    </row>
    <row r="597" spans="1:17" x14ac:dyDescent="0.25">
      <c r="A597" s="11">
        <v>103330</v>
      </c>
      <c r="B597" s="12" t="s">
        <v>5400</v>
      </c>
      <c r="C597" s="12" t="s">
        <v>1449</v>
      </c>
      <c r="D597" s="125">
        <v>35000000</v>
      </c>
      <c r="E597" s="125">
        <v>31965547.149999999</v>
      </c>
      <c r="F597" s="12">
        <v>36</v>
      </c>
      <c r="G597" s="12">
        <v>180</v>
      </c>
      <c r="H597" s="12">
        <v>0</v>
      </c>
      <c r="I597" s="13">
        <v>42984.636498807871</v>
      </c>
      <c r="J597" s="13">
        <v>43530</v>
      </c>
      <c r="K597" s="12" t="s">
        <v>44</v>
      </c>
      <c r="L597" s="12" t="s">
        <v>75</v>
      </c>
      <c r="M597" s="12" t="s">
        <v>1442</v>
      </c>
      <c r="N597" s="12" t="s">
        <v>2855</v>
      </c>
      <c r="O597" s="12"/>
      <c r="P597" s="12"/>
      <c r="Q597" s="12"/>
    </row>
    <row r="598" spans="1:17" x14ac:dyDescent="0.25">
      <c r="A598" s="11">
        <v>103331</v>
      </c>
      <c r="B598" s="12" t="s">
        <v>3386</v>
      </c>
      <c r="C598" s="12" t="s">
        <v>1449</v>
      </c>
      <c r="D598" s="125">
        <v>10000000</v>
      </c>
      <c r="E598" s="125">
        <v>9831925.9800000004</v>
      </c>
      <c r="F598" s="12">
        <v>44</v>
      </c>
      <c r="G598" s="12">
        <v>180</v>
      </c>
      <c r="H598" s="12">
        <v>0</v>
      </c>
      <c r="I598" s="13">
        <v>42989.615845219909</v>
      </c>
      <c r="J598" s="13">
        <v>43354</v>
      </c>
      <c r="K598" s="12" t="s">
        <v>25</v>
      </c>
      <c r="L598" s="12" t="s">
        <v>88</v>
      </c>
      <c r="M598" s="12" t="s">
        <v>285</v>
      </c>
      <c r="N598" s="12" t="s">
        <v>1191</v>
      </c>
      <c r="O598" s="12"/>
      <c r="P598" s="12"/>
      <c r="Q598" s="12"/>
    </row>
    <row r="599" spans="1:17" x14ac:dyDescent="0.25">
      <c r="A599" s="11">
        <v>103332</v>
      </c>
      <c r="B599" s="12" t="s">
        <v>5542</v>
      </c>
      <c r="C599" s="12" t="s">
        <v>1449</v>
      </c>
      <c r="D599" s="125">
        <v>20000000</v>
      </c>
      <c r="E599" s="125">
        <v>18950683.91</v>
      </c>
      <c r="F599" s="12">
        <v>40</v>
      </c>
      <c r="G599" s="12">
        <v>180</v>
      </c>
      <c r="H599" s="12">
        <v>0</v>
      </c>
      <c r="I599" s="13">
        <v>43000.551402893521</v>
      </c>
      <c r="J599" s="13">
        <v>43456</v>
      </c>
      <c r="K599" s="12" t="s">
        <v>44</v>
      </c>
      <c r="L599" s="12" t="s">
        <v>75</v>
      </c>
      <c r="M599" s="12" t="s">
        <v>4000</v>
      </c>
      <c r="N599" s="12" t="s">
        <v>2494</v>
      </c>
      <c r="O599" s="12"/>
      <c r="P599" s="12"/>
      <c r="Q599" s="12"/>
    </row>
    <row r="600" spans="1:17" x14ac:dyDescent="0.25">
      <c r="A600" s="11">
        <v>103333</v>
      </c>
      <c r="B600" s="12" t="s">
        <v>5431</v>
      </c>
      <c r="C600" s="12" t="s">
        <v>1449</v>
      </c>
      <c r="D600" s="125">
        <v>2500000</v>
      </c>
      <c r="E600" s="125">
        <v>2083950.78</v>
      </c>
      <c r="F600" s="12">
        <v>54</v>
      </c>
      <c r="G600" s="12">
        <v>180</v>
      </c>
      <c r="H600" s="12">
        <v>0</v>
      </c>
      <c r="I600" s="13">
        <v>42990.502439895834</v>
      </c>
      <c r="J600" s="13">
        <v>43293</v>
      </c>
      <c r="K600" s="12" t="s">
        <v>25</v>
      </c>
      <c r="L600" s="12" t="s">
        <v>88</v>
      </c>
      <c r="M600" s="12" t="s">
        <v>285</v>
      </c>
      <c r="N600" s="12" t="s">
        <v>2175</v>
      </c>
      <c r="O600" s="12"/>
      <c r="P600" s="12"/>
      <c r="Q600" s="12"/>
    </row>
    <row r="601" spans="1:17" x14ac:dyDescent="0.25">
      <c r="A601" s="11">
        <v>103334</v>
      </c>
      <c r="B601" s="12" t="s">
        <v>5432</v>
      </c>
      <c r="C601" s="12" t="s">
        <v>1449</v>
      </c>
      <c r="D601" s="125">
        <v>6000000</v>
      </c>
      <c r="E601" s="125">
        <v>5001481.8600000003</v>
      </c>
      <c r="F601" s="12">
        <v>54</v>
      </c>
      <c r="G601" s="12">
        <v>180</v>
      </c>
      <c r="H601" s="12">
        <v>0</v>
      </c>
      <c r="I601" s="13">
        <v>42990.598106481484</v>
      </c>
      <c r="J601" s="13">
        <v>43293</v>
      </c>
      <c r="K601" s="12" t="s">
        <v>25</v>
      </c>
      <c r="L601" s="12" t="s">
        <v>88</v>
      </c>
      <c r="M601" s="12" t="s">
        <v>285</v>
      </c>
      <c r="N601" s="12" t="s">
        <v>5124</v>
      </c>
      <c r="O601" s="12"/>
      <c r="P601" s="12"/>
      <c r="Q601" s="12"/>
    </row>
    <row r="602" spans="1:17" x14ac:dyDescent="0.25">
      <c r="A602" s="11">
        <v>103335</v>
      </c>
      <c r="B602" s="12" t="s">
        <v>5443</v>
      </c>
      <c r="C602" s="12" t="s">
        <v>1449</v>
      </c>
      <c r="D602" s="125">
        <v>30000000</v>
      </c>
      <c r="E602" s="125">
        <v>26836079.52</v>
      </c>
      <c r="F602" s="12">
        <v>42</v>
      </c>
      <c r="G602" s="12">
        <v>180</v>
      </c>
      <c r="H602" s="12">
        <v>0</v>
      </c>
      <c r="I602" s="13">
        <v>42991.676158298615</v>
      </c>
      <c r="J602" s="13">
        <v>43447</v>
      </c>
      <c r="K602" s="12" t="s">
        <v>46</v>
      </c>
      <c r="L602" s="12" t="s">
        <v>46</v>
      </c>
      <c r="M602" s="12" t="s">
        <v>112</v>
      </c>
      <c r="N602" s="12" t="s">
        <v>90</v>
      </c>
      <c r="O602" s="12"/>
      <c r="P602" s="12"/>
      <c r="Q602" s="12"/>
    </row>
    <row r="603" spans="1:17" x14ac:dyDescent="0.25">
      <c r="A603" s="11">
        <v>103336</v>
      </c>
      <c r="B603" s="12" t="s">
        <v>5445</v>
      </c>
      <c r="C603" s="12" t="s">
        <v>1449</v>
      </c>
      <c r="D603" s="125">
        <v>8000000</v>
      </c>
      <c r="E603" s="125">
        <v>6650060.8399999999</v>
      </c>
      <c r="F603" s="12">
        <v>50</v>
      </c>
      <c r="G603" s="12">
        <v>180</v>
      </c>
      <c r="H603" s="12">
        <v>0</v>
      </c>
      <c r="I603" s="13">
        <v>42991.640739548609</v>
      </c>
      <c r="J603" s="13">
        <v>43294</v>
      </c>
      <c r="K603" s="12" t="s">
        <v>25</v>
      </c>
      <c r="L603" s="12" t="s">
        <v>88</v>
      </c>
      <c r="M603" s="12" t="s">
        <v>285</v>
      </c>
      <c r="N603" s="12" t="s">
        <v>5124</v>
      </c>
      <c r="O603" s="12"/>
      <c r="P603" s="12"/>
      <c r="Q603" s="12"/>
    </row>
    <row r="604" spans="1:17" x14ac:dyDescent="0.25">
      <c r="A604" s="11">
        <v>103337</v>
      </c>
      <c r="B604" s="12" t="s">
        <v>1437</v>
      </c>
      <c r="C604" s="12" t="s">
        <v>2807</v>
      </c>
      <c r="D604" s="125">
        <v>20000000</v>
      </c>
      <c r="E604" s="125">
        <v>19183663.18</v>
      </c>
      <c r="F604" s="12">
        <v>42</v>
      </c>
      <c r="G604" s="12">
        <v>180</v>
      </c>
      <c r="H604" s="12">
        <v>0</v>
      </c>
      <c r="I604" s="13">
        <v>42993.718332986115</v>
      </c>
      <c r="J604" s="13">
        <v>43539</v>
      </c>
      <c r="K604" s="12" t="s">
        <v>37</v>
      </c>
      <c r="L604" s="12" t="s">
        <v>38</v>
      </c>
      <c r="M604" s="12" t="s">
        <v>39</v>
      </c>
      <c r="N604" s="12" t="s">
        <v>963</v>
      </c>
      <c r="O604" s="12"/>
      <c r="P604" s="12"/>
      <c r="Q604" s="12"/>
    </row>
    <row r="605" spans="1:17" x14ac:dyDescent="0.25">
      <c r="A605" s="11">
        <v>103338</v>
      </c>
      <c r="B605" s="12" t="s">
        <v>3397</v>
      </c>
      <c r="C605" s="12" t="s">
        <v>2807</v>
      </c>
      <c r="D605" s="125">
        <v>5000000</v>
      </c>
      <c r="E605" s="125">
        <v>4150432.37</v>
      </c>
      <c r="F605" s="12">
        <v>48</v>
      </c>
      <c r="G605" s="12">
        <v>180</v>
      </c>
      <c r="H605" s="12">
        <v>0</v>
      </c>
      <c r="I605" s="13">
        <v>42992.475522997687</v>
      </c>
      <c r="J605" s="13">
        <v>43295</v>
      </c>
      <c r="K605" s="12" t="s">
        <v>44</v>
      </c>
      <c r="L605" s="12" t="s">
        <v>75</v>
      </c>
      <c r="M605" s="12" t="s">
        <v>4834</v>
      </c>
      <c r="N605" s="12" t="s">
        <v>1447</v>
      </c>
      <c r="O605" s="12"/>
      <c r="P605" s="12"/>
      <c r="Q605" s="12"/>
    </row>
    <row r="606" spans="1:17" x14ac:dyDescent="0.25">
      <c r="A606" s="11">
        <v>103339</v>
      </c>
      <c r="B606" s="12" t="s">
        <v>5453</v>
      </c>
      <c r="C606" s="12" t="s">
        <v>1449</v>
      </c>
      <c r="D606" s="125">
        <v>18000000</v>
      </c>
      <c r="E606" s="125">
        <v>15491432.93</v>
      </c>
      <c r="F606" s="12">
        <v>42</v>
      </c>
      <c r="G606" s="12">
        <v>180</v>
      </c>
      <c r="H606" s="12">
        <v>0</v>
      </c>
      <c r="I606" s="13">
        <v>42992.532625196756</v>
      </c>
      <c r="J606" s="13">
        <v>43357</v>
      </c>
      <c r="K606" s="12" t="s">
        <v>27</v>
      </c>
      <c r="L606" s="12" t="s">
        <v>116</v>
      </c>
      <c r="M606" s="12" t="s">
        <v>1825</v>
      </c>
      <c r="N606" s="12" t="s">
        <v>2855</v>
      </c>
      <c r="O606" s="12"/>
      <c r="P606" s="12"/>
      <c r="Q606" s="12"/>
    </row>
    <row r="607" spans="1:17" x14ac:dyDescent="0.25">
      <c r="A607" s="11">
        <v>103340</v>
      </c>
      <c r="B607" s="12" t="s">
        <v>5458</v>
      </c>
      <c r="C607" s="12" t="s">
        <v>2807</v>
      </c>
      <c r="D607" s="125">
        <v>12000000</v>
      </c>
      <c r="E607" s="125">
        <v>11170342.210000001</v>
      </c>
      <c r="F607" s="12">
        <v>40</v>
      </c>
      <c r="G607" s="12">
        <v>180</v>
      </c>
      <c r="H607" s="12">
        <v>0</v>
      </c>
      <c r="I607" s="13">
        <v>42992.651779201391</v>
      </c>
      <c r="J607" s="13">
        <v>43357</v>
      </c>
      <c r="K607" s="12" t="s">
        <v>44</v>
      </c>
      <c r="L607" s="12" t="s">
        <v>92</v>
      </c>
      <c r="M607" s="12" t="s">
        <v>92</v>
      </c>
      <c r="N607" s="12" t="s">
        <v>491</v>
      </c>
      <c r="O607" s="12"/>
      <c r="P607" s="12"/>
      <c r="Q607" s="12"/>
    </row>
    <row r="608" spans="1:17" x14ac:dyDescent="0.25">
      <c r="A608" s="11">
        <v>103341</v>
      </c>
      <c r="B608" s="12" t="s">
        <v>4049</v>
      </c>
      <c r="C608" s="12" t="s">
        <v>1449</v>
      </c>
      <c r="D608" s="125">
        <v>15000000</v>
      </c>
      <c r="E608" s="125">
        <v>10359551.869999999</v>
      </c>
      <c r="F608" s="12">
        <v>42</v>
      </c>
      <c r="G608" s="12">
        <v>180</v>
      </c>
      <c r="H608" s="12">
        <v>0</v>
      </c>
      <c r="I608" s="13">
        <v>42992.725817858794</v>
      </c>
      <c r="J608" s="13">
        <v>43173</v>
      </c>
      <c r="K608" s="12" t="s">
        <v>25</v>
      </c>
      <c r="L608" s="12" t="s">
        <v>88</v>
      </c>
      <c r="M608" s="12" t="s">
        <v>285</v>
      </c>
      <c r="N608" s="12" t="s">
        <v>90</v>
      </c>
      <c r="O608" s="12"/>
      <c r="P608" s="12"/>
      <c r="Q608" s="12"/>
    </row>
    <row r="609" spans="1:17" x14ac:dyDescent="0.25">
      <c r="A609" s="11">
        <v>103342</v>
      </c>
      <c r="B609" s="12" t="s">
        <v>5473</v>
      </c>
      <c r="C609" s="12" t="s">
        <v>2807</v>
      </c>
      <c r="D609" s="125">
        <v>15000000</v>
      </c>
      <c r="E609" s="125">
        <v>12963503.52</v>
      </c>
      <c r="F609" s="12">
        <v>48</v>
      </c>
      <c r="G609" s="12">
        <v>180</v>
      </c>
      <c r="H609" s="12">
        <v>0</v>
      </c>
      <c r="I609" s="13">
        <v>42993.698568599539</v>
      </c>
      <c r="J609" s="13">
        <v>43358</v>
      </c>
      <c r="K609" s="12" t="s">
        <v>25</v>
      </c>
      <c r="L609" s="12" t="s">
        <v>94</v>
      </c>
      <c r="M609" s="12" t="s">
        <v>26</v>
      </c>
      <c r="N609" s="12" t="s">
        <v>1039</v>
      </c>
      <c r="O609" s="12"/>
      <c r="P609" s="12"/>
      <c r="Q609" s="12"/>
    </row>
    <row r="610" spans="1:17" x14ac:dyDescent="0.25">
      <c r="A610" s="11">
        <v>103343</v>
      </c>
      <c r="B610" s="12" t="s">
        <v>5474</v>
      </c>
      <c r="C610" s="12" t="s">
        <v>1449</v>
      </c>
      <c r="D610" s="125">
        <v>18000000</v>
      </c>
      <c r="E610" s="125">
        <v>15556204.220000001</v>
      </c>
      <c r="F610" s="12">
        <v>48</v>
      </c>
      <c r="G610" s="12">
        <v>180</v>
      </c>
      <c r="H610" s="12">
        <v>0</v>
      </c>
      <c r="I610" s="13">
        <v>42993.773849502315</v>
      </c>
      <c r="J610" s="13">
        <v>43358</v>
      </c>
      <c r="K610" s="12" t="s">
        <v>25</v>
      </c>
      <c r="L610" s="12" t="s">
        <v>88</v>
      </c>
      <c r="M610" s="12" t="s">
        <v>285</v>
      </c>
      <c r="N610" s="12" t="s">
        <v>2175</v>
      </c>
      <c r="O610" s="12"/>
      <c r="P610" s="12"/>
      <c r="Q610" s="12"/>
    </row>
    <row r="611" spans="1:17" x14ac:dyDescent="0.25">
      <c r="A611" s="11">
        <v>103344</v>
      </c>
      <c r="B611" s="12" t="s">
        <v>2128</v>
      </c>
      <c r="C611" s="12" t="s">
        <v>1449</v>
      </c>
      <c r="D611" s="125">
        <v>31500000</v>
      </c>
      <c r="E611" s="125">
        <v>26994301.949999999</v>
      </c>
      <c r="F611" s="12">
        <v>36</v>
      </c>
      <c r="G611" s="12">
        <v>180</v>
      </c>
      <c r="H611" s="12">
        <v>0</v>
      </c>
      <c r="I611" s="13">
        <v>42993.785429317133</v>
      </c>
      <c r="J611" s="13">
        <v>43358</v>
      </c>
      <c r="K611" s="12" t="s">
        <v>25</v>
      </c>
      <c r="L611" s="12" t="s">
        <v>88</v>
      </c>
      <c r="M611" s="12" t="s">
        <v>285</v>
      </c>
      <c r="N611" s="12" t="s">
        <v>1467</v>
      </c>
      <c r="O611" s="12"/>
      <c r="P611" s="12"/>
      <c r="Q611" s="12"/>
    </row>
    <row r="612" spans="1:17" x14ac:dyDescent="0.25">
      <c r="A612" s="11">
        <v>103345</v>
      </c>
      <c r="B612" s="12" t="s">
        <v>5490</v>
      </c>
      <c r="C612" s="12" t="s">
        <v>1449</v>
      </c>
      <c r="D612" s="125">
        <v>5000000</v>
      </c>
      <c r="E612" s="125">
        <v>4338788.2300000004</v>
      </c>
      <c r="F612" s="12">
        <v>54</v>
      </c>
      <c r="G612" s="12">
        <v>180</v>
      </c>
      <c r="H612" s="12">
        <v>0</v>
      </c>
      <c r="I612" s="13">
        <v>42994.53301929398</v>
      </c>
      <c r="J612" s="13">
        <v>43359</v>
      </c>
      <c r="K612" s="12" t="s">
        <v>25</v>
      </c>
      <c r="L612" s="12" t="s">
        <v>88</v>
      </c>
      <c r="M612" s="12" t="s">
        <v>285</v>
      </c>
      <c r="N612" s="12" t="s">
        <v>5491</v>
      </c>
      <c r="O612" s="12"/>
      <c r="P612" s="12"/>
      <c r="Q612" s="12"/>
    </row>
    <row r="613" spans="1:17" x14ac:dyDescent="0.25">
      <c r="A613" s="11">
        <v>103346</v>
      </c>
      <c r="B613" s="12" t="s">
        <v>5497</v>
      </c>
      <c r="C613" s="12" t="s">
        <v>1449</v>
      </c>
      <c r="D613" s="125">
        <v>20000000</v>
      </c>
      <c r="E613" s="125">
        <v>18266026.940000001</v>
      </c>
      <c r="F613" s="12">
        <v>36</v>
      </c>
      <c r="G613" s="12">
        <v>180</v>
      </c>
      <c r="H613" s="12">
        <v>0</v>
      </c>
      <c r="I613" s="13">
        <v>42996.512122650463</v>
      </c>
      <c r="J613" s="13">
        <v>43542</v>
      </c>
      <c r="K613" s="12" t="s">
        <v>44</v>
      </c>
      <c r="L613" s="12" t="s">
        <v>75</v>
      </c>
      <c r="M613" s="12" t="s">
        <v>1442</v>
      </c>
      <c r="N613" s="12" t="s">
        <v>2855</v>
      </c>
      <c r="O613" s="12"/>
      <c r="P613" s="12"/>
      <c r="Q613" s="12"/>
    </row>
    <row r="614" spans="1:17" x14ac:dyDescent="0.25">
      <c r="A614" s="11">
        <v>103347</v>
      </c>
      <c r="B614" s="12" t="s">
        <v>5495</v>
      </c>
      <c r="C614" s="12" t="s">
        <v>2807</v>
      </c>
      <c r="D614" s="125">
        <v>2500000</v>
      </c>
      <c r="E614" s="125">
        <v>2083950.78</v>
      </c>
      <c r="F614" s="12">
        <v>54</v>
      </c>
      <c r="G614" s="12">
        <v>180</v>
      </c>
      <c r="H614" s="12">
        <v>0</v>
      </c>
      <c r="I614" s="13">
        <v>42996.667852777777</v>
      </c>
      <c r="J614" s="13">
        <v>43299</v>
      </c>
      <c r="K614" s="12" t="s">
        <v>25</v>
      </c>
      <c r="L614" s="12" t="s">
        <v>103</v>
      </c>
      <c r="M614" s="12" t="s">
        <v>104</v>
      </c>
      <c r="N614" s="12" t="s">
        <v>4684</v>
      </c>
      <c r="O614" s="12"/>
      <c r="P614" s="12"/>
      <c r="Q614" s="12"/>
    </row>
    <row r="615" spans="1:17" x14ac:dyDescent="0.25">
      <c r="A615" s="11">
        <v>103348</v>
      </c>
      <c r="B615" s="12" t="s">
        <v>493</v>
      </c>
      <c r="C615" s="12" t="s">
        <v>1449</v>
      </c>
      <c r="D615" s="125">
        <v>20000000</v>
      </c>
      <c r="E615" s="125">
        <v>18963498.609999999</v>
      </c>
      <c r="F615" s="12">
        <v>42</v>
      </c>
      <c r="G615" s="12">
        <v>180</v>
      </c>
      <c r="H615" s="12">
        <v>0</v>
      </c>
      <c r="I615" s="13">
        <v>42998.502675231481</v>
      </c>
      <c r="J615" s="13">
        <v>43454</v>
      </c>
      <c r="K615" s="12" t="s">
        <v>25</v>
      </c>
      <c r="L615" s="12" t="s">
        <v>88</v>
      </c>
      <c r="M615" s="12" t="s">
        <v>285</v>
      </c>
      <c r="N615" s="12" t="s">
        <v>2175</v>
      </c>
      <c r="O615" s="12"/>
      <c r="P615" s="12"/>
      <c r="Q615" s="12"/>
    </row>
    <row r="616" spans="1:17" x14ac:dyDescent="0.25">
      <c r="A616" s="11">
        <v>103349</v>
      </c>
      <c r="B616" s="12" t="s">
        <v>3053</v>
      </c>
      <c r="C616" s="12" t="s">
        <v>1449</v>
      </c>
      <c r="D616" s="125">
        <v>20000000</v>
      </c>
      <c r="E616" s="125">
        <v>17139239.329999998</v>
      </c>
      <c r="F616" s="12">
        <v>36</v>
      </c>
      <c r="G616" s="12">
        <v>180</v>
      </c>
      <c r="H616" s="12">
        <v>0</v>
      </c>
      <c r="I616" s="13">
        <v>42998.574405590276</v>
      </c>
      <c r="J616" s="13">
        <v>43363</v>
      </c>
      <c r="K616" s="12" t="s">
        <v>44</v>
      </c>
      <c r="L616" s="12" t="s">
        <v>75</v>
      </c>
      <c r="M616" s="12" t="s">
        <v>1442</v>
      </c>
      <c r="N616" s="12" t="s">
        <v>491</v>
      </c>
      <c r="O616" s="12"/>
      <c r="P616" s="12"/>
      <c r="Q616" s="12"/>
    </row>
    <row r="617" spans="1:17" x14ac:dyDescent="0.25">
      <c r="A617" s="11">
        <v>103350</v>
      </c>
      <c r="B617" s="12" t="s">
        <v>5506</v>
      </c>
      <c r="C617" s="12" t="s">
        <v>2807</v>
      </c>
      <c r="D617" s="125">
        <v>2500000</v>
      </c>
      <c r="E617" s="125">
        <v>2083950.78</v>
      </c>
      <c r="F617" s="12">
        <v>54</v>
      </c>
      <c r="G617" s="12">
        <v>180</v>
      </c>
      <c r="H617" s="12">
        <v>0</v>
      </c>
      <c r="I617" s="13">
        <v>42997.547181909722</v>
      </c>
      <c r="J617" s="13">
        <v>43300</v>
      </c>
      <c r="K617" s="12" t="s">
        <v>25</v>
      </c>
      <c r="L617" s="12" t="s">
        <v>94</v>
      </c>
      <c r="M617" s="12" t="s">
        <v>5507</v>
      </c>
      <c r="N617" s="12" t="s">
        <v>963</v>
      </c>
      <c r="O617" s="12"/>
      <c r="P617" s="12"/>
      <c r="Q617" s="12"/>
    </row>
    <row r="618" spans="1:17" x14ac:dyDescent="0.25">
      <c r="A618" s="11">
        <v>103351</v>
      </c>
      <c r="B618" s="12" t="s">
        <v>5484</v>
      </c>
      <c r="C618" s="12" t="s">
        <v>2807</v>
      </c>
      <c r="D618" s="125">
        <v>10000000</v>
      </c>
      <c r="E618" s="125">
        <v>9334478.2699999996</v>
      </c>
      <c r="F618" s="12">
        <v>48</v>
      </c>
      <c r="G618" s="12">
        <v>180</v>
      </c>
      <c r="H618" s="12">
        <v>0</v>
      </c>
      <c r="I618" s="13">
        <v>42997.603942627313</v>
      </c>
      <c r="J618" s="13">
        <v>43362</v>
      </c>
      <c r="K618" s="12" t="s">
        <v>44</v>
      </c>
      <c r="L618" s="12" t="s">
        <v>92</v>
      </c>
      <c r="M618" s="12" t="s">
        <v>92</v>
      </c>
      <c r="N618" s="12" t="s">
        <v>2034</v>
      </c>
      <c r="O618" s="12"/>
      <c r="P618" s="12"/>
      <c r="Q618" s="12"/>
    </row>
    <row r="619" spans="1:17" x14ac:dyDescent="0.25">
      <c r="A619" s="11">
        <v>103352</v>
      </c>
      <c r="B619" s="12" t="s">
        <v>1366</v>
      </c>
      <c r="C619" s="12" t="s">
        <v>2807</v>
      </c>
      <c r="D619" s="125">
        <v>13500000</v>
      </c>
      <c r="E619" s="125">
        <v>12828956.289999999</v>
      </c>
      <c r="F619" s="12">
        <v>36</v>
      </c>
      <c r="G619" s="12">
        <v>180</v>
      </c>
      <c r="H619" s="12">
        <v>0</v>
      </c>
      <c r="I619" s="13">
        <v>42997.615128321762</v>
      </c>
      <c r="J619" s="13">
        <v>43543</v>
      </c>
      <c r="K619" s="12" t="s">
        <v>44</v>
      </c>
      <c r="L619" s="12" t="s">
        <v>75</v>
      </c>
      <c r="M619" s="12" t="s">
        <v>26</v>
      </c>
      <c r="N619" s="12" t="s">
        <v>2494</v>
      </c>
      <c r="O619" s="12"/>
      <c r="P619" s="12"/>
      <c r="Q619" s="12"/>
    </row>
    <row r="620" spans="1:17" x14ac:dyDescent="0.25">
      <c r="A620" s="11">
        <v>103353</v>
      </c>
      <c r="B620" s="12" t="s">
        <v>5508</v>
      </c>
      <c r="C620" s="12" t="s">
        <v>1449</v>
      </c>
      <c r="D620" s="125">
        <v>3000000</v>
      </c>
      <c r="E620" s="125">
        <v>2345949.7799999998</v>
      </c>
      <c r="F620" s="12">
        <v>54</v>
      </c>
      <c r="G620" s="12">
        <v>180</v>
      </c>
      <c r="H620" s="12">
        <v>0</v>
      </c>
      <c r="I620" s="13">
        <v>42997.658450381947</v>
      </c>
      <c r="J620" s="13">
        <v>43239</v>
      </c>
      <c r="K620" s="12" t="s">
        <v>25</v>
      </c>
      <c r="L620" s="12" t="s">
        <v>88</v>
      </c>
      <c r="M620" s="12" t="s">
        <v>285</v>
      </c>
      <c r="N620" s="12" t="s">
        <v>2175</v>
      </c>
      <c r="O620" s="12"/>
      <c r="P620" s="12"/>
      <c r="Q620" s="12"/>
    </row>
    <row r="621" spans="1:17" x14ac:dyDescent="0.25">
      <c r="A621" s="11">
        <v>103354</v>
      </c>
      <c r="B621" s="12" t="s">
        <v>2785</v>
      </c>
      <c r="C621" s="12" t="s">
        <v>1449</v>
      </c>
      <c r="D621" s="125">
        <v>2000000</v>
      </c>
      <c r="E621" s="125">
        <v>1566317.77</v>
      </c>
      <c r="F621" s="12">
        <v>48</v>
      </c>
      <c r="G621" s="12">
        <v>180</v>
      </c>
      <c r="H621" s="12">
        <v>0</v>
      </c>
      <c r="I621" s="13">
        <v>42998.67493429398</v>
      </c>
      <c r="J621" s="13">
        <v>43240</v>
      </c>
      <c r="K621" s="12" t="s">
        <v>25</v>
      </c>
      <c r="L621" s="12" t="s">
        <v>88</v>
      </c>
      <c r="M621" s="12" t="s">
        <v>285</v>
      </c>
      <c r="N621" s="12" t="s">
        <v>2538</v>
      </c>
      <c r="O621" s="12"/>
      <c r="P621" s="12"/>
      <c r="Q621" s="12"/>
    </row>
    <row r="622" spans="1:17" x14ac:dyDescent="0.25">
      <c r="A622" s="11">
        <v>103355</v>
      </c>
      <c r="B622" s="12" t="s">
        <v>5519</v>
      </c>
      <c r="C622" s="12" t="s">
        <v>2807</v>
      </c>
      <c r="D622" s="125">
        <v>3500000</v>
      </c>
      <c r="E622" s="125">
        <v>3457790.7</v>
      </c>
      <c r="F622" s="12">
        <v>54</v>
      </c>
      <c r="G622" s="12">
        <v>180</v>
      </c>
      <c r="H622" s="12">
        <v>0</v>
      </c>
      <c r="I622" s="13">
        <v>42998.555043865737</v>
      </c>
      <c r="J622" s="13">
        <v>43301</v>
      </c>
      <c r="K622" s="12" t="s">
        <v>44</v>
      </c>
      <c r="L622" s="12" t="s">
        <v>92</v>
      </c>
      <c r="M622" s="12" t="s">
        <v>92</v>
      </c>
      <c r="N622" s="12" t="s">
        <v>546</v>
      </c>
      <c r="O622" s="12"/>
      <c r="P622" s="12"/>
      <c r="Q622" s="12"/>
    </row>
    <row r="623" spans="1:17" x14ac:dyDescent="0.25">
      <c r="A623" s="11">
        <v>103356</v>
      </c>
      <c r="B623" s="12" t="s">
        <v>4400</v>
      </c>
      <c r="C623" s="12" t="s">
        <v>1449</v>
      </c>
      <c r="D623" s="125">
        <v>22000000</v>
      </c>
      <c r="E623" s="125">
        <v>20650434.34</v>
      </c>
      <c r="F623" s="12">
        <v>42</v>
      </c>
      <c r="G623" s="12">
        <v>180</v>
      </c>
      <c r="H623" s="12">
        <v>0</v>
      </c>
      <c r="I623" s="13">
        <v>42998.62777835648</v>
      </c>
      <c r="J623" s="13">
        <v>43544</v>
      </c>
      <c r="K623" s="12" t="s">
        <v>25</v>
      </c>
      <c r="L623" s="12" t="s">
        <v>88</v>
      </c>
      <c r="M623" s="12" t="s">
        <v>26</v>
      </c>
      <c r="N623" s="12" t="s">
        <v>1039</v>
      </c>
      <c r="O623" s="12"/>
      <c r="P623" s="12"/>
      <c r="Q623" s="12"/>
    </row>
    <row r="624" spans="1:17" x14ac:dyDescent="0.25">
      <c r="A624" s="11">
        <v>103357</v>
      </c>
      <c r="B624" s="12" t="s">
        <v>2935</v>
      </c>
      <c r="C624" s="12" t="s">
        <v>2807</v>
      </c>
      <c r="D624" s="125">
        <v>10000000</v>
      </c>
      <c r="E624" s="125">
        <v>9334478.2699999996</v>
      </c>
      <c r="F624" s="12">
        <v>48</v>
      </c>
      <c r="G624" s="12">
        <v>180</v>
      </c>
      <c r="H624" s="12">
        <v>0</v>
      </c>
      <c r="I624" s="13">
        <v>42998.699082951389</v>
      </c>
      <c r="J624" s="13">
        <v>43363</v>
      </c>
      <c r="K624" s="12" t="s">
        <v>25</v>
      </c>
      <c r="L624" s="12" t="s">
        <v>32</v>
      </c>
      <c r="M624" s="12" t="s">
        <v>3369</v>
      </c>
      <c r="N624" s="12" t="s">
        <v>2538</v>
      </c>
      <c r="O624" s="12"/>
      <c r="P624" s="12"/>
      <c r="Q624" s="12"/>
    </row>
    <row r="625" spans="1:17" x14ac:dyDescent="0.25">
      <c r="A625" s="11">
        <v>103358</v>
      </c>
      <c r="B625" s="12" t="s">
        <v>5530</v>
      </c>
      <c r="C625" s="12" t="s">
        <v>2807</v>
      </c>
      <c r="D625" s="125">
        <v>3500000</v>
      </c>
      <c r="E625" s="125">
        <v>3126866.21</v>
      </c>
      <c r="F625" s="12">
        <v>54</v>
      </c>
      <c r="G625" s="12">
        <v>180</v>
      </c>
      <c r="H625" s="12">
        <v>0</v>
      </c>
      <c r="I625" s="13">
        <v>42999.724034340281</v>
      </c>
      <c r="J625" s="13">
        <v>43241</v>
      </c>
      <c r="K625" s="12" t="s">
        <v>25</v>
      </c>
      <c r="L625" s="12" t="s">
        <v>290</v>
      </c>
      <c r="M625" s="12" t="s">
        <v>297</v>
      </c>
      <c r="N625" s="12" t="s">
        <v>5385</v>
      </c>
      <c r="O625" s="12"/>
      <c r="P625" s="12"/>
      <c r="Q625" s="12"/>
    </row>
    <row r="626" spans="1:17" x14ac:dyDescent="0.25">
      <c r="A626" s="11">
        <v>103359</v>
      </c>
      <c r="B626" s="12" t="s">
        <v>5539</v>
      </c>
      <c r="C626" s="12" t="s">
        <v>2807</v>
      </c>
      <c r="D626" s="125">
        <v>3000000</v>
      </c>
      <c r="E626" s="125">
        <v>2755863.53</v>
      </c>
      <c r="F626" s="12">
        <v>54</v>
      </c>
      <c r="G626" s="12">
        <v>180</v>
      </c>
      <c r="H626" s="12">
        <v>0</v>
      </c>
      <c r="I626" s="13">
        <v>43000.423390821757</v>
      </c>
      <c r="J626" s="13">
        <v>43303</v>
      </c>
      <c r="K626" s="12" t="s">
        <v>25</v>
      </c>
      <c r="L626" s="12" t="s">
        <v>103</v>
      </c>
      <c r="M626" s="12" t="s">
        <v>104</v>
      </c>
      <c r="N626" s="12" t="s">
        <v>4684</v>
      </c>
      <c r="O626" s="12"/>
      <c r="P626" s="12"/>
      <c r="Q626" s="12"/>
    </row>
    <row r="627" spans="1:17" x14ac:dyDescent="0.25">
      <c r="A627" s="11">
        <v>103360</v>
      </c>
      <c r="B627" s="12" t="s">
        <v>2913</v>
      </c>
      <c r="C627" s="12" t="s">
        <v>2807</v>
      </c>
      <c r="D627" s="125">
        <v>4500000</v>
      </c>
      <c r="E627" s="125">
        <v>4200515.22</v>
      </c>
      <c r="F627" s="12">
        <v>48</v>
      </c>
      <c r="G627" s="12">
        <v>180</v>
      </c>
      <c r="H627" s="12">
        <v>0</v>
      </c>
      <c r="I627" s="13">
        <v>43000.569336574074</v>
      </c>
      <c r="J627" s="13">
        <v>43365</v>
      </c>
      <c r="K627" s="12" t="s">
        <v>44</v>
      </c>
      <c r="L627" s="12" t="s">
        <v>75</v>
      </c>
      <c r="M627" s="12" t="s">
        <v>26</v>
      </c>
      <c r="N627" s="12" t="s">
        <v>963</v>
      </c>
      <c r="O627" s="12"/>
      <c r="P627" s="12"/>
      <c r="Q627" s="12"/>
    </row>
    <row r="628" spans="1:17" x14ac:dyDescent="0.25">
      <c r="A628" s="11">
        <v>103361</v>
      </c>
      <c r="B628" s="12" t="s">
        <v>1144</v>
      </c>
      <c r="C628" s="12" t="s">
        <v>2807</v>
      </c>
      <c r="D628" s="125">
        <v>10000000</v>
      </c>
      <c r="E628" s="125">
        <v>9037977.4499999993</v>
      </c>
      <c r="F628" s="12">
        <v>22</v>
      </c>
      <c r="G628" s="12">
        <v>180</v>
      </c>
      <c r="H628" s="12">
        <v>0</v>
      </c>
      <c r="I628" s="13">
        <v>43000.651462499998</v>
      </c>
      <c r="J628" s="13">
        <v>43545</v>
      </c>
      <c r="K628" s="12" t="s">
        <v>43</v>
      </c>
      <c r="L628" s="12" t="s">
        <v>338</v>
      </c>
      <c r="M628" s="12" t="s">
        <v>339</v>
      </c>
      <c r="N628" s="12" t="s">
        <v>284</v>
      </c>
      <c r="O628" s="12"/>
      <c r="P628" s="12"/>
      <c r="Q628" s="12"/>
    </row>
    <row r="629" spans="1:17" x14ac:dyDescent="0.25">
      <c r="A629" s="11">
        <v>103363</v>
      </c>
      <c r="B629" s="12" t="s">
        <v>5540</v>
      </c>
      <c r="C629" s="12" t="s">
        <v>2807</v>
      </c>
      <c r="D629" s="125">
        <v>1500000</v>
      </c>
      <c r="E629" s="125">
        <v>1377931.77</v>
      </c>
      <c r="F629" s="12">
        <v>54</v>
      </c>
      <c r="G629" s="12">
        <v>180</v>
      </c>
      <c r="H629" s="12">
        <v>0</v>
      </c>
      <c r="I629" s="13">
        <v>43000.727458530091</v>
      </c>
      <c r="J629" s="13">
        <v>43303</v>
      </c>
      <c r="K629" s="12" t="s">
        <v>25</v>
      </c>
      <c r="L629" s="12" t="s">
        <v>101</v>
      </c>
      <c r="M629" s="12" t="s">
        <v>26</v>
      </c>
      <c r="N629" s="12" t="s">
        <v>5124</v>
      </c>
      <c r="O629" s="12"/>
      <c r="P629" s="12"/>
      <c r="Q629" s="12"/>
    </row>
    <row r="630" spans="1:17" x14ac:dyDescent="0.25">
      <c r="A630" s="11">
        <v>103364</v>
      </c>
      <c r="B630" s="12" t="s">
        <v>5556</v>
      </c>
      <c r="C630" s="12" t="s">
        <v>2807</v>
      </c>
      <c r="D630" s="125">
        <v>15000000</v>
      </c>
      <c r="E630" s="125">
        <v>12685999.300000001</v>
      </c>
      <c r="F630" s="12">
        <v>54</v>
      </c>
      <c r="G630" s="12">
        <v>180</v>
      </c>
      <c r="H630" s="12">
        <v>0</v>
      </c>
      <c r="I630" s="13">
        <v>43001.43780659722</v>
      </c>
      <c r="J630" s="13">
        <v>43304</v>
      </c>
      <c r="K630" s="12" t="s">
        <v>29</v>
      </c>
      <c r="L630" s="12" t="s">
        <v>30</v>
      </c>
      <c r="M630" s="12" t="s">
        <v>437</v>
      </c>
      <c r="N630" s="12" t="s">
        <v>5382</v>
      </c>
      <c r="O630" s="12"/>
      <c r="P630" s="12"/>
      <c r="Q630" s="12"/>
    </row>
    <row r="631" spans="1:17" x14ac:dyDescent="0.25">
      <c r="A631" s="11">
        <v>103365</v>
      </c>
      <c r="B631" s="12" t="s">
        <v>4327</v>
      </c>
      <c r="C631" s="12" t="s">
        <v>2807</v>
      </c>
      <c r="D631" s="125">
        <v>13000000</v>
      </c>
      <c r="E631" s="125">
        <v>12044374.609999999</v>
      </c>
      <c r="F631" s="12">
        <v>48</v>
      </c>
      <c r="G631" s="12">
        <v>180</v>
      </c>
      <c r="H631" s="12">
        <v>0</v>
      </c>
      <c r="I631" s="13">
        <v>43001.462453125001</v>
      </c>
      <c r="J631" s="13">
        <v>43366</v>
      </c>
      <c r="K631" s="12" t="s">
        <v>25</v>
      </c>
      <c r="L631" s="12" t="s">
        <v>103</v>
      </c>
      <c r="M631" s="12" t="s">
        <v>104</v>
      </c>
      <c r="N631" s="12" t="s">
        <v>2175</v>
      </c>
      <c r="O631" s="12"/>
      <c r="P631" s="12"/>
      <c r="Q631" s="12"/>
    </row>
    <row r="632" spans="1:17" x14ac:dyDescent="0.25">
      <c r="A632" s="11">
        <v>103366</v>
      </c>
      <c r="B632" s="12" t="s">
        <v>5564</v>
      </c>
      <c r="C632" s="12" t="s">
        <v>2807</v>
      </c>
      <c r="D632" s="125">
        <v>10000000</v>
      </c>
      <c r="E632" s="125">
        <v>9353338.1099999994</v>
      </c>
      <c r="F632" s="12">
        <v>54</v>
      </c>
      <c r="G632" s="12">
        <v>180</v>
      </c>
      <c r="H632" s="12">
        <v>0</v>
      </c>
      <c r="I632" s="13">
        <v>43003.566039664351</v>
      </c>
      <c r="J632" s="13">
        <v>43368</v>
      </c>
      <c r="K632" s="12" t="s">
        <v>37</v>
      </c>
      <c r="L632" s="12" t="s">
        <v>38</v>
      </c>
      <c r="M632" s="12" t="s">
        <v>39</v>
      </c>
      <c r="N632" s="12" t="s">
        <v>5382</v>
      </c>
      <c r="O632" s="12"/>
      <c r="P632" s="12"/>
      <c r="Q632" s="12"/>
    </row>
    <row r="633" spans="1:17" x14ac:dyDescent="0.25">
      <c r="A633" s="11">
        <v>103367</v>
      </c>
      <c r="B633" s="12" t="s">
        <v>5565</v>
      </c>
      <c r="C633" s="12" t="s">
        <v>2807</v>
      </c>
      <c r="D633" s="125">
        <v>6000000</v>
      </c>
      <c r="E633" s="125">
        <v>5612002.8700000001</v>
      </c>
      <c r="F633" s="12">
        <v>54</v>
      </c>
      <c r="G633" s="12">
        <v>180</v>
      </c>
      <c r="H633" s="12">
        <v>0</v>
      </c>
      <c r="I633" s="13">
        <v>43003.651829629627</v>
      </c>
      <c r="J633" s="13">
        <v>43368</v>
      </c>
      <c r="K633" s="12" t="s">
        <v>44</v>
      </c>
      <c r="L633" s="12" t="s">
        <v>92</v>
      </c>
      <c r="M633" s="12" t="s">
        <v>92</v>
      </c>
      <c r="N633" s="12" t="s">
        <v>1039</v>
      </c>
      <c r="O633" s="12"/>
      <c r="P633" s="12"/>
      <c r="Q633" s="12"/>
    </row>
    <row r="634" spans="1:17" x14ac:dyDescent="0.25">
      <c r="A634" s="11">
        <v>103368</v>
      </c>
      <c r="B634" s="12" t="s">
        <v>438</v>
      </c>
      <c r="C634" s="12" t="s">
        <v>2807</v>
      </c>
      <c r="D634" s="125">
        <v>10000000</v>
      </c>
      <c r="E634" s="125">
        <v>9334478.2699999996</v>
      </c>
      <c r="F634" s="12">
        <v>48</v>
      </c>
      <c r="G634" s="12">
        <v>180</v>
      </c>
      <c r="H634" s="12">
        <v>0</v>
      </c>
      <c r="I634" s="13">
        <v>43003.6607721412</v>
      </c>
      <c r="J634" s="13">
        <v>43368</v>
      </c>
      <c r="K634" s="12" t="s">
        <v>44</v>
      </c>
      <c r="L634" s="12" t="s">
        <v>75</v>
      </c>
      <c r="M634" s="12" t="s">
        <v>26</v>
      </c>
      <c r="N634" s="12" t="s">
        <v>1191</v>
      </c>
      <c r="O634" s="12"/>
      <c r="P634" s="12"/>
      <c r="Q634" s="12"/>
    </row>
    <row r="635" spans="1:17" x14ac:dyDescent="0.25">
      <c r="A635" s="11">
        <v>103369</v>
      </c>
      <c r="B635" s="12" t="s">
        <v>423</v>
      </c>
      <c r="C635" s="12" t="s">
        <v>1449</v>
      </c>
      <c r="D635" s="125">
        <v>5000000</v>
      </c>
      <c r="E635" s="125">
        <v>5000000</v>
      </c>
      <c r="F635" s="12">
        <v>48</v>
      </c>
      <c r="G635" s="12">
        <v>180</v>
      </c>
      <c r="H635" s="12">
        <v>0</v>
      </c>
      <c r="I635" s="13">
        <v>43005.528888460649</v>
      </c>
      <c r="J635" s="13">
        <v>43314</v>
      </c>
      <c r="K635" s="12" t="s">
        <v>25</v>
      </c>
      <c r="L635" s="12" t="s">
        <v>88</v>
      </c>
      <c r="M635" s="12" t="s">
        <v>285</v>
      </c>
      <c r="N635" s="12" t="s">
        <v>1191</v>
      </c>
      <c r="O635" s="12"/>
      <c r="P635" s="12"/>
      <c r="Q635" s="12"/>
    </row>
    <row r="636" spans="1:17" x14ac:dyDescent="0.25">
      <c r="A636" s="11">
        <v>103370</v>
      </c>
      <c r="B636" s="12" t="s">
        <v>5579</v>
      </c>
      <c r="C636" s="12" t="s">
        <v>1449</v>
      </c>
      <c r="D636" s="125">
        <v>1000000</v>
      </c>
      <c r="E636" s="125">
        <v>926532.75</v>
      </c>
      <c r="F636" s="12">
        <v>54</v>
      </c>
      <c r="G636" s="12">
        <v>180</v>
      </c>
      <c r="H636" s="12">
        <v>0</v>
      </c>
      <c r="I636" s="13">
        <v>43004.608470254629</v>
      </c>
      <c r="J636" s="13">
        <v>43314</v>
      </c>
      <c r="K636" s="12" t="s">
        <v>25</v>
      </c>
      <c r="L636" s="12" t="s">
        <v>88</v>
      </c>
      <c r="M636" s="12" t="s">
        <v>285</v>
      </c>
      <c r="N636" s="12" t="s">
        <v>5385</v>
      </c>
      <c r="O636" s="12"/>
      <c r="P636" s="12"/>
      <c r="Q636" s="12"/>
    </row>
    <row r="637" spans="1:17" x14ac:dyDescent="0.25">
      <c r="A637" s="11">
        <v>103371</v>
      </c>
      <c r="B637" s="12" t="s">
        <v>4305</v>
      </c>
      <c r="C637" s="12" t="s">
        <v>1449</v>
      </c>
      <c r="D637" s="125">
        <v>5000000</v>
      </c>
      <c r="E637" s="125">
        <v>4703140.9800000004</v>
      </c>
      <c r="F637" s="12">
        <v>48</v>
      </c>
      <c r="G637" s="12">
        <v>180</v>
      </c>
      <c r="H637" s="12">
        <v>0</v>
      </c>
      <c r="I637" s="13">
        <v>43004.666905243059</v>
      </c>
      <c r="J637" s="13">
        <v>43375</v>
      </c>
      <c r="K637" s="12" t="s">
        <v>44</v>
      </c>
      <c r="L637" s="12" t="s">
        <v>75</v>
      </c>
      <c r="M637" s="12" t="s">
        <v>4000</v>
      </c>
      <c r="N637" s="12" t="s">
        <v>4684</v>
      </c>
      <c r="O637" s="12"/>
      <c r="P637" s="12"/>
      <c r="Q637" s="12"/>
    </row>
    <row r="638" spans="1:17" x14ac:dyDescent="0.25">
      <c r="A638" s="11">
        <v>103372</v>
      </c>
      <c r="B638" s="12" t="s">
        <v>5595</v>
      </c>
      <c r="C638" s="12" t="s">
        <v>1449</v>
      </c>
      <c r="D638" s="125">
        <v>4000000</v>
      </c>
      <c r="E638" s="125">
        <v>3700856.61</v>
      </c>
      <c r="F638" s="12">
        <v>54</v>
      </c>
      <c r="G638" s="12">
        <v>180</v>
      </c>
      <c r="H638" s="12">
        <v>0</v>
      </c>
      <c r="I638" s="13">
        <v>43005.701929594907</v>
      </c>
      <c r="J638" s="13">
        <v>43314</v>
      </c>
      <c r="K638" s="12" t="s">
        <v>25</v>
      </c>
      <c r="L638" s="12" t="s">
        <v>88</v>
      </c>
      <c r="M638" s="12" t="s">
        <v>285</v>
      </c>
      <c r="N638" s="12" t="s">
        <v>5124</v>
      </c>
      <c r="O638" s="12"/>
      <c r="P638" s="12"/>
      <c r="Q638" s="12"/>
    </row>
    <row r="639" spans="1:17" x14ac:dyDescent="0.25">
      <c r="A639" s="11">
        <v>103373</v>
      </c>
      <c r="B639" s="12" t="s">
        <v>5592</v>
      </c>
      <c r="C639" s="12" t="s">
        <v>2807</v>
      </c>
      <c r="D639" s="125">
        <v>4000000</v>
      </c>
      <c r="E639" s="125">
        <v>3700856.61</v>
      </c>
      <c r="F639" s="12">
        <v>54</v>
      </c>
      <c r="G639" s="12">
        <v>180</v>
      </c>
      <c r="H639" s="12">
        <v>0</v>
      </c>
      <c r="I639" s="13">
        <v>43005.713250196757</v>
      </c>
      <c r="J639" s="13">
        <v>43314</v>
      </c>
      <c r="K639" s="12" t="s">
        <v>25</v>
      </c>
      <c r="L639" s="12" t="s">
        <v>286</v>
      </c>
      <c r="M639" s="12" t="s">
        <v>287</v>
      </c>
      <c r="N639" s="12" t="s">
        <v>5352</v>
      </c>
      <c r="O639" s="12"/>
      <c r="P639" s="12"/>
      <c r="Q639" s="12"/>
    </row>
    <row r="640" spans="1:17" x14ac:dyDescent="0.25">
      <c r="A640" s="11">
        <v>103374</v>
      </c>
      <c r="B640" s="12" t="s">
        <v>3667</v>
      </c>
      <c r="C640" s="12" t="s">
        <v>2807</v>
      </c>
      <c r="D640" s="125">
        <v>3500000</v>
      </c>
      <c r="E640" s="125">
        <v>3500000</v>
      </c>
      <c r="F640" s="12">
        <v>48</v>
      </c>
      <c r="G640" s="12">
        <v>180</v>
      </c>
      <c r="H640" s="12">
        <v>0</v>
      </c>
      <c r="I640" s="13">
        <v>43006.684353240744</v>
      </c>
      <c r="J640" s="13">
        <v>43375</v>
      </c>
      <c r="K640" s="12" t="s">
        <v>44</v>
      </c>
      <c r="L640" s="12" t="s">
        <v>75</v>
      </c>
      <c r="M640" s="12" t="s">
        <v>1442</v>
      </c>
      <c r="N640" s="12" t="s">
        <v>1039</v>
      </c>
      <c r="O640" s="12"/>
      <c r="P640" s="12"/>
      <c r="Q640" s="12"/>
    </row>
    <row r="641" spans="1:17" x14ac:dyDescent="0.25">
      <c r="A641" s="11">
        <v>103375</v>
      </c>
      <c r="B641" s="12" t="s">
        <v>3866</v>
      </c>
      <c r="C641" s="12" t="s">
        <v>2807</v>
      </c>
      <c r="D641" s="125">
        <v>25000000</v>
      </c>
      <c r="E641" s="125">
        <v>23328694.260000002</v>
      </c>
      <c r="F641" s="12">
        <v>36</v>
      </c>
      <c r="G641" s="12">
        <v>180</v>
      </c>
      <c r="H641" s="12">
        <v>0</v>
      </c>
      <c r="I641" s="13">
        <v>43006.724725729167</v>
      </c>
      <c r="J641" s="13">
        <v>43375</v>
      </c>
      <c r="K641" s="12" t="s">
        <v>37</v>
      </c>
      <c r="L641" s="12" t="s">
        <v>686</v>
      </c>
      <c r="M641" s="12" t="s">
        <v>686</v>
      </c>
      <c r="N641" s="12" t="s">
        <v>2861</v>
      </c>
      <c r="O641" s="12"/>
      <c r="P641" s="12"/>
      <c r="Q641" s="12"/>
    </row>
    <row r="642" spans="1:17" x14ac:dyDescent="0.25">
      <c r="A642" s="11">
        <v>103376</v>
      </c>
      <c r="B642" s="12" t="s">
        <v>5608</v>
      </c>
      <c r="C642" s="12" t="s">
        <v>1449</v>
      </c>
      <c r="D642" s="125">
        <v>3000000</v>
      </c>
      <c r="E642" s="125">
        <v>2771686.67</v>
      </c>
      <c r="F642" s="12">
        <v>54</v>
      </c>
      <c r="G642" s="12">
        <v>180</v>
      </c>
      <c r="H642" s="12">
        <v>0</v>
      </c>
      <c r="I642" s="13">
        <v>43006.714477974536</v>
      </c>
      <c r="J642" s="13">
        <v>43314</v>
      </c>
      <c r="K642" s="12" t="s">
        <v>25</v>
      </c>
      <c r="L642" s="12" t="s">
        <v>88</v>
      </c>
      <c r="M642" s="12" t="s">
        <v>285</v>
      </c>
      <c r="N642" s="12" t="s">
        <v>5124</v>
      </c>
      <c r="O642" s="12"/>
      <c r="P642" s="12"/>
      <c r="Q642" s="12"/>
    </row>
    <row r="643" spans="1:17" x14ac:dyDescent="0.25">
      <c r="A643" s="11">
        <v>103377</v>
      </c>
      <c r="B643" s="12" t="s">
        <v>5610</v>
      </c>
      <c r="C643" s="12" t="s">
        <v>1449</v>
      </c>
      <c r="D643" s="125">
        <v>5000000</v>
      </c>
      <c r="E643" s="125">
        <v>4703520.75</v>
      </c>
      <c r="F643" s="12">
        <v>54</v>
      </c>
      <c r="G643" s="12">
        <v>180</v>
      </c>
      <c r="H643" s="12">
        <v>0</v>
      </c>
      <c r="I643" s="13">
        <v>43006.690618981484</v>
      </c>
      <c r="J643" s="13">
        <v>43375</v>
      </c>
      <c r="K643" s="12" t="s">
        <v>25</v>
      </c>
      <c r="L643" s="12" t="s">
        <v>88</v>
      </c>
      <c r="M643" s="12" t="s">
        <v>285</v>
      </c>
      <c r="N643" s="12" t="s">
        <v>468</v>
      </c>
      <c r="O643" s="12"/>
      <c r="P643" s="12"/>
      <c r="Q643" s="12"/>
    </row>
    <row r="644" spans="1:17" x14ac:dyDescent="0.25">
      <c r="A644" s="11">
        <v>103378</v>
      </c>
      <c r="B644" s="12" t="s">
        <v>5613</v>
      </c>
      <c r="C644" s="12" t="s">
        <v>2807</v>
      </c>
      <c r="D644" s="125">
        <v>3000000</v>
      </c>
      <c r="E644" s="125">
        <v>2822112.45</v>
      </c>
      <c r="F644" s="12">
        <v>54</v>
      </c>
      <c r="G644" s="12">
        <v>180</v>
      </c>
      <c r="H644" s="12">
        <v>0</v>
      </c>
      <c r="I644" s="13">
        <v>43006.734178472223</v>
      </c>
      <c r="J644" s="13">
        <v>43375</v>
      </c>
      <c r="K644" s="12" t="s">
        <v>44</v>
      </c>
      <c r="L644" s="12" t="s">
        <v>75</v>
      </c>
      <c r="M644" s="12" t="s">
        <v>1442</v>
      </c>
      <c r="N644" s="12" t="s">
        <v>4684</v>
      </c>
      <c r="O644" s="12"/>
      <c r="P644" s="12"/>
      <c r="Q644" s="12"/>
    </row>
    <row r="645" spans="1:17" x14ac:dyDescent="0.25">
      <c r="A645" s="11">
        <v>103379</v>
      </c>
      <c r="B645" s="12" t="s">
        <v>5673</v>
      </c>
      <c r="C645" s="12" t="s">
        <v>1449</v>
      </c>
      <c r="D645" s="125">
        <v>14000000</v>
      </c>
      <c r="E645" s="125">
        <v>13132265.720000001</v>
      </c>
      <c r="F645" s="12">
        <v>54</v>
      </c>
      <c r="G645" s="12">
        <v>180</v>
      </c>
      <c r="H645" s="12">
        <v>0</v>
      </c>
      <c r="I645" s="13">
        <v>43008.50186921296</v>
      </c>
      <c r="J645" s="13">
        <v>43375</v>
      </c>
      <c r="K645" s="12" t="s">
        <v>25</v>
      </c>
      <c r="L645" s="12" t="s">
        <v>88</v>
      </c>
      <c r="M645" s="12" t="s">
        <v>285</v>
      </c>
      <c r="N645" s="12" t="s">
        <v>4844</v>
      </c>
      <c r="O645" s="12"/>
      <c r="P645" s="12"/>
      <c r="Q645" s="12"/>
    </row>
    <row r="646" spans="1:17" x14ac:dyDescent="0.25">
      <c r="A646" s="11">
        <v>103380</v>
      </c>
      <c r="B646" s="12" t="s">
        <v>4001</v>
      </c>
      <c r="C646" s="12" t="s">
        <v>1449</v>
      </c>
      <c r="D646" s="125">
        <v>10000000</v>
      </c>
      <c r="E646" s="125">
        <v>9418249.2300000004</v>
      </c>
      <c r="F646" s="12">
        <v>48</v>
      </c>
      <c r="G646" s="12">
        <v>180</v>
      </c>
      <c r="H646" s="12">
        <v>0</v>
      </c>
      <c r="I646" s="13">
        <v>43007.603788738423</v>
      </c>
      <c r="J646" s="13">
        <v>43379</v>
      </c>
      <c r="K646" s="12" t="s">
        <v>25</v>
      </c>
      <c r="L646" s="12" t="s">
        <v>88</v>
      </c>
      <c r="M646" s="12" t="s">
        <v>285</v>
      </c>
      <c r="N646" s="12" t="s">
        <v>90</v>
      </c>
      <c r="O646" s="12"/>
      <c r="P646" s="12"/>
      <c r="Q646" s="12"/>
    </row>
    <row r="647" spans="1:17" x14ac:dyDescent="0.25">
      <c r="A647" s="11">
        <v>103381</v>
      </c>
      <c r="B647" s="12" t="s">
        <v>5636</v>
      </c>
      <c r="C647" s="12" t="s">
        <v>2807</v>
      </c>
      <c r="D647" s="125">
        <v>8000000</v>
      </c>
      <c r="E647" s="125">
        <v>7380615.71</v>
      </c>
      <c r="F647" s="12">
        <v>54</v>
      </c>
      <c r="G647" s="12">
        <v>180</v>
      </c>
      <c r="H647" s="12">
        <v>0</v>
      </c>
      <c r="I647" s="13">
        <v>43007.669438854165</v>
      </c>
      <c r="J647" s="13">
        <v>43314</v>
      </c>
      <c r="K647" s="12" t="s">
        <v>25</v>
      </c>
      <c r="L647" s="12" t="s">
        <v>94</v>
      </c>
      <c r="M647" s="12" t="s">
        <v>5507</v>
      </c>
      <c r="N647" s="12" t="s">
        <v>2034</v>
      </c>
      <c r="O647" s="12"/>
      <c r="P647" s="12"/>
      <c r="Q647" s="12"/>
    </row>
    <row r="648" spans="1:17" x14ac:dyDescent="0.25">
      <c r="A648" s="11">
        <v>103382</v>
      </c>
      <c r="B648" s="12" t="s">
        <v>369</v>
      </c>
      <c r="C648" s="12" t="s">
        <v>2807</v>
      </c>
      <c r="D648" s="125">
        <v>18000000</v>
      </c>
      <c r="E648" s="125">
        <v>17323681.93</v>
      </c>
      <c r="F648" s="12">
        <v>42</v>
      </c>
      <c r="G648" s="12">
        <v>180</v>
      </c>
      <c r="H648" s="12">
        <v>0</v>
      </c>
      <c r="I648" s="13">
        <v>43007.60738105324</v>
      </c>
      <c r="J648" s="13">
        <v>43557</v>
      </c>
      <c r="K648" s="12" t="s">
        <v>25</v>
      </c>
      <c r="L648" s="12" t="s">
        <v>88</v>
      </c>
      <c r="M648" s="12" t="s">
        <v>285</v>
      </c>
      <c r="N648" s="12" t="s">
        <v>1191</v>
      </c>
      <c r="O648" s="12"/>
      <c r="P648" s="12"/>
      <c r="Q648" s="12"/>
    </row>
    <row r="649" spans="1:17" x14ac:dyDescent="0.25">
      <c r="A649" s="11">
        <v>103383</v>
      </c>
      <c r="B649" s="12" t="s">
        <v>5635</v>
      </c>
      <c r="C649" s="12" t="s">
        <v>2807</v>
      </c>
      <c r="D649" s="125">
        <v>4000000</v>
      </c>
      <c r="E649" s="125">
        <v>3757446.26</v>
      </c>
      <c r="F649" s="12">
        <v>54</v>
      </c>
      <c r="G649" s="12">
        <v>180</v>
      </c>
      <c r="H649" s="12">
        <v>0</v>
      </c>
      <c r="I649" s="13">
        <v>43007.676541053239</v>
      </c>
      <c r="J649" s="13">
        <v>43375</v>
      </c>
      <c r="K649" s="12" t="s">
        <v>25</v>
      </c>
      <c r="L649" s="12" t="s">
        <v>101</v>
      </c>
      <c r="M649" s="12" t="s">
        <v>1826</v>
      </c>
      <c r="N649" s="12" t="s">
        <v>5385</v>
      </c>
      <c r="O649" s="12"/>
      <c r="P649" s="12"/>
      <c r="Q649" s="12"/>
    </row>
    <row r="650" spans="1:17" x14ac:dyDescent="0.25">
      <c r="A650" s="11">
        <v>103384</v>
      </c>
      <c r="B650" s="12" t="s">
        <v>5675</v>
      </c>
      <c r="C650" s="12" t="s">
        <v>2807</v>
      </c>
      <c r="D650" s="125">
        <v>25000000</v>
      </c>
      <c r="E650" s="125">
        <v>23396032.09</v>
      </c>
      <c r="F650" s="12">
        <v>48</v>
      </c>
      <c r="G650" s="12">
        <v>180</v>
      </c>
      <c r="H650" s="12">
        <v>0</v>
      </c>
      <c r="I650" s="13">
        <v>43008.542422685183</v>
      </c>
      <c r="J650" s="13">
        <v>43375</v>
      </c>
      <c r="K650" s="12" t="s">
        <v>37</v>
      </c>
      <c r="L650" s="12" t="s">
        <v>38</v>
      </c>
      <c r="M650" s="12" t="s">
        <v>1681</v>
      </c>
      <c r="N650" s="12" t="s">
        <v>1039</v>
      </c>
      <c r="O650" s="12"/>
      <c r="P650" s="12"/>
      <c r="Q650" s="12"/>
    </row>
    <row r="651" spans="1:17" x14ac:dyDescent="0.25">
      <c r="A651" s="11">
        <v>103385</v>
      </c>
      <c r="B651" s="12" t="s">
        <v>5639</v>
      </c>
      <c r="C651" s="12" t="s">
        <v>1449</v>
      </c>
      <c r="D651" s="125">
        <v>5000000</v>
      </c>
      <c r="E651" s="125">
        <v>4103637.2</v>
      </c>
      <c r="F651" s="12">
        <v>54</v>
      </c>
      <c r="G651" s="12">
        <v>180</v>
      </c>
      <c r="H651" s="12">
        <v>0</v>
      </c>
      <c r="I651" s="13">
        <v>43007.794188391206</v>
      </c>
      <c r="J651" s="13">
        <v>43161</v>
      </c>
      <c r="K651" s="12" t="s">
        <v>25</v>
      </c>
      <c r="L651" s="12" t="s">
        <v>88</v>
      </c>
      <c r="M651" s="12" t="s">
        <v>285</v>
      </c>
      <c r="N651" s="12" t="s">
        <v>1039</v>
      </c>
      <c r="O651" s="12"/>
      <c r="P651" s="12"/>
      <c r="Q651" s="12"/>
    </row>
    <row r="652" spans="1:17" x14ac:dyDescent="0.25">
      <c r="A652" s="11">
        <v>103386</v>
      </c>
      <c r="B652" s="12" t="s">
        <v>5633</v>
      </c>
      <c r="C652" s="12" t="s">
        <v>2807</v>
      </c>
      <c r="D652" s="125">
        <v>5000000</v>
      </c>
      <c r="E652" s="125">
        <v>4612884.82</v>
      </c>
      <c r="F652" s="12">
        <v>54</v>
      </c>
      <c r="G652" s="12">
        <v>180</v>
      </c>
      <c r="H652" s="12">
        <v>0</v>
      </c>
      <c r="I652" s="13">
        <v>43007.759531284719</v>
      </c>
      <c r="J652" s="13">
        <v>43314</v>
      </c>
      <c r="K652" s="12" t="s">
        <v>27</v>
      </c>
      <c r="L652" s="12" t="s">
        <v>81</v>
      </c>
      <c r="M652" s="12" t="s">
        <v>5634</v>
      </c>
      <c r="N652" s="12" t="s">
        <v>5385</v>
      </c>
      <c r="O652" s="12"/>
      <c r="P652" s="12"/>
      <c r="Q652" s="12"/>
    </row>
    <row r="653" spans="1:17" x14ac:dyDescent="0.25">
      <c r="A653" s="11">
        <v>103387</v>
      </c>
      <c r="B653" s="12" t="s">
        <v>5641</v>
      </c>
      <c r="C653" s="12" t="s">
        <v>1449</v>
      </c>
      <c r="D653" s="125">
        <v>24000000</v>
      </c>
      <c r="E653" s="125">
        <v>22488912.27</v>
      </c>
      <c r="F653" s="12">
        <v>48</v>
      </c>
      <c r="G653" s="12">
        <v>180</v>
      </c>
      <c r="H653" s="12">
        <v>0</v>
      </c>
      <c r="I653" s="13">
        <v>43007.720409988426</v>
      </c>
      <c r="J653" s="13">
        <v>43375</v>
      </c>
      <c r="K653" s="12" t="s">
        <v>44</v>
      </c>
      <c r="L653" s="12" t="s">
        <v>75</v>
      </c>
      <c r="M653" s="12" t="s">
        <v>1442</v>
      </c>
      <c r="N653" s="12" t="s">
        <v>5124</v>
      </c>
      <c r="O653" s="12"/>
      <c r="P653" s="12"/>
      <c r="Q653" s="12"/>
    </row>
    <row r="654" spans="1:17" x14ac:dyDescent="0.25">
      <c r="A654" s="11">
        <v>103388</v>
      </c>
      <c r="B654" s="12" t="s">
        <v>5637</v>
      </c>
      <c r="C654" s="12" t="s">
        <v>1449</v>
      </c>
      <c r="D654" s="125">
        <v>4000000</v>
      </c>
      <c r="E654" s="125">
        <v>3690307.85</v>
      </c>
      <c r="F654" s="12">
        <v>54</v>
      </c>
      <c r="G654" s="12">
        <v>180</v>
      </c>
      <c r="H654" s="12">
        <v>0</v>
      </c>
      <c r="I654" s="13">
        <v>43007.829713657404</v>
      </c>
      <c r="J654" s="13">
        <v>43314</v>
      </c>
      <c r="K654" s="12" t="s">
        <v>25</v>
      </c>
      <c r="L654" s="12" t="s">
        <v>88</v>
      </c>
      <c r="M654" s="12" t="s">
        <v>285</v>
      </c>
      <c r="N654" s="12" t="s">
        <v>1039</v>
      </c>
      <c r="O654" s="12"/>
      <c r="P654" s="12"/>
      <c r="Q654" s="12"/>
    </row>
    <row r="655" spans="1:17" x14ac:dyDescent="0.25">
      <c r="A655" s="11">
        <v>103389</v>
      </c>
      <c r="B655" s="12" t="s">
        <v>1274</v>
      </c>
      <c r="C655" s="12" t="s">
        <v>1449</v>
      </c>
      <c r="D655" s="125">
        <v>7000000</v>
      </c>
      <c r="E655" s="125">
        <v>6744295.54</v>
      </c>
      <c r="F655" s="12">
        <v>48</v>
      </c>
      <c r="G655" s="12">
        <v>180</v>
      </c>
      <c r="H655" s="12">
        <v>0</v>
      </c>
      <c r="I655" s="13">
        <v>43008.509689120372</v>
      </c>
      <c r="J655" s="13">
        <v>43557</v>
      </c>
      <c r="K655" s="12" t="s">
        <v>25</v>
      </c>
      <c r="L655" s="12" t="s">
        <v>88</v>
      </c>
      <c r="M655" s="12" t="s">
        <v>285</v>
      </c>
      <c r="N655" s="12" t="s">
        <v>5167</v>
      </c>
      <c r="O655" s="12"/>
      <c r="P655" s="12"/>
      <c r="Q655" s="12"/>
    </row>
    <row r="656" spans="1:17" x14ac:dyDescent="0.25">
      <c r="A656" s="11">
        <v>103390</v>
      </c>
      <c r="B656" s="12" t="s">
        <v>5666</v>
      </c>
      <c r="C656" s="12" t="s">
        <v>2807</v>
      </c>
      <c r="D656" s="125">
        <v>6000000</v>
      </c>
      <c r="E656" s="125">
        <v>5588057.0599999996</v>
      </c>
      <c r="F656" s="12">
        <v>36</v>
      </c>
      <c r="G656" s="12">
        <v>180</v>
      </c>
      <c r="H656" s="12">
        <v>0</v>
      </c>
      <c r="I656" s="13">
        <v>43008.53713290509</v>
      </c>
      <c r="J656" s="13">
        <v>43375</v>
      </c>
      <c r="K656" s="12" t="s">
        <v>25</v>
      </c>
      <c r="L656" s="12" t="s">
        <v>94</v>
      </c>
      <c r="M656" s="12" t="s">
        <v>5507</v>
      </c>
      <c r="N656" s="12" t="s">
        <v>1467</v>
      </c>
      <c r="O656" s="12"/>
      <c r="P656" s="12"/>
      <c r="Q656" s="12"/>
    </row>
    <row r="657" spans="1:17" x14ac:dyDescent="0.25">
      <c r="A657" s="11">
        <v>103391</v>
      </c>
      <c r="B657" s="12" t="s">
        <v>5671</v>
      </c>
      <c r="C657" s="12" t="s">
        <v>1449</v>
      </c>
      <c r="D657" s="125">
        <v>3500000</v>
      </c>
      <c r="E657" s="125">
        <v>3283066.43</v>
      </c>
      <c r="F657" s="12">
        <v>54</v>
      </c>
      <c r="G657" s="12">
        <v>180</v>
      </c>
      <c r="H657" s="12">
        <v>0</v>
      </c>
      <c r="I657" s="13">
        <v>43008.581624189814</v>
      </c>
      <c r="J657" s="13">
        <v>43375</v>
      </c>
      <c r="K657" s="12" t="s">
        <v>25</v>
      </c>
      <c r="L657" s="12" t="s">
        <v>88</v>
      </c>
      <c r="M657" s="12" t="s">
        <v>285</v>
      </c>
      <c r="N657" s="12" t="s">
        <v>5352</v>
      </c>
      <c r="O657" s="12"/>
      <c r="P657" s="12"/>
      <c r="Q657" s="12"/>
    </row>
    <row r="658" spans="1:17" x14ac:dyDescent="0.25">
      <c r="A658" s="11">
        <v>103392</v>
      </c>
      <c r="B658" s="12" t="s">
        <v>5669</v>
      </c>
      <c r="C658" s="12" t="s">
        <v>1449</v>
      </c>
      <c r="D658" s="125">
        <v>6000000</v>
      </c>
      <c r="E658" s="125">
        <v>5366963.54</v>
      </c>
      <c r="F658" s="12">
        <v>50</v>
      </c>
      <c r="G658" s="12">
        <v>180</v>
      </c>
      <c r="H658" s="12">
        <v>0</v>
      </c>
      <c r="I658" s="13">
        <v>43008.621397766205</v>
      </c>
      <c r="J658" s="13">
        <v>43253</v>
      </c>
      <c r="K658" s="12" t="s">
        <v>25</v>
      </c>
      <c r="L658" s="12" t="s">
        <v>88</v>
      </c>
      <c r="M658" s="12" t="s">
        <v>285</v>
      </c>
      <c r="N658" s="12" t="s">
        <v>5352</v>
      </c>
      <c r="O658" s="12"/>
      <c r="P658" s="12"/>
      <c r="Q658" s="12"/>
    </row>
    <row r="659" spans="1:17" x14ac:dyDescent="0.25">
      <c r="A659" s="11">
        <v>103393</v>
      </c>
      <c r="B659" s="12" t="s">
        <v>5670</v>
      </c>
      <c r="C659" s="12" t="s">
        <v>1449</v>
      </c>
      <c r="D659" s="125">
        <v>1800000</v>
      </c>
      <c r="E659" s="125">
        <v>1658265.06</v>
      </c>
      <c r="F659" s="12">
        <v>54</v>
      </c>
      <c r="G659" s="12">
        <v>180</v>
      </c>
      <c r="H659" s="12">
        <v>0</v>
      </c>
      <c r="I659" s="13">
        <v>43008.724388310184</v>
      </c>
      <c r="J659" s="13">
        <v>43314</v>
      </c>
      <c r="K659" s="12" t="s">
        <v>25</v>
      </c>
      <c r="L659" s="12" t="s">
        <v>88</v>
      </c>
      <c r="M659" s="12" t="s">
        <v>285</v>
      </c>
      <c r="N659" s="12" t="s">
        <v>4683</v>
      </c>
      <c r="O659" s="12"/>
      <c r="P659" s="12"/>
      <c r="Q659" s="12"/>
    </row>
    <row r="660" spans="1:17" x14ac:dyDescent="0.25">
      <c r="A660" s="11">
        <v>103394</v>
      </c>
      <c r="B660" s="12" t="s">
        <v>405</v>
      </c>
      <c r="C660" s="12" t="s">
        <v>2807</v>
      </c>
      <c r="D660" s="125">
        <v>7000000</v>
      </c>
      <c r="E660" s="125">
        <v>6594714.0300000003</v>
      </c>
      <c r="F660" s="12">
        <v>44</v>
      </c>
      <c r="G660" s="12">
        <v>180</v>
      </c>
      <c r="H660" s="12">
        <v>0</v>
      </c>
      <c r="I660" s="13">
        <v>43008.719984108793</v>
      </c>
      <c r="J660" s="13">
        <v>43375</v>
      </c>
      <c r="K660" s="12" t="s">
        <v>45</v>
      </c>
      <c r="L660" s="12" t="s">
        <v>45</v>
      </c>
      <c r="M660" s="12" t="s">
        <v>1658</v>
      </c>
      <c r="N660" s="12" t="s">
        <v>90</v>
      </c>
      <c r="O660" s="12"/>
      <c r="P660" s="12"/>
      <c r="Q660" s="12"/>
    </row>
    <row r="661" spans="1:17" x14ac:dyDescent="0.25">
      <c r="A661" s="11">
        <v>103395</v>
      </c>
      <c r="B661" s="12" t="s">
        <v>5665</v>
      </c>
      <c r="C661" s="12" t="s">
        <v>2807</v>
      </c>
      <c r="D661" s="125">
        <v>8000000</v>
      </c>
      <c r="E661" s="125">
        <v>7358375.4699999997</v>
      </c>
      <c r="F661" s="12">
        <v>50</v>
      </c>
      <c r="G661" s="12">
        <v>180</v>
      </c>
      <c r="H661" s="12">
        <v>0</v>
      </c>
      <c r="I661" s="13">
        <v>43008.778982094911</v>
      </c>
      <c r="J661" s="13">
        <v>43314</v>
      </c>
      <c r="K661" s="12" t="s">
        <v>25</v>
      </c>
      <c r="L661" s="12" t="s">
        <v>103</v>
      </c>
      <c r="M661" s="12" t="s">
        <v>104</v>
      </c>
      <c r="N661" s="12" t="s">
        <v>5382</v>
      </c>
      <c r="O661" s="12"/>
      <c r="P661" s="12"/>
      <c r="Q661" s="12"/>
    </row>
    <row r="662" spans="1:17" x14ac:dyDescent="0.25">
      <c r="A662" s="11">
        <v>103396</v>
      </c>
      <c r="B662" s="12" t="s">
        <v>5706</v>
      </c>
      <c r="C662" s="12" t="s">
        <v>1449</v>
      </c>
      <c r="D662" s="125">
        <v>3500000</v>
      </c>
      <c r="E662" s="125">
        <v>3215174.12</v>
      </c>
      <c r="F662" s="12">
        <v>54</v>
      </c>
      <c r="G662" s="12">
        <v>180</v>
      </c>
      <c r="H662" s="12">
        <v>0</v>
      </c>
      <c r="I662" s="13">
        <v>43010.702141516202</v>
      </c>
      <c r="J662" s="13">
        <v>43314</v>
      </c>
      <c r="K662" s="12" t="s">
        <v>25</v>
      </c>
      <c r="L662" s="12" t="s">
        <v>88</v>
      </c>
      <c r="M662" s="12" t="s">
        <v>285</v>
      </c>
      <c r="N662" s="12" t="s">
        <v>5491</v>
      </c>
      <c r="O662" s="12"/>
      <c r="P662" s="12"/>
      <c r="Q662" s="12"/>
    </row>
    <row r="663" spans="1:17" x14ac:dyDescent="0.25">
      <c r="A663" s="11">
        <v>103397</v>
      </c>
      <c r="B663" s="12" t="s">
        <v>5714</v>
      </c>
      <c r="C663" s="12" t="s">
        <v>1449</v>
      </c>
      <c r="D663" s="125">
        <v>25000000</v>
      </c>
      <c r="E663" s="125">
        <v>23688354.879999999</v>
      </c>
      <c r="F663" s="12">
        <v>40</v>
      </c>
      <c r="G663" s="12">
        <v>180</v>
      </c>
      <c r="H663" s="12">
        <v>0</v>
      </c>
      <c r="I663" s="13">
        <v>43012.753689618054</v>
      </c>
      <c r="J663" s="13">
        <v>43469</v>
      </c>
      <c r="K663" s="12" t="s">
        <v>44</v>
      </c>
      <c r="L663" s="12" t="s">
        <v>92</v>
      </c>
      <c r="M663" s="12" t="s">
        <v>92</v>
      </c>
      <c r="N663" s="12" t="s">
        <v>546</v>
      </c>
      <c r="O663" s="12"/>
      <c r="P663" s="12"/>
      <c r="Q663" s="12"/>
    </row>
    <row r="664" spans="1:17" x14ac:dyDescent="0.25">
      <c r="A664" s="11">
        <v>103398</v>
      </c>
      <c r="B664" s="12" t="s">
        <v>5729</v>
      </c>
      <c r="C664" s="12" t="s">
        <v>1449</v>
      </c>
      <c r="D664" s="125">
        <v>9000000</v>
      </c>
      <c r="E664" s="125">
        <v>8401030.4499999993</v>
      </c>
      <c r="F664" s="12">
        <v>48</v>
      </c>
      <c r="G664" s="12">
        <v>180</v>
      </c>
      <c r="H664" s="12">
        <v>0</v>
      </c>
      <c r="I664" s="13">
        <v>43014.58796099537</v>
      </c>
      <c r="J664" s="13">
        <v>43379</v>
      </c>
      <c r="K664" s="12" t="s">
        <v>25</v>
      </c>
      <c r="L664" s="12" t="s">
        <v>88</v>
      </c>
      <c r="M664" s="12" t="s">
        <v>285</v>
      </c>
      <c r="N664" s="12" t="s">
        <v>86</v>
      </c>
      <c r="O664" s="12"/>
      <c r="P664" s="12"/>
      <c r="Q664" s="12"/>
    </row>
    <row r="665" spans="1:17" x14ac:dyDescent="0.25">
      <c r="A665" s="11">
        <v>103399</v>
      </c>
      <c r="B665" s="12" t="s">
        <v>5733</v>
      </c>
      <c r="C665" s="12" t="s">
        <v>2807</v>
      </c>
      <c r="D665" s="125">
        <v>6000000</v>
      </c>
      <c r="E665" s="125">
        <v>5604489.29</v>
      </c>
      <c r="F665" s="12">
        <v>50</v>
      </c>
      <c r="G665" s="12">
        <v>180</v>
      </c>
      <c r="H665" s="12">
        <v>0</v>
      </c>
      <c r="I665" s="13">
        <v>43014.588256481482</v>
      </c>
      <c r="J665" s="13">
        <v>43379</v>
      </c>
      <c r="K665" s="12" t="s">
        <v>25</v>
      </c>
      <c r="L665" s="12" t="s">
        <v>101</v>
      </c>
      <c r="M665" s="12" t="s">
        <v>5507</v>
      </c>
      <c r="N665" s="12" t="s">
        <v>3074</v>
      </c>
      <c r="O665" s="12"/>
      <c r="P665" s="12"/>
      <c r="Q665" s="12"/>
    </row>
    <row r="666" spans="1:17" x14ac:dyDescent="0.25">
      <c r="A666" s="11">
        <v>103400</v>
      </c>
      <c r="B666" s="12" t="s">
        <v>5747</v>
      </c>
      <c r="C666" s="12" t="s">
        <v>2807</v>
      </c>
      <c r="D666" s="125">
        <v>6000000</v>
      </c>
      <c r="E666" s="125">
        <v>5360342.08</v>
      </c>
      <c r="F666" s="12">
        <v>54</v>
      </c>
      <c r="G666" s="12">
        <v>180</v>
      </c>
      <c r="H666" s="12">
        <v>0</v>
      </c>
      <c r="I666" s="13">
        <v>43018.732764780092</v>
      </c>
      <c r="J666" s="13">
        <v>43261</v>
      </c>
      <c r="K666" s="12" t="s">
        <v>25</v>
      </c>
      <c r="L666" s="12" t="s">
        <v>88</v>
      </c>
      <c r="M666" s="12" t="s">
        <v>285</v>
      </c>
      <c r="N666" s="12" t="s">
        <v>5385</v>
      </c>
      <c r="O666" s="12"/>
      <c r="P666" s="12"/>
      <c r="Q666" s="12"/>
    </row>
    <row r="667" spans="1:17" x14ac:dyDescent="0.25">
      <c r="A667" s="11">
        <v>103401</v>
      </c>
      <c r="B667" s="12" t="s">
        <v>5730</v>
      </c>
      <c r="C667" s="12" t="s">
        <v>2807</v>
      </c>
      <c r="D667" s="125">
        <v>25000000</v>
      </c>
      <c r="E667" s="125">
        <v>23336195.68</v>
      </c>
      <c r="F667" s="12">
        <v>48</v>
      </c>
      <c r="G667" s="12">
        <v>180</v>
      </c>
      <c r="H667" s="12">
        <v>0</v>
      </c>
      <c r="I667" s="13">
        <v>43014.726949652781</v>
      </c>
      <c r="J667" s="13">
        <v>43379</v>
      </c>
      <c r="K667" s="12" t="s">
        <v>44</v>
      </c>
      <c r="L667" s="12" t="s">
        <v>75</v>
      </c>
      <c r="M667" s="12" t="s">
        <v>26</v>
      </c>
      <c r="N667" s="12" t="s">
        <v>5167</v>
      </c>
      <c r="O667" s="12"/>
      <c r="P667" s="12"/>
      <c r="Q667" s="12"/>
    </row>
    <row r="668" spans="1:17" x14ac:dyDescent="0.25">
      <c r="A668" s="11">
        <v>103403</v>
      </c>
      <c r="B668" s="12" t="s">
        <v>3553</v>
      </c>
      <c r="C668" s="12" t="s">
        <v>1449</v>
      </c>
      <c r="D668" s="125">
        <v>4500000</v>
      </c>
      <c r="E668" s="125">
        <v>4200515.22</v>
      </c>
      <c r="F668" s="12">
        <v>48</v>
      </c>
      <c r="G668" s="12">
        <v>180</v>
      </c>
      <c r="H668" s="12">
        <v>0</v>
      </c>
      <c r="I668" s="13">
        <v>43018.615223726854</v>
      </c>
      <c r="J668" s="13">
        <v>43383</v>
      </c>
      <c r="K668" s="12" t="s">
        <v>25</v>
      </c>
      <c r="L668" s="12" t="s">
        <v>88</v>
      </c>
      <c r="M668" s="12" t="s">
        <v>285</v>
      </c>
      <c r="N668" s="12" t="s">
        <v>1039</v>
      </c>
      <c r="O668" s="12"/>
      <c r="P668" s="12"/>
      <c r="Q668" s="12"/>
    </row>
    <row r="669" spans="1:17" x14ac:dyDescent="0.25">
      <c r="A669" s="11">
        <v>103404</v>
      </c>
      <c r="B669" s="12" t="s">
        <v>5751</v>
      </c>
      <c r="C669" s="12" t="s">
        <v>2807</v>
      </c>
      <c r="D669" s="125">
        <v>6000000</v>
      </c>
      <c r="E669" s="125">
        <v>6000000</v>
      </c>
      <c r="F669" s="12">
        <v>44</v>
      </c>
      <c r="G669" s="12">
        <v>180</v>
      </c>
      <c r="H669" s="12">
        <v>0</v>
      </c>
      <c r="I669" s="13">
        <v>43018.723705902776</v>
      </c>
      <c r="J669" s="13">
        <v>43322</v>
      </c>
      <c r="K669" s="12" t="s">
        <v>37</v>
      </c>
      <c r="L669" s="12" t="s">
        <v>38</v>
      </c>
      <c r="M669" s="12" t="s">
        <v>39</v>
      </c>
      <c r="N669" s="12" t="s">
        <v>468</v>
      </c>
      <c r="O669" s="12"/>
      <c r="P669" s="12"/>
      <c r="Q669" s="12"/>
    </row>
    <row r="670" spans="1:17" x14ac:dyDescent="0.25">
      <c r="A670" s="11">
        <v>103405</v>
      </c>
      <c r="B670" s="12" t="s">
        <v>5766</v>
      </c>
      <c r="C670" s="12" t="s">
        <v>1449</v>
      </c>
      <c r="D670" s="125">
        <v>4000000</v>
      </c>
      <c r="E670" s="125">
        <v>3992273.24</v>
      </c>
      <c r="F670" s="12">
        <v>54</v>
      </c>
      <c r="G670" s="12">
        <v>180</v>
      </c>
      <c r="H670" s="12">
        <v>0</v>
      </c>
      <c r="I670" s="13">
        <v>43019.550980555556</v>
      </c>
      <c r="J670" s="13">
        <v>43384</v>
      </c>
      <c r="K670" s="12" t="s">
        <v>25</v>
      </c>
      <c r="L670" s="12" t="s">
        <v>88</v>
      </c>
      <c r="M670" s="12" t="s">
        <v>285</v>
      </c>
      <c r="N670" s="12" t="s">
        <v>1039</v>
      </c>
      <c r="O670" s="12"/>
      <c r="P670" s="12"/>
      <c r="Q670" s="12"/>
    </row>
    <row r="671" spans="1:17" x14ac:dyDescent="0.25">
      <c r="A671" s="11">
        <v>103406</v>
      </c>
      <c r="B671" s="12" t="s">
        <v>5765</v>
      </c>
      <c r="C671" s="12" t="s">
        <v>2807</v>
      </c>
      <c r="D671" s="125">
        <v>12000000</v>
      </c>
      <c r="E671" s="125">
        <v>11023454.140000001</v>
      </c>
      <c r="F671" s="12">
        <v>54</v>
      </c>
      <c r="G671" s="12">
        <v>180</v>
      </c>
      <c r="H671" s="12">
        <v>0</v>
      </c>
      <c r="I671" s="13">
        <v>43019.650154016206</v>
      </c>
      <c r="J671" s="13">
        <v>43323</v>
      </c>
      <c r="K671" s="12" t="s">
        <v>25</v>
      </c>
      <c r="L671" s="12" t="s">
        <v>94</v>
      </c>
      <c r="M671" s="12" t="s">
        <v>95</v>
      </c>
      <c r="N671" s="12" t="s">
        <v>468</v>
      </c>
      <c r="O671" s="12"/>
      <c r="P671" s="12"/>
      <c r="Q671" s="12"/>
    </row>
    <row r="672" spans="1:17" x14ac:dyDescent="0.25">
      <c r="A672" s="11">
        <v>103407</v>
      </c>
      <c r="B672" s="12" t="s">
        <v>5764</v>
      </c>
      <c r="C672" s="12" t="s">
        <v>1449</v>
      </c>
      <c r="D672" s="125">
        <v>2000000</v>
      </c>
      <c r="E672" s="125">
        <v>1837242.36</v>
      </c>
      <c r="F672" s="12">
        <v>54</v>
      </c>
      <c r="G672" s="12">
        <v>180</v>
      </c>
      <c r="H672" s="12">
        <v>0</v>
      </c>
      <c r="I672" s="13">
        <v>43019.696723148147</v>
      </c>
      <c r="J672" s="13">
        <v>43323</v>
      </c>
      <c r="K672" s="12" t="s">
        <v>25</v>
      </c>
      <c r="L672" s="12" t="s">
        <v>88</v>
      </c>
      <c r="M672" s="12" t="s">
        <v>285</v>
      </c>
      <c r="N672" s="12" t="s">
        <v>5124</v>
      </c>
      <c r="O672" s="12"/>
      <c r="P672" s="12"/>
      <c r="Q672" s="12"/>
    </row>
    <row r="673" spans="1:17" x14ac:dyDescent="0.25">
      <c r="A673" s="11">
        <v>103409</v>
      </c>
      <c r="B673" s="12" t="s">
        <v>5774</v>
      </c>
      <c r="C673" s="12" t="s">
        <v>2807</v>
      </c>
      <c r="D673" s="125">
        <v>5000000</v>
      </c>
      <c r="E673" s="125">
        <v>4676669.0599999996</v>
      </c>
      <c r="F673" s="12">
        <v>54</v>
      </c>
      <c r="G673" s="12">
        <v>180</v>
      </c>
      <c r="H673" s="12">
        <v>0</v>
      </c>
      <c r="I673" s="13">
        <v>43020.53792318287</v>
      </c>
      <c r="J673" s="13">
        <v>43385</v>
      </c>
      <c r="K673" s="12" t="s">
        <v>25</v>
      </c>
      <c r="L673" s="12" t="s">
        <v>94</v>
      </c>
      <c r="M673" s="12" t="s">
        <v>95</v>
      </c>
      <c r="N673" s="12" t="s">
        <v>5124</v>
      </c>
      <c r="O673" s="12"/>
      <c r="P673" s="12"/>
      <c r="Q673" s="12"/>
    </row>
    <row r="674" spans="1:17" x14ac:dyDescent="0.25">
      <c r="A674" s="11">
        <v>103410</v>
      </c>
      <c r="B674" s="12" t="s">
        <v>5776</v>
      </c>
      <c r="C674" s="12" t="s">
        <v>2807</v>
      </c>
      <c r="D674" s="125">
        <v>6000000</v>
      </c>
      <c r="E674" s="125">
        <v>5360342.08</v>
      </c>
      <c r="F674" s="12">
        <v>54</v>
      </c>
      <c r="G674" s="12">
        <v>180</v>
      </c>
      <c r="H674" s="12">
        <v>0</v>
      </c>
      <c r="I674" s="13">
        <v>43020.652944756941</v>
      </c>
      <c r="J674" s="13">
        <v>43263</v>
      </c>
      <c r="K674" s="12" t="s">
        <v>25</v>
      </c>
      <c r="L674" s="12" t="s">
        <v>88</v>
      </c>
      <c r="M674" s="12" t="s">
        <v>285</v>
      </c>
      <c r="N674" s="12" t="s">
        <v>1039</v>
      </c>
      <c r="O674" s="12"/>
      <c r="P674" s="12"/>
      <c r="Q674" s="12"/>
    </row>
    <row r="675" spans="1:17" x14ac:dyDescent="0.25">
      <c r="A675" s="11">
        <v>103411</v>
      </c>
      <c r="B675" s="12" t="s">
        <v>5804</v>
      </c>
      <c r="C675" s="12" t="s">
        <v>1449</v>
      </c>
      <c r="D675" s="125">
        <v>7000000</v>
      </c>
      <c r="E675" s="125">
        <v>6430348.25</v>
      </c>
      <c r="F675" s="12">
        <v>54</v>
      </c>
      <c r="G675" s="12">
        <v>180</v>
      </c>
      <c r="H675" s="12">
        <v>0</v>
      </c>
      <c r="I675" s="13">
        <v>43021.708743553238</v>
      </c>
      <c r="J675" s="13">
        <v>43325</v>
      </c>
      <c r="K675" s="12" t="s">
        <v>25</v>
      </c>
      <c r="L675" s="12" t="s">
        <v>88</v>
      </c>
      <c r="M675" s="12" t="s">
        <v>285</v>
      </c>
      <c r="N675" s="12" t="s">
        <v>5382</v>
      </c>
      <c r="O675" s="12"/>
      <c r="P675" s="12"/>
      <c r="Q675" s="12"/>
    </row>
    <row r="676" spans="1:17" x14ac:dyDescent="0.25">
      <c r="A676" s="11">
        <v>103412</v>
      </c>
      <c r="B676" s="12" t="s">
        <v>5805</v>
      </c>
      <c r="C676" s="12" t="s">
        <v>2807</v>
      </c>
      <c r="D676" s="125">
        <v>12000000</v>
      </c>
      <c r="E676" s="125">
        <v>11201373.93</v>
      </c>
      <c r="F676" s="12">
        <v>48</v>
      </c>
      <c r="G676" s="12">
        <v>180</v>
      </c>
      <c r="H676" s="12">
        <v>0</v>
      </c>
      <c r="I676" s="13">
        <v>43021.701740509263</v>
      </c>
      <c r="J676" s="13">
        <v>43386</v>
      </c>
      <c r="K676" s="12" t="s">
        <v>25</v>
      </c>
      <c r="L676" s="12" t="s">
        <v>88</v>
      </c>
      <c r="M676" s="12" t="s">
        <v>285</v>
      </c>
      <c r="N676" s="12" t="s">
        <v>2175</v>
      </c>
      <c r="O676" s="12"/>
      <c r="P676" s="12"/>
      <c r="Q676" s="12"/>
    </row>
    <row r="677" spans="1:17" x14ac:dyDescent="0.25">
      <c r="A677" s="11">
        <v>103413</v>
      </c>
      <c r="B677" s="12" t="s">
        <v>5803</v>
      </c>
      <c r="C677" s="12" t="s">
        <v>1449</v>
      </c>
      <c r="D677" s="125">
        <v>3000000</v>
      </c>
      <c r="E677" s="125">
        <v>2680171.04</v>
      </c>
      <c r="F677" s="12">
        <v>54</v>
      </c>
      <c r="G677" s="12">
        <v>180</v>
      </c>
      <c r="H677" s="12">
        <v>0</v>
      </c>
      <c r="I677" s="13">
        <v>43022.524741319445</v>
      </c>
      <c r="J677" s="13">
        <v>43265</v>
      </c>
      <c r="K677" s="12" t="s">
        <v>25</v>
      </c>
      <c r="L677" s="12" t="s">
        <v>88</v>
      </c>
      <c r="M677" s="12" t="s">
        <v>285</v>
      </c>
      <c r="N677" s="12" t="s">
        <v>5385</v>
      </c>
      <c r="O677" s="12"/>
      <c r="P677" s="12"/>
      <c r="Q677" s="12"/>
    </row>
    <row r="678" spans="1:17" x14ac:dyDescent="0.25">
      <c r="A678" s="11">
        <v>103414</v>
      </c>
      <c r="B678" s="12" t="s">
        <v>189</v>
      </c>
      <c r="C678" s="12" t="s">
        <v>1449</v>
      </c>
      <c r="D678" s="125">
        <v>15000000</v>
      </c>
      <c r="E678" s="125">
        <v>14250883.49</v>
      </c>
      <c r="F678" s="12">
        <v>48</v>
      </c>
      <c r="G678" s="12">
        <v>180</v>
      </c>
      <c r="H678" s="12">
        <v>0</v>
      </c>
      <c r="I678" s="13">
        <v>43025.674368483793</v>
      </c>
      <c r="J678" s="13">
        <v>43482</v>
      </c>
      <c r="K678" s="12" t="s">
        <v>25</v>
      </c>
      <c r="L678" s="12" t="s">
        <v>88</v>
      </c>
      <c r="M678" s="12" t="s">
        <v>285</v>
      </c>
      <c r="N678" s="12" t="s">
        <v>90</v>
      </c>
      <c r="O678" s="12"/>
      <c r="P678" s="12"/>
      <c r="Q678" s="12"/>
    </row>
    <row r="679" spans="1:17" x14ac:dyDescent="0.25">
      <c r="A679" s="11">
        <v>103416</v>
      </c>
      <c r="B679" s="12" t="s">
        <v>792</v>
      </c>
      <c r="C679" s="12" t="s">
        <v>2807</v>
      </c>
      <c r="D679" s="125">
        <v>9000000</v>
      </c>
      <c r="E679" s="125">
        <v>8389485.9000000004</v>
      </c>
      <c r="F679" s="12">
        <v>44</v>
      </c>
      <c r="G679" s="12">
        <v>180</v>
      </c>
      <c r="H679" s="12">
        <v>0</v>
      </c>
      <c r="I679" s="13">
        <v>43024.674112997687</v>
      </c>
      <c r="J679" s="13">
        <v>43389</v>
      </c>
      <c r="K679" s="12" t="s">
        <v>25</v>
      </c>
      <c r="L679" s="12" t="s">
        <v>88</v>
      </c>
      <c r="M679" s="12" t="s">
        <v>285</v>
      </c>
      <c r="N679" s="12" t="s">
        <v>2855</v>
      </c>
      <c r="O679" s="12"/>
      <c r="P679" s="12"/>
      <c r="Q679" s="12"/>
    </row>
    <row r="680" spans="1:17" x14ac:dyDescent="0.25">
      <c r="A680" s="11">
        <v>103417</v>
      </c>
      <c r="B680" s="12" t="s">
        <v>5820</v>
      </c>
      <c r="C680" s="12" t="s">
        <v>2807</v>
      </c>
      <c r="D680" s="125">
        <v>7000000</v>
      </c>
      <c r="E680" s="125">
        <v>6932269.5499999998</v>
      </c>
      <c r="F680" s="12">
        <v>54</v>
      </c>
      <c r="G680" s="12">
        <v>180</v>
      </c>
      <c r="H680" s="12">
        <v>0</v>
      </c>
      <c r="I680" s="13">
        <v>43024.682983877312</v>
      </c>
      <c r="J680" s="13">
        <v>43328</v>
      </c>
      <c r="K680" s="12" t="s">
        <v>25</v>
      </c>
      <c r="L680" s="12" t="s">
        <v>94</v>
      </c>
      <c r="M680" s="12" t="s">
        <v>95</v>
      </c>
      <c r="N680" s="12" t="s">
        <v>2034</v>
      </c>
      <c r="O680" s="12"/>
      <c r="P680" s="12"/>
      <c r="Q680" s="12"/>
    </row>
    <row r="681" spans="1:17" x14ac:dyDescent="0.25">
      <c r="A681" s="11">
        <v>103418</v>
      </c>
      <c r="B681" s="12" t="s">
        <v>4270</v>
      </c>
      <c r="C681" s="12" t="s">
        <v>1449</v>
      </c>
      <c r="D681" s="125">
        <v>7000000</v>
      </c>
      <c r="E681" s="125">
        <v>6534134.79</v>
      </c>
      <c r="F681" s="12">
        <v>48</v>
      </c>
      <c r="G681" s="12">
        <v>180</v>
      </c>
      <c r="H681" s="12">
        <v>0</v>
      </c>
      <c r="I681" s="13">
        <v>43024.724898379631</v>
      </c>
      <c r="J681" s="13">
        <v>43389</v>
      </c>
      <c r="K681" s="12" t="s">
        <v>25</v>
      </c>
      <c r="L681" s="12" t="s">
        <v>88</v>
      </c>
      <c r="M681" s="12" t="s">
        <v>285</v>
      </c>
      <c r="N681" s="12" t="s">
        <v>546</v>
      </c>
      <c r="O681" s="12"/>
      <c r="P681" s="12"/>
      <c r="Q681" s="12"/>
    </row>
    <row r="682" spans="1:17" x14ac:dyDescent="0.25">
      <c r="A682" s="11">
        <v>103419</v>
      </c>
      <c r="B682" s="12" t="s">
        <v>5832</v>
      </c>
      <c r="C682" s="12" t="s">
        <v>2807</v>
      </c>
      <c r="D682" s="125">
        <v>27000000</v>
      </c>
      <c r="E682" s="125">
        <v>25881125.25</v>
      </c>
      <c r="F682" s="12">
        <v>40</v>
      </c>
      <c r="G682" s="12">
        <v>180</v>
      </c>
      <c r="H682" s="12">
        <v>0</v>
      </c>
      <c r="I682" s="13">
        <v>43025.590373692132</v>
      </c>
      <c r="J682" s="13">
        <v>43572</v>
      </c>
      <c r="K682" s="12" t="s">
        <v>44</v>
      </c>
      <c r="L682" s="12" t="s">
        <v>75</v>
      </c>
      <c r="M682" s="12" t="s">
        <v>1442</v>
      </c>
      <c r="N682" s="12" t="s">
        <v>1039</v>
      </c>
      <c r="O682" s="12"/>
      <c r="P682" s="12"/>
      <c r="Q682" s="12"/>
    </row>
    <row r="683" spans="1:17" x14ac:dyDescent="0.25">
      <c r="A683" s="11">
        <v>103420</v>
      </c>
      <c r="B683" s="12" t="s">
        <v>5830</v>
      </c>
      <c r="C683" s="12" t="s">
        <v>1449</v>
      </c>
      <c r="D683" s="125">
        <v>20000000</v>
      </c>
      <c r="E683" s="125">
        <v>18950683.91</v>
      </c>
      <c r="F683" s="12">
        <v>40</v>
      </c>
      <c r="G683" s="12">
        <v>180</v>
      </c>
      <c r="H683" s="12">
        <v>0</v>
      </c>
      <c r="I683" s="13">
        <v>43025.550861076386</v>
      </c>
      <c r="J683" s="13">
        <v>43482</v>
      </c>
      <c r="K683" s="12" t="s">
        <v>25</v>
      </c>
      <c r="L683" s="12" t="s">
        <v>88</v>
      </c>
      <c r="M683" s="12" t="s">
        <v>285</v>
      </c>
      <c r="N683" s="12" t="s">
        <v>86</v>
      </c>
      <c r="O683" s="12"/>
      <c r="P683" s="12"/>
      <c r="Q683" s="12"/>
    </row>
    <row r="684" spans="1:17" x14ac:dyDescent="0.25">
      <c r="A684" s="11">
        <v>103421</v>
      </c>
      <c r="B684" s="12" t="s">
        <v>5955</v>
      </c>
      <c r="C684" s="12" t="s">
        <v>2807</v>
      </c>
      <c r="D684" s="125">
        <v>13000000</v>
      </c>
      <c r="E684" s="125">
        <v>13000000</v>
      </c>
      <c r="F684" s="12">
        <v>48</v>
      </c>
      <c r="G684" s="12">
        <v>180</v>
      </c>
      <c r="H684" s="12">
        <v>0</v>
      </c>
      <c r="I684" s="13">
        <v>43035.645899965275</v>
      </c>
      <c r="J684" s="13">
        <v>43345</v>
      </c>
      <c r="K684" s="12" t="s">
        <v>25</v>
      </c>
      <c r="L684" s="12" t="s">
        <v>103</v>
      </c>
      <c r="M684" s="12" t="s">
        <v>104</v>
      </c>
      <c r="N684" s="12" t="s">
        <v>491</v>
      </c>
      <c r="O684" s="12"/>
      <c r="P684" s="12"/>
      <c r="Q684" s="12"/>
    </row>
    <row r="685" spans="1:17" x14ac:dyDescent="0.25">
      <c r="A685" s="11">
        <v>103422</v>
      </c>
      <c r="B685" s="12" t="s">
        <v>5842</v>
      </c>
      <c r="C685" s="12" t="s">
        <v>1449</v>
      </c>
      <c r="D685" s="125">
        <v>3000000</v>
      </c>
      <c r="E685" s="125">
        <v>2806001.43</v>
      </c>
      <c r="F685" s="12">
        <v>54</v>
      </c>
      <c r="G685" s="12">
        <v>180</v>
      </c>
      <c r="H685" s="12">
        <v>0</v>
      </c>
      <c r="I685" s="13">
        <v>43026.725895567128</v>
      </c>
      <c r="J685" s="13">
        <v>43391</v>
      </c>
      <c r="K685" s="12" t="s">
        <v>25</v>
      </c>
      <c r="L685" s="12" t="s">
        <v>88</v>
      </c>
      <c r="M685" s="12" t="s">
        <v>285</v>
      </c>
      <c r="N685" s="12" t="s">
        <v>2034</v>
      </c>
      <c r="O685" s="12"/>
      <c r="P685" s="12"/>
      <c r="Q685" s="12"/>
    </row>
    <row r="686" spans="1:17" x14ac:dyDescent="0.25">
      <c r="A686" s="11">
        <v>103423</v>
      </c>
      <c r="B686" s="12" t="s">
        <v>4691</v>
      </c>
      <c r="C686" s="12" t="s">
        <v>1449</v>
      </c>
      <c r="D686" s="125">
        <v>5000000</v>
      </c>
      <c r="E686" s="125">
        <v>4667239.1399999997</v>
      </c>
      <c r="F686" s="12">
        <v>48</v>
      </c>
      <c r="G686" s="12">
        <v>180</v>
      </c>
      <c r="H686" s="12">
        <v>0</v>
      </c>
      <c r="I686" s="13">
        <v>43027.536510995371</v>
      </c>
      <c r="J686" s="13">
        <v>43392</v>
      </c>
      <c r="K686" s="12" t="s">
        <v>25</v>
      </c>
      <c r="L686" s="12" t="s">
        <v>88</v>
      </c>
      <c r="M686" s="12" t="s">
        <v>285</v>
      </c>
      <c r="N686" s="12" t="s">
        <v>546</v>
      </c>
      <c r="O686" s="12"/>
      <c r="P686" s="12"/>
      <c r="Q686" s="12"/>
    </row>
    <row r="687" spans="1:17" x14ac:dyDescent="0.25">
      <c r="A687" s="11">
        <v>103424</v>
      </c>
      <c r="B687" s="12" t="s">
        <v>5847</v>
      </c>
      <c r="C687" s="12" t="s">
        <v>2807</v>
      </c>
      <c r="D687" s="125">
        <v>4000000</v>
      </c>
      <c r="E687" s="125">
        <v>3573561.39</v>
      </c>
      <c r="F687" s="12">
        <v>54</v>
      </c>
      <c r="G687" s="12">
        <v>180</v>
      </c>
      <c r="H687" s="12">
        <v>0</v>
      </c>
      <c r="I687" s="13">
        <v>43027.549113078705</v>
      </c>
      <c r="J687" s="13">
        <v>43270</v>
      </c>
      <c r="K687" s="12" t="s">
        <v>25</v>
      </c>
      <c r="L687" s="12" t="s">
        <v>88</v>
      </c>
      <c r="M687" s="12" t="s">
        <v>285</v>
      </c>
      <c r="N687" s="12" t="s">
        <v>5352</v>
      </c>
      <c r="O687" s="12"/>
      <c r="P687" s="12"/>
      <c r="Q687" s="12"/>
    </row>
    <row r="688" spans="1:17" x14ac:dyDescent="0.25">
      <c r="A688" s="11">
        <v>103425</v>
      </c>
      <c r="B688" s="12" t="s">
        <v>3119</v>
      </c>
      <c r="C688" s="12" t="s">
        <v>1449</v>
      </c>
      <c r="D688" s="125">
        <v>7000000</v>
      </c>
      <c r="E688" s="125">
        <v>6525155.7000000002</v>
      </c>
      <c r="F688" s="12">
        <v>44</v>
      </c>
      <c r="G688" s="12">
        <v>180</v>
      </c>
      <c r="H688" s="12">
        <v>0</v>
      </c>
      <c r="I688" s="13">
        <v>43028.727197488428</v>
      </c>
      <c r="J688" s="13">
        <v>43393</v>
      </c>
      <c r="K688" s="12" t="s">
        <v>25</v>
      </c>
      <c r="L688" s="12" t="s">
        <v>88</v>
      </c>
      <c r="M688" s="12" t="s">
        <v>285</v>
      </c>
      <c r="N688" s="12" t="s">
        <v>2494</v>
      </c>
      <c r="O688" s="12"/>
      <c r="P688" s="12"/>
      <c r="Q688" s="12"/>
    </row>
    <row r="689" spans="1:17" x14ac:dyDescent="0.25">
      <c r="A689" s="11">
        <v>103426</v>
      </c>
      <c r="B689" s="12" t="s">
        <v>914</v>
      </c>
      <c r="C689" s="12" t="s">
        <v>1449</v>
      </c>
      <c r="D689" s="125">
        <v>6233767.6600000001</v>
      </c>
      <c r="E689" s="125">
        <v>5945443.5300000003</v>
      </c>
      <c r="F689" s="12">
        <v>22</v>
      </c>
      <c r="G689" s="12">
        <v>180</v>
      </c>
      <c r="H689" s="12">
        <v>0</v>
      </c>
      <c r="I689" s="13">
        <v>43027.722257789355</v>
      </c>
      <c r="J689" s="13">
        <v>43576</v>
      </c>
      <c r="K689" s="12" t="s">
        <v>25</v>
      </c>
      <c r="L689" s="12" t="s">
        <v>88</v>
      </c>
      <c r="M689" s="12" t="s">
        <v>285</v>
      </c>
      <c r="N689" s="12" t="s">
        <v>284</v>
      </c>
      <c r="O689" s="12"/>
      <c r="P689" s="12"/>
      <c r="Q689" s="12"/>
    </row>
    <row r="690" spans="1:17" x14ac:dyDescent="0.25">
      <c r="A690" s="11">
        <v>103427</v>
      </c>
      <c r="B690" s="12" t="s">
        <v>4761</v>
      </c>
      <c r="C690" s="12" t="s">
        <v>1449</v>
      </c>
      <c r="D690" s="125">
        <v>2000000</v>
      </c>
      <c r="E690" s="125">
        <v>1900391.41</v>
      </c>
      <c r="F690" s="12">
        <v>48</v>
      </c>
      <c r="G690" s="12">
        <v>180</v>
      </c>
      <c r="H690" s="12">
        <v>0</v>
      </c>
      <c r="I690" s="13">
        <v>43028.644662500003</v>
      </c>
      <c r="J690" s="13">
        <v>43271</v>
      </c>
      <c r="K690" s="12" t="s">
        <v>25</v>
      </c>
      <c r="L690" s="12" t="s">
        <v>88</v>
      </c>
      <c r="M690" s="12" t="s">
        <v>285</v>
      </c>
      <c r="N690" s="12" t="s">
        <v>1039</v>
      </c>
      <c r="O690" s="12"/>
      <c r="P690" s="12"/>
      <c r="Q690" s="12"/>
    </row>
    <row r="691" spans="1:17" x14ac:dyDescent="0.25">
      <c r="A691" s="11">
        <v>103428</v>
      </c>
      <c r="B691" s="12" t="s">
        <v>5869</v>
      </c>
      <c r="C691" s="12" t="s">
        <v>1449</v>
      </c>
      <c r="D691" s="125">
        <v>3000000</v>
      </c>
      <c r="E691" s="125">
        <v>2755863.53</v>
      </c>
      <c r="F691" s="12">
        <v>54</v>
      </c>
      <c r="G691" s="12">
        <v>180</v>
      </c>
      <c r="H691" s="12">
        <v>0</v>
      </c>
      <c r="I691" s="13">
        <v>43028.627366469904</v>
      </c>
      <c r="J691" s="13">
        <v>43332</v>
      </c>
      <c r="K691" s="12" t="s">
        <v>25</v>
      </c>
      <c r="L691" s="12" t="s">
        <v>88</v>
      </c>
      <c r="M691" s="12" t="s">
        <v>285</v>
      </c>
      <c r="N691" s="12" t="s">
        <v>5385</v>
      </c>
      <c r="O691" s="12"/>
      <c r="P691" s="12"/>
      <c r="Q691" s="12"/>
    </row>
    <row r="692" spans="1:17" x14ac:dyDescent="0.25">
      <c r="A692" s="11">
        <v>103429</v>
      </c>
      <c r="B692" s="12" t="s">
        <v>3925</v>
      </c>
      <c r="C692" s="12" t="s">
        <v>1449</v>
      </c>
      <c r="D692" s="125">
        <v>11000000</v>
      </c>
      <c r="E692" s="125">
        <v>9806193.8499999996</v>
      </c>
      <c r="F692" s="12">
        <v>48</v>
      </c>
      <c r="G692" s="12">
        <v>180</v>
      </c>
      <c r="H692" s="12">
        <v>0</v>
      </c>
      <c r="I692" s="13">
        <v>43028.712508252313</v>
      </c>
      <c r="J692" s="13">
        <v>43271</v>
      </c>
      <c r="K692" s="12" t="s">
        <v>44</v>
      </c>
      <c r="L692" s="12" t="s">
        <v>92</v>
      </c>
      <c r="M692" s="12" t="s">
        <v>92</v>
      </c>
      <c r="N692" s="12" t="s">
        <v>2855</v>
      </c>
      <c r="O692" s="12"/>
      <c r="P692" s="12"/>
      <c r="Q692" s="12"/>
    </row>
    <row r="693" spans="1:17" x14ac:dyDescent="0.25">
      <c r="A693" s="11">
        <v>103430</v>
      </c>
      <c r="B693" s="12" t="s">
        <v>4618</v>
      </c>
      <c r="C693" s="12" t="s">
        <v>2807</v>
      </c>
      <c r="D693" s="125">
        <v>6500000</v>
      </c>
      <c r="E693" s="125">
        <v>6500000</v>
      </c>
      <c r="F693" s="12">
        <v>48</v>
      </c>
      <c r="G693" s="12">
        <v>180</v>
      </c>
      <c r="H693" s="12">
        <v>0</v>
      </c>
      <c r="I693" s="13">
        <v>43029.572978738426</v>
      </c>
      <c r="J693" s="13">
        <v>43394</v>
      </c>
      <c r="K693" s="12" t="s">
        <v>25</v>
      </c>
      <c r="L693" s="12" t="s">
        <v>88</v>
      </c>
      <c r="M693" s="12" t="s">
        <v>26</v>
      </c>
      <c r="N693" s="12" t="s">
        <v>2494</v>
      </c>
      <c r="O693" s="12"/>
      <c r="P693" s="12"/>
      <c r="Q693" s="12"/>
    </row>
    <row r="694" spans="1:17" x14ac:dyDescent="0.25">
      <c r="A694" s="11">
        <v>103431</v>
      </c>
      <c r="B694" s="12" t="s">
        <v>4687</v>
      </c>
      <c r="C694" s="12" t="s">
        <v>1449</v>
      </c>
      <c r="D694" s="125">
        <v>3500000</v>
      </c>
      <c r="E694" s="125">
        <v>3500000</v>
      </c>
      <c r="F694" s="12">
        <v>48</v>
      </c>
      <c r="G694" s="12">
        <v>180</v>
      </c>
      <c r="H694" s="12">
        <v>0</v>
      </c>
      <c r="I694" s="13">
        <v>43029.566491585647</v>
      </c>
      <c r="J694" s="13">
        <v>43394</v>
      </c>
      <c r="K694" s="12" t="s">
        <v>25</v>
      </c>
      <c r="L694" s="12" t="s">
        <v>88</v>
      </c>
      <c r="M694" s="12" t="s">
        <v>285</v>
      </c>
      <c r="N694" s="12" t="s">
        <v>1191</v>
      </c>
      <c r="O694" s="12"/>
      <c r="P694" s="12"/>
      <c r="Q694" s="12"/>
    </row>
    <row r="695" spans="1:17" x14ac:dyDescent="0.25">
      <c r="A695" s="11">
        <v>103432</v>
      </c>
      <c r="B695" s="12" t="s">
        <v>5896</v>
      </c>
      <c r="C695" s="12" t="s">
        <v>2807</v>
      </c>
      <c r="D695" s="125">
        <v>2500000</v>
      </c>
      <c r="E695" s="125">
        <v>2296552.9500000002</v>
      </c>
      <c r="F695" s="12">
        <v>54</v>
      </c>
      <c r="G695" s="12">
        <v>180</v>
      </c>
      <c r="H695" s="12">
        <v>0</v>
      </c>
      <c r="I695" s="13">
        <v>43031.460546030095</v>
      </c>
      <c r="J695" s="13">
        <v>43335</v>
      </c>
      <c r="K695" s="12" t="s">
        <v>29</v>
      </c>
      <c r="L695" s="12" t="s">
        <v>30</v>
      </c>
      <c r="M695" s="12" t="s">
        <v>437</v>
      </c>
      <c r="N695" s="12" t="s">
        <v>3074</v>
      </c>
      <c r="O695" s="12"/>
      <c r="P695" s="12"/>
      <c r="Q695" s="12"/>
    </row>
    <row r="696" spans="1:17" x14ac:dyDescent="0.25">
      <c r="A696" s="11">
        <v>103433</v>
      </c>
      <c r="B696" s="12" t="s">
        <v>5890</v>
      </c>
      <c r="C696" s="12" t="s">
        <v>2807</v>
      </c>
      <c r="D696" s="125">
        <v>2500000</v>
      </c>
      <c r="E696" s="125">
        <v>2500000</v>
      </c>
      <c r="F696" s="12">
        <v>54</v>
      </c>
      <c r="G696" s="12">
        <v>180</v>
      </c>
      <c r="H696" s="12">
        <v>0</v>
      </c>
      <c r="I696" s="13">
        <v>43031.583880555554</v>
      </c>
      <c r="J696" s="13">
        <v>43335</v>
      </c>
      <c r="K696" s="12" t="s">
        <v>25</v>
      </c>
      <c r="L696" s="12" t="s">
        <v>88</v>
      </c>
      <c r="M696" s="12" t="s">
        <v>285</v>
      </c>
      <c r="N696" s="12" t="s">
        <v>5124</v>
      </c>
      <c r="O696" s="12"/>
      <c r="P696" s="12"/>
      <c r="Q696" s="12"/>
    </row>
    <row r="697" spans="1:17" x14ac:dyDescent="0.25">
      <c r="A697" s="11">
        <v>103434</v>
      </c>
      <c r="B697" s="12" t="s">
        <v>5891</v>
      </c>
      <c r="C697" s="12" t="s">
        <v>1449</v>
      </c>
      <c r="D697" s="125">
        <v>6500000</v>
      </c>
      <c r="E697" s="125">
        <v>6071530.0599999996</v>
      </c>
      <c r="F697" s="12">
        <v>50</v>
      </c>
      <c r="G697" s="12">
        <v>180</v>
      </c>
      <c r="H697" s="12">
        <v>0</v>
      </c>
      <c r="I697" s="13">
        <v>43031.636988541664</v>
      </c>
      <c r="J697" s="13">
        <v>43396</v>
      </c>
      <c r="K697" s="12" t="s">
        <v>25</v>
      </c>
      <c r="L697" s="12" t="s">
        <v>88</v>
      </c>
      <c r="M697" s="12" t="s">
        <v>285</v>
      </c>
      <c r="N697" s="12" t="s">
        <v>2494</v>
      </c>
      <c r="O697" s="12"/>
      <c r="P697" s="12"/>
      <c r="Q697" s="12"/>
    </row>
    <row r="698" spans="1:17" x14ac:dyDescent="0.25">
      <c r="A698" s="11">
        <v>103435</v>
      </c>
      <c r="B698" s="12" t="s">
        <v>5892</v>
      </c>
      <c r="C698" s="12" t="s">
        <v>1449</v>
      </c>
      <c r="D698" s="125">
        <v>28000000</v>
      </c>
      <c r="E698" s="125">
        <v>23778666.73</v>
      </c>
      <c r="F698" s="12">
        <v>48</v>
      </c>
      <c r="G698" s="12">
        <v>180</v>
      </c>
      <c r="H698" s="12">
        <v>0</v>
      </c>
      <c r="I698" s="13">
        <v>43031.669717395831</v>
      </c>
      <c r="J698" s="13">
        <v>43213</v>
      </c>
      <c r="K698" s="12" t="s">
        <v>25</v>
      </c>
      <c r="L698" s="12" t="s">
        <v>88</v>
      </c>
      <c r="M698" s="12" t="s">
        <v>285</v>
      </c>
      <c r="N698" s="12" t="s">
        <v>2861</v>
      </c>
      <c r="O698" s="12"/>
      <c r="P698" s="12"/>
      <c r="Q698" s="12"/>
    </row>
    <row r="699" spans="1:17" x14ac:dyDescent="0.25">
      <c r="A699" s="11">
        <v>103436</v>
      </c>
      <c r="B699" s="12" t="s">
        <v>5889</v>
      </c>
      <c r="C699" s="12" t="s">
        <v>2807</v>
      </c>
      <c r="D699" s="125">
        <v>18000000</v>
      </c>
      <c r="E699" s="125">
        <v>18000000</v>
      </c>
      <c r="F699" s="12">
        <v>42</v>
      </c>
      <c r="G699" s="12">
        <v>180</v>
      </c>
      <c r="H699" s="12">
        <v>0</v>
      </c>
      <c r="I699" s="13">
        <v>43031.534003009256</v>
      </c>
      <c r="J699" s="13">
        <v>43396</v>
      </c>
      <c r="K699" s="12" t="s">
        <v>25</v>
      </c>
      <c r="L699" s="12" t="s">
        <v>103</v>
      </c>
      <c r="M699" s="12" t="s">
        <v>104</v>
      </c>
      <c r="N699" s="12" t="s">
        <v>468</v>
      </c>
      <c r="O699" s="12"/>
      <c r="P699" s="12"/>
      <c r="Q699" s="12"/>
    </row>
    <row r="700" spans="1:17" x14ac:dyDescent="0.25">
      <c r="A700" s="11">
        <v>103437</v>
      </c>
      <c r="B700" s="12" t="s">
        <v>5921</v>
      </c>
      <c r="C700" s="12" t="s">
        <v>1449</v>
      </c>
      <c r="D700" s="125">
        <v>4000000</v>
      </c>
      <c r="E700" s="125">
        <v>4000000</v>
      </c>
      <c r="F700" s="12">
        <v>48</v>
      </c>
      <c r="G700" s="12">
        <v>180</v>
      </c>
      <c r="H700" s="12">
        <v>0</v>
      </c>
      <c r="I700" s="13">
        <v>43032.714318715276</v>
      </c>
      <c r="J700" s="13">
        <v>43336</v>
      </c>
      <c r="K700" s="12" t="s">
        <v>25</v>
      </c>
      <c r="L700" s="12" t="s">
        <v>88</v>
      </c>
      <c r="M700" s="12" t="s">
        <v>285</v>
      </c>
      <c r="N700" s="12" t="s">
        <v>86</v>
      </c>
      <c r="O700" s="12"/>
      <c r="P700" s="12"/>
      <c r="Q700" s="12"/>
    </row>
    <row r="701" spans="1:17" x14ac:dyDescent="0.25">
      <c r="A701" s="11">
        <v>103438</v>
      </c>
      <c r="B701" s="12" t="s">
        <v>2083</v>
      </c>
      <c r="C701" s="12" t="s">
        <v>1449</v>
      </c>
      <c r="D701" s="125">
        <v>10000000</v>
      </c>
      <c r="E701" s="125">
        <v>10000000</v>
      </c>
      <c r="F701" s="12">
        <v>36</v>
      </c>
      <c r="G701" s="12">
        <v>180</v>
      </c>
      <c r="H701" s="12">
        <v>0</v>
      </c>
      <c r="I701" s="13">
        <v>43031.701143020837</v>
      </c>
      <c r="J701" s="13">
        <v>43396</v>
      </c>
      <c r="K701" s="12" t="s">
        <v>25</v>
      </c>
      <c r="L701" s="12" t="s">
        <v>88</v>
      </c>
      <c r="M701" s="12" t="s">
        <v>285</v>
      </c>
      <c r="N701" s="12" t="s">
        <v>86</v>
      </c>
      <c r="O701" s="12"/>
      <c r="P701" s="12"/>
      <c r="Q701" s="12"/>
    </row>
    <row r="702" spans="1:17" x14ac:dyDescent="0.25">
      <c r="A702" s="11">
        <v>103439</v>
      </c>
      <c r="B702" s="12" t="s">
        <v>972</v>
      </c>
      <c r="C702" s="12" t="s">
        <v>1449</v>
      </c>
      <c r="D702" s="125">
        <v>2500000</v>
      </c>
      <c r="E702" s="125">
        <v>2500000</v>
      </c>
      <c r="F702" s="12">
        <v>48</v>
      </c>
      <c r="G702" s="12">
        <v>180</v>
      </c>
      <c r="H702" s="12">
        <v>0</v>
      </c>
      <c r="I702" s="13">
        <v>43035.715470289353</v>
      </c>
      <c r="J702" s="13">
        <v>43406</v>
      </c>
      <c r="K702" s="12" t="s">
        <v>25</v>
      </c>
      <c r="L702" s="12" t="s">
        <v>88</v>
      </c>
      <c r="M702" s="12" t="s">
        <v>285</v>
      </c>
      <c r="N702" s="12" t="s">
        <v>1191</v>
      </c>
      <c r="O702" s="12"/>
      <c r="P702" s="12"/>
      <c r="Q702" s="12"/>
    </row>
    <row r="703" spans="1:17" x14ac:dyDescent="0.25">
      <c r="A703" s="11">
        <v>103440</v>
      </c>
      <c r="B703" s="12" t="s">
        <v>5918</v>
      </c>
      <c r="C703" s="12" t="s">
        <v>1449</v>
      </c>
      <c r="D703" s="125">
        <v>3500000</v>
      </c>
      <c r="E703" s="125">
        <v>3500000</v>
      </c>
      <c r="F703" s="12">
        <v>54</v>
      </c>
      <c r="G703" s="12">
        <v>180</v>
      </c>
      <c r="H703" s="12">
        <v>0</v>
      </c>
      <c r="I703" s="13">
        <v>43032.635776354167</v>
      </c>
      <c r="J703" s="13">
        <v>43275</v>
      </c>
      <c r="K703" s="12" t="s">
        <v>25</v>
      </c>
      <c r="L703" s="12" t="s">
        <v>88</v>
      </c>
      <c r="M703" s="12" t="s">
        <v>285</v>
      </c>
      <c r="N703" s="12" t="s">
        <v>468</v>
      </c>
      <c r="O703" s="12"/>
      <c r="P703" s="12"/>
      <c r="Q703" s="12"/>
    </row>
    <row r="704" spans="1:17" x14ac:dyDescent="0.25">
      <c r="A704" s="11">
        <v>103441</v>
      </c>
      <c r="B704" s="12" t="s">
        <v>5917</v>
      </c>
      <c r="C704" s="12" t="s">
        <v>2807</v>
      </c>
      <c r="D704" s="125">
        <v>1800000</v>
      </c>
      <c r="E704" s="125">
        <v>1800000</v>
      </c>
      <c r="F704" s="12">
        <v>54</v>
      </c>
      <c r="G704" s="12">
        <v>180</v>
      </c>
      <c r="H704" s="12">
        <v>0</v>
      </c>
      <c r="I704" s="13">
        <v>43032.747680057873</v>
      </c>
      <c r="J704" s="13">
        <v>43275</v>
      </c>
      <c r="K704" s="12" t="s">
        <v>25</v>
      </c>
      <c r="L704" s="12" t="s">
        <v>94</v>
      </c>
      <c r="M704" s="12" t="s">
        <v>1826</v>
      </c>
      <c r="N704" s="12" t="s">
        <v>5385</v>
      </c>
      <c r="O704" s="12"/>
      <c r="P704" s="12"/>
      <c r="Q704" s="12"/>
    </row>
    <row r="705" spans="1:17" x14ac:dyDescent="0.25">
      <c r="A705" s="11">
        <v>103442</v>
      </c>
      <c r="B705" s="12" t="s">
        <v>5943</v>
      </c>
      <c r="C705" s="12" t="s">
        <v>2807</v>
      </c>
      <c r="D705" s="125">
        <v>16000000</v>
      </c>
      <c r="E705" s="125">
        <v>16000000</v>
      </c>
      <c r="F705" s="12">
        <v>42</v>
      </c>
      <c r="G705" s="12">
        <v>180</v>
      </c>
      <c r="H705" s="12">
        <v>0</v>
      </c>
      <c r="I705" s="13">
        <v>43033.586344363423</v>
      </c>
      <c r="J705" s="13">
        <v>43337</v>
      </c>
      <c r="K705" s="12" t="s">
        <v>25</v>
      </c>
      <c r="L705" s="12" t="s">
        <v>88</v>
      </c>
      <c r="M705" s="12" t="s">
        <v>285</v>
      </c>
      <c r="N705" s="12" t="s">
        <v>1039</v>
      </c>
      <c r="O705" s="12"/>
      <c r="P705" s="12"/>
      <c r="Q705" s="12"/>
    </row>
    <row r="706" spans="1:17" x14ac:dyDescent="0.25">
      <c r="A706" s="11">
        <v>103443</v>
      </c>
      <c r="B706" s="12" t="s">
        <v>4565</v>
      </c>
      <c r="C706" s="12" t="s">
        <v>2807</v>
      </c>
      <c r="D706" s="125">
        <v>1500000</v>
      </c>
      <c r="E706" s="125">
        <v>1500000</v>
      </c>
      <c r="F706" s="12">
        <v>48</v>
      </c>
      <c r="G706" s="12">
        <v>180</v>
      </c>
      <c r="H706" s="12">
        <v>0</v>
      </c>
      <c r="I706" s="13">
        <v>43034.504942395833</v>
      </c>
      <c r="J706" s="13">
        <v>43215</v>
      </c>
      <c r="K706" s="12" t="s">
        <v>25</v>
      </c>
      <c r="L706" s="12" t="s">
        <v>88</v>
      </c>
      <c r="M706" s="12" t="s">
        <v>285</v>
      </c>
      <c r="N706" s="12" t="s">
        <v>2494</v>
      </c>
      <c r="O706" s="12"/>
      <c r="P706" s="12"/>
      <c r="Q706" s="12"/>
    </row>
    <row r="707" spans="1:17" x14ac:dyDescent="0.25">
      <c r="A707" s="11">
        <v>103444</v>
      </c>
      <c r="B707" s="12" t="s">
        <v>1747</v>
      </c>
      <c r="C707" s="12" t="s">
        <v>1484</v>
      </c>
      <c r="D707" s="125">
        <v>4000000</v>
      </c>
      <c r="E707" s="125">
        <v>3358058</v>
      </c>
      <c r="F707" s="12">
        <v>25</v>
      </c>
      <c r="G707" s="12">
        <v>180</v>
      </c>
      <c r="H707" s="12">
        <v>0</v>
      </c>
      <c r="I707" s="13">
        <v>43033.706176122687</v>
      </c>
      <c r="J707" s="13">
        <v>43211</v>
      </c>
      <c r="K707" s="12" t="s">
        <v>28</v>
      </c>
      <c r="L707" s="12" t="s">
        <v>26</v>
      </c>
      <c r="M707" s="12" t="s">
        <v>26</v>
      </c>
      <c r="N707" s="12" t="s">
        <v>284</v>
      </c>
      <c r="O707" s="12"/>
      <c r="P707" s="12"/>
      <c r="Q707" s="12"/>
    </row>
    <row r="708" spans="1:17" x14ac:dyDescent="0.25">
      <c r="A708" s="11">
        <v>103445</v>
      </c>
      <c r="B708" s="12" t="s">
        <v>5957</v>
      </c>
      <c r="C708" s="12" t="s">
        <v>2807</v>
      </c>
      <c r="D708" s="125">
        <v>9000000</v>
      </c>
      <c r="E708" s="125">
        <v>9000000</v>
      </c>
      <c r="F708" s="12">
        <v>54</v>
      </c>
      <c r="G708" s="12">
        <v>180</v>
      </c>
      <c r="H708" s="12">
        <v>0</v>
      </c>
      <c r="I708" s="13">
        <v>43035.561631793978</v>
      </c>
      <c r="J708" s="13">
        <v>43406</v>
      </c>
      <c r="K708" s="12" t="s">
        <v>29</v>
      </c>
      <c r="L708" s="12" t="s">
        <v>30</v>
      </c>
      <c r="M708" s="12" t="s">
        <v>1819</v>
      </c>
      <c r="N708" s="12" t="s">
        <v>468</v>
      </c>
      <c r="O708" s="12"/>
      <c r="P708" s="12"/>
      <c r="Q708" s="12"/>
    </row>
    <row r="709" spans="1:17" x14ac:dyDescent="0.25">
      <c r="A709" s="11">
        <v>103446</v>
      </c>
      <c r="B709" s="12" t="s">
        <v>5956</v>
      </c>
      <c r="C709" s="12" t="s">
        <v>2807</v>
      </c>
      <c r="D709" s="125">
        <v>3000000</v>
      </c>
      <c r="E709" s="125">
        <v>3000000</v>
      </c>
      <c r="F709" s="12">
        <v>54</v>
      </c>
      <c r="G709" s="12">
        <v>180</v>
      </c>
      <c r="H709" s="12">
        <v>0</v>
      </c>
      <c r="I709" s="13">
        <v>43035.696272719906</v>
      </c>
      <c r="J709" s="13">
        <v>43345</v>
      </c>
      <c r="K709" s="12" t="s">
        <v>44</v>
      </c>
      <c r="L709" s="12" t="s">
        <v>75</v>
      </c>
      <c r="M709" s="12" t="s">
        <v>1442</v>
      </c>
      <c r="N709" s="12" t="s">
        <v>5491</v>
      </c>
      <c r="O709" s="12"/>
      <c r="P709" s="12"/>
      <c r="Q709" s="12"/>
    </row>
    <row r="710" spans="1:17" x14ac:dyDescent="0.25">
      <c r="A710" s="11">
        <v>103447</v>
      </c>
      <c r="B710" s="12" t="s">
        <v>5972</v>
      </c>
      <c r="C710" s="12" t="s">
        <v>1449</v>
      </c>
      <c r="D710" s="125">
        <v>6000000</v>
      </c>
      <c r="E710" s="125">
        <v>6000000</v>
      </c>
      <c r="F710" s="12">
        <v>54</v>
      </c>
      <c r="G710" s="12">
        <v>180</v>
      </c>
      <c r="H710" s="12">
        <v>0</v>
      </c>
      <c r="I710" s="13">
        <v>43039.617964895835</v>
      </c>
      <c r="J710" s="13">
        <v>43345</v>
      </c>
      <c r="K710" s="12" t="s">
        <v>25</v>
      </c>
      <c r="L710" s="12" t="s">
        <v>88</v>
      </c>
      <c r="M710" s="12" t="s">
        <v>285</v>
      </c>
      <c r="N710" s="12" t="s">
        <v>5352</v>
      </c>
      <c r="O710" s="12"/>
      <c r="P710" s="12"/>
      <c r="Q710" s="12"/>
    </row>
    <row r="711" spans="1:17" x14ac:dyDescent="0.25">
      <c r="A711" s="11">
        <v>103449</v>
      </c>
      <c r="B711" s="12" t="s">
        <v>4465</v>
      </c>
      <c r="C711" s="12" t="s">
        <v>1449</v>
      </c>
      <c r="D711" s="125">
        <v>2000000</v>
      </c>
      <c r="E711" s="125">
        <v>2000000</v>
      </c>
      <c r="F711" s="12">
        <v>48</v>
      </c>
      <c r="G711" s="12">
        <v>180</v>
      </c>
      <c r="H711" s="12">
        <v>0</v>
      </c>
      <c r="I711" s="13">
        <v>43039.540177314811</v>
      </c>
      <c r="J711" s="13">
        <v>43345</v>
      </c>
      <c r="K711" s="12" t="s">
        <v>25</v>
      </c>
      <c r="L711" s="12" t="s">
        <v>88</v>
      </c>
      <c r="M711" s="12" t="s">
        <v>26</v>
      </c>
      <c r="N711" s="12" t="s">
        <v>5124</v>
      </c>
      <c r="O711" s="12"/>
      <c r="P711" s="12"/>
      <c r="Q711" s="12"/>
    </row>
    <row r="712" spans="1:17" x14ac:dyDescent="0.25">
      <c r="A712" s="11">
        <v>103450</v>
      </c>
      <c r="B712" s="12" t="s">
        <v>5968</v>
      </c>
      <c r="C712" s="12" t="s">
        <v>2807</v>
      </c>
      <c r="D712" s="125">
        <v>1200000</v>
      </c>
      <c r="E712" s="125">
        <v>1200000</v>
      </c>
      <c r="F712" s="12">
        <v>54</v>
      </c>
      <c r="G712" s="12">
        <v>180</v>
      </c>
      <c r="H712" s="12">
        <v>0</v>
      </c>
      <c r="I712" s="13">
        <v>43039.546280127317</v>
      </c>
      <c r="J712" s="13">
        <v>43222</v>
      </c>
      <c r="K712" s="12" t="s">
        <v>25</v>
      </c>
      <c r="L712" s="12" t="s">
        <v>88</v>
      </c>
      <c r="M712" s="12" t="s">
        <v>285</v>
      </c>
      <c r="N712" s="12" t="s">
        <v>5124</v>
      </c>
      <c r="O712" s="12"/>
      <c r="P712" s="12"/>
      <c r="Q712" s="12"/>
    </row>
    <row r="713" spans="1:17" x14ac:dyDescent="0.25">
      <c r="A713" s="11">
        <v>103451</v>
      </c>
      <c r="B713" s="12" t="s">
        <v>5974</v>
      </c>
      <c r="C713" s="12" t="s">
        <v>1484</v>
      </c>
      <c r="D713" s="125">
        <v>1000000</v>
      </c>
      <c r="E713" s="125">
        <v>753039.43</v>
      </c>
      <c r="F713" s="12">
        <v>25</v>
      </c>
      <c r="G713" s="12">
        <v>180</v>
      </c>
      <c r="H713" s="12">
        <v>0</v>
      </c>
      <c r="I713" s="13">
        <v>43039.655609571761</v>
      </c>
      <c r="J713" s="13">
        <v>43152</v>
      </c>
      <c r="K713" s="12" t="s">
        <v>28</v>
      </c>
      <c r="L713" s="12" t="s">
        <v>26</v>
      </c>
      <c r="M713" s="12" t="s">
        <v>26</v>
      </c>
      <c r="N713" s="12" t="s">
        <v>284</v>
      </c>
      <c r="O713" s="12"/>
      <c r="P713" s="12"/>
      <c r="Q713" s="12"/>
    </row>
    <row r="714" spans="1:17" x14ac:dyDescent="0.25">
      <c r="A714" s="11">
        <v>103452</v>
      </c>
      <c r="B714" s="12" t="s">
        <v>3939</v>
      </c>
      <c r="C714" s="12" t="s">
        <v>1449</v>
      </c>
      <c r="D714" s="125">
        <v>6800000</v>
      </c>
      <c r="E714" s="125">
        <v>6800000</v>
      </c>
      <c r="F714" s="12">
        <v>48</v>
      </c>
      <c r="G714" s="12">
        <v>180</v>
      </c>
      <c r="H714" s="12">
        <v>0</v>
      </c>
      <c r="I714" s="13">
        <v>43041.432835914355</v>
      </c>
      <c r="J714" s="13">
        <v>43406</v>
      </c>
      <c r="K714" s="12" t="s">
        <v>25</v>
      </c>
      <c r="L714" s="12" t="s">
        <v>88</v>
      </c>
      <c r="M714" s="12" t="s">
        <v>285</v>
      </c>
      <c r="N714" s="12" t="s">
        <v>5167</v>
      </c>
      <c r="O714" s="12"/>
      <c r="P714" s="12"/>
      <c r="Q714" s="12"/>
    </row>
    <row r="715" spans="1:17" x14ac:dyDescent="0.25">
      <c r="A715" s="11">
        <v>103453</v>
      </c>
      <c r="B715" s="12" t="s">
        <v>5995</v>
      </c>
      <c r="C715" s="12" t="s">
        <v>1449</v>
      </c>
      <c r="D715" s="125">
        <v>8000000</v>
      </c>
      <c r="E715" s="125">
        <v>8000000</v>
      </c>
      <c r="F715" s="12">
        <v>48</v>
      </c>
      <c r="G715" s="12">
        <v>180</v>
      </c>
      <c r="H715" s="12">
        <v>0</v>
      </c>
      <c r="I715" s="13">
        <v>43041.585350231479</v>
      </c>
      <c r="J715" s="13">
        <v>43406</v>
      </c>
      <c r="K715" s="12" t="s">
        <v>25</v>
      </c>
      <c r="L715" s="12" t="s">
        <v>88</v>
      </c>
      <c r="M715" s="12" t="s">
        <v>285</v>
      </c>
      <c r="N715" s="12" t="s">
        <v>2855</v>
      </c>
      <c r="O715" s="12"/>
      <c r="P715" s="12"/>
      <c r="Q715" s="12"/>
    </row>
    <row r="716" spans="1:17" x14ac:dyDescent="0.25">
      <c r="A716" s="11">
        <v>103454</v>
      </c>
      <c r="B716" s="12" t="s">
        <v>3807</v>
      </c>
      <c r="C716" s="12" t="s">
        <v>1449</v>
      </c>
      <c r="D716" s="125">
        <v>5000000</v>
      </c>
      <c r="E716" s="125">
        <v>5000000</v>
      </c>
      <c r="F716" s="12">
        <v>48</v>
      </c>
      <c r="G716" s="12">
        <v>180</v>
      </c>
      <c r="H716" s="12">
        <v>0</v>
      </c>
      <c r="I716" s="13">
        <v>43041.721432754632</v>
      </c>
      <c r="J716" s="13">
        <v>43406</v>
      </c>
      <c r="K716" s="12" t="s">
        <v>25</v>
      </c>
      <c r="L716" s="12" t="s">
        <v>88</v>
      </c>
      <c r="M716" s="12" t="s">
        <v>285</v>
      </c>
      <c r="N716" s="12" t="s">
        <v>468</v>
      </c>
      <c r="O716" s="12"/>
      <c r="P716" s="12"/>
      <c r="Q716" s="12"/>
    </row>
    <row r="717" spans="1:17" x14ac:dyDescent="0.25">
      <c r="A717" s="11">
        <v>103455</v>
      </c>
      <c r="B717" s="12" t="s">
        <v>1184</v>
      </c>
      <c r="C717" s="12" t="s">
        <v>2807</v>
      </c>
      <c r="D717" s="125">
        <v>17000000</v>
      </c>
      <c r="E717" s="125">
        <v>17000000</v>
      </c>
      <c r="F717" s="12">
        <v>42</v>
      </c>
      <c r="G717" s="12">
        <v>180</v>
      </c>
      <c r="H717" s="12">
        <v>0</v>
      </c>
      <c r="I717" s="13">
        <v>43045.488874224538</v>
      </c>
      <c r="J717" s="13">
        <v>43591</v>
      </c>
      <c r="K717" s="12" t="s">
        <v>44</v>
      </c>
      <c r="L717" s="12" t="s">
        <v>75</v>
      </c>
      <c r="M717" s="12" t="s">
        <v>1442</v>
      </c>
      <c r="N717" s="12" t="s">
        <v>963</v>
      </c>
      <c r="O717" s="12"/>
      <c r="P717" s="12"/>
      <c r="Q717" s="12"/>
    </row>
    <row r="718" spans="1:17" x14ac:dyDescent="0.25">
      <c r="A718" s="11">
        <v>103456</v>
      </c>
      <c r="B718" s="12" t="s">
        <v>1064</v>
      </c>
      <c r="C718" s="12" t="s">
        <v>1449</v>
      </c>
      <c r="D718" s="125">
        <v>23000000</v>
      </c>
      <c r="E718" s="125">
        <v>23000000</v>
      </c>
      <c r="F718" s="12">
        <v>36</v>
      </c>
      <c r="G718" s="12">
        <v>180</v>
      </c>
      <c r="H718" s="12">
        <v>0</v>
      </c>
      <c r="I718" s="13">
        <v>43042.562480243054</v>
      </c>
      <c r="J718" s="13">
        <v>43772</v>
      </c>
      <c r="K718" s="12" t="s">
        <v>44</v>
      </c>
      <c r="L718" s="12" t="s">
        <v>92</v>
      </c>
      <c r="M718" s="12" t="s">
        <v>92</v>
      </c>
      <c r="N718" s="12" t="s">
        <v>1039</v>
      </c>
      <c r="O718" s="12"/>
      <c r="P718" s="12"/>
      <c r="Q718" s="12"/>
    </row>
    <row r="719" spans="1:17" x14ac:dyDescent="0.25">
      <c r="A719" s="11">
        <v>103457</v>
      </c>
      <c r="B719" s="12" t="s">
        <v>6016</v>
      </c>
      <c r="C719" s="12" t="s">
        <v>2807</v>
      </c>
      <c r="D719" s="125">
        <v>4000000</v>
      </c>
      <c r="E719" s="125">
        <v>4000000</v>
      </c>
      <c r="F719" s="12">
        <v>54</v>
      </c>
      <c r="G719" s="12">
        <v>180</v>
      </c>
      <c r="H719" s="12">
        <v>0</v>
      </c>
      <c r="I719" s="13">
        <v>43048.461907210651</v>
      </c>
      <c r="J719" s="13">
        <v>43352</v>
      </c>
      <c r="K719" s="12" t="s">
        <v>44</v>
      </c>
      <c r="L719" s="12" t="s">
        <v>75</v>
      </c>
      <c r="M719" s="12" t="s">
        <v>1442</v>
      </c>
      <c r="N719" s="12" t="s">
        <v>4684</v>
      </c>
      <c r="O719" s="12"/>
      <c r="P719" s="12"/>
      <c r="Q719" s="12"/>
    </row>
    <row r="720" spans="1:17" x14ac:dyDescent="0.25">
      <c r="A720" s="11">
        <v>200008</v>
      </c>
      <c r="B720" s="12" t="s">
        <v>1680</v>
      </c>
      <c r="C720" s="12" t="s">
        <v>1449</v>
      </c>
      <c r="D720" s="125">
        <v>15000000</v>
      </c>
      <c r="E720" s="125">
        <v>2751142.53</v>
      </c>
      <c r="F720" s="12">
        <v>48</v>
      </c>
      <c r="G720" s="12">
        <v>180</v>
      </c>
      <c r="H720" s="12">
        <v>0</v>
      </c>
      <c r="I720" s="13">
        <v>42354.515555821759</v>
      </c>
      <c r="J720" s="13">
        <v>43091</v>
      </c>
      <c r="K720" s="12" t="s">
        <v>37</v>
      </c>
      <c r="L720" s="12" t="s">
        <v>38</v>
      </c>
      <c r="M720" s="12" t="s">
        <v>1681</v>
      </c>
      <c r="N720" s="12" t="s">
        <v>963</v>
      </c>
      <c r="O720" s="12"/>
      <c r="P720" s="12"/>
      <c r="Q720" s="12"/>
    </row>
    <row r="721" spans="1:17" x14ac:dyDescent="0.25">
      <c r="A721" s="11">
        <v>200035</v>
      </c>
      <c r="B721" s="12" t="s">
        <v>1698</v>
      </c>
      <c r="C721" s="12" t="s">
        <v>1441</v>
      </c>
      <c r="D721" s="125">
        <v>19789761.23</v>
      </c>
      <c r="E721" s="125">
        <v>10950711.75</v>
      </c>
      <c r="F721" s="12">
        <v>36</v>
      </c>
      <c r="G721" s="12">
        <v>180</v>
      </c>
      <c r="H721" s="12">
        <v>0</v>
      </c>
      <c r="I721" s="13">
        <v>42397.512360763889</v>
      </c>
      <c r="J721" s="13">
        <v>43501</v>
      </c>
      <c r="K721" s="12" t="s">
        <v>44</v>
      </c>
      <c r="L721" s="12" t="s">
        <v>92</v>
      </c>
      <c r="M721" s="12" t="s">
        <v>26</v>
      </c>
      <c r="N721" s="12" t="s">
        <v>1467</v>
      </c>
      <c r="O721" s="12"/>
      <c r="P721" s="12"/>
      <c r="Q721" s="12"/>
    </row>
    <row r="722" spans="1:17" x14ac:dyDescent="0.25">
      <c r="A722" s="11">
        <v>200058</v>
      </c>
      <c r="B722" s="12" t="s">
        <v>1843</v>
      </c>
      <c r="C722" s="12" t="s">
        <v>1441</v>
      </c>
      <c r="D722" s="125">
        <v>35000000</v>
      </c>
      <c r="E722" s="125">
        <v>20137114.530000001</v>
      </c>
      <c r="F722" s="12">
        <v>36</v>
      </c>
      <c r="G722" s="12">
        <v>180</v>
      </c>
      <c r="H722" s="12">
        <v>0</v>
      </c>
      <c r="I722" s="13">
        <v>42425.682359340281</v>
      </c>
      <c r="J722" s="13">
        <v>43521</v>
      </c>
      <c r="K722" s="12" t="s">
        <v>45</v>
      </c>
      <c r="L722" s="12" t="s">
        <v>45</v>
      </c>
      <c r="M722" s="12" t="s">
        <v>26</v>
      </c>
      <c r="N722" s="12" t="s">
        <v>2855</v>
      </c>
      <c r="O722" s="12"/>
      <c r="P722" s="12"/>
      <c r="Q722" s="12"/>
    </row>
    <row r="723" spans="1:17" x14ac:dyDescent="0.25">
      <c r="A723" s="11">
        <v>200071</v>
      </c>
      <c r="B723" s="12" t="s">
        <v>1863</v>
      </c>
      <c r="C723" s="12" t="s">
        <v>80</v>
      </c>
      <c r="D723" s="125">
        <v>22000000</v>
      </c>
      <c r="E723" s="125">
        <v>13267280.039999999</v>
      </c>
      <c r="F723" s="12">
        <v>36</v>
      </c>
      <c r="G723" s="12">
        <v>180</v>
      </c>
      <c r="H723" s="12">
        <v>0</v>
      </c>
      <c r="I723" s="13">
        <v>42441.469613194444</v>
      </c>
      <c r="J723" s="13">
        <v>43536</v>
      </c>
      <c r="K723" s="12" t="s">
        <v>44</v>
      </c>
      <c r="L723" s="12" t="s">
        <v>75</v>
      </c>
      <c r="M723" s="12" t="s">
        <v>26</v>
      </c>
      <c r="N723" s="12" t="s">
        <v>491</v>
      </c>
      <c r="O723" s="12"/>
      <c r="P723" s="12"/>
      <c r="Q723" s="12"/>
    </row>
    <row r="724" spans="1:17" x14ac:dyDescent="0.25">
      <c r="A724" s="11">
        <v>200081</v>
      </c>
      <c r="B724" s="12" t="s">
        <v>1896</v>
      </c>
      <c r="C724" s="12" t="s">
        <v>1449</v>
      </c>
      <c r="D724" s="125">
        <v>47000000</v>
      </c>
      <c r="E724" s="125">
        <v>29018508.73</v>
      </c>
      <c r="F724" s="12">
        <v>40</v>
      </c>
      <c r="G724" s="12">
        <v>180</v>
      </c>
      <c r="H724" s="12">
        <v>0</v>
      </c>
      <c r="I724" s="13">
        <v>42459.710820219909</v>
      </c>
      <c r="J724" s="13">
        <v>43556</v>
      </c>
      <c r="K724" s="12" t="s">
        <v>27</v>
      </c>
      <c r="L724" s="12" t="s">
        <v>116</v>
      </c>
      <c r="M724" s="12" t="s">
        <v>1830</v>
      </c>
      <c r="N724" s="12" t="s">
        <v>546</v>
      </c>
      <c r="O724" s="12"/>
      <c r="P724" s="12"/>
      <c r="Q724" s="12"/>
    </row>
    <row r="725" spans="1:17" x14ac:dyDescent="0.25">
      <c r="A725" s="11">
        <v>200089</v>
      </c>
      <c r="B725" s="12" t="s">
        <v>1910</v>
      </c>
      <c r="C725" s="12" t="s">
        <v>1449</v>
      </c>
      <c r="D725" s="125">
        <v>12000000</v>
      </c>
      <c r="E725" s="125">
        <v>3330896.48</v>
      </c>
      <c r="F725" s="12">
        <v>40</v>
      </c>
      <c r="G725" s="12">
        <v>180</v>
      </c>
      <c r="H725" s="12">
        <v>0</v>
      </c>
      <c r="I725" s="13">
        <v>42465.41413449074</v>
      </c>
      <c r="J725" s="13">
        <v>43195</v>
      </c>
      <c r="K725" s="12" t="s">
        <v>44</v>
      </c>
      <c r="L725" s="12" t="s">
        <v>75</v>
      </c>
      <c r="M725" s="12" t="s">
        <v>26</v>
      </c>
      <c r="N725" s="12" t="s">
        <v>1467</v>
      </c>
      <c r="O725" s="12"/>
      <c r="P725" s="12"/>
      <c r="Q725" s="12"/>
    </row>
    <row r="726" spans="1:17" x14ac:dyDescent="0.25">
      <c r="A726" s="11">
        <v>200091</v>
      </c>
      <c r="B726" s="12" t="s">
        <v>1917</v>
      </c>
      <c r="C726" s="12" t="s">
        <v>1441</v>
      </c>
      <c r="D726" s="125">
        <v>15500000</v>
      </c>
      <c r="E726" s="125">
        <v>4816026.9000000004</v>
      </c>
      <c r="F726" s="12">
        <v>48</v>
      </c>
      <c r="G726" s="12">
        <v>180</v>
      </c>
      <c r="H726" s="12">
        <v>0</v>
      </c>
      <c r="I726" s="13">
        <v>42468.666712418984</v>
      </c>
      <c r="J726" s="13">
        <v>43198</v>
      </c>
      <c r="K726" s="12" t="s">
        <v>37</v>
      </c>
      <c r="L726" s="12" t="s">
        <v>686</v>
      </c>
      <c r="M726" s="12" t="s">
        <v>686</v>
      </c>
      <c r="N726" s="12" t="s">
        <v>1925</v>
      </c>
      <c r="O726" s="12"/>
      <c r="P726" s="12"/>
      <c r="Q726" s="12"/>
    </row>
    <row r="727" spans="1:17" x14ac:dyDescent="0.25">
      <c r="A727" s="11">
        <v>200098</v>
      </c>
      <c r="B727" s="12" t="s">
        <v>1934</v>
      </c>
      <c r="C727" s="12" t="s">
        <v>1441</v>
      </c>
      <c r="D727" s="125">
        <v>25000000</v>
      </c>
      <c r="E727" s="125">
        <v>16845060.75</v>
      </c>
      <c r="F727" s="12">
        <v>48</v>
      </c>
      <c r="G727" s="12">
        <v>180</v>
      </c>
      <c r="H727" s="12">
        <v>0</v>
      </c>
      <c r="I727" s="13">
        <v>42480.684143020837</v>
      </c>
      <c r="J727" s="13">
        <v>43580</v>
      </c>
      <c r="K727" s="12" t="s">
        <v>25</v>
      </c>
      <c r="L727" s="12" t="s">
        <v>286</v>
      </c>
      <c r="M727" s="12" t="s">
        <v>26</v>
      </c>
      <c r="N727" s="12" t="s">
        <v>90</v>
      </c>
      <c r="O727" s="12"/>
      <c r="P727" s="12"/>
      <c r="Q727" s="12"/>
    </row>
    <row r="728" spans="1:17" x14ac:dyDescent="0.25">
      <c r="A728" s="11">
        <v>200099</v>
      </c>
      <c r="B728" s="12" t="s">
        <v>1938</v>
      </c>
      <c r="C728" s="12" t="s">
        <v>1441</v>
      </c>
      <c r="D728" s="125">
        <v>20000000</v>
      </c>
      <c r="E728" s="125">
        <v>12909808.369999999</v>
      </c>
      <c r="F728" s="12">
        <v>40</v>
      </c>
      <c r="G728" s="12">
        <v>180</v>
      </c>
      <c r="H728" s="12">
        <v>0</v>
      </c>
      <c r="I728" s="13">
        <v>42481.548824652775</v>
      </c>
      <c r="J728" s="13">
        <v>43579</v>
      </c>
      <c r="K728" s="12" t="s">
        <v>25</v>
      </c>
      <c r="L728" s="12" t="s">
        <v>88</v>
      </c>
      <c r="M728" s="12" t="s">
        <v>26</v>
      </c>
      <c r="N728" s="12" t="s">
        <v>2861</v>
      </c>
      <c r="O728" s="12"/>
      <c r="P728" s="12"/>
      <c r="Q728" s="12"/>
    </row>
    <row r="729" spans="1:17" x14ac:dyDescent="0.25">
      <c r="A729" s="11">
        <v>200105</v>
      </c>
      <c r="B729" s="12" t="s">
        <v>1995</v>
      </c>
      <c r="C729" s="12" t="s">
        <v>1441</v>
      </c>
      <c r="D729" s="125">
        <v>25000000</v>
      </c>
      <c r="E729" s="125">
        <v>16737767.310000001</v>
      </c>
      <c r="F729" s="12">
        <v>48</v>
      </c>
      <c r="G729" s="12">
        <v>180</v>
      </c>
      <c r="H729" s="12">
        <v>0</v>
      </c>
      <c r="I729" s="13">
        <v>42485.720724270832</v>
      </c>
      <c r="J729" s="13">
        <v>43580</v>
      </c>
      <c r="K729" s="12" t="s">
        <v>44</v>
      </c>
      <c r="L729" s="12" t="s">
        <v>92</v>
      </c>
      <c r="M729" s="12" t="s">
        <v>92</v>
      </c>
      <c r="N729" s="12" t="s">
        <v>4684</v>
      </c>
      <c r="O729" s="12"/>
      <c r="P729" s="12"/>
      <c r="Q729" s="12"/>
    </row>
    <row r="730" spans="1:17" x14ac:dyDescent="0.25">
      <c r="A730" s="11">
        <v>200107</v>
      </c>
      <c r="B730" s="12" t="s">
        <v>1705</v>
      </c>
      <c r="C730" s="12" t="s">
        <v>1449</v>
      </c>
      <c r="D730" s="125">
        <v>7900000</v>
      </c>
      <c r="E730" s="125">
        <v>4442839.51</v>
      </c>
      <c r="F730" s="12">
        <v>25</v>
      </c>
      <c r="G730" s="12">
        <v>180</v>
      </c>
      <c r="H730" s="12">
        <v>0</v>
      </c>
      <c r="I730" s="13">
        <v>42486.63441712963</v>
      </c>
      <c r="J730" s="13">
        <v>43576</v>
      </c>
      <c r="K730" s="12" t="s">
        <v>44</v>
      </c>
      <c r="L730" s="12" t="s">
        <v>26</v>
      </c>
      <c r="M730" s="12" t="s">
        <v>26</v>
      </c>
      <c r="N730" s="12" t="s">
        <v>284</v>
      </c>
      <c r="O730" s="12"/>
      <c r="P730" s="12"/>
      <c r="Q730" s="12"/>
    </row>
    <row r="731" spans="1:17" x14ac:dyDescent="0.25">
      <c r="A731" s="11">
        <v>200111</v>
      </c>
      <c r="B731" s="12" t="s">
        <v>2005</v>
      </c>
      <c r="C731" s="12" t="s">
        <v>82</v>
      </c>
      <c r="D731" s="125">
        <v>50000000</v>
      </c>
      <c r="E731" s="125">
        <v>18519114.02</v>
      </c>
      <c r="F731" s="12">
        <v>36</v>
      </c>
      <c r="G731" s="12">
        <v>180</v>
      </c>
      <c r="H731" s="12">
        <v>0</v>
      </c>
      <c r="I731" s="13">
        <v>42488.544714965275</v>
      </c>
      <c r="J731" s="13">
        <v>43225</v>
      </c>
      <c r="K731" s="12" t="s">
        <v>27</v>
      </c>
      <c r="L731" s="12" t="s">
        <v>81</v>
      </c>
      <c r="M731" s="12" t="s">
        <v>1685</v>
      </c>
      <c r="N731" s="12" t="s">
        <v>2855</v>
      </c>
      <c r="O731" s="12"/>
      <c r="P731" s="12"/>
      <c r="Q731" s="12"/>
    </row>
    <row r="732" spans="1:17" x14ac:dyDescent="0.25">
      <c r="A732" s="11">
        <v>200119</v>
      </c>
      <c r="B732" s="12" t="s">
        <v>2017</v>
      </c>
      <c r="C732" s="12" t="s">
        <v>1449</v>
      </c>
      <c r="D732" s="125">
        <v>50000000</v>
      </c>
      <c r="E732" s="125">
        <v>38300691.909999996</v>
      </c>
      <c r="F732" s="12">
        <v>40</v>
      </c>
      <c r="G732" s="12">
        <v>180</v>
      </c>
      <c r="H732" s="12">
        <v>0</v>
      </c>
      <c r="I732" s="13">
        <v>42489.806193321761</v>
      </c>
      <c r="J732" s="13">
        <v>43586</v>
      </c>
      <c r="K732" s="12" t="s">
        <v>25</v>
      </c>
      <c r="L732" s="12" t="s">
        <v>88</v>
      </c>
      <c r="M732" s="12" t="s">
        <v>285</v>
      </c>
      <c r="N732" s="12" t="s">
        <v>1909</v>
      </c>
      <c r="O732" s="12"/>
      <c r="P732" s="12"/>
      <c r="Q732" s="12"/>
    </row>
    <row r="733" spans="1:17" x14ac:dyDescent="0.25">
      <c r="A733" s="11">
        <v>200122</v>
      </c>
      <c r="B733" s="12" t="s">
        <v>2020</v>
      </c>
      <c r="C733" s="12" t="s">
        <v>1449</v>
      </c>
      <c r="D733" s="125">
        <v>50000000</v>
      </c>
      <c r="E733" s="125">
        <v>38284314.530000001</v>
      </c>
      <c r="F733" s="12">
        <v>40</v>
      </c>
      <c r="G733" s="12">
        <v>180</v>
      </c>
      <c r="H733" s="12">
        <v>0</v>
      </c>
      <c r="I733" s="13">
        <v>42490.746087997686</v>
      </c>
      <c r="J733" s="13">
        <v>43941</v>
      </c>
      <c r="K733" s="12" t="s">
        <v>45</v>
      </c>
      <c r="L733" s="12" t="s">
        <v>45</v>
      </c>
      <c r="M733" s="12" t="s">
        <v>89</v>
      </c>
      <c r="N733" s="12" t="s">
        <v>1447</v>
      </c>
      <c r="O733" s="12"/>
      <c r="P733" s="12"/>
      <c r="Q733" s="12"/>
    </row>
    <row r="734" spans="1:17" x14ac:dyDescent="0.25">
      <c r="A734" s="11">
        <v>200123</v>
      </c>
      <c r="B734" s="12" t="s">
        <v>2023</v>
      </c>
      <c r="C734" s="12" t="s">
        <v>1441</v>
      </c>
      <c r="D734" s="125">
        <v>10000000</v>
      </c>
      <c r="E734" s="125">
        <v>5259874.79</v>
      </c>
      <c r="F734" s="12">
        <v>54</v>
      </c>
      <c r="G734" s="12">
        <v>180</v>
      </c>
      <c r="H734" s="12">
        <v>0</v>
      </c>
      <c r="I734" s="13">
        <v>42490.775684641201</v>
      </c>
      <c r="J734" s="13">
        <v>43225</v>
      </c>
      <c r="K734" s="12" t="s">
        <v>44</v>
      </c>
      <c r="L734" s="12" t="s">
        <v>26</v>
      </c>
      <c r="M734" s="12" t="s">
        <v>26</v>
      </c>
      <c r="N734" s="12" t="s">
        <v>5724</v>
      </c>
      <c r="O734" s="12"/>
      <c r="P734" s="12"/>
      <c r="Q734" s="12"/>
    </row>
    <row r="735" spans="1:17" x14ac:dyDescent="0.25">
      <c r="A735" s="11">
        <v>200126</v>
      </c>
      <c r="B735" s="12" t="s">
        <v>1702</v>
      </c>
      <c r="C735" s="12" t="s">
        <v>1441</v>
      </c>
      <c r="D735" s="125">
        <v>42000000</v>
      </c>
      <c r="E735" s="125">
        <v>32802582.32</v>
      </c>
      <c r="F735" s="12">
        <v>36</v>
      </c>
      <c r="G735" s="12">
        <v>180</v>
      </c>
      <c r="H735" s="12">
        <v>0</v>
      </c>
      <c r="I735" s="13">
        <v>42493.687899502314</v>
      </c>
      <c r="J735" s="13">
        <v>43961</v>
      </c>
      <c r="K735" s="12" t="s">
        <v>44</v>
      </c>
      <c r="L735" s="12" t="s">
        <v>75</v>
      </c>
      <c r="M735" s="12" t="s">
        <v>26</v>
      </c>
      <c r="N735" s="12" t="s">
        <v>546</v>
      </c>
      <c r="O735" s="12"/>
      <c r="P735" s="12"/>
      <c r="Q735" s="12"/>
    </row>
    <row r="736" spans="1:17" x14ac:dyDescent="0.25">
      <c r="A736" s="11">
        <v>200130</v>
      </c>
      <c r="B736" s="12" t="s">
        <v>1954</v>
      </c>
      <c r="C736" s="12" t="s">
        <v>1449</v>
      </c>
      <c r="D736" s="125">
        <v>17000000</v>
      </c>
      <c r="E736" s="125">
        <v>13869438.57</v>
      </c>
      <c r="F736" s="12">
        <v>48</v>
      </c>
      <c r="G736" s="12">
        <v>180</v>
      </c>
      <c r="H736" s="12">
        <v>0</v>
      </c>
      <c r="I736" s="13">
        <v>42499.721652546294</v>
      </c>
      <c r="J736" s="13">
        <v>43960</v>
      </c>
      <c r="K736" s="12" t="s">
        <v>25</v>
      </c>
      <c r="L736" s="12" t="s">
        <v>88</v>
      </c>
      <c r="M736" s="12" t="s">
        <v>285</v>
      </c>
      <c r="N736" s="12" t="s">
        <v>1909</v>
      </c>
      <c r="O736" s="12"/>
      <c r="P736" s="12"/>
      <c r="Q736" s="12"/>
    </row>
    <row r="737" spans="1:17" x14ac:dyDescent="0.25">
      <c r="A737" s="11">
        <v>200137</v>
      </c>
      <c r="B737" s="12" t="s">
        <v>2048</v>
      </c>
      <c r="C737" s="12" t="s">
        <v>1449</v>
      </c>
      <c r="D737" s="125">
        <v>50000000</v>
      </c>
      <c r="E737" s="125">
        <v>17944519.829999998</v>
      </c>
      <c r="F737" s="12">
        <v>40</v>
      </c>
      <c r="G737" s="12">
        <v>180</v>
      </c>
      <c r="H737" s="12">
        <v>0</v>
      </c>
      <c r="I737" s="13">
        <v>42501.640024386572</v>
      </c>
      <c r="J737" s="13">
        <v>43235</v>
      </c>
      <c r="K737" s="12" t="s">
        <v>35</v>
      </c>
      <c r="L737" s="12" t="s">
        <v>121</v>
      </c>
      <c r="M737" s="12" t="s">
        <v>122</v>
      </c>
      <c r="N737" s="12" t="s">
        <v>1467</v>
      </c>
      <c r="O737" s="12"/>
      <c r="P737" s="12"/>
      <c r="Q737" s="12"/>
    </row>
    <row r="738" spans="1:17" x14ac:dyDescent="0.25">
      <c r="A738" s="11">
        <v>200138</v>
      </c>
      <c r="B738" s="12" t="s">
        <v>2049</v>
      </c>
      <c r="C738" s="12" t="s">
        <v>1441</v>
      </c>
      <c r="D738" s="125">
        <v>20000000</v>
      </c>
      <c r="E738" s="125">
        <v>8427538.2899999991</v>
      </c>
      <c r="F738" s="12">
        <v>48</v>
      </c>
      <c r="G738" s="12">
        <v>180</v>
      </c>
      <c r="H738" s="12">
        <v>0</v>
      </c>
      <c r="I738" s="13">
        <v>42501.670679166666</v>
      </c>
      <c r="J738" s="13">
        <v>43235</v>
      </c>
      <c r="K738" s="12" t="s">
        <v>25</v>
      </c>
      <c r="L738" s="12" t="s">
        <v>26</v>
      </c>
      <c r="M738" s="12" t="s">
        <v>26</v>
      </c>
      <c r="N738" s="12" t="s">
        <v>90</v>
      </c>
      <c r="O738" s="12"/>
      <c r="P738" s="12"/>
      <c r="Q738" s="12"/>
    </row>
    <row r="739" spans="1:17" x14ac:dyDescent="0.25">
      <c r="A739" s="11">
        <v>200140</v>
      </c>
      <c r="B739" s="12" t="s">
        <v>2059</v>
      </c>
      <c r="C739" s="12" t="s">
        <v>1449</v>
      </c>
      <c r="D739" s="125">
        <v>12000000</v>
      </c>
      <c r="E739" s="125">
        <v>8339217.0599999996</v>
      </c>
      <c r="F739" s="12">
        <v>40</v>
      </c>
      <c r="G739" s="12">
        <v>180</v>
      </c>
      <c r="H739" s="12">
        <v>0</v>
      </c>
      <c r="I739" s="13">
        <v>42503.7178915162</v>
      </c>
      <c r="J739" s="13">
        <v>43599</v>
      </c>
      <c r="K739" s="12" t="s">
        <v>25</v>
      </c>
      <c r="L739" s="12" t="s">
        <v>88</v>
      </c>
      <c r="M739" s="12" t="s">
        <v>285</v>
      </c>
      <c r="N739" s="12" t="s">
        <v>1039</v>
      </c>
      <c r="O739" s="12"/>
      <c r="P739" s="12"/>
      <c r="Q739" s="12"/>
    </row>
    <row r="740" spans="1:17" x14ac:dyDescent="0.25">
      <c r="A740" s="11">
        <v>200141</v>
      </c>
      <c r="B740" s="12" t="s">
        <v>2068</v>
      </c>
      <c r="C740" s="12" t="s">
        <v>1441</v>
      </c>
      <c r="D740" s="125">
        <v>35000000</v>
      </c>
      <c r="E740" s="125">
        <v>23649292.989999998</v>
      </c>
      <c r="F740" s="12">
        <v>40</v>
      </c>
      <c r="G740" s="12">
        <v>180</v>
      </c>
      <c r="H740" s="12">
        <v>0</v>
      </c>
      <c r="I740" s="13">
        <v>42504.434353321762</v>
      </c>
      <c r="J740" s="13">
        <v>43608</v>
      </c>
      <c r="K740" s="12" t="s">
        <v>44</v>
      </c>
      <c r="L740" s="12" t="s">
        <v>75</v>
      </c>
      <c r="M740" s="12" t="s">
        <v>26</v>
      </c>
      <c r="N740" s="12" t="s">
        <v>546</v>
      </c>
      <c r="O740" s="12"/>
      <c r="P740" s="12"/>
      <c r="Q740" s="12"/>
    </row>
    <row r="741" spans="1:17" x14ac:dyDescent="0.25">
      <c r="A741" s="11">
        <v>200142</v>
      </c>
      <c r="B741" s="12" t="s">
        <v>2074</v>
      </c>
      <c r="C741" s="12" t="s">
        <v>1449</v>
      </c>
      <c r="D741" s="125">
        <v>16000000</v>
      </c>
      <c r="E741" s="125">
        <v>11113808.76</v>
      </c>
      <c r="F741" s="12">
        <v>48</v>
      </c>
      <c r="G741" s="12">
        <v>180</v>
      </c>
      <c r="H741" s="12">
        <v>0</v>
      </c>
      <c r="I741" s="13">
        <v>42506.736059606483</v>
      </c>
      <c r="J741" s="13">
        <v>43601</v>
      </c>
      <c r="K741" s="12" t="s">
        <v>45</v>
      </c>
      <c r="L741" s="12" t="s">
        <v>45</v>
      </c>
      <c r="M741" s="12" t="s">
        <v>89</v>
      </c>
      <c r="N741" s="12" t="s">
        <v>1448</v>
      </c>
      <c r="O741" s="12"/>
      <c r="P741" s="12"/>
      <c r="Q741" s="12"/>
    </row>
    <row r="742" spans="1:17" x14ac:dyDescent="0.25">
      <c r="A742" s="11">
        <v>200149</v>
      </c>
      <c r="B742" s="12" t="s">
        <v>2082</v>
      </c>
      <c r="C742" s="12" t="s">
        <v>1441</v>
      </c>
      <c r="D742" s="125">
        <v>30500000</v>
      </c>
      <c r="E742" s="125">
        <v>20564774.699999999</v>
      </c>
      <c r="F742" s="12">
        <v>40</v>
      </c>
      <c r="G742" s="12">
        <v>180</v>
      </c>
      <c r="H742" s="12">
        <v>0</v>
      </c>
      <c r="I742" s="13">
        <v>42508.715886377315</v>
      </c>
      <c r="J742" s="13">
        <v>43610</v>
      </c>
      <c r="K742" s="12" t="s">
        <v>25</v>
      </c>
      <c r="L742" s="12" t="s">
        <v>295</v>
      </c>
      <c r="M742" s="12" t="s">
        <v>26</v>
      </c>
      <c r="N742" s="12" t="s">
        <v>2034</v>
      </c>
      <c r="O742" s="12"/>
      <c r="P742" s="12"/>
      <c r="Q742" s="12"/>
    </row>
    <row r="743" spans="1:17" x14ac:dyDescent="0.25">
      <c r="A743" s="11">
        <v>200154</v>
      </c>
      <c r="B743" s="12" t="s">
        <v>1746</v>
      </c>
      <c r="C743" s="12" t="s">
        <v>1441</v>
      </c>
      <c r="D743" s="125">
        <v>31611025.309999999</v>
      </c>
      <c r="E743" s="125">
        <v>23223436.140000001</v>
      </c>
      <c r="F743" s="12">
        <v>25</v>
      </c>
      <c r="G743" s="12">
        <v>180</v>
      </c>
      <c r="H743" s="12">
        <v>0</v>
      </c>
      <c r="I743" s="13">
        <v>42510.554343206015</v>
      </c>
      <c r="J743" s="13">
        <v>43972</v>
      </c>
      <c r="K743" s="12" t="s">
        <v>43</v>
      </c>
      <c r="L743" s="12" t="s">
        <v>338</v>
      </c>
      <c r="M743" s="12" t="s">
        <v>26</v>
      </c>
      <c r="N743" s="12" t="s">
        <v>284</v>
      </c>
      <c r="O743" s="12"/>
      <c r="P743" s="12"/>
      <c r="Q743" s="12"/>
    </row>
    <row r="744" spans="1:17" x14ac:dyDescent="0.25">
      <c r="A744" s="11">
        <v>200156</v>
      </c>
      <c r="B744" s="12" t="s">
        <v>2105</v>
      </c>
      <c r="C744" s="12" t="s">
        <v>1441</v>
      </c>
      <c r="D744" s="125">
        <v>15500000</v>
      </c>
      <c r="E744" s="125">
        <v>1153762.44</v>
      </c>
      <c r="F744" s="12">
        <v>48</v>
      </c>
      <c r="G744" s="12">
        <v>180</v>
      </c>
      <c r="H744" s="12">
        <v>0</v>
      </c>
      <c r="I744" s="13">
        <v>42510.632320370372</v>
      </c>
      <c r="J744" s="13">
        <v>43059</v>
      </c>
      <c r="K744" s="12" t="s">
        <v>45</v>
      </c>
      <c r="L744" s="12" t="s">
        <v>45</v>
      </c>
      <c r="M744" s="12" t="s">
        <v>26</v>
      </c>
      <c r="N744" s="12" t="s">
        <v>1448</v>
      </c>
      <c r="O744" s="12"/>
      <c r="P744" s="12"/>
      <c r="Q744" s="12"/>
    </row>
    <row r="745" spans="1:17" x14ac:dyDescent="0.25">
      <c r="A745" s="11">
        <v>200158</v>
      </c>
      <c r="B745" s="12" t="s">
        <v>2103</v>
      </c>
      <c r="C745" s="12" t="s">
        <v>82</v>
      </c>
      <c r="D745" s="125">
        <v>45000000</v>
      </c>
      <c r="E745" s="125">
        <v>28964323.84</v>
      </c>
      <c r="F745" s="12">
        <v>40</v>
      </c>
      <c r="G745" s="12">
        <v>180</v>
      </c>
      <c r="H745" s="12">
        <v>0</v>
      </c>
      <c r="I745" s="13">
        <v>42510.694846643521</v>
      </c>
      <c r="J745" s="13">
        <v>43605</v>
      </c>
      <c r="K745" s="12" t="s">
        <v>44</v>
      </c>
      <c r="L745" s="12" t="s">
        <v>92</v>
      </c>
      <c r="M745" s="12" t="s">
        <v>92</v>
      </c>
      <c r="N745" s="12" t="s">
        <v>1448</v>
      </c>
      <c r="O745" s="12"/>
      <c r="P745" s="12"/>
      <c r="Q745" s="12"/>
    </row>
    <row r="746" spans="1:17" x14ac:dyDescent="0.25">
      <c r="A746" s="11">
        <v>200160</v>
      </c>
      <c r="B746" s="12" t="s">
        <v>2036</v>
      </c>
      <c r="C746" s="12" t="s">
        <v>1449</v>
      </c>
      <c r="D746" s="125">
        <v>44537780</v>
      </c>
      <c r="E746" s="125">
        <v>35619244.359999999</v>
      </c>
      <c r="F746" s="12">
        <v>40</v>
      </c>
      <c r="G746" s="12">
        <v>180</v>
      </c>
      <c r="H746" s="12">
        <v>0</v>
      </c>
      <c r="I746" s="13">
        <v>42511.461811539353</v>
      </c>
      <c r="J746" s="13">
        <v>43966</v>
      </c>
      <c r="K746" s="12" t="s">
        <v>35</v>
      </c>
      <c r="L746" s="12" t="s">
        <v>121</v>
      </c>
      <c r="M746" s="12" t="s">
        <v>299</v>
      </c>
      <c r="N746" s="12" t="s">
        <v>546</v>
      </c>
      <c r="O746" s="12"/>
      <c r="P746" s="12"/>
      <c r="Q746" s="12"/>
    </row>
    <row r="747" spans="1:17" x14ac:dyDescent="0.25">
      <c r="A747" s="11">
        <v>200166</v>
      </c>
      <c r="B747" s="12" t="s">
        <v>2138</v>
      </c>
      <c r="C747" s="12" t="s">
        <v>1441</v>
      </c>
      <c r="D747" s="125">
        <v>20000000</v>
      </c>
      <c r="E747" s="125">
        <v>13494346.41</v>
      </c>
      <c r="F747" s="12">
        <v>48</v>
      </c>
      <c r="G747" s="12">
        <v>180</v>
      </c>
      <c r="H747" s="12">
        <v>0</v>
      </c>
      <c r="I747" s="13">
        <v>42514.770124456016</v>
      </c>
      <c r="J747" s="13">
        <v>43429</v>
      </c>
      <c r="K747" s="12" t="s">
        <v>46</v>
      </c>
      <c r="L747" s="12" t="s">
        <v>46</v>
      </c>
      <c r="M747" s="12" t="s">
        <v>26</v>
      </c>
      <c r="N747" s="12" t="s">
        <v>1925</v>
      </c>
      <c r="O747" s="12"/>
      <c r="P747" s="12"/>
      <c r="Q747" s="12"/>
    </row>
    <row r="748" spans="1:17" x14ac:dyDescent="0.25">
      <c r="A748" s="11">
        <v>200168</v>
      </c>
      <c r="B748" s="12" t="s">
        <v>2129</v>
      </c>
      <c r="C748" s="12" t="s">
        <v>1449</v>
      </c>
      <c r="D748" s="125">
        <v>25000000</v>
      </c>
      <c r="E748" s="125">
        <v>15389135.51</v>
      </c>
      <c r="F748" s="12">
        <v>48</v>
      </c>
      <c r="G748" s="12">
        <v>180</v>
      </c>
      <c r="H748" s="12">
        <v>0</v>
      </c>
      <c r="I748" s="13">
        <v>42515.69282207176</v>
      </c>
      <c r="J748" s="13">
        <v>43435</v>
      </c>
      <c r="K748" s="12" t="s">
        <v>27</v>
      </c>
      <c r="L748" s="12" t="s">
        <v>116</v>
      </c>
      <c r="M748" s="12" t="s">
        <v>1830</v>
      </c>
      <c r="N748" s="12" t="s">
        <v>1925</v>
      </c>
      <c r="O748" s="12"/>
      <c r="P748" s="12"/>
      <c r="Q748" s="12"/>
    </row>
    <row r="749" spans="1:17" x14ac:dyDescent="0.25">
      <c r="A749" s="11">
        <v>200172</v>
      </c>
      <c r="B749" s="12" t="s">
        <v>2166</v>
      </c>
      <c r="C749" s="12" t="s">
        <v>1449</v>
      </c>
      <c r="D749" s="125">
        <v>50000000</v>
      </c>
      <c r="E749" s="125">
        <v>34933347.789999999</v>
      </c>
      <c r="F749" s="12">
        <v>40</v>
      </c>
      <c r="G749" s="12">
        <v>180</v>
      </c>
      <c r="H749" s="12">
        <v>0</v>
      </c>
      <c r="I749" s="13">
        <v>42517.76865690972</v>
      </c>
      <c r="J749" s="13">
        <v>43619</v>
      </c>
      <c r="K749" s="12" t="s">
        <v>44</v>
      </c>
      <c r="L749" s="12" t="s">
        <v>92</v>
      </c>
      <c r="M749" s="12" t="s">
        <v>92</v>
      </c>
      <c r="N749" s="12" t="s">
        <v>1909</v>
      </c>
      <c r="O749" s="12"/>
      <c r="P749" s="12"/>
      <c r="Q749" s="12"/>
    </row>
    <row r="750" spans="1:17" x14ac:dyDescent="0.25">
      <c r="A750" s="11">
        <v>200174</v>
      </c>
      <c r="B750" s="12" t="s">
        <v>2174</v>
      </c>
      <c r="C750" s="12" t="s">
        <v>1441</v>
      </c>
      <c r="D750" s="125">
        <v>10000000</v>
      </c>
      <c r="E750" s="125">
        <v>3768780.6</v>
      </c>
      <c r="F750" s="12">
        <v>40</v>
      </c>
      <c r="G750" s="12">
        <v>180</v>
      </c>
      <c r="H750" s="12">
        <v>0</v>
      </c>
      <c r="I750" s="13">
        <v>42520.713327662037</v>
      </c>
      <c r="J750" s="13">
        <v>43252</v>
      </c>
      <c r="K750" s="12" t="s">
        <v>27</v>
      </c>
      <c r="L750" s="12" t="s">
        <v>81</v>
      </c>
      <c r="M750" s="12" t="s">
        <v>26</v>
      </c>
      <c r="N750" s="12" t="s">
        <v>2175</v>
      </c>
      <c r="O750" s="12"/>
      <c r="P750" s="12"/>
      <c r="Q750" s="12"/>
    </row>
    <row r="751" spans="1:17" x14ac:dyDescent="0.25">
      <c r="A751" s="11">
        <v>200177</v>
      </c>
      <c r="B751" s="12" t="s">
        <v>2194</v>
      </c>
      <c r="C751" s="12" t="s">
        <v>1449</v>
      </c>
      <c r="D751" s="125">
        <v>42000000</v>
      </c>
      <c r="E751" s="125">
        <v>32219659.550000001</v>
      </c>
      <c r="F751" s="12">
        <v>40</v>
      </c>
      <c r="G751" s="12">
        <v>180</v>
      </c>
      <c r="H751" s="12">
        <v>0</v>
      </c>
      <c r="I751" s="13">
        <v>42521.653327465276</v>
      </c>
      <c r="J751" s="13">
        <v>43800</v>
      </c>
      <c r="K751" s="12" t="s">
        <v>44</v>
      </c>
      <c r="L751" s="12" t="s">
        <v>92</v>
      </c>
      <c r="M751" s="12" t="s">
        <v>92</v>
      </c>
      <c r="N751" s="12" t="s">
        <v>491</v>
      </c>
      <c r="O751" s="12"/>
      <c r="P751" s="12"/>
      <c r="Q751" s="12"/>
    </row>
    <row r="752" spans="1:17" x14ac:dyDescent="0.25">
      <c r="A752" s="11">
        <v>200178</v>
      </c>
      <c r="B752" s="12" t="s">
        <v>2190</v>
      </c>
      <c r="C752" s="12" t="s">
        <v>1449</v>
      </c>
      <c r="D752" s="125">
        <v>15100000</v>
      </c>
      <c r="E752" s="125">
        <v>2252616.69</v>
      </c>
      <c r="F752" s="12">
        <v>48</v>
      </c>
      <c r="G752" s="12">
        <v>180</v>
      </c>
      <c r="H752" s="12">
        <v>0</v>
      </c>
      <c r="I752" s="13">
        <v>42521.717520486112</v>
      </c>
      <c r="J752" s="13">
        <v>43070</v>
      </c>
      <c r="K752" s="12" t="s">
        <v>25</v>
      </c>
      <c r="L752" s="12" t="s">
        <v>26</v>
      </c>
      <c r="M752" s="12" t="s">
        <v>26</v>
      </c>
      <c r="N752" s="12" t="s">
        <v>2034</v>
      </c>
      <c r="O752" s="12"/>
      <c r="P752" s="12"/>
      <c r="Q752" s="12"/>
    </row>
    <row r="753" spans="1:17" x14ac:dyDescent="0.25">
      <c r="A753" s="11">
        <v>200180</v>
      </c>
      <c r="B753" s="12" t="s">
        <v>2187</v>
      </c>
      <c r="C753" s="12" t="s">
        <v>1441</v>
      </c>
      <c r="D753" s="125">
        <v>31000000</v>
      </c>
      <c r="E753" s="125">
        <v>11796162.1</v>
      </c>
      <c r="F753" s="12">
        <v>40</v>
      </c>
      <c r="G753" s="12">
        <v>180</v>
      </c>
      <c r="H753" s="12">
        <v>0</v>
      </c>
      <c r="I753" s="13">
        <v>42521.676000694446</v>
      </c>
      <c r="J753" s="13">
        <v>43261</v>
      </c>
      <c r="K753" s="12" t="s">
        <v>36</v>
      </c>
      <c r="L753" s="12" t="s">
        <v>97</v>
      </c>
      <c r="M753" s="12" t="s">
        <v>1811</v>
      </c>
      <c r="N753" s="12" t="s">
        <v>1191</v>
      </c>
      <c r="O753" s="12"/>
      <c r="P753" s="12"/>
      <c r="Q753" s="12"/>
    </row>
    <row r="754" spans="1:17" x14ac:dyDescent="0.25">
      <c r="A754" s="11">
        <v>200187</v>
      </c>
      <c r="B754" s="12" t="s">
        <v>2216</v>
      </c>
      <c r="C754" s="12" t="s">
        <v>1441</v>
      </c>
      <c r="D754" s="125">
        <v>3000000</v>
      </c>
      <c r="E754" s="125">
        <v>544003.85</v>
      </c>
      <c r="F754" s="12">
        <v>54</v>
      </c>
      <c r="G754" s="12">
        <v>180</v>
      </c>
      <c r="H754" s="12">
        <v>0</v>
      </c>
      <c r="I754" s="13">
        <v>42527.615072256944</v>
      </c>
      <c r="J754" s="13">
        <v>42892</v>
      </c>
      <c r="K754" s="12" t="s">
        <v>25</v>
      </c>
      <c r="L754" s="12" t="s">
        <v>88</v>
      </c>
      <c r="M754" s="12" t="s">
        <v>26</v>
      </c>
      <c r="N754" s="12" t="s">
        <v>1925</v>
      </c>
      <c r="O754" s="12"/>
      <c r="P754" s="12"/>
      <c r="Q754" s="12"/>
    </row>
    <row r="755" spans="1:17" x14ac:dyDescent="0.25">
      <c r="A755" s="11">
        <v>200189</v>
      </c>
      <c r="B755" s="12" t="s">
        <v>2227</v>
      </c>
      <c r="C755" s="12" t="s">
        <v>1441</v>
      </c>
      <c r="D755" s="125">
        <v>6000000</v>
      </c>
      <c r="E755" s="125">
        <v>622995.24</v>
      </c>
      <c r="F755" s="12">
        <v>50</v>
      </c>
      <c r="G755" s="12">
        <v>180</v>
      </c>
      <c r="H755" s="12">
        <v>0</v>
      </c>
      <c r="I755" s="13">
        <v>42529.505429247685</v>
      </c>
      <c r="J755" s="13">
        <v>42898</v>
      </c>
      <c r="K755" s="12" t="s">
        <v>35</v>
      </c>
      <c r="L755" s="12" t="s">
        <v>121</v>
      </c>
      <c r="M755" s="12" t="s">
        <v>26</v>
      </c>
      <c r="N755" s="12" t="s">
        <v>1667</v>
      </c>
      <c r="O755" s="12"/>
      <c r="P755" s="12"/>
      <c r="Q755" s="12"/>
    </row>
    <row r="756" spans="1:17" x14ac:dyDescent="0.25">
      <c r="A756" s="11">
        <v>200190</v>
      </c>
      <c r="B756" s="12" t="s">
        <v>2226</v>
      </c>
      <c r="C756" s="12" t="s">
        <v>1441</v>
      </c>
      <c r="D756" s="125">
        <v>50000000</v>
      </c>
      <c r="E756" s="125">
        <v>3625835.83</v>
      </c>
      <c r="F756" s="12">
        <v>40</v>
      </c>
      <c r="G756" s="12">
        <v>180</v>
      </c>
      <c r="H756" s="12">
        <v>0</v>
      </c>
      <c r="I756" s="13">
        <v>42529.687446875003</v>
      </c>
      <c r="J756" s="13">
        <v>43079</v>
      </c>
      <c r="K756" s="12" t="s">
        <v>25</v>
      </c>
      <c r="L756" s="12" t="s">
        <v>88</v>
      </c>
      <c r="M756" s="12" t="s">
        <v>285</v>
      </c>
      <c r="N756" s="12" t="s">
        <v>1925</v>
      </c>
      <c r="O756" s="12"/>
      <c r="P756" s="12"/>
      <c r="Q756" s="12"/>
    </row>
    <row r="757" spans="1:17" x14ac:dyDescent="0.25">
      <c r="A757" s="11">
        <v>200194</v>
      </c>
      <c r="B757" s="12" t="s">
        <v>2247</v>
      </c>
      <c r="C757" s="12" t="s">
        <v>1449</v>
      </c>
      <c r="D757" s="125">
        <v>46000000</v>
      </c>
      <c r="E757" s="125">
        <v>33044254.620000001</v>
      </c>
      <c r="F757" s="12">
        <v>40</v>
      </c>
      <c r="G757" s="12">
        <v>180</v>
      </c>
      <c r="H757" s="12">
        <v>0</v>
      </c>
      <c r="I757" s="13">
        <v>42532.504003240741</v>
      </c>
      <c r="J757" s="13">
        <v>43627</v>
      </c>
      <c r="K757" s="12" t="s">
        <v>27</v>
      </c>
      <c r="L757" s="12" t="s">
        <v>81</v>
      </c>
      <c r="M757" s="12" t="s">
        <v>1685</v>
      </c>
      <c r="N757" s="12" t="s">
        <v>1925</v>
      </c>
      <c r="O757" s="12"/>
      <c r="P757" s="12"/>
      <c r="Q757" s="12"/>
    </row>
    <row r="758" spans="1:17" x14ac:dyDescent="0.25">
      <c r="A758" s="11">
        <v>200199</v>
      </c>
      <c r="B758" s="12" t="s">
        <v>2259</v>
      </c>
      <c r="C758" s="12" t="s">
        <v>1441</v>
      </c>
      <c r="D758" s="125">
        <v>8000000</v>
      </c>
      <c r="E758" s="125">
        <v>3252159.47</v>
      </c>
      <c r="F758" s="12">
        <v>54</v>
      </c>
      <c r="G758" s="12">
        <v>180</v>
      </c>
      <c r="H758" s="12">
        <v>0</v>
      </c>
      <c r="I758" s="13">
        <v>42536.539414733794</v>
      </c>
      <c r="J758" s="13">
        <v>43266</v>
      </c>
      <c r="K758" s="12" t="s">
        <v>44</v>
      </c>
      <c r="L758" s="12" t="s">
        <v>75</v>
      </c>
      <c r="M758" s="12" t="s">
        <v>26</v>
      </c>
      <c r="N758" s="12" t="s">
        <v>1909</v>
      </c>
      <c r="O758" s="12"/>
      <c r="P758" s="12"/>
      <c r="Q758" s="12"/>
    </row>
    <row r="759" spans="1:17" x14ac:dyDescent="0.25">
      <c r="A759" s="11">
        <v>200201</v>
      </c>
      <c r="B759" s="12" t="s">
        <v>2256</v>
      </c>
      <c r="C759" s="12" t="s">
        <v>1441</v>
      </c>
      <c r="D759" s="125">
        <v>46000000</v>
      </c>
      <c r="E759" s="125">
        <v>21578331.32</v>
      </c>
      <c r="F759" s="12">
        <v>40</v>
      </c>
      <c r="G759" s="12">
        <v>180</v>
      </c>
      <c r="H759" s="12">
        <v>0</v>
      </c>
      <c r="I759" s="13">
        <v>42536.680900578707</v>
      </c>
      <c r="J759" s="13">
        <v>43266</v>
      </c>
      <c r="K759" s="12" t="s">
        <v>31</v>
      </c>
      <c r="L759" s="12" t="s">
        <v>293</v>
      </c>
      <c r="M759" s="12" t="s">
        <v>26</v>
      </c>
      <c r="N759" s="12" t="s">
        <v>963</v>
      </c>
      <c r="O759" s="12"/>
      <c r="P759" s="12"/>
      <c r="Q759" s="12"/>
    </row>
    <row r="760" spans="1:17" x14ac:dyDescent="0.25">
      <c r="A760" s="11">
        <v>200202</v>
      </c>
      <c r="B760" s="12" t="s">
        <v>2257</v>
      </c>
      <c r="C760" s="12" t="s">
        <v>1449</v>
      </c>
      <c r="D760" s="125">
        <v>15100000</v>
      </c>
      <c r="E760" s="125">
        <v>2249732.4500000002</v>
      </c>
      <c r="F760" s="12">
        <v>48</v>
      </c>
      <c r="G760" s="12">
        <v>180</v>
      </c>
      <c r="H760" s="12">
        <v>0</v>
      </c>
      <c r="I760" s="13">
        <v>42536.693507407406</v>
      </c>
      <c r="J760" s="13">
        <v>43084</v>
      </c>
      <c r="K760" s="12" t="s">
        <v>25</v>
      </c>
      <c r="L760" s="12" t="s">
        <v>88</v>
      </c>
      <c r="M760" s="12" t="s">
        <v>285</v>
      </c>
      <c r="N760" s="12" t="s">
        <v>1191</v>
      </c>
      <c r="O760" s="12"/>
      <c r="P760" s="12"/>
      <c r="Q760" s="12"/>
    </row>
    <row r="761" spans="1:17" x14ac:dyDescent="0.25">
      <c r="A761" s="11">
        <v>200223</v>
      </c>
      <c r="B761" s="12" t="s">
        <v>2338</v>
      </c>
      <c r="C761" s="12" t="s">
        <v>1441</v>
      </c>
      <c r="D761" s="125">
        <v>8000000</v>
      </c>
      <c r="E761" s="125">
        <v>826253.68</v>
      </c>
      <c r="F761" s="12">
        <v>50</v>
      </c>
      <c r="G761" s="12">
        <v>180</v>
      </c>
      <c r="H761" s="12">
        <v>0</v>
      </c>
      <c r="I761" s="13">
        <v>42545.78184560185</v>
      </c>
      <c r="J761" s="13">
        <v>42910</v>
      </c>
      <c r="K761" s="12" t="s">
        <v>25</v>
      </c>
      <c r="L761" s="12" t="s">
        <v>290</v>
      </c>
      <c r="M761" s="12" t="s">
        <v>1824</v>
      </c>
      <c r="N761" s="12" t="s">
        <v>5724</v>
      </c>
      <c r="O761" s="12"/>
      <c r="P761" s="12"/>
      <c r="Q761" s="12"/>
    </row>
    <row r="762" spans="1:17" x14ac:dyDescent="0.25">
      <c r="A762" s="11">
        <v>200225</v>
      </c>
      <c r="B762" s="12" t="s">
        <v>2343</v>
      </c>
      <c r="C762" s="12" t="s">
        <v>1449</v>
      </c>
      <c r="D762" s="125">
        <v>40000000</v>
      </c>
      <c r="E762" s="125">
        <v>28736718.07</v>
      </c>
      <c r="F762" s="12">
        <v>40</v>
      </c>
      <c r="G762" s="12">
        <v>180</v>
      </c>
      <c r="H762" s="12">
        <v>0</v>
      </c>
      <c r="I762" s="13">
        <v>42546.556387418983</v>
      </c>
      <c r="J762" s="13">
        <v>43647</v>
      </c>
      <c r="K762" s="12" t="s">
        <v>45</v>
      </c>
      <c r="L762" s="12" t="s">
        <v>45</v>
      </c>
      <c r="M762" s="12" t="s">
        <v>89</v>
      </c>
      <c r="N762" s="12" t="s">
        <v>1925</v>
      </c>
      <c r="O762" s="12"/>
      <c r="P762" s="12"/>
      <c r="Q762" s="12"/>
    </row>
    <row r="763" spans="1:17" x14ac:dyDescent="0.25">
      <c r="A763" s="11">
        <v>200226</v>
      </c>
      <c r="B763" s="12" t="s">
        <v>2347</v>
      </c>
      <c r="C763" s="12" t="s">
        <v>1449</v>
      </c>
      <c r="D763" s="125">
        <v>46000000</v>
      </c>
      <c r="E763" s="125">
        <v>33221911.890000001</v>
      </c>
      <c r="F763" s="12">
        <v>40</v>
      </c>
      <c r="G763" s="12">
        <v>180</v>
      </c>
      <c r="H763" s="12">
        <v>0</v>
      </c>
      <c r="I763" s="13">
        <v>42548.554626041667</v>
      </c>
      <c r="J763" s="13">
        <v>43648</v>
      </c>
      <c r="K763" s="12" t="s">
        <v>29</v>
      </c>
      <c r="L763" s="12" t="s">
        <v>96</v>
      </c>
      <c r="M763" s="12" t="s">
        <v>96</v>
      </c>
      <c r="N763" s="12" t="s">
        <v>491</v>
      </c>
      <c r="O763" s="12"/>
      <c r="P763" s="12"/>
      <c r="Q763" s="12"/>
    </row>
    <row r="764" spans="1:17" x14ac:dyDescent="0.25">
      <c r="A764" s="11">
        <v>200228</v>
      </c>
      <c r="B764" s="12" t="s">
        <v>2348</v>
      </c>
      <c r="C764" s="12" t="s">
        <v>1441</v>
      </c>
      <c r="D764" s="125">
        <v>15000000</v>
      </c>
      <c r="E764" s="125">
        <v>2336562.5299999998</v>
      </c>
      <c r="F764" s="12">
        <v>54</v>
      </c>
      <c r="G764" s="12">
        <v>180</v>
      </c>
      <c r="H764" s="12">
        <v>0</v>
      </c>
      <c r="I764" s="13">
        <v>42548.781287534723</v>
      </c>
      <c r="J764" s="13">
        <v>43105</v>
      </c>
      <c r="K764" s="12" t="s">
        <v>37</v>
      </c>
      <c r="L764" s="12" t="s">
        <v>288</v>
      </c>
      <c r="M764" s="12" t="s">
        <v>26</v>
      </c>
      <c r="N764" s="12" t="s">
        <v>90</v>
      </c>
      <c r="O764" s="12"/>
      <c r="P764" s="12"/>
      <c r="Q764" s="12"/>
    </row>
    <row r="765" spans="1:17" x14ac:dyDescent="0.25">
      <c r="A765" s="11">
        <v>200230</v>
      </c>
      <c r="B765" s="12" t="s">
        <v>2360</v>
      </c>
      <c r="C765" s="12" t="s">
        <v>1441</v>
      </c>
      <c r="D765" s="125">
        <v>35000000</v>
      </c>
      <c r="E765" s="125">
        <v>15076885.18</v>
      </c>
      <c r="F765" s="12">
        <v>40</v>
      </c>
      <c r="G765" s="12">
        <v>180</v>
      </c>
      <c r="H765" s="12">
        <v>0</v>
      </c>
      <c r="I765" s="13">
        <v>42549.590748263887</v>
      </c>
      <c r="J765" s="13">
        <v>43286</v>
      </c>
      <c r="K765" s="12" t="s">
        <v>37</v>
      </c>
      <c r="L765" s="12" t="s">
        <v>38</v>
      </c>
      <c r="M765" s="12" t="s">
        <v>26</v>
      </c>
      <c r="N765" s="12" t="s">
        <v>1448</v>
      </c>
      <c r="O765" s="12"/>
      <c r="P765" s="12"/>
      <c r="Q765" s="12"/>
    </row>
    <row r="766" spans="1:17" x14ac:dyDescent="0.25">
      <c r="A766" s="11">
        <v>200245</v>
      </c>
      <c r="B766" s="12" t="s">
        <v>2388</v>
      </c>
      <c r="C766" s="12" t="s">
        <v>82</v>
      </c>
      <c r="D766" s="125">
        <v>12000000</v>
      </c>
      <c r="E766" s="125">
        <v>5499556.2400000002</v>
      </c>
      <c r="F766" s="12">
        <v>54</v>
      </c>
      <c r="G766" s="12">
        <v>180</v>
      </c>
      <c r="H766" s="12">
        <v>0</v>
      </c>
      <c r="I766" s="13">
        <v>42551.709169907408</v>
      </c>
      <c r="J766" s="13">
        <v>43286</v>
      </c>
      <c r="K766" s="12" t="s">
        <v>25</v>
      </c>
      <c r="L766" s="12" t="s">
        <v>290</v>
      </c>
      <c r="M766" s="12" t="s">
        <v>1822</v>
      </c>
      <c r="N766" s="12" t="s">
        <v>1447</v>
      </c>
      <c r="O766" s="12"/>
      <c r="P766" s="12"/>
      <c r="Q766" s="12"/>
    </row>
    <row r="767" spans="1:17" x14ac:dyDescent="0.25">
      <c r="A767" s="11">
        <v>200246</v>
      </c>
      <c r="B767" s="12" t="s">
        <v>2384</v>
      </c>
      <c r="C767" s="12" t="s">
        <v>1449</v>
      </c>
      <c r="D767" s="125">
        <v>30100000</v>
      </c>
      <c r="E767" s="125">
        <v>14134916.619999999</v>
      </c>
      <c r="F767" s="12">
        <v>40</v>
      </c>
      <c r="G767" s="12">
        <v>180</v>
      </c>
      <c r="H767" s="12">
        <v>0</v>
      </c>
      <c r="I767" s="13">
        <v>42551.717535648146</v>
      </c>
      <c r="J767" s="13">
        <v>43282</v>
      </c>
      <c r="K767" s="12" t="s">
        <v>25</v>
      </c>
      <c r="L767" s="12" t="s">
        <v>88</v>
      </c>
      <c r="M767" s="12" t="s">
        <v>26</v>
      </c>
      <c r="N767" s="12" t="s">
        <v>2855</v>
      </c>
      <c r="O767" s="12"/>
      <c r="P767" s="12"/>
      <c r="Q767" s="12"/>
    </row>
    <row r="768" spans="1:17" x14ac:dyDescent="0.25">
      <c r="A768" s="11">
        <v>200261</v>
      </c>
      <c r="B768" s="12" t="s">
        <v>2456</v>
      </c>
      <c r="C768" s="12" t="s">
        <v>1441</v>
      </c>
      <c r="D768" s="125">
        <v>15000000</v>
      </c>
      <c r="E768" s="125">
        <v>7697640.4299999997</v>
      </c>
      <c r="F768" s="12">
        <v>40</v>
      </c>
      <c r="G768" s="12">
        <v>180</v>
      </c>
      <c r="H768" s="12">
        <v>0</v>
      </c>
      <c r="I768" s="13">
        <v>42562.47607207176</v>
      </c>
      <c r="J768" s="13">
        <v>43292</v>
      </c>
      <c r="K768" s="12" t="s">
        <v>44</v>
      </c>
      <c r="L768" s="12" t="s">
        <v>75</v>
      </c>
      <c r="M768" s="12" t="s">
        <v>26</v>
      </c>
      <c r="N768" s="12" t="s">
        <v>2855</v>
      </c>
      <c r="O768" s="12"/>
      <c r="P768" s="12"/>
      <c r="Q768" s="12"/>
    </row>
    <row r="769" spans="1:17" x14ac:dyDescent="0.25">
      <c r="A769" s="11">
        <v>200263</v>
      </c>
      <c r="B769" s="12" t="s">
        <v>2462</v>
      </c>
      <c r="C769" s="12" t="s">
        <v>1449</v>
      </c>
      <c r="D769" s="125">
        <v>20000000</v>
      </c>
      <c r="E769" s="125">
        <v>13409280.34</v>
      </c>
      <c r="F769" s="12">
        <v>48</v>
      </c>
      <c r="G769" s="12">
        <v>180</v>
      </c>
      <c r="H769" s="12">
        <v>0</v>
      </c>
      <c r="I769" s="13">
        <v>42562.642518287037</v>
      </c>
      <c r="J769" s="13">
        <v>43476</v>
      </c>
      <c r="K769" s="12" t="s">
        <v>25</v>
      </c>
      <c r="L769" s="12" t="s">
        <v>295</v>
      </c>
      <c r="M769" s="12" t="s">
        <v>26</v>
      </c>
      <c r="N769" s="12" t="s">
        <v>2861</v>
      </c>
      <c r="O769" s="12"/>
      <c r="P769" s="12"/>
      <c r="Q769" s="12"/>
    </row>
    <row r="770" spans="1:17" x14ac:dyDescent="0.25">
      <c r="A770" s="11">
        <v>200266</v>
      </c>
      <c r="B770" s="12" t="s">
        <v>2465</v>
      </c>
      <c r="C770" s="12" t="s">
        <v>1441</v>
      </c>
      <c r="D770" s="125">
        <v>25000000</v>
      </c>
      <c r="E770" s="125">
        <v>15447617.51</v>
      </c>
      <c r="F770" s="12">
        <v>48</v>
      </c>
      <c r="G770" s="12">
        <v>180</v>
      </c>
      <c r="H770" s="12">
        <v>0</v>
      </c>
      <c r="I770" s="13">
        <v>42564.411534606479</v>
      </c>
      <c r="J770" s="13">
        <v>43297</v>
      </c>
      <c r="K770" s="12" t="s">
        <v>25</v>
      </c>
      <c r="L770" s="12" t="s">
        <v>26</v>
      </c>
      <c r="M770" s="12" t="s">
        <v>26</v>
      </c>
      <c r="N770" s="12" t="s">
        <v>2861</v>
      </c>
      <c r="O770" s="12"/>
      <c r="P770" s="12"/>
      <c r="Q770" s="12"/>
    </row>
    <row r="771" spans="1:17" x14ac:dyDescent="0.25">
      <c r="A771" s="11">
        <v>200271</v>
      </c>
      <c r="B771" s="12" t="s">
        <v>2477</v>
      </c>
      <c r="C771" s="12" t="s">
        <v>1449</v>
      </c>
      <c r="D771" s="125">
        <v>15000000</v>
      </c>
      <c r="E771" s="125">
        <v>4944804.82</v>
      </c>
      <c r="F771" s="12">
        <v>54</v>
      </c>
      <c r="G771" s="12">
        <v>180</v>
      </c>
      <c r="H771" s="12">
        <v>0</v>
      </c>
      <c r="I771" s="13">
        <v>42565.47078773148</v>
      </c>
      <c r="J771" s="13">
        <v>43114</v>
      </c>
      <c r="K771" s="12" t="s">
        <v>25</v>
      </c>
      <c r="L771" s="12" t="s">
        <v>106</v>
      </c>
      <c r="M771" s="12" t="s">
        <v>107</v>
      </c>
      <c r="N771" s="12" t="s">
        <v>90</v>
      </c>
      <c r="O771" s="12"/>
      <c r="P771" s="12"/>
      <c r="Q771" s="12"/>
    </row>
    <row r="772" spans="1:17" x14ac:dyDescent="0.25">
      <c r="A772" s="11">
        <v>200276</v>
      </c>
      <c r="B772" s="12" t="s">
        <v>2483</v>
      </c>
      <c r="C772" s="12" t="s">
        <v>82</v>
      </c>
      <c r="D772" s="125">
        <v>2519238</v>
      </c>
      <c r="E772" s="125">
        <v>1201566.93</v>
      </c>
      <c r="F772" s="12">
        <v>25</v>
      </c>
      <c r="G772" s="12">
        <v>180</v>
      </c>
      <c r="H772" s="12">
        <v>0</v>
      </c>
      <c r="I772" s="13">
        <v>42567.557909340278</v>
      </c>
      <c r="J772" s="13">
        <v>43394</v>
      </c>
      <c r="K772" s="12" t="s">
        <v>43</v>
      </c>
      <c r="L772" s="12" t="s">
        <v>338</v>
      </c>
      <c r="M772" s="12" t="s">
        <v>26</v>
      </c>
      <c r="N772" s="12" t="s">
        <v>284</v>
      </c>
      <c r="O772" s="12"/>
      <c r="P772" s="12"/>
      <c r="Q772" s="12"/>
    </row>
    <row r="773" spans="1:17" x14ac:dyDescent="0.25">
      <c r="A773" s="11">
        <v>200284</v>
      </c>
      <c r="B773" s="12" t="s">
        <v>2492</v>
      </c>
      <c r="C773" s="12" t="s">
        <v>1449</v>
      </c>
      <c r="D773" s="125">
        <v>8000000</v>
      </c>
      <c r="E773" s="125">
        <v>1249144.06</v>
      </c>
      <c r="F773" s="12">
        <v>54</v>
      </c>
      <c r="G773" s="12">
        <v>180</v>
      </c>
      <c r="H773" s="12">
        <v>0</v>
      </c>
      <c r="I773" s="13">
        <v>42570.665408020832</v>
      </c>
      <c r="J773" s="13">
        <v>43119</v>
      </c>
      <c r="K773" s="12" t="s">
        <v>37</v>
      </c>
      <c r="L773" s="12" t="s">
        <v>288</v>
      </c>
      <c r="M773" s="12" t="s">
        <v>1313</v>
      </c>
      <c r="N773" s="12" t="s">
        <v>1447</v>
      </c>
      <c r="O773" s="12"/>
      <c r="P773" s="12"/>
      <c r="Q773" s="12"/>
    </row>
    <row r="774" spans="1:17" x14ac:dyDescent="0.25">
      <c r="A774" s="11">
        <v>200290</v>
      </c>
      <c r="B774" s="12" t="s">
        <v>2518</v>
      </c>
      <c r="C774" s="12" t="s">
        <v>1449</v>
      </c>
      <c r="D774" s="125">
        <v>10000000</v>
      </c>
      <c r="E774" s="125">
        <v>1540023.76</v>
      </c>
      <c r="F774" s="12">
        <v>54</v>
      </c>
      <c r="G774" s="12">
        <v>180</v>
      </c>
      <c r="H774" s="12">
        <v>0</v>
      </c>
      <c r="I774" s="13">
        <v>42573.54057109954</v>
      </c>
      <c r="J774" s="13">
        <v>43122</v>
      </c>
      <c r="K774" s="12" t="s">
        <v>37</v>
      </c>
      <c r="L774" s="12" t="s">
        <v>38</v>
      </c>
      <c r="M774" s="12" t="s">
        <v>39</v>
      </c>
      <c r="N774" s="12" t="s">
        <v>1667</v>
      </c>
      <c r="O774" s="12"/>
      <c r="P774" s="12"/>
      <c r="Q774" s="12"/>
    </row>
    <row r="775" spans="1:17" x14ac:dyDescent="0.25">
      <c r="A775" s="11">
        <v>200295</v>
      </c>
      <c r="B775" s="12" t="s">
        <v>2527</v>
      </c>
      <c r="C775" s="12" t="s">
        <v>80</v>
      </c>
      <c r="D775" s="125">
        <v>5000000</v>
      </c>
      <c r="E775" s="125">
        <v>1265329.6499999999</v>
      </c>
      <c r="F775" s="12">
        <v>54</v>
      </c>
      <c r="G775" s="12">
        <v>180</v>
      </c>
      <c r="H775" s="12">
        <v>0</v>
      </c>
      <c r="I775" s="13">
        <v>42574.554366087963</v>
      </c>
      <c r="J775" s="13">
        <v>42939</v>
      </c>
      <c r="K775" s="12" t="s">
        <v>27</v>
      </c>
      <c r="L775" s="12" t="s">
        <v>116</v>
      </c>
      <c r="M775" s="12" t="s">
        <v>26</v>
      </c>
      <c r="N775" s="12" t="s">
        <v>2175</v>
      </c>
      <c r="O775" s="12"/>
      <c r="P775" s="12"/>
      <c r="Q775" s="12"/>
    </row>
    <row r="776" spans="1:17" x14ac:dyDescent="0.25">
      <c r="A776" s="11">
        <v>200299</v>
      </c>
      <c r="B776" s="12" t="s">
        <v>2541</v>
      </c>
      <c r="C776" s="12" t="s">
        <v>1441</v>
      </c>
      <c r="D776" s="125">
        <v>16000000</v>
      </c>
      <c r="E776" s="125">
        <v>8566048</v>
      </c>
      <c r="F776" s="12">
        <v>48</v>
      </c>
      <c r="G776" s="12">
        <v>180</v>
      </c>
      <c r="H776" s="12">
        <v>0</v>
      </c>
      <c r="I776" s="13">
        <v>42577.563691782409</v>
      </c>
      <c r="J776" s="13">
        <v>43313</v>
      </c>
      <c r="K776" s="12" t="s">
        <v>44</v>
      </c>
      <c r="L776" s="12" t="s">
        <v>75</v>
      </c>
      <c r="M776" s="12" t="s">
        <v>26</v>
      </c>
      <c r="N776" s="12" t="s">
        <v>1667</v>
      </c>
      <c r="O776" s="12"/>
      <c r="P776" s="12"/>
      <c r="Q776" s="12"/>
    </row>
    <row r="777" spans="1:17" x14ac:dyDescent="0.25">
      <c r="A777" s="11">
        <v>200300</v>
      </c>
      <c r="B777" s="12" t="s">
        <v>2553</v>
      </c>
      <c r="C777" s="12" t="s">
        <v>80</v>
      </c>
      <c r="D777" s="125">
        <v>30000000</v>
      </c>
      <c r="E777" s="125">
        <v>17027218.030000001</v>
      </c>
      <c r="F777" s="12">
        <v>48</v>
      </c>
      <c r="G777" s="12">
        <v>180</v>
      </c>
      <c r="H777" s="12">
        <v>0</v>
      </c>
      <c r="I777" s="13">
        <v>42578.591155208334</v>
      </c>
      <c r="J777" s="13">
        <v>43313</v>
      </c>
      <c r="K777" s="12" t="s">
        <v>37</v>
      </c>
      <c r="L777" s="12" t="s">
        <v>288</v>
      </c>
      <c r="M777" s="12" t="s">
        <v>26</v>
      </c>
      <c r="N777" s="12" t="s">
        <v>5167</v>
      </c>
      <c r="O777" s="12"/>
      <c r="P777" s="12"/>
      <c r="Q777" s="12"/>
    </row>
    <row r="778" spans="1:17" x14ac:dyDescent="0.25">
      <c r="A778" s="11">
        <v>200303</v>
      </c>
      <c r="B778" s="12" t="s">
        <v>2554</v>
      </c>
      <c r="C778" s="12" t="s">
        <v>1449</v>
      </c>
      <c r="D778" s="125">
        <v>20000000</v>
      </c>
      <c r="E778" s="125">
        <v>15363874.67</v>
      </c>
      <c r="F778" s="12">
        <v>48</v>
      </c>
      <c r="G778" s="12">
        <v>180</v>
      </c>
      <c r="H778" s="12">
        <v>0</v>
      </c>
      <c r="I778" s="13">
        <v>42578.467473032404</v>
      </c>
      <c r="J778" s="13">
        <v>43678</v>
      </c>
      <c r="K778" s="12" t="s">
        <v>25</v>
      </c>
      <c r="L778" s="12" t="s">
        <v>88</v>
      </c>
      <c r="M778" s="12" t="s">
        <v>285</v>
      </c>
      <c r="N778" s="12" t="s">
        <v>1448</v>
      </c>
      <c r="O778" s="12"/>
      <c r="P778" s="12"/>
      <c r="Q778" s="12"/>
    </row>
    <row r="779" spans="1:17" x14ac:dyDescent="0.25">
      <c r="A779" s="11">
        <v>200309</v>
      </c>
      <c r="B779" s="12" t="s">
        <v>2574</v>
      </c>
      <c r="C779" s="12" t="s">
        <v>1449</v>
      </c>
      <c r="D779" s="125">
        <v>20000000</v>
      </c>
      <c r="E779" s="125">
        <v>5756806.8799999999</v>
      </c>
      <c r="F779" s="12">
        <v>48</v>
      </c>
      <c r="G779" s="12">
        <v>180</v>
      </c>
      <c r="H779" s="12">
        <v>0</v>
      </c>
      <c r="I779" s="13">
        <v>42579.655403969904</v>
      </c>
      <c r="J779" s="13">
        <v>43132</v>
      </c>
      <c r="K779" s="12" t="s">
        <v>37</v>
      </c>
      <c r="L779" s="12" t="s">
        <v>38</v>
      </c>
      <c r="M779" s="12" t="s">
        <v>39</v>
      </c>
      <c r="N779" s="12" t="s">
        <v>2494</v>
      </c>
      <c r="O779" s="12"/>
      <c r="P779" s="12"/>
      <c r="Q779" s="12"/>
    </row>
    <row r="780" spans="1:17" x14ac:dyDescent="0.25">
      <c r="A780" s="11">
        <v>200310</v>
      </c>
      <c r="B780" s="12" t="s">
        <v>2591</v>
      </c>
      <c r="C780" s="12" t="s">
        <v>1449</v>
      </c>
      <c r="D780" s="125">
        <v>35000000</v>
      </c>
      <c r="E780" s="125">
        <v>7323820.7699999996</v>
      </c>
      <c r="F780" s="12">
        <v>40</v>
      </c>
      <c r="G780" s="12">
        <v>180</v>
      </c>
      <c r="H780" s="12">
        <v>0</v>
      </c>
      <c r="I780" s="13">
        <v>42580.434455358794</v>
      </c>
      <c r="J780" s="13">
        <v>43125</v>
      </c>
      <c r="K780" s="12" t="s">
        <v>37</v>
      </c>
      <c r="L780" s="12" t="s">
        <v>38</v>
      </c>
      <c r="M780" s="12" t="s">
        <v>39</v>
      </c>
      <c r="N780" s="12" t="s">
        <v>1191</v>
      </c>
      <c r="O780" s="12"/>
      <c r="P780" s="12"/>
      <c r="Q780" s="12"/>
    </row>
    <row r="781" spans="1:17" x14ac:dyDescent="0.25">
      <c r="A781" s="11">
        <v>200313</v>
      </c>
      <c r="B781" s="12" t="s">
        <v>2585</v>
      </c>
      <c r="C781" s="12" t="s">
        <v>1449</v>
      </c>
      <c r="D781" s="125">
        <v>25000000</v>
      </c>
      <c r="E781" s="125">
        <v>14456376.6</v>
      </c>
      <c r="F781" s="12">
        <v>48</v>
      </c>
      <c r="G781" s="12">
        <v>180</v>
      </c>
      <c r="H781" s="12">
        <v>0</v>
      </c>
      <c r="I781" s="13">
        <v>42580.507581331018</v>
      </c>
      <c r="J781" s="13">
        <v>43316</v>
      </c>
      <c r="K781" s="12" t="s">
        <v>31</v>
      </c>
      <c r="L781" s="12" t="s">
        <v>2586</v>
      </c>
      <c r="M781" s="12" t="s">
        <v>1816</v>
      </c>
      <c r="N781" s="12" t="s">
        <v>963</v>
      </c>
      <c r="O781" s="12"/>
      <c r="P781" s="12"/>
      <c r="Q781" s="12"/>
    </row>
    <row r="782" spans="1:17" x14ac:dyDescent="0.25">
      <c r="A782" s="11">
        <v>200315</v>
      </c>
      <c r="B782" s="12" t="s">
        <v>2590</v>
      </c>
      <c r="C782" s="12" t="s">
        <v>80</v>
      </c>
      <c r="D782" s="125">
        <v>7500000</v>
      </c>
      <c r="E782" s="125">
        <v>1016516.93</v>
      </c>
      <c r="F782" s="12">
        <v>40</v>
      </c>
      <c r="G782" s="12">
        <v>180</v>
      </c>
      <c r="H782" s="12">
        <v>0</v>
      </c>
      <c r="I782" s="13">
        <v>42580.643223148145</v>
      </c>
      <c r="J782" s="13">
        <v>42949</v>
      </c>
      <c r="K782" s="12" t="s">
        <v>27</v>
      </c>
      <c r="L782" s="12" t="s">
        <v>116</v>
      </c>
      <c r="M782" s="12" t="s">
        <v>26</v>
      </c>
      <c r="N782" s="12" t="s">
        <v>2175</v>
      </c>
      <c r="O782" s="12"/>
      <c r="P782" s="12"/>
      <c r="Q782" s="12"/>
    </row>
    <row r="783" spans="1:17" x14ac:dyDescent="0.25">
      <c r="A783" s="11">
        <v>200318</v>
      </c>
      <c r="B783" s="12" t="s">
        <v>2589</v>
      </c>
      <c r="C783" s="12" t="s">
        <v>1449</v>
      </c>
      <c r="D783" s="125">
        <v>20000000</v>
      </c>
      <c r="E783" s="125">
        <v>12342311.060000001</v>
      </c>
      <c r="F783" s="12">
        <v>48</v>
      </c>
      <c r="G783" s="12">
        <v>180</v>
      </c>
      <c r="H783" s="12">
        <v>0</v>
      </c>
      <c r="I783" s="13">
        <v>42580.683190312498</v>
      </c>
      <c r="J783" s="13">
        <v>43313</v>
      </c>
      <c r="K783" s="12" t="s">
        <v>27</v>
      </c>
      <c r="L783" s="12" t="s">
        <v>116</v>
      </c>
      <c r="M783" s="12" t="s">
        <v>26</v>
      </c>
      <c r="N783" s="12" t="s">
        <v>5725</v>
      </c>
      <c r="O783" s="12"/>
      <c r="P783" s="12"/>
      <c r="Q783" s="12"/>
    </row>
    <row r="784" spans="1:17" x14ac:dyDescent="0.25">
      <c r="A784" s="11">
        <v>200319</v>
      </c>
      <c r="B784" s="12" t="s">
        <v>2587</v>
      </c>
      <c r="C784" s="12" t="s">
        <v>1441</v>
      </c>
      <c r="D784" s="125">
        <v>16000000</v>
      </c>
      <c r="E784" s="125">
        <v>9116685.1999999993</v>
      </c>
      <c r="F784" s="12">
        <v>48</v>
      </c>
      <c r="G784" s="12">
        <v>180</v>
      </c>
      <c r="H784" s="12">
        <v>0</v>
      </c>
      <c r="I784" s="13">
        <v>42580.722208831015</v>
      </c>
      <c r="J784" s="13">
        <v>43313</v>
      </c>
      <c r="K784" s="12" t="s">
        <v>27</v>
      </c>
      <c r="L784" s="12" t="s">
        <v>81</v>
      </c>
      <c r="M784" s="12" t="s">
        <v>26</v>
      </c>
      <c r="N784" s="12" t="s">
        <v>2861</v>
      </c>
      <c r="O784" s="12"/>
      <c r="P784" s="12"/>
      <c r="Q784" s="12"/>
    </row>
    <row r="785" spans="1:17" x14ac:dyDescent="0.25">
      <c r="A785" s="11">
        <v>200322</v>
      </c>
      <c r="B785" s="12" t="s">
        <v>2612</v>
      </c>
      <c r="C785" s="12" t="s">
        <v>1441</v>
      </c>
      <c r="D785" s="125">
        <v>16000000</v>
      </c>
      <c r="E785" s="125">
        <v>3511915.43</v>
      </c>
      <c r="F785" s="12">
        <v>48</v>
      </c>
      <c r="G785" s="12">
        <v>180</v>
      </c>
      <c r="H785" s="12">
        <v>0</v>
      </c>
      <c r="I785" s="13">
        <v>42581.528302743056</v>
      </c>
      <c r="J785" s="13">
        <v>43132</v>
      </c>
      <c r="K785" s="12" t="s">
        <v>25</v>
      </c>
      <c r="L785" s="12" t="s">
        <v>106</v>
      </c>
      <c r="M785" s="12" t="s">
        <v>26</v>
      </c>
      <c r="N785" s="12" t="s">
        <v>1925</v>
      </c>
      <c r="O785" s="12"/>
      <c r="P785" s="12"/>
      <c r="Q785" s="12"/>
    </row>
    <row r="786" spans="1:17" x14ac:dyDescent="0.25">
      <c r="A786" s="11">
        <v>200331</v>
      </c>
      <c r="B786" s="12" t="s">
        <v>2611</v>
      </c>
      <c r="C786" s="12" t="s">
        <v>80</v>
      </c>
      <c r="D786" s="125">
        <v>25000000</v>
      </c>
      <c r="E786" s="125">
        <v>14382713.42</v>
      </c>
      <c r="F786" s="12">
        <v>48</v>
      </c>
      <c r="G786" s="12">
        <v>180</v>
      </c>
      <c r="H786" s="12">
        <v>0</v>
      </c>
      <c r="I786" s="13">
        <v>42581.561680173611</v>
      </c>
      <c r="J786" s="13">
        <v>43313</v>
      </c>
      <c r="K786" s="12" t="s">
        <v>36</v>
      </c>
      <c r="L786" s="12" t="s">
        <v>97</v>
      </c>
      <c r="M786" s="12" t="s">
        <v>1811</v>
      </c>
      <c r="N786" s="12" t="s">
        <v>5725</v>
      </c>
      <c r="O786" s="12"/>
      <c r="P786" s="12"/>
      <c r="Q786" s="12"/>
    </row>
    <row r="787" spans="1:17" x14ac:dyDescent="0.25">
      <c r="A787" s="11">
        <v>200334</v>
      </c>
      <c r="B787" s="12" t="s">
        <v>1775</v>
      </c>
      <c r="C787" s="12" t="s">
        <v>1449</v>
      </c>
      <c r="D787" s="125">
        <v>23000000</v>
      </c>
      <c r="E787" s="125">
        <v>4935021.6500000004</v>
      </c>
      <c r="F787" s="12">
        <v>42</v>
      </c>
      <c r="G787" s="12">
        <v>180</v>
      </c>
      <c r="H787" s="12">
        <v>0</v>
      </c>
      <c r="I787" s="13">
        <v>42581.669069097225</v>
      </c>
      <c r="J787" s="13">
        <v>43140</v>
      </c>
      <c r="K787" s="12" t="s">
        <v>37</v>
      </c>
      <c r="L787" s="12" t="s">
        <v>38</v>
      </c>
      <c r="M787" s="12" t="s">
        <v>39</v>
      </c>
      <c r="N787" s="12" t="s">
        <v>1667</v>
      </c>
      <c r="O787" s="12"/>
      <c r="P787" s="12"/>
      <c r="Q787" s="12"/>
    </row>
    <row r="788" spans="1:17" x14ac:dyDescent="0.25">
      <c r="A788" s="11">
        <v>200335</v>
      </c>
      <c r="B788" s="12" t="s">
        <v>2633</v>
      </c>
      <c r="C788" s="12" t="s">
        <v>1449</v>
      </c>
      <c r="D788" s="125">
        <v>16000000</v>
      </c>
      <c r="E788" s="125">
        <v>8511487.2599999998</v>
      </c>
      <c r="F788" s="12">
        <v>48</v>
      </c>
      <c r="G788" s="12">
        <v>180</v>
      </c>
      <c r="H788" s="12">
        <v>0</v>
      </c>
      <c r="I788" s="13">
        <v>42584.353854085646</v>
      </c>
      <c r="J788" s="13">
        <v>43314</v>
      </c>
      <c r="K788" s="12" t="s">
        <v>29</v>
      </c>
      <c r="L788" s="12" t="s">
        <v>30</v>
      </c>
      <c r="M788" s="12" t="s">
        <v>30</v>
      </c>
      <c r="N788" s="12" t="s">
        <v>1925</v>
      </c>
      <c r="O788" s="12"/>
      <c r="P788" s="12"/>
      <c r="Q788" s="12"/>
    </row>
    <row r="789" spans="1:17" x14ac:dyDescent="0.25">
      <c r="A789" s="11">
        <v>200337</v>
      </c>
      <c r="B789" s="12" t="s">
        <v>2614</v>
      </c>
      <c r="C789" s="12" t="s">
        <v>1441</v>
      </c>
      <c r="D789" s="125">
        <v>34000000</v>
      </c>
      <c r="E789" s="125">
        <v>24450276.539999999</v>
      </c>
      <c r="F789" s="12">
        <v>40</v>
      </c>
      <c r="G789" s="12">
        <v>180</v>
      </c>
      <c r="H789" s="12">
        <v>0</v>
      </c>
      <c r="I789" s="13">
        <v>42584.692311574072</v>
      </c>
      <c r="J789" s="13">
        <v>43680</v>
      </c>
      <c r="K789" s="12" t="s">
        <v>44</v>
      </c>
      <c r="L789" s="12" t="s">
        <v>75</v>
      </c>
      <c r="M789" s="12" t="s">
        <v>26</v>
      </c>
      <c r="N789" s="12" t="s">
        <v>546</v>
      </c>
      <c r="O789" s="12"/>
      <c r="P789" s="12"/>
      <c r="Q789" s="12"/>
    </row>
    <row r="790" spans="1:17" x14ac:dyDescent="0.25">
      <c r="A790" s="11">
        <v>200339</v>
      </c>
      <c r="B790" s="12" t="s">
        <v>2645</v>
      </c>
      <c r="C790" s="12" t="s">
        <v>1449</v>
      </c>
      <c r="D790" s="125">
        <v>6000000</v>
      </c>
      <c r="E790" s="125">
        <v>2361969.35</v>
      </c>
      <c r="F790" s="12">
        <v>50</v>
      </c>
      <c r="G790" s="12">
        <v>180</v>
      </c>
      <c r="H790" s="12">
        <v>0</v>
      </c>
      <c r="I790" s="13">
        <v>42585.71644236111</v>
      </c>
      <c r="J790" s="13">
        <v>42959</v>
      </c>
      <c r="K790" s="12" t="s">
        <v>27</v>
      </c>
      <c r="L790" s="12" t="s">
        <v>116</v>
      </c>
      <c r="M790" s="12" t="s">
        <v>26</v>
      </c>
      <c r="N790" s="12" t="s">
        <v>2538</v>
      </c>
      <c r="O790" s="12"/>
      <c r="P790" s="12"/>
      <c r="Q790" s="12"/>
    </row>
    <row r="791" spans="1:17" x14ac:dyDescent="0.25">
      <c r="A791" s="11">
        <v>200342</v>
      </c>
      <c r="B791" s="12" t="s">
        <v>2505</v>
      </c>
      <c r="C791" s="12" t="s">
        <v>1441</v>
      </c>
      <c r="D791" s="125">
        <v>15000000</v>
      </c>
      <c r="E791" s="125">
        <v>4638567.24</v>
      </c>
      <c r="F791" s="12">
        <v>54</v>
      </c>
      <c r="G791" s="12">
        <v>180</v>
      </c>
      <c r="H791" s="12">
        <v>0</v>
      </c>
      <c r="I791" s="13">
        <v>42587.656656979168</v>
      </c>
      <c r="J791" s="13">
        <v>43141</v>
      </c>
      <c r="K791" s="12" t="s">
        <v>44</v>
      </c>
      <c r="L791" s="12" t="s">
        <v>75</v>
      </c>
      <c r="M791" s="12" t="s">
        <v>26</v>
      </c>
      <c r="N791" s="12" t="s">
        <v>1447</v>
      </c>
      <c r="O791" s="12"/>
      <c r="P791" s="12"/>
      <c r="Q791" s="12"/>
    </row>
    <row r="792" spans="1:17" x14ac:dyDescent="0.25">
      <c r="A792" s="11">
        <v>200343</v>
      </c>
      <c r="B792" s="12" t="s">
        <v>2655</v>
      </c>
      <c r="C792" s="12" t="s">
        <v>1441</v>
      </c>
      <c r="D792" s="125">
        <v>27000000</v>
      </c>
      <c r="E792" s="125">
        <v>14359731.98</v>
      </c>
      <c r="F792" s="12">
        <v>48</v>
      </c>
      <c r="G792" s="12">
        <v>180</v>
      </c>
      <c r="H792" s="12">
        <v>0</v>
      </c>
      <c r="I792" s="13">
        <v>42588.5351872338</v>
      </c>
      <c r="J792" s="13">
        <v>43137</v>
      </c>
      <c r="K792" s="12" t="s">
        <v>44</v>
      </c>
      <c r="L792" s="12" t="s">
        <v>75</v>
      </c>
      <c r="M792" s="12" t="s">
        <v>26</v>
      </c>
      <c r="N792" s="12" t="s">
        <v>963</v>
      </c>
      <c r="O792" s="12"/>
      <c r="P792" s="12"/>
      <c r="Q792" s="12"/>
    </row>
    <row r="793" spans="1:17" x14ac:dyDescent="0.25">
      <c r="A793" s="11">
        <v>200345</v>
      </c>
      <c r="B793" s="12" t="s">
        <v>2662</v>
      </c>
      <c r="C793" s="12" t="s">
        <v>1449</v>
      </c>
      <c r="D793" s="125">
        <v>40000000</v>
      </c>
      <c r="E793" s="125">
        <v>18568528.07</v>
      </c>
      <c r="F793" s="12">
        <v>36</v>
      </c>
      <c r="G793" s="12">
        <v>180</v>
      </c>
      <c r="H793" s="12">
        <v>0</v>
      </c>
      <c r="I793" s="13">
        <v>42591.682169097221</v>
      </c>
      <c r="J793" s="13">
        <v>43331</v>
      </c>
      <c r="K793" s="12" t="s">
        <v>27</v>
      </c>
      <c r="L793" s="12" t="s">
        <v>81</v>
      </c>
      <c r="M793" s="12" t="s">
        <v>26</v>
      </c>
      <c r="N793" s="12" t="s">
        <v>1467</v>
      </c>
      <c r="O793" s="12"/>
      <c r="P793" s="12"/>
      <c r="Q793" s="12"/>
    </row>
    <row r="794" spans="1:17" x14ac:dyDescent="0.25">
      <c r="A794" s="11">
        <v>200346</v>
      </c>
      <c r="B794" s="12" t="s">
        <v>2665</v>
      </c>
      <c r="C794" s="12" t="s">
        <v>1449</v>
      </c>
      <c r="D794" s="125">
        <v>13000000</v>
      </c>
      <c r="E794" s="125">
        <v>2943080.4</v>
      </c>
      <c r="F794" s="12">
        <v>54</v>
      </c>
      <c r="G794" s="12">
        <v>180</v>
      </c>
      <c r="H794" s="12">
        <v>0</v>
      </c>
      <c r="I794" s="13">
        <v>42593.547827812501</v>
      </c>
      <c r="J794" s="13">
        <v>43143</v>
      </c>
      <c r="K794" s="12" t="s">
        <v>25</v>
      </c>
      <c r="L794" s="12" t="s">
        <v>106</v>
      </c>
      <c r="M794" s="12" t="s">
        <v>107</v>
      </c>
      <c r="N794" s="12" t="s">
        <v>1447</v>
      </c>
      <c r="O794" s="12"/>
      <c r="P794" s="12"/>
      <c r="Q794" s="12"/>
    </row>
    <row r="795" spans="1:17" x14ac:dyDescent="0.25">
      <c r="A795" s="11">
        <v>200348</v>
      </c>
      <c r="B795" s="12" t="s">
        <v>2675</v>
      </c>
      <c r="C795" s="12" t="s">
        <v>1441</v>
      </c>
      <c r="D795" s="125">
        <v>3000000</v>
      </c>
      <c r="E795" s="125">
        <v>284904.05</v>
      </c>
      <c r="F795" s="12">
        <v>54</v>
      </c>
      <c r="G795" s="12">
        <v>180</v>
      </c>
      <c r="H795" s="12">
        <v>0</v>
      </c>
      <c r="I795" s="13">
        <v>42594.579996064815</v>
      </c>
      <c r="J795" s="13">
        <v>42959</v>
      </c>
      <c r="K795" s="12" t="s">
        <v>27</v>
      </c>
      <c r="L795" s="12" t="s">
        <v>116</v>
      </c>
      <c r="M795" s="12" t="s">
        <v>26</v>
      </c>
      <c r="N795" s="12" t="s">
        <v>2175</v>
      </c>
      <c r="O795" s="12"/>
      <c r="P795" s="12"/>
      <c r="Q795" s="12"/>
    </row>
    <row r="796" spans="1:17" x14ac:dyDescent="0.25">
      <c r="A796" s="11">
        <v>200352</v>
      </c>
      <c r="B796" s="12" t="s">
        <v>2673</v>
      </c>
      <c r="C796" s="12" t="s">
        <v>80</v>
      </c>
      <c r="D796" s="125">
        <v>39000000</v>
      </c>
      <c r="E796" s="125">
        <v>18294672.07</v>
      </c>
      <c r="F796" s="12">
        <v>40</v>
      </c>
      <c r="G796" s="12">
        <v>180</v>
      </c>
      <c r="H796" s="12">
        <v>0</v>
      </c>
      <c r="I796" s="13">
        <v>42594.713174965276</v>
      </c>
      <c r="J796" s="13">
        <v>43324</v>
      </c>
      <c r="K796" s="12" t="s">
        <v>36</v>
      </c>
      <c r="L796" s="12" t="s">
        <v>97</v>
      </c>
      <c r="M796" s="12" t="s">
        <v>1809</v>
      </c>
      <c r="N796" s="12" t="s">
        <v>491</v>
      </c>
      <c r="O796" s="12"/>
      <c r="P796" s="12"/>
      <c r="Q796" s="12"/>
    </row>
    <row r="797" spans="1:17" x14ac:dyDescent="0.25">
      <c r="A797" s="11">
        <v>200374</v>
      </c>
      <c r="B797" s="12" t="s">
        <v>2739</v>
      </c>
      <c r="C797" s="12" t="s">
        <v>1449</v>
      </c>
      <c r="D797" s="125">
        <v>25000000</v>
      </c>
      <c r="E797" s="125">
        <v>1956822.75</v>
      </c>
      <c r="F797" s="12">
        <v>48</v>
      </c>
      <c r="G797" s="12">
        <v>180</v>
      </c>
      <c r="H797" s="12">
        <v>0</v>
      </c>
      <c r="I797" s="13">
        <v>42604.67937395833</v>
      </c>
      <c r="J797" s="13">
        <v>42969</v>
      </c>
      <c r="K797" s="12" t="s">
        <v>25</v>
      </c>
      <c r="L797" s="12" t="s">
        <v>103</v>
      </c>
      <c r="M797" s="12" t="s">
        <v>104</v>
      </c>
      <c r="N797" s="12" t="s">
        <v>1925</v>
      </c>
      <c r="O797" s="12"/>
      <c r="P797" s="12"/>
      <c r="Q797" s="12"/>
    </row>
    <row r="798" spans="1:17" x14ac:dyDescent="0.25">
      <c r="A798" s="11">
        <v>200389</v>
      </c>
      <c r="B798" s="12" t="s">
        <v>2760</v>
      </c>
      <c r="C798" s="12" t="s">
        <v>1449</v>
      </c>
      <c r="D798" s="125">
        <v>5000000</v>
      </c>
      <c r="E798" s="125">
        <v>1782658.94</v>
      </c>
      <c r="F798" s="12">
        <v>54</v>
      </c>
      <c r="G798" s="12">
        <v>180</v>
      </c>
      <c r="H798" s="12">
        <v>0</v>
      </c>
      <c r="I798" s="13">
        <v>42606.538440625001</v>
      </c>
      <c r="J798" s="13">
        <v>42971</v>
      </c>
      <c r="K798" s="12" t="s">
        <v>25</v>
      </c>
      <c r="L798" s="12" t="s">
        <v>88</v>
      </c>
      <c r="M798" s="12" t="s">
        <v>285</v>
      </c>
      <c r="N798" s="12" t="s">
        <v>2175</v>
      </c>
      <c r="O798" s="12"/>
      <c r="P798" s="12"/>
      <c r="Q798" s="12"/>
    </row>
    <row r="799" spans="1:17" x14ac:dyDescent="0.25">
      <c r="A799" s="11">
        <v>200390</v>
      </c>
      <c r="B799" s="12" t="s">
        <v>2769</v>
      </c>
      <c r="C799" s="12" t="s">
        <v>1449</v>
      </c>
      <c r="D799" s="125">
        <v>16000000</v>
      </c>
      <c r="E799" s="125">
        <v>4640736.29</v>
      </c>
      <c r="F799" s="12">
        <v>48</v>
      </c>
      <c r="G799" s="12">
        <v>180</v>
      </c>
      <c r="H799" s="12">
        <v>0</v>
      </c>
      <c r="I799" s="13">
        <v>42607.591887615738</v>
      </c>
      <c r="J799" s="13">
        <v>43163</v>
      </c>
      <c r="K799" s="12" t="s">
        <v>36</v>
      </c>
      <c r="L799" s="12" t="s">
        <v>97</v>
      </c>
      <c r="M799" s="12" t="s">
        <v>98</v>
      </c>
      <c r="N799" s="12" t="s">
        <v>1925</v>
      </c>
      <c r="O799" s="12"/>
      <c r="P799" s="12"/>
      <c r="Q799" s="12"/>
    </row>
    <row r="800" spans="1:17" x14ac:dyDescent="0.25">
      <c r="A800" s="11">
        <v>200392</v>
      </c>
      <c r="B800" s="12" t="s">
        <v>2779</v>
      </c>
      <c r="C800" s="12" t="s">
        <v>1449</v>
      </c>
      <c r="D800" s="125">
        <v>8500000</v>
      </c>
      <c r="E800" s="125">
        <v>2525727.4500000002</v>
      </c>
      <c r="F800" s="12">
        <v>54</v>
      </c>
      <c r="G800" s="12">
        <v>180</v>
      </c>
      <c r="H800" s="12">
        <v>0</v>
      </c>
      <c r="I800" s="13">
        <v>42608.458013113428</v>
      </c>
      <c r="J800" s="13">
        <v>43160</v>
      </c>
      <c r="K800" s="12" t="s">
        <v>37</v>
      </c>
      <c r="L800" s="12" t="s">
        <v>38</v>
      </c>
      <c r="M800" s="12" t="s">
        <v>39</v>
      </c>
      <c r="N800" s="12" t="s">
        <v>1447</v>
      </c>
      <c r="O800" s="12"/>
      <c r="P800" s="12"/>
      <c r="Q800" s="12"/>
    </row>
    <row r="801" spans="1:17" x14ac:dyDescent="0.25">
      <c r="A801" s="11">
        <v>200398</v>
      </c>
      <c r="B801" s="12" t="s">
        <v>2802</v>
      </c>
      <c r="C801" s="12" t="s">
        <v>1449</v>
      </c>
      <c r="D801" s="125">
        <v>7500000</v>
      </c>
      <c r="E801" s="125">
        <v>2480657.65</v>
      </c>
      <c r="F801" s="12">
        <v>50</v>
      </c>
      <c r="G801" s="12">
        <v>180</v>
      </c>
      <c r="H801" s="12">
        <v>0</v>
      </c>
      <c r="I801" s="13">
        <v>42611.685413923609</v>
      </c>
      <c r="J801" s="13">
        <v>43072</v>
      </c>
      <c r="K801" s="12" t="s">
        <v>25</v>
      </c>
      <c r="L801" s="12" t="s">
        <v>289</v>
      </c>
      <c r="M801" s="12" t="s">
        <v>26</v>
      </c>
      <c r="N801" s="12" t="s">
        <v>963</v>
      </c>
      <c r="O801" s="12"/>
      <c r="P801" s="12"/>
      <c r="Q801" s="12"/>
    </row>
    <row r="802" spans="1:17" x14ac:dyDescent="0.25">
      <c r="A802" s="11">
        <v>200400</v>
      </c>
      <c r="B802" s="12" t="s">
        <v>2786</v>
      </c>
      <c r="C802" s="12" t="s">
        <v>1449</v>
      </c>
      <c r="D802" s="125">
        <v>20000000</v>
      </c>
      <c r="E802" s="125">
        <v>5767749.8499999996</v>
      </c>
      <c r="F802" s="12">
        <v>48</v>
      </c>
      <c r="G802" s="12">
        <v>180</v>
      </c>
      <c r="H802" s="12">
        <v>0</v>
      </c>
      <c r="I802" s="13">
        <v>42612.4035883912</v>
      </c>
      <c r="J802" s="13">
        <v>43162</v>
      </c>
      <c r="K802" s="12" t="s">
        <v>25</v>
      </c>
      <c r="L802" s="12" t="s">
        <v>290</v>
      </c>
      <c r="M802" s="12" t="s">
        <v>1823</v>
      </c>
      <c r="N802" s="12" t="s">
        <v>1447</v>
      </c>
      <c r="O802" s="12"/>
      <c r="P802" s="12"/>
      <c r="Q802" s="12"/>
    </row>
    <row r="803" spans="1:17" x14ac:dyDescent="0.25">
      <c r="A803" s="11">
        <v>200401</v>
      </c>
      <c r="B803" s="12" t="s">
        <v>2811</v>
      </c>
      <c r="C803" s="12" t="s">
        <v>1449</v>
      </c>
      <c r="D803" s="125">
        <v>20500000</v>
      </c>
      <c r="E803" s="125">
        <v>11431392.869999999</v>
      </c>
      <c r="F803" s="12">
        <v>40</v>
      </c>
      <c r="G803" s="12">
        <v>180</v>
      </c>
      <c r="H803" s="12">
        <v>0</v>
      </c>
      <c r="I803" s="13">
        <v>42612.53626828704</v>
      </c>
      <c r="J803" s="13">
        <v>43346</v>
      </c>
      <c r="K803" s="12" t="s">
        <v>44</v>
      </c>
      <c r="L803" s="12" t="s">
        <v>75</v>
      </c>
      <c r="M803" s="12" t="s">
        <v>1442</v>
      </c>
      <c r="N803" s="12" t="s">
        <v>1447</v>
      </c>
      <c r="O803" s="12"/>
      <c r="P803" s="12"/>
      <c r="Q803" s="12"/>
    </row>
    <row r="804" spans="1:17" x14ac:dyDescent="0.25">
      <c r="A804" s="11">
        <v>200408</v>
      </c>
      <c r="B804" s="12" t="s">
        <v>2828</v>
      </c>
      <c r="C804" s="12" t="s">
        <v>2807</v>
      </c>
      <c r="D804" s="125">
        <v>5000000</v>
      </c>
      <c r="E804" s="125">
        <v>392896.1</v>
      </c>
      <c r="F804" s="12">
        <v>54</v>
      </c>
      <c r="G804" s="12">
        <v>180</v>
      </c>
      <c r="H804" s="12">
        <v>0</v>
      </c>
      <c r="I804" s="13">
        <v>42613.727876701392</v>
      </c>
      <c r="J804" s="13">
        <v>42981</v>
      </c>
      <c r="K804" s="12" t="s">
        <v>44</v>
      </c>
      <c r="L804" s="12" t="s">
        <v>75</v>
      </c>
      <c r="M804" s="12" t="s">
        <v>26</v>
      </c>
      <c r="N804" s="12" t="s">
        <v>3074</v>
      </c>
      <c r="O804" s="12"/>
      <c r="P804" s="12"/>
      <c r="Q804" s="12"/>
    </row>
    <row r="805" spans="1:17" x14ac:dyDescent="0.25">
      <c r="A805" s="11">
        <v>200410</v>
      </c>
      <c r="B805" s="12" t="s">
        <v>2827</v>
      </c>
      <c r="C805" s="12" t="s">
        <v>2807</v>
      </c>
      <c r="D805" s="125">
        <v>3000000</v>
      </c>
      <c r="E805" s="125">
        <v>1108528.8899999999</v>
      </c>
      <c r="F805" s="12">
        <v>54</v>
      </c>
      <c r="G805" s="12">
        <v>180</v>
      </c>
      <c r="H805" s="12">
        <v>0</v>
      </c>
      <c r="I805" s="13">
        <v>42613.80719699074</v>
      </c>
      <c r="J805" s="13">
        <v>42981</v>
      </c>
      <c r="K805" s="12" t="s">
        <v>25</v>
      </c>
      <c r="L805" s="12" t="s">
        <v>26</v>
      </c>
      <c r="M805" s="12" t="s">
        <v>26</v>
      </c>
      <c r="N805" s="12" t="s">
        <v>5725</v>
      </c>
      <c r="O805" s="12"/>
      <c r="P805" s="12"/>
      <c r="Q805" s="12"/>
    </row>
    <row r="806" spans="1:17" x14ac:dyDescent="0.25">
      <c r="A806" s="11">
        <v>200415</v>
      </c>
      <c r="B806" s="12" t="s">
        <v>2862</v>
      </c>
      <c r="C806" s="12" t="s">
        <v>1449</v>
      </c>
      <c r="D806" s="125">
        <v>17000000</v>
      </c>
      <c r="E806" s="125">
        <v>5978292.4400000004</v>
      </c>
      <c r="F806" s="12">
        <v>48</v>
      </c>
      <c r="G806" s="12">
        <v>180</v>
      </c>
      <c r="H806" s="12">
        <v>0</v>
      </c>
      <c r="I806" s="13">
        <v>42619.509713310188</v>
      </c>
      <c r="J806" s="13">
        <v>43165</v>
      </c>
      <c r="K806" s="12" t="s">
        <v>25</v>
      </c>
      <c r="L806" s="12" t="s">
        <v>295</v>
      </c>
      <c r="M806" s="12" t="s">
        <v>296</v>
      </c>
      <c r="N806" s="12" t="s">
        <v>1448</v>
      </c>
      <c r="O806" s="12"/>
      <c r="P806" s="12"/>
      <c r="Q806" s="12"/>
    </row>
    <row r="807" spans="1:17" x14ac:dyDescent="0.25">
      <c r="A807" s="11">
        <v>200418</v>
      </c>
      <c r="B807" s="12" t="s">
        <v>2867</v>
      </c>
      <c r="C807" s="12" t="s">
        <v>2807</v>
      </c>
      <c r="D807" s="125">
        <v>15100000</v>
      </c>
      <c r="E807" s="125">
        <v>3807535.71</v>
      </c>
      <c r="F807" s="12">
        <v>48</v>
      </c>
      <c r="G807" s="12">
        <v>180</v>
      </c>
      <c r="H807" s="12">
        <v>0</v>
      </c>
      <c r="I807" s="13">
        <v>42620.741342280089</v>
      </c>
      <c r="J807" s="13">
        <v>43084</v>
      </c>
      <c r="K807" s="12" t="s">
        <v>37</v>
      </c>
      <c r="L807" s="12" t="s">
        <v>288</v>
      </c>
      <c r="M807" s="12" t="s">
        <v>1313</v>
      </c>
      <c r="N807" s="12" t="s">
        <v>1448</v>
      </c>
      <c r="O807" s="12"/>
      <c r="P807" s="12"/>
      <c r="Q807" s="12"/>
    </row>
    <row r="808" spans="1:17" x14ac:dyDescent="0.25">
      <c r="A808" s="11">
        <v>200424</v>
      </c>
      <c r="B808" s="12" t="s">
        <v>2885</v>
      </c>
      <c r="C808" s="12" t="s">
        <v>1449</v>
      </c>
      <c r="D808" s="125">
        <v>38000000</v>
      </c>
      <c r="E808" s="125">
        <v>28186077.59</v>
      </c>
      <c r="F808" s="12">
        <v>40</v>
      </c>
      <c r="G808" s="12">
        <v>180</v>
      </c>
      <c r="H808" s="12">
        <v>0</v>
      </c>
      <c r="I808" s="13">
        <v>42623.473717824076</v>
      </c>
      <c r="J808" s="13">
        <v>43718</v>
      </c>
      <c r="K808" s="12" t="s">
        <v>29</v>
      </c>
      <c r="L808" s="12" t="s">
        <v>30</v>
      </c>
      <c r="M808" s="12" t="s">
        <v>30</v>
      </c>
      <c r="N808" s="12" t="s">
        <v>1467</v>
      </c>
      <c r="O808" s="12"/>
      <c r="P808" s="12"/>
      <c r="Q808" s="12"/>
    </row>
    <row r="809" spans="1:17" x14ac:dyDescent="0.25">
      <c r="A809" s="11">
        <v>200427</v>
      </c>
      <c r="B809" s="12" t="s">
        <v>2884</v>
      </c>
      <c r="C809" s="12" t="s">
        <v>1441</v>
      </c>
      <c r="D809" s="125">
        <v>15000000</v>
      </c>
      <c r="E809" s="125">
        <v>9780727.4199999999</v>
      </c>
      <c r="F809" s="12">
        <v>40</v>
      </c>
      <c r="G809" s="12">
        <v>180</v>
      </c>
      <c r="H809" s="12">
        <v>0</v>
      </c>
      <c r="I809" s="13">
        <v>42623.58788240741</v>
      </c>
      <c r="J809" s="13">
        <v>43534</v>
      </c>
      <c r="K809" s="12" t="s">
        <v>25</v>
      </c>
      <c r="L809" s="12" t="s">
        <v>101</v>
      </c>
      <c r="M809" s="12" t="s">
        <v>26</v>
      </c>
      <c r="N809" s="12" t="s">
        <v>1925</v>
      </c>
      <c r="O809" s="12"/>
      <c r="P809" s="12"/>
      <c r="Q809" s="12"/>
    </row>
    <row r="810" spans="1:17" x14ac:dyDescent="0.25">
      <c r="A810" s="11">
        <v>200428</v>
      </c>
      <c r="B810" s="12" t="s">
        <v>2890</v>
      </c>
      <c r="C810" s="12" t="s">
        <v>1449</v>
      </c>
      <c r="D810" s="125">
        <v>30000000</v>
      </c>
      <c r="E810" s="125">
        <v>22587078.539999999</v>
      </c>
      <c r="F810" s="12">
        <v>40</v>
      </c>
      <c r="G810" s="12">
        <v>180</v>
      </c>
      <c r="H810" s="12">
        <v>0</v>
      </c>
      <c r="I810" s="13">
        <v>42626.532485185184</v>
      </c>
      <c r="J810" s="13">
        <v>43721</v>
      </c>
      <c r="K810" s="12" t="s">
        <v>27</v>
      </c>
      <c r="L810" s="12" t="s">
        <v>81</v>
      </c>
      <c r="M810" s="12" t="s">
        <v>1706</v>
      </c>
      <c r="N810" s="12" t="s">
        <v>1448</v>
      </c>
      <c r="O810" s="12"/>
      <c r="P810" s="12"/>
      <c r="Q810" s="12"/>
    </row>
    <row r="811" spans="1:17" x14ac:dyDescent="0.25">
      <c r="A811" s="11">
        <v>200430</v>
      </c>
      <c r="B811" s="12" t="s">
        <v>2894</v>
      </c>
      <c r="C811" s="12" t="s">
        <v>1449</v>
      </c>
      <c r="D811" s="125">
        <v>19000000</v>
      </c>
      <c r="E811" s="125">
        <v>14093038.710000001</v>
      </c>
      <c r="F811" s="12">
        <v>40</v>
      </c>
      <c r="G811" s="12">
        <v>180</v>
      </c>
      <c r="H811" s="12">
        <v>0</v>
      </c>
      <c r="I811" s="13">
        <v>42627.728360532405</v>
      </c>
      <c r="J811" s="13">
        <v>43722</v>
      </c>
      <c r="K811" s="12" t="s">
        <v>44</v>
      </c>
      <c r="L811" s="12" t="s">
        <v>75</v>
      </c>
      <c r="M811" s="12" t="s">
        <v>1442</v>
      </c>
      <c r="N811" s="12" t="s">
        <v>491</v>
      </c>
      <c r="O811" s="12"/>
      <c r="P811" s="12"/>
      <c r="Q811" s="12"/>
    </row>
    <row r="812" spans="1:17" x14ac:dyDescent="0.25">
      <c r="A812" s="11">
        <v>200431</v>
      </c>
      <c r="B812" s="12" t="s">
        <v>2895</v>
      </c>
      <c r="C812" s="12" t="s">
        <v>2807</v>
      </c>
      <c r="D812" s="125">
        <v>4000000</v>
      </c>
      <c r="E812" s="125">
        <v>2519867.0299999998</v>
      </c>
      <c r="F812" s="12">
        <v>54</v>
      </c>
      <c r="G812" s="12">
        <v>180</v>
      </c>
      <c r="H812" s="12">
        <v>0</v>
      </c>
      <c r="I812" s="13">
        <v>42627.75354853009</v>
      </c>
      <c r="J812" s="13">
        <v>43358</v>
      </c>
      <c r="K812" s="12" t="s">
        <v>44</v>
      </c>
      <c r="L812" s="12" t="s">
        <v>75</v>
      </c>
      <c r="M812" s="12" t="s">
        <v>26</v>
      </c>
      <c r="N812" s="12" t="s">
        <v>2538</v>
      </c>
      <c r="O812" s="12"/>
      <c r="P812" s="12"/>
      <c r="Q812" s="12"/>
    </row>
    <row r="813" spans="1:17" x14ac:dyDescent="0.25">
      <c r="A813" s="11">
        <v>200435</v>
      </c>
      <c r="B813" s="12" t="s">
        <v>2957</v>
      </c>
      <c r="C813" s="12" t="s">
        <v>82</v>
      </c>
      <c r="D813" s="125">
        <v>38000000</v>
      </c>
      <c r="E813" s="125">
        <v>21121764.120000001</v>
      </c>
      <c r="F813" s="12">
        <v>40</v>
      </c>
      <c r="G813" s="12">
        <v>180</v>
      </c>
      <c r="H813" s="12">
        <v>0</v>
      </c>
      <c r="I813" s="13">
        <v>42629.342043055556</v>
      </c>
      <c r="J813" s="13">
        <v>43359</v>
      </c>
      <c r="K813" s="12" t="s">
        <v>27</v>
      </c>
      <c r="L813" s="12" t="s">
        <v>81</v>
      </c>
      <c r="M813" s="12" t="s">
        <v>26</v>
      </c>
      <c r="N813" s="12" t="s">
        <v>1925</v>
      </c>
      <c r="O813" s="12"/>
      <c r="P813" s="12"/>
      <c r="Q813" s="12"/>
    </row>
    <row r="814" spans="1:17" x14ac:dyDescent="0.25">
      <c r="A814" s="11">
        <v>200436</v>
      </c>
      <c r="B814" s="12" t="s">
        <v>2960</v>
      </c>
      <c r="C814" s="12" t="s">
        <v>80</v>
      </c>
      <c r="D814" s="125">
        <v>37000000</v>
      </c>
      <c r="E814" s="125">
        <v>28084094.899999999</v>
      </c>
      <c r="F814" s="12">
        <v>36</v>
      </c>
      <c r="G814" s="12">
        <v>180</v>
      </c>
      <c r="H814" s="12">
        <v>0</v>
      </c>
      <c r="I814" s="13">
        <v>42629.674353240742</v>
      </c>
      <c r="J814" s="13">
        <v>43732</v>
      </c>
      <c r="K814" s="12" t="s">
        <v>41</v>
      </c>
      <c r="L814" s="12" t="s">
        <v>1189</v>
      </c>
      <c r="M814" s="12" t="s">
        <v>1817</v>
      </c>
      <c r="N814" s="12" t="s">
        <v>963</v>
      </c>
      <c r="O814" s="12"/>
      <c r="P814" s="12"/>
      <c r="Q814" s="12"/>
    </row>
    <row r="815" spans="1:17" x14ac:dyDescent="0.25">
      <c r="A815" s="11">
        <v>200439</v>
      </c>
      <c r="B815" s="12" t="s">
        <v>2964</v>
      </c>
      <c r="C815" s="12" t="s">
        <v>1449</v>
      </c>
      <c r="D815" s="125">
        <v>20000000</v>
      </c>
      <c r="E815" s="125">
        <v>14834777.609999999</v>
      </c>
      <c r="F815" s="12">
        <v>40</v>
      </c>
      <c r="G815" s="12">
        <v>180</v>
      </c>
      <c r="H815" s="12">
        <v>0</v>
      </c>
      <c r="I815" s="13">
        <v>42632.70225991898</v>
      </c>
      <c r="J815" s="13">
        <v>43727</v>
      </c>
      <c r="K815" s="12" t="s">
        <v>44</v>
      </c>
      <c r="L815" s="12" t="s">
        <v>75</v>
      </c>
      <c r="M815" s="12" t="s">
        <v>1442</v>
      </c>
      <c r="N815" s="12" t="s">
        <v>1448</v>
      </c>
      <c r="O815" s="12"/>
      <c r="P815" s="12"/>
      <c r="Q815" s="12"/>
    </row>
    <row r="816" spans="1:17" x14ac:dyDescent="0.25">
      <c r="A816" s="11">
        <v>200444</v>
      </c>
      <c r="B816" s="12" t="s">
        <v>2974</v>
      </c>
      <c r="C816" s="12" t="s">
        <v>1449</v>
      </c>
      <c r="D816" s="125">
        <v>6000000</v>
      </c>
      <c r="E816" s="125">
        <v>1748204.29</v>
      </c>
      <c r="F816" s="12">
        <v>54</v>
      </c>
      <c r="G816" s="12">
        <v>180</v>
      </c>
      <c r="H816" s="12">
        <v>0</v>
      </c>
      <c r="I816" s="13">
        <v>42635.476807754632</v>
      </c>
      <c r="J816" s="13">
        <v>43000</v>
      </c>
      <c r="K816" s="12" t="s">
        <v>44</v>
      </c>
      <c r="L816" s="12" t="s">
        <v>75</v>
      </c>
      <c r="M816" s="12" t="s">
        <v>1442</v>
      </c>
      <c r="N816" s="12" t="s">
        <v>5725</v>
      </c>
      <c r="O816" s="12"/>
      <c r="P816" s="12"/>
      <c r="Q816" s="12"/>
    </row>
    <row r="817" spans="1:17" x14ac:dyDescent="0.25">
      <c r="A817" s="11">
        <v>200446</v>
      </c>
      <c r="B817" s="12" t="s">
        <v>2977</v>
      </c>
      <c r="C817" s="12" t="s">
        <v>1449</v>
      </c>
      <c r="D817" s="125">
        <v>3000000</v>
      </c>
      <c r="E817" s="125">
        <v>314831.09999999998</v>
      </c>
      <c r="F817" s="12">
        <v>54</v>
      </c>
      <c r="G817" s="12">
        <v>180</v>
      </c>
      <c r="H817" s="12">
        <v>0</v>
      </c>
      <c r="I817" s="13">
        <v>42636.700270023146</v>
      </c>
      <c r="J817" s="13">
        <v>43001</v>
      </c>
      <c r="K817" s="12" t="s">
        <v>36</v>
      </c>
      <c r="L817" s="12" t="s">
        <v>97</v>
      </c>
      <c r="M817" s="12" t="s">
        <v>98</v>
      </c>
      <c r="N817" s="12" t="s">
        <v>1925</v>
      </c>
      <c r="O817" s="12"/>
      <c r="P817" s="12"/>
      <c r="Q817" s="12"/>
    </row>
    <row r="818" spans="1:17" x14ac:dyDescent="0.25">
      <c r="A818" s="11">
        <v>200453</v>
      </c>
      <c r="B818" s="12" t="s">
        <v>2992</v>
      </c>
      <c r="C818" s="12" t="s">
        <v>2807</v>
      </c>
      <c r="D818" s="125">
        <v>10000000</v>
      </c>
      <c r="E818" s="125">
        <v>5588242.6100000003</v>
      </c>
      <c r="F818" s="12">
        <v>40</v>
      </c>
      <c r="G818" s="12">
        <v>180</v>
      </c>
      <c r="H818" s="12">
        <v>0</v>
      </c>
      <c r="I818" s="13">
        <v>42639.671695717596</v>
      </c>
      <c r="J818" s="13">
        <v>43374</v>
      </c>
      <c r="K818" s="12" t="s">
        <v>25</v>
      </c>
      <c r="L818" s="12" t="s">
        <v>290</v>
      </c>
      <c r="M818" s="12" t="s">
        <v>26</v>
      </c>
      <c r="N818" s="12" t="s">
        <v>2175</v>
      </c>
      <c r="O818" s="12"/>
      <c r="P818" s="12"/>
      <c r="Q818" s="12"/>
    </row>
    <row r="819" spans="1:17" x14ac:dyDescent="0.25">
      <c r="A819" s="11">
        <v>200456</v>
      </c>
      <c r="B819" s="12" t="s">
        <v>3020</v>
      </c>
      <c r="C819" s="12" t="s">
        <v>1449</v>
      </c>
      <c r="D819" s="125">
        <v>18500000</v>
      </c>
      <c r="E819" s="125">
        <v>14216871.66</v>
      </c>
      <c r="F819" s="12">
        <v>40</v>
      </c>
      <c r="G819" s="12">
        <v>180</v>
      </c>
      <c r="H819" s="12">
        <v>0</v>
      </c>
      <c r="I819" s="13">
        <v>42641.552462118052</v>
      </c>
      <c r="J819" s="13">
        <v>43741</v>
      </c>
      <c r="K819" s="12" t="s">
        <v>36</v>
      </c>
      <c r="L819" s="12" t="s">
        <v>1023</v>
      </c>
      <c r="M819" s="12" t="s">
        <v>1810</v>
      </c>
      <c r="N819" s="12" t="s">
        <v>2557</v>
      </c>
      <c r="O819" s="12"/>
      <c r="P819" s="12"/>
      <c r="Q819" s="12"/>
    </row>
    <row r="820" spans="1:17" x14ac:dyDescent="0.25">
      <c r="A820" s="11">
        <v>200458</v>
      </c>
      <c r="B820" s="12" t="s">
        <v>3037</v>
      </c>
      <c r="C820" s="12" t="s">
        <v>2807</v>
      </c>
      <c r="D820" s="125">
        <v>2500000</v>
      </c>
      <c r="E820" s="125">
        <v>916443.16</v>
      </c>
      <c r="F820" s="12">
        <v>54</v>
      </c>
      <c r="G820" s="12">
        <v>180</v>
      </c>
      <c r="H820" s="12">
        <v>0</v>
      </c>
      <c r="I820" s="13">
        <v>42642.377497800924</v>
      </c>
      <c r="J820" s="13">
        <v>43009</v>
      </c>
      <c r="K820" s="12" t="s">
        <v>44</v>
      </c>
      <c r="L820" s="12" t="s">
        <v>75</v>
      </c>
      <c r="M820" s="12" t="s">
        <v>26</v>
      </c>
      <c r="N820" s="12" t="s">
        <v>5725</v>
      </c>
      <c r="O820" s="12"/>
      <c r="P820" s="12"/>
      <c r="Q820" s="12"/>
    </row>
    <row r="821" spans="1:17" x14ac:dyDescent="0.25">
      <c r="A821" s="11">
        <v>200465</v>
      </c>
      <c r="B821" s="12" t="s">
        <v>3048</v>
      </c>
      <c r="C821" s="12" t="s">
        <v>80</v>
      </c>
      <c r="D821" s="125">
        <v>4000000</v>
      </c>
      <c r="E821" s="125">
        <v>603008.68000000005</v>
      </c>
      <c r="F821" s="12">
        <v>54</v>
      </c>
      <c r="G821" s="12">
        <v>180</v>
      </c>
      <c r="H821" s="12">
        <v>0</v>
      </c>
      <c r="I821" s="13">
        <v>42643.727883333333</v>
      </c>
      <c r="J821" s="13">
        <v>43011</v>
      </c>
      <c r="K821" s="12" t="s">
        <v>25</v>
      </c>
      <c r="L821" s="12" t="s">
        <v>88</v>
      </c>
      <c r="M821" s="12" t="s">
        <v>26</v>
      </c>
      <c r="N821" s="12" t="s">
        <v>2557</v>
      </c>
      <c r="O821" s="12"/>
      <c r="P821" s="12"/>
      <c r="Q821" s="12"/>
    </row>
    <row r="822" spans="1:17" x14ac:dyDescent="0.25">
      <c r="A822" s="11">
        <v>200470</v>
      </c>
      <c r="B822" s="12" t="s">
        <v>3046</v>
      </c>
      <c r="C822" s="12" t="s">
        <v>2807</v>
      </c>
      <c r="D822" s="125">
        <v>38000000</v>
      </c>
      <c r="E822" s="125">
        <v>21144475.760000002</v>
      </c>
      <c r="F822" s="12">
        <v>40</v>
      </c>
      <c r="G822" s="12">
        <v>180</v>
      </c>
      <c r="H822" s="12">
        <v>0</v>
      </c>
      <c r="I822" s="13">
        <v>42643.531673611113</v>
      </c>
      <c r="J822" s="13">
        <v>43374</v>
      </c>
      <c r="K822" s="12" t="s">
        <v>27</v>
      </c>
      <c r="L822" s="12" t="s">
        <v>81</v>
      </c>
      <c r="M822" s="12" t="s">
        <v>26</v>
      </c>
      <c r="N822" s="12" t="s">
        <v>1467</v>
      </c>
      <c r="O822" s="12"/>
      <c r="P822" s="12"/>
      <c r="Q822" s="12"/>
    </row>
    <row r="823" spans="1:17" x14ac:dyDescent="0.25">
      <c r="A823" s="11">
        <v>200473</v>
      </c>
      <c r="B823" s="12" t="s">
        <v>3075</v>
      </c>
      <c r="C823" s="12" t="s">
        <v>2807</v>
      </c>
      <c r="D823" s="125">
        <v>22000000</v>
      </c>
      <c r="E823" s="125">
        <v>17762757.68</v>
      </c>
      <c r="F823" s="12">
        <v>48</v>
      </c>
      <c r="G823" s="12">
        <v>180</v>
      </c>
      <c r="H823" s="12">
        <v>0</v>
      </c>
      <c r="I823" s="13">
        <v>42646.655643090278</v>
      </c>
      <c r="J823" s="13">
        <v>43742</v>
      </c>
      <c r="K823" s="12" t="s">
        <v>25</v>
      </c>
      <c r="L823" s="12" t="s">
        <v>26</v>
      </c>
      <c r="M823" s="12" t="s">
        <v>26</v>
      </c>
      <c r="N823" s="12" t="s">
        <v>468</v>
      </c>
      <c r="O823" s="12"/>
      <c r="P823" s="12"/>
      <c r="Q823" s="12"/>
    </row>
    <row r="824" spans="1:17" x14ac:dyDescent="0.25">
      <c r="A824" s="11">
        <v>200474</v>
      </c>
      <c r="B824" s="12" t="s">
        <v>3089</v>
      </c>
      <c r="C824" s="12" t="s">
        <v>2807</v>
      </c>
      <c r="D824" s="125">
        <v>38000000</v>
      </c>
      <c r="E824" s="125">
        <v>21144475.760000002</v>
      </c>
      <c r="F824" s="12">
        <v>40</v>
      </c>
      <c r="G824" s="12">
        <v>180</v>
      </c>
      <c r="H824" s="12">
        <v>0</v>
      </c>
      <c r="I824" s="13">
        <v>42647.721488310184</v>
      </c>
      <c r="J824" s="13">
        <v>43378</v>
      </c>
      <c r="K824" s="12" t="s">
        <v>27</v>
      </c>
      <c r="L824" s="12" t="s">
        <v>81</v>
      </c>
      <c r="M824" s="12" t="s">
        <v>1831</v>
      </c>
      <c r="N824" s="12" t="s">
        <v>2861</v>
      </c>
      <c r="O824" s="12"/>
      <c r="P824" s="12"/>
      <c r="Q824" s="12"/>
    </row>
    <row r="825" spans="1:17" x14ac:dyDescent="0.25">
      <c r="A825" s="11">
        <v>200475</v>
      </c>
      <c r="B825" s="12" t="s">
        <v>3093</v>
      </c>
      <c r="C825" s="12" t="s">
        <v>2807</v>
      </c>
      <c r="D825" s="125">
        <v>20000000</v>
      </c>
      <c r="E825" s="125">
        <v>9269205.2300000004</v>
      </c>
      <c r="F825" s="12">
        <v>48</v>
      </c>
      <c r="G825" s="12">
        <v>180</v>
      </c>
      <c r="H825" s="12">
        <v>0</v>
      </c>
      <c r="I825" s="13">
        <v>42648.621059293982</v>
      </c>
      <c r="J825" s="13">
        <v>43196</v>
      </c>
      <c r="K825" s="12" t="s">
        <v>44</v>
      </c>
      <c r="L825" s="12" t="s">
        <v>92</v>
      </c>
      <c r="M825" s="12" t="s">
        <v>26</v>
      </c>
      <c r="N825" s="12" t="s">
        <v>2538</v>
      </c>
      <c r="O825" s="12"/>
      <c r="P825" s="12"/>
      <c r="Q825" s="12"/>
    </row>
    <row r="826" spans="1:17" x14ac:dyDescent="0.25">
      <c r="A826" s="11">
        <v>200477</v>
      </c>
      <c r="B826" s="12" t="s">
        <v>2877</v>
      </c>
      <c r="C826" s="12" t="s">
        <v>2807</v>
      </c>
      <c r="D826" s="125">
        <v>65000000</v>
      </c>
      <c r="E826" s="125">
        <v>36129333.369999997</v>
      </c>
      <c r="F826" s="12">
        <v>40</v>
      </c>
      <c r="G826" s="12">
        <v>180</v>
      </c>
      <c r="H826" s="12">
        <v>0</v>
      </c>
      <c r="I826" s="13">
        <v>42649.566965127313</v>
      </c>
      <c r="J826" s="13">
        <v>43379</v>
      </c>
      <c r="K826" s="12" t="s">
        <v>27</v>
      </c>
      <c r="L826" s="12" t="s">
        <v>81</v>
      </c>
      <c r="M826" s="12" t="s">
        <v>26</v>
      </c>
      <c r="N826" s="12" t="s">
        <v>2861</v>
      </c>
      <c r="O826" s="12"/>
      <c r="P826" s="12"/>
      <c r="Q826" s="12"/>
    </row>
    <row r="827" spans="1:17" x14ac:dyDescent="0.25">
      <c r="A827" s="11">
        <v>200478</v>
      </c>
      <c r="B827" s="12" t="s">
        <v>3096</v>
      </c>
      <c r="C827" s="12" t="s">
        <v>1449</v>
      </c>
      <c r="D827" s="125">
        <v>10000000</v>
      </c>
      <c r="E827" s="125">
        <v>3610180.6</v>
      </c>
      <c r="F827" s="12">
        <v>54</v>
      </c>
      <c r="G827" s="12">
        <v>180</v>
      </c>
      <c r="H827" s="12">
        <v>0</v>
      </c>
      <c r="I827" s="13">
        <v>42649.751360069444</v>
      </c>
      <c r="J827" s="13">
        <v>43196</v>
      </c>
      <c r="K827" s="12" t="s">
        <v>25</v>
      </c>
      <c r="L827" s="12" t="s">
        <v>88</v>
      </c>
      <c r="M827" s="12" t="s">
        <v>285</v>
      </c>
      <c r="N827" s="12" t="s">
        <v>2557</v>
      </c>
      <c r="O827" s="12"/>
      <c r="P827" s="12"/>
      <c r="Q827" s="12"/>
    </row>
    <row r="828" spans="1:17" x14ac:dyDescent="0.25">
      <c r="A828" s="11">
        <v>200481</v>
      </c>
      <c r="B828" s="12" t="s">
        <v>2416</v>
      </c>
      <c r="C828" s="12" t="s">
        <v>2807</v>
      </c>
      <c r="D828" s="125">
        <v>65000000</v>
      </c>
      <c r="E828" s="125">
        <v>50421285.609999999</v>
      </c>
      <c r="F828" s="12">
        <v>36</v>
      </c>
      <c r="G828" s="12">
        <v>180</v>
      </c>
      <c r="H828" s="12">
        <v>0</v>
      </c>
      <c r="I828" s="13">
        <v>42653.598869525464</v>
      </c>
      <c r="J828" s="13">
        <v>43748</v>
      </c>
      <c r="K828" s="12" t="s">
        <v>44</v>
      </c>
      <c r="L828" s="12" t="s">
        <v>92</v>
      </c>
      <c r="M828" s="12" t="s">
        <v>92</v>
      </c>
      <c r="N828" s="12" t="s">
        <v>546</v>
      </c>
      <c r="O828" s="12"/>
      <c r="P828" s="12"/>
      <c r="Q828" s="12"/>
    </row>
    <row r="829" spans="1:17" x14ac:dyDescent="0.25">
      <c r="A829" s="11">
        <v>200482</v>
      </c>
      <c r="B829" s="12" t="s">
        <v>3113</v>
      </c>
      <c r="C829" s="12" t="s">
        <v>2807</v>
      </c>
      <c r="D829" s="125">
        <v>3000000</v>
      </c>
      <c r="E829" s="125">
        <v>1083054.24</v>
      </c>
      <c r="F829" s="12">
        <v>54</v>
      </c>
      <c r="G829" s="12">
        <v>180</v>
      </c>
      <c r="H829" s="12">
        <v>0</v>
      </c>
      <c r="I829" s="13">
        <v>42653.61320709491</v>
      </c>
      <c r="J829" s="13">
        <v>43200</v>
      </c>
      <c r="K829" s="12" t="s">
        <v>27</v>
      </c>
      <c r="L829" s="12" t="s">
        <v>81</v>
      </c>
      <c r="M829" s="12" t="s">
        <v>26</v>
      </c>
      <c r="N829" s="12" t="s">
        <v>1447</v>
      </c>
      <c r="O829" s="12"/>
      <c r="P829" s="12"/>
      <c r="Q829" s="12"/>
    </row>
    <row r="830" spans="1:17" x14ac:dyDescent="0.25">
      <c r="A830" s="11">
        <v>200491</v>
      </c>
      <c r="B830" s="12" t="s">
        <v>1781</v>
      </c>
      <c r="C830" s="12" t="s">
        <v>2807</v>
      </c>
      <c r="D830" s="125">
        <v>20820462</v>
      </c>
      <c r="E830" s="125">
        <v>15829658.77</v>
      </c>
      <c r="F830" s="12">
        <v>42</v>
      </c>
      <c r="G830" s="12">
        <v>180</v>
      </c>
      <c r="H830" s="12">
        <v>0</v>
      </c>
      <c r="I830" s="13">
        <v>42656.495706400463</v>
      </c>
      <c r="J830" s="13">
        <v>43740</v>
      </c>
      <c r="K830" s="12" t="s">
        <v>25</v>
      </c>
      <c r="L830" s="12" t="s">
        <v>26</v>
      </c>
      <c r="M830" s="12" t="s">
        <v>26</v>
      </c>
      <c r="N830" s="12" t="s">
        <v>468</v>
      </c>
      <c r="O830" s="12"/>
      <c r="P830" s="12"/>
      <c r="Q830" s="12"/>
    </row>
    <row r="831" spans="1:17" x14ac:dyDescent="0.25">
      <c r="A831" s="11">
        <v>200493</v>
      </c>
      <c r="B831" s="12" t="s">
        <v>3130</v>
      </c>
      <c r="C831" s="12" t="s">
        <v>2807</v>
      </c>
      <c r="D831" s="125">
        <v>7000000</v>
      </c>
      <c r="E831" s="125">
        <v>3890851.26</v>
      </c>
      <c r="F831" s="12">
        <v>40</v>
      </c>
      <c r="G831" s="12">
        <v>180</v>
      </c>
      <c r="H831" s="12">
        <v>0</v>
      </c>
      <c r="I831" s="13">
        <v>42657.4193065625</v>
      </c>
      <c r="J831" s="13">
        <v>43387</v>
      </c>
      <c r="K831" s="12" t="s">
        <v>44</v>
      </c>
      <c r="L831" s="12" t="s">
        <v>75</v>
      </c>
      <c r="M831" s="12" t="s">
        <v>26</v>
      </c>
      <c r="N831" s="12" t="s">
        <v>491</v>
      </c>
      <c r="O831" s="12"/>
      <c r="P831" s="12"/>
      <c r="Q831" s="12"/>
    </row>
    <row r="832" spans="1:17" x14ac:dyDescent="0.25">
      <c r="A832" s="11">
        <v>200496</v>
      </c>
      <c r="B832" s="12" t="s">
        <v>3137</v>
      </c>
      <c r="C832" s="12" t="s">
        <v>82</v>
      </c>
      <c r="D832" s="125">
        <v>5000000</v>
      </c>
      <c r="E832" s="125">
        <v>3875006.66</v>
      </c>
      <c r="F832" s="12">
        <v>54</v>
      </c>
      <c r="G832" s="12">
        <v>180</v>
      </c>
      <c r="H832" s="12">
        <v>0</v>
      </c>
      <c r="I832" s="13">
        <v>42658.597886655094</v>
      </c>
      <c r="J832" s="13">
        <v>43388</v>
      </c>
      <c r="K832" s="12" t="s">
        <v>25</v>
      </c>
      <c r="L832" s="12" t="s">
        <v>295</v>
      </c>
      <c r="M832" s="12" t="s">
        <v>26</v>
      </c>
      <c r="N832" s="12" t="s">
        <v>2034</v>
      </c>
      <c r="O832" s="12"/>
      <c r="P832" s="12"/>
      <c r="Q832" s="12"/>
    </row>
    <row r="833" spans="1:17" x14ac:dyDescent="0.25">
      <c r="A833" s="11">
        <v>200497</v>
      </c>
      <c r="B833" s="12" t="s">
        <v>3136</v>
      </c>
      <c r="C833" s="12" t="s">
        <v>2807</v>
      </c>
      <c r="D833" s="125">
        <v>50000000</v>
      </c>
      <c r="E833" s="125">
        <v>27791794.84</v>
      </c>
      <c r="F833" s="12">
        <v>40</v>
      </c>
      <c r="G833" s="12">
        <v>180</v>
      </c>
      <c r="H833" s="12">
        <v>0</v>
      </c>
      <c r="I833" s="13">
        <v>42658.590081249997</v>
      </c>
      <c r="J833" s="13">
        <v>43388</v>
      </c>
      <c r="K833" s="12" t="s">
        <v>31</v>
      </c>
      <c r="L833" s="12" t="s">
        <v>1815</v>
      </c>
      <c r="M833" s="12" t="s">
        <v>26</v>
      </c>
      <c r="N833" s="12" t="s">
        <v>1448</v>
      </c>
      <c r="O833" s="12"/>
      <c r="P833" s="12"/>
      <c r="Q833" s="12"/>
    </row>
    <row r="834" spans="1:17" x14ac:dyDescent="0.25">
      <c r="A834" s="11">
        <v>200500</v>
      </c>
      <c r="B834" s="12" t="s">
        <v>3146</v>
      </c>
      <c r="C834" s="12" t="s">
        <v>2807</v>
      </c>
      <c r="D834" s="125">
        <v>5000000</v>
      </c>
      <c r="E834" s="125">
        <v>849961.51</v>
      </c>
      <c r="F834" s="12">
        <v>54</v>
      </c>
      <c r="G834" s="12">
        <v>180</v>
      </c>
      <c r="H834" s="12">
        <v>0</v>
      </c>
      <c r="I834" s="13">
        <v>42660.71446427083</v>
      </c>
      <c r="J834" s="13">
        <v>43025</v>
      </c>
      <c r="K834" s="12" t="s">
        <v>25</v>
      </c>
      <c r="L834" s="12" t="s">
        <v>26</v>
      </c>
      <c r="M834" s="12" t="s">
        <v>26</v>
      </c>
      <c r="N834" s="12" t="s">
        <v>5725</v>
      </c>
      <c r="O834" s="12"/>
      <c r="P834" s="12"/>
      <c r="Q834" s="12"/>
    </row>
    <row r="835" spans="1:17" x14ac:dyDescent="0.25">
      <c r="A835" s="11">
        <v>200501</v>
      </c>
      <c r="B835" s="12" t="s">
        <v>3153</v>
      </c>
      <c r="C835" s="12" t="s">
        <v>2807</v>
      </c>
      <c r="D835" s="125">
        <v>38000000</v>
      </c>
      <c r="E835" s="125">
        <v>21121764.120000001</v>
      </c>
      <c r="F835" s="12">
        <v>40</v>
      </c>
      <c r="G835" s="12">
        <v>180</v>
      </c>
      <c r="H835" s="12">
        <v>0</v>
      </c>
      <c r="I835" s="13">
        <v>42661.501257835647</v>
      </c>
      <c r="J835" s="13">
        <v>43391</v>
      </c>
      <c r="K835" s="12" t="s">
        <v>29</v>
      </c>
      <c r="L835" s="12" t="s">
        <v>96</v>
      </c>
      <c r="M835" s="12" t="s">
        <v>96</v>
      </c>
      <c r="N835" s="12" t="s">
        <v>1447</v>
      </c>
      <c r="O835" s="12"/>
      <c r="P835" s="12"/>
      <c r="Q835" s="12"/>
    </row>
    <row r="836" spans="1:17" x14ac:dyDescent="0.25">
      <c r="A836" s="11">
        <v>200502</v>
      </c>
      <c r="B836" s="12" t="s">
        <v>2953</v>
      </c>
      <c r="C836" s="12" t="s">
        <v>2807</v>
      </c>
      <c r="D836" s="125">
        <v>52000000</v>
      </c>
      <c r="E836" s="125">
        <v>40886099.460000001</v>
      </c>
      <c r="F836" s="12">
        <v>40</v>
      </c>
      <c r="G836" s="12">
        <v>180</v>
      </c>
      <c r="H836" s="12">
        <v>0</v>
      </c>
      <c r="I836" s="13">
        <v>42662.698448263887</v>
      </c>
      <c r="J836" s="13">
        <v>43757</v>
      </c>
      <c r="K836" s="12" t="s">
        <v>44</v>
      </c>
      <c r="L836" s="12" t="s">
        <v>75</v>
      </c>
      <c r="M836" s="12" t="s">
        <v>26</v>
      </c>
      <c r="N836" s="12" t="s">
        <v>491</v>
      </c>
      <c r="O836" s="12"/>
      <c r="P836" s="12"/>
      <c r="Q836" s="12"/>
    </row>
    <row r="837" spans="1:17" x14ac:dyDescent="0.25">
      <c r="A837" s="11">
        <v>200503</v>
      </c>
      <c r="B837" s="12" t="s">
        <v>3161</v>
      </c>
      <c r="C837" s="12" t="s">
        <v>2807</v>
      </c>
      <c r="D837" s="125">
        <v>45000000</v>
      </c>
      <c r="E837" s="125">
        <v>34396651.450000003</v>
      </c>
      <c r="F837" s="12">
        <v>40</v>
      </c>
      <c r="G837" s="12">
        <v>180</v>
      </c>
      <c r="H837" s="12">
        <v>0</v>
      </c>
      <c r="I837" s="13">
        <v>42663.50077885417</v>
      </c>
      <c r="J837" s="13">
        <v>43758</v>
      </c>
      <c r="K837" s="12" t="s">
        <v>44</v>
      </c>
      <c r="L837" s="12" t="s">
        <v>75</v>
      </c>
      <c r="M837" s="12" t="s">
        <v>26</v>
      </c>
      <c r="N837" s="12" t="s">
        <v>1448</v>
      </c>
      <c r="O837" s="12"/>
      <c r="P837" s="12"/>
      <c r="Q837" s="12"/>
    </row>
    <row r="838" spans="1:17" x14ac:dyDescent="0.25">
      <c r="A838" s="11">
        <v>200506</v>
      </c>
      <c r="B838" s="12" t="s">
        <v>3168</v>
      </c>
      <c r="C838" s="12" t="s">
        <v>1449</v>
      </c>
      <c r="D838" s="125">
        <v>2500000</v>
      </c>
      <c r="E838" s="125">
        <v>450795.7</v>
      </c>
      <c r="F838" s="12">
        <v>54</v>
      </c>
      <c r="G838" s="12">
        <v>180</v>
      </c>
      <c r="H838" s="12">
        <v>0</v>
      </c>
      <c r="I838" s="13">
        <v>42664.51456369213</v>
      </c>
      <c r="J838" s="13">
        <v>43029</v>
      </c>
      <c r="K838" s="12" t="s">
        <v>25</v>
      </c>
      <c r="L838" s="12" t="s">
        <v>88</v>
      </c>
      <c r="M838" s="12" t="s">
        <v>285</v>
      </c>
      <c r="N838" s="12" t="s">
        <v>2861</v>
      </c>
      <c r="O838" s="12"/>
      <c r="P838" s="12"/>
      <c r="Q838" s="12"/>
    </row>
    <row r="839" spans="1:17" x14ac:dyDescent="0.25">
      <c r="A839" s="11">
        <v>200512</v>
      </c>
      <c r="B839" s="12" t="s">
        <v>1728</v>
      </c>
      <c r="C839" s="12" t="s">
        <v>1449</v>
      </c>
      <c r="D839" s="125">
        <v>65000000</v>
      </c>
      <c r="E839" s="125">
        <v>51893568.420000002</v>
      </c>
      <c r="F839" s="12">
        <v>36</v>
      </c>
      <c r="G839" s="12">
        <v>180</v>
      </c>
      <c r="H839" s="12">
        <v>0</v>
      </c>
      <c r="I839" s="13">
        <v>42667.573399224537</v>
      </c>
      <c r="J839" s="13">
        <v>43763</v>
      </c>
      <c r="K839" s="12" t="s">
        <v>44</v>
      </c>
      <c r="L839" s="12" t="s">
        <v>92</v>
      </c>
      <c r="M839" s="12" t="s">
        <v>92</v>
      </c>
      <c r="N839" s="12" t="s">
        <v>5725</v>
      </c>
      <c r="O839" s="12"/>
      <c r="P839" s="12"/>
      <c r="Q839" s="12"/>
    </row>
    <row r="840" spans="1:17" x14ac:dyDescent="0.25">
      <c r="A840" s="11">
        <v>200513</v>
      </c>
      <c r="B840" s="12" t="s">
        <v>3175</v>
      </c>
      <c r="C840" s="12" t="s">
        <v>2807</v>
      </c>
      <c r="D840" s="125">
        <v>1000000</v>
      </c>
      <c r="E840" s="125">
        <v>393430.25</v>
      </c>
      <c r="F840" s="12">
        <v>54</v>
      </c>
      <c r="G840" s="12">
        <v>180</v>
      </c>
      <c r="H840" s="12">
        <v>0</v>
      </c>
      <c r="I840" s="13">
        <v>42667.644321180553</v>
      </c>
      <c r="J840" s="13">
        <v>43032</v>
      </c>
      <c r="K840" s="12" t="s">
        <v>25</v>
      </c>
      <c r="L840" s="12" t="s">
        <v>290</v>
      </c>
      <c r="M840" s="12" t="s">
        <v>1825</v>
      </c>
      <c r="N840" s="12" t="s">
        <v>3074</v>
      </c>
      <c r="O840" s="12"/>
      <c r="P840" s="12"/>
      <c r="Q840" s="12"/>
    </row>
    <row r="841" spans="1:17" x14ac:dyDescent="0.25">
      <c r="A841" s="11">
        <v>200521</v>
      </c>
      <c r="B841" s="12" t="s">
        <v>3187</v>
      </c>
      <c r="C841" s="12" t="s">
        <v>2807</v>
      </c>
      <c r="D841" s="125">
        <v>15000000</v>
      </c>
      <c r="E841" s="125">
        <v>10754776.17</v>
      </c>
      <c r="F841" s="12">
        <v>40</v>
      </c>
      <c r="G841" s="12">
        <v>180</v>
      </c>
      <c r="H841" s="12">
        <v>0</v>
      </c>
      <c r="I841" s="13">
        <v>42669.510123495369</v>
      </c>
      <c r="J841" s="13">
        <v>43405</v>
      </c>
      <c r="K841" s="12" t="s">
        <v>44</v>
      </c>
      <c r="L841" s="12" t="s">
        <v>75</v>
      </c>
      <c r="M841" s="12" t="s">
        <v>26</v>
      </c>
      <c r="N841" s="12" t="s">
        <v>1039</v>
      </c>
      <c r="O841" s="12"/>
      <c r="P841" s="12"/>
      <c r="Q841" s="12"/>
    </row>
    <row r="842" spans="1:17" x14ac:dyDescent="0.25">
      <c r="A842" s="11">
        <v>200527</v>
      </c>
      <c r="B842" s="12" t="s">
        <v>3195</v>
      </c>
      <c r="C842" s="12" t="s">
        <v>1449</v>
      </c>
      <c r="D842" s="125">
        <v>7000000</v>
      </c>
      <c r="E842" s="125">
        <v>3361180.19</v>
      </c>
      <c r="F842" s="12">
        <v>50</v>
      </c>
      <c r="G842" s="12">
        <v>180</v>
      </c>
      <c r="H842" s="12">
        <v>0</v>
      </c>
      <c r="I842" s="13">
        <v>42670.688696377314</v>
      </c>
      <c r="J842" s="13">
        <v>43221</v>
      </c>
      <c r="K842" s="12" t="s">
        <v>25</v>
      </c>
      <c r="L842" s="12" t="s">
        <v>32</v>
      </c>
      <c r="M842" s="12" t="s">
        <v>517</v>
      </c>
      <c r="N842" s="12" t="s">
        <v>4684</v>
      </c>
      <c r="O842" s="12"/>
      <c r="P842" s="12"/>
      <c r="Q842" s="12"/>
    </row>
    <row r="843" spans="1:17" x14ac:dyDescent="0.25">
      <c r="A843" s="11">
        <v>200532</v>
      </c>
      <c r="B843" s="12" t="s">
        <v>3205</v>
      </c>
      <c r="C843" s="12" t="s">
        <v>2807</v>
      </c>
      <c r="D843" s="125">
        <v>3000000</v>
      </c>
      <c r="E843" s="125">
        <v>147614.32</v>
      </c>
      <c r="F843" s="12">
        <v>54</v>
      </c>
      <c r="G843" s="12">
        <v>180</v>
      </c>
      <c r="H843" s="12">
        <v>0</v>
      </c>
      <c r="I843" s="13">
        <v>42671.680053935183</v>
      </c>
      <c r="J843" s="13">
        <v>43040</v>
      </c>
      <c r="K843" s="12" t="s">
        <v>44</v>
      </c>
      <c r="L843" s="12" t="s">
        <v>75</v>
      </c>
      <c r="M843" s="12" t="s">
        <v>26</v>
      </c>
      <c r="N843" s="12" t="s">
        <v>963</v>
      </c>
      <c r="O843" s="12"/>
      <c r="P843" s="12"/>
      <c r="Q843" s="12"/>
    </row>
    <row r="844" spans="1:17" x14ac:dyDescent="0.25">
      <c r="A844" s="11">
        <v>200535</v>
      </c>
      <c r="B844" s="12" t="s">
        <v>3224</v>
      </c>
      <c r="C844" s="12" t="s">
        <v>2807</v>
      </c>
      <c r="D844" s="125">
        <v>5000000</v>
      </c>
      <c r="E844" s="125">
        <v>138423.26</v>
      </c>
      <c r="F844" s="12">
        <v>54</v>
      </c>
      <c r="G844" s="12">
        <v>180</v>
      </c>
      <c r="H844" s="12">
        <v>0</v>
      </c>
      <c r="I844" s="13">
        <v>42674.474566400466</v>
      </c>
      <c r="J844" s="13">
        <v>43040</v>
      </c>
      <c r="K844" s="12" t="s">
        <v>25</v>
      </c>
      <c r="L844" s="12" t="s">
        <v>26</v>
      </c>
      <c r="M844" s="12" t="s">
        <v>26</v>
      </c>
      <c r="N844" s="12" t="s">
        <v>1447</v>
      </c>
      <c r="O844" s="12"/>
      <c r="P844" s="12"/>
      <c r="Q844" s="12"/>
    </row>
    <row r="845" spans="1:17" x14ac:dyDescent="0.25">
      <c r="A845" s="11">
        <v>200541</v>
      </c>
      <c r="B845" s="12" t="s">
        <v>3232</v>
      </c>
      <c r="C845" s="12" t="s">
        <v>80</v>
      </c>
      <c r="D845" s="125">
        <v>15000000</v>
      </c>
      <c r="E845" s="125">
        <v>10708766.49</v>
      </c>
      <c r="F845" s="12">
        <v>40</v>
      </c>
      <c r="G845" s="12">
        <v>180</v>
      </c>
      <c r="H845" s="12">
        <v>0</v>
      </c>
      <c r="I845" s="13">
        <v>42674.88020378472</v>
      </c>
      <c r="J845" s="13">
        <v>43405</v>
      </c>
      <c r="K845" s="12" t="s">
        <v>44</v>
      </c>
      <c r="L845" s="12" t="s">
        <v>75</v>
      </c>
      <c r="M845" s="12" t="s">
        <v>26</v>
      </c>
      <c r="N845" s="12" t="s">
        <v>1467</v>
      </c>
      <c r="O845" s="12"/>
      <c r="P845" s="12"/>
      <c r="Q845" s="12"/>
    </row>
    <row r="846" spans="1:17" x14ac:dyDescent="0.25">
      <c r="A846" s="11">
        <v>200545</v>
      </c>
      <c r="B846" s="12" t="s">
        <v>3229</v>
      </c>
      <c r="C846" s="12" t="s">
        <v>2807</v>
      </c>
      <c r="D846" s="125">
        <v>5000000</v>
      </c>
      <c r="E846" s="125">
        <v>635562.06999999995</v>
      </c>
      <c r="F846" s="12">
        <v>54</v>
      </c>
      <c r="G846" s="12">
        <v>180</v>
      </c>
      <c r="H846" s="12">
        <v>0</v>
      </c>
      <c r="I846" s="13">
        <v>42674.934417789351</v>
      </c>
      <c r="J846" s="13">
        <v>43040</v>
      </c>
      <c r="K846" s="12" t="s">
        <v>44</v>
      </c>
      <c r="L846" s="12" t="s">
        <v>75</v>
      </c>
      <c r="M846" s="12" t="s">
        <v>26</v>
      </c>
      <c r="N846" s="12" t="s">
        <v>90</v>
      </c>
      <c r="O846" s="12"/>
      <c r="P846" s="12"/>
      <c r="Q846" s="12"/>
    </row>
    <row r="847" spans="1:17" x14ac:dyDescent="0.25">
      <c r="A847" s="11">
        <v>200551</v>
      </c>
      <c r="B847" s="12" t="s">
        <v>3261</v>
      </c>
      <c r="C847" s="12" t="s">
        <v>1449</v>
      </c>
      <c r="D847" s="125">
        <v>3000000</v>
      </c>
      <c r="E847" s="125">
        <v>1250308.6100000001</v>
      </c>
      <c r="F847" s="12">
        <v>54</v>
      </c>
      <c r="G847" s="12">
        <v>180</v>
      </c>
      <c r="H847" s="12">
        <v>0</v>
      </c>
      <c r="I847" s="13">
        <v>42676.657568483795</v>
      </c>
      <c r="J847" s="13">
        <v>42918</v>
      </c>
      <c r="K847" s="12" t="s">
        <v>46</v>
      </c>
      <c r="L847" s="12" t="s">
        <v>46</v>
      </c>
      <c r="M847" s="12" t="s">
        <v>1812</v>
      </c>
      <c r="N847" s="12" t="s">
        <v>3074</v>
      </c>
      <c r="O847" s="12"/>
      <c r="P847" s="12"/>
      <c r="Q847" s="12"/>
    </row>
    <row r="848" spans="1:17" x14ac:dyDescent="0.25">
      <c r="A848" s="11">
        <v>200553</v>
      </c>
      <c r="B848" s="12" t="s">
        <v>3269</v>
      </c>
      <c r="C848" s="12" t="s">
        <v>1449</v>
      </c>
      <c r="D848" s="125">
        <v>15000000</v>
      </c>
      <c r="E848" s="125">
        <v>1490362.83</v>
      </c>
      <c r="F848" s="12">
        <v>54</v>
      </c>
      <c r="G848" s="12">
        <v>180</v>
      </c>
      <c r="H848" s="12">
        <v>0</v>
      </c>
      <c r="I848" s="13">
        <v>42677.678876076388</v>
      </c>
      <c r="J848" s="13">
        <v>43042</v>
      </c>
      <c r="K848" s="12" t="s">
        <v>25</v>
      </c>
      <c r="L848" s="12" t="s">
        <v>289</v>
      </c>
      <c r="M848" s="12" t="s">
        <v>1771</v>
      </c>
      <c r="N848" s="12" t="s">
        <v>1448</v>
      </c>
      <c r="O848" s="12"/>
      <c r="P848" s="12"/>
      <c r="Q848" s="12"/>
    </row>
    <row r="849" spans="1:17" x14ac:dyDescent="0.25">
      <c r="A849" s="11">
        <v>200555</v>
      </c>
      <c r="B849" s="12" t="s">
        <v>3271</v>
      </c>
      <c r="C849" s="12" t="s">
        <v>1449</v>
      </c>
      <c r="D849" s="125">
        <v>3500000</v>
      </c>
      <c r="E849" s="125">
        <v>1689849.42</v>
      </c>
      <c r="F849" s="12">
        <v>54</v>
      </c>
      <c r="G849" s="12">
        <v>180</v>
      </c>
      <c r="H849" s="12">
        <v>0</v>
      </c>
      <c r="I849" s="13">
        <v>42677.750233449071</v>
      </c>
      <c r="J849" s="13">
        <v>43044</v>
      </c>
      <c r="K849" s="12" t="s">
        <v>44</v>
      </c>
      <c r="L849" s="12" t="s">
        <v>75</v>
      </c>
      <c r="M849" s="12" t="s">
        <v>1442</v>
      </c>
      <c r="N849" s="12" t="s">
        <v>1467</v>
      </c>
      <c r="O849" s="12"/>
      <c r="P849" s="12"/>
      <c r="Q849" s="12"/>
    </row>
    <row r="850" spans="1:17" x14ac:dyDescent="0.25">
      <c r="A850" s="11">
        <v>200557</v>
      </c>
      <c r="B850" s="12" t="s">
        <v>3289</v>
      </c>
      <c r="C850" s="12" t="s">
        <v>1449</v>
      </c>
      <c r="D850" s="125">
        <v>3000000</v>
      </c>
      <c r="E850" s="125">
        <v>1444296.02</v>
      </c>
      <c r="F850" s="12">
        <v>54</v>
      </c>
      <c r="G850" s="12">
        <v>180</v>
      </c>
      <c r="H850" s="12">
        <v>0</v>
      </c>
      <c r="I850" s="13">
        <v>42679.429257060183</v>
      </c>
      <c r="J850" s="13">
        <v>43044</v>
      </c>
      <c r="K850" s="12" t="s">
        <v>25</v>
      </c>
      <c r="L850" s="12" t="s">
        <v>32</v>
      </c>
      <c r="M850" s="12" t="s">
        <v>517</v>
      </c>
      <c r="N850" s="12" t="s">
        <v>1039</v>
      </c>
      <c r="O850" s="12"/>
      <c r="P850" s="12"/>
      <c r="Q850" s="12"/>
    </row>
    <row r="851" spans="1:17" x14ac:dyDescent="0.25">
      <c r="A851" s="11">
        <v>200563</v>
      </c>
      <c r="B851" s="12" t="s">
        <v>3036</v>
      </c>
      <c r="C851" s="12" t="s">
        <v>2807</v>
      </c>
      <c r="D851" s="125">
        <v>65000000</v>
      </c>
      <c r="E851" s="125">
        <v>50421285.609999999</v>
      </c>
      <c r="F851" s="12">
        <v>36</v>
      </c>
      <c r="G851" s="12">
        <v>180</v>
      </c>
      <c r="H851" s="12">
        <v>0</v>
      </c>
      <c r="I851" s="13">
        <v>42684.534706018516</v>
      </c>
      <c r="J851" s="13">
        <v>43779</v>
      </c>
      <c r="K851" s="12" t="s">
        <v>44</v>
      </c>
      <c r="L851" s="12" t="s">
        <v>75</v>
      </c>
      <c r="M851" s="12" t="s">
        <v>26</v>
      </c>
      <c r="N851" s="12" t="s">
        <v>546</v>
      </c>
      <c r="O851" s="12"/>
      <c r="P851" s="12"/>
      <c r="Q851" s="12"/>
    </row>
    <row r="852" spans="1:17" x14ac:dyDescent="0.25">
      <c r="A852" s="11">
        <v>200564</v>
      </c>
      <c r="B852" s="12" t="s">
        <v>2084</v>
      </c>
      <c r="C852" s="12" t="s">
        <v>2807</v>
      </c>
      <c r="D852" s="125">
        <v>35000000</v>
      </c>
      <c r="E852" s="125">
        <v>20571537.48</v>
      </c>
      <c r="F852" s="12">
        <v>36</v>
      </c>
      <c r="G852" s="12">
        <v>180</v>
      </c>
      <c r="H852" s="12">
        <v>0</v>
      </c>
      <c r="I852" s="13">
        <v>42684.633021678237</v>
      </c>
      <c r="J852" s="13">
        <v>43414</v>
      </c>
      <c r="K852" s="12" t="s">
        <v>44</v>
      </c>
      <c r="L852" s="12" t="s">
        <v>75</v>
      </c>
      <c r="M852" s="12" t="s">
        <v>26</v>
      </c>
      <c r="N852" s="12" t="s">
        <v>1667</v>
      </c>
      <c r="O852" s="12"/>
      <c r="P852" s="12"/>
      <c r="Q852" s="12"/>
    </row>
    <row r="853" spans="1:17" x14ac:dyDescent="0.25">
      <c r="A853" s="11">
        <v>200567</v>
      </c>
      <c r="B853" s="12" t="s">
        <v>3314</v>
      </c>
      <c r="C853" s="12" t="s">
        <v>1449</v>
      </c>
      <c r="D853" s="125">
        <v>30000000</v>
      </c>
      <c r="E853" s="125">
        <v>12422815.15</v>
      </c>
      <c r="F853" s="12">
        <v>48</v>
      </c>
      <c r="G853" s="12">
        <v>180</v>
      </c>
      <c r="H853" s="12">
        <v>0</v>
      </c>
      <c r="I853" s="13">
        <v>42684.672505821756</v>
      </c>
      <c r="J853" s="13">
        <v>43230</v>
      </c>
      <c r="K853" s="12" t="s">
        <v>45</v>
      </c>
      <c r="L853" s="12" t="s">
        <v>45</v>
      </c>
      <c r="M853" s="12" t="s">
        <v>89</v>
      </c>
      <c r="N853" s="12" t="s">
        <v>468</v>
      </c>
      <c r="O853" s="12"/>
      <c r="P853" s="12"/>
      <c r="Q853" s="12"/>
    </row>
    <row r="854" spans="1:17" x14ac:dyDescent="0.25">
      <c r="A854" s="11">
        <v>200570</v>
      </c>
      <c r="B854" s="12" t="s">
        <v>3327</v>
      </c>
      <c r="C854" s="12" t="s">
        <v>2807</v>
      </c>
      <c r="D854" s="125">
        <v>7000000</v>
      </c>
      <c r="E854" s="125">
        <v>691035.23</v>
      </c>
      <c r="F854" s="12">
        <v>50</v>
      </c>
      <c r="G854" s="12">
        <v>180</v>
      </c>
      <c r="H854" s="12">
        <v>0</v>
      </c>
      <c r="I854" s="13">
        <v>42685.629395173608</v>
      </c>
      <c r="J854" s="13">
        <v>43050</v>
      </c>
      <c r="K854" s="12" t="s">
        <v>36</v>
      </c>
      <c r="L854" s="12" t="s">
        <v>97</v>
      </c>
      <c r="M854" s="12" t="s">
        <v>98</v>
      </c>
      <c r="N854" s="12" t="s">
        <v>1925</v>
      </c>
      <c r="O854" s="12"/>
      <c r="P854" s="12"/>
      <c r="Q854" s="12"/>
    </row>
    <row r="855" spans="1:17" x14ac:dyDescent="0.25">
      <c r="A855" s="11">
        <v>200572</v>
      </c>
      <c r="B855" s="12" t="s">
        <v>3349</v>
      </c>
      <c r="C855" s="12" t="s">
        <v>1449</v>
      </c>
      <c r="D855" s="125">
        <v>8000000</v>
      </c>
      <c r="E855" s="125">
        <v>6432897.4900000002</v>
      </c>
      <c r="F855" s="12">
        <v>40</v>
      </c>
      <c r="G855" s="12">
        <v>180</v>
      </c>
      <c r="H855" s="12">
        <v>0</v>
      </c>
      <c r="I855" s="13">
        <v>42686.51169861111</v>
      </c>
      <c r="J855" s="13">
        <v>43416</v>
      </c>
      <c r="K855" s="12" t="s">
        <v>44</v>
      </c>
      <c r="L855" s="12" t="s">
        <v>75</v>
      </c>
      <c r="M855" s="12" t="s">
        <v>1442</v>
      </c>
      <c r="N855" s="12" t="s">
        <v>3074</v>
      </c>
      <c r="O855" s="12"/>
      <c r="P855" s="12"/>
      <c r="Q855" s="12"/>
    </row>
    <row r="856" spans="1:17" x14ac:dyDescent="0.25">
      <c r="A856" s="11">
        <v>200573</v>
      </c>
      <c r="B856" s="12" t="s">
        <v>1762</v>
      </c>
      <c r="C856" s="12" t="s">
        <v>2807</v>
      </c>
      <c r="D856" s="125">
        <v>16000000</v>
      </c>
      <c r="E856" s="125">
        <v>6463904.96</v>
      </c>
      <c r="F856" s="12">
        <v>42</v>
      </c>
      <c r="G856" s="12">
        <v>180</v>
      </c>
      <c r="H856" s="12">
        <v>0</v>
      </c>
      <c r="I856" s="13">
        <v>42686.532003125001</v>
      </c>
      <c r="J856" s="13">
        <v>43232</v>
      </c>
      <c r="K856" s="12" t="s">
        <v>25</v>
      </c>
      <c r="L856" s="12" t="s">
        <v>26</v>
      </c>
      <c r="M856" s="12" t="s">
        <v>26</v>
      </c>
      <c r="N856" s="12" t="s">
        <v>1667</v>
      </c>
      <c r="O856" s="12"/>
      <c r="P856" s="12"/>
      <c r="Q856" s="12"/>
    </row>
    <row r="857" spans="1:17" x14ac:dyDescent="0.25">
      <c r="A857" s="11">
        <v>200574</v>
      </c>
      <c r="B857" s="12" t="s">
        <v>3348</v>
      </c>
      <c r="C857" s="12" t="s">
        <v>1449</v>
      </c>
      <c r="D857" s="125">
        <v>8000000</v>
      </c>
      <c r="E857" s="125">
        <v>5696369.46</v>
      </c>
      <c r="F857" s="12">
        <v>40</v>
      </c>
      <c r="G857" s="12">
        <v>180</v>
      </c>
      <c r="H857" s="12">
        <v>0</v>
      </c>
      <c r="I857" s="13">
        <v>42686.558729282406</v>
      </c>
      <c r="J857" s="13">
        <v>43597</v>
      </c>
      <c r="K857" s="12" t="s">
        <v>44</v>
      </c>
      <c r="L857" s="12" t="s">
        <v>75</v>
      </c>
      <c r="M857" s="12" t="s">
        <v>1442</v>
      </c>
      <c r="N857" s="12" t="s">
        <v>2175</v>
      </c>
      <c r="O857" s="12"/>
      <c r="P857" s="12"/>
      <c r="Q857" s="12"/>
    </row>
    <row r="858" spans="1:17" x14ac:dyDescent="0.25">
      <c r="A858" s="11">
        <v>200576</v>
      </c>
      <c r="B858" s="12" t="s">
        <v>3346</v>
      </c>
      <c r="C858" s="12" t="s">
        <v>2807</v>
      </c>
      <c r="D858" s="125">
        <v>5000000</v>
      </c>
      <c r="E858" s="125">
        <v>591415.88</v>
      </c>
      <c r="F858" s="12">
        <v>54</v>
      </c>
      <c r="G858" s="12">
        <v>180</v>
      </c>
      <c r="H858" s="12">
        <v>0</v>
      </c>
      <c r="I858" s="13">
        <v>42686.587221296293</v>
      </c>
      <c r="J858" s="13">
        <v>43051</v>
      </c>
      <c r="K858" s="12" t="s">
        <v>25</v>
      </c>
      <c r="L858" s="12" t="s">
        <v>26</v>
      </c>
      <c r="M858" s="12" t="s">
        <v>26</v>
      </c>
      <c r="N858" s="12" t="s">
        <v>2861</v>
      </c>
      <c r="O858" s="12"/>
      <c r="P858" s="12"/>
      <c r="Q858" s="12"/>
    </row>
    <row r="859" spans="1:17" x14ac:dyDescent="0.25">
      <c r="A859" s="11">
        <v>200584</v>
      </c>
      <c r="B859" s="12" t="s">
        <v>3394</v>
      </c>
      <c r="C859" s="12" t="s">
        <v>2807</v>
      </c>
      <c r="D859" s="125">
        <v>65000000</v>
      </c>
      <c r="E859" s="125">
        <v>52485275.039999999</v>
      </c>
      <c r="F859" s="12">
        <v>40</v>
      </c>
      <c r="G859" s="12">
        <v>180</v>
      </c>
      <c r="H859" s="12">
        <v>0</v>
      </c>
      <c r="I859" s="13">
        <v>42691.642452662039</v>
      </c>
      <c r="J859" s="13">
        <v>43786</v>
      </c>
      <c r="K859" s="12" t="s">
        <v>31</v>
      </c>
      <c r="L859" s="12" t="s">
        <v>416</v>
      </c>
      <c r="M859" s="12" t="s">
        <v>518</v>
      </c>
      <c r="N859" s="12" t="s">
        <v>4684</v>
      </c>
      <c r="O859" s="12"/>
      <c r="P859" s="12"/>
      <c r="Q859" s="12"/>
    </row>
    <row r="860" spans="1:17" x14ac:dyDescent="0.25">
      <c r="A860" s="11">
        <v>200585</v>
      </c>
      <c r="B860" s="12" t="s">
        <v>3396</v>
      </c>
      <c r="C860" s="12" t="s">
        <v>2807</v>
      </c>
      <c r="D860" s="125">
        <v>1000000</v>
      </c>
      <c r="E860" s="125">
        <v>391007.09</v>
      </c>
      <c r="F860" s="12">
        <v>54</v>
      </c>
      <c r="G860" s="12">
        <v>180</v>
      </c>
      <c r="H860" s="12">
        <v>0</v>
      </c>
      <c r="I860" s="13">
        <v>42691.705971793985</v>
      </c>
      <c r="J860" s="13">
        <v>42933</v>
      </c>
      <c r="K860" s="12" t="s">
        <v>25</v>
      </c>
      <c r="L860" s="12" t="s">
        <v>88</v>
      </c>
      <c r="M860" s="12" t="s">
        <v>285</v>
      </c>
      <c r="N860" s="12" t="s">
        <v>963</v>
      </c>
      <c r="O860" s="12"/>
      <c r="P860" s="12"/>
      <c r="Q860" s="12"/>
    </row>
    <row r="861" spans="1:17" x14ac:dyDescent="0.25">
      <c r="A861" s="11">
        <v>200589</v>
      </c>
      <c r="B861" s="12" t="s">
        <v>3402</v>
      </c>
      <c r="C861" s="12" t="s">
        <v>2807</v>
      </c>
      <c r="D861" s="125">
        <v>6000000</v>
      </c>
      <c r="E861" s="125">
        <v>629662.35</v>
      </c>
      <c r="F861" s="12">
        <v>54</v>
      </c>
      <c r="G861" s="12">
        <v>180</v>
      </c>
      <c r="H861" s="12">
        <v>0</v>
      </c>
      <c r="I861" s="13">
        <v>42691.700877280091</v>
      </c>
      <c r="J861" s="13">
        <v>43056</v>
      </c>
      <c r="K861" s="12" t="s">
        <v>46</v>
      </c>
      <c r="L861" s="12" t="s">
        <v>46</v>
      </c>
      <c r="M861" s="12" t="s">
        <v>844</v>
      </c>
      <c r="N861" s="12" t="s">
        <v>2861</v>
      </c>
      <c r="O861" s="12"/>
      <c r="P861" s="12"/>
      <c r="Q861" s="12"/>
    </row>
    <row r="862" spans="1:17" x14ac:dyDescent="0.25">
      <c r="A862" s="11">
        <v>200593</v>
      </c>
      <c r="B862" s="12" t="s">
        <v>3425</v>
      </c>
      <c r="C862" s="12" t="s">
        <v>1449</v>
      </c>
      <c r="D862" s="125">
        <v>16000000</v>
      </c>
      <c r="E862" s="125">
        <v>9848596</v>
      </c>
      <c r="F862" s="12">
        <v>48</v>
      </c>
      <c r="G862" s="12">
        <v>180</v>
      </c>
      <c r="H862" s="12">
        <v>0</v>
      </c>
      <c r="I862" s="13">
        <v>42692.404183483799</v>
      </c>
      <c r="J862" s="13">
        <v>43422</v>
      </c>
      <c r="K862" s="12" t="s">
        <v>36</v>
      </c>
      <c r="L862" s="12" t="s">
        <v>26</v>
      </c>
      <c r="M862" s="12" t="s">
        <v>26</v>
      </c>
      <c r="N862" s="12" t="s">
        <v>2538</v>
      </c>
      <c r="O862" s="12"/>
      <c r="P862" s="12"/>
      <c r="Q862" s="12"/>
    </row>
    <row r="863" spans="1:17" x14ac:dyDescent="0.25">
      <c r="A863" s="11">
        <v>200598</v>
      </c>
      <c r="B863" s="12" t="s">
        <v>3428</v>
      </c>
      <c r="C863" s="12" t="s">
        <v>1449</v>
      </c>
      <c r="D863" s="125">
        <v>60000000</v>
      </c>
      <c r="E863" s="125">
        <v>35827178.759999998</v>
      </c>
      <c r="F863" s="12">
        <v>40</v>
      </c>
      <c r="G863" s="12">
        <v>180</v>
      </c>
      <c r="H863" s="12">
        <v>0</v>
      </c>
      <c r="I863" s="13">
        <v>42693.53923159722</v>
      </c>
      <c r="J863" s="13">
        <v>43423</v>
      </c>
      <c r="K863" s="12" t="s">
        <v>44</v>
      </c>
      <c r="L863" s="12" t="s">
        <v>75</v>
      </c>
      <c r="M863" s="12" t="s">
        <v>1442</v>
      </c>
      <c r="N863" s="12" t="s">
        <v>1448</v>
      </c>
      <c r="O863" s="12"/>
      <c r="P863" s="12"/>
      <c r="Q863" s="12"/>
    </row>
    <row r="864" spans="1:17" x14ac:dyDescent="0.25">
      <c r="A864" s="11">
        <v>200601</v>
      </c>
      <c r="B864" s="12" t="s">
        <v>2007</v>
      </c>
      <c r="C864" s="12" t="s">
        <v>2807</v>
      </c>
      <c r="D864" s="125">
        <v>7000000</v>
      </c>
      <c r="E864" s="125">
        <v>653787.15</v>
      </c>
      <c r="F864" s="12">
        <v>44</v>
      </c>
      <c r="G864" s="12">
        <v>180</v>
      </c>
      <c r="H864" s="12">
        <v>0</v>
      </c>
      <c r="I864" s="13">
        <v>42695.688144560183</v>
      </c>
      <c r="J864" s="13">
        <v>43060</v>
      </c>
      <c r="K864" s="12" t="s">
        <v>44</v>
      </c>
      <c r="L864" s="12" t="s">
        <v>75</v>
      </c>
      <c r="M864" s="12" t="s">
        <v>26</v>
      </c>
      <c r="N864" s="12" t="s">
        <v>1667</v>
      </c>
      <c r="O864" s="12"/>
      <c r="P864" s="12"/>
      <c r="Q864" s="12"/>
    </row>
    <row r="865" spans="1:17" x14ac:dyDescent="0.25">
      <c r="A865" s="11">
        <v>200603</v>
      </c>
      <c r="B865" s="12" t="s">
        <v>3451</v>
      </c>
      <c r="C865" s="12" t="s">
        <v>1449</v>
      </c>
      <c r="D865" s="125">
        <v>5000000</v>
      </c>
      <c r="E865" s="125">
        <v>3231150.28</v>
      </c>
      <c r="F865" s="12">
        <v>54</v>
      </c>
      <c r="G865" s="12">
        <v>180</v>
      </c>
      <c r="H865" s="12">
        <v>0</v>
      </c>
      <c r="I865" s="13">
        <v>42697.471511377313</v>
      </c>
      <c r="J865" s="13">
        <v>43062</v>
      </c>
      <c r="K865" s="12" t="s">
        <v>44</v>
      </c>
      <c r="L865" s="12" t="s">
        <v>75</v>
      </c>
      <c r="M865" s="12" t="s">
        <v>1442</v>
      </c>
      <c r="N865" s="12" t="s">
        <v>1467</v>
      </c>
      <c r="O865" s="12"/>
      <c r="P865" s="12"/>
      <c r="Q865" s="12"/>
    </row>
    <row r="866" spans="1:17" x14ac:dyDescent="0.25">
      <c r="A866" s="11">
        <v>200607</v>
      </c>
      <c r="B866" s="12" t="s">
        <v>3450</v>
      </c>
      <c r="C866" s="12" t="s">
        <v>1449</v>
      </c>
      <c r="D866" s="125">
        <v>2500000</v>
      </c>
      <c r="E866" s="125">
        <v>263112.48</v>
      </c>
      <c r="F866" s="12">
        <v>54</v>
      </c>
      <c r="G866" s="12">
        <v>180</v>
      </c>
      <c r="H866" s="12">
        <v>0</v>
      </c>
      <c r="I866" s="13">
        <v>42697.708770254627</v>
      </c>
      <c r="J866" s="13">
        <v>43064</v>
      </c>
      <c r="K866" s="12" t="s">
        <v>25</v>
      </c>
      <c r="L866" s="12" t="s">
        <v>290</v>
      </c>
      <c r="M866" s="12" t="s">
        <v>26</v>
      </c>
      <c r="N866" s="12" t="s">
        <v>2034</v>
      </c>
      <c r="O866" s="12"/>
      <c r="P866" s="12"/>
      <c r="Q866" s="12"/>
    </row>
    <row r="867" spans="1:17" x14ac:dyDescent="0.25">
      <c r="A867" s="11">
        <v>200611</v>
      </c>
      <c r="B867" s="12" t="s">
        <v>3467</v>
      </c>
      <c r="C867" s="12" t="s">
        <v>2807</v>
      </c>
      <c r="D867" s="125">
        <v>3000000</v>
      </c>
      <c r="E867" s="125">
        <v>314831.09999999998</v>
      </c>
      <c r="F867" s="12">
        <v>54</v>
      </c>
      <c r="G867" s="12">
        <v>180</v>
      </c>
      <c r="H867" s="12">
        <v>0</v>
      </c>
      <c r="I867" s="13">
        <v>42698.678439814816</v>
      </c>
      <c r="J867" s="13">
        <v>43063</v>
      </c>
      <c r="K867" s="12" t="s">
        <v>44</v>
      </c>
      <c r="L867" s="12" t="s">
        <v>75</v>
      </c>
      <c r="M867" s="12" t="s">
        <v>26</v>
      </c>
      <c r="N867" s="12" t="s">
        <v>2861</v>
      </c>
      <c r="O867" s="12"/>
      <c r="P867" s="12"/>
      <c r="Q867" s="12"/>
    </row>
    <row r="868" spans="1:17" x14ac:dyDescent="0.25">
      <c r="A868" s="11">
        <v>200612</v>
      </c>
      <c r="B868" s="12" t="s">
        <v>1655</v>
      </c>
      <c r="C868" s="12" t="s">
        <v>2807</v>
      </c>
      <c r="D868" s="125">
        <v>38000000</v>
      </c>
      <c r="E868" s="125">
        <v>31593451.030000001</v>
      </c>
      <c r="F868" s="12">
        <v>25</v>
      </c>
      <c r="G868" s="12">
        <v>180</v>
      </c>
      <c r="H868" s="12">
        <v>0</v>
      </c>
      <c r="I868" s="13">
        <v>42698.689469363424</v>
      </c>
      <c r="J868" s="13">
        <v>44156</v>
      </c>
      <c r="K868" s="12" t="s">
        <v>43</v>
      </c>
      <c r="L868" s="12" t="s">
        <v>338</v>
      </c>
      <c r="M868" s="12" t="s">
        <v>339</v>
      </c>
      <c r="N868" s="12" t="s">
        <v>284</v>
      </c>
      <c r="O868" s="12"/>
      <c r="P868" s="12"/>
      <c r="Q868" s="12"/>
    </row>
    <row r="869" spans="1:17" x14ac:dyDescent="0.25">
      <c r="A869" s="11">
        <v>200613</v>
      </c>
      <c r="B869" s="12" t="s">
        <v>3468</v>
      </c>
      <c r="C869" s="12" t="s">
        <v>1449</v>
      </c>
      <c r="D869" s="125">
        <v>5000000</v>
      </c>
      <c r="E869" s="125">
        <v>525471.80000000005</v>
      </c>
      <c r="F869" s="12">
        <v>54</v>
      </c>
      <c r="G869" s="12">
        <v>180</v>
      </c>
      <c r="H869" s="12">
        <v>0</v>
      </c>
      <c r="I869" s="13">
        <v>42698.514199421297</v>
      </c>
      <c r="J869" s="13">
        <v>43064</v>
      </c>
      <c r="K869" s="12" t="s">
        <v>45</v>
      </c>
      <c r="L869" s="12" t="s">
        <v>45</v>
      </c>
      <c r="M869" s="12" t="s">
        <v>89</v>
      </c>
      <c r="N869" s="12" t="s">
        <v>2034</v>
      </c>
      <c r="O869" s="12"/>
      <c r="P869" s="12"/>
      <c r="Q869" s="12"/>
    </row>
    <row r="870" spans="1:17" x14ac:dyDescent="0.25">
      <c r="A870" s="11">
        <v>200616</v>
      </c>
      <c r="B870" s="12" t="s">
        <v>3460</v>
      </c>
      <c r="C870" s="12" t="s">
        <v>1449</v>
      </c>
      <c r="D870" s="125">
        <v>12000000</v>
      </c>
      <c r="E870" s="125">
        <v>3411565.76</v>
      </c>
      <c r="F870" s="12">
        <v>54</v>
      </c>
      <c r="G870" s="12">
        <v>180</v>
      </c>
      <c r="H870" s="12">
        <v>0</v>
      </c>
      <c r="I870" s="13">
        <v>42698.689138923612</v>
      </c>
      <c r="J870" s="13">
        <v>43070</v>
      </c>
      <c r="K870" s="12" t="s">
        <v>36</v>
      </c>
      <c r="L870" s="12" t="s">
        <v>97</v>
      </c>
      <c r="M870" s="12" t="s">
        <v>98</v>
      </c>
      <c r="N870" s="12" t="s">
        <v>1039</v>
      </c>
      <c r="O870" s="12"/>
      <c r="P870" s="12"/>
      <c r="Q870" s="12"/>
    </row>
    <row r="871" spans="1:17" x14ac:dyDescent="0.25">
      <c r="A871" s="11">
        <v>200618</v>
      </c>
      <c r="B871" s="12" t="s">
        <v>3465</v>
      </c>
      <c r="C871" s="12" t="s">
        <v>1449</v>
      </c>
      <c r="D871" s="125">
        <v>15000000</v>
      </c>
      <c r="E871" s="125">
        <v>1498685.47</v>
      </c>
      <c r="F871" s="12">
        <v>40</v>
      </c>
      <c r="G871" s="12">
        <v>180</v>
      </c>
      <c r="H871" s="12">
        <v>0</v>
      </c>
      <c r="I871" s="13">
        <v>42698.749268321757</v>
      </c>
      <c r="J871" s="13">
        <v>43070</v>
      </c>
      <c r="K871" s="12" t="s">
        <v>37</v>
      </c>
      <c r="L871" s="12" t="s">
        <v>38</v>
      </c>
      <c r="M871" s="12" t="s">
        <v>1681</v>
      </c>
      <c r="N871" s="12" t="s">
        <v>2034</v>
      </c>
      <c r="O871" s="12"/>
      <c r="P871" s="12"/>
      <c r="Q871" s="12"/>
    </row>
    <row r="872" spans="1:17" x14ac:dyDescent="0.25">
      <c r="A872" s="11">
        <v>200624</v>
      </c>
      <c r="B872" s="12" t="s">
        <v>3489</v>
      </c>
      <c r="C872" s="12" t="s">
        <v>1449</v>
      </c>
      <c r="D872" s="125">
        <v>25000000</v>
      </c>
      <c r="E872" s="125">
        <v>17056856.73</v>
      </c>
      <c r="F872" s="12">
        <v>40</v>
      </c>
      <c r="G872" s="12">
        <v>180</v>
      </c>
      <c r="H872" s="12">
        <v>0</v>
      </c>
      <c r="I872" s="13">
        <v>42699.717979398149</v>
      </c>
      <c r="J872" s="13">
        <v>43438</v>
      </c>
      <c r="K872" s="12" t="s">
        <v>44</v>
      </c>
      <c r="L872" s="12" t="s">
        <v>75</v>
      </c>
      <c r="M872" s="12" t="s">
        <v>1442</v>
      </c>
      <c r="N872" s="12" t="s">
        <v>1925</v>
      </c>
      <c r="O872" s="12"/>
      <c r="P872" s="12"/>
      <c r="Q872" s="12"/>
    </row>
    <row r="873" spans="1:17" x14ac:dyDescent="0.25">
      <c r="A873" s="11">
        <v>200625</v>
      </c>
      <c r="B873" s="12" t="s">
        <v>3503</v>
      </c>
      <c r="C873" s="12" t="s">
        <v>2807</v>
      </c>
      <c r="D873" s="125">
        <v>5000000</v>
      </c>
      <c r="E873" s="125">
        <v>1069238.57</v>
      </c>
      <c r="F873" s="12">
        <v>40</v>
      </c>
      <c r="G873" s="12">
        <v>180</v>
      </c>
      <c r="H873" s="12">
        <v>0</v>
      </c>
      <c r="I873" s="13">
        <v>42700.540309756943</v>
      </c>
      <c r="J873" s="13">
        <v>43071</v>
      </c>
      <c r="K873" s="12" t="s">
        <v>44</v>
      </c>
      <c r="L873" s="12" t="s">
        <v>75</v>
      </c>
      <c r="M873" s="12" t="s">
        <v>26</v>
      </c>
      <c r="N873" s="12" t="s">
        <v>2538</v>
      </c>
      <c r="O873" s="12"/>
      <c r="P873" s="12"/>
      <c r="Q873" s="12"/>
    </row>
    <row r="874" spans="1:17" x14ac:dyDescent="0.25">
      <c r="A874" s="11">
        <v>200627</v>
      </c>
      <c r="B874" s="12" t="s">
        <v>3502</v>
      </c>
      <c r="C874" s="12" t="s">
        <v>1449</v>
      </c>
      <c r="D874" s="125">
        <v>5000000</v>
      </c>
      <c r="E874" s="125">
        <v>3254340.35</v>
      </c>
      <c r="F874" s="12">
        <v>54</v>
      </c>
      <c r="G874" s="12">
        <v>180</v>
      </c>
      <c r="H874" s="12">
        <v>0</v>
      </c>
      <c r="I874" s="13">
        <v>42700.50767673611</v>
      </c>
      <c r="J874" s="13">
        <v>43070</v>
      </c>
      <c r="K874" s="12" t="s">
        <v>44</v>
      </c>
      <c r="L874" s="12" t="s">
        <v>75</v>
      </c>
      <c r="M874" s="12" t="s">
        <v>1442</v>
      </c>
      <c r="N874" s="12" t="s">
        <v>1039</v>
      </c>
      <c r="O874" s="12"/>
      <c r="P874" s="12"/>
      <c r="Q874" s="12"/>
    </row>
    <row r="875" spans="1:17" x14ac:dyDescent="0.25">
      <c r="A875" s="11">
        <v>200630</v>
      </c>
      <c r="B875" s="12" t="s">
        <v>3513</v>
      </c>
      <c r="C875" s="12" t="s">
        <v>2807</v>
      </c>
      <c r="D875" s="125">
        <v>20000000</v>
      </c>
      <c r="E875" s="125">
        <v>16218774.91</v>
      </c>
      <c r="F875" s="12">
        <v>40</v>
      </c>
      <c r="G875" s="12">
        <v>180</v>
      </c>
      <c r="H875" s="12">
        <v>0</v>
      </c>
      <c r="I875" s="13">
        <v>42702.629713541668</v>
      </c>
      <c r="J875" s="13">
        <v>43801</v>
      </c>
      <c r="K875" s="12" t="s">
        <v>44</v>
      </c>
      <c r="L875" s="12" t="s">
        <v>75</v>
      </c>
      <c r="M875" s="12" t="s">
        <v>26</v>
      </c>
      <c r="N875" s="12" t="s">
        <v>4684</v>
      </c>
      <c r="O875" s="12"/>
      <c r="P875" s="12"/>
      <c r="Q875" s="12"/>
    </row>
    <row r="876" spans="1:17" x14ac:dyDescent="0.25">
      <c r="A876" s="11">
        <v>200633</v>
      </c>
      <c r="B876" s="12" t="s">
        <v>1740</v>
      </c>
      <c r="C876" s="12" t="s">
        <v>1449</v>
      </c>
      <c r="D876" s="125">
        <v>5000000</v>
      </c>
      <c r="E876" s="125">
        <v>514240.38</v>
      </c>
      <c r="F876" s="12">
        <v>48</v>
      </c>
      <c r="G876" s="12">
        <v>180</v>
      </c>
      <c r="H876" s="12">
        <v>0</v>
      </c>
      <c r="I876" s="13">
        <v>42702.681502002313</v>
      </c>
      <c r="J876" s="13">
        <v>43070</v>
      </c>
      <c r="K876" s="12" t="s">
        <v>35</v>
      </c>
      <c r="L876" s="12" t="s">
        <v>26</v>
      </c>
      <c r="M876" s="12" t="s">
        <v>26</v>
      </c>
      <c r="N876" s="12" t="s">
        <v>1667</v>
      </c>
      <c r="O876" s="12"/>
      <c r="P876" s="12"/>
      <c r="Q876" s="12"/>
    </row>
    <row r="877" spans="1:17" x14ac:dyDescent="0.25">
      <c r="A877" s="11">
        <v>200635</v>
      </c>
      <c r="B877" s="12" t="s">
        <v>3527</v>
      </c>
      <c r="C877" s="12" t="s">
        <v>2807</v>
      </c>
      <c r="D877" s="125">
        <v>6000000</v>
      </c>
      <c r="E877" s="125">
        <v>2927238.19</v>
      </c>
      <c r="F877" s="12">
        <v>50</v>
      </c>
      <c r="G877" s="12">
        <v>180</v>
      </c>
      <c r="H877" s="12">
        <v>0</v>
      </c>
      <c r="I877" s="13">
        <v>42703.705507673614</v>
      </c>
      <c r="J877" s="13">
        <v>43071</v>
      </c>
      <c r="K877" s="12" t="s">
        <v>25</v>
      </c>
      <c r="L877" s="12" t="s">
        <v>88</v>
      </c>
      <c r="M877" s="12" t="s">
        <v>26</v>
      </c>
      <c r="N877" s="12" t="s">
        <v>2175</v>
      </c>
      <c r="O877" s="12"/>
      <c r="P877" s="12"/>
      <c r="Q877" s="12"/>
    </row>
    <row r="878" spans="1:17" x14ac:dyDescent="0.25">
      <c r="A878" s="11">
        <v>200636</v>
      </c>
      <c r="B878" s="12" t="s">
        <v>3528</v>
      </c>
      <c r="C878" s="12" t="s">
        <v>2807</v>
      </c>
      <c r="D878" s="125">
        <v>43500000</v>
      </c>
      <c r="E878" s="125">
        <v>27802012.670000002</v>
      </c>
      <c r="F878" s="12">
        <v>40</v>
      </c>
      <c r="G878" s="12">
        <v>180</v>
      </c>
      <c r="H878" s="12">
        <v>0</v>
      </c>
      <c r="I878" s="13">
        <v>42703.623028935188</v>
      </c>
      <c r="J878" s="13">
        <v>43436</v>
      </c>
      <c r="K878" s="12" t="s">
        <v>44</v>
      </c>
      <c r="L878" s="12" t="s">
        <v>75</v>
      </c>
      <c r="M878" s="12" t="s">
        <v>26</v>
      </c>
      <c r="N878" s="12" t="s">
        <v>1191</v>
      </c>
      <c r="O878" s="12"/>
      <c r="P878" s="12"/>
      <c r="Q878" s="12"/>
    </row>
    <row r="879" spans="1:17" x14ac:dyDescent="0.25">
      <c r="A879" s="11">
        <v>200638</v>
      </c>
      <c r="B879" s="12" t="s">
        <v>3524</v>
      </c>
      <c r="C879" s="12" t="s">
        <v>1449</v>
      </c>
      <c r="D879" s="125">
        <v>65000000</v>
      </c>
      <c r="E879" s="125">
        <v>41543237.329999998</v>
      </c>
      <c r="F879" s="12">
        <v>40</v>
      </c>
      <c r="G879" s="12">
        <v>180</v>
      </c>
      <c r="H879" s="12">
        <v>0</v>
      </c>
      <c r="I879" s="13">
        <v>42703.767264085647</v>
      </c>
      <c r="J879" s="13">
        <v>43436</v>
      </c>
      <c r="K879" s="12" t="s">
        <v>36</v>
      </c>
      <c r="L879" s="12" t="s">
        <v>97</v>
      </c>
      <c r="M879" s="12" t="s">
        <v>98</v>
      </c>
      <c r="N879" s="12" t="s">
        <v>2538</v>
      </c>
      <c r="O879" s="12"/>
      <c r="P879" s="12"/>
      <c r="Q879" s="12"/>
    </row>
    <row r="880" spans="1:17" x14ac:dyDescent="0.25">
      <c r="A880" s="11">
        <v>200640</v>
      </c>
      <c r="B880" s="12" t="s">
        <v>3551</v>
      </c>
      <c r="C880" s="12" t="s">
        <v>2807</v>
      </c>
      <c r="D880" s="125">
        <v>2500000</v>
      </c>
      <c r="E880" s="125">
        <v>263112.48</v>
      </c>
      <c r="F880" s="12">
        <v>54</v>
      </c>
      <c r="G880" s="12">
        <v>180</v>
      </c>
      <c r="H880" s="12">
        <v>0</v>
      </c>
      <c r="I880" s="13">
        <v>42704.536556863422</v>
      </c>
      <c r="J880" s="13">
        <v>43071</v>
      </c>
      <c r="K880" s="12" t="s">
        <v>25</v>
      </c>
      <c r="L880" s="12" t="s">
        <v>88</v>
      </c>
      <c r="M880" s="12" t="s">
        <v>285</v>
      </c>
      <c r="N880" s="12" t="s">
        <v>1447</v>
      </c>
      <c r="O880" s="12"/>
      <c r="P880" s="12"/>
      <c r="Q880" s="12"/>
    </row>
    <row r="881" spans="1:17" x14ac:dyDescent="0.25">
      <c r="A881" s="11">
        <v>200641</v>
      </c>
      <c r="B881" s="12" t="s">
        <v>1885</v>
      </c>
      <c r="C881" s="12" t="s">
        <v>1449</v>
      </c>
      <c r="D881" s="125">
        <v>65000000</v>
      </c>
      <c r="E881" s="125">
        <v>37944643.210000001</v>
      </c>
      <c r="F881" s="12">
        <v>36</v>
      </c>
      <c r="G881" s="12">
        <v>180</v>
      </c>
      <c r="H881" s="12">
        <v>0</v>
      </c>
      <c r="I881" s="13">
        <v>42704.649020405093</v>
      </c>
      <c r="J881" s="13">
        <v>43427</v>
      </c>
      <c r="K881" s="12" t="s">
        <v>27</v>
      </c>
      <c r="L881" s="12" t="s">
        <v>81</v>
      </c>
      <c r="M881" s="12" t="s">
        <v>26</v>
      </c>
      <c r="N881" s="12" t="s">
        <v>90</v>
      </c>
      <c r="O881" s="12"/>
      <c r="P881" s="12"/>
      <c r="Q881" s="12"/>
    </row>
    <row r="882" spans="1:17" x14ac:dyDescent="0.25">
      <c r="A882" s="11">
        <v>200644</v>
      </c>
      <c r="B882" s="12" t="s">
        <v>3546</v>
      </c>
      <c r="C882" s="12" t="s">
        <v>1449</v>
      </c>
      <c r="D882" s="125">
        <v>5000000</v>
      </c>
      <c r="E882" s="125">
        <v>526224.96</v>
      </c>
      <c r="F882" s="12">
        <v>54</v>
      </c>
      <c r="G882" s="12">
        <v>180</v>
      </c>
      <c r="H882" s="12">
        <v>0</v>
      </c>
      <c r="I882" s="13">
        <v>42704.782254594909</v>
      </c>
      <c r="J882" s="13">
        <v>43071</v>
      </c>
      <c r="K882" s="12" t="s">
        <v>27</v>
      </c>
      <c r="L882" s="12" t="s">
        <v>26</v>
      </c>
      <c r="M882" s="12" t="s">
        <v>26</v>
      </c>
      <c r="N882" s="12" t="s">
        <v>2861</v>
      </c>
      <c r="O882" s="12"/>
      <c r="P882" s="12"/>
      <c r="Q882" s="12"/>
    </row>
    <row r="883" spans="1:17" x14ac:dyDescent="0.25">
      <c r="A883" s="11">
        <v>200645</v>
      </c>
      <c r="B883" s="12" t="s">
        <v>3556</v>
      </c>
      <c r="C883" s="12" t="s">
        <v>1449</v>
      </c>
      <c r="D883" s="125">
        <v>15000000</v>
      </c>
      <c r="E883" s="125">
        <v>10720268.91</v>
      </c>
      <c r="F883" s="12">
        <v>40</v>
      </c>
      <c r="G883" s="12">
        <v>180</v>
      </c>
      <c r="H883" s="12">
        <v>0</v>
      </c>
      <c r="I883" s="13">
        <v>42704.812343321762</v>
      </c>
      <c r="J883" s="13">
        <v>43436</v>
      </c>
      <c r="K883" s="12" t="s">
        <v>44</v>
      </c>
      <c r="L883" s="12" t="s">
        <v>75</v>
      </c>
      <c r="M883" s="12" t="s">
        <v>1442</v>
      </c>
      <c r="N883" s="12" t="s">
        <v>1467</v>
      </c>
      <c r="O883" s="12"/>
      <c r="P883" s="12"/>
      <c r="Q883" s="12"/>
    </row>
    <row r="884" spans="1:17" x14ac:dyDescent="0.25">
      <c r="A884" s="11">
        <v>200646</v>
      </c>
      <c r="B884" s="12" t="s">
        <v>3552</v>
      </c>
      <c r="C884" s="12" t="s">
        <v>1449</v>
      </c>
      <c r="D884" s="125">
        <v>21000000</v>
      </c>
      <c r="E884" s="125">
        <v>13912160.91</v>
      </c>
      <c r="F884" s="12">
        <v>48</v>
      </c>
      <c r="G884" s="12">
        <v>180</v>
      </c>
      <c r="H884" s="12">
        <v>0</v>
      </c>
      <c r="I884" s="13">
        <v>42704.839833414349</v>
      </c>
      <c r="J884" s="13">
        <v>43443</v>
      </c>
      <c r="K884" s="12" t="s">
        <v>25</v>
      </c>
      <c r="L884" s="12" t="s">
        <v>88</v>
      </c>
      <c r="M884" s="12" t="s">
        <v>285</v>
      </c>
      <c r="N884" s="12" t="s">
        <v>1925</v>
      </c>
      <c r="O884" s="12"/>
      <c r="P884" s="12"/>
      <c r="Q884" s="12"/>
    </row>
    <row r="885" spans="1:17" x14ac:dyDescent="0.25">
      <c r="A885" s="11">
        <v>200647</v>
      </c>
      <c r="B885" s="12" t="s">
        <v>3555</v>
      </c>
      <c r="C885" s="12" t="s">
        <v>1449</v>
      </c>
      <c r="D885" s="125">
        <v>65000000</v>
      </c>
      <c r="E885" s="125">
        <v>54107832.090000004</v>
      </c>
      <c r="F885" s="12">
        <v>40</v>
      </c>
      <c r="G885" s="12">
        <v>180</v>
      </c>
      <c r="H885" s="12">
        <v>0</v>
      </c>
      <c r="I885" s="13">
        <v>42704.835258217594</v>
      </c>
      <c r="J885" s="13">
        <v>43804</v>
      </c>
      <c r="K885" s="12" t="s">
        <v>44</v>
      </c>
      <c r="L885" s="12" t="s">
        <v>75</v>
      </c>
      <c r="M885" s="12" t="s">
        <v>1442</v>
      </c>
      <c r="N885" s="12" t="s">
        <v>90</v>
      </c>
      <c r="O885" s="12"/>
      <c r="P885" s="12"/>
      <c r="Q885" s="12"/>
    </row>
    <row r="886" spans="1:17" x14ac:dyDescent="0.25">
      <c r="A886" s="11">
        <v>200648</v>
      </c>
      <c r="B886" s="12" t="s">
        <v>3560</v>
      </c>
      <c r="C886" s="12" t="s">
        <v>1449</v>
      </c>
      <c r="D886" s="125">
        <v>65000000</v>
      </c>
      <c r="E886" s="125">
        <v>48242615.479999997</v>
      </c>
      <c r="F886" s="12">
        <v>40</v>
      </c>
      <c r="G886" s="12">
        <v>180</v>
      </c>
      <c r="H886" s="12">
        <v>0</v>
      </c>
      <c r="I886" s="13">
        <v>42704.907638888886</v>
      </c>
      <c r="J886" s="13">
        <v>43618</v>
      </c>
      <c r="K886" s="12" t="s">
        <v>45</v>
      </c>
      <c r="L886" s="12" t="s">
        <v>45</v>
      </c>
      <c r="M886" s="12" t="s">
        <v>89</v>
      </c>
      <c r="N886" s="12" t="s">
        <v>90</v>
      </c>
      <c r="O886" s="12"/>
      <c r="P886" s="12"/>
      <c r="Q886" s="12"/>
    </row>
    <row r="887" spans="1:17" x14ac:dyDescent="0.25">
      <c r="A887" s="11">
        <v>200650</v>
      </c>
      <c r="B887" s="12" t="s">
        <v>2635</v>
      </c>
      <c r="C887" s="12" t="s">
        <v>1449</v>
      </c>
      <c r="D887" s="125">
        <v>65000000</v>
      </c>
      <c r="E887" s="125">
        <v>51943901.670000002</v>
      </c>
      <c r="F887" s="12">
        <v>36</v>
      </c>
      <c r="G887" s="12">
        <v>180</v>
      </c>
      <c r="H887" s="12">
        <v>0</v>
      </c>
      <c r="I887" s="13">
        <v>42704.924095486109</v>
      </c>
      <c r="J887" s="13">
        <v>43801</v>
      </c>
      <c r="K887" s="12" t="s">
        <v>44</v>
      </c>
      <c r="L887" s="12" t="s">
        <v>75</v>
      </c>
      <c r="M887" s="12" t="s">
        <v>1442</v>
      </c>
      <c r="N887" s="12" t="s">
        <v>491</v>
      </c>
      <c r="O887" s="12"/>
      <c r="P887" s="12"/>
      <c r="Q887" s="12"/>
    </row>
    <row r="888" spans="1:17" x14ac:dyDescent="0.25">
      <c r="A888" s="11">
        <v>200653</v>
      </c>
      <c r="B888" s="12" t="s">
        <v>3186</v>
      </c>
      <c r="C888" s="12" t="s">
        <v>2807</v>
      </c>
      <c r="D888" s="125">
        <v>30000000</v>
      </c>
      <c r="E888" s="125">
        <v>23015295.629999999</v>
      </c>
      <c r="F888" s="12">
        <v>48</v>
      </c>
      <c r="G888" s="12">
        <v>180</v>
      </c>
      <c r="H888" s="12">
        <v>0</v>
      </c>
      <c r="I888" s="13">
        <v>42706.578693634263</v>
      </c>
      <c r="J888" s="13">
        <v>43439</v>
      </c>
      <c r="K888" s="12" t="s">
        <v>37</v>
      </c>
      <c r="L888" s="12" t="s">
        <v>38</v>
      </c>
      <c r="M888" s="12" t="s">
        <v>26</v>
      </c>
      <c r="N888" s="12" t="s">
        <v>1447</v>
      </c>
      <c r="O888" s="12"/>
      <c r="P888" s="12"/>
      <c r="Q888" s="12"/>
    </row>
    <row r="889" spans="1:17" x14ac:dyDescent="0.25">
      <c r="A889" s="11">
        <v>200654</v>
      </c>
      <c r="B889" s="12" t="s">
        <v>3620</v>
      </c>
      <c r="C889" s="12" t="s">
        <v>1449</v>
      </c>
      <c r="D889" s="125">
        <v>5000000</v>
      </c>
      <c r="E889" s="125">
        <v>797363.29</v>
      </c>
      <c r="F889" s="12">
        <v>54</v>
      </c>
      <c r="G889" s="12">
        <v>180</v>
      </c>
      <c r="H889" s="12">
        <v>0</v>
      </c>
      <c r="I889" s="13">
        <v>42709.63500130787</v>
      </c>
      <c r="J889" s="13">
        <v>43074</v>
      </c>
      <c r="K889" s="12" t="s">
        <v>25</v>
      </c>
      <c r="L889" s="12" t="s">
        <v>106</v>
      </c>
      <c r="M889" s="12" t="s">
        <v>704</v>
      </c>
      <c r="N889" s="12" t="s">
        <v>1667</v>
      </c>
      <c r="O889" s="12"/>
      <c r="P889" s="12"/>
      <c r="Q889" s="12"/>
    </row>
    <row r="890" spans="1:17" x14ac:dyDescent="0.25">
      <c r="A890" s="11">
        <v>200655</v>
      </c>
      <c r="B890" s="12" t="s">
        <v>2699</v>
      </c>
      <c r="C890" s="12" t="s">
        <v>1449</v>
      </c>
      <c r="D890" s="125">
        <v>65000000</v>
      </c>
      <c r="E890" s="125">
        <v>40817830.979999997</v>
      </c>
      <c r="F890" s="12">
        <v>36</v>
      </c>
      <c r="G890" s="12">
        <v>180</v>
      </c>
      <c r="H890" s="12">
        <v>0</v>
      </c>
      <c r="I890" s="13">
        <v>42709.701757407405</v>
      </c>
      <c r="J890" s="13">
        <v>43439</v>
      </c>
      <c r="K890" s="12" t="s">
        <v>27</v>
      </c>
      <c r="L890" s="12" t="s">
        <v>116</v>
      </c>
      <c r="M890" s="12" t="s">
        <v>26</v>
      </c>
      <c r="N890" s="12" t="s">
        <v>1925</v>
      </c>
      <c r="O890" s="12"/>
      <c r="P890" s="12"/>
      <c r="Q890" s="12"/>
    </row>
    <row r="891" spans="1:17" x14ac:dyDescent="0.25">
      <c r="A891" s="11">
        <v>200659</v>
      </c>
      <c r="B891" s="12" t="s">
        <v>3632</v>
      </c>
      <c r="C891" s="12" t="s">
        <v>1449</v>
      </c>
      <c r="D891" s="125">
        <v>4000000</v>
      </c>
      <c r="E891" s="125">
        <v>2262576.9</v>
      </c>
      <c r="F891" s="12">
        <v>54</v>
      </c>
      <c r="G891" s="12">
        <v>180</v>
      </c>
      <c r="H891" s="12">
        <v>0</v>
      </c>
      <c r="I891" s="13">
        <v>42710.542109606482</v>
      </c>
      <c r="J891" s="13">
        <v>43075</v>
      </c>
      <c r="K891" s="12" t="s">
        <v>36</v>
      </c>
      <c r="L891" s="12" t="s">
        <v>97</v>
      </c>
      <c r="M891" s="12" t="s">
        <v>98</v>
      </c>
      <c r="N891" s="12" t="s">
        <v>2034</v>
      </c>
      <c r="O891" s="12"/>
      <c r="P891" s="12"/>
      <c r="Q891" s="12"/>
    </row>
    <row r="892" spans="1:17" x14ac:dyDescent="0.25">
      <c r="A892" s="11">
        <v>200660</v>
      </c>
      <c r="B892" s="12" t="s">
        <v>3633</v>
      </c>
      <c r="C892" s="12" t="s">
        <v>1449</v>
      </c>
      <c r="D892" s="125">
        <v>4000000</v>
      </c>
      <c r="E892" s="125">
        <v>419774.94</v>
      </c>
      <c r="F892" s="12">
        <v>54</v>
      </c>
      <c r="G892" s="12">
        <v>180</v>
      </c>
      <c r="H892" s="12">
        <v>0</v>
      </c>
      <c r="I892" s="13">
        <v>42710.572149733795</v>
      </c>
      <c r="J892" s="13">
        <v>43075</v>
      </c>
      <c r="K892" s="12" t="s">
        <v>44</v>
      </c>
      <c r="L892" s="12" t="s">
        <v>75</v>
      </c>
      <c r="M892" s="12" t="s">
        <v>1442</v>
      </c>
      <c r="N892" s="12" t="s">
        <v>2034</v>
      </c>
      <c r="O892" s="12"/>
      <c r="P892" s="12"/>
      <c r="Q892" s="12"/>
    </row>
    <row r="893" spans="1:17" x14ac:dyDescent="0.25">
      <c r="A893" s="11">
        <v>200663</v>
      </c>
      <c r="B893" s="12" t="s">
        <v>3639</v>
      </c>
      <c r="C893" s="12" t="s">
        <v>1449</v>
      </c>
      <c r="D893" s="125">
        <v>5000000</v>
      </c>
      <c r="E893" s="125">
        <v>1229239.23</v>
      </c>
      <c r="F893" s="12">
        <v>54</v>
      </c>
      <c r="G893" s="12">
        <v>180</v>
      </c>
      <c r="H893" s="12">
        <v>0</v>
      </c>
      <c r="I893" s="13">
        <v>42711.700587037034</v>
      </c>
      <c r="J893" s="13">
        <v>43077</v>
      </c>
      <c r="K893" s="12" t="s">
        <v>25</v>
      </c>
      <c r="L893" s="12" t="s">
        <v>289</v>
      </c>
      <c r="M893" s="12" t="s">
        <v>26</v>
      </c>
      <c r="N893" s="12" t="s">
        <v>2861</v>
      </c>
      <c r="O893" s="12"/>
      <c r="P893" s="12"/>
      <c r="Q893" s="12"/>
    </row>
    <row r="894" spans="1:17" x14ac:dyDescent="0.25">
      <c r="A894" s="11">
        <v>200665</v>
      </c>
      <c r="B894" s="12" t="s">
        <v>3650</v>
      </c>
      <c r="C894" s="12" t="s">
        <v>2807</v>
      </c>
      <c r="D894" s="125">
        <v>20000000</v>
      </c>
      <c r="E894" s="125">
        <v>9482445.5199999996</v>
      </c>
      <c r="F894" s="12">
        <v>48</v>
      </c>
      <c r="G894" s="12">
        <v>180</v>
      </c>
      <c r="H894" s="12">
        <v>0</v>
      </c>
      <c r="I894" s="13">
        <v>42713.68491311343</v>
      </c>
      <c r="J894" s="13">
        <v>43260</v>
      </c>
      <c r="K894" s="12" t="s">
        <v>42</v>
      </c>
      <c r="L894" s="12" t="s">
        <v>1244</v>
      </c>
      <c r="M894" s="12" t="s">
        <v>26</v>
      </c>
      <c r="N894" s="12" t="s">
        <v>1447</v>
      </c>
      <c r="O894" s="12"/>
      <c r="P894" s="12"/>
      <c r="Q894" s="12"/>
    </row>
    <row r="895" spans="1:17" x14ac:dyDescent="0.25">
      <c r="A895" s="11">
        <v>200666</v>
      </c>
      <c r="B895" s="12" t="s">
        <v>3645</v>
      </c>
      <c r="C895" s="12" t="s">
        <v>2807</v>
      </c>
      <c r="D895" s="125">
        <v>20000000</v>
      </c>
      <c r="E895" s="125">
        <v>9482445.5199999996</v>
      </c>
      <c r="F895" s="12">
        <v>48</v>
      </c>
      <c r="G895" s="12">
        <v>180</v>
      </c>
      <c r="H895" s="12">
        <v>0</v>
      </c>
      <c r="I895" s="13">
        <v>42713.640433912034</v>
      </c>
      <c r="J895" s="13">
        <v>43260</v>
      </c>
      <c r="K895" s="12" t="s">
        <v>25</v>
      </c>
      <c r="L895" s="12" t="s">
        <v>103</v>
      </c>
      <c r="M895" s="12" t="s">
        <v>104</v>
      </c>
      <c r="N895" s="12" t="s">
        <v>1447</v>
      </c>
      <c r="O895" s="12"/>
      <c r="P895" s="12"/>
      <c r="Q895" s="12"/>
    </row>
    <row r="896" spans="1:17" x14ac:dyDescent="0.25">
      <c r="A896" s="11">
        <v>200668</v>
      </c>
      <c r="B896" s="12" t="s">
        <v>3648</v>
      </c>
      <c r="C896" s="12" t="s">
        <v>1449</v>
      </c>
      <c r="D896" s="125">
        <v>2500000</v>
      </c>
      <c r="E896" s="125">
        <v>262359.31</v>
      </c>
      <c r="F896" s="12">
        <v>54</v>
      </c>
      <c r="G896" s="12">
        <v>180</v>
      </c>
      <c r="H896" s="12">
        <v>0</v>
      </c>
      <c r="I896" s="13">
        <v>42714.481875775462</v>
      </c>
      <c r="J896" s="13">
        <v>43079</v>
      </c>
      <c r="K896" s="12" t="s">
        <v>25</v>
      </c>
      <c r="L896" s="12" t="s">
        <v>88</v>
      </c>
      <c r="M896" s="12" t="s">
        <v>285</v>
      </c>
      <c r="N896" s="12" t="s">
        <v>3074</v>
      </c>
      <c r="O896" s="12"/>
      <c r="P896" s="12"/>
      <c r="Q896" s="12"/>
    </row>
    <row r="897" spans="1:17" x14ac:dyDescent="0.25">
      <c r="A897" s="11">
        <v>200669</v>
      </c>
      <c r="B897" s="12" t="s">
        <v>3649</v>
      </c>
      <c r="C897" s="12" t="s">
        <v>2807</v>
      </c>
      <c r="D897" s="125">
        <v>20000000</v>
      </c>
      <c r="E897" s="125">
        <v>10636838.539999999</v>
      </c>
      <c r="F897" s="12">
        <v>48</v>
      </c>
      <c r="G897" s="12">
        <v>180</v>
      </c>
      <c r="H897" s="12">
        <v>0</v>
      </c>
      <c r="I897" s="13">
        <v>42714.545201967594</v>
      </c>
      <c r="J897" s="13">
        <v>43261</v>
      </c>
      <c r="K897" s="12" t="s">
        <v>25</v>
      </c>
      <c r="L897" s="12" t="s">
        <v>88</v>
      </c>
      <c r="M897" s="12" t="s">
        <v>26</v>
      </c>
      <c r="N897" s="12" t="s">
        <v>1448</v>
      </c>
      <c r="O897" s="12"/>
      <c r="P897" s="12"/>
      <c r="Q897" s="12"/>
    </row>
    <row r="898" spans="1:17" x14ac:dyDescent="0.25">
      <c r="A898" s="11">
        <v>200671</v>
      </c>
      <c r="B898" s="12" t="s">
        <v>3729</v>
      </c>
      <c r="C898" s="12" t="s">
        <v>2807</v>
      </c>
      <c r="D898" s="125">
        <v>4500000</v>
      </c>
      <c r="E898" s="125">
        <v>2166444.0699999998</v>
      </c>
      <c r="F898" s="12">
        <v>54</v>
      </c>
      <c r="G898" s="12">
        <v>180</v>
      </c>
      <c r="H898" s="12">
        <v>0</v>
      </c>
      <c r="I898" s="13">
        <v>42720.639203356484</v>
      </c>
      <c r="J898" s="13">
        <v>43085</v>
      </c>
      <c r="K898" s="12" t="s">
        <v>44</v>
      </c>
      <c r="L898" s="12" t="s">
        <v>75</v>
      </c>
      <c r="M898" s="12" t="s">
        <v>26</v>
      </c>
      <c r="N898" s="12" t="s">
        <v>1467</v>
      </c>
      <c r="O898" s="12"/>
      <c r="P898" s="12"/>
      <c r="Q898" s="12"/>
    </row>
    <row r="899" spans="1:17" x14ac:dyDescent="0.25">
      <c r="A899" s="11">
        <v>200672</v>
      </c>
      <c r="B899" s="12" t="s">
        <v>3670</v>
      </c>
      <c r="C899" s="12" t="s">
        <v>1449</v>
      </c>
      <c r="D899" s="125">
        <v>6000000</v>
      </c>
      <c r="E899" s="125">
        <v>1433967.43</v>
      </c>
      <c r="F899" s="12">
        <v>50</v>
      </c>
      <c r="G899" s="12">
        <v>180</v>
      </c>
      <c r="H899" s="12">
        <v>0</v>
      </c>
      <c r="I899" s="13">
        <v>42716.489123576386</v>
      </c>
      <c r="J899" s="13">
        <v>43081</v>
      </c>
      <c r="K899" s="12" t="s">
        <v>29</v>
      </c>
      <c r="L899" s="12" t="s">
        <v>30</v>
      </c>
      <c r="M899" s="12" t="s">
        <v>437</v>
      </c>
      <c r="N899" s="12" t="s">
        <v>963</v>
      </c>
      <c r="O899" s="12"/>
      <c r="P899" s="12"/>
      <c r="Q899" s="12"/>
    </row>
    <row r="900" spans="1:17" x14ac:dyDescent="0.25">
      <c r="A900" s="11">
        <v>200673</v>
      </c>
      <c r="B900" s="12" t="s">
        <v>3669</v>
      </c>
      <c r="C900" s="12" t="s">
        <v>2807</v>
      </c>
      <c r="D900" s="125">
        <v>1000000</v>
      </c>
      <c r="E900" s="125">
        <v>363069.79</v>
      </c>
      <c r="F900" s="12">
        <v>54</v>
      </c>
      <c r="G900" s="12">
        <v>180</v>
      </c>
      <c r="H900" s="12">
        <v>0</v>
      </c>
      <c r="I900" s="13">
        <v>42716.516254942129</v>
      </c>
      <c r="J900" s="13">
        <v>42898</v>
      </c>
      <c r="K900" s="12" t="s">
        <v>44</v>
      </c>
      <c r="L900" s="12" t="s">
        <v>75</v>
      </c>
      <c r="M900" s="12" t="s">
        <v>26</v>
      </c>
      <c r="N900" s="12" t="s">
        <v>2855</v>
      </c>
      <c r="O900" s="12"/>
      <c r="P900" s="12"/>
      <c r="Q900" s="12"/>
    </row>
    <row r="901" spans="1:17" x14ac:dyDescent="0.25">
      <c r="A901" s="11">
        <v>200675</v>
      </c>
      <c r="B901" s="12" t="s">
        <v>3683</v>
      </c>
      <c r="C901" s="12" t="s">
        <v>2807</v>
      </c>
      <c r="D901" s="125">
        <v>10000000</v>
      </c>
      <c r="E901" s="125">
        <v>3289996.94</v>
      </c>
      <c r="F901" s="12">
        <v>50</v>
      </c>
      <c r="G901" s="12">
        <v>180</v>
      </c>
      <c r="H901" s="12">
        <v>0</v>
      </c>
      <c r="I901" s="13">
        <v>42717.589245914351</v>
      </c>
      <c r="J901" s="13">
        <v>43172</v>
      </c>
      <c r="K901" s="12" t="s">
        <v>29</v>
      </c>
      <c r="L901" s="12" t="s">
        <v>30</v>
      </c>
      <c r="M901" s="12" t="s">
        <v>30</v>
      </c>
      <c r="N901" s="12" t="s">
        <v>1467</v>
      </c>
      <c r="O901" s="12"/>
      <c r="P901" s="12"/>
      <c r="Q901" s="12"/>
    </row>
    <row r="902" spans="1:17" x14ac:dyDescent="0.25">
      <c r="A902" s="11">
        <v>200676</v>
      </c>
      <c r="B902" s="12" t="s">
        <v>2292</v>
      </c>
      <c r="C902" s="12" t="s">
        <v>2807</v>
      </c>
      <c r="D902" s="125">
        <v>40000000</v>
      </c>
      <c r="E902" s="125">
        <v>26680157.149999999</v>
      </c>
      <c r="F902" s="12">
        <v>36</v>
      </c>
      <c r="G902" s="12">
        <v>180</v>
      </c>
      <c r="H902" s="12">
        <v>0</v>
      </c>
      <c r="I902" s="13">
        <v>42720.740306678243</v>
      </c>
      <c r="J902" s="13">
        <v>43450</v>
      </c>
      <c r="K902" s="12" t="s">
        <v>25</v>
      </c>
      <c r="L902" s="12" t="s">
        <v>103</v>
      </c>
      <c r="M902" s="12" t="s">
        <v>104</v>
      </c>
      <c r="N902" s="12" t="s">
        <v>2175</v>
      </c>
      <c r="O902" s="12"/>
      <c r="P902" s="12"/>
      <c r="Q902" s="12"/>
    </row>
    <row r="903" spans="1:17" x14ac:dyDescent="0.25">
      <c r="A903" s="11">
        <v>200681</v>
      </c>
      <c r="B903" s="12" t="s">
        <v>3696</v>
      </c>
      <c r="C903" s="12" t="s">
        <v>1449</v>
      </c>
      <c r="D903" s="125">
        <v>65000000</v>
      </c>
      <c r="E903" s="125">
        <v>41409657.829999998</v>
      </c>
      <c r="F903" s="12">
        <v>40</v>
      </c>
      <c r="G903" s="12">
        <v>180</v>
      </c>
      <c r="H903" s="12">
        <v>0</v>
      </c>
      <c r="I903" s="13">
        <v>42718.605861145836</v>
      </c>
      <c r="J903" s="13">
        <v>43448</v>
      </c>
      <c r="K903" s="12" t="s">
        <v>44</v>
      </c>
      <c r="L903" s="12" t="s">
        <v>75</v>
      </c>
      <c r="M903" s="12" t="s">
        <v>1442</v>
      </c>
      <c r="N903" s="12" t="s">
        <v>491</v>
      </c>
      <c r="O903" s="12"/>
      <c r="P903" s="12"/>
      <c r="Q903" s="12"/>
    </row>
    <row r="904" spans="1:17" x14ac:dyDescent="0.25">
      <c r="A904" s="11">
        <v>200689</v>
      </c>
      <c r="B904" s="12" t="s">
        <v>1687</v>
      </c>
      <c r="C904" s="12" t="s">
        <v>2807</v>
      </c>
      <c r="D904" s="125">
        <v>30000000</v>
      </c>
      <c r="E904" s="125">
        <v>23635006.18</v>
      </c>
      <c r="F904" s="12">
        <v>42</v>
      </c>
      <c r="G904" s="12">
        <v>180</v>
      </c>
      <c r="H904" s="12">
        <v>0</v>
      </c>
      <c r="I904" s="13">
        <v>42719.7642991088</v>
      </c>
      <c r="J904" s="13">
        <v>43449</v>
      </c>
      <c r="K904" s="12" t="s">
        <v>25</v>
      </c>
      <c r="L904" s="12" t="s">
        <v>106</v>
      </c>
      <c r="M904" s="12" t="s">
        <v>26</v>
      </c>
      <c r="N904" s="12" t="s">
        <v>5724</v>
      </c>
      <c r="O904" s="12"/>
      <c r="P904" s="12"/>
      <c r="Q904" s="12"/>
    </row>
    <row r="905" spans="1:17" x14ac:dyDescent="0.25">
      <c r="A905" s="11">
        <v>200692</v>
      </c>
      <c r="B905" s="12" t="s">
        <v>3728</v>
      </c>
      <c r="C905" s="12" t="s">
        <v>1449</v>
      </c>
      <c r="D905" s="125">
        <v>5000000</v>
      </c>
      <c r="E905" s="125">
        <v>524718.64</v>
      </c>
      <c r="F905" s="12">
        <v>54</v>
      </c>
      <c r="G905" s="12">
        <v>180</v>
      </c>
      <c r="H905" s="12">
        <v>0</v>
      </c>
      <c r="I905" s="13">
        <v>42720.726447488429</v>
      </c>
      <c r="J905" s="13">
        <v>43085</v>
      </c>
      <c r="K905" s="12" t="s">
        <v>44</v>
      </c>
      <c r="L905" s="12" t="s">
        <v>75</v>
      </c>
      <c r="M905" s="12" t="s">
        <v>1442</v>
      </c>
      <c r="N905" s="12" t="s">
        <v>2557</v>
      </c>
      <c r="O905" s="12"/>
      <c r="P905" s="12"/>
      <c r="Q905" s="12"/>
    </row>
    <row r="906" spans="1:17" x14ac:dyDescent="0.25">
      <c r="A906" s="11">
        <v>200694</v>
      </c>
      <c r="B906" s="12" t="s">
        <v>3725</v>
      </c>
      <c r="C906" s="12" t="s">
        <v>1449</v>
      </c>
      <c r="D906" s="125">
        <v>7500000</v>
      </c>
      <c r="E906" s="125">
        <v>1086520.73</v>
      </c>
      <c r="F906" s="12">
        <v>54</v>
      </c>
      <c r="G906" s="12">
        <v>180</v>
      </c>
      <c r="H906" s="12">
        <v>0</v>
      </c>
      <c r="I906" s="13">
        <v>42720.640963078702</v>
      </c>
      <c r="J906" s="13">
        <v>43085</v>
      </c>
      <c r="K906" s="12" t="s">
        <v>25</v>
      </c>
      <c r="L906" s="12" t="s">
        <v>290</v>
      </c>
      <c r="M906" s="12" t="s">
        <v>1824</v>
      </c>
      <c r="N906" s="12" t="s">
        <v>1448</v>
      </c>
      <c r="O906" s="12"/>
      <c r="P906" s="12"/>
      <c r="Q906" s="12"/>
    </row>
    <row r="907" spans="1:17" x14ac:dyDescent="0.25">
      <c r="A907" s="11">
        <v>200695</v>
      </c>
      <c r="B907" s="12" t="s">
        <v>3727</v>
      </c>
      <c r="C907" s="12" t="s">
        <v>1449</v>
      </c>
      <c r="D907" s="125">
        <v>5000000</v>
      </c>
      <c r="E907" s="125">
        <v>1032737.48</v>
      </c>
      <c r="F907" s="12">
        <v>54</v>
      </c>
      <c r="G907" s="12">
        <v>180</v>
      </c>
      <c r="H907" s="12">
        <v>0</v>
      </c>
      <c r="I907" s="13">
        <v>42720.736038773146</v>
      </c>
      <c r="J907" s="13">
        <v>43089</v>
      </c>
      <c r="K907" s="12" t="s">
        <v>25</v>
      </c>
      <c r="L907" s="12" t="s">
        <v>289</v>
      </c>
      <c r="M907" s="12" t="s">
        <v>1771</v>
      </c>
      <c r="N907" s="12" t="s">
        <v>963</v>
      </c>
      <c r="O907" s="12"/>
      <c r="P907" s="12"/>
      <c r="Q907" s="12"/>
    </row>
    <row r="908" spans="1:17" x14ac:dyDescent="0.25">
      <c r="A908" s="11">
        <v>200698</v>
      </c>
      <c r="B908" s="12" t="s">
        <v>3743</v>
      </c>
      <c r="C908" s="12" t="s">
        <v>2807</v>
      </c>
      <c r="D908" s="125">
        <v>22000000</v>
      </c>
      <c r="E908" s="125">
        <v>2342643.98</v>
      </c>
      <c r="F908" s="12">
        <v>48</v>
      </c>
      <c r="G908" s="12">
        <v>180</v>
      </c>
      <c r="H908" s="12">
        <v>0</v>
      </c>
      <c r="I908" s="13">
        <v>42723.661676504627</v>
      </c>
      <c r="J908" s="13">
        <v>43088</v>
      </c>
      <c r="K908" s="12" t="s">
        <v>46</v>
      </c>
      <c r="L908" s="12" t="s">
        <v>46</v>
      </c>
      <c r="M908" s="12" t="s">
        <v>112</v>
      </c>
      <c r="N908" s="12" t="s">
        <v>963</v>
      </c>
      <c r="O908" s="12"/>
      <c r="P908" s="12"/>
      <c r="Q908" s="12"/>
    </row>
    <row r="909" spans="1:17" x14ac:dyDescent="0.25">
      <c r="A909" s="11">
        <v>200701</v>
      </c>
      <c r="B909" s="12" t="s">
        <v>3747</v>
      </c>
      <c r="C909" s="12" t="s">
        <v>1449</v>
      </c>
      <c r="D909" s="125">
        <v>40000000</v>
      </c>
      <c r="E909" s="125">
        <v>27029395.91</v>
      </c>
      <c r="F909" s="12">
        <v>40</v>
      </c>
      <c r="G909" s="12">
        <v>180</v>
      </c>
      <c r="H909" s="12">
        <v>0</v>
      </c>
      <c r="I909" s="13">
        <v>42724.647730590281</v>
      </c>
      <c r="J909" s="13">
        <v>43454</v>
      </c>
      <c r="K909" s="12" t="s">
        <v>25</v>
      </c>
      <c r="L909" s="12" t="s">
        <v>103</v>
      </c>
      <c r="M909" s="12" t="s">
        <v>104</v>
      </c>
      <c r="N909" s="12" t="s">
        <v>2861</v>
      </c>
      <c r="O909" s="12"/>
      <c r="P909" s="12"/>
      <c r="Q909" s="12"/>
    </row>
    <row r="910" spans="1:17" x14ac:dyDescent="0.25">
      <c r="A910" s="11">
        <v>200706</v>
      </c>
      <c r="B910" s="12" t="s">
        <v>3757</v>
      </c>
      <c r="C910" s="12" t="s">
        <v>1449</v>
      </c>
      <c r="D910" s="125">
        <v>20000000</v>
      </c>
      <c r="E910" s="125">
        <v>6327958.2699999996</v>
      </c>
      <c r="F910" s="12">
        <v>40</v>
      </c>
      <c r="G910" s="12">
        <v>180</v>
      </c>
      <c r="H910" s="12">
        <v>0</v>
      </c>
      <c r="I910" s="13">
        <v>42725.698631446758</v>
      </c>
      <c r="J910" s="13">
        <v>43180</v>
      </c>
      <c r="K910" s="12" t="s">
        <v>29</v>
      </c>
      <c r="L910" s="12" t="s">
        <v>30</v>
      </c>
      <c r="M910" s="12" t="s">
        <v>30</v>
      </c>
      <c r="N910" s="12" t="s">
        <v>2538</v>
      </c>
      <c r="O910" s="12"/>
      <c r="P910" s="12"/>
      <c r="Q910" s="12"/>
    </row>
    <row r="911" spans="1:17" x14ac:dyDescent="0.25">
      <c r="A911" s="11">
        <v>200708</v>
      </c>
      <c r="B911" s="12" t="s">
        <v>2537</v>
      </c>
      <c r="C911" s="12" t="s">
        <v>2807</v>
      </c>
      <c r="D911" s="125">
        <v>50000000</v>
      </c>
      <c r="E911" s="125">
        <v>31398331.530000001</v>
      </c>
      <c r="F911" s="12">
        <v>36</v>
      </c>
      <c r="G911" s="12">
        <v>180</v>
      </c>
      <c r="H911" s="12">
        <v>0</v>
      </c>
      <c r="I911" s="13">
        <v>42725.658498414348</v>
      </c>
      <c r="J911" s="13">
        <v>43455</v>
      </c>
      <c r="K911" s="12" t="s">
        <v>35</v>
      </c>
      <c r="L911" s="12" t="s">
        <v>121</v>
      </c>
      <c r="M911" s="12" t="s">
        <v>122</v>
      </c>
      <c r="N911" s="12" t="s">
        <v>2538</v>
      </c>
      <c r="O911" s="12"/>
      <c r="P911" s="12"/>
      <c r="Q911" s="12"/>
    </row>
    <row r="912" spans="1:17" x14ac:dyDescent="0.25">
      <c r="A912" s="11">
        <v>200711</v>
      </c>
      <c r="B912" s="12" t="s">
        <v>3752</v>
      </c>
      <c r="C912" s="12" t="s">
        <v>2807</v>
      </c>
      <c r="D912" s="125">
        <v>20000000</v>
      </c>
      <c r="E912" s="125">
        <v>3902659.98</v>
      </c>
      <c r="F912" s="12">
        <v>40</v>
      </c>
      <c r="G912" s="12">
        <v>180</v>
      </c>
      <c r="H912" s="12">
        <v>0</v>
      </c>
      <c r="I912" s="13">
        <v>42725.689662731478</v>
      </c>
      <c r="J912" s="13">
        <v>43090</v>
      </c>
      <c r="K912" s="12" t="s">
        <v>27</v>
      </c>
      <c r="L912" s="12" t="s">
        <v>116</v>
      </c>
      <c r="M912" s="12" t="s">
        <v>26</v>
      </c>
      <c r="N912" s="12" t="s">
        <v>1467</v>
      </c>
      <c r="O912" s="12"/>
      <c r="P912" s="12"/>
      <c r="Q912" s="12"/>
    </row>
    <row r="913" spans="1:17" x14ac:dyDescent="0.25">
      <c r="A913" s="11">
        <v>200712</v>
      </c>
      <c r="B913" s="12" t="s">
        <v>3753</v>
      </c>
      <c r="C913" s="12" t="s">
        <v>2807</v>
      </c>
      <c r="D913" s="125">
        <v>5000000</v>
      </c>
      <c r="E913" s="125">
        <v>1130901.96</v>
      </c>
      <c r="F913" s="12">
        <v>54</v>
      </c>
      <c r="G913" s="12">
        <v>180</v>
      </c>
      <c r="H913" s="12">
        <v>0</v>
      </c>
      <c r="I913" s="13">
        <v>42725.702797951388</v>
      </c>
      <c r="J913" s="13">
        <v>42968</v>
      </c>
      <c r="K913" s="12" t="s">
        <v>25</v>
      </c>
      <c r="L913" s="12" t="s">
        <v>94</v>
      </c>
      <c r="M913" s="12" t="s">
        <v>26</v>
      </c>
      <c r="N913" s="12" t="s">
        <v>2538</v>
      </c>
      <c r="O913" s="12"/>
      <c r="P913" s="12"/>
      <c r="Q913" s="12"/>
    </row>
    <row r="914" spans="1:17" x14ac:dyDescent="0.25">
      <c r="A914" s="11">
        <v>200715</v>
      </c>
      <c r="B914" s="12" t="s">
        <v>3754</v>
      </c>
      <c r="C914" s="12" t="s">
        <v>2807</v>
      </c>
      <c r="D914" s="125">
        <v>20000000</v>
      </c>
      <c r="E914" s="125">
        <v>13374838.109999999</v>
      </c>
      <c r="F914" s="12">
        <v>48</v>
      </c>
      <c r="G914" s="12">
        <v>180</v>
      </c>
      <c r="H914" s="12">
        <v>0</v>
      </c>
      <c r="I914" s="13">
        <v>42725.761977974536</v>
      </c>
      <c r="J914" s="13">
        <v>43180</v>
      </c>
      <c r="K914" s="12" t="s">
        <v>37</v>
      </c>
      <c r="L914" s="12" t="s">
        <v>38</v>
      </c>
      <c r="M914" s="12" t="s">
        <v>26</v>
      </c>
      <c r="N914" s="12" t="s">
        <v>2034</v>
      </c>
      <c r="O914" s="12"/>
      <c r="P914" s="12"/>
      <c r="Q914" s="12"/>
    </row>
    <row r="915" spans="1:17" x14ac:dyDescent="0.25">
      <c r="A915" s="11">
        <v>200716</v>
      </c>
      <c r="B915" s="12" t="s">
        <v>3751</v>
      </c>
      <c r="C915" s="12" t="s">
        <v>1449</v>
      </c>
      <c r="D915" s="125">
        <v>12000000</v>
      </c>
      <c r="E915" s="125">
        <v>2701112.61</v>
      </c>
      <c r="F915" s="12">
        <v>54</v>
      </c>
      <c r="G915" s="12">
        <v>180</v>
      </c>
      <c r="H915" s="12">
        <v>0</v>
      </c>
      <c r="I915" s="13">
        <v>42725.767250266203</v>
      </c>
      <c r="J915" s="13">
        <v>43091</v>
      </c>
      <c r="K915" s="12" t="s">
        <v>36</v>
      </c>
      <c r="L915" s="12" t="s">
        <v>97</v>
      </c>
      <c r="M915" s="12" t="s">
        <v>1811</v>
      </c>
      <c r="N915" s="12" t="s">
        <v>1448</v>
      </c>
      <c r="O915" s="12"/>
      <c r="P915" s="12"/>
      <c r="Q915" s="12"/>
    </row>
    <row r="916" spans="1:17" x14ac:dyDescent="0.25">
      <c r="A916" s="11">
        <v>200719</v>
      </c>
      <c r="B916" s="12" t="s">
        <v>1765</v>
      </c>
      <c r="C916" s="12" t="s">
        <v>1449</v>
      </c>
      <c r="D916" s="125">
        <v>20000000</v>
      </c>
      <c r="E916" s="125">
        <v>13353030.109999999</v>
      </c>
      <c r="F916" s="12">
        <v>36</v>
      </c>
      <c r="G916" s="12">
        <v>180</v>
      </c>
      <c r="H916" s="12">
        <v>0</v>
      </c>
      <c r="I916" s="13">
        <v>42727.67158440972</v>
      </c>
      <c r="J916" s="13">
        <v>43458</v>
      </c>
      <c r="K916" s="12" t="s">
        <v>25</v>
      </c>
      <c r="L916" s="12" t="s">
        <v>295</v>
      </c>
      <c r="M916" s="12" t="s">
        <v>3613</v>
      </c>
      <c r="N916" s="12" t="s">
        <v>2861</v>
      </c>
      <c r="O916" s="12"/>
      <c r="P916" s="12"/>
      <c r="Q916" s="12"/>
    </row>
    <row r="917" spans="1:17" x14ac:dyDescent="0.25">
      <c r="A917" s="11">
        <v>200721</v>
      </c>
      <c r="B917" s="12" t="s">
        <v>3783</v>
      </c>
      <c r="C917" s="12" t="s">
        <v>1449</v>
      </c>
      <c r="D917" s="125">
        <v>25000000</v>
      </c>
      <c r="E917" s="125">
        <v>16893372.43</v>
      </c>
      <c r="F917" s="12">
        <v>40</v>
      </c>
      <c r="G917" s="12">
        <v>180</v>
      </c>
      <c r="H917" s="12">
        <v>0</v>
      </c>
      <c r="I917" s="13">
        <v>42728.502432094909</v>
      </c>
      <c r="J917" s="13">
        <v>43458</v>
      </c>
      <c r="K917" s="12" t="s">
        <v>45</v>
      </c>
      <c r="L917" s="12" t="s">
        <v>45</v>
      </c>
      <c r="M917" s="12" t="s">
        <v>89</v>
      </c>
      <c r="N917" s="12" t="s">
        <v>491</v>
      </c>
      <c r="O917" s="12"/>
      <c r="P917" s="12"/>
      <c r="Q917" s="12"/>
    </row>
    <row r="918" spans="1:17" x14ac:dyDescent="0.25">
      <c r="A918" s="11">
        <v>200722</v>
      </c>
      <c r="B918" s="12" t="s">
        <v>3779</v>
      </c>
      <c r="C918" s="12" t="s">
        <v>2807</v>
      </c>
      <c r="D918" s="125">
        <v>2500000</v>
      </c>
      <c r="E918" s="125">
        <v>709552.93</v>
      </c>
      <c r="F918" s="12">
        <v>54</v>
      </c>
      <c r="G918" s="12">
        <v>180</v>
      </c>
      <c r="H918" s="12">
        <v>0</v>
      </c>
      <c r="I918" s="13">
        <v>42728.535110034725</v>
      </c>
      <c r="J918" s="13">
        <v>43093</v>
      </c>
      <c r="K918" s="12" t="s">
        <v>25</v>
      </c>
      <c r="L918" s="12" t="s">
        <v>26</v>
      </c>
      <c r="M918" s="12" t="s">
        <v>26</v>
      </c>
      <c r="N918" s="12" t="s">
        <v>1039</v>
      </c>
      <c r="O918" s="12"/>
      <c r="P918" s="12"/>
      <c r="Q918" s="12"/>
    </row>
    <row r="919" spans="1:17" x14ac:dyDescent="0.25">
      <c r="A919" s="11">
        <v>200723</v>
      </c>
      <c r="B919" s="12" t="s">
        <v>3780</v>
      </c>
      <c r="C919" s="12" t="s">
        <v>2807</v>
      </c>
      <c r="D919" s="125">
        <v>8000000</v>
      </c>
      <c r="E919" s="125">
        <v>1642946.68</v>
      </c>
      <c r="F919" s="12">
        <v>54</v>
      </c>
      <c r="G919" s="12">
        <v>180</v>
      </c>
      <c r="H919" s="12">
        <v>0</v>
      </c>
      <c r="I919" s="13">
        <v>42728.548674571757</v>
      </c>
      <c r="J919" s="13">
        <v>43093</v>
      </c>
      <c r="K919" s="12" t="s">
        <v>25</v>
      </c>
      <c r="L919" s="12" t="s">
        <v>26</v>
      </c>
      <c r="M919" s="12" t="s">
        <v>26</v>
      </c>
      <c r="N919" s="12" t="s">
        <v>1448</v>
      </c>
      <c r="O919" s="12"/>
      <c r="P919" s="12"/>
      <c r="Q919" s="12"/>
    </row>
    <row r="920" spans="1:17" x14ac:dyDescent="0.25">
      <c r="A920" s="11">
        <v>200724</v>
      </c>
      <c r="B920" s="12" t="s">
        <v>3801</v>
      </c>
      <c r="C920" s="12" t="s">
        <v>2807</v>
      </c>
      <c r="D920" s="125">
        <v>18000000</v>
      </c>
      <c r="E920" s="125">
        <v>9970307.7200000007</v>
      </c>
      <c r="F920" s="12">
        <v>42</v>
      </c>
      <c r="G920" s="12">
        <v>180</v>
      </c>
      <c r="H920" s="12">
        <v>0</v>
      </c>
      <c r="I920" s="13">
        <v>42732.658465509259</v>
      </c>
      <c r="J920" s="13">
        <v>43102</v>
      </c>
      <c r="K920" s="12" t="s">
        <v>44</v>
      </c>
      <c r="L920" s="12" t="s">
        <v>92</v>
      </c>
      <c r="M920" s="12" t="s">
        <v>26</v>
      </c>
      <c r="N920" s="12" t="s">
        <v>2855</v>
      </c>
      <c r="O920" s="12"/>
      <c r="P920" s="12"/>
      <c r="Q920" s="12"/>
    </row>
    <row r="921" spans="1:17" x14ac:dyDescent="0.25">
      <c r="A921" s="11">
        <v>200725</v>
      </c>
      <c r="B921" s="12" t="s">
        <v>3800</v>
      </c>
      <c r="C921" s="12" t="s">
        <v>1449</v>
      </c>
      <c r="D921" s="125">
        <v>11000000</v>
      </c>
      <c r="E921" s="125">
        <v>2268779.64</v>
      </c>
      <c r="F921" s="12">
        <v>54</v>
      </c>
      <c r="G921" s="12">
        <v>180</v>
      </c>
      <c r="H921" s="12">
        <v>0</v>
      </c>
      <c r="I921" s="13">
        <v>42732.696451076386</v>
      </c>
      <c r="J921" s="13">
        <v>43101</v>
      </c>
      <c r="K921" s="12" t="s">
        <v>37</v>
      </c>
      <c r="L921" s="12" t="s">
        <v>38</v>
      </c>
      <c r="M921" s="12" t="s">
        <v>39</v>
      </c>
      <c r="N921" s="12" t="s">
        <v>2861</v>
      </c>
      <c r="O921" s="12"/>
      <c r="P921" s="12"/>
      <c r="Q921" s="12"/>
    </row>
    <row r="922" spans="1:17" x14ac:dyDescent="0.25">
      <c r="A922" s="11">
        <v>200729</v>
      </c>
      <c r="B922" s="12" t="s">
        <v>3809</v>
      </c>
      <c r="C922" s="12" t="s">
        <v>1449</v>
      </c>
      <c r="D922" s="125">
        <v>20000000</v>
      </c>
      <c r="E922" s="125">
        <v>13558293.689999999</v>
      </c>
      <c r="F922" s="12">
        <v>40</v>
      </c>
      <c r="G922" s="12">
        <v>180</v>
      </c>
      <c r="H922" s="12">
        <v>0</v>
      </c>
      <c r="I922" s="13">
        <v>42733.700722256945</v>
      </c>
      <c r="J922" s="13">
        <v>43467</v>
      </c>
      <c r="K922" s="12" t="s">
        <v>25</v>
      </c>
      <c r="L922" s="12" t="s">
        <v>26</v>
      </c>
      <c r="M922" s="12" t="s">
        <v>26</v>
      </c>
      <c r="N922" s="12" t="s">
        <v>1448</v>
      </c>
      <c r="O922" s="12"/>
      <c r="P922" s="12"/>
      <c r="Q922" s="12"/>
    </row>
    <row r="923" spans="1:17" x14ac:dyDescent="0.25">
      <c r="A923" s="11">
        <v>200731</v>
      </c>
      <c r="B923" s="12" t="s">
        <v>1846</v>
      </c>
      <c r="C923" s="12" t="s">
        <v>1449</v>
      </c>
      <c r="D923" s="125">
        <v>17000000</v>
      </c>
      <c r="E923" s="125">
        <v>9670721.5199999996</v>
      </c>
      <c r="F923" s="12">
        <v>36</v>
      </c>
      <c r="G923" s="12">
        <v>180</v>
      </c>
      <c r="H923" s="12">
        <v>0</v>
      </c>
      <c r="I923" s="13">
        <v>42735.554605787038</v>
      </c>
      <c r="J923" s="13">
        <v>43286</v>
      </c>
      <c r="K923" s="12" t="s">
        <v>42</v>
      </c>
      <c r="L923" s="12" t="s">
        <v>26</v>
      </c>
      <c r="M923" s="12" t="s">
        <v>26</v>
      </c>
      <c r="N923" s="12" t="s">
        <v>491</v>
      </c>
      <c r="O923" s="12"/>
      <c r="P923" s="12"/>
      <c r="Q923" s="12"/>
    </row>
    <row r="924" spans="1:17" x14ac:dyDescent="0.25">
      <c r="A924" s="11">
        <v>200733</v>
      </c>
      <c r="B924" s="12" t="s">
        <v>3829</v>
      </c>
      <c r="C924" s="12" t="s">
        <v>1449</v>
      </c>
      <c r="D924" s="125">
        <v>28000000</v>
      </c>
      <c r="E924" s="125">
        <v>8289990.04</v>
      </c>
      <c r="F924" s="12">
        <v>48</v>
      </c>
      <c r="G924" s="12">
        <v>180</v>
      </c>
      <c r="H924" s="12">
        <v>0</v>
      </c>
      <c r="I924" s="13">
        <v>42735.665573611113</v>
      </c>
      <c r="J924" s="13">
        <v>43101</v>
      </c>
      <c r="K924" s="12" t="s">
        <v>37</v>
      </c>
      <c r="L924" s="12" t="s">
        <v>288</v>
      </c>
      <c r="M924" s="12" t="s">
        <v>1829</v>
      </c>
      <c r="N924" s="12" t="s">
        <v>2175</v>
      </c>
      <c r="O924" s="12"/>
      <c r="P924" s="12"/>
      <c r="Q924" s="12"/>
    </row>
    <row r="925" spans="1:17" x14ac:dyDescent="0.25">
      <c r="A925" s="11">
        <v>200736</v>
      </c>
      <c r="B925" s="12" t="s">
        <v>3836</v>
      </c>
      <c r="C925" s="12" t="s">
        <v>1449</v>
      </c>
      <c r="D925" s="125">
        <v>15000000</v>
      </c>
      <c r="E925" s="125">
        <v>3102634.04</v>
      </c>
      <c r="F925" s="12">
        <v>54</v>
      </c>
      <c r="G925" s="12">
        <v>180</v>
      </c>
      <c r="H925" s="12">
        <v>0</v>
      </c>
      <c r="I925" s="13">
        <v>42735.522011805559</v>
      </c>
      <c r="J925" s="13">
        <v>43105</v>
      </c>
      <c r="K925" s="12" t="s">
        <v>46</v>
      </c>
      <c r="L925" s="12" t="s">
        <v>46</v>
      </c>
      <c r="M925" s="12" t="s">
        <v>3840</v>
      </c>
      <c r="N925" s="12" t="s">
        <v>1909</v>
      </c>
      <c r="O925" s="12"/>
      <c r="P925" s="12"/>
      <c r="Q925" s="12"/>
    </row>
    <row r="926" spans="1:17" x14ac:dyDescent="0.25">
      <c r="A926" s="11">
        <v>200738</v>
      </c>
      <c r="B926" s="12" t="s">
        <v>2495</v>
      </c>
      <c r="C926" s="12" t="s">
        <v>1449</v>
      </c>
      <c r="D926" s="125">
        <v>40000000</v>
      </c>
      <c r="E926" s="125">
        <v>33610502.960000001</v>
      </c>
      <c r="F926" s="12">
        <v>36</v>
      </c>
      <c r="G926" s="12">
        <v>180</v>
      </c>
      <c r="H926" s="12">
        <v>0</v>
      </c>
      <c r="I926" s="13">
        <v>42735.812771412035</v>
      </c>
      <c r="J926" s="13">
        <v>43831</v>
      </c>
      <c r="K926" s="12" t="s">
        <v>44</v>
      </c>
      <c r="L926" s="12" t="s">
        <v>75</v>
      </c>
      <c r="M926" s="12" t="s">
        <v>1442</v>
      </c>
      <c r="N926" s="12" t="s">
        <v>1447</v>
      </c>
      <c r="O926" s="12"/>
      <c r="P926" s="12"/>
      <c r="Q926" s="12"/>
    </row>
    <row r="927" spans="1:17" x14ac:dyDescent="0.25">
      <c r="A927" s="11">
        <v>200739</v>
      </c>
      <c r="B927" s="12" t="s">
        <v>3842</v>
      </c>
      <c r="C927" s="12" t="s">
        <v>1449</v>
      </c>
      <c r="D927" s="125">
        <v>15000000</v>
      </c>
      <c r="E927" s="125">
        <v>13005524.529999999</v>
      </c>
      <c r="F927" s="12">
        <v>40</v>
      </c>
      <c r="G927" s="12">
        <v>180</v>
      </c>
      <c r="H927" s="12">
        <v>0</v>
      </c>
      <c r="I927" s="13">
        <v>42739.603332094906</v>
      </c>
      <c r="J927" s="13">
        <v>43834</v>
      </c>
      <c r="K927" s="12" t="s">
        <v>44</v>
      </c>
      <c r="L927" s="12" t="s">
        <v>75</v>
      </c>
      <c r="M927" s="12" t="s">
        <v>1442</v>
      </c>
      <c r="N927" s="12" t="s">
        <v>1667</v>
      </c>
      <c r="O927" s="12"/>
      <c r="P927" s="12"/>
      <c r="Q927" s="12"/>
    </row>
    <row r="928" spans="1:17" x14ac:dyDescent="0.25">
      <c r="A928" s="11">
        <v>200740</v>
      </c>
      <c r="B928" s="12" t="s">
        <v>3841</v>
      </c>
      <c r="C928" s="12" t="s">
        <v>2807</v>
      </c>
      <c r="D928" s="125">
        <v>6000000</v>
      </c>
      <c r="E928" s="125">
        <v>2360581.64</v>
      </c>
      <c r="F928" s="12">
        <v>54</v>
      </c>
      <c r="G928" s="12">
        <v>180</v>
      </c>
      <c r="H928" s="12">
        <v>0</v>
      </c>
      <c r="I928" s="13">
        <v>42739.676790081015</v>
      </c>
      <c r="J928" s="13">
        <v>43104</v>
      </c>
      <c r="K928" s="12" t="s">
        <v>31</v>
      </c>
      <c r="L928" s="12" t="s">
        <v>509</v>
      </c>
      <c r="M928" s="12" t="s">
        <v>26</v>
      </c>
      <c r="N928" s="12" t="s">
        <v>90</v>
      </c>
      <c r="O928" s="12"/>
      <c r="P928" s="12"/>
      <c r="Q928" s="12"/>
    </row>
    <row r="929" spans="1:17" x14ac:dyDescent="0.25">
      <c r="A929" s="11">
        <v>200742</v>
      </c>
      <c r="B929" s="12" t="s">
        <v>2136</v>
      </c>
      <c r="C929" s="12" t="s">
        <v>1449</v>
      </c>
      <c r="D929" s="125">
        <v>8000000</v>
      </c>
      <c r="E929" s="125">
        <v>1607739.89</v>
      </c>
      <c r="F929" s="12">
        <v>48</v>
      </c>
      <c r="G929" s="12">
        <v>180</v>
      </c>
      <c r="H929" s="12">
        <v>0</v>
      </c>
      <c r="I929" s="13">
        <v>42741.718298032407</v>
      </c>
      <c r="J929" s="13">
        <v>43106</v>
      </c>
      <c r="K929" s="12" t="s">
        <v>44</v>
      </c>
      <c r="L929" s="12" t="s">
        <v>75</v>
      </c>
      <c r="M929" s="12" t="s">
        <v>1442</v>
      </c>
      <c r="N929" s="12" t="s">
        <v>1925</v>
      </c>
      <c r="O929" s="12"/>
      <c r="P929" s="12"/>
      <c r="Q929" s="12"/>
    </row>
    <row r="930" spans="1:17" x14ac:dyDescent="0.25">
      <c r="A930" s="11">
        <v>200744</v>
      </c>
      <c r="B930" s="12" t="s">
        <v>1649</v>
      </c>
      <c r="C930" s="12" t="s">
        <v>1449</v>
      </c>
      <c r="D930" s="125">
        <v>20000000</v>
      </c>
      <c r="E930" s="125">
        <v>16478968.02</v>
      </c>
      <c r="F930" s="12">
        <v>36</v>
      </c>
      <c r="G930" s="12">
        <v>180</v>
      </c>
      <c r="H930" s="12">
        <v>0</v>
      </c>
      <c r="I930" s="13">
        <v>42742.522071180552</v>
      </c>
      <c r="J930" s="13">
        <v>43840</v>
      </c>
      <c r="K930" s="12" t="s">
        <v>45</v>
      </c>
      <c r="L930" s="12" t="s">
        <v>45</v>
      </c>
      <c r="M930" s="12" t="s">
        <v>89</v>
      </c>
      <c r="N930" s="12" t="s">
        <v>963</v>
      </c>
      <c r="O930" s="12"/>
      <c r="P930" s="12"/>
      <c r="Q930" s="12"/>
    </row>
    <row r="931" spans="1:17" x14ac:dyDescent="0.25">
      <c r="A931" s="11">
        <v>200745</v>
      </c>
      <c r="B931" s="12" t="s">
        <v>3850</v>
      </c>
      <c r="C931" s="12" t="s">
        <v>2807</v>
      </c>
      <c r="D931" s="125">
        <v>40000000</v>
      </c>
      <c r="E931" s="125">
        <v>36567289.109999999</v>
      </c>
      <c r="F931" s="12">
        <v>40</v>
      </c>
      <c r="G931" s="12">
        <v>180</v>
      </c>
      <c r="H931" s="12">
        <v>0</v>
      </c>
      <c r="I931" s="13">
        <v>42746.49197476852</v>
      </c>
      <c r="J931" s="13">
        <v>44211</v>
      </c>
      <c r="K931" s="12" t="s">
        <v>44</v>
      </c>
      <c r="L931" s="12" t="s">
        <v>75</v>
      </c>
      <c r="M931" s="12" t="s">
        <v>26</v>
      </c>
      <c r="N931" s="12" t="s">
        <v>1191</v>
      </c>
      <c r="O931" s="12"/>
      <c r="P931" s="12"/>
      <c r="Q931" s="12"/>
    </row>
    <row r="932" spans="1:17" x14ac:dyDescent="0.25">
      <c r="A932" s="11">
        <v>200746</v>
      </c>
      <c r="B932" s="12" t="s">
        <v>3851</v>
      </c>
      <c r="C932" s="12" t="s">
        <v>2807</v>
      </c>
      <c r="D932" s="125">
        <v>10000000</v>
      </c>
      <c r="E932" s="125">
        <v>2024321.56</v>
      </c>
      <c r="F932" s="12">
        <v>50</v>
      </c>
      <c r="G932" s="12">
        <v>180</v>
      </c>
      <c r="H932" s="12">
        <v>0</v>
      </c>
      <c r="I932" s="13">
        <v>42746.558083877317</v>
      </c>
      <c r="J932" s="13">
        <v>43111</v>
      </c>
      <c r="K932" s="12" t="s">
        <v>25</v>
      </c>
      <c r="L932" s="12" t="s">
        <v>88</v>
      </c>
      <c r="M932" s="12" t="s">
        <v>285</v>
      </c>
      <c r="N932" s="12" t="s">
        <v>1467</v>
      </c>
      <c r="O932" s="12"/>
      <c r="P932" s="12"/>
      <c r="Q932" s="12"/>
    </row>
    <row r="933" spans="1:17" x14ac:dyDescent="0.25">
      <c r="A933" s="11">
        <v>200748</v>
      </c>
      <c r="B933" s="12" t="s">
        <v>3848</v>
      </c>
      <c r="C933" s="12" t="s">
        <v>1449</v>
      </c>
      <c r="D933" s="125">
        <v>6000000</v>
      </c>
      <c r="E933" s="125">
        <v>1232210.03</v>
      </c>
      <c r="F933" s="12">
        <v>54</v>
      </c>
      <c r="G933" s="12">
        <v>180</v>
      </c>
      <c r="H933" s="12">
        <v>0</v>
      </c>
      <c r="I933" s="13">
        <v>42746.725331678237</v>
      </c>
      <c r="J933" s="13">
        <v>43111</v>
      </c>
      <c r="K933" s="12" t="s">
        <v>25</v>
      </c>
      <c r="L933" s="12" t="s">
        <v>26</v>
      </c>
      <c r="M933" s="12" t="s">
        <v>26</v>
      </c>
      <c r="N933" s="12" t="s">
        <v>2861</v>
      </c>
      <c r="O933" s="12"/>
      <c r="P933" s="12"/>
      <c r="Q933" s="12"/>
    </row>
    <row r="934" spans="1:17" x14ac:dyDescent="0.25">
      <c r="A934" s="11">
        <v>200750</v>
      </c>
      <c r="B934" s="12" t="s">
        <v>1751</v>
      </c>
      <c r="C934" s="12" t="s">
        <v>1449</v>
      </c>
      <c r="D934" s="125">
        <v>50000000</v>
      </c>
      <c r="E934" s="125">
        <v>35005680.399999999</v>
      </c>
      <c r="F934" s="12">
        <v>36</v>
      </c>
      <c r="G934" s="12">
        <v>180</v>
      </c>
      <c r="H934" s="12">
        <v>0</v>
      </c>
      <c r="I934" s="13">
        <v>42747.690769907407</v>
      </c>
      <c r="J934" s="13">
        <v>43470</v>
      </c>
      <c r="K934" s="12" t="s">
        <v>44</v>
      </c>
      <c r="L934" s="12" t="s">
        <v>75</v>
      </c>
      <c r="M934" s="12" t="s">
        <v>1442</v>
      </c>
      <c r="N934" s="12" t="s">
        <v>1667</v>
      </c>
      <c r="O934" s="12"/>
      <c r="P934" s="12"/>
      <c r="Q934" s="12"/>
    </row>
    <row r="935" spans="1:17" x14ac:dyDescent="0.25">
      <c r="A935" s="11">
        <v>200751</v>
      </c>
      <c r="B935" s="12" t="s">
        <v>3865</v>
      </c>
      <c r="C935" s="12" t="s">
        <v>2807</v>
      </c>
      <c r="D935" s="125">
        <v>20000000</v>
      </c>
      <c r="E935" s="125">
        <v>12690609.689999999</v>
      </c>
      <c r="F935" s="12">
        <v>48</v>
      </c>
      <c r="G935" s="12">
        <v>180</v>
      </c>
      <c r="H935" s="12">
        <v>0</v>
      </c>
      <c r="I935" s="13">
        <v>42748.658324918979</v>
      </c>
      <c r="J935" s="13">
        <v>43296</v>
      </c>
      <c r="K935" s="12" t="s">
        <v>44</v>
      </c>
      <c r="L935" s="12" t="s">
        <v>92</v>
      </c>
      <c r="M935" s="12" t="s">
        <v>26</v>
      </c>
      <c r="N935" s="12" t="s">
        <v>2861</v>
      </c>
      <c r="O935" s="12"/>
      <c r="P935" s="12"/>
      <c r="Q935" s="12"/>
    </row>
    <row r="936" spans="1:17" x14ac:dyDescent="0.25">
      <c r="A936" s="11">
        <v>200754</v>
      </c>
      <c r="B936" s="12" t="s">
        <v>3886</v>
      </c>
      <c r="C936" s="12" t="s">
        <v>1449</v>
      </c>
      <c r="D936" s="125">
        <v>6000000</v>
      </c>
      <c r="E936" s="125">
        <v>1232210.03</v>
      </c>
      <c r="F936" s="12">
        <v>54</v>
      </c>
      <c r="G936" s="12">
        <v>180</v>
      </c>
      <c r="H936" s="12">
        <v>0</v>
      </c>
      <c r="I936" s="13">
        <v>42751.542047488423</v>
      </c>
      <c r="J936" s="13">
        <v>43116</v>
      </c>
      <c r="K936" s="12" t="s">
        <v>36</v>
      </c>
      <c r="L936" s="12" t="s">
        <v>118</v>
      </c>
      <c r="M936" s="12" t="s">
        <v>119</v>
      </c>
      <c r="N936" s="12" t="s">
        <v>1039</v>
      </c>
      <c r="O936" s="12"/>
      <c r="P936" s="12"/>
      <c r="Q936" s="12"/>
    </row>
    <row r="937" spans="1:17" x14ac:dyDescent="0.25">
      <c r="A937" s="11">
        <v>200755</v>
      </c>
      <c r="B937" s="12" t="s">
        <v>1854</v>
      </c>
      <c r="C937" s="12" t="s">
        <v>1449</v>
      </c>
      <c r="D937" s="125">
        <v>42800000</v>
      </c>
      <c r="E937" s="125">
        <v>38596808.380000003</v>
      </c>
      <c r="F937" s="12">
        <v>22</v>
      </c>
      <c r="G937" s="12">
        <v>180</v>
      </c>
      <c r="H937" s="12">
        <v>0</v>
      </c>
      <c r="I937" s="13">
        <v>42751.716267129632</v>
      </c>
      <c r="J937" s="13">
        <v>44582</v>
      </c>
      <c r="K937" s="12" t="s">
        <v>43</v>
      </c>
      <c r="L937" s="12" t="s">
        <v>338</v>
      </c>
      <c r="M937" s="12" t="s">
        <v>339</v>
      </c>
      <c r="N937" s="12" t="s">
        <v>284</v>
      </c>
      <c r="O937" s="12"/>
      <c r="P937" s="12"/>
      <c r="Q937" s="12"/>
    </row>
    <row r="938" spans="1:17" x14ac:dyDescent="0.25">
      <c r="A938" s="11">
        <v>200757</v>
      </c>
      <c r="B938" s="12" t="s">
        <v>3902</v>
      </c>
      <c r="C938" s="12" t="s">
        <v>80</v>
      </c>
      <c r="D938" s="125">
        <v>15000000</v>
      </c>
      <c r="E938" s="125">
        <v>3014512.29</v>
      </c>
      <c r="F938" s="12">
        <v>48</v>
      </c>
      <c r="G938" s="12">
        <v>180</v>
      </c>
      <c r="H938" s="12">
        <v>0</v>
      </c>
      <c r="I938" s="13">
        <v>42752.563019675923</v>
      </c>
      <c r="J938" s="13">
        <v>43117</v>
      </c>
      <c r="K938" s="12" t="s">
        <v>45</v>
      </c>
      <c r="L938" s="12" t="s">
        <v>45</v>
      </c>
      <c r="M938" s="12" t="s">
        <v>89</v>
      </c>
      <c r="N938" s="12" t="s">
        <v>2557</v>
      </c>
      <c r="O938" s="12"/>
      <c r="P938" s="12"/>
      <c r="Q938" s="12"/>
    </row>
    <row r="939" spans="1:17" x14ac:dyDescent="0.25">
      <c r="A939" s="11">
        <v>200758</v>
      </c>
      <c r="B939" s="12" t="s">
        <v>3901</v>
      </c>
      <c r="C939" s="12" t="s">
        <v>1449</v>
      </c>
      <c r="D939" s="125">
        <v>30000000</v>
      </c>
      <c r="E939" s="125">
        <v>20784052.870000001</v>
      </c>
      <c r="F939" s="12">
        <v>48</v>
      </c>
      <c r="G939" s="12">
        <v>180</v>
      </c>
      <c r="H939" s="12">
        <v>0</v>
      </c>
      <c r="I939" s="13">
        <v>42752.565499884258</v>
      </c>
      <c r="J939" s="13">
        <v>43482</v>
      </c>
      <c r="K939" s="12" t="s">
        <v>45</v>
      </c>
      <c r="L939" s="12" t="s">
        <v>45</v>
      </c>
      <c r="M939" s="12" t="s">
        <v>89</v>
      </c>
      <c r="N939" s="12" t="s">
        <v>2855</v>
      </c>
      <c r="O939" s="12"/>
      <c r="P939" s="12"/>
      <c r="Q939" s="12"/>
    </row>
    <row r="940" spans="1:17" x14ac:dyDescent="0.25">
      <c r="A940" s="11">
        <v>200759</v>
      </c>
      <c r="B940" s="12" t="s">
        <v>1669</v>
      </c>
      <c r="C940" s="12" t="s">
        <v>1449</v>
      </c>
      <c r="D940" s="125">
        <v>65000000</v>
      </c>
      <c r="E940" s="125">
        <v>49337453.549999997</v>
      </c>
      <c r="F940" s="12">
        <v>36</v>
      </c>
      <c r="G940" s="12">
        <v>180</v>
      </c>
      <c r="H940" s="12">
        <v>0</v>
      </c>
      <c r="I940" s="13">
        <v>42752.62497271991</v>
      </c>
      <c r="J940" s="13">
        <v>43663</v>
      </c>
      <c r="K940" s="12" t="s">
        <v>44</v>
      </c>
      <c r="L940" s="12" t="s">
        <v>75</v>
      </c>
      <c r="M940" s="12" t="s">
        <v>1442</v>
      </c>
      <c r="N940" s="12" t="s">
        <v>491</v>
      </c>
      <c r="O940" s="12"/>
      <c r="P940" s="12"/>
      <c r="Q940" s="12"/>
    </row>
    <row r="941" spans="1:17" x14ac:dyDescent="0.25">
      <c r="A941" s="11">
        <v>200760</v>
      </c>
      <c r="B941" s="12" t="s">
        <v>3899</v>
      </c>
      <c r="C941" s="12" t="s">
        <v>80</v>
      </c>
      <c r="D941" s="125">
        <v>20000000</v>
      </c>
      <c r="E941" s="125">
        <v>13558293.689999999</v>
      </c>
      <c r="F941" s="12">
        <v>40</v>
      </c>
      <c r="G941" s="12">
        <v>180</v>
      </c>
      <c r="H941" s="12">
        <v>0</v>
      </c>
      <c r="I941" s="13">
        <v>42752.656163159721</v>
      </c>
      <c r="J941" s="13">
        <v>43485</v>
      </c>
      <c r="K941" s="12" t="s">
        <v>44</v>
      </c>
      <c r="L941" s="12" t="s">
        <v>92</v>
      </c>
      <c r="M941" s="12" t="s">
        <v>26</v>
      </c>
      <c r="N941" s="12" t="s">
        <v>2855</v>
      </c>
      <c r="O941" s="12"/>
      <c r="P941" s="12"/>
      <c r="Q941" s="12"/>
    </row>
    <row r="942" spans="1:17" x14ac:dyDescent="0.25">
      <c r="A942" s="11">
        <v>200761</v>
      </c>
      <c r="B942" s="12" t="s">
        <v>3898</v>
      </c>
      <c r="C942" s="12" t="s">
        <v>1449</v>
      </c>
      <c r="D942" s="125">
        <v>15000000</v>
      </c>
      <c r="E942" s="125">
        <v>6329044.9100000001</v>
      </c>
      <c r="F942" s="12">
        <v>54</v>
      </c>
      <c r="G942" s="12">
        <v>180</v>
      </c>
      <c r="H942" s="12">
        <v>0</v>
      </c>
      <c r="I942" s="13">
        <v>42752.731632210649</v>
      </c>
      <c r="J942" s="13">
        <v>43117</v>
      </c>
      <c r="K942" s="12" t="s">
        <v>25</v>
      </c>
      <c r="L942" s="12" t="s">
        <v>290</v>
      </c>
      <c r="M942" s="12" t="s">
        <v>297</v>
      </c>
      <c r="N942" s="12" t="s">
        <v>1467</v>
      </c>
      <c r="O942" s="12"/>
      <c r="P942" s="12"/>
      <c r="Q942" s="12"/>
    </row>
    <row r="943" spans="1:17" x14ac:dyDescent="0.25">
      <c r="A943" s="11">
        <v>200762</v>
      </c>
      <c r="B943" s="12" t="s">
        <v>3922</v>
      </c>
      <c r="C943" s="12" t="s">
        <v>1449</v>
      </c>
      <c r="D943" s="125">
        <v>30000000</v>
      </c>
      <c r="E943" s="125">
        <v>24839300.879999999</v>
      </c>
      <c r="F943" s="12">
        <v>40</v>
      </c>
      <c r="G943" s="12">
        <v>180</v>
      </c>
      <c r="H943" s="12">
        <v>0</v>
      </c>
      <c r="I943" s="13">
        <v>42753.702417743058</v>
      </c>
      <c r="J943" s="13">
        <v>43848</v>
      </c>
      <c r="K943" s="12" t="s">
        <v>25</v>
      </c>
      <c r="L943" s="12" t="s">
        <v>3923</v>
      </c>
      <c r="M943" s="12" t="s">
        <v>3924</v>
      </c>
      <c r="N943" s="12" t="s">
        <v>1448</v>
      </c>
      <c r="O943" s="12"/>
      <c r="P943" s="12"/>
      <c r="Q943" s="12"/>
    </row>
    <row r="944" spans="1:17" x14ac:dyDescent="0.25">
      <c r="A944" s="11">
        <v>200763</v>
      </c>
      <c r="B944" s="12" t="s">
        <v>3935</v>
      </c>
      <c r="C944" s="12" t="s">
        <v>1449</v>
      </c>
      <c r="D944" s="125">
        <v>5000000</v>
      </c>
      <c r="E944" s="125">
        <v>1967151.37</v>
      </c>
      <c r="F944" s="12">
        <v>54</v>
      </c>
      <c r="G944" s="12">
        <v>180</v>
      </c>
      <c r="H944" s="12">
        <v>0</v>
      </c>
      <c r="I944" s="13">
        <v>42754.707278506947</v>
      </c>
      <c r="J944" s="13">
        <v>43119</v>
      </c>
      <c r="K944" s="12" t="s">
        <v>46</v>
      </c>
      <c r="L944" s="12" t="s">
        <v>46</v>
      </c>
      <c r="M944" s="12" t="s">
        <v>26</v>
      </c>
      <c r="N944" s="12" t="s">
        <v>2034</v>
      </c>
      <c r="O944" s="12"/>
      <c r="P944" s="12"/>
      <c r="Q944" s="12"/>
    </row>
    <row r="945" spans="1:17" x14ac:dyDescent="0.25">
      <c r="A945" s="11">
        <v>200765</v>
      </c>
      <c r="B945" s="12" t="s">
        <v>3942</v>
      </c>
      <c r="C945" s="12" t="s">
        <v>2807</v>
      </c>
      <c r="D945" s="125">
        <v>6000000</v>
      </c>
      <c r="E945" s="125">
        <v>2360581.64</v>
      </c>
      <c r="F945" s="12">
        <v>54</v>
      </c>
      <c r="G945" s="12">
        <v>180</v>
      </c>
      <c r="H945" s="12">
        <v>0</v>
      </c>
      <c r="I945" s="13">
        <v>42755.601103009256</v>
      </c>
      <c r="J945" s="13">
        <v>43120</v>
      </c>
      <c r="K945" s="12" t="s">
        <v>25</v>
      </c>
      <c r="L945" s="12" t="s">
        <v>295</v>
      </c>
      <c r="M945" s="12" t="s">
        <v>26</v>
      </c>
      <c r="N945" s="12" t="s">
        <v>468</v>
      </c>
      <c r="O945" s="12"/>
      <c r="P945" s="12"/>
      <c r="Q945" s="12"/>
    </row>
    <row r="946" spans="1:17" x14ac:dyDescent="0.25">
      <c r="A946" s="11">
        <v>200767</v>
      </c>
      <c r="B946" s="12" t="s">
        <v>3944</v>
      </c>
      <c r="C946" s="12" t="s">
        <v>1449</v>
      </c>
      <c r="D946" s="125">
        <v>16000000</v>
      </c>
      <c r="E946" s="125">
        <v>8281301.7999999998</v>
      </c>
      <c r="F946" s="12">
        <v>40</v>
      </c>
      <c r="G946" s="12">
        <v>180</v>
      </c>
      <c r="H946" s="12">
        <v>0</v>
      </c>
      <c r="I946" s="13">
        <v>42755.603499571756</v>
      </c>
      <c r="J946" s="13">
        <v>43301</v>
      </c>
      <c r="K946" s="12" t="s">
        <v>44</v>
      </c>
      <c r="L946" s="12" t="s">
        <v>75</v>
      </c>
      <c r="M946" s="12" t="s">
        <v>1442</v>
      </c>
      <c r="N946" s="12" t="s">
        <v>2861</v>
      </c>
      <c r="O946" s="12"/>
      <c r="P946" s="12"/>
      <c r="Q946" s="12"/>
    </row>
    <row r="947" spans="1:17" x14ac:dyDescent="0.25">
      <c r="A947" s="11">
        <v>200768</v>
      </c>
      <c r="B947" s="12" t="s">
        <v>3943</v>
      </c>
      <c r="C947" s="12" t="s">
        <v>1449</v>
      </c>
      <c r="D947" s="125">
        <v>6000000</v>
      </c>
      <c r="E947" s="125">
        <v>1232210.03</v>
      </c>
      <c r="F947" s="12">
        <v>54</v>
      </c>
      <c r="G947" s="12">
        <v>180</v>
      </c>
      <c r="H947" s="12">
        <v>0</v>
      </c>
      <c r="I947" s="13">
        <v>42755.624337847221</v>
      </c>
      <c r="J947" s="13">
        <v>43120</v>
      </c>
      <c r="K947" s="12" t="s">
        <v>25</v>
      </c>
      <c r="L947" s="12" t="s">
        <v>94</v>
      </c>
      <c r="M947" s="12" t="s">
        <v>1828</v>
      </c>
      <c r="N947" s="12" t="s">
        <v>2034</v>
      </c>
      <c r="O947" s="12"/>
      <c r="P947" s="12"/>
      <c r="Q947" s="12"/>
    </row>
    <row r="948" spans="1:17" x14ac:dyDescent="0.25">
      <c r="A948" s="11">
        <v>200770</v>
      </c>
      <c r="B948" s="12" t="s">
        <v>1754</v>
      </c>
      <c r="C948" s="12" t="s">
        <v>2807</v>
      </c>
      <c r="D948" s="125">
        <v>60000000</v>
      </c>
      <c r="E948" s="125">
        <v>39476271.409999996</v>
      </c>
      <c r="F948" s="12">
        <v>36</v>
      </c>
      <c r="G948" s="12">
        <v>180</v>
      </c>
      <c r="H948" s="12">
        <v>0</v>
      </c>
      <c r="I948" s="13">
        <v>42759.51062734954</v>
      </c>
      <c r="J948" s="13">
        <v>43475</v>
      </c>
      <c r="K948" s="12" t="s">
        <v>25</v>
      </c>
      <c r="L948" s="12" t="s">
        <v>88</v>
      </c>
      <c r="M948" s="12" t="s">
        <v>26</v>
      </c>
      <c r="N948" s="12" t="s">
        <v>1191</v>
      </c>
      <c r="O948" s="12"/>
      <c r="P948" s="12"/>
      <c r="Q948" s="12"/>
    </row>
    <row r="949" spans="1:17" x14ac:dyDescent="0.25">
      <c r="A949" s="11">
        <v>200772</v>
      </c>
      <c r="B949" s="12" t="s">
        <v>3960</v>
      </c>
      <c r="C949" s="12" t="s">
        <v>1449</v>
      </c>
      <c r="D949" s="125">
        <v>6000000</v>
      </c>
      <c r="E949" s="125">
        <v>1214592.97</v>
      </c>
      <c r="F949" s="12">
        <v>50</v>
      </c>
      <c r="G949" s="12">
        <v>180</v>
      </c>
      <c r="H949" s="12">
        <v>0</v>
      </c>
      <c r="I949" s="13">
        <v>42756.515501504633</v>
      </c>
      <c r="J949" s="13">
        <v>43121</v>
      </c>
      <c r="K949" s="12" t="s">
        <v>36</v>
      </c>
      <c r="L949" s="12" t="s">
        <v>97</v>
      </c>
      <c r="M949" s="12" t="s">
        <v>3961</v>
      </c>
      <c r="N949" s="12" t="s">
        <v>1447</v>
      </c>
      <c r="O949" s="12"/>
      <c r="P949" s="12"/>
      <c r="Q949" s="12"/>
    </row>
    <row r="950" spans="1:17" x14ac:dyDescent="0.25">
      <c r="A950" s="11">
        <v>200778</v>
      </c>
      <c r="B950" s="12" t="s">
        <v>3978</v>
      </c>
      <c r="C950" s="12" t="s">
        <v>1449</v>
      </c>
      <c r="D950" s="125">
        <v>5000000</v>
      </c>
      <c r="E950" s="125">
        <v>1522487.75</v>
      </c>
      <c r="F950" s="12">
        <v>54</v>
      </c>
      <c r="G950" s="12">
        <v>180</v>
      </c>
      <c r="H950" s="12">
        <v>0</v>
      </c>
      <c r="I950" s="13">
        <v>42759.545042939812</v>
      </c>
      <c r="J950" s="13">
        <v>43132</v>
      </c>
      <c r="K950" s="12" t="s">
        <v>36</v>
      </c>
      <c r="L950" s="12" t="s">
        <v>97</v>
      </c>
      <c r="M950" s="12" t="s">
        <v>98</v>
      </c>
      <c r="N950" s="12" t="s">
        <v>1448</v>
      </c>
      <c r="O950" s="12"/>
      <c r="P950" s="12"/>
      <c r="Q950" s="12"/>
    </row>
    <row r="951" spans="1:17" x14ac:dyDescent="0.25">
      <c r="A951" s="11">
        <v>200779</v>
      </c>
      <c r="B951" s="12" t="s">
        <v>2469</v>
      </c>
      <c r="C951" s="12" t="s">
        <v>2807</v>
      </c>
      <c r="D951" s="125">
        <v>4000000</v>
      </c>
      <c r="E951" s="125">
        <v>1182767.92</v>
      </c>
      <c r="F951" s="12">
        <v>48</v>
      </c>
      <c r="G951" s="12">
        <v>180</v>
      </c>
      <c r="H951" s="12">
        <v>0</v>
      </c>
      <c r="I951" s="13">
        <v>42760.657270717595</v>
      </c>
      <c r="J951" s="13">
        <v>43125</v>
      </c>
      <c r="K951" s="12" t="s">
        <v>44</v>
      </c>
      <c r="L951" s="12" t="s">
        <v>75</v>
      </c>
      <c r="M951" s="12" t="s">
        <v>26</v>
      </c>
      <c r="N951" s="12" t="s">
        <v>1925</v>
      </c>
      <c r="O951" s="12"/>
      <c r="P951" s="12"/>
      <c r="Q951" s="12"/>
    </row>
    <row r="952" spans="1:17" x14ac:dyDescent="0.25">
      <c r="A952" s="11">
        <v>200780</v>
      </c>
      <c r="B952" s="12" t="s">
        <v>3982</v>
      </c>
      <c r="C952" s="12" t="s">
        <v>2807</v>
      </c>
      <c r="D952" s="125">
        <v>2000000</v>
      </c>
      <c r="E952" s="125">
        <v>290162</v>
      </c>
      <c r="F952" s="12">
        <v>54</v>
      </c>
      <c r="G952" s="12">
        <v>180</v>
      </c>
      <c r="H952" s="12">
        <v>0</v>
      </c>
      <c r="I952" s="13">
        <v>42760.690128553244</v>
      </c>
      <c r="J952" s="13">
        <v>43003</v>
      </c>
      <c r="K952" s="12" t="s">
        <v>37</v>
      </c>
      <c r="L952" s="12" t="s">
        <v>38</v>
      </c>
      <c r="M952" s="12" t="s">
        <v>39</v>
      </c>
      <c r="N952" s="12" t="s">
        <v>2861</v>
      </c>
      <c r="O952" s="12"/>
      <c r="P952" s="12"/>
      <c r="Q952" s="12"/>
    </row>
    <row r="953" spans="1:17" x14ac:dyDescent="0.25">
      <c r="A953" s="11">
        <v>200782</v>
      </c>
      <c r="B953" s="12" t="s">
        <v>3991</v>
      </c>
      <c r="C953" s="12" t="s">
        <v>2807</v>
      </c>
      <c r="D953" s="125">
        <v>35000000</v>
      </c>
      <c r="E953" s="125">
        <v>20712135.02</v>
      </c>
      <c r="F953" s="12">
        <v>40</v>
      </c>
      <c r="G953" s="12">
        <v>180</v>
      </c>
      <c r="H953" s="12">
        <v>0</v>
      </c>
      <c r="I953" s="13">
        <v>42763.586794560186</v>
      </c>
      <c r="J953" s="13">
        <v>43314</v>
      </c>
      <c r="K953" s="12" t="s">
        <v>37</v>
      </c>
      <c r="L953" s="12" t="s">
        <v>288</v>
      </c>
      <c r="M953" s="12" t="s">
        <v>26</v>
      </c>
      <c r="N953" s="12" t="s">
        <v>1039</v>
      </c>
      <c r="O953" s="12"/>
      <c r="P953" s="12"/>
      <c r="Q953" s="12"/>
    </row>
    <row r="954" spans="1:17" x14ac:dyDescent="0.25">
      <c r="A954" s="11">
        <v>200783</v>
      </c>
      <c r="B954" s="12" t="s">
        <v>3999</v>
      </c>
      <c r="C954" s="12" t="s">
        <v>2807</v>
      </c>
      <c r="D954" s="125">
        <v>18000000</v>
      </c>
      <c r="E954" s="125">
        <v>8519345.1799999997</v>
      </c>
      <c r="F954" s="12">
        <v>48</v>
      </c>
      <c r="G954" s="12">
        <v>180</v>
      </c>
      <c r="H954" s="12">
        <v>0</v>
      </c>
      <c r="I954" s="13">
        <v>42765.5072147338</v>
      </c>
      <c r="J954" s="13">
        <v>43225</v>
      </c>
      <c r="K954" s="12" t="s">
        <v>37</v>
      </c>
      <c r="L954" s="12" t="s">
        <v>38</v>
      </c>
      <c r="M954" s="12" t="s">
        <v>26</v>
      </c>
      <c r="N954" s="12" t="s">
        <v>491</v>
      </c>
      <c r="O954" s="12"/>
      <c r="P954" s="12"/>
      <c r="Q954" s="12"/>
    </row>
    <row r="955" spans="1:17" x14ac:dyDescent="0.25">
      <c r="A955" s="11">
        <v>200784</v>
      </c>
      <c r="B955" s="12" t="s">
        <v>2866</v>
      </c>
      <c r="C955" s="12" t="s">
        <v>2807</v>
      </c>
      <c r="D955" s="125">
        <v>10000000</v>
      </c>
      <c r="E955" s="125">
        <v>3153912.72</v>
      </c>
      <c r="F955" s="12">
        <v>48</v>
      </c>
      <c r="G955" s="12">
        <v>180</v>
      </c>
      <c r="H955" s="12">
        <v>0</v>
      </c>
      <c r="I955" s="13">
        <v>42763.526987581019</v>
      </c>
      <c r="J955" s="13">
        <v>43133</v>
      </c>
      <c r="K955" s="12" t="s">
        <v>25</v>
      </c>
      <c r="L955" s="12" t="s">
        <v>32</v>
      </c>
      <c r="M955" s="12" t="s">
        <v>26</v>
      </c>
      <c r="N955" s="12" t="s">
        <v>2538</v>
      </c>
      <c r="O955" s="12"/>
      <c r="P955" s="12"/>
      <c r="Q955" s="12"/>
    </row>
    <row r="956" spans="1:17" x14ac:dyDescent="0.25">
      <c r="A956" s="11">
        <v>200785</v>
      </c>
      <c r="B956" s="12" t="s">
        <v>2371</v>
      </c>
      <c r="C956" s="12" t="s">
        <v>2807</v>
      </c>
      <c r="D956" s="125">
        <v>40000000</v>
      </c>
      <c r="E956" s="125">
        <v>24881055.620000001</v>
      </c>
      <c r="F956" s="12">
        <v>36</v>
      </c>
      <c r="G956" s="12">
        <v>180</v>
      </c>
      <c r="H956" s="12">
        <v>0</v>
      </c>
      <c r="I956" s="13">
        <v>42773.688587928242</v>
      </c>
      <c r="J956" s="13">
        <v>43322</v>
      </c>
      <c r="K956" s="12" t="s">
        <v>27</v>
      </c>
      <c r="L956" s="12" t="s">
        <v>26</v>
      </c>
      <c r="M956" s="12" t="s">
        <v>26</v>
      </c>
      <c r="N956" s="12" t="s">
        <v>2175</v>
      </c>
      <c r="O956" s="12"/>
      <c r="P956" s="12"/>
      <c r="Q956" s="12"/>
    </row>
    <row r="957" spans="1:17" x14ac:dyDescent="0.25">
      <c r="A957" s="11">
        <v>200790</v>
      </c>
      <c r="B957" s="12" t="s">
        <v>4070</v>
      </c>
      <c r="C957" s="12" t="s">
        <v>2807</v>
      </c>
      <c r="D957" s="125">
        <v>65000000</v>
      </c>
      <c r="E957" s="125">
        <v>18720282</v>
      </c>
      <c r="F957" s="12">
        <v>40</v>
      </c>
      <c r="G957" s="12">
        <v>180</v>
      </c>
      <c r="H957" s="12">
        <v>0</v>
      </c>
      <c r="I957" s="13">
        <v>42776.583435995373</v>
      </c>
      <c r="J957" s="13">
        <v>43141</v>
      </c>
      <c r="K957" s="12" t="s">
        <v>27</v>
      </c>
      <c r="L957" s="12" t="s">
        <v>26</v>
      </c>
      <c r="M957" s="12" t="s">
        <v>26</v>
      </c>
      <c r="N957" s="12" t="s">
        <v>1909</v>
      </c>
      <c r="O957" s="12"/>
      <c r="P957" s="12"/>
      <c r="Q957" s="12"/>
    </row>
    <row r="958" spans="1:17" x14ac:dyDescent="0.25">
      <c r="A958" s="11">
        <v>200793</v>
      </c>
      <c r="B958" s="12" t="s">
        <v>4009</v>
      </c>
      <c r="C958" s="12" t="s">
        <v>2807</v>
      </c>
      <c r="D958" s="125">
        <v>6000000</v>
      </c>
      <c r="E958" s="125">
        <v>2363969.98</v>
      </c>
      <c r="F958" s="12">
        <v>54</v>
      </c>
      <c r="G958" s="12">
        <v>180</v>
      </c>
      <c r="H958" s="12">
        <v>0</v>
      </c>
      <c r="I958" s="13">
        <v>42766.752147569445</v>
      </c>
      <c r="J958" s="13">
        <v>43134</v>
      </c>
      <c r="K958" s="12" t="s">
        <v>36</v>
      </c>
      <c r="L958" s="12" t="s">
        <v>97</v>
      </c>
      <c r="M958" s="12" t="s">
        <v>98</v>
      </c>
      <c r="N958" s="12" t="s">
        <v>1447</v>
      </c>
      <c r="O958" s="12"/>
      <c r="P958" s="12"/>
      <c r="Q958" s="12"/>
    </row>
    <row r="959" spans="1:17" x14ac:dyDescent="0.25">
      <c r="A959" s="11">
        <v>200795</v>
      </c>
      <c r="B959" s="12" t="s">
        <v>2676</v>
      </c>
      <c r="C959" s="12" t="s">
        <v>1449</v>
      </c>
      <c r="D959" s="125">
        <v>15000000</v>
      </c>
      <c r="E959" s="125">
        <v>4441066.08</v>
      </c>
      <c r="F959" s="12">
        <v>48</v>
      </c>
      <c r="G959" s="12">
        <v>180</v>
      </c>
      <c r="H959" s="12">
        <v>0</v>
      </c>
      <c r="I959" s="13">
        <v>42766.618874108797</v>
      </c>
      <c r="J959" s="13">
        <v>43134</v>
      </c>
      <c r="K959" s="12" t="s">
        <v>27</v>
      </c>
      <c r="L959" s="12" t="s">
        <v>116</v>
      </c>
      <c r="M959" s="12" t="s">
        <v>26</v>
      </c>
      <c r="N959" s="12" t="s">
        <v>2538</v>
      </c>
      <c r="O959" s="12"/>
      <c r="P959" s="12"/>
      <c r="Q959" s="12"/>
    </row>
    <row r="960" spans="1:17" x14ac:dyDescent="0.25">
      <c r="A960" s="11">
        <v>200796</v>
      </c>
      <c r="B960" s="12" t="s">
        <v>4013</v>
      </c>
      <c r="C960" s="12" t="s">
        <v>2807</v>
      </c>
      <c r="D960" s="125">
        <v>3500000</v>
      </c>
      <c r="E960" s="125">
        <v>1194903.3799999999</v>
      </c>
      <c r="F960" s="12">
        <v>54</v>
      </c>
      <c r="G960" s="12">
        <v>180</v>
      </c>
      <c r="H960" s="12">
        <v>0</v>
      </c>
      <c r="I960" s="13">
        <v>42766.718846215277</v>
      </c>
      <c r="J960" s="13">
        <v>43134</v>
      </c>
      <c r="K960" s="12" t="s">
        <v>25</v>
      </c>
      <c r="L960" s="12" t="s">
        <v>26</v>
      </c>
      <c r="M960" s="12" t="s">
        <v>26</v>
      </c>
      <c r="N960" s="12" t="s">
        <v>2175</v>
      </c>
      <c r="O960" s="12"/>
      <c r="P960" s="12"/>
      <c r="Q960" s="12"/>
    </row>
    <row r="961" spans="1:17" x14ac:dyDescent="0.25">
      <c r="A961" s="11">
        <v>200798</v>
      </c>
      <c r="B961" s="12" t="s">
        <v>4014</v>
      </c>
      <c r="C961" s="12" t="s">
        <v>2807</v>
      </c>
      <c r="D961" s="125">
        <v>25000000</v>
      </c>
      <c r="E961" s="125">
        <v>16038201.77</v>
      </c>
      <c r="F961" s="12">
        <v>48</v>
      </c>
      <c r="G961" s="12">
        <v>180</v>
      </c>
      <c r="H961" s="12">
        <v>0</v>
      </c>
      <c r="I961" s="13">
        <v>42766.855295868052</v>
      </c>
      <c r="J961" s="13">
        <v>43315</v>
      </c>
      <c r="K961" s="12" t="s">
        <v>37</v>
      </c>
      <c r="L961" s="12" t="s">
        <v>38</v>
      </c>
      <c r="M961" s="12" t="s">
        <v>26</v>
      </c>
      <c r="N961" s="12" t="s">
        <v>5725</v>
      </c>
      <c r="O961" s="12"/>
      <c r="P961" s="12"/>
      <c r="Q961" s="12"/>
    </row>
    <row r="962" spans="1:17" x14ac:dyDescent="0.25">
      <c r="A962" s="11">
        <v>200800</v>
      </c>
      <c r="B962" s="12" t="s">
        <v>2387</v>
      </c>
      <c r="C962" s="12" t="s">
        <v>2807</v>
      </c>
      <c r="D962" s="125">
        <v>6000000</v>
      </c>
      <c r="E962" s="125">
        <v>1776573.94</v>
      </c>
      <c r="F962" s="12">
        <v>44</v>
      </c>
      <c r="G962" s="12">
        <v>180</v>
      </c>
      <c r="H962" s="12">
        <v>0</v>
      </c>
      <c r="I962" s="13">
        <v>42766.881417557874</v>
      </c>
      <c r="J962" s="13">
        <v>43134</v>
      </c>
      <c r="K962" s="12" t="s">
        <v>29</v>
      </c>
      <c r="L962" s="12" t="s">
        <v>30</v>
      </c>
      <c r="M962" s="12" t="s">
        <v>26</v>
      </c>
      <c r="N962" s="12" t="s">
        <v>2034</v>
      </c>
      <c r="O962" s="12"/>
      <c r="P962" s="12"/>
      <c r="Q962" s="12"/>
    </row>
    <row r="963" spans="1:17" x14ac:dyDescent="0.25">
      <c r="A963" s="11">
        <v>200802</v>
      </c>
      <c r="B963" s="12" t="s">
        <v>3203</v>
      </c>
      <c r="C963" s="12" t="s">
        <v>1449</v>
      </c>
      <c r="D963" s="125">
        <v>50000000</v>
      </c>
      <c r="E963" s="125">
        <v>35279429.539999999</v>
      </c>
      <c r="F963" s="12">
        <v>36</v>
      </c>
      <c r="G963" s="12">
        <v>180</v>
      </c>
      <c r="H963" s="12">
        <v>0</v>
      </c>
      <c r="I963" s="13">
        <v>42766.913834259256</v>
      </c>
      <c r="J963" s="13">
        <v>43499</v>
      </c>
      <c r="K963" s="12" t="s">
        <v>44</v>
      </c>
      <c r="L963" s="12" t="s">
        <v>75</v>
      </c>
      <c r="M963" s="12" t="s">
        <v>1442</v>
      </c>
      <c r="N963" s="12" t="s">
        <v>2538</v>
      </c>
      <c r="O963" s="12"/>
      <c r="P963" s="12"/>
      <c r="Q963" s="12"/>
    </row>
    <row r="964" spans="1:17" x14ac:dyDescent="0.25">
      <c r="A964" s="11">
        <v>200803</v>
      </c>
      <c r="B964" s="12" t="s">
        <v>4036</v>
      </c>
      <c r="C964" s="12" t="s">
        <v>2807</v>
      </c>
      <c r="D964" s="125">
        <v>2500000</v>
      </c>
      <c r="E964" s="125">
        <v>899790.91</v>
      </c>
      <c r="F964" s="12">
        <v>54</v>
      </c>
      <c r="G964" s="12">
        <v>180</v>
      </c>
      <c r="H964" s="12">
        <v>0</v>
      </c>
      <c r="I964" s="13">
        <v>42767.695371643516</v>
      </c>
      <c r="J964" s="13">
        <v>43132</v>
      </c>
      <c r="K964" s="12" t="s">
        <v>25</v>
      </c>
      <c r="L964" s="12" t="s">
        <v>26</v>
      </c>
      <c r="M964" s="12" t="s">
        <v>26</v>
      </c>
      <c r="N964" s="12" t="s">
        <v>2538</v>
      </c>
      <c r="O964" s="12"/>
      <c r="P964" s="12"/>
      <c r="Q964" s="12"/>
    </row>
    <row r="965" spans="1:17" x14ac:dyDescent="0.25">
      <c r="A965" s="11">
        <v>200804</v>
      </c>
      <c r="B965" s="12" t="s">
        <v>2099</v>
      </c>
      <c r="C965" s="12" t="s">
        <v>2807</v>
      </c>
      <c r="D965" s="125">
        <v>8000000</v>
      </c>
      <c r="E965" s="125">
        <v>2365535.84</v>
      </c>
      <c r="F965" s="12">
        <v>48</v>
      </c>
      <c r="G965" s="12">
        <v>180</v>
      </c>
      <c r="H965" s="12">
        <v>0</v>
      </c>
      <c r="I965" s="13">
        <v>42768.616484571758</v>
      </c>
      <c r="J965" s="13">
        <v>43133</v>
      </c>
      <c r="K965" s="12" t="s">
        <v>36</v>
      </c>
      <c r="L965" s="12" t="s">
        <v>1023</v>
      </c>
      <c r="M965" s="12" t="s">
        <v>4042</v>
      </c>
      <c r="N965" s="12" t="s">
        <v>1909</v>
      </c>
      <c r="O965" s="12"/>
      <c r="P965" s="12"/>
      <c r="Q965" s="12"/>
    </row>
    <row r="966" spans="1:17" x14ac:dyDescent="0.25">
      <c r="A966" s="11">
        <v>200805</v>
      </c>
      <c r="B966" s="12" t="s">
        <v>2740</v>
      </c>
      <c r="C966" s="12" t="s">
        <v>2807</v>
      </c>
      <c r="D966" s="125">
        <v>30000000</v>
      </c>
      <c r="E966" s="125">
        <v>22594046.489999998</v>
      </c>
      <c r="F966" s="12">
        <v>42</v>
      </c>
      <c r="G966" s="12">
        <v>180</v>
      </c>
      <c r="H966" s="12">
        <v>0</v>
      </c>
      <c r="I966" s="13">
        <v>42769.738868981483</v>
      </c>
      <c r="J966" s="13">
        <v>43499</v>
      </c>
      <c r="K966" s="12" t="s">
        <v>29</v>
      </c>
      <c r="L966" s="12" t="s">
        <v>30</v>
      </c>
      <c r="M966" s="12" t="s">
        <v>26</v>
      </c>
      <c r="N966" s="12" t="s">
        <v>86</v>
      </c>
      <c r="O966" s="12"/>
      <c r="P966" s="12"/>
      <c r="Q966" s="12"/>
    </row>
    <row r="967" spans="1:17" x14ac:dyDescent="0.25">
      <c r="A967" s="11">
        <v>200808</v>
      </c>
      <c r="B967" s="12" t="s">
        <v>4052</v>
      </c>
      <c r="C967" s="12" t="s">
        <v>2807</v>
      </c>
      <c r="D967" s="125">
        <v>10000000</v>
      </c>
      <c r="E967" s="125">
        <v>4596987.9800000004</v>
      </c>
      <c r="F967" s="12">
        <v>40</v>
      </c>
      <c r="G967" s="12">
        <v>180</v>
      </c>
      <c r="H967" s="12">
        <v>0</v>
      </c>
      <c r="I967" s="13">
        <v>42772.666294062503</v>
      </c>
      <c r="J967" s="13">
        <v>43226</v>
      </c>
      <c r="K967" s="12" t="s">
        <v>44</v>
      </c>
      <c r="L967" s="12" t="s">
        <v>92</v>
      </c>
      <c r="M967" s="12" t="s">
        <v>26</v>
      </c>
      <c r="N967" s="12" t="s">
        <v>1467</v>
      </c>
      <c r="O967" s="12"/>
      <c r="P967" s="12"/>
      <c r="Q967" s="12"/>
    </row>
    <row r="968" spans="1:17" x14ac:dyDescent="0.25">
      <c r="A968" s="11">
        <v>200815</v>
      </c>
      <c r="B968" s="12" t="s">
        <v>2489</v>
      </c>
      <c r="C968" s="12" t="s">
        <v>1449</v>
      </c>
      <c r="D968" s="125">
        <v>2500000</v>
      </c>
      <c r="E968" s="125">
        <v>739229.96</v>
      </c>
      <c r="F968" s="12">
        <v>48</v>
      </c>
      <c r="G968" s="12">
        <v>180</v>
      </c>
      <c r="H968" s="12">
        <v>0</v>
      </c>
      <c r="I968" s="13">
        <v>42776.513805324073</v>
      </c>
      <c r="J968" s="13">
        <v>43141</v>
      </c>
      <c r="K968" s="12" t="s">
        <v>25</v>
      </c>
      <c r="L968" s="12" t="s">
        <v>88</v>
      </c>
      <c r="M968" s="12" t="s">
        <v>26</v>
      </c>
      <c r="N968" s="12" t="s">
        <v>1909</v>
      </c>
      <c r="O968" s="12"/>
      <c r="P968" s="12"/>
      <c r="Q968" s="12"/>
    </row>
    <row r="969" spans="1:17" x14ac:dyDescent="0.25">
      <c r="A969" s="11">
        <v>200816</v>
      </c>
      <c r="B969" s="12" t="s">
        <v>4071</v>
      </c>
      <c r="C969" s="12" t="s">
        <v>2807</v>
      </c>
      <c r="D969" s="125">
        <v>6000000</v>
      </c>
      <c r="E969" s="125">
        <v>2149518.33</v>
      </c>
      <c r="F969" s="12">
        <v>50</v>
      </c>
      <c r="G969" s="12">
        <v>180</v>
      </c>
      <c r="H969" s="12">
        <v>0</v>
      </c>
      <c r="I969" s="13">
        <v>42776.606118483796</v>
      </c>
      <c r="J969" s="13">
        <v>43141</v>
      </c>
      <c r="K969" s="12" t="s">
        <v>25</v>
      </c>
      <c r="L969" s="12" t="s">
        <v>26</v>
      </c>
      <c r="M969" s="12" t="s">
        <v>26</v>
      </c>
      <c r="N969" s="12" t="s">
        <v>468</v>
      </c>
      <c r="O969" s="12"/>
      <c r="P969" s="12"/>
      <c r="Q969" s="12"/>
    </row>
    <row r="970" spans="1:17" x14ac:dyDescent="0.25">
      <c r="A970" s="11">
        <v>200817</v>
      </c>
      <c r="B970" s="12" t="s">
        <v>4072</v>
      </c>
      <c r="C970" s="12" t="s">
        <v>2807</v>
      </c>
      <c r="D970" s="125">
        <v>6000000</v>
      </c>
      <c r="E970" s="125">
        <v>1787720.95</v>
      </c>
      <c r="F970" s="12">
        <v>50</v>
      </c>
      <c r="G970" s="12">
        <v>180</v>
      </c>
      <c r="H970" s="12">
        <v>0</v>
      </c>
      <c r="I970" s="13">
        <v>42776.699919293984</v>
      </c>
      <c r="J970" s="13">
        <v>43141</v>
      </c>
      <c r="K970" s="12" t="s">
        <v>44</v>
      </c>
      <c r="L970" s="12" t="s">
        <v>75</v>
      </c>
      <c r="M970" s="12" t="s">
        <v>26</v>
      </c>
      <c r="N970" s="12" t="s">
        <v>1191</v>
      </c>
      <c r="O970" s="12"/>
      <c r="P970" s="12"/>
      <c r="Q970" s="12"/>
    </row>
    <row r="971" spans="1:17" x14ac:dyDescent="0.25">
      <c r="A971" s="11">
        <v>200818</v>
      </c>
      <c r="B971" s="12" t="s">
        <v>4082</v>
      </c>
      <c r="C971" s="12" t="s">
        <v>2807</v>
      </c>
      <c r="D971" s="125">
        <v>10000000</v>
      </c>
      <c r="E971" s="125">
        <v>3019008.18</v>
      </c>
      <c r="F971" s="12">
        <v>54</v>
      </c>
      <c r="G971" s="12">
        <v>180</v>
      </c>
      <c r="H971" s="12">
        <v>0</v>
      </c>
      <c r="I971" s="13">
        <v>42777.574609918978</v>
      </c>
      <c r="J971" s="13">
        <v>43142</v>
      </c>
      <c r="K971" s="12" t="s">
        <v>27</v>
      </c>
      <c r="L971" s="12" t="s">
        <v>81</v>
      </c>
      <c r="M971" s="12" t="s">
        <v>26</v>
      </c>
      <c r="N971" s="12" t="s">
        <v>1447</v>
      </c>
      <c r="O971" s="12"/>
      <c r="P971" s="12"/>
      <c r="Q971" s="12"/>
    </row>
    <row r="972" spans="1:17" x14ac:dyDescent="0.25">
      <c r="A972" s="11">
        <v>200820</v>
      </c>
      <c r="B972" s="12" t="s">
        <v>3045</v>
      </c>
      <c r="C972" s="12" t="s">
        <v>2807</v>
      </c>
      <c r="D972" s="125">
        <v>6000000</v>
      </c>
      <c r="E972" s="125">
        <v>1774151.84</v>
      </c>
      <c r="F972" s="12">
        <v>48</v>
      </c>
      <c r="G972" s="12">
        <v>180</v>
      </c>
      <c r="H972" s="12">
        <v>0</v>
      </c>
      <c r="I972" s="13">
        <v>42779.543588622684</v>
      </c>
      <c r="J972" s="13">
        <v>43144</v>
      </c>
      <c r="K972" s="12" t="s">
        <v>36</v>
      </c>
      <c r="L972" s="12" t="s">
        <v>97</v>
      </c>
      <c r="M972" s="12" t="s">
        <v>98</v>
      </c>
      <c r="N972" s="12" t="s">
        <v>2861</v>
      </c>
      <c r="O972" s="12"/>
      <c r="P972" s="12"/>
      <c r="Q972" s="12"/>
    </row>
    <row r="973" spans="1:17" x14ac:dyDescent="0.25">
      <c r="A973" s="11">
        <v>200823</v>
      </c>
      <c r="B973" s="12" t="s">
        <v>4093</v>
      </c>
      <c r="C973" s="12" t="s">
        <v>1449</v>
      </c>
      <c r="D973" s="125">
        <v>6000000</v>
      </c>
      <c r="E973" s="125">
        <v>1819804.94</v>
      </c>
      <c r="F973" s="12">
        <v>54</v>
      </c>
      <c r="G973" s="12">
        <v>180</v>
      </c>
      <c r="H973" s="12">
        <v>0</v>
      </c>
      <c r="I973" s="13">
        <v>42779.711102233799</v>
      </c>
      <c r="J973" s="13">
        <v>43144</v>
      </c>
      <c r="K973" s="12" t="s">
        <v>36</v>
      </c>
      <c r="L973" s="12" t="s">
        <v>1023</v>
      </c>
      <c r="M973" s="12" t="s">
        <v>26</v>
      </c>
      <c r="N973" s="12" t="s">
        <v>2861</v>
      </c>
      <c r="O973" s="12"/>
      <c r="P973" s="12"/>
      <c r="Q973" s="12"/>
    </row>
    <row r="974" spans="1:17" x14ac:dyDescent="0.25">
      <c r="A974" s="11">
        <v>200824</v>
      </c>
      <c r="B974" s="12" t="s">
        <v>2572</v>
      </c>
      <c r="C974" s="12" t="s">
        <v>1449</v>
      </c>
      <c r="D974" s="125">
        <v>5000000</v>
      </c>
      <c r="E974" s="125">
        <v>1772220.8</v>
      </c>
      <c r="F974" s="12">
        <v>48</v>
      </c>
      <c r="G974" s="12">
        <v>180</v>
      </c>
      <c r="H974" s="12">
        <v>0</v>
      </c>
      <c r="I974" s="13">
        <v>42779.721087928243</v>
      </c>
      <c r="J974" s="13">
        <v>43144</v>
      </c>
      <c r="K974" s="12" t="s">
        <v>25</v>
      </c>
      <c r="L974" s="12" t="s">
        <v>88</v>
      </c>
      <c r="M974" s="12" t="s">
        <v>285</v>
      </c>
      <c r="N974" s="12" t="s">
        <v>1925</v>
      </c>
      <c r="O974" s="12"/>
      <c r="P974" s="12"/>
      <c r="Q974" s="12"/>
    </row>
    <row r="975" spans="1:17" x14ac:dyDescent="0.25">
      <c r="A975" s="11">
        <v>200827</v>
      </c>
      <c r="B975" s="12" t="s">
        <v>2810</v>
      </c>
      <c r="C975" s="12" t="s">
        <v>1449</v>
      </c>
      <c r="D975" s="125">
        <v>15500000</v>
      </c>
      <c r="E975" s="125">
        <v>4493829.1500000004</v>
      </c>
      <c r="F975" s="12">
        <v>42</v>
      </c>
      <c r="G975" s="12">
        <v>180</v>
      </c>
      <c r="H975" s="12">
        <v>0</v>
      </c>
      <c r="I975" s="13">
        <v>42781.578117245372</v>
      </c>
      <c r="J975" s="13">
        <v>43146</v>
      </c>
      <c r="K975" s="12" t="s">
        <v>44</v>
      </c>
      <c r="L975" s="12" t="s">
        <v>75</v>
      </c>
      <c r="M975" s="12" t="s">
        <v>1442</v>
      </c>
      <c r="N975" s="12" t="s">
        <v>2557</v>
      </c>
      <c r="O975" s="12"/>
      <c r="P975" s="12"/>
      <c r="Q975" s="12"/>
    </row>
    <row r="976" spans="1:17" x14ac:dyDescent="0.25">
      <c r="A976" s="11">
        <v>200828</v>
      </c>
      <c r="B976" s="12" t="s">
        <v>4111</v>
      </c>
      <c r="C976" s="12" t="s">
        <v>2807</v>
      </c>
      <c r="D976" s="125">
        <v>6000000</v>
      </c>
      <c r="E976" s="125">
        <v>2441763.02</v>
      </c>
      <c r="F976" s="12">
        <v>50</v>
      </c>
      <c r="G976" s="12">
        <v>180</v>
      </c>
      <c r="H976" s="12">
        <v>0</v>
      </c>
      <c r="I976" s="13">
        <v>42781.639749224538</v>
      </c>
      <c r="J976" s="13">
        <v>43146</v>
      </c>
      <c r="K976" s="12" t="s">
        <v>46</v>
      </c>
      <c r="L976" s="12" t="s">
        <v>46</v>
      </c>
      <c r="M976" s="12" t="s">
        <v>26</v>
      </c>
      <c r="N976" s="12" t="s">
        <v>1039</v>
      </c>
      <c r="O976" s="12"/>
      <c r="P976" s="12"/>
      <c r="Q976" s="12"/>
    </row>
    <row r="977" spans="1:17" x14ac:dyDescent="0.25">
      <c r="A977" s="11">
        <v>200829</v>
      </c>
      <c r="B977" s="12" t="s">
        <v>4109</v>
      </c>
      <c r="C977" s="12" t="s">
        <v>2807</v>
      </c>
      <c r="D977" s="125">
        <v>13000000</v>
      </c>
      <c r="E977" s="125">
        <v>8601773.2799999993</v>
      </c>
      <c r="F977" s="12">
        <v>54</v>
      </c>
      <c r="G977" s="12">
        <v>180</v>
      </c>
      <c r="H977" s="12">
        <v>0</v>
      </c>
      <c r="I977" s="13">
        <v>42781.678935416669</v>
      </c>
      <c r="J977" s="13">
        <v>43327</v>
      </c>
      <c r="K977" s="12" t="s">
        <v>37</v>
      </c>
      <c r="L977" s="12" t="s">
        <v>38</v>
      </c>
      <c r="M977" s="12" t="s">
        <v>39</v>
      </c>
      <c r="N977" s="12" t="s">
        <v>1467</v>
      </c>
      <c r="O977" s="12"/>
      <c r="P977" s="12"/>
      <c r="Q977" s="12"/>
    </row>
    <row r="978" spans="1:17" x14ac:dyDescent="0.25">
      <c r="A978" s="11">
        <v>200833</v>
      </c>
      <c r="B978" s="12" t="s">
        <v>4127</v>
      </c>
      <c r="C978" s="12" t="s">
        <v>2807</v>
      </c>
      <c r="D978" s="125">
        <v>2500000</v>
      </c>
      <c r="E978" s="125">
        <v>983575.67</v>
      </c>
      <c r="F978" s="12">
        <v>54</v>
      </c>
      <c r="G978" s="12">
        <v>180</v>
      </c>
      <c r="H978" s="12">
        <v>0</v>
      </c>
      <c r="I978" s="13">
        <v>42784.470498495371</v>
      </c>
      <c r="J978" s="13">
        <v>43149</v>
      </c>
      <c r="K978" s="12" t="s">
        <v>44</v>
      </c>
      <c r="L978" s="12" t="s">
        <v>75</v>
      </c>
      <c r="M978" s="12" t="s">
        <v>26</v>
      </c>
      <c r="N978" s="12" t="s">
        <v>1925</v>
      </c>
      <c r="O978" s="12"/>
      <c r="P978" s="12"/>
      <c r="Q978" s="12"/>
    </row>
    <row r="979" spans="1:17" x14ac:dyDescent="0.25">
      <c r="A979" s="11">
        <v>200834</v>
      </c>
      <c r="B979" s="12" t="s">
        <v>4129</v>
      </c>
      <c r="C979" s="12" t="s">
        <v>2807</v>
      </c>
      <c r="D979" s="125">
        <v>2000000</v>
      </c>
      <c r="E979" s="125">
        <v>1303691.71</v>
      </c>
      <c r="F979" s="12">
        <v>54</v>
      </c>
      <c r="G979" s="12">
        <v>180</v>
      </c>
      <c r="H979" s="12">
        <v>0</v>
      </c>
      <c r="I979" s="13">
        <v>42784.481672488429</v>
      </c>
      <c r="J979" s="13">
        <v>43087</v>
      </c>
      <c r="K979" s="12" t="s">
        <v>44</v>
      </c>
      <c r="L979" s="12" t="s">
        <v>75</v>
      </c>
      <c r="M979" s="12" t="s">
        <v>26</v>
      </c>
      <c r="N979" s="12" t="s">
        <v>3074</v>
      </c>
      <c r="O979" s="12"/>
      <c r="P979" s="12"/>
      <c r="Q979" s="12"/>
    </row>
    <row r="980" spans="1:17" x14ac:dyDescent="0.25">
      <c r="A980" s="11">
        <v>200835</v>
      </c>
      <c r="B980" s="12" t="s">
        <v>2085</v>
      </c>
      <c r="C980" s="12" t="s">
        <v>1449</v>
      </c>
      <c r="D980" s="125">
        <v>20000000</v>
      </c>
      <c r="E980" s="125">
        <v>5798489.1399999997</v>
      </c>
      <c r="F980" s="12">
        <v>42</v>
      </c>
      <c r="G980" s="12">
        <v>180</v>
      </c>
      <c r="H980" s="12">
        <v>0</v>
      </c>
      <c r="I980" s="13">
        <v>42784.520356793983</v>
      </c>
      <c r="J980" s="13">
        <v>43149</v>
      </c>
      <c r="K980" s="12" t="s">
        <v>25</v>
      </c>
      <c r="L980" s="12" t="s">
        <v>94</v>
      </c>
      <c r="M980" s="12" t="s">
        <v>95</v>
      </c>
      <c r="N980" s="12" t="s">
        <v>1909</v>
      </c>
      <c r="O980" s="12"/>
      <c r="P980" s="12"/>
      <c r="Q980" s="12"/>
    </row>
    <row r="981" spans="1:17" x14ac:dyDescent="0.25">
      <c r="A981" s="11">
        <v>200836</v>
      </c>
      <c r="B981" s="12" t="s">
        <v>4130</v>
      </c>
      <c r="C981" s="12" t="s">
        <v>1449</v>
      </c>
      <c r="D981" s="125">
        <v>6000000</v>
      </c>
      <c r="E981" s="125">
        <v>1785699.53</v>
      </c>
      <c r="F981" s="12">
        <v>50</v>
      </c>
      <c r="G981" s="12">
        <v>180</v>
      </c>
      <c r="H981" s="12">
        <v>0</v>
      </c>
      <c r="I981" s="13">
        <v>42784.547488391203</v>
      </c>
      <c r="J981" s="13">
        <v>43149</v>
      </c>
      <c r="K981" s="12" t="s">
        <v>45</v>
      </c>
      <c r="L981" s="12" t="s">
        <v>45</v>
      </c>
      <c r="M981" s="12" t="s">
        <v>89</v>
      </c>
      <c r="N981" s="12" t="s">
        <v>2175</v>
      </c>
      <c r="O981" s="12"/>
      <c r="P981" s="12"/>
      <c r="Q981" s="12"/>
    </row>
    <row r="982" spans="1:17" x14ac:dyDescent="0.25">
      <c r="A982" s="11">
        <v>200838</v>
      </c>
      <c r="B982" s="12" t="s">
        <v>4124</v>
      </c>
      <c r="C982" s="12" t="s">
        <v>1449</v>
      </c>
      <c r="D982" s="125">
        <v>5000000</v>
      </c>
      <c r="E982" s="125">
        <v>1967151.37</v>
      </c>
      <c r="F982" s="12">
        <v>54</v>
      </c>
      <c r="G982" s="12">
        <v>180</v>
      </c>
      <c r="H982" s="12">
        <v>0</v>
      </c>
      <c r="I982" s="13">
        <v>42786.587887384259</v>
      </c>
      <c r="J982" s="13">
        <v>43151</v>
      </c>
      <c r="K982" s="12" t="s">
        <v>44</v>
      </c>
      <c r="L982" s="12" t="s">
        <v>75</v>
      </c>
      <c r="M982" s="12" t="s">
        <v>1442</v>
      </c>
      <c r="N982" s="12" t="s">
        <v>1448</v>
      </c>
      <c r="O982" s="12"/>
      <c r="P982" s="12"/>
      <c r="Q982" s="12"/>
    </row>
    <row r="983" spans="1:17" x14ac:dyDescent="0.25">
      <c r="A983" s="11">
        <v>200839</v>
      </c>
      <c r="B983" s="12" t="s">
        <v>4125</v>
      </c>
      <c r="C983" s="12" t="s">
        <v>1449</v>
      </c>
      <c r="D983" s="125">
        <v>30000000</v>
      </c>
      <c r="E983" s="125">
        <v>23532031.129999999</v>
      </c>
      <c r="F983" s="12">
        <v>40</v>
      </c>
      <c r="G983" s="12">
        <v>180</v>
      </c>
      <c r="H983" s="12">
        <v>0</v>
      </c>
      <c r="I983" s="13">
        <v>42786.606222569448</v>
      </c>
      <c r="J983" s="13">
        <v>43516</v>
      </c>
      <c r="K983" s="12" t="s">
        <v>44</v>
      </c>
      <c r="L983" s="12" t="s">
        <v>75</v>
      </c>
      <c r="M983" s="12" t="s">
        <v>1442</v>
      </c>
      <c r="N983" s="12" t="s">
        <v>546</v>
      </c>
      <c r="O983" s="12"/>
      <c r="P983" s="12"/>
      <c r="Q983" s="12"/>
    </row>
    <row r="984" spans="1:17" x14ac:dyDescent="0.25">
      <c r="A984" s="11">
        <v>200840</v>
      </c>
      <c r="B984" s="12" t="s">
        <v>2278</v>
      </c>
      <c r="C984" s="12" t="s">
        <v>1449</v>
      </c>
      <c r="D984" s="125">
        <v>4000000</v>
      </c>
      <c r="E984" s="125">
        <v>1449145.01</v>
      </c>
      <c r="F984" s="12">
        <v>48</v>
      </c>
      <c r="G984" s="12">
        <v>180</v>
      </c>
      <c r="H984" s="12">
        <v>0</v>
      </c>
      <c r="I984" s="13">
        <v>42786.738933101849</v>
      </c>
      <c r="J984" s="13">
        <v>43151</v>
      </c>
      <c r="K984" s="12" t="s">
        <v>25</v>
      </c>
      <c r="L984" s="12" t="s">
        <v>26</v>
      </c>
      <c r="M984" s="12" t="s">
        <v>26</v>
      </c>
      <c r="N984" s="12" t="s">
        <v>2538</v>
      </c>
      <c r="O984" s="12"/>
      <c r="P984" s="12"/>
      <c r="Q984" s="12"/>
    </row>
    <row r="985" spans="1:17" x14ac:dyDescent="0.25">
      <c r="A985" s="11">
        <v>200842</v>
      </c>
      <c r="B985" s="12" t="s">
        <v>4159</v>
      </c>
      <c r="C985" s="12" t="s">
        <v>2807</v>
      </c>
      <c r="D985" s="125">
        <v>10000000</v>
      </c>
      <c r="E985" s="125">
        <v>4192131.1</v>
      </c>
      <c r="F985" s="12">
        <v>54</v>
      </c>
      <c r="G985" s="12">
        <v>180</v>
      </c>
      <c r="H985" s="12">
        <v>0</v>
      </c>
      <c r="I985" s="13">
        <v>42787.757573113427</v>
      </c>
      <c r="J985" s="13">
        <v>43152</v>
      </c>
      <c r="K985" s="12" t="s">
        <v>25</v>
      </c>
      <c r="L985" s="12" t="s">
        <v>88</v>
      </c>
      <c r="M985" s="12" t="s">
        <v>26</v>
      </c>
      <c r="N985" s="12" t="s">
        <v>2538</v>
      </c>
      <c r="O985" s="12"/>
      <c r="P985" s="12"/>
      <c r="Q985" s="12"/>
    </row>
    <row r="986" spans="1:17" x14ac:dyDescent="0.25">
      <c r="A986" s="11">
        <v>200846</v>
      </c>
      <c r="B986" s="12" t="s">
        <v>4160</v>
      </c>
      <c r="C986" s="12" t="s">
        <v>1449</v>
      </c>
      <c r="D986" s="125">
        <v>10000000</v>
      </c>
      <c r="E986" s="125">
        <v>3014684.4</v>
      </c>
      <c r="F986" s="12">
        <v>54</v>
      </c>
      <c r="G986" s="12">
        <v>180</v>
      </c>
      <c r="H986" s="12">
        <v>0</v>
      </c>
      <c r="I986" s="13">
        <v>42787.770598414354</v>
      </c>
      <c r="J986" s="13">
        <v>43152</v>
      </c>
      <c r="K986" s="12" t="s">
        <v>25</v>
      </c>
      <c r="L986" s="12" t="s">
        <v>26</v>
      </c>
      <c r="M986" s="12" t="s">
        <v>26</v>
      </c>
      <c r="N986" s="12" t="s">
        <v>2175</v>
      </c>
      <c r="O986" s="12"/>
      <c r="P986" s="12"/>
      <c r="Q986" s="12"/>
    </row>
    <row r="987" spans="1:17" x14ac:dyDescent="0.25">
      <c r="A987" s="11">
        <v>200847</v>
      </c>
      <c r="B987" s="12" t="s">
        <v>4171</v>
      </c>
      <c r="C987" s="12" t="s">
        <v>2807</v>
      </c>
      <c r="D987" s="125">
        <v>4000000</v>
      </c>
      <c r="E987" s="125">
        <v>1573721.12</v>
      </c>
      <c r="F987" s="12">
        <v>54</v>
      </c>
      <c r="G987" s="12">
        <v>180</v>
      </c>
      <c r="H987" s="12">
        <v>0</v>
      </c>
      <c r="I987" s="13">
        <v>42788.666958182868</v>
      </c>
      <c r="J987" s="13">
        <v>43153</v>
      </c>
      <c r="K987" s="12" t="s">
        <v>44</v>
      </c>
      <c r="L987" s="12" t="s">
        <v>75</v>
      </c>
      <c r="M987" s="12" t="s">
        <v>26</v>
      </c>
      <c r="N987" s="12" t="s">
        <v>491</v>
      </c>
      <c r="O987" s="12"/>
      <c r="P987" s="12"/>
      <c r="Q987" s="12"/>
    </row>
    <row r="988" spans="1:17" x14ac:dyDescent="0.25">
      <c r="A988" s="11">
        <v>200849</v>
      </c>
      <c r="B988" s="12" t="s">
        <v>2191</v>
      </c>
      <c r="C988" s="12" t="s">
        <v>1449</v>
      </c>
      <c r="D988" s="125">
        <v>55000000</v>
      </c>
      <c r="E988" s="125">
        <v>40001249.369999997</v>
      </c>
      <c r="F988" s="12">
        <v>36</v>
      </c>
      <c r="G988" s="12">
        <v>180</v>
      </c>
      <c r="H988" s="12">
        <v>0</v>
      </c>
      <c r="I988" s="13">
        <v>42788.647240393519</v>
      </c>
      <c r="J988" s="13">
        <v>43518</v>
      </c>
      <c r="K988" s="12" t="s">
        <v>37</v>
      </c>
      <c r="L988" s="12" t="s">
        <v>38</v>
      </c>
      <c r="M988" s="12" t="s">
        <v>1681</v>
      </c>
      <c r="N988" s="12" t="s">
        <v>1448</v>
      </c>
      <c r="O988" s="12"/>
      <c r="P988" s="12"/>
      <c r="Q988" s="12"/>
    </row>
    <row r="989" spans="1:17" x14ac:dyDescent="0.25">
      <c r="A989" s="11">
        <v>200850</v>
      </c>
      <c r="B989" s="12" t="s">
        <v>1937</v>
      </c>
      <c r="C989" s="12" t="s">
        <v>1449</v>
      </c>
      <c r="D989" s="125">
        <v>50000000</v>
      </c>
      <c r="E989" s="125">
        <v>31010996.25</v>
      </c>
      <c r="F989" s="12">
        <v>36</v>
      </c>
      <c r="G989" s="12">
        <v>180</v>
      </c>
      <c r="H989" s="12">
        <v>0</v>
      </c>
      <c r="I989" s="13">
        <v>42788.646414814815</v>
      </c>
      <c r="J989" s="13">
        <v>43334</v>
      </c>
      <c r="K989" s="12" t="s">
        <v>25</v>
      </c>
      <c r="L989" s="12" t="s">
        <v>103</v>
      </c>
      <c r="M989" s="12" t="s">
        <v>104</v>
      </c>
      <c r="N989" s="12" t="s">
        <v>1925</v>
      </c>
      <c r="O989" s="12"/>
      <c r="P989" s="12"/>
      <c r="Q989" s="12"/>
    </row>
    <row r="990" spans="1:17" x14ac:dyDescent="0.25">
      <c r="A990" s="11">
        <v>200851</v>
      </c>
      <c r="B990" s="12" t="s">
        <v>4174</v>
      </c>
      <c r="C990" s="12" t="s">
        <v>1449</v>
      </c>
      <c r="D990" s="125">
        <v>35000000</v>
      </c>
      <c r="E990" s="125">
        <v>27690200.07</v>
      </c>
      <c r="F990" s="12">
        <v>40</v>
      </c>
      <c r="G990" s="12">
        <v>180</v>
      </c>
      <c r="H990" s="12">
        <v>0</v>
      </c>
      <c r="I990" s="13">
        <v>42789.440038194443</v>
      </c>
      <c r="J990" s="13">
        <v>43525</v>
      </c>
      <c r="K990" s="12" t="s">
        <v>36</v>
      </c>
      <c r="L990" s="12" t="s">
        <v>26</v>
      </c>
      <c r="M990" s="12" t="s">
        <v>26</v>
      </c>
      <c r="N990" s="12" t="s">
        <v>2034</v>
      </c>
      <c r="O990" s="12"/>
      <c r="P990" s="12"/>
      <c r="Q990" s="12"/>
    </row>
    <row r="991" spans="1:17" x14ac:dyDescent="0.25">
      <c r="A991" s="11">
        <v>200853</v>
      </c>
      <c r="B991" s="12" t="s">
        <v>4232</v>
      </c>
      <c r="C991" s="12" t="s">
        <v>2807</v>
      </c>
      <c r="D991" s="125">
        <v>5000000</v>
      </c>
      <c r="E991" s="125">
        <v>1977321.52</v>
      </c>
      <c r="F991" s="12">
        <v>54</v>
      </c>
      <c r="G991" s="12">
        <v>180</v>
      </c>
      <c r="H991" s="12">
        <v>0</v>
      </c>
      <c r="I991" s="13">
        <v>42800.46648703704</v>
      </c>
      <c r="J991" s="13">
        <v>43165</v>
      </c>
      <c r="K991" s="12" t="s">
        <v>25</v>
      </c>
      <c r="L991" s="12" t="s">
        <v>88</v>
      </c>
      <c r="M991" s="12" t="s">
        <v>26</v>
      </c>
      <c r="N991" s="12" t="s">
        <v>2861</v>
      </c>
      <c r="O991" s="12"/>
      <c r="P991" s="12"/>
      <c r="Q991" s="12"/>
    </row>
    <row r="992" spans="1:17" x14ac:dyDescent="0.25">
      <c r="A992" s="11">
        <v>200854</v>
      </c>
      <c r="B992" s="12" t="s">
        <v>4175</v>
      </c>
      <c r="C992" s="12" t="s">
        <v>1449</v>
      </c>
      <c r="D992" s="125">
        <v>3000000</v>
      </c>
      <c r="E992" s="125">
        <v>1180290.77</v>
      </c>
      <c r="F992" s="12">
        <v>54</v>
      </c>
      <c r="G992" s="12">
        <v>180</v>
      </c>
      <c r="H992" s="12">
        <v>0</v>
      </c>
      <c r="I992" s="13">
        <v>42789.672435567132</v>
      </c>
      <c r="J992" s="13">
        <v>43154</v>
      </c>
      <c r="K992" s="12" t="s">
        <v>44</v>
      </c>
      <c r="L992" s="12" t="s">
        <v>75</v>
      </c>
      <c r="M992" s="12" t="s">
        <v>1442</v>
      </c>
      <c r="N992" s="12" t="s">
        <v>1039</v>
      </c>
      <c r="O992" s="12"/>
      <c r="P992" s="12"/>
      <c r="Q992" s="12"/>
    </row>
    <row r="993" spans="1:17" x14ac:dyDescent="0.25">
      <c r="A993" s="11">
        <v>200855</v>
      </c>
      <c r="B993" s="12" t="s">
        <v>2327</v>
      </c>
      <c r="C993" s="12" t="s">
        <v>1449</v>
      </c>
      <c r="D993" s="125">
        <v>10000000</v>
      </c>
      <c r="E993" s="125">
        <v>3867732.21</v>
      </c>
      <c r="F993" s="12">
        <v>48</v>
      </c>
      <c r="G993" s="12">
        <v>180</v>
      </c>
      <c r="H993" s="12">
        <v>0</v>
      </c>
      <c r="I993" s="13">
        <v>42789.675475694443</v>
      </c>
      <c r="J993" s="13">
        <v>43154</v>
      </c>
      <c r="K993" s="12" t="s">
        <v>44</v>
      </c>
      <c r="L993" s="12" t="s">
        <v>75</v>
      </c>
      <c r="M993" s="12" t="s">
        <v>1442</v>
      </c>
      <c r="N993" s="12" t="s">
        <v>1667</v>
      </c>
      <c r="O993" s="12"/>
      <c r="P993" s="12"/>
      <c r="Q993" s="12"/>
    </row>
    <row r="994" spans="1:17" x14ac:dyDescent="0.25">
      <c r="A994" s="11">
        <v>200857</v>
      </c>
      <c r="B994" s="12" t="s">
        <v>4184</v>
      </c>
      <c r="C994" s="12" t="s">
        <v>1449</v>
      </c>
      <c r="D994" s="125">
        <v>2500000</v>
      </c>
      <c r="E994" s="125">
        <v>709786.29</v>
      </c>
      <c r="F994" s="12">
        <v>54</v>
      </c>
      <c r="G994" s="12">
        <v>180</v>
      </c>
      <c r="H994" s="12">
        <v>0</v>
      </c>
      <c r="I994" s="13">
        <v>42790.634258680555</v>
      </c>
      <c r="J994" s="13">
        <v>43032</v>
      </c>
      <c r="K994" s="12" t="s">
        <v>25</v>
      </c>
      <c r="L994" s="12" t="s">
        <v>88</v>
      </c>
      <c r="M994" s="12" t="s">
        <v>285</v>
      </c>
      <c r="N994" s="12" t="s">
        <v>546</v>
      </c>
      <c r="O994" s="12"/>
      <c r="P994" s="12"/>
      <c r="Q994" s="12"/>
    </row>
    <row r="995" spans="1:17" x14ac:dyDescent="0.25">
      <c r="A995" s="11">
        <v>200859</v>
      </c>
      <c r="B995" s="12" t="s">
        <v>2279</v>
      </c>
      <c r="C995" s="12" t="s">
        <v>2807</v>
      </c>
      <c r="D995" s="125">
        <v>6000000</v>
      </c>
      <c r="E995" s="125">
        <v>2338490.4</v>
      </c>
      <c r="F995" s="12">
        <v>48</v>
      </c>
      <c r="G995" s="12">
        <v>180</v>
      </c>
      <c r="H995" s="12">
        <v>0</v>
      </c>
      <c r="I995" s="13">
        <v>42791.547885219908</v>
      </c>
      <c r="J995" s="13">
        <v>43160</v>
      </c>
      <c r="K995" s="12" t="s">
        <v>25</v>
      </c>
      <c r="L995" s="12" t="s">
        <v>290</v>
      </c>
      <c r="M995" s="12" t="s">
        <v>3778</v>
      </c>
      <c r="N995" s="12" t="s">
        <v>4684</v>
      </c>
      <c r="O995" s="12"/>
      <c r="P995" s="12"/>
      <c r="Q995" s="12"/>
    </row>
    <row r="996" spans="1:17" x14ac:dyDescent="0.25">
      <c r="A996" s="11">
        <v>200861</v>
      </c>
      <c r="B996" s="12" t="s">
        <v>4191</v>
      </c>
      <c r="C996" s="12" t="s">
        <v>1449</v>
      </c>
      <c r="D996" s="125">
        <v>2500000</v>
      </c>
      <c r="E996" s="125">
        <v>992046.62</v>
      </c>
      <c r="F996" s="12">
        <v>54</v>
      </c>
      <c r="G996" s="12">
        <v>180</v>
      </c>
      <c r="H996" s="12">
        <v>0</v>
      </c>
      <c r="I996" s="13">
        <v>42791.544452974536</v>
      </c>
      <c r="J996" s="13">
        <v>43160</v>
      </c>
      <c r="K996" s="12" t="s">
        <v>44</v>
      </c>
      <c r="L996" s="12" t="s">
        <v>75</v>
      </c>
      <c r="M996" s="12" t="s">
        <v>1442</v>
      </c>
      <c r="N996" s="12" t="s">
        <v>2538</v>
      </c>
      <c r="O996" s="12"/>
      <c r="P996" s="12"/>
      <c r="Q996" s="12"/>
    </row>
    <row r="997" spans="1:17" x14ac:dyDescent="0.25">
      <c r="A997" s="11">
        <v>200863</v>
      </c>
      <c r="B997" s="12" t="s">
        <v>2361</v>
      </c>
      <c r="C997" s="12" t="s">
        <v>1449</v>
      </c>
      <c r="D997" s="125">
        <v>6000000</v>
      </c>
      <c r="E997" s="125">
        <v>4462763.1399999997</v>
      </c>
      <c r="F997" s="12">
        <v>48</v>
      </c>
      <c r="G997" s="12">
        <v>180</v>
      </c>
      <c r="H997" s="12">
        <v>0</v>
      </c>
      <c r="I997" s="13">
        <v>42793.702722534719</v>
      </c>
      <c r="J997" s="13">
        <v>43101</v>
      </c>
      <c r="K997" s="12" t="s">
        <v>27</v>
      </c>
      <c r="L997" s="12" t="s">
        <v>26</v>
      </c>
      <c r="M997" s="12" t="s">
        <v>26</v>
      </c>
      <c r="N997" s="12" t="s">
        <v>2538</v>
      </c>
      <c r="O997" s="12"/>
      <c r="P997" s="12"/>
      <c r="Q997" s="12"/>
    </row>
    <row r="998" spans="1:17" x14ac:dyDescent="0.25">
      <c r="A998" s="11">
        <v>200864</v>
      </c>
      <c r="B998" s="12" t="s">
        <v>4199</v>
      </c>
      <c r="C998" s="12" t="s">
        <v>1449</v>
      </c>
      <c r="D998" s="125">
        <v>10000000</v>
      </c>
      <c r="E998" s="125">
        <v>3967809.01</v>
      </c>
      <c r="F998" s="12">
        <v>54</v>
      </c>
      <c r="G998" s="12">
        <v>180</v>
      </c>
      <c r="H998" s="12">
        <v>0</v>
      </c>
      <c r="I998" s="13">
        <v>42793.760730439812</v>
      </c>
      <c r="J998" s="13">
        <v>43160</v>
      </c>
      <c r="K998" s="12" t="s">
        <v>44</v>
      </c>
      <c r="L998" s="12" t="s">
        <v>75</v>
      </c>
      <c r="M998" s="12" t="s">
        <v>1442</v>
      </c>
      <c r="N998" s="12" t="s">
        <v>1447</v>
      </c>
      <c r="O998" s="12"/>
      <c r="P998" s="12"/>
      <c r="Q998" s="12"/>
    </row>
    <row r="999" spans="1:17" x14ac:dyDescent="0.25">
      <c r="A999" s="11">
        <v>200867</v>
      </c>
      <c r="B999" s="12" t="s">
        <v>4214</v>
      </c>
      <c r="C999" s="12" t="s">
        <v>2807</v>
      </c>
      <c r="D999" s="125">
        <v>3000000</v>
      </c>
      <c r="E999" s="125">
        <v>1185373.3700000001</v>
      </c>
      <c r="F999" s="12">
        <v>54</v>
      </c>
      <c r="G999" s="12">
        <v>180</v>
      </c>
      <c r="H999" s="12">
        <v>0</v>
      </c>
      <c r="I999" s="13">
        <v>42794.632678125003</v>
      </c>
      <c r="J999" s="13">
        <v>43160</v>
      </c>
      <c r="K999" s="12" t="s">
        <v>44</v>
      </c>
      <c r="L999" s="12" t="s">
        <v>75</v>
      </c>
      <c r="M999" s="12" t="s">
        <v>26</v>
      </c>
      <c r="N999" s="12" t="s">
        <v>1925</v>
      </c>
      <c r="O999" s="12"/>
      <c r="P999" s="12"/>
      <c r="Q999" s="12"/>
    </row>
    <row r="1000" spans="1:17" x14ac:dyDescent="0.25">
      <c r="A1000" s="11">
        <v>200868</v>
      </c>
      <c r="B1000" s="12" t="s">
        <v>4218</v>
      </c>
      <c r="C1000" s="12" t="s">
        <v>2807</v>
      </c>
      <c r="D1000" s="125">
        <v>7000000</v>
      </c>
      <c r="E1000" s="125">
        <v>2765871.25</v>
      </c>
      <c r="F1000" s="12">
        <v>54</v>
      </c>
      <c r="G1000" s="12">
        <v>180</v>
      </c>
      <c r="H1000" s="12">
        <v>0</v>
      </c>
      <c r="I1000" s="13">
        <v>42794.750202118055</v>
      </c>
      <c r="J1000" s="13">
        <v>43160</v>
      </c>
      <c r="K1000" s="12" t="s">
        <v>44</v>
      </c>
      <c r="L1000" s="12" t="s">
        <v>75</v>
      </c>
      <c r="M1000" s="12" t="s">
        <v>26</v>
      </c>
      <c r="N1000" s="12" t="s">
        <v>3074</v>
      </c>
      <c r="O1000" s="12"/>
      <c r="P1000" s="12"/>
      <c r="Q1000" s="12"/>
    </row>
    <row r="1001" spans="1:17" x14ac:dyDescent="0.25">
      <c r="A1001" s="11">
        <v>200870</v>
      </c>
      <c r="B1001" s="12" t="s">
        <v>2193</v>
      </c>
      <c r="C1001" s="12" t="s">
        <v>2807</v>
      </c>
      <c r="D1001" s="125">
        <v>40000000</v>
      </c>
      <c r="E1001" s="125">
        <v>14995106.439999999</v>
      </c>
      <c r="F1001" s="12">
        <v>36</v>
      </c>
      <c r="G1001" s="12">
        <v>180</v>
      </c>
      <c r="H1001" s="12">
        <v>0</v>
      </c>
      <c r="I1001" s="13">
        <v>42794.796723761574</v>
      </c>
      <c r="J1001" s="13">
        <v>43161</v>
      </c>
      <c r="K1001" s="12" t="s">
        <v>25</v>
      </c>
      <c r="L1001" s="12" t="s">
        <v>26</v>
      </c>
      <c r="M1001" s="12" t="s">
        <v>26</v>
      </c>
      <c r="N1001" s="12" t="s">
        <v>1448</v>
      </c>
      <c r="O1001" s="12"/>
      <c r="P1001" s="12"/>
      <c r="Q1001" s="12"/>
    </row>
    <row r="1002" spans="1:17" x14ac:dyDescent="0.25">
      <c r="A1002" s="11">
        <v>200871</v>
      </c>
      <c r="B1002" s="12" t="s">
        <v>2517</v>
      </c>
      <c r="C1002" s="12" t="s">
        <v>1449</v>
      </c>
      <c r="D1002" s="125">
        <v>3500000</v>
      </c>
      <c r="E1002" s="125">
        <v>1358912.85</v>
      </c>
      <c r="F1002" s="12">
        <v>48</v>
      </c>
      <c r="G1002" s="12">
        <v>180</v>
      </c>
      <c r="H1002" s="12">
        <v>0</v>
      </c>
      <c r="I1002" s="13">
        <v>42794.869916053241</v>
      </c>
      <c r="J1002" s="13">
        <v>43160</v>
      </c>
      <c r="K1002" s="12" t="s">
        <v>35</v>
      </c>
      <c r="L1002" s="12" t="s">
        <v>121</v>
      </c>
      <c r="M1002" s="12" t="s">
        <v>26</v>
      </c>
      <c r="N1002" s="12" t="s">
        <v>1909</v>
      </c>
      <c r="O1002" s="12"/>
      <c r="P1002" s="12"/>
      <c r="Q1002" s="12"/>
    </row>
    <row r="1003" spans="1:17" x14ac:dyDescent="0.25">
      <c r="A1003" s="11">
        <v>200872</v>
      </c>
      <c r="B1003" s="12" t="s">
        <v>4222</v>
      </c>
      <c r="C1003" s="12" t="s">
        <v>2807</v>
      </c>
      <c r="D1003" s="125">
        <v>35000000</v>
      </c>
      <c r="E1003" s="125">
        <v>26312205.27</v>
      </c>
      <c r="F1003" s="12">
        <v>40</v>
      </c>
      <c r="G1003" s="12">
        <v>180</v>
      </c>
      <c r="H1003" s="12">
        <v>0</v>
      </c>
      <c r="I1003" s="13">
        <v>42794.843159108794</v>
      </c>
      <c r="J1003" s="13">
        <v>43525</v>
      </c>
      <c r="K1003" s="12" t="s">
        <v>44</v>
      </c>
      <c r="L1003" s="12" t="s">
        <v>75</v>
      </c>
      <c r="M1003" s="12" t="s">
        <v>26</v>
      </c>
      <c r="N1003" s="12" t="s">
        <v>2034</v>
      </c>
      <c r="O1003" s="12"/>
      <c r="P1003" s="12"/>
      <c r="Q1003" s="12"/>
    </row>
    <row r="1004" spans="1:17" x14ac:dyDescent="0.25">
      <c r="A1004" s="11">
        <v>200875</v>
      </c>
      <c r="B1004" s="12" t="s">
        <v>4208</v>
      </c>
      <c r="C1004" s="12" t="s">
        <v>2807</v>
      </c>
      <c r="D1004" s="125">
        <v>20000000</v>
      </c>
      <c r="E1004" s="125">
        <v>10796627.99</v>
      </c>
      <c r="F1004" s="12">
        <v>48</v>
      </c>
      <c r="G1004" s="12">
        <v>180</v>
      </c>
      <c r="H1004" s="12">
        <v>0</v>
      </c>
      <c r="I1004" s="13">
        <v>42796.665665277775</v>
      </c>
      <c r="J1004" s="13">
        <v>43253</v>
      </c>
      <c r="K1004" s="12" t="s">
        <v>27</v>
      </c>
      <c r="L1004" s="12" t="s">
        <v>81</v>
      </c>
      <c r="M1004" s="12" t="s">
        <v>26</v>
      </c>
      <c r="N1004" s="12" t="s">
        <v>2538</v>
      </c>
      <c r="O1004" s="12"/>
      <c r="P1004" s="12"/>
      <c r="Q1004" s="12"/>
    </row>
    <row r="1005" spans="1:17" x14ac:dyDescent="0.25">
      <c r="A1005" s="11">
        <v>200878</v>
      </c>
      <c r="B1005" s="12" t="s">
        <v>4236</v>
      </c>
      <c r="C1005" s="12" t="s">
        <v>2807</v>
      </c>
      <c r="D1005" s="125">
        <v>16000000</v>
      </c>
      <c r="E1005" s="125">
        <v>7589621.4900000002</v>
      </c>
      <c r="F1005" s="12">
        <v>48</v>
      </c>
      <c r="G1005" s="12">
        <v>180</v>
      </c>
      <c r="H1005" s="12">
        <v>0</v>
      </c>
      <c r="I1005" s="13">
        <v>42801.530226932868</v>
      </c>
      <c r="J1005" s="13">
        <v>43166</v>
      </c>
      <c r="K1005" s="12" t="s">
        <v>45</v>
      </c>
      <c r="L1005" s="12" t="s">
        <v>45</v>
      </c>
      <c r="M1005" s="12" t="s">
        <v>26</v>
      </c>
      <c r="N1005" s="12" t="s">
        <v>1447</v>
      </c>
      <c r="O1005" s="12"/>
      <c r="P1005" s="12"/>
      <c r="Q1005" s="12"/>
    </row>
    <row r="1006" spans="1:17" x14ac:dyDescent="0.25">
      <c r="A1006" s="11">
        <v>200879</v>
      </c>
      <c r="B1006" s="12" t="s">
        <v>2449</v>
      </c>
      <c r="C1006" s="12" t="s">
        <v>2807</v>
      </c>
      <c r="D1006" s="125">
        <v>8000000</v>
      </c>
      <c r="E1006" s="125">
        <v>3065182.74</v>
      </c>
      <c r="F1006" s="12">
        <v>44</v>
      </c>
      <c r="G1006" s="12">
        <v>180</v>
      </c>
      <c r="H1006" s="12">
        <v>0</v>
      </c>
      <c r="I1006" s="13">
        <v>42801.65197885417</v>
      </c>
      <c r="J1006" s="13">
        <v>43166</v>
      </c>
      <c r="K1006" s="12" t="s">
        <v>25</v>
      </c>
      <c r="L1006" s="12" t="s">
        <v>32</v>
      </c>
      <c r="M1006" s="12" t="s">
        <v>26</v>
      </c>
      <c r="N1006" s="12" t="s">
        <v>1925</v>
      </c>
      <c r="O1006" s="12"/>
      <c r="P1006" s="12"/>
      <c r="Q1006" s="12"/>
    </row>
    <row r="1007" spans="1:17" x14ac:dyDescent="0.25">
      <c r="A1007" s="11">
        <v>200883</v>
      </c>
      <c r="B1007" s="12" t="s">
        <v>4243</v>
      </c>
      <c r="C1007" s="12" t="s">
        <v>1449</v>
      </c>
      <c r="D1007" s="125">
        <v>2500000</v>
      </c>
      <c r="E1007" s="125">
        <v>1027270.28</v>
      </c>
      <c r="F1007" s="12">
        <v>54</v>
      </c>
      <c r="G1007" s="12">
        <v>180</v>
      </c>
      <c r="H1007" s="12">
        <v>0</v>
      </c>
      <c r="I1007" s="13">
        <v>42809.655407835649</v>
      </c>
      <c r="J1007" s="13">
        <v>43174</v>
      </c>
      <c r="K1007" s="12" t="s">
        <v>44</v>
      </c>
      <c r="L1007" s="12" t="s">
        <v>75</v>
      </c>
      <c r="M1007" s="12" t="s">
        <v>1442</v>
      </c>
      <c r="N1007" s="12" t="s">
        <v>1447</v>
      </c>
      <c r="O1007" s="12"/>
      <c r="P1007" s="12"/>
      <c r="Q1007" s="12"/>
    </row>
    <row r="1008" spans="1:17" x14ac:dyDescent="0.25">
      <c r="A1008" s="11">
        <v>200884</v>
      </c>
      <c r="B1008" s="12" t="s">
        <v>4248</v>
      </c>
      <c r="C1008" s="12" t="s">
        <v>1449</v>
      </c>
      <c r="D1008" s="125">
        <v>35000000</v>
      </c>
      <c r="E1008" s="125">
        <v>13225793.949999999</v>
      </c>
      <c r="F1008" s="12">
        <v>40</v>
      </c>
      <c r="G1008" s="12">
        <v>180</v>
      </c>
      <c r="H1008" s="12">
        <v>0</v>
      </c>
      <c r="I1008" s="13">
        <v>42810.64776403935</v>
      </c>
      <c r="J1008" s="13">
        <v>43175</v>
      </c>
      <c r="K1008" s="12" t="s">
        <v>25</v>
      </c>
      <c r="L1008" s="12" t="s">
        <v>88</v>
      </c>
      <c r="M1008" s="12" t="s">
        <v>285</v>
      </c>
      <c r="N1008" s="12" t="s">
        <v>1448</v>
      </c>
      <c r="O1008" s="12"/>
      <c r="P1008" s="12"/>
      <c r="Q1008" s="12"/>
    </row>
    <row r="1009" spans="1:17" x14ac:dyDescent="0.25">
      <c r="A1009" s="11">
        <v>200886</v>
      </c>
      <c r="B1009" s="12" t="s">
        <v>2195</v>
      </c>
      <c r="C1009" s="12" t="s">
        <v>1449</v>
      </c>
      <c r="D1009" s="125">
        <v>10000000</v>
      </c>
      <c r="E1009" s="125">
        <v>3867732.21</v>
      </c>
      <c r="F1009" s="12">
        <v>48</v>
      </c>
      <c r="G1009" s="12">
        <v>180</v>
      </c>
      <c r="H1009" s="12">
        <v>0</v>
      </c>
      <c r="I1009" s="13">
        <v>42810.74490528935</v>
      </c>
      <c r="J1009" s="13">
        <v>43175</v>
      </c>
      <c r="K1009" s="12" t="s">
        <v>45</v>
      </c>
      <c r="L1009" s="12" t="s">
        <v>45</v>
      </c>
      <c r="M1009" s="12" t="s">
        <v>89</v>
      </c>
      <c r="N1009" s="12" t="s">
        <v>1909</v>
      </c>
      <c r="O1009" s="12"/>
      <c r="P1009" s="12"/>
      <c r="Q1009" s="12"/>
    </row>
    <row r="1010" spans="1:17" x14ac:dyDescent="0.25">
      <c r="A1010" s="11">
        <v>200887</v>
      </c>
      <c r="B1010" s="12" t="s">
        <v>4255</v>
      </c>
      <c r="C1010" s="12" t="s">
        <v>1449</v>
      </c>
      <c r="D1010" s="125">
        <v>12000000</v>
      </c>
      <c r="E1010" s="125">
        <v>4936424.45</v>
      </c>
      <c r="F1010" s="12">
        <v>48</v>
      </c>
      <c r="G1010" s="12">
        <v>180</v>
      </c>
      <c r="H1010" s="12">
        <v>0</v>
      </c>
      <c r="I1010" s="13">
        <v>42811.448582094905</v>
      </c>
      <c r="J1010" s="13">
        <v>43176</v>
      </c>
      <c r="K1010" s="12" t="s">
        <v>44</v>
      </c>
      <c r="L1010" s="12" t="s">
        <v>75</v>
      </c>
      <c r="M1010" s="12" t="s">
        <v>1442</v>
      </c>
      <c r="N1010" s="12" t="s">
        <v>4684</v>
      </c>
      <c r="O1010" s="12"/>
      <c r="P1010" s="12"/>
      <c r="Q1010" s="12"/>
    </row>
    <row r="1011" spans="1:17" x14ac:dyDescent="0.25">
      <c r="A1011" s="11">
        <v>200888</v>
      </c>
      <c r="B1011" s="12" t="s">
        <v>2061</v>
      </c>
      <c r="C1011" s="12" t="s">
        <v>1449</v>
      </c>
      <c r="D1011" s="125">
        <v>5000000</v>
      </c>
      <c r="E1011" s="125">
        <v>1933866.15</v>
      </c>
      <c r="F1011" s="12">
        <v>48</v>
      </c>
      <c r="G1011" s="12">
        <v>180</v>
      </c>
      <c r="H1011" s="12">
        <v>0</v>
      </c>
      <c r="I1011" s="13">
        <v>42811.544827858794</v>
      </c>
      <c r="J1011" s="13">
        <v>43176</v>
      </c>
      <c r="K1011" s="12" t="s">
        <v>44</v>
      </c>
      <c r="L1011" s="12" t="s">
        <v>75</v>
      </c>
      <c r="M1011" s="12" t="s">
        <v>1442</v>
      </c>
      <c r="N1011" s="12" t="s">
        <v>1448</v>
      </c>
      <c r="O1011" s="12"/>
      <c r="P1011" s="12"/>
      <c r="Q1011" s="12"/>
    </row>
    <row r="1012" spans="1:17" x14ac:dyDescent="0.25">
      <c r="A1012" s="11">
        <v>200889</v>
      </c>
      <c r="B1012" s="12" t="s">
        <v>3123</v>
      </c>
      <c r="C1012" s="12" t="s">
        <v>1449</v>
      </c>
      <c r="D1012" s="125">
        <v>4500000</v>
      </c>
      <c r="E1012" s="125">
        <v>2134581.0099999998</v>
      </c>
      <c r="F1012" s="12">
        <v>48</v>
      </c>
      <c r="G1012" s="12">
        <v>180</v>
      </c>
      <c r="H1012" s="12">
        <v>0</v>
      </c>
      <c r="I1012" s="13">
        <v>42811.654107326387</v>
      </c>
      <c r="J1012" s="13">
        <v>43176</v>
      </c>
      <c r="K1012" s="12" t="s">
        <v>25</v>
      </c>
      <c r="L1012" s="12" t="s">
        <v>88</v>
      </c>
      <c r="M1012" s="12" t="s">
        <v>26</v>
      </c>
      <c r="N1012" s="12" t="s">
        <v>1909</v>
      </c>
      <c r="O1012" s="12"/>
      <c r="P1012" s="12"/>
      <c r="Q1012" s="12"/>
    </row>
    <row r="1013" spans="1:17" x14ac:dyDescent="0.25">
      <c r="A1013" s="11">
        <v>200891</v>
      </c>
      <c r="B1013" s="12" t="s">
        <v>4256</v>
      </c>
      <c r="C1013" s="12" t="s">
        <v>1449</v>
      </c>
      <c r="D1013" s="125">
        <v>15000000</v>
      </c>
      <c r="E1013" s="125">
        <v>7957020.1600000001</v>
      </c>
      <c r="F1013" s="12">
        <v>40</v>
      </c>
      <c r="G1013" s="12">
        <v>180</v>
      </c>
      <c r="H1013" s="12">
        <v>0</v>
      </c>
      <c r="I1013" s="13">
        <v>42811.759254363424</v>
      </c>
      <c r="J1013" s="13">
        <v>43268</v>
      </c>
      <c r="K1013" s="12" t="s">
        <v>44</v>
      </c>
      <c r="L1013" s="12" t="s">
        <v>75</v>
      </c>
      <c r="M1013" s="12" t="s">
        <v>1442</v>
      </c>
      <c r="N1013" s="12" t="s">
        <v>2855</v>
      </c>
      <c r="O1013" s="12"/>
      <c r="P1013" s="12"/>
      <c r="Q1013" s="12"/>
    </row>
    <row r="1014" spans="1:17" x14ac:dyDescent="0.25">
      <c r="A1014" s="11">
        <v>200892</v>
      </c>
      <c r="B1014" s="12" t="s">
        <v>2714</v>
      </c>
      <c r="C1014" s="12" t="s">
        <v>1449</v>
      </c>
      <c r="D1014" s="125">
        <v>4500000</v>
      </c>
      <c r="E1014" s="125">
        <v>2134581.0099999998</v>
      </c>
      <c r="F1014" s="12">
        <v>48</v>
      </c>
      <c r="G1014" s="12">
        <v>180</v>
      </c>
      <c r="H1014" s="12">
        <v>0</v>
      </c>
      <c r="I1014" s="13">
        <v>42812.444238888886</v>
      </c>
      <c r="J1014" s="13">
        <v>43177</v>
      </c>
      <c r="K1014" s="12" t="s">
        <v>25</v>
      </c>
      <c r="L1014" s="12" t="s">
        <v>26</v>
      </c>
      <c r="M1014" s="12" t="s">
        <v>26</v>
      </c>
      <c r="N1014" s="12" t="s">
        <v>2494</v>
      </c>
      <c r="O1014" s="12"/>
      <c r="P1014" s="12"/>
      <c r="Q1014" s="12"/>
    </row>
    <row r="1015" spans="1:17" x14ac:dyDescent="0.25">
      <c r="A1015" s="11">
        <v>200893</v>
      </c>
      <c r="B1015" s="12" t="s">
        <v>4264</v>
      </c>
      <c r="C1015" s="12" t="s">
        <v>1449</v>
      </c>
      <c r="D1015" s="125">
        <v>3000000</v>
      </c>
      <c r="E1015" s="125">
        <v>1180290.77</v>
      </c>
      <c r="F1015" s="12">
        <v>54</v>
      </c>
      <c r="G1015" s="12">
        <v>180</v>
      </c>
      <c r="H1015" s="12">
        <v>0</v>
      </c>
      <c r="I1015" s="13">
        <v>42812.532050729169</v>
      </c>
      <c r="J1015" s="13">
        <v>43177</v>
      </c>
      <c r="K1015" s="12" t="s">
        <v>25</v>
      </c>
      <c r="L1015" s="12" t="s">
        <v>88</v>
      </c>
      <c r="M1015" s="12" t="s">
        <v>26</v>
      </c>
      <c r="N1015" s="12" t="s">
        <v>2557</v>
      </c>
      <c r="O1015" s="12"/>
      <c r="P1015" s="12"/>
      <c r="Q1015" s="12"/>
    </row>
    <row r="1016" spans="1:17" x14ac:dyDescent="0.25">
      <c r="A1016" s="11">
        <v>200894</v>
      </c>
      <c r="B1016" s="12" t="s">
        <v>2372</v>
      </c>
      <c r="C1016" s="12" t="s">
        <v>1449</v>
      </c>
      <c r="D1016" s="125">
        <v>6000000</v>
      </c>
      <c r="E1016" s="125">
        <v>2846108.03</v>
      </c>
      <c r="F1016" s="12">
        <v>48</v>
      </c>
      <c r="G1016" s="12">
        <v>180</v>
      </c>
      <c r="H1016" s="12">
        <v>0</v>
      </c>
      <c r="I1016" s="13">
        <v>42818.463421956018</v>
      </c>
      <c r="J1016" s="13">
        <v>43183</v>
      </c>
      <c r="K1016" s="12" t="s">
        <v>25</v>
      </c>
      <c r="L1016" s="12" t="s">
        <v>88</v>
      </c>
      <c r="M1016" s="12" t="s">
        <v>285</v>
      </c>
      <c r="N1016" s="12" t="s">
        <v>2861</v>
      </c>
      <c r="O1016" s="12"/>
      <c r="P1016" s="12"/>
      <c r="Q1016" s="12"/>
    </row>
    <row r="1017" spans="1:17" x14ac:dyDescent="0.25">
      <c r="A1017" s="11">
        <v>200896</v>
      </c>
      <c r="B1017" s="12" t="s">
        <v>4283</v>
      </c>
      <c r="C1017" s="12" t="s">
        <v>2807</v>
      </c>
      <c r="D1017" s="125">
        <v>5000000</v>
      </c>
      <c r="E1017" s="125">
        <v>3723563.01</v>
      </c>
      <c r="F1017" s="12">
        <v>54</v>
      </c>
      <c r="G1017" s="12">
        <v>180</v>
      </c>
      <c r="H1017" s="12">
        <v>0</v>
      </c>
      <c r="I1017" s="13">
        <v>42815.688522685188</v>
      </c>
      <c r="J1017" s="13">
        <v>43121</v>
      </c>
      <c r="K1017" s="12" t="s">
        <v>25</v>
      </c>
      <c r="L1017" s="12" t="s">
        <v>26</v>
      </c>
      <c r="M1017" s="12" t="s">
        <v>26</v>
      </c>
      <c r="N1017" s="12" t="s">
        <v>2034</v>
      </c>
      <c r="O1017" s="12"/>
      <c r="P1017" s="12"/>
      <c r="Q1017" s="12"/>
    </row>
    <row r="1018" spans="1:17" x14ac:dyDescent="0.25">
      <c r="A1018" s="11">
        <v>200897</v>
      </c>
      <c r="B1018" s="12" t="s">
        <v>4280</v>
      </c>
      <c r="C1018" s="12" t="s">
        <v>2807</v>
      </c>
      <c r="D1018" s="125">
        <v>4000000</v>
      </c>
      <c r="E1018" s="125">
        <v>1586437.27</v>
      </c>
      <c r="F1018" s="12">
        <v>54</v>
      </c>
      <c r="G1018" s="12">
        <v>180</v>
      </c>
      <c r="H1018" s="12">
        <v>0</v>
      </c>
      <c r="I1018" s="13">
        <v>42815.578442905091</v>
      </c>
      <c r="J1018" s="13">
        <v>43180</v>
      </c>
      <c r="K1018" s="12" t="s">
        <v>25</v>
      </c>
      <c r="L1018" s="12" t="s">
        <v>32</v>
      </c>
      <c r="M1018" s="12" t="s">
        <v>3369</v>
      </c>
      <c r="N1018" s="12" t="s">
        <v>963</v>
      </c>
      <c r="O1018" s="12"/>
      <c r="P1018" s="12"/>
      <c r="Q1018" s="12"/>
    </row>
    <row r="1019" spans="1:17" x14ac:dyDescent="0.25">
      <c r="A1019" s="11">
        <v>200899</v>
      </c>
      <c r="B1019" s="12" t="s">
        <v>4277</v>
      </c>
      <c r="C1019" s="12" t="s">
        <v>1449</v>
      </c>
      <c r="D1019" s="125">
        <v>55000000</v>
      </c>
      <c r="E1019" s="125">
        <v>37358593.020000003</v>
      </c>
      <c r="F1019" s="12">
        <v>40</v>
      </c>
      <c r="G1019" s="12">
        <v>180</v>
      </c>
      <c r="H1019" s="12">
        <v>0</v>
      </c>
      <c r="I1019" s="13">
        <v>42815.615635185182</v>
      </c>
      <c r="J1019" s="13">
        <v>43364</v>
      </c>
      <c r="K1019" s="12" t="s">
        <v>36</v>
      </c>
      <c r="L1019" s="12" t="s">
        <v>1023</v>
      </c>
      <c r="M1019" s="12" t="s">
        <v>4042</v>
      </c>
      <c r="N1019" s="12" t="s">
        <v>491</v>
      </c>
      <c r="O1019" s="12"/>
      <c r="P1019" s="12"/>
      <c r="Q1019" s="12"/>
    </row>
    <row r="1020" spans="1:17" x14ac:dyDescent="0.25">
      <c r="A1020" s="11">
        <v>200901</v>
      </c>
      <c r="B1020" s="12" t="s">
        <v>4279</v>
      </c>
      <c r="C1020" s="12" t="s">
        <v>1449</v>
      </c>
      <c r="D1020" s="125">
        <v>2000000</v>
      </c>
      <c r="E1020" s="125">
        <v>982297.53</v>
      </c>
      <c r="F1020" s="12">
        <v>54</v>
      </c>
      <c r="G1020" s="12">
        <v>180</v>
      </c>
      <c r="H1020" s="12">
        <v>0</v>
      </c>
      <c r="I1020" s="13">
        <v>42815.728533912035</v>
      </c>
      <c r="J1020" s="13">
        <v>43060</v>
      </c>
      <c r="K1020" s="12" t="s">
        <v>36</v>
      </c>
      <c r="L1020" s="12" t="s">
        <v>97</v>
      </c>
      <c r="M1020" s="12" t="s">
        <v>98</v>
      </c>
      <c r="N1020" s="12" t="s">
        <v>3074</v>
      </c>
      <c r="O1020" s="12"/>
      <c r="P1020" s="12"/>
      <c r="Q1020" s="12"/>
    </row>
    <row r="1021" spans="1:17" x14ac:dyDescent="0.25">
      <c r="A1021" s="11">
        <v>200902</v>
      </c>
      <c r="B1021" s="12" t="s">
        <v>4308</v>
      </c>
      <c r="C1021" s="12" t="s">
        <v>1449</v>
      </c>
      <c r="D1021" s="125">
        <v>5000000</v>
      </c>
      <c r="E1021" s="125">
        <v>2407160.11</v>
      </c>
      <c r="F1021" s="12">
        <v>54</v>
      </c>
      <c r="G1021" s="12">
        <v>180</v>
      </c>
      <c r="H1021" s="12">
        <v>0</v>
      </c>
      <c r="I1021" s="13">
        <v>42816.495054513885</v>
      </c>
      <c r="J1021" s="13">
        <v>43181</v>
      </c>
      <c r="K1021" s="12" t="s">
        <v>44</v>
      </c>
      <c r="L1021" s="12" t="s">
        <v>75</v>
      </c>
      <c r="M1021" s="12" t="s">
        <v>1442</v>
      </c>
      <c r="N1021" s="12" t="s">
        <v>1447</v>
      </c>
      <c r="O1021" s="12"/>
      <c r="P1021" s="12"/>
      <c r="Q1021" s="12"/>
    </row>
    <row r="1022" spans="1:17" x14ac:dyDescent="0.25">
      <c r="A1022" s="11">
        <v>200905</v>
      </c>
      <c r="B1022" s="12" t="s">
        <v>4306</v>
      </c>
      <c r="C1022" s="12" t="s">
        <v>2807</v>
      </c>
      <c r="D1022" s="125">
        <v>6000000</v>
      </c>
      <c r="E1022" s="125">
        <v>2888592.12</v>
      </c>
      <c r="F1022" s="12">
        <v>54</v>
      </c>
      <c r="G1022" s="12">
        <v>180</v>
      </c>
      <c r="H1022" s="12">
        <v>0</v>
      </c>
      <c r="I1022" s="13">
        <v>42816.696472187497</v>
      </c>
      <c r="J1022" s="13">
        <v>43181</v>
      </c>
      <c r="K1022" s="12" t="s">
        <v>25</v>
      </c>
      <c r="L1022" s="12" t="s">
        <v>26</v>
      </c>
      <c r="M1022" s="12" t="s">
        <v>26</v>
      </c>
      <c r="N1022" s="12" t="s">
        <v>1447</v>
      </c>
      <c r="O1022" s="12"/>
      <c r="P1022" s="12"/>
      <c r="Q1022" s="12"/>
    </row>
    <row r="1023" spans="1:17" x14ac:dyDescent="0.25">
      <c r="A1023" s="11">
        <v>200906</v>
      </c>
      <c r="B1023" s="12" t="s">
        <v>2235</v>
      </c>
      <c r="C1023" s="12" t="s">
        <v>2807</v>
      </c>
      <c r="D1023" s="125">
        <v>6000000</v>
      </c>
      <c r="E1023" s="125">
        <v>2846108.03</v>
      </c>
      <c r="F1023" s="12">
        <v>48</v>
      </c>
      <c r="G1023" s="12">
        <v>180</v>
      </c>
      <c r="H1023" s="12">
        <v>0</v>
      </c>
      <c r="I1023" s="13">
        <v>42817.435043900463</v>
      </c>
      <c r="J1023" s="13">
        <v>43182</v>
      </c>
      <c r="K1023" s="12" t="s">
        <v>44</v>
      </c>
      <c r="L1023" s="12" t="s">
        <v>75</v>
      </c>
      <c r="M1023" s="12" t="s">
        <v>26</v>
      </c>
      <c r="N1023" s="12" t="s">
        <v>1467</v>
      </c>
      <c r="O1023" s="12"/>
      <c r="P1023" s="12"/>
      <c r="Q1023" s="12"/>
    </row>
    <row r="1024" spans="1:17" x14ac:dyDescent="0.25">
      <c r="A1024" s="11">
        <v>200910</v>
      </c>
      <c r="B1024" s="12" t="s">
        <v>2674</v>
      </c>
      <c r="C1024" s="12" t="s">
        <v>2807</v>
      </c>
      <c r="D1024" s="125">
        <v>10000000</v>
      </c>
      <c r="E1024" s="125">
        <v>4743513.4000000004</v>
      </c>
      <c r="F1024" s="12">
        <v>48</v>
      </c>
      <c r="G1024" s="12">
        <v>180</v>
      </c>
      <c r="H1024" s="12">
        <v>0</v>
      </c>
      <c r="I1024" s="13">
        <v>42818.709434606484</v>
      </c>
      <c r="J1024" s="13">
        <v>43183</v>
      </c>
      <c r="K1024" s="12" t="s">
        <v>31</v>
      </c>
      <c r="L1024" s="12" t="s">
        <v>298</v>
      </c>
      <c r="M1024" s="12" t="s">
        <v>26</v>
      </c>
      <c r="N1024" s="12" t="s">
        <v>2538</v>
      </c>
      <c r="O1024" s="12"/>
      <c r="P1024" s="12"/>
      <c r="Q1024" s="12"/>
    </row>
    <row r="1025" spans="1:17" x14ac:dyDescent="0.25">
      <c r="A1025" s="11">
        <v>200913</v>
      </c>
      <c r="B1025" s="12" t="s">
        <v>4332</v>
      </c>
      <c r="C1025" s="12" t="s">
        <v>2807</v>
      </c>
      <c r="D1025" s="125">
        <v>6000000</v>
      </c>
      <c r="E1025" s="125">
        <v>2063399.01</v>
      </c>
      <c r="F1025" s="12">
        <v>50</v>
      </c>
      <c r="G1025" s="12">
        <v>180</v>
      </c>
      <c r="H1025" s="12">
        <v>0</v>
      </c>
      <c r="I1025" s="13">
        <v>42818.746776736109</v>
      </c>
      <c r="J1025" s="13">
        <v>43124</v>
      </c>
      <c r="K1025" s="12" t="s">
        <v>45</v>
      </c>
      <c r="L1025" s="12" t="s">
        <v>45</v>
      </c>
      <c r="M1025" s="12" t="s">
        <v>26</v>
      </c>
      <c r="N1025" s="12" t="s">
        <v>2855</v>
      </c>
      <c r="O1025" s="12"/>
      <c r="P1025" s="12"/>
      <c r="Q1025" s="12"/>
    </row>
    <row r="1026" spans="1:17" x14ac:dyDescent="0.25">
      <c r="A1026" s="11">
        <v>200916</v>
      </c>
      <c r="B1026" s="12" t="s">
        <v>4329</v>
      </c>
      <c r="C1026" s="12" t="s">
        <v>2807</v>
      </c>
      <c r="D1026" s="125">
        <v>7000000</v>
      </c>
      <c r="E1026" s="125">
        <v>5063419.8</v>
      </c>
      <c r="F1026" s="12">
        <v>54</v>
      </c>
      <c r="G1026" s="12">
        <v>180</v>
      </c>
      <c r="H1026" s="12">
        <v>0</v>
      </c>
      <c r="I1026" s="13">
        <v>42818.801787881945</v>
      </c>
      <c r="J1026" s="13">
        <v>43183</v>
      </c>
      <c r="K1026" s="12" t="s">
        <v>25</v>
      </c>
      <c r="L1026" s="12" t="s">
        <v>88</v>
      </c>
      <c r="M1026" s="12" t="s">
        <v>26</v>
      </c>
      <c r="N1026" s="12" t="s">
        <v>2034</v>
      </c>
      <c r="O1026" s="12"/>
      <c r="P1026" s="12"/>
      <c r="Q1026" s="12"/>
    </row>
    <row r="1027" spans="1:17" x14ac:dyDescent="0.25">
      <c r="A1027" s="11">
        <v>200921</v>
      </c>
      <c r="B1027" s="12" t="s">
        <v>2310</v>
      </c>
      <c r="C1027" s="12" t="s">
        <v>1449</v>
      </c>
      <c r="D1027" s="125">
        <v>4500000</v>
      </c>
      <c r="E1027" s="125">
        <v>2143629.7200000002</v>
      </c>
      <c r="F1027" s="12">
        <v>48</v>
      </c>
      <c r="G1027" s="12">
        <v>180</v>
      </c>
      <c r="H1027" s="12">
        <v>0</v>
      </c>
      <c r="I1027" s="13">
        <v>42819.541967210651</v>
      </c>
      <c r="J1027" s="13">
        <v>43184</v>
      </c>
      <c r="K1027" s="12" t="s">
        <v>25</v>
      </c>
      <c r="L1027" s="12" t="s">
        <v>26</v>
      </c>
      <c r="M1027" s="12" t="s">
        <v>26</v>
      </c>
      <c r="N1027" s="12" t="s">
        <v>1448</v>
      </c>
      <c r="O1027" s="12"/>
      <c r="P1027" s="12"/>
      <c r="Q1027" s="12"/>
    </row>
    <row r="1028" spans="1:17" x14ac:dyDescent="0.25">
      <c r="A1028" s="11">
        <v>200924</v>
      </c>
      <c r="B1028" s="12" t="s">
        <v>4359</v>
      </c>
      <c r="C1028" s="12" t="s">
        <v>1449</v>
      </c>
      <c r="D1028" s="125">
        <v>4000000</v>
      </c>
      <c r="E1028" s="125">
        <v>1936784.93</v>
      </c>
      <c r="F1028" s="12">
        <v>54</v>
      </c>
      <c r="G1028" s="12">
        <v>180</v>
      </c>
      <c r="H1028" s="12">
        <v>0</v>
      </c>
      <c r="I1028" s="13">
        <v>42821.721101736111</v>
      </c>
      <c r="J1028" s="13">
        <v>43191</v>
      </c>
      <c r="K1028" s="12" t="s">
        <v>25</v>
      </c>
      <c r="L1028" s="12" t="s">
        <v>26</v>
      </c>
      <c r="M1028" s="12" t="s">
        <v>26</v>
      </c>
      <c r="N1028" s="12" t="s">
        <v>2175</v>
      </c>
      <c r="O1028" s="12"/>
      <c r="P1028" s="12"/>
      <c r="Q1028" s="12"/>
    </row>
    <row r="1029" spans="1:17" x14ac:dyDescent="0.25">
      <c r="A1029" s="11">
        <v>200925</v>
      </c>
      <c r="B1029" s="12" t="s">
        <v>2081</v>
      </c>
      <c r="C1029" s="12" t="s">
        <v>2807</v>
      </c>
      <c r="D1029" s="125">
        <v>10000000</v>
      </c>
      <c r="E1029" s="125">
        <v>4767839.12</v>
      </c>
      <c r="F1029" s="12">
        <v>48</v>
      </c>
      <c r="G1029" s="12">
        <v>180</v>
      </c>
      <c r="H1029" s="12">
        <v>0</v>
      </c>
      <c r="I1029" s="13">
        <v>42821.704418634261</v>
      </c>
      <c r="J1029" s="13">
        <v>43191</v>
      </c>
      <c r="K1029" s="12" t="s">
        <v>27</v>
      </c>
      <c r="L1029" s="12" t="s">
        <v>81</v>
      </c>
      <c r="M1029" s="12" t="s">
        <v>26</v>
      </c>
      <c r="N1029" s="12" t="s">
        <v>1925</v>
      </c>
      <c r="O1029" s="12"/>
      <c r="P1029" s="12"/>
      <c r="Q1029" s="12"/>
    </row>
    <row r="1030" spans="1:17" x14ac:dyDescent="0.25">
      <c r="A1030" s="11">
        <v>200932</v>
      </c>
      <c r="B1030" s="12" t="s">
        <v>2652</v>
      </c>
      <c r="C1030" s="12" t="s">
        <v>2807</v>
      </c>
      <c r="D1030" s="125">
        <v>8000000</v>
      </c>
      <c r="E1030" s="125">
        <v>3795487.41</v>
      </c>
      <c r="F1030" s="12">
        <v>48</v>
      </c>
      <c r="G1030" s="12">
        <v>360</v>
      </c>
      <c r="H1030" s="12">
        <v>10</v>
      </c>
      <c r="I1030" s="13">
        <v>42830.416092280095</v>
      </c>
      <c r="J1030" s="13">
        <v>43195</v>
      </c>
      <c r="K1030" s="12" t="s">
        <v>25</v>
      </c>
      <c r="L1030" s="12" t="s">
        <v>32</v>
      </c>
      <c r="M1030" s="12" t="s">
        <v>3369</v>
      </c>
      <c r="N1030" s="12" t="s">
        <v>3074</v>
      </c>
      <c r="O1030" s="12"/>
      <c r="P1030" s="12"/>
      <c r="Q1030" s="12"/>
    </row>
    <row r="1031" spans="1:17" x14ac:dyDescent="0.25">
      <c r="A1031" s="11">
        <v>200933</v>
      </c>
      <c r="B1031" s="12" t="s">
        <v>4389</v>
      </c>
      <c r="C1031" s="12" t="s">
        <v>2807</v>
      </c>
      <c r="D1031" s="125">
        <v>5000000</v>
      </c>
      <c r="E1031" s="125">
        <v>2414070.58</v>
      </c>
      <c r="F1031" s="12">
        <v>54</v>
      </c>
      <c r="G1031" s="12">
        <v>180</v>
      </c>
      <c r="H1031" s="12">
        <v>0</v>
      </c>
      <c r="I1031" s="13">
        <v>42823.681535451389</v>
      </c>
      <c r="J1031" s="13">
        <v>43191</v>
      </c>
      <c r="K1031" s="12" t="s">
        <v>25</v>
      </c>
      <c r="L1031" s="12" t="s">
        <v>32</v>
      </c>
      <c r="M1031" s="12" t="s">
        <v>1827</v>
      </c>
      <c r="N1031" s="12" t="s">
        <v>2557</v>
      </c>
      <c r="O1031" s="12"/>
      <c r="P1031" s="12"/>
      <c r="Q1031" s="12"/>
    </row>
    <row r="1032" spans="1:17" x14ac:dyDescent="0.25">
      <c r="A1032" s="11">
        <v>200934</v>
      </c>
      <c r="B1032" s="12" t="s">
        <v>3129</v>
      </c>
      <c r="C1032" s="12" t="s">
        <v>2807</v>
      </c>
      <c r="D1032" s="125">
        <v>10000000</v>
      </c>
      <c r="E1032" s="125">
        <v>4707185.05</v>
      </c>
      <c r="F1032" s="12">
        <v>44</v>
      </c>
      <c r="G1032" s="12">
        <v>180</v>
      </c>
      <c r="H1032" s="12">
        <v>0</v>
      </c>
      <c r="I1032" s="13">
        <v>42823.775273877312</v>
      </c>
      <c r="J1032" s="13">
        <v>43191</v>
      </c>
      <c r="K1032" s="12" t="s">
        <v>25</v>
      </c>
      <c r="L1032" s="12" t="s">
        <v>94</v>
      </c>
      <c r="M1032" s="12" t="s">
        <v>95</v>
      </c>
      <c r="N1032" s="12" t="s">
        <v>2861</v>
      </c>
      <c r="O1032" s="12"/>
      <c r="P1032" s="12"/>
      <c r="Q1032" s="12"/>
    </row>
    <row r="1033" spans="1:17" x14ac:dyDescent="0.25">
      <c r="A1033" s="11">
        <v>200936</v>
      </c>
      <c r="B1033" s="12" t="s">
        <v>4390</v>
      </c>
      <c r="C1033" s="12" t="s">
        <v>1449</v>
      </c>
      <c r="D1033" s="125">
        <v>4000000</v>
      </c>
      <c r="E1033" s="125">
        <v>1393632.9</v>
      </c>
      <c r="F1033" s="12">
        <v>54</v>
      </c>
      <c r="G1033" s="12">
        <v>180</v>
      </c>
      <c r="H1033" s="12">
        <v>0</v>
      </c>
      <c r="I1033" s="13">
        <v>42823.669070601849</v>
      </c>
      <c r="J1033" s="13">
        <v>43132</v>
      </c>
      <c r="K1033" s="12" t="s">
        <v>44</v>
      </c>
      <c r="L1033" s="12" t="s">
        <v>75</v>
      </c>
      <c r="M1033" s="12" t="s">
        <v>1442</v>
      </c>
      <c r="N1033" s="12" t="s">
        <v>2538</v>
      </c>
      <c r="O1033" s="12"/>
      <c r="P1033" s="12"/>
      <c r="Q1033" s="12"/>
    </row>
    <row r="1034" spans="1:17" x14ac:dyDescent="0.25">
      <c r="A1034" s="11">
        <v>200937</v>
      </c>
      <c r="B1034" s="12" t="s">
        <v>2950</v>
      </c>
      <c r="C1034" s="12" t="s">
        <v>1449</v>
      </c>
      <c r="D1034" s="125">
        <v>6500000</v>
      </c>
      <c r="E1034" s="125">
        <v>3091189.58</v>
      </c>
      <c r="F1034" s="12">
        <v>48</v>
      </c>
      <c r="G1034" s="12">
        <v>180</v>
      </c>
      <c r="H1034" s="12">
        <v>0</v>
      </c>
      <c r="I1034" s="13">
        <v>42823.716414351853</v>
      </c>
      <c r="J1034" s="13">
        <v>43191</v>
      </c>
      <c r="K1034" s="12" t="s">
        <v>44</v>
      </c>
      <c r="L1034" s="12" t="s">
        <v>75</v>
      </c>
      <c r="M1034" s="12" t="s">
        <v>1442</v>
      </c>
      <c r="N1034" s="12" t="s">
        <v>1667</v>
      </c>
      <c r="O1034" s="12"/>
      <c r="P1034" s="12"/>
      <c r="Q1034" s="12"/>
    </row>
    <row r="1035" spans="1:17" x14ac:dyDescent="0.25">
      <c r="A1035" s="11">
        <v>200938</v>
      </c>
      <c r="B1035" s="12" t="s">
        <v>4398</v>
      </c>
      <c r="C1035" s="12" t="s">
        <v>2807</v>
      </c>
      <c r="D1035" s="125">
        <v>2500000</v>
      </c>
      <c r="E1035" s="125">
        <v>908977.4</v>
      </c>
      <c r="F1035" s="12">
        <v>54</v>
      </c>
      <c r="G1035" s="12">
        <v>180</v>
      </c>
      <c r="H1035" s="12">
        <v>0</v>
      </c>
      <c r="I1035" s="13">
        <v>42824.432637303238</v>
      </c>
      <c r="J1035" s="13">
        <v>43009</v>
      </c>
      <c r="K1035" s="12" t="s">
        <v>25</v>
      </c>
      <c r="L1035" s="12" t="s">
        <v>26</v>
      </c>
      <c r="M1035" s="12" t="s">
        <v>26</v>
      </c>
      <c r="N1035" s="12" t="s">
        <v>2557</v>
      </c>
      <c r="O1035" s="12"/>
      <c r="P1035" s="12"/>
      <c r="Q1035" s="12"/>
    </row>
    <row r="1036" spans="1:17" x14ac:dyDescent="0.25">
      <c r="A1036" s="11">
        <v>200939</v>
      </c>
      <c r="B1036" s="12" t="s">
        <v>4397</v>
      </c>
      <c r="C1036" s="12" t="s">
        <v>2807</v>
      </c>
      <c r="D1036" s="125">
        <v>7000000</v>
      </c>
      <c r="E1036" s="125">
        <v>2454623.6</v>
      </c>
      <c r="F1036" s="12">
        <v>50</v>
      </c>
      <c r="G1036" s="12">
        <v>180</v>
      </c>
      <c r="H1036" s="12">
        <v>0</v>
      </c>
      <c r="I1036" s="13">
        <v>42824.447417013886</v>
      </c>
      <c r="J1036" s="13">
        <v>43132</v>
      </c>
      <c r="K1036" s="12" t="s">
        <v>25</v>
      </c>
      <c r="L1036" s="12" t="s">
        <v>88</v>
      </c>
      <c r="M1036" s="12" t="s">
        <v>285</v>
      </c>
      <c r="N1036" s="12" t="s">
        <v>1447</v>
      </c>
      <c r="O1036" s="12"/>
      <c r="P1036" s="12"/>
      <c r="Q1036" s="12"/>
    </row>
    <row r="1037" spans="1:17" x14ac:dyDescent="0.25">
      <c r="A1037" s="11">
        <v>200941</v>
      </c>
      <c r="B1037" s="12" t="s">
        <v>4399</v>
      </c>
      <c r="C1037" s="12" t="s">
        <v>2807</v>
      </c>
      <c r="D1037" s="125">
        <v>8000000</v>
      </c>
      <c r="E1037" s="125">
        <v>2783276.43</v>
      </c>
      <c r="F1037" s="12">
        <v>54</v>
      </c>
      <c r="G1037" s="12">
        <v>180</v>
      </c>
      <c r="H1037" s="12">
        <v>0</v>
      </c>
      <c r="I1037" s="13">
        <v>42824.665698460645</v>
      </c>
      <c r="J1037" s="13">
        <v>43132</v>
      </c>
      <c r="K1037" s="12" t="s">
        <v>25</v>
      </c>
      <c r="L1037" s="12" t="s">
        <v>26</v>
      </c>
      <c r="M1037" s="12" t="s">
        <v>26</v>
      </c>
      <c r="N1037" s="12" t="s">
        <v>1909</v>
      </c>
      <c r="O1037" s="12"/>
      <c r="P1037" s="12"/>
      <c r="Q1037" s="12"/>
    </row>
    <row r="1038" spans="1:17" x14ac:dyDescent="0.25">
      <c r="A1038" s="11">
        <v>200942</v>
      </c>
      <c r="B1038" s="12" t="s">
        <v>2486</v>
      </c>
      <c r="C1038" s="12" t="s">
        <v>1449</v>
      </c>
      <c r="D1038" s="125">
        <v>6000000</v>
      </c>
      <c r="E1038" s="125">
        <v>2878975.82</v>
      </c>
      <c r="F1038" s="12">
        <v>44</v>
      </c>
      <c r="G1038" s="12">
        <v>180</v>
      </c>
      <c r="H1038" s="12">
        <v>0</v>
      </c>
      <c r="I1038" s="13">
        <v>42824.708639965276</v>
      </c>
      <c r="J1038" s="13">
        <v>43191</v>
      </c>
      <c r="K1038" s="12" t="s">
        <v>27</v>
      </c>
      <c r="L1038" s="12" t="s">
        <v>26</v>
      </c>
      <c r="M1038" s="12" t="s">
        <v>26</v>
      </c>
      <c r="N1038" s="12" t="s">
        <v>2861</v>
      </c>
      <c r="O1038" s="12"/>
      <c r="P1038" s="12"/>
      <c r="Q1038" s="12"/>
    </row>
    <row r="1039" spans="1:17" x14ac:dyDescent="0.25">
      <c r="A1039" s="11">
        <v>200943</v>
      </c>
      <c r="B1039" s="12" t="s">
        <v>4422</v>
      </c>
      <c r="C1039" s="12" t="s">
        <v>1449</v>
      </c>
      <c r="D1039" s="125">
        <v>25000000</v>
      </c>
      <c r="E1039" s="125">
        <v>17014996.030000001</v>
      </c>
      <c r="F1039" s="12">
        <v>40</v>
      </c>
      <c r="G1039" s="12">
        <v>180</v>
      </c>
      <c r="H1039" s="12">
        <v>0</v>
      </c>
      <c r="I1039" s="13">
        <v>42825.559319097221</v>
      </c>
      <c r="J1039" s="13">
        <v>43374</v>
      </c>
      <c r="K1039" s="12" t="s">
        <v>25</v>
      </c>
      <c r="L1039" s="12" t="s">
        <v>88</v>
      </c>
      <c r="M1039" s="12" t="s">
        <v>285</v>
      </c>
      <c r="N1039" s="12" t="s">
        <v>1467</v>
      </c>
      <c r="O1039" s="12"/>
      <c r="P1039" s="12"/>
      <c r="Q1039" s="12"/>
    </row>
    <row r="1040" spans="1:17" x14ac:dyDescent="0.25">
      <c r="A1040" s="11">
        <v>200944</v>
      </c>
      <c r="B1040" s="12" t="s">
        <v>2493</v>
      </c>
      <c r="C1040" s="12" t="s">
        <v>1449</v>
      </c>
      <c r="D1040" s="125">
        <v>7000000</v>
      </c>
      <c r="E1040" s="125">
        <v>3341744.36</v>
      </c>
      <c r="F1040" s="12">
        <v>48</v>
      </c>
      <c r="G1040" s="12">
        <v>180</v>
      </c>
      <c r="H1040" s="12">
        <v>0</v>
      </c>
      <c r="I1040" s="13">
        <v>42825.707775659721</v>
      </c>
      <c r="J1040" s="13">
        <v>43195</v>
      </c>
      <c r="K1040" s="12" t="s">
        <v>44</v>
      </c>
      <c r="L1040" s="12" t="s">
        <v>75</v>
      </c>
      <c r="M1040" s="12" t="s">
        <v>1442</v>
      </c>
      <c r="N1040" s="12" t="s">
        <v>2494</v>
      </c>
      <c r="O1040" s="12"/>
      <c r="P1040" s="12"/>
      <c r="Q1040" s="12"/>
    </row>
    <row r="1041" spans="1:17" x14ac:dyDescent="0.25">
      <c r="A1041" s="11">
        <v>200947</v>
      </c>
      <c r="B1041" s="12" t="s">
        <v>2382</v>
      </c>
      <c r="C1041" s="12" t="s">
        <v>2807</v>
      </c>
      <c r="D1041" s="125">
        <v>10000000</v>
      </c>
      <c r="E1041" s="125">
        <v>4749594.84</v>
      </c>
      <c r="F1041" s="12">
        <v>48</v>
      </c>
      <c r="G1041" s="12">
        <v>180</v>
      </c>
      <c r="H1041" s="12">
        <v>0</v>
      </c>
      <c r="I1041" s="13">
        <v>42825.758884872688</v>
      </c>
      <c r="J1041" s="13">
        <v>43191</v>
      </c>
      <c r="K1041" s="12" t="s">
        <v>27</v>
      </c>
      <c r="L1041" s="12" t="s">
        <v>81</v>
      </c>
      <c r="M1041" s="12" t="s">
        <v>26</v>
      </c>
      <c r="N1041" s="12" t="s">
        <v>1667</v>
      </c>
      <c r="O1041" s="12"/>
      <c r="P1041" s="12"/>
      <c r="Q1041" s="12"/>
    </row>
    <row r="1042" spans="1:17" x14ac:dyDescent="0.25">
      <c r="A1042" s="11">
        <v>200948</v>
      </c>
      <c r="B1042" s="12" t="s">
        <v>4423</v>
      </c>
      <c r="C1042" s="12" t="s">
        <v>2807</v>
      </c>
      <c r="D1042" s="125">
        <v>6000000</v>
      </c>
      <c r="E1042" s="125">
        <v>2864107.38</v>
      </c>
      <c r="F1042" s="12">
        <v>50</v>
      </c>
      <c r="G1042" s="12">
        <v>180</v>
      </c>
      <c r="H1042" s="12">
        <v>0</v>
      </c>
      <c r="I1042" s="13">
        <v>42825.769430474538</v>
      </c>
      <c r="J1042" s="13">
        <v>43191</v>
      </c>
      <c r="K1042" s="12" t="s">
        <v>25</v>
      </c>
      <c r="L1042" s="12" t="s">
        <v>26</v>
      </c>
      <c r="M1042" s="12" t="s">
        <v>26</v>
      </c>
      <c r="N1042" s="12" t="s">
        <v>2861</v>
      </c>
      <c r="O1042" s="12"/>
      <c r="P1042" s="12"/>
      <c r="Q1042" s="12"/>
    </row>
    <row r="1043" spans="1:17" x14ac:dyDescent="0.25">
      <c r="A1043" s="11">
        <v>200949</v>
      </c>
      <c r="B1043" s="12" t="s">
        <v>4415</v>
      </c>
      <c r="C1043" s="12" t="s">
        <v>2807</v>
      </c>
      <c r="D1043" s="125">
        <v>3000000</v>
      </c>
      <c r="E1043" s="125">
        <v>1362114.19</v>
      </c>
      <c r="F1043" s="12">
        <v>54</v>
      </c>
      <c r="G1043" s="12">
        <v>180</v>
      </c>
      <c r="H1043" s="12">
        <v>0</v>
      </c>
      <c r="I1043" s="13">
        <v>42825.788788576392</v>
      </c>
      <c r="J1043" s="13">
        <v>43132</v>
      </c>
      <c r="K1043" s="12" t="s">
        <v>31</v>
      </c>
      <c r="L1043" s="12" t="s">
        <v>4416</v>
      </c>
      <c r="M1043" s="12" t="s">
        <v>26</v>
      </c>
      <c r="N1043" s="12" t="s">
        <v>1467</v>
      </c>
      <c r="O1043" s="12"/>
      <c r="P1043" s="12"/>
      <c r="Q1043" s="12"/>
    </row>
    <row r="1044" spans="1:17" x14ac:dyDescent="0.25">
      <c r="A1044" s="11">
        <v>200951</v>
      </c>
      <c r="B1044" s="12" t="s">
        <v>4419</v>
      </c>
      <c r="C1044" s="12" t="s">
        <v>1449</v>
      </c>
      <c r="D1044" s="125">
        <v>10000000</v>
      </c>
      <c r="E1044" s="125">
        <v>4729018.76</v>
      </c>
      <c r="F1044" s="12">
        <v>50</v>
      </c>
      <c r="G1044" s="12">
        <v>180</v>
      </c>
      <c r="H1044" s="12">
        <v>0</v>
      </c>
      <c r="I1044" s="13">
        <v>42825.753275694442</v>
      </c>
      <c r="J1044" s="13">
        <v>43183</v>
      </c>
      <c r="K1044" s="12" t="s">
        <v>27</v>
      </c>
      <c r="L1044" s="12" t="s">
        <v>26</v>
      </c>
      <c r="M1044" s="12" t="s">
        <v>26</v>
      </c>
      <c r="N1044" s="12" t="s">
        <v>2557</v>
      </c>
      <c r="O1044" s="12"/>
      <c r="P1044" s="12"/>
      <c r="Q1044" s="12"/>
    </row>
    <row r="1045" spans="1:17" x14ac:dyDescent="0.25">
      <c r="A1045" s="11">
        <v>200952</v>
      </c>
      <c r="B1045" s="12" t="s">
        <v>4418</v>
      </c>
      <c r="C1045" s="12" t="s">
        <v>2807</v>
      </c>
      <c r="D1045" s="125">
        <v>8000000</v>
      </c>
      <c r="E1045" s="125">
        <v>4457052.66</v>
      </c>
      <c r="F1045" s="12">
        <v>40</v>
      </c>
      <c r="G1045" s="12">
        <v>180</v>
      </c>
      <c r="H1045" s="12">
        <v>0</v>
      </c>
      <c r="I1045" s="13">
        <v>42825.553923344909</v>
      </c>
      <c r="J1045" s="13">
        <v>43254</v>
      </c>
      <c r="K1045" s="12" t="s">
        <v>27</v>
      </c>
      <c r="L1045" s="12" t="s">
        <v>26</v>
      </c>
      <c r="M1045" s="12" t="s">
        <v>26</v>
      </c>
      <c r="N1045" s="12" t="s">
        <v>1667</v>
      </c>
      <c r="O1045" s="12"/>
      <c r="P1045" s="12"/>
      <c r="Q1045" s="12"/>
    </row>
    <row r="1046" spans="1:17" x14ac:dyDescent="0.25">
      <c r="A1046" s="11">
        <v>200954</v>
      </c>
      <c r="B1046" s="12" t="s">
        <v>4446</v>
      </c>
      <c r="C1046" s="12" t="s">
        <v>2807</v>
      </c>
      <c r="D1046" s="125">
        <v>10000000</v>
      </c>
      <c r="E1046" s="125">
        <v>4767156.04</v>
      </c>
      <c r="F1046" s="12">
        <v>50</v>
      </c>
      <c r="G1046" s="12">
        <v>180</v>
      </c>
      <c r="H1046" s="12">
        <v>0</v>
      </c>
      <c r="I1046" s="13">
        <v>42828.483967245367</v>
      </c>
      <c r="J1046" s="13">
        <v>43193</v>
      </c>
      <c r="K1046" s="12" t="s">
        <v>27</v>
      </c>
      <c r="L1046" s="12" t="s">
        <v>26</v>
      </c>
      <c r="M1046" s="12" t="s">
        <v>26</v>
      </c>
      <c r="N1046" s="12" t="s">
        <v>1909</v>
      </c>
      <c r="O1046" s="12"/>
      <c r="P1046" s="12"/>
      <c r="Q1046" s="12"/>
    </row>
    <row r="1047" spans="1:17" x14ac:dyDescent="0.25">
      <c r="A1047" s="11">
        <v>200955</v>
      </c>
      <c r="B1047" s="12" t="s">
        <v>4444</v>
      </c>
      <c r="C1047" s="12" t="s">
        <v>2807</v>
      </c>
      <c r="D1047" s="125">
        <v>25000000</v>
      </c>
      <c r="E1047" s="125">
        <v>23336195.68</v>
      </c>
      <c r="F1047" s="12">
        <v>48</v>
      </c>
      <c r="G1047" s="12">
        <v>180</v>
      </c>
      <c r="H1047" s="12">
        <v>0</v>
      </c>
      <c r="I1047" s="13">
        <v>42828.658962187503</v>
      </c>
      <c r="J1047" s="13">
        <v>43193</v>
      </c>
      <c r="K1047" s="12" t="s">
        <v>36</v>
      </c>
      <c r="L1047" s="12" t="s">
        <v>1023</v>
      </c>
      <c r="M1047" s="12" t="s">
        <v>4042</v>
      </c>
      <c r="N1047" s="12" t="s">
        <v>491</v>
      </c>
      <c r="O1047" s="12"/>
      <c r="P1047" s="12"/>
      <c r="Q1047" s="12"/>
    </row>
    <row r="1048" spans="1:17" x14ac:dyDescent="0.25">
      <c r="A1048" s="11">
        <v>200956</v>
      </c>
      <c r="B1048" s="12" t="s">
        <v>4445</v>
      </c>
      <c r="C1048" s="12" t="s">
        <v>2807</v>
      </c>
      <c r="D1048" s="125">
        <v>30000000</v>
      </c>
      <c r="E1048" s="125">
        <v>20760576.370000001</v>
      </c>
      <c r="F1048" s="12">
        <v>48</v>
      </c>
      <c r="G1048" s="12">
        <v>180</v>
      </c>
      <c r="H1048" s="12">
        <v>0</v>
      </c>
      <c r="I1048" s="13">
        <v>42828.67673634259</v>
      </c>
      <c r="J1048" s="13">
        <v>43376</v>
      </c>
      <c r="K1048" s="12" t="s">
        <v>25</v>
      </c>
      <c r="L1048" s="12" t="s">
        <v>26</v>
      </c>
      <c r="M1048" s="12" t="s">
        <v>26</v>
      </c>
      <c r="N1048" s="12" t="s">
        <v>1447</v>
      </c>
      <c r="O1048" s="12"/>
      <c r="P1048" s="12"/>
      <c r="Q1048" s="12"/>
    </row>
    <row r="1049" spans="1:17" x14ac:dyDescent="0.25">
      <c r="A1049" s="11">
        <v>200958</v>
      </c>
      <c r="B1049" s="12" t="s">
        <v>4456</v>
      </c>
      <c r="C1049" s="12" t="s">
        <v>2807</v>
      </c>
      <c r="D1049" s="125">
        <v>25000000</v>
      </c>
      <c r="E1049" s="125">
        <v>19610025.949999999</v>
      </c>
      <c r="F1049" s="12">
        <v>40</v>
      </c>
      <c r="G1049" s="12">
        <v>180</v>
      </c>
      <c r="H1049" s="12">
        <v>0</v>
      </c>
      <c r="I1049" s="13">
        <v>42829.434922488428</v>
      </c>
      <c r="J1049" s="13">
        <v>43559</v>
      </c>
      <c r="K1049" s="12" t="s">
        <v>36</v>
      </c>
      <c r="L1049" s="12" t="s">
        <v>97</v>
      </c>
      <c r="M1049" s="12" t="s">
        <v>98</v>
      </c>
      <c r="N1049" s="12" t="s">
        <v>1447</v>
      </c>
      <c r="O1049" s="12"/>
      <c r="P1049" s="12"/>
      <c r="Q1049" s="12"/>
    </row>
    <row r="1050" spans="1:17" x14ac:dyDescent="0.25">
      <c r="A1050" s="11">
        <v>200960</v>
      </c>
      <c r="B1050" s="12" t="s">
        <v>4455</v>
      </c>
      <c r="C1050" s="12" t="s">
        <v>2807</v>
      </c>
      <c r="D1050" s="125">
        <v>2500000</v>
      </c>
      <c r="E1050" s="125">
        <v>868527.23</v>
      </c>
      <c r="F1050" s="12">
        <v>54</v>
      </c>
      <c r="G1050" s="12">
        <v>180</v>
      </c>
      <c r="H1050" s="12">
        <v>0</v>
      </c>
      <c r="I1050" s="13">
        <v>42829.592091631945</v>
      </c>
      <c r="J1050" s="13">
        <v>43135</v>
      </c>
      <c r="K1050" s="12" t="s">
        <v>44</v>
      </c>
      <c r="L1050" s="12" t="s">
        <v>75</v>
      </c>
      <c r="M1050" s="12" t="s">
        <v>26</v>
      </c>
      <c r="N1050" s="12" t="s">
        <v>1909</v>
      </c>
      <c r="O1050" s="12"/>
      <c r="P1050" s="12"/>
      <c r="Q1050" s="12"/>
    </row>
    <row r="1051" spans="1:17" x14ac:dyDescent="0.25">
      <c r="A1051" s="11">
        <v>200961</v>
      </c>
      <c r="B1051" s="12" t="s">
        <v>2459</v>
      </c>
      <c r="C1051" s="12" t="s">
        <v>2807</v>
      </c>
      <c r="D1051" s="125">
        <v>10000000</v>
      </c>
      <c r="E1051" s="125">
        <v>4743513.4000000004</v>
      </c>
      <c r="F1051" s="12">
        <v>48</v>
      </c>
      <c r="G1051" s="12">
        <v>180</v>
      </c>
      <c r="H1051" s="12">
        <v>0</v>
      </c>
      <c r="I1051" s="13">
        <v>42830.696861655095</v>
      </c>
      <c r="J1051" s="13">
        <v>43195</v>
      </c>
      <c r="K1051" s="12" t="s">
        <v>25</v>
      </c>
      <c r="L1051" s="12" t="s">
        <v>286</v>
      </c>
      <c r="M1051" s="12" t="s">
        <v>4463</v>
      </c>
      <c r="N1051" s="12" t="s">
        <v>1667</v>
      </c>
      <c r="O1051" s="12"/>
      <c r="P1051" s="12"/>
      <c r="Q1051" s="12"/>
    </row>
    <row r="1052" spans="1:17" x14ac:dyDescent="0.25">
      <c r="A1052" s="11">
        <v>200962</v>
      </c>
      <c r="B1052" s="12" t="s">
        <v>4464</v>
      </c>
      <c r="C1052" s="12" t="s">
        <v>1449</v>
      </c>
      <c r="D1052" s="125">
        <v>10000000</v>
      </c>
      <c r="E1052" s="125">
        <v>4814320.1500000004</v>
      </c>
      <c r="F1052" s="12">
        <v>54</v>
      </c>
      <c r="G1052" s="12">
        <v>180</v>
      </c>
      <c r="H1052" s="12">
        <v>0</v>
      </c>
      <c r="I1052" s="13">
        <v>42831.70020003472</v>
      </c>
      <c r="J1052" s="13">
        <v>43196</v>
      </c>
      <c r="K1052" s="12" t="s">
        <v>25</v>
      </c>
      <c r="L1052" s="12" t="s">
        <v>88</v>
      </c>
      <c r="M1052" s="12" t="s">
        <v>285</v>
      </c>
      <c r="N1052" s="12" t="s">
        <v>1925</v>
      </c>
      <c r="O1052" s="12"/>
      <c r="P1052" s="12"/>
      <c r="Q1052" s="12"/>
    </row>
    <row r="1053" spans="1:17" x14ac:dyDescent="0.25">
      <c r="A1053" s="11">
        <v>200963</v>
      </c>
      <c r="B1053" s="12" t="s">
        <v>4476</v>
      </c>
      <c r="C1053" s="12" t="s">
        <v>2807</v>
      </c>
      <c r="D1053" s="125">
        <v>7000000</v>
      </c>
      <c r="E1053" s="125">
        <v>3959509.52</v>
      </c>
      <c r="F1053" s="12">
        <v>54</v>
      </c>
      <c r="G1053" s="12">
        <v>180</v>
      </c>
      <c r="H1053" s="12">
        <v>0</v>
      </c>
      <c r="I1053" s="13">
        <v>42833.446310763888</v>
      </c>
      <c r="J1053" s="13">
        <v>43198</v>
      </c>
      <c r="K1053" s="12" t="s">
        <v>27</v>
      </c>
      <c r="L1053" s="12" t="s">
        <v>81</v>
      </c>
      <c r="M1053" s="12" t="s">
        <v>26</v>
      </c>
      <c r="N1053" s="12" t="s">
        <v>491</v>
      </c>
      <c r="O1053" s="12"/>
      <c r="P1053" s="12"/>
      <c r="Q1053" s="12"/>
    </row>
    <row r="1054" spans="1:17" x14ac:dyDescent="0.25">
      <c r="A1054" s="11">
        <v>200964</v>
      </c>
      <c r="B1054" s="12" t="s">
        <v>4475</v>
      </c>
      <c r="C1054" s="12" t="s">
        <v>1449</v>
      </c>
      <c r="D1054" s="125">
        <v>5000000</v>
      </c>
      <c r="E1054" s="125">
        <v>4440190.3099999996</v>
      </c>
      <c r="F1054" s="12">
        <v>54</v>
      </c>
      <c r="G1054" s="12">
        <v>180</v>
      </c>
      <c r="H1054" s="12">
        <v>0</v>
      </c>
      <c r="I1054" s="13">
        <v>42833.49402395833</v>
      </c>
      <c r="J1054" s="13">
        <v>43077</v>
      </c>
      <c r="K1054" s="12" t="s">
        <v>25</v>
      </c>
      <c r="L1054" s="12" t="s">
        <v>295</v>
      </c>
      <c r="M1054" s="12" t="s">
        <v>296</v>
      </c>
      <c r="N1054" s="12" t="s">
        <v>2861</v>
      </c>
      <c r="O1054" s="12"/>
      <c r="P1054" s="12"/>
      <c r="Q1054" s="12"/>
    </row>
    <row r="1055" spans="1:17" x14ac:dyDescent="0.25">
      <c r="A1055" s="11">
        <v>200966</v>
      </c>
      <c r="B1055" s="12" t="s">
        <v>2014</v>
      </c>
      <c r="C1055" s="12" t="s">
        <v>1449</v>
      </c>
      <c r="D1055" s="125">
        <v>17000000</v>
      </c>
      <c r="E1055" s="125">
        <v>13216229.67</v>
      </c>
      <c r="F1055" s="12">
        <v>36</v>
      </c>
      <c r="G1055" s="12">
        <v>180</v>
      </c>
      <c r="H1055" s="12">
        <v>0</v>
      </c>
      <c r="I1055" s="13">
        <v>42835.685623877318</v>
      </c>
      <c r="J1055" s="13">
        <v>43565</v>
      </c>
      <c r="K1055" s="12" t="s">
        <v>25</v>
      </c>
      <c r="L1055" s="12" t="s">
        <v>88</v>
      </c>
      <c r="M1055" s="12" t="s">
        <v>285</v>
      </c>
      <c r="N1055" s="12" t="s">
        <v>1467</v>
      </c>
      <c r="O1055" s="12"/>
      <c r="P1055" s="12"/>
      <c r="Q1055" s="12"/>
    </row>
    <row r="1056" spans="1:17" x14ac:dyDescent="0.25">
      <c r="A1056" s="11">
        <v>200967</v>
      </c>
      <c r="B1056" s="12" t="s">
        <v>2413</v>
      </c>
      <c r="C1056" s="12" t="s">
        <v>1449</v>
      </c>
      <c r="D1056" s="125">
        <v>15000000</v>
      </c>
      <c r="E1056" s="125">
        <v>7115270.1299999999</v>
      </c>
      <c r="F1056" s="12">
        <v>48</v>
      </c>
      <c r="G1056" s="12">
        <v>180</v>
      </c>
      <c r="H1056" s="12">
        <v>0</v>
      </c>
      <c r="I1056" s="13">
        <v>42835.773810798608</v>
      </c>
      <c r="J1056" s="13">
        <v>43200</v>
      </c>
      <c r="K1056" s="12" t="s">
        <v>25</v>
      </c>
      <c r="L1056" s="12" t="s">
        <v>88</v>
      </c>
      <c r="M1056" s="12" t="s">
        <v>285</v>
      </c>
      <c r="N1056" s="12" t="s">
        <v>86</v>
      </c>
      <c r="O1056" s="12"/>
      <c r="P1056" s="12"/>
      <c r="Q1056" s="12"/>
    </row>
    <row r="1057" spans="1:17" x14ac:dyDescent="0.25">
      <c r="A1057" s="11">
        <v>200970</v>
      </c>
      <c r="B1057" s="12" t="s">
        <v>4491</v>
      </c>
      <c r="C1057" s="12" t="s">
        <v>1449</v>
      </c>
      <c r="D1057" s="125">
        <v>3000000</v>
      </c>
      <c r="E1057" s="125">
        <v>1042232.59</v>
      </c>
      <c r="F1057" s="12">
        <v>54</v>
      </c>
      <c r="G1057" s="12">
        <v>180</v>
      </c>
      <c r="H1057" s="12">
        <v>0</v>
      </c>
      <c r="I1057" s="13">
        <v>42836.624498645833</v>
      </c>
      <c r="J1057" s="13">
        <v>43142</v>
      </c>
      <c r="K1057" s="12" t="s">
        <v>44</v>
      </c>
      <c r="L1057" s="12" t="s">
        <v>75</v>
      </c>
      <c r="M1057" s="12" t="s">
        <v>1442</v>
      </c>
      <c r="N1057" s="12" t="s">
        <v>1909</v>
      </c>
      <c r="O1057" s="12"/>
      <c r="P1057" s="12"/>
      <c r="Q1057" s="12"/>
    </row>
    <row r="1058" spans="1:17" x14ac:dyDescent="0.25">
      <c r="A1058" s="11">
        <v>200971</v>
      </c>
      <c r="B1058" s="12" t="s">
        <v>4498</v>
      </c>
      <c r="C1058" s="12" t="s">
        <v>1449</v>
      </c>
      <c r="D1058" s="125">
        <v>40000000</v>
      </c>
      <c r="E1058" s="125">
        <v>22031910.149999999</v>
      </c>
      <c r="F1058" s="12">
        <v>40</v>
      </c>
      <c r="G1058" s="12">
        <v>180</v>
      </c>
      <c r="H1058" s="12">
        <v>0</v>
      </c>
      <c r="I1058" s="13">
        <v>42837.450458564817</v>
      </c>
      <c r="J1058" s="13">
        <v>43205</v>
      </c>
      <c r="K1058" s="12" t="s">
        <v>36</v>
      </c>
      <c r="L1058" s="12" t="s">
        <v>97</v>
      </c>
      <c r="M1058" s="12" t="s">
        <v>98</v>
      </c>
      <c r="N1058" s="12" t="s">
        <v>2861</v>
      </c>
      <c r="O1058" s="12"/>
      <c r="P1058" s="12"/>
      <c r="Q1058" s="12"/>
    </row>
    <row r="1059" spans="1:17" x14ac:dyDescent="0.25">
      <c r="A1059" s="11">
        <v>200972</v>
      </c>
      <c r="B1059" s="12" t="s">
        <v>4499</v>
      </c>
      <c r="C1059" s="12" t="s">
        <v>2807</v>
      </c>
      <c r="D1059" s="125">
        <v>5000000</v>
      </c>
      <c r="E1059" s="125">
        <v>2371756.7400000002</v>
      </c>
      <c r="F1059" s="12">
        <v>48</v>
      </c>
      <c r="G1059" s="12">
        <v>180</v>
      </c>
      <c r="H1059" s="12">
        <v>0</v>
      </c>
      <c r="I1059" s="13">
        <v>42838.711294907407</v>
      </c>
      <c r="J1059" s="13">
        <v>43203</v>
      </c>
      <c r="K1059" s="12" t="s">
        <v>35</v>
      </c>
      <c r="L1059" s="12" t="s">
        <v>121</v>
      </c>
      <c r="M1059" s="12" t="s">
        <v>26</v>
      </c>
      <c r="N1059" s="12" t="s">
        <v>468</v>
      </c>
      <c r="O1059" s="12"/>
      <c r="P1059" s="12"/>
      <c r="Q1059" s="12"/>
    </row>
    <row r="1060" spans="1:17" x14ac:dyDescent="0.25">
      <c r="A1060" s="11">
        <v>200974</v>
      </c>
      <c r="B1060" s="12" t="s">
        <v>4500</v>
      </c>
      <c r="C1060" s="12" t="s">
        <v>2807</v>
      </c>
      <c r="D1060" s="125">
        <v>7000000</v>
      </c>
      <c r="E1060" s="125">
        <v>3337009.24</v>
      </c>
      <c r="F1060" s="12">
        <v>50</v>
      </c>
      <c r="G1060" s="12">
        <v>180</v>
      </c>
      <c r="H1060" s="12">
        <v>0</v>
      </c>
      <c r="I1060" s="13">
        <v>42837.609828969908</v>
      </c>
      <c r="J1060" s="13">
        <v>43202</v>
      </c>
      <c r="K1060" s="12" t="s">
        <v>27</v>
      </c>
      <c r="L1060" s="12" t="s">
        <v>81</v>
      </c>
      <c r="M1060" s="12" t="s">
        <v>26</v>
      </c>
      <c r="N1060" s="12" t="s">
        <v>1447</v>
      </c>
      <c r="O1060" s="12"/>
      <c r="P1060" s="12"/>
      <c r="Q1060" s="12"/>
    </row>
    <row r="1061" spans="1:17" x14ac:dyDescent="0.25">
      <c r="A1061" s="11">
        <v>200975</v>
      </c>
      <c r="B1061" s="12" t="s">
        <v>4504</v>
      </c>
      <c r="C1061" s="12" t="s">
        <v>2807</v>
      </c>
      <c r="D1061" s="125">
        <v>1500000</v>
      </c>
      <c r="E1061" s="125">
        <v>544604.71</v>
      </c>
      <c r="F1061" s="12">
        <v>54</v>
      </c>
      <c r="G1061" s="12">
        <v>180</v>
      </c>
      <c r="H1061" s="12">
        <v>0</v>
      </c>
      <c r="I1061" s="13">
        <v>42837.554754745368</v>
      </c>
      <c r="J1061" s="13">
        <v>43020</v>
      </c>
      <c r="K1061" s="12" t="s">
        <v>44</v>
      </c>
      <c r="L1061" s="12" t="s">
        <v>75</v>
      </c>
      <c r="M1061" s="12" t="s">
        <v>26</v>
      </c>
      <c r="N1061" s="12" t="s">
        <v>1467</v>
      </c>
      <c r="O1061" s="12"/>
      <c r="P1061" s="12"/>
      <c r="Q1061" s="12"/>
    </row>
    <row r="1062" spans="1:17" x14ac:dyDescent="0.25">
      <c r="A1062" s="11">
        <v>200977</v>
      </c>
      <c r="B1062" s="12" t="s">
        <v>3097</v>
      </c>
      <c r="C1062" s="12" t="s">
        <v>2807</v>
      </c>
      <c r="D1062" s="125">
        <v>25000000</v>
      </c>
      <c r="E1062" s="125">
        <v>11680886.279999999</v>
      </c>
      <c r="F1062" s="12">
        <v>42</v>
      </c>
      <c r="G1062" s="12">
        <v>180</v>
      </c>
      <c r="H1062" s="12">
        <v>0</v>
      </c>
      <c r="I1062" s="13">
        <v>42838.68076466435</v>
      </c>
      <c r="J1062" s="13">
        <v>43203</v>
      </c>
      <c r="K1062" s="12" t="s">
        <v>25</v>
      </c>
      <c r="L1062" s="12" t="s">
        <v>26</v>
      </c>
      <c r="M1062" s="12" t="s">
        <v>26</v>
      </c>
      <c r="N1062" s="12" t="s">
        <v>2175</v>
      </c>
      <c r="O1062" s="12"/>
      <c r="P1062" s="12"/>
      <c r="Q1062" s="12"/>
    </row>
    <row r="1063" spans="1:17" x14ac:dyDescent="0.25">
      <c r="A1063" s="11">
        <v>200980</v>
      </c>
      <c r="B1063" s="12" t="s">
        <v>2312</v>
      </c>
      <c r="C1063" s="12" t="s">
        <v>1449</v>
      </c>
      <c r="D1063" s="125">
        <v>26000000</v>
      </c>
      <c r="E1063" s="125">
        <v>21114844.629999999</v>
      </c>
      <c r="F1063" s="12">
        <v>36</v>
      </c>
      <c r="G1063" s="12">
        <v>180</v>
      </c>
      <c r="H1063" s="12">
        <v>0</v>
      </c>
      <c r="I1063" s="13">
        <v>42845.708019212965</v>
      </c>
      <c r="J1063" s="13">
        <v>43575</v>
      </c>
      <c r="K1063" s="12" t="s">
        <v>44</v>
      </c>
      <c r="L1063" s="12" t="s">
        <v>75</v>
      </c>
      <c r="M1063" s="12" t="s">
        <v>1442</v>
      </c>
      <c r="N1063" s="12" t="s">
        <v>2538</v>
      </c>
      <c r="O1063" s="12"/>
      <c r="P1063" s="12"/>
      <c r="Q1063" s="12"/>
    </row>
    <row r="1064" spans="1:17" x14ac:dyDescent="0.25">
      <c r="A1064" s="11">
        <v>200981</v>
      </c>
      <c r="B1064" s="12" t="s">
        <v>2713</v>
      </c>
      <c r="C1064" s="12" t="s">
        <v>2807</v>
      </c>
      <c r="D1064" s="125">
        <v>3000000</v>
      </c>
      <c r="E1064" s="125">
        <v>1342599.66</v>
      </c>
      <c r="F1064" s="12">
        <v>48</v>
      </c>
      <c r="G1064" s="12">
        <v>180</v>
      </c>
      <c r="H1064" s="12">
        <v>0</v>
      </c>
      <c r="I1064" s="13">
        <v>42845.729833645833</v>
      </c>
      <c r="J1064" s="13">
        <v>43151</v>
      </c>
      <c r="K1064" s="12" t="s">
        <v>27</v>
      </c>
      <c r="L1064" s="12" t="s">
        <v>26</v>
      </c>
      <c r="M1064" s="12" t="s">
        <v>26</v>
      </c>
      <c r="N1064" s="12" t="s">
        <v>2855</v>
      </c>
      <c r="O1064" s="12"/>
      <c r="P1064" s="12"/>
      <c r="Q1064" s="12"/>
    </row>
    <row r="1065" spans="1:17" x14ac:dyDescent="0.25">
      <c r="A1065" s="11">
        <v>200982</v>
      </c>
      <c r="B1065" s="12" t="s">
        <v>4537</v>
      </c>
      <c r="C1065" s="12" t="s">
        <v>1449</v>
      </c>
      <c r="D1065" s="125">
        <v>50000000</v>
      </c>
      <c r="E1065" s="125">
        <v>16624184.17</v>
      </c>
      <c r="F1065" s="12">
        <v>40</v>
      </c>
      <c r="G1065" s="12">
        <v>180</v>
      </c>
      <c r="H1065" s="12">
        <v>0</v>
      </c>
      <c r="I1065" s="13">
        <v>42845.775843553238</v>
      </c>
      <c r="J1065" s="13">
        <v>43033</v>
      </c>
      <c r="K1065" s="12" t="s">
        <v>44</v>
      </c>
      <c r="L1065" s="12" t="s">
        <v>75</v>
      </c>
      <c r="M1065" s="12" t="s">
        <v>1442</v>
      </c>
      <c r="N1065" s="12" t="s">
        <v>5167</v>
      </c>
      <c r="O1065" s="12"/>
      <c r="P1065" s="12"/>
      <c r="Q1065" s="12"/>
    </row>
    <row r="1066" spans="1:17" x14ac:dyDescent="0.25">
      <c r="A1066" s="11">
        <v>200985</v>
      </c>
      <c r="B1066" s="12" t="s">
        <v>4547</v>
      </c>
      <c r="C1066" s="12" t="s">
        <v>1449</v>
      </c>
      <c r="D1066" s="125">
        <v>2500000</v>
      </c>
      <c r="E1066" s="125">
        <v>1203580.04</v>
      </c>
      <c r="F1066" s="12">
        <v>54</v>
      </c>
      <c r="G1066" s="12">
        <v>180</v>
      </c>
      <c r="H1066" s="12">
        <v>0</v>
      </c>
      <c r="I1066" s="13">
        <v>42846.585483599534</v>
      </c>
      <c r="J1066" s="13">
        <v>43211</v>
      </c>
      <c r="K1066" s="12" t="s">
        <v>44</v>
      </c>
      <c r="L1066" s="12" t="s">
        <v>75</v>
      </c>
      <c r="M1066" s="12" t="s">
        <v>1442</v>
      </c>
      <c r="N1066" s="12" t="s">
        <v>1667</v>
      </c>
      <c r="O1066" s="12"/>
      <c r="P1066" s="12"/>
      <c r="Q1066" s="12"/>
    </row>
    <row r="1067" spans="1:17" x14ac:dyDescent="0.25">
      <c r="A1067" s="11">
        <v>200987</v>
      </c>
      <c r="B1067" s="12" t="s">
        <v>2281</v>
      </c>
      <c r="C1067" s="12" t="s">
        <v>2807</v>
      </c>
      <c r="D1067" s="125">
        <v>25000000</v>
      </c>
      <c r="E1067" s="125">
        <v>16818655.809999999</v>
      </c>
      <c r="F1067" s="12">
        <v>36</v>
      </c>
      <c r="G1067" s="12">
        <v>180</v>
      </c>
      <c r="H1067" s="12">
        <v>0</v>
      </c>
      <c r="I1067" s="13">
        <v>42846.66457361111</v>
      </c>
      <c r="J1067" s="13">
        <v>43394</v>
      </c>
      <c r="K1067" s="12" t="s">
        <v>27</v>
      </c>
      <c r="L1067" s="12" t="s">
        <v>26</v>
      </c>
      <c r="M1067" s="12" t="s">
        <v>26</v>
      </c>
      <c r="N1067" s="12" t="s">
        <v>546</v>
      </c>
      <c r="O1067" s="12"/>
      <c r="P1067" s="12"/>
      <c r="Q1067" s="12"/>
    </row>
    <row r="1068" spans="1:17" x14ac:dyDescent="0.25">
      <c r="A1068" s="11">
        <v>200989</v>
      </c>
      <c r="B1068" s="12" t="s">
        <v>4561</v>
      </c>
      <c r="C1068" s="12" t="s">
        <v>2807</v>
      </c>
      <c r="D1068" s="125">
        <v>25000000</v>
      </c>
      <c r="E1068" s="125">
        <v>13964026.779999999</v>
      </c>
      <c r="F1068" s="12">
        <v>48</v>
      </c>
      <c r="G1068" s="12">
        <v>180</v>
      </c>
      <c r="H1068" s="12">
        <v>0</v>
      </c>
      <c r="I1068" s="13">
        <v>42847.543185381946</v>
      </c>
      <c r="J1068" s="13">
        <v>43212</v>
      </c>
      <c r="K1068" s="12" t="s">
        <v>25</v>
      </c>
      <c r="L1068" s="12" t="s">
        <v>26</v>
      </c>
      <c r="M1068" s="12" t="s">
        <v>26</v>
      </c>
      <c r="N1068" s="12" t="s">
        <v>1447</v>
      </c>
      <c r="O1068" s="12"/>
      <c r="P1068" s="12"/>
      <c r="Q1068" s="12"/>
    </row>
    <row r="1069" spans="1:17" x14ac:dyDescent="0.25">
      <c r="A1069" s="11">
        <v>200991</v>
      </c>
      <c r="B1069" s="12" t="s">
        <v>3810</v>
      </c>
      <c r="C1069" s="12" t="s">
        <v>1449</v>
      </c>
      <c r="D1069" s="125">
        <v>45000000</v>
      </c>
      <c r="E1069" s="125">
        <v>10493496.77</v>
      </c>
      <c r="F1069" s="12">
        <v>36</v>
      </c>
      <c r="G1069" s="12">
        <v>180</v>
      </c>
      <c r="H1069" s="12">
        <v>0</v>
      </c>
      <c r="I1069" s="13">
        <v>42847.560156562497</v>
      </c>
      <c r="J1069" s="13">
        <v>43459</v>
      </c>
      <c r="K1069" s="12" t="s">
        <v>37</v>
      </c>
      <c r="L1069" s="12" t="s">
        <v>38</v>
      </c>
      <c r="M1069" s="12" t="s">
        <v>39</v>
      </c>
      <c r="N1069" s="12" t="s">
        <v>1447</v>
      </c>
      <c r="O1069" s="12"/>
      <c r="P1069" s="12"/>
      <c r="Q1069" s="12"/>
    </row>
    <row r="1070" spans="1:17" x14ac:dyDescent="0.25">
      <c r="A1070" s="11">
        <v>200995</v>
      </c>
      <c r="B1070" s="12" t="s">
        <v>4574</v>
      </c>
      <c r="C1070" s="12" t="s">
        <v>1449</v>
      </c>
      <c r="D1070" s="125">
        <v>8000000</v>
      </c>
      <c r="E1070" s="125">
        <v>4525153.7300000004</v>
      </c>
      <c r="F1070" s="12">
        <v>54</v>
      </c>
      <c r="G1070" s="12">
        <v>180</v>
      </c>
      <c r="H1070" s="12">
        <v>0</v>
      </c>
      <c r="I1070" s="13">
        <v>42850.794766585648</v>
      </c>
      <c r="J1070" s="13">
        <v>43215</v>
      </c>
      <c r="K1070" s="12" t="s">
        <v>27</v>
      </c>
      <c r="L1070" s="12" t="s">
        <v>81</v>
      </c>
      <c r="M1070" s="12" t="s">
        <v>26</v>
      </c>
      <c r="N1070" s="12" t="s">
        <v>491</v>
      </c>
      <c r="O1070" s="12"/>
      <c r="P1070" s="12"/>
      <c r="Q1070" s="12"/>
    </row>
    <row r="1071" spans="1:17" x14ac:dyDescent="0.25">
      <c r="A1071" s="11">
        <v>200997</v>
      </c>
      <c r="B1071" s="12" t="s">
        <v>4575</v>
      </c>
      <c r="C1071" s="12" t="s">
        <v>1449</v>
      </c>
      <c r="D1071" s="125">
        <v>4000000</v>
      </c>
      <c r="E1071" s="125">
        <v>2246894.4300000002</v>
      </c>
      <c r="F1071" s="12">
        <v>54</v>
      </c>
      <c r="G1071" s="12">
        <v>180</v>
      </c>
      <c r="H1071" s="12">
        <v>0</v>
      </c>
      <c r="I1071" s="13">
        <v>42850.755774224534</v>
      </c>
      <c r="J1071" s="13">
        <v>43156</v>
      </c>
      <c r="K1071" s="12" t="s">
        <v>25</v>
      </c>
      <c r="L1071" s="12" t="s">
        <v>88</v>
      </c>
      <c r="M1071" s="12" t="s">
        <v>285</v>
      </c>
      <c r="N1071" s="12" t="s">
        <v>2861</v>
      </c>
      <c r="O1071" s="12"/>
      <c r="P1071" s="12"/>
      <c r="Q1071" s="12"/>
    </row>
    <row r="1072" spans="1:17" x14ac:dyDescent="0.25">
      <c r="A1072" s="11">
        <v>200998</v>
      </c>
      <c r="B1072" s="12" t="s">
        <v>3452</v>
      </c>
      <c r="C1072" s="12" t="s">
        <v>2807</v>
      </c>
      <c r="D1072" s="125">
        <v>8000000</v>
      </c>
      <c r="E1072" s="125">
        <v>3580265.71</v>
      </c>
      <c r="F1072" s="12">
        <v>48</v>
      </c>
      <c r="G1072" s="12">
        <v>180</v>
      </c>
      <c r="H1072" s="12">
        <v>0</v>
      </c>
      <c r="I1072" s="13">
        <v>42853.463061145834</v>
      </c>
      <c r="J1072" s="13">
        <v>43160</v>
      </c>
      <c r="K1072" s="12" t="s">
        <v>44</v>
      </c>
      <c r="L1072" s="12" t="s">
        <v>75</v>
      </c>
      <c r="M1072" s="12" t="s">
        <v>26</v>
      </c>
      <c r="N1072" s="12" t="s">
        <v>1467</v>
      </c>
      <c r="O1072" s="12"/>
      <c r="P1072" s="12"/>
      <c r="Q1072" s="12"/>
    </row>
    <row r="1073" spans="1:17" x14ac:dyDescent="0.25">
      <c r="A1073" s="11">
        <v>200999</v>
      </c>
      <c r="B1073" s="12" t="s">
        <v>4590</v>
      </c>
      <c r="C1073" s="12" t="s">
        <v>2807</v>
      </c>
      <c r="D1073" s="125">
        <v>40000000</v>
      </c>
      <c r="E1073" s="125">
        <v>32644595.890000001</v>
      </c>
      <c r="F1073" s="12">
        <v>40</v>
      </c>
      <c r="G1073" s="12">
        <v>180</v>
      </c>
      <c r="H1073" s="12">
        <v>0</v>
      </c>
      <c r="I1073" s="13">
        <v>42851.593739351854</v>
      </c>
      <c r="J1073" s="13">
        <v>43405</v>
      </c>
      <c r="K1073" s="12" t="s">
        <v>27</v>
      </c>
      <c r="L1073" s="12" t="s">
        <v>81</v>
      </c>
      <c r="M1073" s="12" t="s">
        <v>26</v>
      </c>
      <c r="N1073" s="12" t="s">
        <v>1191</v>
      </c>
      <c r="O1073" s="12"/>
      <c r="P1073" s="12"/>
      <c r="Q1073" s="12"/>
    </row>
    <row r="1074" spans="1:17" x14ac:dyDescent="0.25">
      <c r="A1074" s="11">
        <v>201000</v>
      </c>
      <c r="B1074" s="12" t="s">
        <v>1735</v>
      </c>
      <c r="C1074" s="12" t="s">
        <v>2807</v>
      </c>
      <c r="D1074" s="125">
        <v>10000000</v>
      </c>
      <c r="E1074" s="125">
        <v>5557652.9699999997</v>
      </c>
      <c r="F1074" s="12">
        <v>44</v>
      </c>
      <c r="G1074" s="12">
        <v>180</v>
      </c>
      <c r="H1074" s="12">
        <v>0</v>
      </c>
      <c r="I1074" s="13">
        <v>42853.653735844906</v>
      </c>
      <c r="J1074" s="13">
        <v>43221</v>
      </c>
      <c r="K1074" s="12" t="s">
        <v>25</v>
      </c>
      <c r="L1074" s="12" t="s">
        <v>26</v>
      </c>
      <c r="M1074" s="12" t="s">
        <v>26</v>
      </c>
      <c r="N1074" s="12" t="s">
        <v>90</v>
      </c>
      <c r="O1074" s="12"/>
      <c r="P1074" s="12"/>
      <c r="Q1074" s="12"/>
    </row>
    <row r="1075" spans="1:17" x14ac:dyDescent="0.25">
      <c r="A1075" s="11">
        <v>201001</v>
      </c>
      <c r="B1075" s="12" t="s">
        <v>4595</v>
      </c>
      <c r="C1075" s="12" t="s">
        <v>2807</v>
      </c>
      <c r="D1075" s="125">
        <v>2000000</v>
      </c>
      <c r="E1075" s="125">
        <v>571904.35</v>
      </c>
      <c r="F1075" s="12">
        <v>54</v>
      </c>
      <c r="G1075" s="12">
        <v>180</v>
      </c>
      <c r="H1075" s="12">
        <v>0</v>
      </c>
      <c r="I1075" s="13">
        <v>42851.61552392361</v>
      </c>
      <c r="J1075" s="13">
        <v>43101</v>
      </c>
      <c r="K1075" s="12" t="s">
        <v>44</v>
      </c>
      <c r="L1075" s="12" t="s">
        <v>75</v>
      </c>
      <c r="M1075" s="12" t="s">
        <v>26</v>
      </c>
      <c r="N1075" s="12" t="s">
        <v>1667</v>
      </c>
      <c r="O1075" s="12"/>
      <c r="P1075" s="12"/>
      <c r="Q1075" s="12"/>
    </row>
    <row r="1076" spans="1:17" x14ac:dyDescent="0.25">
      <c r="A1076" s="11">
        <v>201002</v>
      </c>
      <c r="B1076" s="12" t="s">
        <v>4593</v>
      </c>
      <c r="C1076" s="12" t="s">
        <v>1449</v>
      </c>
      <c r="D1076" s="125">
        <v>55000000</v>
      </c>
      <c r="E1076" s="125">
        <v>47063745.420000002</v>
      </c>
      <c r="F1076" s="12">
        <v>40</v>
      </c>
      <c r="G1076" s="12">
        <v>180</v>
      </c>
      <c r="H1076" s="12">
        <v>0</v>
      </c>
      <c r="I1076" s="13">
        <v>42851.551072650465</v>
      </c>
      <c r="J1076" s="13">
        <v>43586</v>
      </c>
      <c r="K1076" s="12" t="s">
        <v>25</v>
      </c>
      <c r="L1076" s="12" t="s">
        <v>289</v>
      </c>
      <c r="M1076" s="12" t="s">
        <v>26</v>
      </c>
      <c r="N1076" s="12" t="s">
        <v>491</v>
      </c>
      <c r="O1076" s="12"/>
      <c r="P1076" s="12"/>
      <c r="Q1076" s="12"/>
    </row>
    <row r="1077" spans="1:17" x14ac:dyDescent="0.25">
      <c r="A1077" s="11">
        <v>201003</v>
      </c>
      <c r="B1077" s="12" t="s">
        <v>4594</v>
      </c>
      <c r="C1077" s="12" t="s">
        <v>2807</v>
      </c>
      <c r="D1077" s="125">
        <v>10000000</v>
      </c>
      <c r="E1077" s="125">
        <v>5697038.6100000003</v>
      </c>
      <c r="F1077" s="12">
        <v>54</v>
      </c>
      <c r="G1077" s="12">
        <v>180</v>
      </c>
      <c r="H1077" s="12">
        <v>0</v>
      </c>
      <c r="I1077" s="13">
        <v>42851.783158298611</v>
      </c>
      <c r="J1077" s="13">
        <v>43221</v>
      </c>
      <c r="K1077" s="12" t="s">
        <v>44</v>
      </c>
      <c r="L1077" s="12" t="s">
        <v>75</v>
      </c>
      <c r="M1077" s="12" t="s">
        <v>26</v>
      </c>
      <c r="N1077" s="12" t="s">
        <v>1925</v>
      </c>
      <c r="O1077" s="12"/>
      <c r="P1077" s="12"/>
      <c r="Q1077" s="12"/>
    </row>
    <row r="1078" spans="1:17" x14ac:dyDescent="0.25">
      <c r="A1078" s="11">
        <v>201004</v>
      </c>
      <c r="B1078" s="12" t="s">
        <v>4589</v>
      </c>
      <c r="C1078" s="12" t="s">
        <v>2807</v>
      </c>
      <c r="D1078" s="125">
        <v>6000000</v>
      </c>
      <c r="E1078" s="125">
        <v>1715713.01</v>
      </c>
      <c r="F1078" s="12">
        <v>54</v>
      </c>
      <c r="G1078" s="12">
        <v>180</v>
      </c>
      <c r="H1078" s="12">
        <v>0</v>
      </c>
      <c r="I1078" s="13">
        <v>42851.73559128472</v>
      </c>
      <c r="J1078" s="13">
        <v>43101</v>
      </c>
      <c r="K1078" s="12" t="s">
        <v>27</v>
      </c>
      <c r="L1078" s="12" t="s">
        <v>81</v>
      </c>
      <c r="M1078" s="12" t="s">
        <v>26</v>
      </c>
      <c r="N1078" s="12" t="s">
        <v>1925</v>
      </c>
      <c r="O1078" s="12"/>
      <c r="P1078" s="12"/>
      <c r="Q1078" s="12"/>
    </row>
    <row r="1079" spans="1:17" x14ac:dyDescent="0.25">
      <c r="A1079" s="11">
        <v>201008</v>
      </c>
      <c r="B1079" s="12" t="s">
        <v>4591</v>
      </c>
      <c r="C1079" s="12" t="s">
        <v>1449</v>
      </c>
      <c r="D1079" s="125">
        <v>6000000</v>
      </c>
      <c r="E1079" s="125">
        <v>3356597.31</v>
      </c>
      <c r="F1079" s="12">
        <v>50</v>
      </c>
      <c r="G1079" s="12">
        <v>180</v>
      </c>
      <c r="H1079" s="12">
        <v>0</v>
      </c>
      <c r="I1079" s="13">
        <v>42851.813862847222</v>
      </c>
      <c r="J1079" s="13">
        <v>43214</v>
      </c>
      <c r="K1079" s="12" t="s">
        <v>25</v>
      </c>
      <c r="L1079" s="12" t="s">
        <v>88</v>
      </c>
      <c r="M1079" s="12" t="s">
        <v>285</v>
      </c>
      <c r="N1079" s="12" t="s">
        <v>1667</v>
      </c>
      <c r="O1079" s="12"/>
      <c r="P1079" s="12"/>
      <c r="Q1079" s="12"/>
    </row>
    <row r="1080" spans="1:17" x14ac:dyDescent="0.25">
      <c r="A1080" s="11">
        <v>201009</v>
      </c>
      <c r="B1080" s="12" t="s">
        <v>2678</v>
      </c>
      <c r="C1080" s="12" t="s">
        <v>2807</v>
      </c>
      <c r="D1080" s="125">
        <v>20000000</v>
      </c>
      <c r="E1080" s="125">
        <v>16305264.58</v>
      </c>
      <c r="F1080" s="12">
        <v>36</v>
      </c>
      <c r="G1080" s="12">
        <v>180</v>
      </c>
      <c r="H1080" s="12">
        <v>0</v>
      </c>
      <c r="I1080" s="13">
        <v>42852.637940509259</v>
      </c>
      <c r="J1080" s="13">
        <v>43586</v>
      </c>
      <c r="K1080" s="12" t="s">
        <v>44</v>
      </c>
      <c r="L1080" s="12" t="s">
        <v>75</v>
      </c>
      <c r="M1080" s="12" t="s">
        <v>26</v>
      </c>
      <c r="N1080" s="12" t="s">
        <v>1925</v>
      </c>
      <c r="O1080" s="12"/>
      <c r="P1080" s="12"/>
      <c r="Q1080" s="12"/>
    </row>
    <row r="1081" spans="1:17" x14ac:dyDescent="0.25">
      <c r="A1081" s="11">
        <v>201010</v>
      </c>
      <c r="B1081" s="12" t="s">
        <v>4619</v>
      </c>
      <c r="C1081" s="12" t="s">
        <v>1449</v>
      </c>
      <c r="D1081" s="125">
        <v>5000000</v>
      </c>
      <c r="E1081" s="125">
        <v>2279952.2400000002</v>
      </c>
      <c r="F1081" s="12">
        <v>54</v>
      </c>
      <c r="G1081" s="12">
        <v>180</v>
      </c>
      <c r="H1081" s="12">
        <v>0</v>
      </c>
      <c r="I1081" s="13">
        <v>42852.58366851852</v>
      </c>
      <c r="J1081" s="13">
        <v>43160</v>
      </c>
      <c r="K1081" s="12" t="s">
        <v>25</v>
      </c>
      <c r="L1081" s="12" t="s">
        <v>88</v>
      </c>
      <c r="M1081" s="12" t="s">
        <v>285</v>
      </c>
      <c r="N1081" s="12" t="s">
        <v>1467</v>
      </c>
      <c r="O1081" s="12"/>
      <c r="P1081" s="12"/>
      <c r="Q1081" s="12"/>
    </row>
    <row r="1082" spans="1:17" x14ac:dyDescent="0.25">
      <c r="A1082" s="11">
        <v>201011</v>
      </c>
      <c r="B1082" s="12" t="s">
        <v>2037</v>
      </c>
      <c r="C1082" s="12" t="s">
        <v>1449</v>
      </c>
      <c r="D1082" s="125">
        <v>21000000</v>
      </c>
      <c r="E1082" s="125">
        <v>18908178.629999999</v>
      </c>
      <c r="F1082" s="12">
        <v>36</v>
      </c>
      <c r="G1082" s="12">
        <v>180</v>
      </c>
      <c r="H1082" s="12">
        <v>0</v>
      </c>
      <c r="I1082" s="13">
        <v>42853.385363310183</v>
      </c>
      <c r="J1082" s="13">
        <v>43953</v>
      </c>
      <c r="K1082" s="12" t="s">
        <v>44</v>
      </c>
      <c r="L1082" s="12" t="s">
        <v>75</v>
      </c>
      <c r="M1082" s="12" t="s">
        <v>1442</v>
      </c>
      <c r="N1082" s="12" t="s">
        <v>1467</v>
      </c>
      <c r="O1082" s="12"/>
      <c r="P1082" s="12"/>
      <c r="Q1082" s="12"/>
    </row>
    <row r="1083" spans="1:17" x14ac:dyDescent="0.25">
      <c r="A1083" s="11">
        <v>201014</v>
      </c>
      <c r="B1083" s="12" t="s">
        <v>2698</v>
      </c>
      <c r="C1083" s="12" t="s">
        <v>2807</v>
      </c>
      <c r="D1083" s="125">
        <v>8000000</v>
      </c>
      <c r="E1083" s="125">
        <v>4485675.05</v>
      </c>
      <c r="F1083" s="12">
        <v>48</v>
      </c>
      <c r="G1083" s="12">
        <v>180</v>
      </c>
      <c r="H1083" s="12">
        <v>0</v>
      </c>
      <c r="I1083" s="13">
        <v>42853.553240972222</v>
      </c>
      <c r="J1083" s="13">
        <v>43221</v>
      </c>
      <c r="K1083" s="12" t="s">
        <v>25</v>
      </c>
      <c r="L1083" s="12" t="s">
        <v>26</v>
      </c>
      <c r="M1083" s="12" t="s">
        <v>26</v>
      </c>
      <c r="N1083" s="12" t="s">
        <v>3074</v>
      </c>
      <c r="O1083" s="12"/>
      <c r="P1083" s="12"/>
      <c r="Q1083" s="12"/>
    </row>
    <row r="1084" spans="1:17" x14ac:dyDescent="0.25">
      <c r="A1084" s="11">
        <v>201017</v>
      </c>
      <c r="B1084" s="12" t="s">
        <v>4634</v>
      </c>
      <c r="C1084" s="12" t="s">
        <v>2807</v>
      </c>
      <c r="D1084" s="125">
        <v>5000000</v>
      </c>
      <c r="E1084" s="125">
        <v>2840400</v>
      </c>
      <c r="F1084" s="12">
        <v>54</v>
      </c>
      <c r="G1084" s="12">
        <v>180</v>
      </c>
      <c r="H1084" s="12">
        <v>0</v>
      </c>
      <c r="I1084" s="13">
        <v>42853.78242693287</v>
      </c>
      <c r="J1084" s="13">
        <v>43221</v>
      </c>
      <c r="K1084" s="12" t="s">
        <v>29</v>
      </c>
      <c r="L1084" s="12" t="s">
        <v>96</v>
      </c>
      <c r="M1084" s="12" t="s">
        <v>26</v>
      </c>
      <c r="N1084" s="12" t="s">
        <v>1909</v>
      </c>
      <c r="O1084" s="12"/>
      <c r="P1084" s="12"/>
      <c r="Q1084" s="12"/>
    </row>
    <row r="1085" spans="1:17" x14ac:dyDescent="0.25">
      <c r="A1085" s="11">
        <v>201020</v>
      </c>
      <c r="B1085" s="12" t="s">
        <v>2617</v>
      </c>
      <c r="C1085" s="12" t="s">
        <v>2807</v>
      </c>
      <c r="D1085" s="125">
        <v>55000000</v>
      </c>
      <c r="E1085" s="125">
        <v>46518082.789999999</v>
      </c>
      <c r="F1085" s="12">
        <v>36</v>
      </c>
      <c r="G1085" s="12">
        <v>180</v>
      </c>
      <c r="H1085" s="12">
        <v>0</v>
      </c>
      <c r="I1085" s="13">
        <v>42857.561418634257</v>
      </c>
      <c r="J1085" s="13">
        <v>43587</v>
      </c>
      <c r="K1085" s="12" t="s">
        <v>44</v>
      </c>
      <c r="L1085" s="12" t="s">
        <v>75</v>
      </c>
      <c r="M1085" s="12" t="s">
        <v>26</v>
      </c>
      <c r="N1085" s="12" t="s">
        <v>546</v>
      </c>
      <c r="O1085" s="12"/>
      <c r="P1085" s="12"/>
      <c r="Q1085" s="12"/>
    </row>
    <row r="1086" spans="1:17" x14ac:dyDescent="0.25">
      <c r="A1086" s="11">
        <v>201021</v>
      </c>
      <c r="B1086" s="12" t="s">
        <v>4651</v>
      </c>
      <c r="C1086" s="12" t="s">
        <v>2807</v>
      </c>
      <c r="D1086" s="125">
        <v>2500000</v>
      </c>
      <c r="E1086" s="125">
        <v>465155.45</v>
      </c>
      <c r="F1086" s="12">
        <v>54</v>
      </c>
      <c r="G1086" s="12">
        <v>180</v>
      </c>
      <c r="H1086" s="12">
        <v>0</v>
      </c>
      <c r="I1086" s="13">
        <v>42854.555631446761</v>
      </c>
      <c r="J1086" s="13">
        <v>43040</v>
      </c>
      <c r="K1086" s="12" t="s">
        <v>44</v>
      </c>
      <c r="L1086" s="12" t="s">
        <v>75</v>
      </c>
      <c r="M1086" s="12" t="s">
        <v>26</v>
      </c>
      <c r="N1086" s="12" t="s">
        <v>1925</v>
      </c>
      <c r="O1086" s="12"/>
      <c r="P1086" s="12"/>
      <c r="Q1086" s="12"/>
    </row>
    <row r="1087" spans="1:17" x14ac:dyDescent="0.25">
      <c r="A1087" s="11">
        <v>201023</v>
      </c>
      <c r="B1087" s="12" t="s">
        <v>4649</v>
      </c>
      <c r="C1087" s="12" t="s">
        <v>2807</v>
      </c>
      <c r="D1087" s="125">
        <v>20000000</v>
      </c>
      <c r="E1087" s="125">
        <v>11199865.57</v>
      </c>
      <c r="F1087" s="12">
        <v>48</v>
      </c>
      <c r="G1087" s="12">
        <v>180</v>
      </c>
      <c r="H1087" s="12">
        <v>0</v>
      </c>
      <c r="I1087" s="13">
        <v>42854.645710798613</v>
      </c>
      <c r="J1087" s="13">
        <v>43221</v>
      </c>
      <c r="K1087" s="12" t="s">
        <v>25</v>
      </c>
      <c r="L1087" s="12" t="s">
        <v>26</v>
      </c>
      <c r="M1087" s="12" t="s">
        <v>26</v>
      </c>
      <c r="N1087" s="12" t="s">
        <v>1447</v>
      </c>
      <c r="O1087" s="12"/>
      <c r="P1087" s="12"/>
      <c r="Q1087" s="12"/>
    </row>
    <row r="1088" spans="1:17" x14ac:dyDescent="0.25">
      <c r="A1088" s="11">
        <v>201025</v>
      </c>
      <c r="B1088" s="12" t="s">
        <v>4652</v>
      </c>
      <c r="C1088" s="12" t="s">
        <v>2807</v>
      </c>
      <c r="D1088" s="125">
        <v>16000000</v>
      </c>
      <c r="E1088" s="125">
        <v>9737928.7699999996</v>
      </c>
      <c r="F1088" s="12">
        <v>40</v>
      </c>
      <c r="G1088" s="12">
        <v>180</v>
      </c>
      <c r="H1088" s="12">
        <v>0</v>
      </c>
      <c r="I1088" s="13">
        <v>42854.749433564815</v>
      </c>
      <c r="J1088" s="13">
        <v>43221</v>
      </c>
      <c r="K1088" s="12" t="s">
        <v>44</v>
      </c>
      <c r="L1088" s="12" t="s">
        <v>75</v>
      </c>
      <c r="M1088" s="12" t="s">
        <v>26</v>
      </c>
      <c r="N1088" s="12" t="s">
        <v>90</v>
      </c>
      <c r="O1088" s="12"/>
      <c r="P1088" s="12"/>
      <c r="Q1088" s="12"/>
    </row>
    <row r="1089" spans="1:17" x14ac:dyDescent="0.25">
      <c r="A1089" s="11">
        <v>201026</v>
      </c>
      <c r="B1089" s="12" t="s">
        <v>4668</v>
      </c>
      <c r="C1089" s="12" t="s">
        <v>1449</v>
      </c>
      <c r="D1089" s="125">
        <v>9000000</v>
      </c>
      <c r="E1089" s="125">
        <v>5048358.24</v>
      </c>
      <c r="F1089" s="12">
        <v>50</v>
      </c>
      <c r="G1089" s="12">
        <v>180</v>
      </c>
      <c r="H1089" s="12">
        <v>0</v>
      </c>
      <c r="I1089" s="13">
        <v>42857.715871608794</v>
      </c>
      <c r="J1089" s="13">
        <v>43222</v>
      </c>
      <c r="K1089" s="12" t="s">
        <v>25</v>
      </c>
      <c r="L1089" s="12" t="s">
        <v>88</v>
      </c>
      <c r="M1089" s="12" t="s">
        <v>285</v>
      </c>
      <c r="N1089" s="12" t="s">
        <v>1909</v>
      </c>
      <c r="O1089" s="12"/>
      <c r="P1089" s="12"/>
      <c r="Q1089" s="12"/>
    </row>
    <row r="1090" spans="1:17" x14ac:dyDescent="0.25">
      <c r="A1090" s="11">
        <v>201027</v>
      </c>
      <c r="B1090" s="12" t="s">
        <v>4673</v>
      </c>
      <c r="C1090" s="12" t="s">
        <v>1449</v>
      </c>
      <c r="D1090" s="125">
        <v>5000000</v>
      </c>
      <c r="E1090" s="125">
        <v>2386642.44</v>
      </c>
      <c r="F1090" s="12">
        <v>54</v>
      </c>
      <c r="G1090" s="12">
        <v>180</v>
      </c>
      <c r="H1090" s="12">
        <v>0</v>
      </c>
      <c r="I1090" s="13">
        <v>42858.49758815972</v>
      </c>
      <c r="J1090" s="13">
        <v>43162</v>
      </c>
      <c r="K1090" s="12" t="s">
        <v>25</v>
      </c>
      <c r="L1090" s="12" t="s">
        <v>289</v>
      </c>
      <c r="M1090" s="12" t="s">
        <v>26</v>
      </c>
      <c r="N1090" s="12" t="s">
        <v>90</v>
      </c>
      <c r="O1090" s="12"/>
      <c r="P1090" s="12"/>
      <c r="Q1090" s="12"/>
    </row>
    <row r="1091" spans="1:17" x14ac:dyDescent="0.25">
      <c r="A1091" s="11">
        <v>201029</v>
      </c>
      <c r="B1091" s="12" t="s">
        <v>4693</v>
      </c>
      <c r="C1091" s="12" t="s">
        <v>2807</v>
      </c>
      <c r="D1091" s="125">
        <v>8000000</v>
      </c>
      <c r="E1091" s="125">
        <v>5169840.42</v>
      </c>
      <c r="F1091" s="12">
        <v>54</v>
      </c>
      <c r="G1091" s="12">
        <v>180</v>
      </c>
      <c r="H1091" s="12">
        <v>0</v>
      </c>
      <c r="I1091" s="13">
        <v>42863.664337152775</v>
      </c>
      <c r="J1091" s="13">
        <v>43228</v>
      </c>
      <c r="K1091" s="12" t="s">
        <v>25</v>
      </c>
      <c r="L1091" s="12" t="s">
        <v>26</v>
      </c>
      <c r="M1091" s="12" t="s">
        <v>26</v>
      </c>
      <c r="N1091" s="12" t="s">
        <v>963</v>
      </c>
      <c r="O1091" s="12"/>
      <c r="P1091" s="12"/>
      <c r="Q1091" s="12"/>
    </row>
    <row r="1092" spans="1:17" x14ac:dyDescent="0.25">
      <c r="A1092" s="11">
        <v>201031</v>
      </c>
      <c r="B1092" s="12" t="s">
        <v>4692</v>
      </c>
      <c r="C1092" s="12" t="s">
        <v>2807</v>
      </c>
      <c r="D1092" s="125">
        <v>5000000</v>
      </c>
      <c r="E1092" s="125">
        <v>2828221.1</v>
      </c>
      <c r="F1092" s="12">
        <v>54</v>
      </c>
      <c r="G1092" s="12">
        <v>180</v>
      </c>
      <c r="H1092" s="12">
        <v>0</v>
      </c>
      <c r="I1092" s="13">
        <v>42863.68455740741</v>
      </c>
      <c r="J1092" s="13">
        <v>43228</v>
      </c>
      <c r="K1092" s="12" t="s">
        <v>25</v>
      </c>
      <c r="L1092" s="12" t="s">
        <v>26</v>
      </c>
      <c r="M1092" s="12" t="s">
        <v>26</v>
      </c>
      <c r="N1092" s="12" t="s">
        <v>2861</v>
      </c>
      <c r="O1092" s="12"/>
      <c r="P1092" s="12"/>
      <c r="Q1092" s="12"/>
    </row>
    <row r="1093" spans="1:17" x14ac:dyDescent="0.25">
      <c r="A1093" s="11">
        <v>201032</v>
      </c>
      <c r="B1093" s="12" t="s">
        <v>4695</v>
      </c>
      <c r="C1093" s="12" t="s">
        <v>1449</v>
      </c>
      <c r="D1093" s="125">
        <v>2000000</v>
      </c>
      <c r="E1093" s="125">
        <v>371059.08</v>
      </c>
      <c r="F1093" s="12">
        <v>54</v>
      </c>
      <c r="G1093" s="12">
        <v>180</v>
      </c>
      <c r="H1093" s="12">
        <v>0</v>
      </c>
      <c r="I1093" s="13">
        <v>42863.539526967594</v>
      </c>
      <c r="J1093" s="13">
        <v>43047</v>
      </c>
      <c r="K1093" s="12" t="s">
        <v>25</v>
      </c>
      <c r="L1093" s="12" t="s">
        <v>88</v>
      </c>
      <c r="M1093" s="12" t="s">
        <v>285</v>
      </c>
      <c r="N1093" s="12" t="s">
        <v>2538</v>
      </c>
      <c r="O1093" s="12"/>
      <c r="P1093" s="12"/>
      <c r="Q1093" s="12"/>
    </row>
    <row r="1094" spans="1:17" x14ac:dyDescent="0.25">
      <c r="A1094" s="11">
        <v>201033</v>
      </c>
      <c r="B1094" s="12" t="s">
        <v>4696</v>
      </c>
      <c r="C1094" s="12" t="s">
        <v>1449</v>
      </c>
      <c r="D1094" s="125">
        <v>2000000</v>
      </c>
      <c r="E1094" s="125">
        <v>577999.81000000006</v>
      </c>
      <c r="F1094" s="12">
        <v>54</v>
      </c>
      <c r="G1094" s="12">
        <v>180</v>
      </c>
      <c r="H1094" s="12">
        <v>0</v>
      </c>
      <c r="I1094" s="13">
        <v>42863.718327893519</v>
      </c>
      <c r="J1094" s="13">
        <v>43108</v>
      </c>
      <c r="K1094" s="12" t="s">
        <v>25</v>
      </c>
      <c r="L1094" s="12" t="s">
        <v>88</v>
      </c>
      <c r="M1094" s="12" t="s">
        <v>285</v>
      </c>
      <c r="N1094" s="12" t="s">
        <v>1447</v>
      </c>
      <c r="O1094" s="12"/>
      <c r="P1094" s="12"/>
      <c r="Q1094" s="12"/>
    </row>
    <row r="1095" spans="1:17" x14ac:dyDescent="0.25">
      <c r="A1095" s="11">
        <v>201034</v>
      </c>
      <c r="B1095" s="12" t="s">
        <v>4722</v>
      </c>
      <c r="C1095" s="12" t="s">
        <v>2807</v>
      </c>
      <c r="D1095" s="125">
        <v>10000000</v>
      </c>
      <c r="E1095" s="125">
        <v>6462300.5099999998</v>
      </c>
      <c r="F1095" s="12">
        <v>54</v>
      </c>
      <c r="G1095" s="12">
        <v>180</v>
      </c>
      <c r="H1095" s="12">
        <v>0</v>
      </c>
      <c r="I1095" s="13">
        <v>42864.526064317128</v>
      </c>
      <c r="J1095" s="13">
        <v>43229</v>
      </c>
      <c r="K1095" s="12" t="s">
        <v>44</v>
      </c>
      <c r="L1095" s="12" t="s">
        <v>75</v>
      </c>
      <c r="M1095" s="12" t="s">
        <v>26</v>
      </c>
      <c r="N1095" s="12" t="s">
        <v>1925</v>
      </c>
      <c r="O1095" s="12"/>
      <c r="P1095" s="12"/>
      <c r="Q1095" s="12"/>
    </row>
    <row r="1096" spans="1:17" x14ac:dyDescent="0.25">
      <c r="A1096" s="11">
        <v>201037</v>
      </c>
      <c r="B1096" s="12" t="s">
        <v>2446</v>
      </c>
      <c r="C1096" s="12" t="s">
        <v>2807</v>
      </c>
      <c r="D1096" s="125">
        <v>32914204</v>
      </c>
      <c r="E1096" s="125">
        <v>30210790.350000001</v>
      </c>
      <c r="F1096" s="12">
        <v>22</v>
      </c>
      <c r="G1096" s="12">
        <v>180</v>
      </c>
      <c r="H1096" s="12">
        <v>0</v>
      </c>
      <c r="I1096" s="13">
        <v>42865.489353275465</v>
      </c>
      <c r="J1096" s="13">
        <v>44276</v>
      </c>
      <c r="K1096" s="12" t="s">
        <v>43</v>
      </c>
      <c r="L1096" s="12" t="s">
        <v>338</v>
      </c>
      <c r="M1096" s="12" t="s">
        <v>26</v>
      </c>
      <c r="N1096" s="12" t="s">
        <v>284</v>
      </c>
      <c r="O1096" s="12"/>
      <c r="P1096" s="12"/>
      <c r="Q1096" s="12"/>
    </row>
    <row r="1097" spans="1:17" x14ac:dyDescent="0.25">
      <c r="A1097" s="11">
        <v>201039</v>
      </c>
      <c r="B1097" s="12" t="s">
        <v>3311</v>
      </c>
      <c r="C1097" s="12" t="s">
        <v>1449</v>
      </c>
      <c r="D1097" s="125">
        <v>10000000</v>
      </c>
      <c r="E1097" s="125">
        <v>7195896.4100000001</v>
      </c>
      <c r="F1097" s="12">
        <v>40</v>
      </c>
      <c r="G1097" s="12">
        <v>180</v>
      </c>
      <c r="H1097" s="12">
        <v>0</v>
      </c>
      <c r="I1097" s="13">
        <v>42865.775814699075</v>
      </c>
      <c r="J1097" s="13">
        <v>43322</v>
      </c>
      <c r="K1097" s="12" t="s">
        <v>44</v>
      </c>
      <c r="L1097" s="12" t="s">
        <v>75</v>
      </c>
      <c r="M1097" s="12" t="s">
        <v>1442</v>
      </c>
      <c r="N1097" s="12" t="s">
        <v>491</v>
      </c>
      <c r="O1097" s="12"/>
      <c r="P1097" s="12"/>
      <c r="Q1097" s="12"/>
    </row>
    <row r="1098" spans="1:17" x14ac:dyDescent="0.25">
      <c r="A1098" s="11">
        <v>201041</v>
      </c>
      <c r="B1098" s="12" t="s">
        <v>4739</v>
      </c>
      <c r="C1098" s="12" t="s">
        <v>2807</v>
      </c>
      <c r="D1098" s="125">
        <v>20000000</v>
      </c>
      <c r="E1098" s="125">
        <v>11171221.449999999</v>
      </c>
      <c r="F1098" s="12">
        <v>48</v>
      </c>
      <c r="G1098" s="12">
        <v>180</v>
      </c>
      <c r="H1098" s="12">
        <v>0</v>
      </c>
      <c r="I1098" s="13">
        <v>42866.727631712965</v>
      </c>
      <c r="J1098" s="13">
        <v>43231</v>
      </c>
      <c r="K1098" s="12" t="s">
        <v>25</v>
      </c>
      <c r="L1098" s="12" t="s">
        <v>26</v>
      </c>
      <c r="M1098" s="12" t="s">
        <v>26</v>
      </c>
      <c r="N1098" s="12" t="s">
        <v>491</v>
      </c>
      <c r="O1098" s="12"/>
      <c r="P1098" s="12"/>
      <c r="Q1098" s="12"/>
    </row>
    <row r="1099" spans="1:17" x14ac:dyDescent="0.25">
      <c r="A1099" s="11">
        <v>201044</v>
      </c>
      <c r="B1099" s="12" t="s">
        <v>3464</v>
      </c>
      <c r="C1099" s="12" t="s">
        <v>2807</v>
      </c>
      <c r="D1099" s="125">
        <v>5000000</v>
      </c>
      <c r="E1099" s="125">
        <v>2792805.38</v>
      </c>
      <c r="F1099" s="12">
        <v>48</v>
      </c>
      <c r="G1099" s="12">
        <v>180</v>
      </c>
      <c r="H1099" s="12">
        <v>0</v>
      </c>
      <c r="I1099" s="13">
        <v>42867.742464583331</v>
      </c>
      <c r="J1099" s="13">
        <v>43232</v>
      </c>
      <c r="K1099" s="12" t="s">
        <v>25</v>
      </c>
      <c r="L1099" s="12" t="s">
        <v>26</v>
      </c>
      <c r="M1099" s="12" t="s">
        <v>26</v>
      </c>
      <c r="N1099" s="12" t="s">
        <v>2538</v>
      </c>
      <c r="O1099" s="12"/>
      <c r="P1099" s="12"/>
      <c r="Q1099" s="12"/>
    </row>
    <row r="1100" spans="1:17" x14ac:dyDescent="0.25">
      <c r="A1100" s="11">
        <v>201045</v>
      </c>
      <c r="B1100" s="12" t="s">
        <v>4755</v>
      </c>
      <c r="C1100" s="12" t="s">
        <v>2807</v>
      </c>
      <c r="D1100" s="125">
        <v>3000000</v>
      </c>
      <c r="E1100" s="125">
        <v>1360161.78</v>
      </c>
      <c r="F1100" s="12">
        <v>54</v>
      </c>
      <c r="G1100" s="12">
        <v>180</v>
      </c>
      <c r="H1100" s="12">
        <v>0</v>
      </c>
      <c r="I1100" s="13">
        <v>42868.488424918978</v>
      </c>
      <c r="J1100" s="13">
        <v>43172</v>
      </c>
      <c r="K1100" s="12" t="s">
        <v>25</v>
      </c>
      <c r="L1100" s="12" t="s">
        <v>26</v>
      </c>
      <c r="M1100" s="12" t="s">
        <v>26</v>
      </c>
      <c r="N1100" s="12" t="s">
        <v>963</v>
      </c>
      <c r="O1100" s="12"/>
      <c r="P1100" s="12"/>
      <c r="Q1100" s="12"/>
    </row>
    <row r="1101" spans="1:17" x14ac:dyDescent="0.25">
      <c r="A1101" s="11">
        <v>201046</v>
      </c>
      <c r="B1101" s="12" t="s">
        <v>4762</v>
      </c>
      <c r="C1101" s="12" t="s">
        <v>2807</v>
      </c>
      <c r="D1101" s="125">
        <v>6000000</v>
      </c>
      <c r="E1101" s="125">
        <v>3393865.31</v>
      </c>
      <c r="F1101" s="12">
        <v>54</v>
      </c>
      <c r="G1101" s="12">
        <v>180</v>
      </c>
      <c r="H1101" s="12">
        <v>0</v>
      </c>
      <c r="I1101" s="13">
        <v>42870.560390196762</v>
      </c>
      <c r="J1101" s="13">
        <v>43235</v>
      </c>
      <c r="K1101" s="12" t="s">
        <v>25</v>
      </c>
      <c r="L1101" s="12" t="s">
        <v>26</v>
      </c>
      <c r="M1101" s="12" t="s">
        <v>26</v>
      </c>
      <c r="N1101" s="12" t="s">
        <v>2861</v>
      </c>
      <c r="O1101" s="12"/>
      <c r="P1101" s="12"/>
      <c r="Q1101" s="12"/>
    </row>
    <row r="1102" spans="1:17" x14ac:dyDescent="0.25">
      <c r="A1102" s="11">
        <v>201047</v>
      </c>
      <c r="B1102" s="12" t="s">
        <v>4768</v>
      </c>
      <c r="C1102" s="12" t="s">
        <v>2807</v>
      </c>
      <c r="D1102" s="125">
        <v>6000000</v>
      </c>
      <c r="E1102" s="125">
        <v>2696923.22</v>
      </c>
      <c r="F1102" s="12">
        <v>50</v>
      </c>
      <c r="G1102" s="12">
        <v>180</v>
      </c>
      <c r="H1102" s="12">
        <v>0</v>
      </c>
      <c r="I1102" s="13">
        <v>42871.481338460646</v>
      </c>
      <c r="J1102" s="13">
        <v>43175</v>
      </c>
      <c r="K1102" s="12" t="s">
        <v>25</v>
      </c>
      <c r="L1102" s="12" t="s">
        <v>26</v>
      </c>
      <c r="M1102" s="12" t="s">
        <v>26</v>
      </c>
      <c r="N1102" s="12" t="s">
        <v>4683</v>
      </c>
      <c r="O1102" s="12"/>
      <c r="P1102" s="12"/>
      <c r="Q1102" s="12"/>
    </row>
    <row r="1103" spans="1:17" x14ac:dyDescent="0.25">
      <c r="A1103" s="11">
        <v>201049</v>
      </c>
      <c r="B1103" s="12" t="s">
        <v>2386</v>
      </c>
      <c r="C1103" s="12" t="s">
        <v>2807</v>
      </c>
      <c r="D1103" s="125">
        <v>25000000</v>
      </c>
      <c r="E1103" s="125">
        <v>13785492.76</v>
      </c>
      <c r="F1103" s="12">
        <v>42</v>
      </c>
      <c r="G1103" s="12">
        <v>180</v>
      </c>
      <c r="H1103" s="12">
        <v>0</v>
      </c>
      <c r="I1103" s="13">
        <v>42872.40982734954</v>
      </c>
      <c r="J1103" s="13">
        <v>43237</v>
      </c>
      <c r="K1103" s="12" t="s">
        <v>27</v>
      </c>
      <c r="L1103" s="12" t="s">
        <v>26</v>
      </c>
      <c r="M1103" s="12" t="s">
        <v>26</v>
      </c>
      <c r="N1103" s="12" t="s">
        <v>1448</v>
      </c>
      <c r="O1103" s="12"/>
      <c r="P1103" s="12"/>
      <c r="Q1103" s="12"/>
    </row>
    <row r="1104" spans="1:17" x14ac:dyDescent="0.25">
      <c r="A1104" s="11">
        <v>201052</v>
      </c>
      <c r="B1104" s="12" t="s">
        <v>4775</v>
      </c>
      <c r="C1104" s="12" t="s">
        <v>2807</v>
      </c>
      <c r="D1104" s="125">
        <v>4000000</v>
      </c>
      <c r="E1104" s="125">
        <v>2175614.12</v>
      </c>
      <c r="F1104" s="12">
        <v>54</v>
      </c>
      <c r="G1104" s="12">
        <v>180</v>
      </c>
      <c r="H1104" s="12">
        <v>0</v>
      </c>
      <c r="I1104" s="13">
        <v>42872.71493371528</v>
      </c>
      <c r="J1104" s="13">
        <v>43117</v>
      </c>
      <c r="K1104" s="12" t="s">
        <v>35</v>
      </c>
      <c r="L1104" s="12" t="s">
        <v>26</v>
      </c>
      <c r="M1104" s="12" t="s">
        <v>26</v>
      </c>
      <c r="N1104" s="12" t="s">
        <v>1909</v>
      </c>
      <c r="O1104" s="12"/>
      <c r="P1104" s="12"/>
      <c r="Q1104" s="12"/>
    </row>
    <row r="1105" spans="1:17" x14ac:dyDescent="0.25">
      <c r="A1105" s="11">
        <v>201053</v>
      </c>
      <c r="B1105" s="12" t="s">
        <v>4779</v>
      </c>
      <c r="C1105" s="12" t="s">
        <v>2807</v>
      </c>
      <c r="D1105" s="125">
        <v>4000000</v>
      </c>
      <c r="E1105" s="125">
        <v>1135658.06</v>
      </c>
      <c r="F1105" s="12">
        <v>54</v>
      </c>
      <c r="G1105" s="12">
        <v>180</v>
      </c>
      <c r="H1105" s="12">
        <v>0</v>
      </c>
      <c r="I1105" s="13">
        <v>42872.72517017361</v>
      </c>
      <c r="J1105" s="13">
        <v>43117</v>
      </c>
      <c r="K1105" s="12" t="s">
        <v>44</v>
      </c>
      <c r="L1105" s="12" t="s">
        <v>26</v>
      </c>
      <c r="M1105" s="12" t="s">
        <v>26</v>
      </c>
      <c r="N1105" s="12" t="s">
        <v>1909</v>
      </c>
      <c r="O1105" s="12"/>
      <c r="P1105" s="12"/>
      <c r="Q1105" s="12"/>
    </row>
    <row r="1106" spans="1:17" x14ac:dyDescent="0.25">
      <c r="A1106" s="11">
        <v>201055</v>
      </c>
      <c r="B1106" s="12" t="s">
        <v>4182</v>
      </c>
      <c r="C1106" s="12" t="s">
        <v>2807</v>
      </c>
      <c r="D1106" s="125">
        <v>6000000</v>
      </c>
      <c r="E1106" s="125">
        <v>3351366.41</v>
      </c>
      <c r="F1106" s="12">
        <v>48</v>
      </c>
      <c r="G1106" s="12">
        <v>180</v>
      </c>
      <c r="H1106" s="12">
        <v>0</v>
      </c>
      <c r="I1106" s="13">
        <v>42873.560921909724</v>
      </c>
      <c r="J1106" s="13">
        <v>43238</v>
      </c>
      <c r="K1106" s="12" t="s">
        <v>25</v>
      </c>
      <c r="L1106" s="12" t="s">
        <v>26</v>
      </c>
      <c r="M1106" s="12" t="s">
        <v>26</v>
      </c>
      <c r="N1106" s="12" t="s">
        <v>1448</v>
      </c>
      <c r="O1106" s="12"/>
      <c r="P1106" s="12"/>
      <c r="Q1106" s="12"/>
    </row>
    <row r="1107" spans="1:17" x14ac:dyDescent="0.25">
      <c r="A1107" s="11">
        <v>201056</v>
      </c>
      <c r="B1107" s="12" t="s">
        <v>4800</v>
      </c>
      <c r="C1107" s="12" t="s">
        <v>2807</v>
      </c>
      <c r="D1107" s="125">
        <v>3000000</v>
      </c>
      <c r="E1107" s="125">
        <v>1360161.78</v>
      </c>
      <c r="F1107" s="12">
        <v>54</v>
      </c>
      <c r="G1107" s="12">
        <v>180</v>
      </c>
      <c r="H1107" s="12">
        <v>0</v>
      </c>
      <c r="I1107" s="13">
        <v>42873.614163310187</v>
      </c>
      <c r="J1107" s="13">
        <v>43177</v>
      </c>
      <c r="K1107" s="12" t="s">
        <v>44</v>
      </c>
      <c r="L1107" s="12" t="s">
        <v>26</v>
      </c>
      <c r="M1107" s="12" t="s">
        <v>26</v>
      </c>
      <c r="N1107" s="12" t="s">
        <v>2538</v>
      </c>
      <c r="O1107" s="12"/>
      <c r="P1107" s="12"/>
      <c r="Q1107" s="12"/>
    </row>
    <row r="1108" spans="1:17" x14ac:dyDescent="0.25">
      <c r="A1108" s="11">
        <v>201058</v>
      </c>
      <c r="B1108" s="12" t="s">
        <v>2101</v>
      </c>
      <c r="C1108" s="12" t="s">
        <v>2807</v>
      </c>
      <c r="D1108" s="125">
        <v>31000000</v>
      </c>
      <c r="E1108" s="125">
        <v>16903651.859999999</v>
      </c>
      <c r="F1108" s="12">
        <v>36</v>
      </c>
      <c r="G1108" s="12">
        <v>180</v>
      </c>
      <c r="H1108" s="12">
        <v>0</v>
      </c>
      <c r="I1108" s="13">
        <v>42873.480068206016</v>
      </c>
      <c r="J1108" s="13">
        <v>43240</v>
      </c>
      <c r="K1108" s="12" t="s">
        <v>25</v>
      </c>
      <c r="L1108" s="12" t="s">
        <v>26</v>
      </c>
      <c r="M1108" s="12" t="s">
        <v>26</v>
      </c>
      <c r="N1108" s="12" t="s">
        <v>1447</v>
      </c>
      <c r="O1108" s="12"/>
      <c r="P1108" s="12"/>
      <c r="Q1108" s="12"/>
    </row>
    <row r="1109" spans="1:17" x14ac:dyDescent="0.25">
      <c r="A1109" s="11">
        <v>201060</v>
      </c>
      <c r="B1109" s="12" t="s">
        <v>4797</v>
      </c>
      <c r="C1109" s="12" t="s">
        <v>2807</v>
      </c>
      <c r="D1109" s="125">
        <v>2500000</v>
      </c>
      <c r="E1109" s="125">
        <v>1041923.85</v>
      </c>
      <c r="F1109" s="12">
        <v>54</v>
      </c>
      <c r="G1109" s="12">
        <v>180</v>
      </c>
      <c r="H1109" s="12">
        <v>0</v>
      </c>
      <c r="I1109" s="13">
        <v>42873.592386226854</v>
      </c>
      <c r="J1109" s="13">
        <v>43118</v>
      </c>
      <c r="K1109" s="12" t="s">
        <v>25</v>
      </c>
      <c r="L1109" s="12" t="s">
        <v>26</v>
      </c>
      <c r="M1109" s="12" t="s">
        <v>26</v>
      </c>
      <c r="N1109" s="12" t="s">
        <v>2855</v>
      </c>
      <c r="O1109" s="12"/>
      <c r="P1109" s="12"/>
      <c r="Q1109" s="12"/>
    </row>
    <row r="1110" spans="1:17" x14ac:dyDescent="0.25">
      <c r="A1110" s="11">
        <v>201062</v>
      </c>
      <c r="B1110" s="12" t="s">
        <v>3138</v>
      </c>
      <c r="C1110" s="12" t="s">
        <v>2807</v>
      </c>
      <c r="D1110" s="125">
        <v>3000000</v>
      </c>
      <c r="E1110" s="125">
        <v>1918595.89</v>
      </c>
      <c r="F1110" s="12">
        <v>48</v>
      </c>
      <c r="G1110" s="12">
        <v>180</v>
      </c>
      <c r="H1110" s="12">
        <v>0</v>
      </c>
      <c r="I1110" s="13">
        <v>42874.581016550925</v>
      </c>
      <c r="J1110" s="13">
        <v>43239</v>
      </c>
      <c r="K1110" s="12" t="s">
        <v>44</v>
      </c>
      <c r="L1110" s="12" t="s">
        <v>75</v>
      </c>
      <c r="M1110" s="12" t="s">
        <v>26</v>
      </c>
      <c r="N1110" s="12" t="s">
        <v>2034</v>
      </c>
      <c r="O1110" s="12"/>
      <c r="P1110" s="12"/>
      <c r="Q1110" s="12"/>
    </row>
    <row r="1111" spans="1:17" x14ac:dyDescent="0.25">
      <c r="A1111" s="11">
        <v>201064</v>
      </c>
      <c r="B1111" s="12" t="s">
        <v>4813</v>
      </c>
      <c r="C1111" s="12" t="s">
        <v>1449</v>
      </c>
      <c r="D1111" s="125">
        <v>10000000</v>
      </c>
      <c r="E1111" s="125">
        <v>2839145.11</v>
      </c>
      <c r="F1111" s="12">
        <v>54</v>
      </c>
      <c r="G1111" s="12">
        <v>180</v>
      </c>
      <c r="H1111" s="12">
        <v>0</v>
      </c>
      <c r="I1111" s="13">
        <v>42874.512373877318</v>
      </c>
      <c r="J1111" s="13">
        <v>43119</v>
      </c>
      <c r="K1111" s="12" t="s">
        <v>25</v>
      </c>
      <c r="L1111" s="12" t="s">
        <v>88</v>
      </c>
      <c r="M1111" s="12" t="s">
        <v>285</v>
      </c>
      <c r="N1111" s="12" t="s">
        <v>1925</v>
      </c>
      <c r="O1111" s="12"/>
      <c r="P1111" s="12"/>
      <c r="Q1111" s="12"/>
    </row>
    <row r="1112" spans="1:17" x14ac:dyDescent="0.25">
      <c r="A1112" s="11">
        <v>201065</v>
      </c>
      <c r="B1112" s="12" t="s">
        <v>1992</v>
      </c>
      <c r="C1112" s="12" t="s">
        <v>1449</v>
      </c>
      <c r="D1112" s="125">
        <v>38364000</v>
      </c>
      <c r="E1112" s="125">
        <v>36560150.299999997</v>
      </c>
      <c r="F1112" s="12">
        <v>22</v>
      </c>
      <c r="G1112" s="12">
        <v>180</v>
      </c>
      <c r="H1112" s="12">
        <v>0</v>
      </c>
      <c r="I1112" s="13">
        <v>42874.697980671299</v>
      </c>
      <c r="J1112" s="13">
        <v>44702</v>
      </c>
      <c r="K1112" s="12" t="s">
        <v>43</v>
      </c>
      <c r="L1112" s="12" t="s">
        <v>338</v>
      </c>
      <c r="M1112" s="12" t="s">
        <v>339</v>
      </c>
      <c r="N1112" s="12" t="s">
        <v>284</v>
      </c>
      <c r="O1112" s="12"/>
      <c r="P1112" s="12"/>
      <c r="Q1112" s="12"/>
    </row>
    <row r="1113" spans="1:17" x14ac:dyDescent="0.25">
      <c r="A1113" s="11">
        <v>201066</v>
      </c>
      <c r="B1113" s="12" t="s">
        <v>4812</v>
      </c>
      <c r="C1113" s="12" t="s">
        <v>1449</v>
      </c>
      <c r="D1113" s="125">
        <v>3000000</v>
      </c>
      <c r="E1113" s="125">
        <v>851743.54</v>
      </c>
      <c r="F1113" s="12">
        <v>54</v>
      </c>
      <c r="G1113" s="12">
        <v>180</v>
      </c>
      <c r="H1113" s="12">
        <v>0</v>
      </c>
      <c r="I1113" s="13">
        <v>42874.708207175929</v>
      </c>
      <c r="J1113" s="13">
        <v>43119</v>
      </c>
      <c r="K1113" s="12" t="s">
        <v>25</v>
      </c>
      <c r="L1113" s="12" t="s">
        <v>88</v>
      </c>
      <c r="M1113" s="12" t="s">
        <v>285</v>
      </c>
      <c r="N1113" s="12" t="s">
        <v>1909</v>
      </c>
      <c r="O1113" s="12"/>
      <c r="P1113" s="12"/>
      <c r="Q1113" s="12"/>
    </row>
    <row r="1114" spans="1:17" x14ac:dyDescent="0.25">
      <c r="A1114" s="11">
        <v>201067</v>
      </c>
      <c r="B1114" s="12" t="s">
        <v>2293</v>
      </c>
      <c r="C1114" s="12" t="s">
        <v>1449</v>
      </c>
      <c r="D1114" s="125">
        <v>20000000</v>
      </c>
      <c r="E1114" s="125">
        <v>11028394.18</v>
      </c>
      <c r="F1114" s="12">
        <v>42</v>
      </c>
      <c r="G1114" s="12">
        <v>180</v>
      </c>
      <c r="H1114" s="12">
        <v>0</v>
      </c>
      <c r="I1114" s="13">
        <v>42875.612127777778</v>
      </c>
      <c r="J1114" s="13">
        <v>43240</v>
      </c>
      <c r="K1114" s="12" t="s">
        <v>27</v>
      </c>
      <c r="L1114" s="12" t="s">
        <v>116</v>
      </c>
      <c r="M1114" s="12" t="s">
        <v>26</v>
      </c>
      <c r="N1114" s="12" t="s">
        <v>1909</v>
      </c>
      <c r="O1114" s="12"/>
      <c r="P1114" s="12"/>
      <c r="Q1114" s="12"/>
    </row>
    <row r="1115" spans="1:17" x14ac:dyDescent="0.25">
      <c r="A1115" s="11">
        <v>201069</v>
      </c>
      <c r="B1115" s="12" t="s">
        <v>3400</v>
      </c>
      <c r="C1115" s="12" t="s">
        <v>2807</v>
      </c>
      <c r="D1115" s="125">
        <v>6000000</v>
      </c>
      <c r="E1115" s="125">
        <v>3837191.78</v>
      </c>
      <c r="F1115" s="12">
        <v>48</v>
      </c>
      <c r="G1115" s="12">
        <v>180</v>
      </c>
      <c r="H1115" s="12">
        <v>0</v>
      </c>
      <c r="I1115" s="13">
        <v>42879.473704016207</v>
      </c>
      <c r="J1115" s="13">
        <v>43244</v>
      </c>
      <c r="K1115" s="12" t="s">
        <v>25</v>
      </c>
      <c r="L1115" s="12" t="s">
        <v>26</v>
      </c>
      <c r="M1115" s="12" t="s">
        <v>26</v>
      </c>
      <c r="N1115" s="12" t="s">
        <v>1447</v>
      </c>
      <c r="O1115" s="12"/>
      <c r="P1115" s="12"/>
      <c r="Q1115" s="12"/>
    </row>
    <row r="1116" spans="1:17" x14ac:dyDescent="0.25">
      <c r="A1116" s="11">
        <v>201070</v>
      </c>
      <c r="B1116" s="12" t="s">
        <v>3370</v>
      </c>
      <c r="C1116" s="12" t="s">
        <v>2807</v>
      </c>
      <c r="D1116" s="125">
        <v>5000000</v>
      </c>
      <c r="E1116" s="125">
        <v>2802990.9</v>
      </c>
      <c r="F1116" s="12">
        <v>48</v>
      </c>
      <c r="G1116" s="12">
        <v>180</v>
      </c>
      <c r="H1116" s="12">
        <v>0</v>
      </c>
      <c r="I1116" s="13">
        <v>42877.671345798612</v>
      </c>
      <c r="J1116" s="13">
        <v>43242</v>
      </c>
      <c r="K1116" s="12" t="s">
        <v>44</v>
      </c>
      <c r="L1116" s="12" t="s">
        <v>75</v>
      </c>
      <c r="M1116" s="12" t="s">
        <v>26</v>
      </c>
      <c r="N1116" s="12" t="s">
        <v>2855</v>
      </c>
      <c r="O1116" s="12"/>
      <c r="P1116" s="12"/>
      <c r="Q1116" s="12"/>
    </row>
    <row r="1117" spans="1:17" x14ac:dyDescent="0.25">
      <c r="A1117" s="11">
        <v>201071</v>
      </c>
      <c r="B1117" s="12" t="s">
        <v>3371</v>
      </c>
      <c r="C1117" s="12" t="s">
        <v>2807</v>
      </c>
      <c r="D1117" s="125">
        <v>5500000</v>
      </c>
      <c r="E1117" s="125">
        <v>3045935.73</v>
      </c>
      <c r="F1117" s="12">
        <v>44</v>
      </c>
      <c r="G1117" s="12">
        <v>180</v>
      </c>
      <c r="H1117" s="12">
        <v>0</v>
      </c>
      <c r="I1117" s="13">
        <v>42877.671679942127</v>
      </c>
      <c r="J1117" s="13">
        <v>43242</v>
      </c>
      <c r="K1117" s="12" t="s">
        <v>25</v>
      </c>
      <c r="L1117" s="12" t="s">
        <v>26</v>
      </c>
      <c r="M1117" s="12" t="s">
        <v>26</v>
      </c>
      <c r="N1117" s="12" t="s">
        <v>2538</v>
      </c>
      <c r="O1117" s="12"/>
      <c r="P1117" s="12"/>
      <c r="Q1117" s="12"/>
    </row>
    <row r="1118" spans="1:17" x14ac:dyDescent="0.25">
      <c r="A1118" s="11">
        <v>201072</v>
      </c>
      <c r="B1118" s="12" t="s">
        <v>2771</v>
      </c>
      <c r="C1118" s="12" t="s">
        <v>1449</v>
      </c>
      <c r="D1118" s="125">
        <v>5000000</v>
      </c>
      <c r="E1118" s="125">
        <v>2792805.38</v>
      </c>
      <c r="F1118" s="12">
        <v>48</v>
      </c>
      <c r="G1118" s="12">
        <v>180</v>
      </c>
      <c r="H1118" s="12">
        <v>0</v>
      </c>
      <c r="I1118" s="13">
        <v>42877.726153043979</v>
      </c>
      <c r="J1118" s="13">
        <v>43242</v>
      </c>
      <c r="K1118" s="12" t="s">
        <v>25</v>
      </c>
      <c r="L1118" s="12" t="s">
        <v>88</v>
      </c>
      <c r="M1118" s="12" t="s">
        <v>285</v>
      </c>
      <c r="N1118" s="12" t="s">
        <v>3074</v>
      </c>
      <c r="O1118" s="12"/>
      <c r="P1118" s="12"/>
      <c r="Q1118" s="12"/>
    </row>
    <row r="1119" spans="1:17" x14ac:dyDescent="0.25">
      <c r="A1119" s="11">
        <v>201073</v>
      </c>
      <c r="B1119" s="12" t="s">
        <v>4826</v>
      </c>
      <c r="C1119" s="12" t="s">
        <v>1449</v>
      </c>
      <c r="D1119" s="125">
        <v>5000000</v>
      </c>
      <c r="E1119" s="125">
        <v>2828221.1</v>
      </c>
      <c r="F1119" s="12">
        <v>54</v>
      </c>
      <c r="G1119" s="12">
        <v>180</v>
      </c>
      <c r="H1119" s="12">
        <v>0</v>
      </c>
      <c r="I1119" s="13">
        <v>42877.716931909723</v>
      </c>
      <c r="J1119" s="13">
        <v>43242</v>
      </c>
      <c r="K1119" s="12" t="s">
        <v>25</v>
      </c>
      <c r="L1119" s="12" t="s">
        <v>88</v>
      </c>
      <c r="M1119" s="12" t="s">
        <v>285</v>
      </c>
      <c r="N1119" s="12" t="s">
        <v>1467</v>
      </c>
      <c r="O1119" s="12"/>
      <c r="P1119" s="12"/>
      <c r="Q1119" s="12"/>
    </row>
    <row r="1120" spans="1:17" x14ac:dyDescent="0.25">
      <c r="A1120" s="11">
        <v>201076</v>
      </c>
      <c r="B1120" s="12" t="s">
        <v>4833</v>
      </c>
      <c r="C1120" s="12" t="s">
        <v>1449</v>
      </c>
      <c r="D1120" s="125">
        <v>20000000</v>
      </c>
      <c r="E1120" s="125">
        <v>16372341.48</v>
      </c>
      <c r="F1120" s="12">
        <v>40</v>
      </c>
      <c r="G1120" s="12">
        <v>180</v>
      </c>
      <c r="H1120" s="12">
        <v>0</v>
      </c>
      <c r="I1120" s="13">
        <v>42878.662317974537</v>
      </c>
      <c r="J1120" s="13">
        <v>43608</v>
      </c>
      <c r="K1120" s="12" t="s">
        <v>44</v>
      </c>
      <c r="L1120" s="12" t="s">
        <v>75</v>
      </c>
      <c r="M1120" s="12" t="s">
        <v>4834</v>
      </c>
      <c r="N1120" s="12" t="s">
        <v>546</v>
      </c>
      <c r="O1120" s="12"/>
      <c r="P1120" s="12"/>
      <c r="Q1120" s="12"/>
    </row>
    <row r="1121" spans="1:17" x14ac:dyDescent="0.25">
      <c r="A1121" s="11">
        <v>201077</v>
      </c>
      <c r="B1121" s="12" t="s">
        <v>4830</v>
      </c>
      <c r="C1121" s="12" t="s">
        <v>1449</v>
      </c>
      <c r="D1121" s="125">
        <v>40000000</v>
      </c>
      <c r="E1121" s="125">
        <v>21768893.989999998</v>
      </c>
      <c r="F1121" s="12">
        <v>36</v>
      </c>
      <c r="G1121" s="12">
        <v>180</v>
      </c>
      <c r="H1121" s="12">
        <v>0</v>
      </c>
      <c r="I1121" s="13">
        <v>42878.594531747687</v>
      </c>
      <c r="J1121" s="13">
        <v>43243</v>
      </c>
      <c r="K1121" s="12" t="s">
        <v>27</v>
      </c>
      <c r="L1121" s="12" t="s">
        <v>116</v>
      </c>
      <c r="M1121" s="12" t="s">
        <v>1830</v>
      </c>
      <c r="N1121" s="12" t="s">
        <v>86</v>
      </c>
      <c r="O1121" s="12"/>
      <c r="P1121" s="12"/>
      <c r="Q1121" s="12"/>
    </row>
    <row r="1122" spans="1:17" x14ac:dyDescent="0.25">
      <c r="A1122" s="11">
        <v>201078</v>
      </c>
      <c r="B1122" s="12" t="s">
        <v>4846</v>
      </c>
      <c r="C1122" s="12" t="s">
        <v>1449</v>
      </c>
      <c r="D1122" s="125">
        <v>25000000</v>
      </c>
      <c r="E1122" s="125">
        <v>21438371.149999999</v>
      </c>
      <c r="F1122" s="12">
        <v>40</v>
      </c>
      <c r="G1122" s="12">
        <v>180</v>
      </c>
      <c r="H1122" s="12">
        <v>0</v>
      </c>
      <c r="I1122" s="13">
        <v>42879.498819872686</v>
      </c>
      <c r="J1122" s="13">
        <v>43617</v>
      </c>
      <c r="K1122" s="12" t="s">
        <v>28</v>
      </c>
      <c r="L1122" s="12" t="s">
        <v>26</v>
      </c>
      <c r="M1122" s="12" t="s">
        <v>26</v>
      </c>
      <c r="N1122" s="12" t="s">
        <v>1447</v>
      </c>
      <c r="O1122" s="12"/>
      <c r="P1122" s="12"/>
      <c r="Q1122" s="12"/>
    </row>
    <row r="1123" spans="1:17" x14ac:dyDescent="0.25">
      <c r="A1123" s="11">
        <v>201079</v>
      </c>
      <c r="B1123" s="12" t="s">
        <v>2385</v>
      </c>
      <c r="C1123" s="12" t="s">
        <v>1449</v>
      </c>
      <c r="D1123" s="125">
        <v>6000000</v>
      </c>
      <c r="E1123" s="125">
        <v>3810143.15</v>
      </c>
      <c r="F1123" s="12">
        <v>44</v>
      </c>
      <c r="G1123" s="12">
        <v>180</v>
      </c>
      <c r="H1123" s="12">
        <v>0</v>
      </c>
      <c r="I1123" s="13">
        <v>42879.701156284726</v>
      </c>
      <c r="J1123" s="13">
        <v>43244</v>
      </c>
      <c r="K1123" s="12" t="s">
        <v>25</v>
      </c>
      <c r="L1123" s="12" t="s">
        <v>88</v>
      </c>
      <c r="M1123" s="12" t="s">
        <v>26</v>
      </c>
      <c r="N1123" s="12" t="s">
        <v>1925</v>
      </c>
      <c r="O1123" s="12"/>
      <c r="P1123" s="12"/>
      <c r="Q1123" s="12"/>
    </row>
    <row r="1124" spans="1:17" x14ac:dyDescent="0.25">
      <c r="A1124" s="11">
        <v>201080</v>
      </c>
      <c r="B1124" s="12" t="s">
        <v>2592</v>
      </c>
      <c r="C1124" s="12" t="s">
        <v>2807</v>
      </c>
      <c r="D1124" s="125">
        <v>7000000</v>
      </c>
      <c r="E1124" s="125">
        <v>4434685.3499999996</v>
      </c>
      <c r="F1124" s="12">
        <v>44</v>
      </c>
      <c r="G1124" s="12">
        <v>180</v>
      </c>
      <c r="H1124" s="12">
        <v>0</v>
      </c>
      <c r="I1124" s="13">
        <v>42881.499312233798</v>
      </c>
      <c r="J1124" s="13">
        <v>43244</v>
      </c>
      <c r="K1124" s="12" t="s">
        <v>25</v>
      </c>
      <c r="L1124" s="12" t="s">
        <v>26</v>
      </c>
      <c r="M1124" s="12" t="s">
        <v>26</v>
      </c>
      <c r="N1124" s="12" t="s">
        <v>963</v>
      </c>
      <c r="O1124" s="12"/>
      <c r="P1124" s="12"/>
      <c r="Q1124" s="12"/>
    </row>
    <row r="1125" spans="1:17" x14ac:dyDescent="0.25">
      <c r="A1125" s="11">
        <v>201083</v>
      </c>
      <c r="B1125" s="12" t="s">
        <v>4849</v>
      </c>
      <c r="C1125" s="12" t="s">
        <v>2807</v>
      </c>
      <c r="D1125" s="125">
        <v>5000000</v>
      </c>
      <c r="E1125" s="125">
        <v>3249702.35</v>
      </c>
      <c r="F1125" s="12">
        <v>54</v>
      </c>
      <c r="G1125" s="12">
        <v>180</v>
      </c>
      <c r="H1125" s="12">
        <v>0</v>
      </c>
      <c r="I1125" s="13">
        <v>42882.457788043983</v>
      </c>
      <c r="J1125" s="13">
        <v>43252</v>
      </c>
      <c r="K1125" s="12" t="s">
        <v>25</v>
      </c>
      <c r="L1125" s="12" t="s">
        <v>26</v>
      </c>
      <c r="M1125" s="12" t="s">
        <v>26</v>
      </c>
      <c r="N1125" s="12" t="s">
        <v>4685</v>
      </c>
      <c r="O1125" s="12"/>
      <c r="P1125" s="12"/>
      <c r="Q1125" s="12"/>
    </row>
    <row r="1126" spans="1:17" x14ac:dyDescent="0.25">
      <c r="A1126" s="11">
        <v>201084</v>
      </c>
      <c r="B1126" s="12" t="s">
        <v>4854</v>
      </c>
      <c r="C1126" s="12" t="s">
        <v>1449</v>
      </c>
      <c r="D1126" s="125">
        <v>55000000</v>
      </c>
      <c r="E1126" s="125">
        <v>34790329.420000002</v>
      </c>
      <c r="F1126" s="12">
        <v>40</v>
      </c>
      <c r="G1126" s="12">
        <v>180</v>
      </c>
      <c r="H1126" s="12">
        <v>0</v>
      </c>
      <c r="I1126" s="13">
        <v>42884.590975694446</v>
      </c>
      <c r="J1126" s="13">
        <v>43252</v>
      </c>
      <c r="K1126" s="12" t="s">
        <v>27</v>
      </c>
      <c r="L1126" s="12" t="s">
        <v>81</v>
      </c>
      <c r="M1126" s="12" t="s">
        <v>4000</v>
      </c>
      <c r="N1126" s="12" t="s">
        <v>491</v>
      </c>
      <c r="O1126" s="12"/>
      <c r="P1126" s="12"/>
      <c r="Q1126" s="12"/>
    </row>
    <row r="1127" spans="1:17" x14ac:dyDescent="0.25">
      <c r="A1127" s="11">
        <v>201085</v>
      </c>
      <c r="B1127" s="12" t="s">
        <v>3256</v>
      </c>
      <c r="C1127" s="12" t="s">
        <v>1449</v>
      </c>
      <c r="D1127" s="125">
        <v>10000000</v>
      </c>
      <c r="E1127" s="125">
        <v>6370204.4500000002</v>
      </c>
      <c r="F1127" s="12">
        <v>44</v>
      </c>
      <c r="G1127" s="12">
        <v>180</v>
      </c>
      <c r="H1127" s="12">
        <v>0</v>
      </c>
      <c r="I1127" s="13">
        <v>42885.419893831022</v>
      </c>
      <c r="J1127" s="13">
        <v>43252</v>
      </c>
      <c r="K1127" s="12" t="s">
        <v>25</v>
      </c>
      <c r="L1127" s="12" t="s">
        <v>101</v>
      </c>
      <c r="M1127" s="12" t="s">
        <v>95</v>
      </c>
      <c r="N1127" s="12" t="s">
        <v>1925</v>
      </c>
      <c r="O1127" s="12"/>
      <c r="P1127" s="12"/>
      <c r="Q1127" s="12"/>
    </row>
    <row r="1128" spans="1:17" x14ac:dyDescent="0.25">
      <c r="A1128" s="11">
        <v>201087</v>
      </c>
      <c r="B1128" s="12" t="s">
        <v>4857</v>
      </c>
      <c r="C1128" s="12" t="s">
        <v>2807</v>
      </c>
      <c r="D1128" s="125">
        <v>3000000</v>
      </c>
      <c r="E1128" s="125">
        <v>2557029.9500000002</v>
      </c>
      <c r="F1128" s="12">
        <v>54</v>
      </c>
      <c r="G1128" s="12">
        <v>180</v>
      </c>
      <c r="H1128" s="12">
        <v>0</v>
      </c>
      <c r="I1128" s="13">
        <v>42885.641928391204</v>
      </c>
      <c r="J1128" s="13">
        <v>43070</v>
      </c>
      <c r="K1128" s="12" t="s">
        <v>25</v>
      </c>
      <c r="L1128" s="12" t="s">
        <v>26</v>
      </c>
      <c r="M1128" s="12" t="s">
        <v>26</v>
      </c>
      <c r="N1128" s="12" t="s">
        <v>2538</v>
      </c>
      <c r="O1128" s="12"/>
      <c r="P1128" s="12"/>
      <c r="Q1128" s="12"/>
    </row>
    <row r="1129" spans="1:17" x14ac:dyDescent="0.25">
      <c r="A1129" s="11">
        <v>201088</v>
      </c>
      <c r="B1129" s="12" t="s">
        <v>2383</v>
      </c>
      <c r="C1129" s="12" t="s">
        <v>2807</v>
      </c>
      <c r="D1129" s="125">
        <v>8000000</v>
      </c>
      <c r="E1129" s="125">
        <v>4318653.4000000004</v>
      </c>
      <c r="F1129" s="12">
        <v>48</v>
      </c>
      <c r="G1129" s="12">
        <v>180</v>
      </c>
      <c r="H1129" s="12">
        <v>0</v>
      </c>
      <c r="I1129" s="13">
        <v>42885.676829479169</v>
      </c>
      <c r="J1129" s="13">
        <v>43132</v>
      </c>
      <c r="K1129" s="12" t="s">
        <v>46</v>
      </c>
      <c r="L1129" s="12" t="s">
        <v>46</v>
      </c>
      <c r="M1129" s="12" t="s">
        <v>112</v>
      </c>
      <c r="N1129" s="12" t="s">
        <v>2855</v>
      </c>
      <c r="O1129" s="12"/>
      <c r="P1129" s="12"/>
      <c r="Q1129" s="12"/>
    </row>
    <row r="1130" spans="1:17" x14ac:dyDescent="0.25">
      <c r="A1130" s="11">
        <v>201089</v>
      </c>
      <c r="B1130" s="12" t="s">
        <v>2980</v>
      </c>
      <c r="C1130" s="12" t="s">
        <v>1449</v>
      </c>
      <c r="D1130" s="125">
        <v>13000000</v>
      </c>
      <c r="E1130" s="125">
        <v>8146093.7300000004</v>
      </c>
      <c r="F1130" s="12">
        <v>36</v>
      </c>
      <c r="G1130" s="12">
        <v>180</v>
      </c>
      <c r="H1130" s="12">
        <v>0</v>
      </c>
      <c r="I1130" s="13">
        <v>42886.48187596065</v>
      </c>
      <c r="J1130" s="13">
        <v>43252</v>
      </c>
      <c r="K1130" s="12" t="s">
        <v>44</v>
      </c>
      <c r="L1130" s="12" t="s">
        <v>75</v>
      </c>
      <c r="M1130" s="12" t="s">
        <v>1442</v>
      </c>
      <c r="N1130" s="12" t="s">
        <v>1667</v>
      </c>
      <c r="O1130" s="12"/>
      <c r="P1130" s="12"/>
      <c r="Q1130" s="12"/>
    </row>
    <row r="1131" spans="1:17" x14ac:dyDescent="0.25">
      <c r="A1131" s="11">
        <v>201091</v>
      </c>
      <c r="B1131" s="12" t="s">
        <v>1731</v>
      </c>
      <c r="C1131" s="12" t="s">
        <v>1449</v>
      </c>
      <c r="D1131" s="125">
        <v>40000000</v>
      </c>
      <c r="E1131" s="125">
        <v>33864178.909999996</v>
      </c>
      <c r="F1131" s="12">
        <v>36</v>
      </c>
      <c r="G1131" s="12">
        <v>180</v>
      </c>
      <c r="H1131" s="12">
        <v>0</v>
      </c>
      <c r="I1131" s="13">
        <v>42886.557222766205</v>
      </c>
      <c r="J1131" s="13">
        <v>43617</v>
      </c>
      <c r="K1131" s="12" t="s">
        <v>44</v>
      </c>
      <c r="L1131" s="12" t="s">
        <v>75</v>
      </c>
      <c r="M1131" s="12" t="s">
        <v>1442</v>
      </c>
      <c r="N1131" s="12" t="s">
        <v>1925</v>
      </c>
      <c r="O1131" s="12"/>
      <c r="P1131" s="12"/>
      <c r="Q1131" s="12"/>
    </row>
    <row r="1132" spans="1:17" x14ac:dyDescent="0.25">
      <c r="A1132" s="11">
        <v>201092</v>
      </c>
      <c r="B1132" s="12" t="s">
        <v>2732</v>
      </c>
      <c r="C1132" s="12" t="s">
        <v>1449</v>
      </c>
      <c r="D1132" s="125">
        <v>4000000</v>
      </c>
      <c r="E1132" s="125">
        <v>2558127.87</v>
      </c>
      <c r="F1132" s="12">
        <v>48</v>
      </c>
      <c r="G1132" s="12">
        <v>180</v>
      </c>
      <c r="H1132" s="12">
        <v>0</v>
      </c>
      <c r="I1132" s="13">
        <v>42888.62445142361</v>
      </c>
      <c r="J1132" s="13">
        <v>43253</v>
      </c>
      <c r="K1132" s="12" t="s">
        <v>27</v>
      </c>
      <c r="L1132" s="12" t="s">
        <v>81</v>
      </c>
      <c r="M1132" s="12" t="s">
        <v>26</v>
      </c>
      <c r="N1132" s="12" t="s">
        <v>1448</v>
      </c>
      <c r="O1132" s="12"/>
      <c r="P1132" s="12"/>
      <c r="Q1132" s="12"/>
    </row>
    <row r="1133" spans="1:17" x14ac:dyDescent="0.25">
      <c r="A1133" s="11">
        <v>201093</v>
      </c>
      <c r="B1133" s="12" t="s">
        <v>4869</v>
      </c>
      <c r="C1133" s="12" t="s">
        <v>2807</v>
      </c>
      <c r="D1133" s="125">
        <v>40000000</v>
      </c>
      <c r="E1133" s="125">
        <v>25219284.5</v>
      </c>
      <c r="F1133" s="12">
        <v>40</v>
      </c>
      <c r="G1133" s="12">
        <v>180</v>
      </c>
      <c r="H1133" s="12">
        <v>0</v>
      </c>
      <c r="I1133" s="13">
        <v>42887.598011423608</v>
      </c>
      <c r="J1133" s="13">
        <v>43252</v>
      </c>
      <c r="K1133" s="12" t="s">
        <v>46</v>
      </c>
      <c r="L1133" s="12" t="s">
        <v>46</v>
      </c>
      <c r="M1133" s="12" t="s">
        <v>112</v>
      </c>
      <c r="N1133" s="12" t="s">
        <v>2538</v>
      </c>
      <c r="O1133" s="12"/>
      <c r="P1133" s="12"/>
      <c r="Q1133" s="12"/>
    </row>
    <row r="1134" spans="1:17" x14ac:dyDescent="0.25">
      <c r="A1134" s="11">
        <v>201094</v>
      </c>
      <c r="B1134" s="12" t="s">
        <v>3488</v>
      </c>
      <c r="C1134" s="12" t="s">
        <v>2807</v>
      </c>
      <c r="D1134" s="125">
        <v>15000000</v>
      </c>
      <c r="E1134" s="125">
        <v>9605278.1799999997</v>
      </c>
      <c r="F1134" s="12">
        <v>48</v>
      </c>
      <c r="G1134" s="12">
        <v>180</v>
      </c>
      <c r="H1134" s="12">
        <v>0</v>
      </c>
      <c r="I1134" s="13">
        <v>42886.772906446757</v>
      </c>
      <c r="J1134" s="13">
        <v>43252</v>
      </c>
      <c r="K1134" s="12" t="s">
        <v>25</v>
      </c>
      <c r="L1134" s="12" t="s">
        <v>26</v>
      </c>
      <c r="M1134" s="12" t="s">
        <v>26</v>
      </c>
      <c r="N1134" s="12" t="s">
        <v>2861</v>
      </c>
      <c r="O1134" s="12"/>
      <c r="P1134" s="12"/>
      <c r="Q1134" s="12"/>
    </row>
    <row r="1135" spans="1:17" x14ac:dyDescent="0.25">
      <c r="A1135" s="11">
        <v>201095</v>
      </c>
      <c r="B1135" s="12" t="s">
        <v>4868</v>
      </c>
      <c r="C1135" s="12" t="s">
        <v>1449</v>
      </c>
      <c r="D1135" s="125">
        <v>12000000</v>
      </c>
      <c r="E1135" s="125">
        <v>7674383.5999999996</v>
      </c>
      <c r="F1135" s="12">
        <v>48</v>
      </c>
      <c r="G1135" s="12">
        <v>180</v>
      </c>
      <c r="H1135" s="12">
        <v>0</v>
      </c>
      <c r="I1135" s="13">
        <v>42887.411708645835</v>
      </c>
      <c r="J1135" s="13">
        <v>43252</v>
      </c>
      <c r="K1135" s="12" t="s">
        <v>27</v>
      </c>
      <c r="L1135" s="12" t="s">
        <v>116</v>
      </c>
      <c r="M1135" s="12" t="s">
        <v>26</v>
      </c>
      <c r="N1135" s="12" t="s">
        <v>2175</v>
      </c>
      <c r="O1135" s="12"/>
      <c r="P1135" s="12"/>
      <c r="Q1135" s="12"/>
    </row>
    <row r="1136" spans="1:17" x14ac:dyDescent="0.25">
      <c r="A1136" s="11">
        <v>201096</v>
      </c>
      <c r="B1136" s="12" t="s">
        <v>4850</v>
      </c>
      <c r="C1136" s="12" t="s">
        <v>1449</v>
      </c>
      <c r="D1136" s="125">
        <v>4233000</v>
      </c>
      <c r="E1136" s="125">
        <v>3408168.64</v>
      </c>
      <c r="F1136" s="12">
        <v>22</v>
      </c>
      <c r="G1136" s="12">
        <v>180</v>
      </c>
      <c r="H1136" s="12">
        <v>0</v>
      </c>
      <c r="I1136" s="13">
        <v>42892.617003935185</v>
      </c>
      <c r="J1136" s="13">
        <v>43545</v>
      </c>
      <c r="K1136" s="12" t="s">
        <v>43</v>
      </c>
      <c r="L1136" s="12" t="s">
        <v>338</v>
      </c>
      <c r="M1136" s="12" t="s">
        <v>339</v>
      </c>
      <c r="N1136" s="12" t="s">
        <v>284</v>
      </c>
      <c r="O1136" s="12"/>
      <c r="P1136" s="12"/>
      <c r="Q1136" s="12"/>
    </row>
    <row r="1137" spans="1:17" x14ac:dyDescent="0.25">
      <c r="A1137" s="11">
        <v>201100</v>
      </c>
      <c r="B1137" s="12" t="s">
        <v>3401</v>
      </c>
      <c r="C1137" s="12" t="s">
        <v>1449</v>
      </c>
      <c r="D1137" s="125">
        <v>25000000</v>
      </c>
      <c r="E1137" s="125">
        <v>19331343.32</v>
      </c>
      <c r="F1137" s="12">
        <v>36</v>
      </c>
      <c r="G1137" s="12">
        <v>180</v>
      </c>
      <c r="H1137" s="12">
        <v>0</v>
      </c>
      <c r="I1137" s="13">
        <v>42894.757028159722</v>
      </c>
      <c r="J1137" s="13">
        <v>43442</v>
      </c>
      <c r="K1137" s="12" t="s">
        <v>44</v>
      </c>
      <c r="L1137" s="12" t="s">
        <v>75</v>
      </c>
      <c r="M1137" s="12" t="s">
        <v>1442</v>
      </c>
      <c r="N1137" s="12" t="s">
        <v>546</v>
      </c>
      <c r="O1137" s="12"/>
      <c r="P1137" s="12"/>
      <c r="Q1137" s="12"/>
    </row>
    <row r="1138" spans="1:17" x14ac:dyDescent="0.25">
      <c r="A1138" s="11">
        <v>201101</v>
      </c>
      <c r="B1138" s="12" t="s">
        <v>4885</v>
      </c>
      <c r="C1138" s="12" t="s">
        <v>2807</v>
      </c>
      <c r="D1138" s="125">
        <v>2500000</v>
      </c>
      <c r="E1138" s="125">
        <v>1387000.25</v>
      </c>
      <c r="F1138" s="12">
        <v>54</v>
      </c>
      <c r="G1138" s="12">
        <v>180</v>
      </c>
      <c r="H1138" s="12">
        <v>0</v>
      </c>
      <c r="I1138" s="13">
        <v>42898.485473263892</v>
      </c>
      <c r="J1138" s="13">
        <v>43202</v>
      </c>
      <c r="K1138" s="12" t="s">
        <v>25</v>
      </c>
      <c r="L1138" s="12" t="s">
        <v>26</v>
      </c>
      <c r="M1138" s="12" t="s">
        <v>26</v>
      </c>
      <c r="N1138" s="12" t="s">
        <v>3074</v>
      </c>
      <c r="O1138" s="12"/>
      <c r="P1138" s="12"/>
      <c r="Q1138" s="12"/>
    </row>
    <row r="1139" spans="1:17" x14ac:dyDescent="0.25">
      <c r="A1139" s="11">
        <v>201104</v>
      </c>
      <c r="B1139" s="12" t="s">
        <v>4886</v>
      </c>
      <c r="C1139" s="12" t="s">
        <v>1449</v>
      </c>
      <c r="D1139" s="125">
        <v>15000000</v>
      </c>
      <c r="E1139" s="125">
        <v>9693450.7899999991</v>
      </c>
      <c r="F1139" s="12">
        <v>54</v>
      </c>
      <c r="G1139" s="12">
        <v>180</v>
      </c>
      <c r="H1139" s="12">
        <v>0</v>
      </c>
      <c r="I1139" s="13">
        <v>42898.722324340277</v>
      </c>
      <c r="J1139" s="13">
        <v>43263</v>
      </c>
      <c r="K1139" s="12" t="s">
        <v>37</v>
      </c>
      <c r="L1139" s="12" t="s">
        <v>38</v>
      </c>
      <c r="M1139" s="12" t="s">
        <v>39</v>
      </c>
      <c r="N1139" s="12" t="s">
        <v>1667</v>
      </c>
      <c r="O1139" s="12"/>
      <c r="P1139" s="12"/>
      <c r="Q1139" s="12"/>
    </row>
    <row r="1140" spans="1:17" x14ac:dyDescent="0.25">
      <c r="A1140" s="11">
        <v>201106</v>
      </c>
      <c r="B1140" s="12" t="s">
        <v>3350</v>
      </c>
      <c r="C1140" s="12" t="s">
        <v>1449</v>
      </c>
      <c r="D1140" s="125">
        <v>4000000</v>
      </c>
      <c r="E1140" s="125">
        <v>2558127.87</v>
      </c>
      <c r="F1140" s="12">
        <v>48</v>
      </c>
      <c r="G1140" s="12">
        <v>180</v>
      </c>
      <c r="H1140" s="12">
        <v>0</v>
      </c>
      <c r="I1140" s="13">
        <v>42899.468766782411</v>
      </c>
      <c r="J1140" s="13">
        <v>43264</v>
      </c>
      <c r="K1140" s="12" t="s">
        <v>44</v>
      </c>
      <c r="L1140" s="12" t="s">
        <v>75</v>
      </c>
      <c r="M1140" s="12" t="s">
        <v>1442</v>
      </c>
      <c r="N1140" s="12" t="s">
        <v>2861</v>
      </c>
      <c r="O1140" s="12"/>
      <c r="P1140" s="12"/>
      <c r="Q1140" s="12"/>
    </row>
    <row r="1141" spans="1:17" x14ac:dyDescent="0.25">
      <c r="A1141" s="11">
        <v>201107</v>
      </c>
      <c r="B1141" s="12" t="s">
        <v>2679</v>
      </c>
      <c r="C1141" s="12" t="s">
        <v>2807</v>
      </c>
      <c r="D1141" s="125">
        <v>32000000</v>
      </c>
      <c r="E1141" s="125">
        <v>20029030.98</v>
      </c>
      <c r="F1141" s="12">
        <v>36</v>
      </c>
      <c r="G1141" s="12">
        <v>180</v>
      </c>
      <c r="H1141" s="12">
        <v>0</v>
      </c>
      <c r="I1141" s="13">
        <v>42900.564021377315</v>
      </c>
      <c r="J1141" s="13">
        <v>43265</v>
      </c>
      <c r="K1141" s="12" t="s">
        <v>45</v>
      </c>
      <c r="L1141" s="12" t="s">
        <v>45</v>
      </c>
      <c r="M1141" s="12" t="s">
        <v>89</v>
      </c>
      <c r="N1141" s="12" t="s">
        <v>491</v>
      </c>
      <c r="O1141" s="12"/>
      <c r="P1141" s="12"/>
      <c r="Q1141" s="12"/>
    </row>
    <row r="1142" spans="1:17" x14ac:dyDescent="0.25">
      <c r="A1142" s="11">
        <v>201108</v>
      </c>
      <c r="B1142" s="12" t="s">
        <v>3490</v>
      </c>
      <c r="C1142" s="12" t="s">
        <v>2807</v>
      </c>
      <c r="D1142" s="125">
        <v>5000000</v>
      </c>
      <c r="E1142" s="125">
        <v>3197659.85</v>
      </c>
      <c r="F1142" s="12">
        <v>48</v>
      </c>
      <c r="G1142" s="12">
        <v>180</v>
      </c>
      <c r="H1142" s="12">
        <v>0</v>
      </c>
      <c r="I1142" s="13">
        <v>42901.675884756944</v>
      </c>
      <c r="J1142" s="13">
        <v>43266</v>
      </c>
      <c r="K1142" s="12" t="s">
        <v>25</v>
      </c>
      <c r="L1142" s="12" t="s">
        <v>26</v>
      </c>
      <c r="M1142" s="12" t="s">
        <v>26</v>
      </c>
      <c r="N1142" s="12" t="s">
        <v>2175</v>
      </c>
      <c r="O1142" s="12"/>
      <c r="P1142" s="12"/>
      <c r="Q1142" s="12"/>
    </row>
    <row r="1143" spans="1:17" x14ac:dyDescent="0.25">
      <c r="A1143" s="11">
        <v>201109</v>
      </c>
      <c r="B1143" s="12" t="s">
        <v>4898</v>
      </c>
      <c r="C1143" s="12" t="s">
        <v>2807</v>
      </c>
      <c r="D1143" s="125">
        <v>7000000</v>
      </c>
      <c r="E1143" s="125">
        <v>4445166.99</v>
      </c>
      <c r="F1143" s="12">
        <v>44</v>
      </c>
      <c r="G1143" s="12">
        <v>180</v>
      </c>
      <c r="H1143" s="12">
        <v>0</v>
      </c>
      <c r="I1143" s="13">
        <v>42901.669926817129</v>
      </c>
      <c r="J1143" s="13">
        <v>43266</v>
      </c>
      <c r="K1143" s="12" t="s">
        <v>44</v>
      </c>
      <c r="L1143" s="12" t="s">
        <v>75</v>
      </c>
      <c r="M1143" s="12" t="s">
        <v>26</v>
      </c>
      <c r="N1143" s="12" t="s">
        <v>1909</v>
      </c>
      <c r="O1143" s="12"/>
      <c r="P1143" s="12"/>
      <c r="Q1143" s="12"/>
    </row>
    <row r="1144" spans="1:17" x14ac:dyDescent="0.25">
      <c r="A1144" s="11">
        <v>201110</v>
      </c>
      <c r="B1144" s="12" t="s">
        <v>4897</v>
      </c>
      <c r="C1144" s="12" t="s">
        <v>2807</v>
      </c>
      <c r="D1144" s="125">
        <v>2500000</v>
      </c>
      <c r="E1144" s="125">
        <v>1387000.25</v>
      </c>
      <c r="F1144" s="12">
        <v>54</v>
      </c>
      <c r="G1144" s="12">
        <v>180</v>
      </c>
      <c r="H1144" s="12">
        <v>0</v>
      </c>
      <c r="I1144" s="13">
        <v>42901.681031863423</v>
      </c>
      <c r="J1144" s="13">
        <v>43205</v>
      </c>
      <c r="K1144" s="12" t="s">
        <v>25</v>
      </c>
      <c r="L1144" s="12" t="s">
        <v>26</v>
      </c>
      <c r="M1144" s="12" t="s">
        <v>26</v>
      </c>
      <c r="N1144" s="12" t="s">
        <v>1448</v>
      </c>
      <c r="O1144" s="12"/>
      <c r="P1144" s="12"/>
      <c r="Q1144" s="12"/>
    </row>
    <row r="1145" spans="1:17" x14ac:dyDescent="0.25">
      <c r="A1145" s="11">
        <v>201111</v>
      </c>
      <c r="B1145" s="12" t="s">
        <v>4929</v>
      </c>
      <c r="C1145" s="12" t="s">
        <v>2807</v>
      </c>
      <c r="D1145" s="125">
        <v>25000000</v>
      </c>
      <c r="E1145" s="125">
        <v>19719988.949999999</v>
      </c>
      <c r="F1145" s="12">
        <v>48</v>
      </c>
      <c r="G1145" s="12">
        <v>180</v>
      </c>
      <c r="H1145" s="12">
        <v>0</v>
      </c>
      <c r="I1145" s="13">
        <v>42907.509451238424</v>
      </c>
      <c r="J1145" s="13">
        <v>43455</v>
      </c>
      <c r="K1145" s="12" t="s">
        <v>44</v>
      </c>
      <c r="L1145" s="12" t="s">
        <v>26</v>
      </c>
      <c r="M1145" s="12" t="s">
        <v>26</v>
      </c>
      <c r="N1145" s="12" t="s">
        <v>4685</v>
      </c>
      <c r="O1145" s="12"/>
      <c r="P1145" s="12"/>
      <c r="Q1145" s="12"/>
    </row>
    <row r="1146" spans="1:17" x14ac:dyDescent="0.25">
      <c r="A1146" s="11">
        <v>201112</v>
      </c>
      <c r="B1146" s="12" t="s">
        <v>3561</v>
      </c>
      <c r="C1146" s="12" t="s">
        <v>2807</v>
      </c>
      <c r="D1146" s="125">
        <v>30000000</v>
      </c>
      <c r="E1146" s="125">
        <v>25373499.710000001</v>
      </c>
      <c r="F1146" s="12">
        <v>36</v>
      </c>
      <c r="G1146" s="12">
        <v>180</v>
      </c>
      <c r="H1146" s="12">
        <v>0</v>
      </c>
      <c r="I1146" s="13">
        <v>42901.750078159719</v>
      </c>
      <c r="J1146" s="13">
        <v>43631</v>
      </c>
      <c r="K1146" s="12" t="s">
        <v>44</v>
      </c>
      <c r="L1146" s="12" t="s">
        <v>75</v>
      </c>
      <c r="M1146" s="12" t="s">
        <v>26</v>
      </c>
      <c r="N1146" s="12" t="s">
        <v>546</v>
      </c>
      <c r="O1146" s="12"/>
      <c r="P1146" s="12"/>
      <c r="Q1146" s="12"/>
    </row>
    <row r="1147" spans="1:17" x14ac:dyDescent="0.25">
      <c r="A1147" s="11">
        <v>201113</v>
      </c>
      <c r="B1147" s="12" t="s">
        <v>4084</v>
      </c>
      <c r="C1147" s="12" t="s">
        <v>2807</v>
      </c>
      <c r="D1147" s="125">
        <v>35000000</v>
      </c>
      <c r="E1147" s="125">
        <v>28746296.120000001</v>
      </c>
      <c r="F1147" s="12">
        <v>36</v>
      </c>
      <c r="G1147" s="12">
        <v>180</v>
      </c>
      <c r="H1147" s="12">
        <v>0</v>
      </c>
      <c r="I1147" s="13">
        <v>42902.50178298611</v>
      </c>
      <c r="J1147" s="13">
        <v>43450</v>
      </c>
      <c r="K1147" s="12" t="s">
        <v>44</v>
      </c>
      <c r="L1147" s="12" t="s">
        <v>75</v>
      </c>
      <c r="M1147" s="12" t="s">
        <v>26</v>
      </c>
      <c r="N1147" s="12" t="s">
        <v>546</v>
      </c>
      <c r="O1147" s="12"/>
      <c r="P1147" s="12"/>
      <c r="Q1147" s="12"/>
    </row>
    <row r="1148" spans="1:17" x14ac:dyDescent="0.25">
      <c r="A1148" s="11">
        <v>201114</v>
      </c>
      <c r="B1148" s="12" t="s">
        <v>4904</v>
      </c>
      <c r="C1148" s="12" t="s">
        <v>2807</v>
      </c>
      <c r="D1148" s="125">
        <v>30000000</v>
      </c>
      <c r="E1148" s="125">
        <v>23355586.120000001</v>
      </c>
      <c r="F1148" s="12">
        <v>40</v>
      </c>
      <c r="G1148" s="12">
        <v>180</v>
      </c>
      <c r="H1148" s="12">
        <v>0</v>
      </c>
      <c r="I1148" s="13">
        <v>42902.57308318287</v>
      </c>
      <c r="J1148" s="13">
        <v>43450</v>
      </c>
      <c r="K1148" s="12" t="s">
        <v>44</v>
      </c>
      <c r="L1148" s="12" t="s">
        <v>92</v>
      </c>
      <c r="M1148" s="12" t="s">
        <v>26</v>
      </c>
      <c r="N1148" s="12" t="s">
        <v>1909</v>
      </c>
      <c r="O1148" s="12"/>
      <c r="P1148" s="12"/>
      <c r="Q1148" s="12"/>
    </row>
    <row r="1149" spans="1:17" x14ac:dyDescent="0.25">
      <c r="A1149" s="11">
        <v>201115</v>
      </c>
      <c r="B1149" s="12" t="s">
        <v>3179</v>
      </c>
      <c r="C1149" s="12" t="s">
        <v>1449</v>
      </c>
      <c r="D1149" s="125">
        <v>2500000</v>
      </c>
      <c r="E1149" s="125">
        <v>1598829.92</v>
      </c>
      <c r="F1149" s="12">
        <v>48</v>
      </c>
      <c r="G1149" s="12">
        <v>180</v>
      </c>
      <c r="H1149" s="12">
        <v>0</v>
      </c>
      <c r="I1149" s="13">
        <v>42903.522571180554</v>
      </c>
      <c r="J1149" s="13">
        <v>43268</v>
      </c>
      <c r="K1149" s="12" t="s">
        <v>44</v>
      </c>
      <c r="L1149" s="12" t="s">
        <v>75</v>
      </c>
      <c r="M1149" s="12" t="s">
        <v>1442</v>
      </c>
      <c r="N1149" s="12" t="s">
        <v>2557</v>
      </c>
      <c r="O1149" s="12"/>
      <c r="P1149" s="12"/>
      <c r="Q1149" s="12"/>
    </row>
    <row r="1150" spans="1:17" x14ac:dyDescent="0.25">
      <c r="A1150" s="11">
        <v>201116</v>
      </c>
      <c r="B1150" s="12" t="s">
        <v>4910</v>
      </c>
      <c r="C1150" s="12" t="s">
        <v>2807</v>
      </c>
      <c r="D1150" s="125">
        <v>6000000</v>
      </c>
      <c r="E1150" s="125">
        <v>2939904.34</v>
      </c>
      <c r="F1150" s="12">
        <v>50</v>
      </c>
      <c r="G1150" s="12">
        <v>180</v>
      </c>
      <c r="H1150" s="12">
        <v>0</v>
      </c>
      <c r="I1150" s="13">
        <v>42905.652842939817</v>
      </c>
      <c r="J1150" s="13">
        <v>43178</v>
      </c>
      <c r="K1150" s="12" t="s">
        <v>25</v>
      </c>
      <c r="L1150" s="12" t="s">
        <v>88</v>
      </c>
      <c r="M1150" s="12" t="s">
        <v>26</v>
      </c>
      <c r="N1150" s="12" t="s">
        <v>2538</v>
      </c>
      <c r="O1150" s="12"/>
      <c r="P1150" s="12"/>
      <c r="Q1150" s="12"/>
    </row>
    <row r="1151" spans="1:17" x14ac:dyDescent="0.25">
      <c r="A1151" s="11">
        <v>201117</v>
      </c>
      <c r="B1151" s="12" t="s">
        <v>4911</v>
      </c>
      <c r="C1151" s="12" t="s">
        <v>1449</v>
      </c>
      <c r="D1151" s="125">
        <v>5000000</v>
      </c>
      <c r="E1151" s="125">
        <v>3501447.84</v>
      </c>
      <c r="F1151" s="12">
        <v>54</v>
      </c>
      <c r="G1151" s="12">
        <v>180</v>
      </c>
      <c r="H1151" s="12">
        <v>0</v>
      </c>
      <c r="I1151" s="13">
        <v>42905.707433530093</v>
      </c>
      <c r="J1151" s="13">
        <v>43270</v>
      </c>
      <c r="K1151" s="12" t="s">
        <v>25</v>
      </c>
      <c r="L1151" s="12" t="s">
        <v>26</v>
      </c>
      <c r="M1151" s="12" t="s">
        <v>26</v>
      </c>
      <c r="N1151" s="12" t="s">
        <v>4844</v>
      </c>
      <c r="O1151" s="12"/>
      <c r="P1151" s="12"/>
      <c r="Q1151" s="12"/>
    </row>
    <row r="1152" spans="1:17" x14ac:dyDescent="0.25">
      <c r="A1152" s="11">
        <v>201118</v>
      </c>
      <c r="B1152" s="12" t="s">
        <v>3547</v>
      </c>
      <c r="C1152" s="12" t="s">
        <v>2807</v>
      </c>
      <c r="D1152" s="125">
        <v>5000000</v>
      </c>
      <c r="E1152" s="125">
        <v>2744346.9</v>
      </c>
      <c r="F1152" s="12">
        <v>48</v>
      </c>
      <c r="G1152" s="12">
        <v>180</v>
      </c>
      <c r="H1152" s="12">
        <v>0</v>
      </c>
      <c r="I1152" s="13">
        <v>42906.382008136577</v>
      </c>
      <c r="J1152" s="13">
        <v>43210</v>
      </c>
      <c r="K1152" s="12" t="s">
        <v>25</v>
      </c>
      <c r="L1152" s="12" t="s">
        <v>26</v>
      </c>
      <c r="M1152" s="12" t="s">
        <v>26</v>
      </c>
      <c r="N1152" s="12" t="s">
        <v>4683</v>
      </c>
      <c r="O1152" s="12"/>
      <c r="P1152" s="12"/>
      <c r="Q1152" s="12"/>
    </row>
    <row r="1153" spans="1:17" x14ac:dyDescent="0.25">
      <c r="A1153" s="11">
        <v>201119</v>
      </c>
      <c r="B1153" s="12" t="s">
        <v>4918</v>
      </c>
      <c r="C1153" s="12" t="s">
        <v>2807</v>
      </c>
      <c r="D1153" s="125">
        <v>2500000</v>
      </c>
      <c r="E1153" s="125">
        <v>907674.51</v>
      </c>
      <c r="F1153" s="12">
        <v>54</v>
      </c>
      <c r="G1153" s="12">
        <v>180</v>
      </c>
      <c r="H1153" s="12">
        <v>0</v>
      </c>
      <c r="I1153" s="13">
        <v>42906.535172800926</v>
      </c>
      <c r="J1153" s="13">
        <v>43089</v>
      </c>
      <c r="K1153" s="12" t="s">
        <v>25</v>
      </c>
      <c r="L1153" s="12" t="s">
        <v>26</v>
      </c>
      <c r="M1153" s="12" t="s">
        <v>26</v>
      </c>
      <c r="N1153" s="12" t="s">
        <v>4919</v>
      </c>
      <c r="O1153" s="12"/>
      <c r="P1153" s="12"/>
      <c r="Q1153" s="12"/>
    </row>
    <row r="1154" spans="1:17" x14ac:dyDescent="0.25">
      <c r="A1154" s="11">
        <v>201120</v>
      </c>
      <c r="B1154" s="12" t="s">
        <v>4917</v>
      </c>
      <c r="C1154" s="12" t="s">
        <v>2807</v>
      </c>
      <c r="D1154" s="125">
        <v>2500000</v>
      </c>
      <c r="E1154" s="125">
        <v>1615575.13</v>
      </c>
      <c r="F1154" s="12">
        <v>54</v>
      </c>
      <c r="G1154" s="12">
        <v>180</v>
      </c>
      <c r="H1154" s="12">
        <v>0</v>
      </c>
      <c r="I1154" s="13">
        <v>42906.51932230324</v>
      </c>
      <c r="J1154" s="13">
        <v>43271</v>
      </c>
      <c r="K1154" s="12" t="s">
        <v>25</v>
      </c>
      <c r="L1154" s="12" t="s">
        <v>26</v>
      </c>
      <c r="M1154" s="12" t="s">
        <v>26</v>
      </c>
      <c r="N1154" s="12" t="s">
        <v>2538</v>
      </c>
      <c r="O1154" s="12"/>
      <c r="P1154" s="12"/>
      <c r="Q1154" s="12"/>
    </row>
    <row r="1155" spans="1:17" x14ac:dyDescent="0.25">
      <c r="A1155" s="11">
        <v>201121</v>
      </c>
      <c r="B1155" s="12" t="s">
        <v>2236</v>
      </c>
      <c r="C1155" s="12" t="s">
        <v>1449</v>
      </c>
      <c r="D1155" s="125">
        <v>6000000</v>
      </c>
      <c r="E1155" s="125">
        <v>4280211.46</v>
      </c>
      <c r="F1155" s="12">
        <v>44</v>
      </c>
      <c r="G1155" s="12">
        <v>180</v>
      </c>
      <c r="H1155" s="12">
        <v>0</v>
      </c>
      <c r="I1155" s="13">
        <v>42906.706998182868</v>
      </c>
      <c r="J1155" s="13">
        <v>43271</v>
      </c>
      <c r="K1155" s="12" t="s">
        <v>25</v>
      </c>
      <c r="L1155" s="12" t="s">
        <v>88</v>
      </c>
      <c r="M1155" s="12" t="s">
        <v>285</v>
      </c>
      <c r="N1155" s="12" t="s">
        <v>1448</v>
      </c>
      <c r="O1155" s="12"/>
      <c r="P1155" s="12"/>
      <c r="Q1155" s="12"/>
    </row>
    <row r="1156" spans="1:17" x14ac:dyDescent="0.25">
      <c r="A1156" s="11">
        <v>201123</v>
      </c>
      <c r="B1156" s="12" t="s">
        <v>4916</v>
      </c>
      <c r="C1156" s="12" t="s">
        <v>1449</v>
      </c>
      <c r="D1156" s="125">
        <v>40000000</v>
      </c>
      <c r="E1156" s="125">
        <v>25219284.5</v>
      </c>
      <c r="F1156" s="12">
        <v>40</v>
      </c>
      <c r="G1156" s="12">
        <v>180</v>
      </c>
      <c r="H1156" s="12">
        <v>0</v>
      </c>
      <c r="I1156" s="13">
        <v>42906.581479479166</v>
      </c>
      <c r="J1156" s="13">
        <v>43271</v>
      </c>
      <c r="K1156" s="12" t="s">
        <v>27</v>
      </c>
      <c r="L1156" s="12" t="s">
        <v>116</v>
      </c>
      <c r="M1156" s="12" t="s">
        <v>26</v>
      </c>
      <c r="N1156" s="12" t="s">
        <v>1909</v>
      </c>
      <c r="O1156" s="12"/>
      <c r="P1156" s="12"/>
      <c r="Q1156" s="12"/>
    </row>
    <row r="1157" spans="1:17" x14ac:dyDescent="0.25">
      <c r="A1157" s="11">
        <v>201124</v>
      </c>
      <c r="B1157" s="12" t="s">
        <v>2593</v>
      </c>
      <c r="C1157" s="12" t="s">
        <v>1449</v>
      </c>
      <c r="D1157" s="125">
        <v>11090000</v>
      </c>
      <c r="E1157" s="125">
        <v>9953772.6699999999</v>
      </c>
      <c r="F1157" s="12">
        <v>22</v>
      </c>
      <c r="G1157" s="12">
        <v>180</v>
      </c>
      <c r="H1157" s="12">
        <v>0</v>
      </c>
      <c r="I1157" s="13">
        <v>42906.719259953701</v>
      </c>
      <c r="J1157" s="13">
        <v>44003</v>
      </c>
      <c r="K1157" s="12" t="s">
        <v>43</v>
      </c>
      <c r="L1157" s="12" t="s">
        <v>338</v>
      </c>
      <c r="M1157" s="12" t="s">
        <v>339</v>
      </c>
      <c r="N1157" s="12" t="s">
        <v>284</v>
      </c>
      <c r="O1157" s="12"/>
      <c r="P1157" s="12"/>
      <c r="Q1157" s="12"/>
    </row>
    <row r="1158" spans="1:17" x14ac:dyDescent="0.25">
      <c r="A1158" s="11">
        <v>201125</v>
      </c>
      <c r="B1158" s="12" t="s">
        <v>4938</v>
      </c>
      <c r="C1158" s="12" t="s">
        <v>2807</v>
      </c>
      <c r="D1158" s="125">
        <v>15000000</v>
      </c>
      <c r="E1158" s="125">
        <v>9457231.7100000009</v>
      </c>
      <c r="F1158" s="12">
        <v>40</v>
      </c>
      <c r="G1158" s="12">
        <v>180</v>
      </c>
      <c r="H1158" s="12">
        <v>0</v>
      </c>
      <c r="I1158" s="13">
        <v>42908.44984548611</v>
      </c>
      <c r="J1158" s="13">
        <v>43273</v>
      </c>
      <c r="K1158" s="12" t="s">
        <v>44</v>
      </c>
      <c r="L1158" s="12" t="s">
        <v>26</v>
      </c>
      <c r="M1158" s="12" t="s">
        <v>26</v>
      </c>
      <c r="N1158" s="12" t="s">
        <v>2538</v>
      </c>
      <c r="O1158" s="12"/>
      <c r="P1158" s="12"/>
      <c r="Q1158" s="12"/>
    </row>
    <row r="1159" spans="1:17" x14ac:dyDescent="0.25">
      <c r="A1159" s="11">
        <v>201126</v>
      </c>
      <c r="B1159" s="12" t="s">
        <v>4949</v>
      </c>
      <c r="C1159" s="12" t="s">
        <v>2807</v>
      </c>
      <c r="D1159" s="125">
        <v>40000000</v>
      </c>
      <c r="E1159" s="125">
        <v>31423796.66</v>
      </c>
      <c r="F1159" s="12">
        <v>40</v>
      </c>
      <c r="G1159" s="12">
        <v>180</v>
      </c>
      <c r="H1159" s="12">
        <v>0</v>
      </c>
      <c r="I1159" s="13">
        <v>42910.50086177083</v>
      </c>
      <c r="J1159" s="13">
        <v>43275</v>
      </c>
      <c r="K1159" s="12" t="s">
        <v>25</v>
      </c>
      <c r="L1159" s="12" t="s">
        <v>26</v>
      </c>
      <c r="M1159" s="12" t="s">
        <v>26</v>
      </c>
      <c r="N1159" s="12" t="s">
        <v>491</v>
      </c>
      <c r="O1159" s="12"/>
      <c r="P1159" s="12"/>
      <c r="Q1159" s="12"/>
    </row>
    <row r="1160" spans="1:17" x14ac:dyDescent="0.25">
      <c r="A1160" s="11">
        <v>201127</v>
      </c>
      <c r="B1160" s="12" t="s">
        <v>2875</v>
      </c>
      <c r="C1160" s="12" t="s">
        <v>1449</v>
      </c>
      <c r="D1160" s="125">
        <v>3000000</v>
      </c>
      <c r="E1160" s="125">
        <v>1928908.93</v>
      </c>
      <c r="F1160" s="12">
        <v>48</v>
      </c>
      <c r="G1160" s="12">
        <v>180</v>
      </c>
      <c r="H1160" s="12">
        <v>0</v>
      </c>
      <c r="I1160" s="13">
        <v>42907.513442013886</v>
      </c>
      <c r="J1160" s="13">
        <v>43272</v>
      </c>
      <c r="K1160" s="12" t="s">
        <v>25</v>
      </c>
      <c r="L1160" s="12" t="s">
        <v>88</v>
      </c>
      <c r="M1160" s="12" t="s">
        <v>285</v>
      </c>
      <c r="N1160" s="12" t="s">
        <v>4684</v>
      </c>
      <c r="O1160" s="12"/>
      <c r="P1160" s="12"/>
      <c r="Q1160" s="12"/>
    </row>
    <row r="1161" spans="1:17" x14ac:dyDescent="0.25">
      <c r="A1161" s="11">
        <v>201131</v>
      </c>
      <c r="B1161" s="12" t="s">
        <v>4943</v>
      </c>
      <c r="C1161" s="12" t="s">
        <v>1449</v>
      </c>
      <c r="D1161" s="125">
        <v>35000000</v>
      </c>
      <c r="E1161" s="125">
        <v>29936502.710000001</v>
      </c>
      <c r="F1161" s="12">
        <v>40</v>
      </c>
      <c r="G1161" s="12">
        <v>180</v>
      </c>
      <c r="H1161" s="12">
        <v>0</v>
      </c>
      <c r="I1161" s="13">
        <v>42909.555756562499</v>
      </c>
      <c r="J1161" s="13">
        <v>43639</v>
      </c>
      <c r="K1161" s="12" t="s">
        <v>27</v>
      </c>
      <c r="L1161" s="12" t="s">
        <v>116</v>
      </c>
      <c r="M1161" s="12" t="s">
        <v>1739</v>
      </c>
      <c r="N1161" s="12" t="s">
        <v>1925</v>
      </c>
      <c r="O1161" s="12"/>
      <c r="P1161" s="12"/>
      <c r="Q1161" s="12"/>
    </row>
    <row r="1162" spans="1:17" x14ac:dyDescent="0.25">
      <c r="A1162" s="11">
        <v>201132</v>
      </c>
      <c r="B1162" s="12" t="s">
        <v>3668</v>
      </c>
      <c r="C1162" s="12" t="s">
        <v>1449</v>
      </c>
      <c r="D1162" s="125">
        <v>3000000</v>
      </c>
      <c r="E1162" s="125">
        <v>1918595.89</v>
      </c>
      <c r="F1162" s="12">
        <v>48</v>
      </c>
      <c r="G1162" s="12">
        <v>180</v>
      </c>
      <c r="H1162" s="12">
        <v>0</v>
      </c>
      <c r="I1162" s="13">
        <v>42909.715059178241</v>
      </c>
      <c r="J1162" s="13">
        <v>43274</v>
      </c>
      <c r="K1162" s="12" t="s">
        <v>25</v>
      </c>
      <c r="L1162" s="12" t="s">
        <v>88</v>
      </c>
      <c r="M1162" s="12" t="s">
        <v>285</v>
      </c>
      <c r="N1162" s="12" t="s">
        <v>2034</v>
      </c>
      <c r="O1162" s="12"/>
      <c r="P1162" s="12"/>
      <c r="Q1162" s="12"/>
    </row>
    <row r="1163" spans="1:17" x14ac:dyDescent="0.25">
      <c r="A1163" s="11">
        <v>201134</v>
      </c>
      <c r="B1163" s="12" t="s">
        <v>4944</v>
      </c>
      <c r="C1163" s="12" t="s">
        <v>1449</v>
      </c>
      <c r="D1163" s="125">
        <v>20000000</v>
      </c>
      <c r="E1163" s="125">
        <v>14226881.300000001</v>
      </c>
      <c r="F1163" s="12">
        <v>42</v>
      </c>
      <c r="G1163" s="12">
        <v>180</v>
      </c>
      <c r="H1163" s="12">
        <v>0</v>
      </c>
      <c r="I1163" s="13">
        <v>42909.698539201388</v>
      </c>
      <c r="J1163" s="13">
        <v>43274</v>
      </c>
      <c r="K1163" s="12" t="s">
        <v>44</v>
      </c>
      <c r="L1163" s="12" t="s">
        <v>75</v>
      </c>
      <c r="M1163" s="12" t="s">
        <v>1442</v>
      </c>
      <c r="N1163" s="12" t="s">
        <v>2175</v>
      </c>
      <c r="O1163" s="12"/>
      <c r="P1163" s="12"/>
      <c r="Q1163" s="12"/>
    </row>
    <row r="1164" spans="1:17" x14ac:dyDescent="0.25">
      <c r="A1164" s="11">
        <v>201136</v>
      </c>
      <c r="B1164" s="12" t="s">
        <v>4952</v>
      </c>
      <c r="C1164" s="12" t="s">
        <v>2807</v>
      </c>
      <c r="D1164" s="125">
        <v>40000000</v>
      </c>
      <c r="E1164" s="125">
        <v>29531050.489999998</v>
      </c>
      <c r="F1164" s="12">
        <v>40</v>
      </c>
      <c r="G1164" s="12">
        <v>180</v>
      </c>
      <c r="H1164" s="12">
        <v>0</v>
      </c>
      <c r="I1164" s="13">
        <v>42912.623562002314</v>
      </c>
      <c r="J1164" s="13">
        <v>43282</v>
      </c>
      <c r="K1164" s="12" t="s">
        <v>27</v>
      </c>
      <c r="L1164" s="12" t="s">
        <v>26</v>
      </c>
      <c r="M1164" s="12" t="s">
        <v>26</v>
      </c>
      <c r="N1164" s="12" t="s">
        <v>1925</v>
      </c>
      <c r="O1164" s="12"/>
      <c r="P1164" s="12"/>
      <c r="Q1164" s="12"/>
    </row>
    <row r="1165" spans="1:17" x14ac:dyDescent="0.25">
      <c r="A1165" s="11">
        <v>201137</v>
      </c>
      <c r="B1165" s="12" t="s">
        <v>4955</v>
      </c>
      <c r="C1165" s="12" t="s">
        <v>2807</v>
      </c>
      <c r="D1165" s="125">
        <v>4000000</v>
      </c>
      <c r="E1165" s="125">
        <v>1462702.26</v>
      </c>
      <c r="F1165" s="12">
        <v>54</v>
      </c>
      <c r="G1165" s="12">
        <v>180</v>
      </c>
      <c r="H1165" s="12">
        <v>0</v>
      </c>
      <c r="I1165" s="13">
        <v>42912.715486307869</v>
      </c>
      <c r="J1165" s="13">
        <v>43101</v>
      </c>
      <c r="K1165" s="12" t="s">
        <v>25</v>
      </c>
      <c r="L1165" s="12" t="s">
        <v>26</v>
      </c>
      <c r="M1165" s="12" t="s">
        <v>26</v>
      </c>
      <c r="N1165" s="12" t="s">
        <v>4919</v>
      </c>
      <c r="O1165" s="12"/>
      <c r="P1165" s="12"/>
      <c r="Q1165" s="12"/>
    </row>
    <row r="1166" spans="1:17" x14ac:dyDescent="0.25">
      <c r="A1166" s="11">
        <v>201138</v>
      </c>
      <c r="B1166" s="12" t="s">
        <v>4953</v>
      </c>
      <c r="C1166" s="12" t="s">
        <v>1449</v>
      </c>
      <c r="D1166" s="125">
        <v>2500000</v>
      </c>
      <c r="E1166" s="125">
        <v>1627275.47</v>
      </c>
      <c r="F1166" s="12">
        <v>54</v>
      </c>
      <c r="G1166" s="12">
        <v>180</v>
      </c>
      <c r="H1166" s="12">
        <v>0</v>
      </c>
      <c r="I1166" s="13">
        <v>42912.698358368056</v>
      </c>
      <c r="J1166" s="13">
        <v>43215</v>
      </c>
      <c r="K1166" s="12" t="s">
        <v>25</v>
      </c>
      <c r="L1166" s="12" t="s">
        <v>88</v>
      </c>
      <c r="M1166" s="12" t="s">
        <v>285</v>
      </c>
      <c r="N1166" s="12" t="s">
        <v>2855</v>
      </c>
      <c r="O1166" s="12"/>
      <c r="P1166" s="12"/>
      <c r="Q1166" s="12"/>
    </row>
    <row r="1167" spans="1:17" x14ac:dyDescent="0.25">
      <c r="A1167" s="11">
        <v>201139</v>
      </c>
      <c r="B1167" s="12" t="s">
        <v>4968</v>
      </c>
      <c r="C1167" s="12" t="s">
        <v>1449</v>
      </c>
      <c r="D1167" s="125">
        <v>2000000</v>
      </c>
      <c r="E1167" s="125">
        <v>1551997.65</v>
      </c>
      <c r="F1167" s="12">
        <v>54</v>
      </c>
      <c r="G1167" s="12">
        <v>180</v>
      </c>
      <c r="H1167" s="12">
        <v>0</v>
      </c>
      <c r="I1167" s="13">
        <v>42913.683103437499</v>
      </c>
      <c r="J1167" s="13">
        <v>43160</v>
      </c>
      <c r="K1167" s="12" t="s">
        <v>25</v>
      </c>
      <c r="L1167" s="12" t="s">
        <v>88</v>
      </c>
      <c r="M1167" s="12" t="s">
        <v>285</v>
      </c>
      <c r="N1167" s="12" t="s">
        <v>4683</v>
      </c>
      <c r="O1167" s="12"/>
      <c r="P1167" s="12"/>
      <c r="Q1167" s="12"/>
    </row>
    <row r="1168" spans="1:17" x14ac:dyDescent="0.25">
      <c r="A1168" s="11">
        <v>201142</v>
      </c>
      <c r="B1168" s="12" t="s">
        <v>4974</v>
      </c>
      <c r="C1168" s="12" t="s">
        <v>2807</v>
      </c>
      <c r="D1168" s="125">
        <v>5000000</v>
      </c>
      <c r="E1168" s="125">
        <v>3045844.52</v>
      </c>
      <c r="F1168" s="12">
        <v>54</v>
      </c>
      <c r="G1168" s="12">
        <v>180</v>
      </c>
      <c r="H1168" s="12">
        <v>0</v>
      </c>
      <c r="I1168" s="13">
        <v>42914.675568865743</v>
      </c>
      <c r="J1168" s="13">
        <v>43160</v>
      </c>
      <c r="K1168" s="12" t="s">
        <v>25</v>
      </c>
      <c r="L1168" s="12" t="s">
        <v>26</v>
      </c>
      <c r="M1168" s="12" t="s">
        <v>26</v>
      </c>
      <c r="N1168" s="12" t="s">
        <v>4686</v>
      </c>
      <c r="O1168" s="12"/>
      <c r="P1168" s="12"/>
      <c r="Q1168" s="12"/>
    </row>
    <row r="1169" spans="1:17" x14ac:dyDescent="0.25">
      <c r="A1169" s="11">
        <v>201144</v>
      </c>
      <c r="B1169" s="12" t="s">
        <v>4977</v>
      </c>
      <c r="C1169" s="12" t="s">
        <v>2807</v>
      </c>
      <c r="D1169" s="125">
        <v>6000000</v>
      </c>
      <c r="E1169" s="125">
        <v>3367164.5</v>
      </c>
      <c r="F1169" s="12">
        <v>54</v>
      </c>
      <c r="G1169" s="12">
        <v>180</v>
      </c>
      <c r="H1169" s="12">
        <v>0</v>
      </c>
      <c r="I1169" s="13">
        <v>42915.478969247684</v>
      </c>
      <c r="J1169" s="13">
        <v>43160</v>
      </c>
      <c r="K1169" s="12" t="s">
        <v>25</v>
      </c>
      <c r="L1169" s="12" t="s">
        <v>26</v>
      </c>
      <c r="M1169" s="12" t="s">
        <v>26</v>
      </c>
      <c r="N1169" s="12" t="s">
        <v>2855</v>
      </c>
      <c r="O1169" s="12"/>
      <c r="P1169" s="12"/>
      <c r="Q1169" s="12"/>
    </row>
    <row r="1170" spans="1:17" x14ac:dyDescent="0.25">
      <c r="A1170" s="11">
        <v>201145</v>
      </c>
      <c r="B1170" s="12" t="s">
        <v>1931</v>
      </c>
      <c r="C1170" s="12" t="s">
        <v>1449</v>
      </c>
      <c r="D1170" s="125">
        <v>18500000</v>
      </c>
      <c r="E1170" s="125">
        <v>12995773.16</v>
      </c>
      <c r="F1170" s="12">
        <v>36</v>
      </c>
      <c r="G1170" s="12">
        <v>180</v>
      </c>
      <c r="H1170" s="12">
        <v>0</v>
      </c>
      <c r="I1170" s="13">
        <v>42914.672504629627</v>
      </c>
      <c r="J1170" s="13">
        <v>43275</v>
      </c>
      <c r="K1170" s="12" t="s">
        <v>25</v>
      </c>
      <c r="L1170" s="12" t="s">
        <v>88</v>
      </c>
      <c r="M1170" s="12" t="s">
        <v>285</v>
      </c>
      <c r="N1170" s="12" t="s">
        <v>1467</v>
      </c>
      <c r="O1170" s="12"/>
      <c r="P1170" s="12"/>
      <c r="Q1170" s="12"/>
    </row>
    <row r="1171" spans="1:17" x14ac:dyDescent="0.25">
      <c r="A1171" s="11">
        <v>201147</v>
      </c>
      <c r="B1171" s="12" t="s">
        <v>4980</v>
      </c>
      <c r="C1171" s="12" t="s">
        <v>1449</v>
      </c>
      <c r="D1171" s="125">
        <v>5000000</v>
      </c>
      <c r="E1171" s="125">
        <v>2696095.97</v>
      </c>
      <c r="F1171" s="12">
        <v>54</v>
      </c>
      <c r="G1171" s="12">
        <v>180</v>
      </c>
      <c r="H1171" s="12">
        <v>0</v>
      </c>
      <c r="I1171" s="13">
        <v>42916.451436493058</v>
      </c>
      <c r="J1171" s="13">
        <v>43155</v>
      </c>
      <c r="K1171" s="12" t="s">
        <v>25</v>
      </c>
      <c r="L1171" s="12" t="s">
        <v>88</v>
      </c>
      <c r="M1171" s="12" t="s">
        <v>285</v>
      </c>
      <c r="N1171" s="12" t="s">
        <v>1909</v>
      </c>
      <c r="O1171" s="12"/>
      <c r="P1171" s="12"/>
      <c r="Q1171" s="12"/>
    </row>
    <row r="1172" spans="1:17" x14ac:dyDescent="0.25">
      <c r="A1172" s="11">
        <v>201148</v>
      </c>
      <c r="B1172" s="12" t="s">
        <v>4981</v>
      </c>
      <c r="C1172" s="12" t="s">
        <v>2807</v>
      </c>
      <c r="D1172" s="125">
        <v>2500000</v>
      </c>
      <c r="E1172" s="125">
        <v>1371846.99</v>
      </c>
      <c r="F1172" s="12">
        <v>54</v>
      </c>
      <c r="G1172" s="12">
        <v>180</v>
      </c>
      <c r="H1172" s="12">
        <v>0</v>
      </c>
      <c r="I1172" s="13">
        <v>42916.555747106482</v>
      </c>
      <c r="J1172" s="13">
        <v>43160</v>
      </c>
      <c r="K1172" s="12" t="s">
        <v>25</v>
      </c>
      <c r="L1172" s="12" t="s">
        <v>26</v>
      </c>
      <c r="M1172" s="12" t="s">
        <v>26</v>
      </c>
      <c r="N1172" s="12" t="s">
        <v>4844</v>
      </c>
      <c r="O1172" s="12"/>
      <c r="P1172" s="12"/>
      <c r="Q1172" s="12"/>
    </row>
    <row r="1173" spans="1:17" x14ac:dyDescent="0.25">
      <c r="A1173" s="11">
        <v>201151</v>
      </c>
      <c r="B1173" s="12" t="s">
        <v>4990</v>
      </c>
      <c r="C1173" s="12" t="s">
        <v>2807</v>
      </c>
      <c r="D1173" s="125">
        <v>12000000</v>
      </c>
      <c r="E1173" s="125">
        <v>8511719.1899999995</v>
      </c>
      <c r="F1173" s="12">
        <v>40</v>
      </c>
      <c r="G1173" s="12">
        <v>180</v>
      </c>
      <c r="H1173" s="12">
        <v>0</v>
      </c>
      <c r="I1173" s="13">
        <v>42920.705316631946</v>
      </c>
      <c r="J1173" s="13">
        <v>43285</v>
      </c>
      <c r="K1173" s="12" t="s">
        <v>44</v>
      </c>
      <c r="L1173" s="12" t="s">
        <v>26</v>
      </c>
      <c r="M1173" s="12" t="s">
        <v>26</v>
      </c>
      <c r="N1173" s="12" t="s">
        <v>2855</v>
      </c>
      <c r="O1173" s="12"/>
      <c r="P1173" s="12"/>
      <c r="Q1173" s="12"/>
    </row>
    <row r="1174" spans="1:17" x14ac:dyDescent="0.25">
      <c r="A1174" s="11">
        <v>201155</v>
      </c>
      <c r="B1174" s="12" t="s">
        <v>5000</v>
      </c>
      <c r="C1174" s="12" t="s">
        <v>1449</v>
      </c>
      <c r="D1174" s="125">
        <v>5000000</v>
      </c>
      <c r="E1174" s="125">
        <v>3616728.44</v>
      </c>
      <c r="F1174" s="12">
        <v>54</v>
      </c>
      <c r="G1174" s="12">
        <v>180</v>
      </c>
      <c r="H1174" s="12">
        <v>0</v>
      </c>
      <c r="I1174" s="13">
        <v>42924.449294756945</v>
      </c>
      <c r="J1174" s="13">
        <v>43289</v>
      </c>
      <c r="K1174" s="12" t="s">
        <v>25</v>
      </c>
      <c r="L1174" s="12" t="s">
        <v>88</v>
      </c>
      <c r="M1174" s="12" t="s">
        <v>285</v>
      </c>
      <c r="N1174" s="12" t="s">
        <v>2861</v>
      </c>
      <c r="O1174" s="12"/>
      <c r="P1174" s="12"/>
      <c r="Q1174" s="12"/>
    </row>
    <row r="1175" spans="1:17" x14ac:dyDescent="0.25">
      <c r="A1175" s="11">
        <v>201156</v>
      </c>
      <c r="B1175" s="12" t="s">
        <v>2556</v>
      </c>
      <c r="C1175" s="12" t="s">
        <v>1449</v>
      </c>
      <c r="D1175" s="125">
        <v>40000000</v>
      </c>
      <c r="E1175" s="125">
        <v>27852486.829999998</v>
      </c>
      <c r="F1175" s="12">
        <v>36</v>
      </c>
      <c r="G1175" s="12">
        <v>180</v>
      </c>
      <c r="H1175" s="12">
        <v>0</v>
      </c>
      <c r="I1175" s="13">
        <v>42923.554305983795</v>
      </c>
      <c r="J1175" s="13">
        <v>43275</v>
      </c>
      <c r="K1175" s="12" t="s">
        <v>25</v>
      </c>
      <c r="L1175" s="12" t="s">
        <v>88</v>
      </c>
      <c r="M1175" s="12" t="s">
        <v>26</v>
      </c>
      <c r="N1175" s="12" t="s">
        <v>2557</v>
      </c>
      <c r="O1175" s="12"/>
      <c r="P1175" s="12"/>
      <c r="Q1175" s="12"/>
    </row>
    <row r="1176" spans="1:17" x14ac:dyDescent="0.25">
      <c r="A1176" s="11">
        <v>201157</v>
      </c>
      <c r="B1176" s="12" t="s">
        <v>4998</v>
      </c>
      <c r="C1176" s="12" t="s">
        <v>1449</v>
      </c>
      <c r="D1176" s="125">
        <v>8000000</v>
      </c>
      <c r="E1176" s="125">
        <v>5110677.21</v>
      </c>
      <c r="F1176" s="12">
        <v>40</v>
      </c>
      <c r="G1176" s="12">
        <v>180</v>
      </c>
      <c r="H1176" s="12">
        <v>0</v>
      </c>
      <c r="I1176" s="13">
        <v>42923.538885798611</v>
      </c>
      <c r="J1176" s="13">
        <v>43227</v>
      </c>
      <c r="K1176" s="12" t="s">
        <v>25</v>
      </c>
      <c r="L1176" s="12" t="s">
        <v>88</v>
      </c>
      <c r="M1176" s="12" t="s">
        <v>285</v>
      </c>
      <c r="N1176" s="12" t="s">
        <v>2538</v>
      </c>
      <c r="O1176" s="12"/>
      <c r="P1176" s="12"/>
      <c r="Q1176" s="12"/>
    </row>
    <row r="1177" spans="1:17" x14ac:dyDescent="0.25">
      <c r="A1177" s="11">
        <v>201158</v>
      </c>
      <c r="B1177" s="12" t="s">
        <v>4997</v>
      </c>
      <c r="C1177" s="12" t="s">
        <v>1449</v>
      </c>
      <c r="D1177" s="125">
        <v>5000000</v>
      </c>
      <c r="E1177" s="125">
        <v>3616728.44</v>
      </c>
      <c r="F1177" s="12">
        <v>54</v>
      </c>
      <c r="G1177" s="12">
        <v>180</v>
      </c>
      <c r="H1177" s="12">
        <v>0</v>
      </c>
      <c r="I1177" s="13">
        <v>42923.680977777774</v>
      </c>
      <c r="J1177" s="13">
        <v>43288</v>
      </c>
      <c r="K1177" s="12" t="s">
        <v>25</v>
      </c>
      <c r="L1177" s="12" t="s">
        <v>88</v>
      </c>
      <c r="M1177" s="12" t="s">
        <v>285</v>
      </c>
      <c r="N1177" s="12" t="s">
        <v>1909</v>
      </c>
      <c r="O1177" s="12"/>
      <c r="P1177" s="12"/>
      <c r="Q1177" s="12"/>
    </row>
    <row r="1178" spans="1:17" x14ac:dyDescent="0.25">
      <c r="A1178" s="11">
        <v>201159</v>
      </c>
      <c r="B1178" s="12" t="s">
        <v>4999</v>
      </c>
      <c r="C1178" s="12" t="s">
        <v>1449</v>
      </c>
      <c r="D1178" s="125">
        <v>3000000</v>
      </c>
      <c r="E1178" s="125">
        <v>1089209.43</v>
      </c>
      <c r="F1178" s="12">
        <v>54</v>
      </c>
      <c r="G1178" s="12">
        <v>180</v>
      </c>
      <c r="H1178" s="12">
        <v>0</v>
      </c>
      <c r="I1178" s="13">
        <v>42924.539199652776</v>
      </c>
      <c r="J1178" s="13">
        <v>43108</v>
      </c>
      <c r="K1178" s="12" t="s">
        <v>25</v>
      </c>
      <c r="L1178" s="12" t="s">
        <v>88</v>
      </c>
      <c r="M1178" s="12" t="s">
        <v>285</v>
      </c>
      <c r="N1178" s="12" t="s">
        <v>4919</v>
      </c>
      <c r="O1178" s="12"/>
      <c r="P1178" s="12"/>
      <c r="Q1178" s="12"/>
    </row>
    <row r="1179" spans="1:17" x14ac:dyDescent="0.25">
      <c r="A1179" s="11">
        <v>201160</v>
      </c>
      <c r="B1179" s="12" t="s">
        <v>5011</v>
      </c>
      <c r="C1179" s="12" t="s">
        <v>2807</v>
      </c>
      <c r="D1179" s="125">
        <v>2500000</v>
      </c>
      <c r="E1179" s="125">
        <v>1629614.64</v>
      </c>
      <c r="F1179" s="12">
        <v>54</v>
      </c>
      <c r="G1179" s="12">
        <v>180</v>
      </c>
      <c r="H1179" s="12">
        <v>0</v>
      </c>
      <c r="I1179" s="13">
        <v>42926.598520057873</v>
      </c>
      <c r="J1179" s="13">
        <v>43230</v>
      </c>
      <c r="K1179" s="12" t="s">
        <v>25</v>
      </c>
      <c r="L1179" s="12" t="s">
        <v>26</v>
      </c>
      <c r="M1179" s="12" t="s">
        <v>26</v>
      </c>
      <c r="N1179" s="12" t="s">
        <v>4919</v>
      </c>
      <c r="O1179" s="12"/>
      <c r="P1179" s="12"/>
      <c r="Q1179" s="12"/>
    </row>
    <row r="1180" spans="1:17" x14ac:dyDescent="0.25">
      <c r="A1180" s="11">
        <v>201161</v>
      </c>
      <c r="B1180" s="12" t="s">
        <v>5012</v>
      </c>
      <c r="C1180" s="12" t="s">
        <v>1449</v>
      </c>
      <c r="D1180" s="125">
        <v>3000000</v>
      </c>
      <c r="E1180" s="125">
        <v>2170037.0299999998</v>
      </c>
      <c r="F1180" s="12">
        <v>54</v>
      </c>
      <c r="G1180" s="12">
        <v>180</v>
      </c>
      <c r="H1180" s="12">
        <v>0</v>
      </c>
      <c r="I1180" s="13">
        <v>42926.725995335648</v>
      </c>
      <c r="J1180" s="13">
        <v>43291</v>
      </c>
      <c r="K1180" s="12" t="s">
        <v>25</v>
      </c>
      <c r="L1180" s="12" t="s">
        <v>88</v>
      </c>
      <c r="M1180" s="12" t="s">
        <v>285</v>
      </c>
      <c r="N1180" s="12" t="s">
        <v>1448</v>
      </c>
      <c r="O1180" s="12"/>
      <c r="P1180" s="12"/>
      <c r="Q1180" s="12"/>
    </row>
    <row r="1181" spans="1:17" x14ac:dyDescent="0.25">
      <c r="A1181" s="11">
        <v>201162</v>
      </c>
      <c r="B1181" s="12" t="s">
        <v>5017</v>
      </c>
      <c r="C1181" s="12" t="s">
        <v>2807</v>
      </c>
      <c r="D1181" s="125">
        <v>2500000</v>
      </c>
      <c r="E1181" s="125">
        <v>1906529.37</v>
      </c>
      <c r="F1181" s="12">
        <v>54</v>
      </c>
      <c r="G1181" s="12">
        <v>180</v>
      </c>
      <c r="H1181" s="12">
        <v>0</v>
      </c>
      <c r="I1181" s="13">
        <v>42927.502609293981</v>
      </c>
      <c r="J1181" s="13">
        <v>43170</v>
      </c>
      <c r="K1181" s="12" t="s">
        <v>25</v>
      </c>
      <c r="L1181" s="12" t="s">
        <v>26</v>
      </c>
      <c r="M1181" s="12" t="s">
        <v>26</v>
      </c>
      <c r="N1181" s="12" t="s">
        <v>4685</v>
      </c>
      <c r="O1181" s="12"/>
      <c r="P1181" s="12"/>
      <c r="Q1181" s="12"/>
    </row>
    <row r="1182" spans="1:17" x14ac:dyDescent="0.25">
      <c r="A1182" s="11">
        <v>201164</v>
      </c>
      <c r="B1182" s="12" t="s">
        <v>1851</v>
      </c>
      <c r="C1182" s="12" t="s">
        <v>2807</v>
      </c>
      <c r="D1182" s="125">
        <v>30000000</v>
      </c>
      <c r="E1182" s="125">
        <v>24838780.449999999</v>
      </c>
      <c r="F1182" s="12">
        <v>42</v>
      </c>
      <c r="G1182" s="12">
        <v>180</v>
      </c>
      <c r="H1182" s="12">
        <v>0</v>
      </c>
      <c r="I1182" s="13">
        <v>42935.483286226852</v>
      </c>
      <c r="J1182" s="13">
        <v>43484</v>
      </c>
      <c r="K1182" s="12" t="s">
        <v>27</v>
      </c>
      <c r="L1182" s="12" t="s">
        <v>26</v>
      </c>
      <c r="M1182" s="12" t="s">
        <v>26</v>
      </c>
      <c r="N1182" s="12" t="s">
        <v>2861</v>
      </c>
      <c r="O1182" s="12"/>
      <c r="P1182" s="12"/>
      <c r="Q1182" s="12"/>
    </row>
    <row r="1183" spans="1:17" x14ac:dyDescent="0.25">
      <c r="A1183" s="11">
        <v>201165</v>
      </c>
      <c r="B1183" s="12" t="s">
        <v>2188</v>
      </c>
      <c r="C1183" s="12" t="s">
        <v>2807</v>
      </c>
      <c r="D1183" s="125">
        <v>10000000</v>
      </c>
      <c r="E1183" s="125">
        <v>8344162.3600000003</v>
      </c>
      <c r="F1183" s="12">
        <v>48</v>
      </c>
      <c r="G1183" s="12">
        <v>180</v>
      </c>
      <c r="H1183" s="12">
        <v>0</v>
      </c>
      <c r="I1183" s="13">
        <v>42927.663265393516</v>
      </c>
      <c r="J1183" s="13">
        <v>43476</v>
      </c>
      <c r="K1183" s="12" t="s">
        <v>27</v>
      </c>
      <c r="L1183" s="12" t="s">
        <v>26</v>
      </c>
      <c r="M1183" s="12" t="s">
        <v>26</v>
      </c>
      <c r="N1183" s="12" t="s">
        <v>1447</v>
      </c>
      <c r="O1183" s="12"/>
      <c r="P1183" s="12"/>
      <c r="Q1183" s="12"/>
    </row>
    <row r="1184" spans="1:17" x14ac:dyDescent="0.25">
      <c r="A1184" s="11">
        <v>201166</v>
      </c>
      <c r="B1184" s="12" t="s">
        <v>5025</v>
      </c>
      <c r="C1184" s="12" t="s">
        <v>1449</v>
      </c>
      <c r="D1184" s="125">
        <v>7000000</v>
      </c>
      <c r="E1184" s="125">
        <v>3807324.71</v>
      </c>
      <c r="F1184" s="12">
        <v>54</v>
      </c>
      <c r="G1184" s="12">
        <v>180</v>
      </c>
      <c r="H1184" s="12">
        <v>0</v>
      </c>
      <c r="I1184" s="13">
        <v>42928.603102893518</v>
      </c>
      <c r="J1184" s="13">
        <v>43171</v>
      </c>
      <c r="K1184" s="12" t="s">
        <v>25</v>
      </c>
      <c r="L1184" s="12" t="s">
        <v>88</v>
      </c>
      <c r="M1184" s="12" t="s">
        <v>285</v>
      </c>
      <c r="N1184" s="12" t="s">
        <v>2861</v>
      </c>
      <c r="O1184" s="12"/>
      <c r="P1184" s="12"/>
      <c r="Q1184" s="12"/>
    </row>
    <row r="1185" spans="1:17" x14ac:dyDescent="0.25">
      <c r="A1185" s="11">
        <v>201167</v>
      </c>
      <c r="B1185" s="12" t="s">
        <v>5035</v>
      </c>
      <c r="C1185" s="12" t="s">
        <v>2807</v>
      </c>
      <c r="D1185" s="125">
        <v>15100000</v>
      </c>
      <c r="E1185" s="125">
        <v>12272472.66</v>
      </c>
      <c r="F1185" s="12">
        <v>48</v>
      </c>
      <c r="G1185" s="12">
        <v>180</v>
      </c>
      <c r="H1185" s="12">
        <v>0</v>
      </c>
      <c r="I1185" s="13">
        <v>42930.559912303244</v>
      </c>
      <c r="J1185" s="13">
        <v>43387</v>
      </c>
      <c r="K1185" s="12" t="s">
        <v>27</v>
      </c>
      <c r="L1185" s="12" t="s">
        <v>26</v>
      </c>
      <c r="M1185" s="12" t="s">
        <v>26</v>
      </c>
      <c r="N1185" s="12" t="s">
        <v>2855</v>
      </c>
      <c r="O1185" s="12"/>
      <c r="P1185" s="12"/>
      <c r="Q1185" s="12"/>
    </row>
    <row r="1186" spans="1:17" x14ac:dyDescent="0.25">
      <c r="A1186" s="11">
        <v>201168</v>
      </c>
      <c r="B1186" s="12" t="s">
        <v>5038</v>
      </c>
      <c r="C1186" s="12" t="s">
        <v>1449</v>
      </c>
      <c r="D1186" s="125">
        <v>6000000</v>
      </c>
      <c r="E1186" s="125">
        <v>3888962.37</v>
      </c>
      <c r="F1186" s="12">
        <v>50</v>
      </c>
      <c r="G1186" s="12">
        <v>180</v>
      </c>
      <c r="H1186" s="12">
        <v>0</v>
      </c>
      <c r="I1186" s="13">
        <v>42931.531305092591</v>
      </c>
      <c r="J1186" s="13">
        <v>43235</v>
      </c>
      <c r="K1186" s="12" t="s">
        <v>25</v>
      </c>
      <c r="L1186" s="12" t="s">
        <v>88</v>
      </c>
      <c r="M1186" s="12" t="s">
        <v>285</v>
      </c>
      <c r="N1186" s="12" t="s">
        <v>1909</v>
      </c>
      <c r="O1186" s="12"/>
      <c r="P1186" s="12"/>
      <c r="Q1186" s="12"/>
    </row>
    <row r="1187" spans="1:17" x14ac:dyDescent="0.25">
      <c r="A1187" s="11">
        <v>201171</v>
      </c>
      <c r="B1187" s="12" t="s">
        <v>5046</v>
      </c>
      <c r="C1187" s="12" t="s">
        <v>1449</v>
      </c>
      <c r="D1187" s="125">
        <v>2000000</v>
      </c>
      <c r="E1187" s="125">
        <v>1087807.04</v>
      </c>
      <c r="F1187" s="12">
        <v>54</v>
      </c>
      <c r="G1187" s="12">
        <v>180</v>
      </c>
      <c r="H1187" s="12">
        <v>0</v>
      </c>
      <c r="I1187" s="13">
        <v>42935.6580846875</v>
      </c>
      <c r="J1187" s="13">
        <v>43178</v>
      </c>
      <c r="K1187" s="12" t="s">
        <v>25</v>
      </c>
      <c r="L1187" s="12" t="s">
        <v>88</v>
      </c>
      <c r="M1187" s="12" t="s">
        <v>285</v>
      </c>
      <c r="N1187" s="12" t="s">
        <v>5047</v>
      </c>
      <c r="O1187" s="12"/>
      <c r="P1187" s="12"/>
      <c r="Q1187" s="12"/>
    </row>
    <row r="1188" spans="1:17" x14ac:dyDescent="0.25">
      <c r="A1188" s="11">
        <v>201172</v>
      </c>
      <c r="B1188" s="12" t="s">
        <v>5053</v>
      </c>
      <c r="C1188" s="12" t="s">
        <v>1449</v>
      </c>
      <c r="D1188" s="125">
        <v>2500000</v>
      </c>
      <c r="E1188" s="125">
        <v>1332411.94</v>
      </c>
      <c r="F1188" s="12">
        <v>54</v>
      </c>
      <c r="G1188" s="12">
        <v>180</v>
      </c>
      <c r="H1188" s="12">
        <v>0</v>
      </c>
      <c r="I1188" s="13">
        <v>42936.758932986108</v>
      </c>
      <c r="J1188" s="13">
        <v>43120</v>
      </c>
      <c r="K1188" s="12" t="s">
        <v>25</v>
      </c>
      <c r="L1188" s="12" t="s">
        <v>88</v>
      </c>
      <c r="M1188" s="12" t="s">
        <v>285</v>
      </c>
      <c r="N1188" s="12" t="s">
        <v>4683</v>
      </c>
      <c r="O1188" s="12"/>
      <c r="P1188" s="12"/>
      <c r="Q1188" s="12"/>
    </row>
    <row r="1189" spans="1:17" x14ac:dyDescent="0.25">
      <c r="A1189" s="11">
        <v>201173</v>
      </c>
      <c r="B1189" s="12" t="s">
        <v>3051</v>
      </c>
      <c r="C1189" s="12" t="s">
        <v>2807</v>
      </c>
      <c r="D1189" s="125">
        <v>4500000</v>
      </c>
      <c r="E1189" s="125">
        <v>3228248.66</v>
      </c>
      <c r="F1189" s="12">
        <v>48</v>
      </c>
      <c r="G1189" s="12">
        <v>180</v>
      </c>
      <c r="H1189" s="12">
        <v>0</v>
      </c>
      <c r="I1189" s="13">
        <v>42937.380779629631</v>
      </c>
      <c r="J1189" s="13">
        <v>43302</v>
      </c>
      <c r="K1189" s="12" t="s">
        <v>25</v>
      </c>
      <c r="L1189" s="12" t="s">
        <v>26</v>
      </c>
      <c r="M1189" s="12" t="s">
        <v>26</v>
      </c>
      <c r="N1189" s="12" t="s">
        <v>2034</v>
      </c>
      <c r="O1189" s="12"/>
      <c r="P1189" s="12"/>
      <c r="Q1189" s="12"/>
    </row>
    <row r="1190" spans="1:17" x14ac:dyDescent="0.25">
      <c r="A1190" s="11">
        <v>201174</v>
      </c>
      <c r="B1190" s="12" t="s">
        <v>2986</v>
      </c>
      <c r="C1190" s="12" t="s">
        <v>2807</v>
      </c>
      <c r="D1190" s="125">
        <v>5000000</v>
      </c>
      <c r="E1190" s="125">
        <v>3586942.99</v>
      </c>
      <c r="F1190" s="12">
        <v>48</v>
      </c>
      <c r="G1190" s="12">
        <v>180</v>
      </c>
      <c r="H1190" s="12">
        <v>0</v>
      </c>
      <c r="I1190" s="13">
        <v>42936.760741006947</v>
      </c>
      <c r="J1190" s="13">
        <v>43301</v>
      </c>
      <c r="K1190" s="12" t="s">
        <v>25</v>
      </c>
      <c r="L1190" s="12" t="s">
        <v>26</v>
      </c>
      <c r="M1190" s="12" t="s">
        <v>26</v>
      </c>
      <c r="N1190" s="12" t="s">
        <v>1667</v>
      </c>
      <c r="O1190" s="12"/>
      <c r="P1190" s="12"/>
      <c r="Q1190" s="12"/>
    </row>
    <row r="1191" spans="1:17" x14ac:dyDescent="0.25">
      <c r="A1191" s="11">
        <v>201175</v>
      </c>
      <c r="B1191" s="12" t="s">
        <v>5066</v>
      </c>
      <c r="C1191" s="12" t="s">
        <v>2807</v>
      </c>
      <c r="D1191" s="125">
        <v>1000000</v>
      </c>
      <c r="E1191" s="125">
        <v>661603.49</v>
      </c>
      <c r="F1191" s="12">
        <v>54</v>
      </c>
      <c r="G1191" s="12">
        <v>180</v>
      </c>
      <c r="H1191" s="12">
        <v>0</v>
      </c>
      <c r="I1191" s="13">
        <v>42937.681770717594</v>
      </c>
      <c r="J1191" s="13">
        <v>43241</v>
      </c>
      <c r="K1191" s="12" t="s">
        <v>25</v>
      </c>
      <c r="L1191" s="12" t="s">
        <v>26</v>
      </c>
      <c r="M1191" s="12" t="s">
        <v>26</v>
      </c>
      <c r="N1191" s="12" t="s">
        <v>4844</v>
      </c>
      <c r="O1191" s="12"/>
      <c r="P1191" s="12"/>
      <c r="Q1191" s="12"/>
    </row>
    <row r="1192" spans="1:17" x14ac:dyDescent="0.25">
      <c r="A1192" s="11">
        <v>201176</v>
      </c>
      <c r="B1192" s="12" t="s">
        <v>3967</v>
      </c>
      <c r="C1192" s="12" t="s">
        <v>1449</v>
      </c>
      <c r="D1192" s="125">
        <v>1500000</v>
      </c>
      <c r="E1192" s="125">
        <v>539692.53</v>
      </c>
      <c r="F1192" s="12">
        <v>48</v>
      </c>
      <c r="G1192" s="12">
        <v>180</v>
      </c>
      <c r="H1192" s="12">
        <v>0</v>
      </c>
      <c r="I1192" s="13">
        <v>42937.707024965275</v>
      </c>
      <c r="J1192" s="13">
        <v>43121</v>
      </c>
      <c r="K1192" s="12" t="s">
        <v>25</v>
      </c>
      <c r="L1192" s="12" t="s">
        <v>88</v>
      </c>
      <c r="M1192" s="12" t="s">
        <v>285</v>
      </c>
      <c r="N1192" s="12" t="s">
        <v>2538</v>
      </c>
      <c r="O1192" s="12"/>
      <c r="P1192" s="12"/>
      <c r="Q1192" s="12"/>
    </row>
    <row r="1193" spans="1:17" x14ac:dyDescent="0.25">
      <c r="A1193" s="11">
        <v>201177</v>
      </c>
      <c r="B1193" s="12" t="s">
        <v>4095</v>
      </c>
      <c r="C1193" s="12" t="s">
        <v>1449</v>
      </c>
      <c r="D1193" s="125">
        <v>20000000</v>
      </c>
      <c r="E1193" s="125">
        <v>14226881.300000001</v>
      </c>
      <c r="F1193" s="12">
        <v>42</v>
      </c>
      <c r="G1193" s="12">
        <v>180</v>
      </c>
      <c r="H1193" s="12">
        <v>0</v>
      </c>
      <c r="I1193" s="13">
        <v>42938.440721874998</v>
      </c>
      <c r="J1193" s="13">
        <v>43303</v>
      </c>
      <c r="K1193" s="12" t="s">
        <v>25</v>
      </c>
      <c r="L1193" s="12" t="s">
        <v>88</v>
      </c>
      <c r="M1193" s="12" t="s">
        <v>285</v>
      </c>
      <c r="N1193" s="12" t="s">
        <v>2175</v>
      </c>
      <c r="O1193" s="12"/>
      <c r="P1193" s="12"/>
      <c r="Q1193" s="12"/>
    </row>
    <row r="1194" spans="1:17" x14ac:dyDescent="0.25">
      <c r="A1194" s="11">
        <v>201178</v>
      </c>
      <c r="B1194" s="12" t="s">
        <v>5065</v>
      </c>
      <c r="C1194" s="12" t="s">
        <v>2807</v>
      </c>
      <c r="D1194" s="125">
        <v>10000000</v>
      </c>
      <c r="E1194" s="125">
        <v>7097642.4400000004</v>
      </c>
      <c r="F1194" s="12">
        <v>40</v>
      </c>
      <c r="G1194" s="12">
        <v>180</v>
      </c>
      <c r="H1194" s="12">
        <v>0</v>
      </c>
      <c r="I1194" s="13">
        <v>42937.723631365741</v>
      </c>
      <c r="J1194" s="13">
        <v>43241</v>
      </c>
      <c r="K1194" s="12" t="s">
        <v>25</v>
      </c>
      <c r="L1194" s="12" t="s">
        <v>26</v>
      </c>
      <c r="M1194" s="12" t="s">
        <v>26</v>
      </c>
      <c r="N1194" s="12" t="s">
        <v>1447</v>
      </c>
      <c r="O1194" s="12"/>
      <c r="P1194" s="12"/>
      <c r="Q1194" s="12"/>
    </row>
    <row r="1195" spans="1:17" x14ac:dyDescent="0.25">
      <c r="A1195" s="11">
        <v>201179</v>
      </c>
      <c r="B1195" s="12" t="s">
        <v>5077</v>
      </c>
      <c r="C1195" s="12" t="s">
        <v>1449</v>
      </c>
      <c r="D1195" s="125">
        <v>6000000</v>
      </c>
      <c r="E1195" s="125">
        <v>5001481.8600000003</v>
      </c>
      <c r="F1195" s="12">
        <v>54</v>
      </c>
      <c r="G1195" s="12">
        <v>180</v>
      </c>
      <c r="H1195" s="12">
        <v>0</v>
      </c>
      <c r="I1195" s="13">
        <v>42940.681572187503</v>
      </c>
      <c r="J1195" s="13">
        <v>43244</v>
      </c>
      <c r="K1195" s="12" t="s">
        <v>25</v>
      </c>
      <c r="L1195" s="12" t="s">
        <v>88</v>
      </c>
      <c r="M1195" s="12" t="s">
        <v>285</v>
      </c>
      <c r="N1195" s="12" t="s">
        <v>491</v>
      </c>
      <c r="O1195" s="12"/>
      <c r="P1195" s="12"/>
      <c r="Q1195" s="12"/>
    </row>
    <row r="1196" spans="1:17" x14ac:dyDescent="0.25">
      <c r="A1196" s="11">
        <v>201180</v>
      </c>
      <c r="B1196" s="12" t="s">
        <v>5083</v>
      </c>
      <c r="C1196" s="12" t="s">
        <v>1449</v>
      </c>
      <c r="D1196" s="125">
        <v>2500000</v>
      </c>
      <c r="E1196" s="125">
        <v>1332411.94</v>
      </c>
      <c r="F1196" s="12">
        <v>54</v>
      </c>
      <c r="G1196" s="12">
        <v>180</v>
      </c>
      <c r="H1196" s="12">
        <v>0</v>
      </c>
      <c r="I1196" s="13">
        <v>42941.502594178244</v>
      </c>
      <c r="J1196" s="13">
        <v>43125</v>
      </c>
      <c r="K1196" s="12" t="s">
        <v>25</v>
      </c>
      <c r="L1196" s="12" t="s">
        <v>88</v>
      </c>
      <c r="M1196" s="12" t="s">
        <v>285</v>
      </c>
      <c r="N1196" s="12" t="s">
        <v>5047</v>
      </c>
      <c r="O1196" s="12"/>
      <c r="P1196" s="12"/>
      <c r="Q1196" s="12"/>
    </row>
    <row r="1197" spans="1:17" x14ac:dyDescent="0.25">
      <c r="A1197" s="11">
        <v>201181</v>
      </c>
      <c r="B1197" s="12" t="s">
        <v>4247</v>
      </c>
      <c r="C1197" s="12" t="s">
        <v>2807</v>
      </c>
      <c r="D1197" s="125">
        <v>5000000</v>
      </c>
      <c r="E1197" s="125">
        <v>3699994.94</v>
      </c>
      <c r="F1197" s="12">
        <v>48</v>
      </c>
      <c r="G1197" s="12">
        <v>180</v>
      </c>
      <c r="H1197" s="12">
        <v>0</v>
      </c>
      <c r="I1197" s="13">
        <v>42941.527658298612</v>
      </c>
      <c r="J1197" s="13">
        <v>43245</v>
      </c>
      <c r="K1197" s="12" t="s">
        <v>44</v>
      </c>
      <c r="L1197" s="12" t="s">
        <v>75</v>
      </c>
      <c r="M1197" s="12" t="s">
        <v>26</v>
      </c>
      <c r="N1197" s="12" t="s">
        <v>1925</v>
      </c>
      <c r="O1197" s="12"/>
      <c r="P1197" s="12"/>
      <c r="Q1197" s="12"/>
    </row>
    <row r="1198" spans="1:17" x14ac:dyDescent="0.25">
      <c r="A1198" s="11">
        <v>201182</v>
      </c>
      <c r="B1198" s="12" t="s">
        <v>5082</v>
      </c>
      <c r="C1198" s="12" t="s">
        <v>2807</v>
      </c>
      <c r="D1198" s="125">
        <v>7000000</v>
      </c>
      <c r="E1198" s="125">
        <v>4638703.45</v>
      </c>
      <c r="F1198" s="12">
        <v>50</v>
      </c>
      <c r="G1198" s="12">
        <v>180</v>
      </c>
      <c r="H1198" s="12">
        <v>0</v>
      </c>
      <c r="I1198" s="13">
        <v>42941.591631828705</v>
      </c>
      <c r="J1198" s="13">
        <v>43184</v>
      </c>
      <c r="K1198" s="12" t="s">
        <v>25</v>
      </c>
      <c r="L1198" s="12" t="s">
        <v>94</v>
      </c>
      <c r="M1198" s="12" t="s">
        <v>26</v>
      </c>
      <c r="N1198" s="12" t="s">
        <v>90</v>
      </c>
      <c r="O1198" s="12"/>
      <c r="P1198" s="12"/>
      <c r="Q1198" s="12"/>
    </row>
    <row r="1199" spans="1:17" x14ac:dyDescent="0.25">
      <c r="A1199" s="11">
        <v>201183</v>
      </c>
      <c r="B1199" s="12" t="s">
        <v>2857</v>
      </c>
      <c r="C1199" s="12" t="s">
        <v>1449</v>
      </c>
      <c r="D1199" s="125">
        <v>6000000</v>
      </c>
      <c r="E1199" s="125">
        <v>4439993.91</v>
      </c>
      <c r="F1199" s="12">
        <v>48</v>
      </c>
      <c r="G1199" s="12">
        <v>180</v>
      </c>
      <c r="H1199" s="12">
        <v>0</v>
      </c>
      <c r="I1199" s="13">
        <v>42941.584913854167</v>
      </c>
      <c r="J1199" s="13">
        <v>43245</v>
      </c>
      <c r="K1199" s="12" t="s">
        <v>25</v>
      </c>
      <c r="L1199" s="12" t="s">
        <v>88</v>
      </c>
      <c r="M1199" s="12" t="s">
        <v>285</v>
      </c>
      <c r="N1199" s="12" t="s">
        <v>1925</v>
      </c>
      <c r="O1199" s="12"/>
      <c r="P1199" s="12"/>
      <c r="Q1199" s="12"/>
    </row>
    <row r="1200" spans="1:17" x14ac:dyDescent="0.25">
      <c r="A1200" s="11">
        <v>201184</v>
      </c>
      <c r="B1200" s="12" t="s">
        <v>2787</v>
      </c>
      <c r="C1200" s="12" t="s">
        <v>2807</v>
      </c>
      <c r="D1200" s="125">
        <v>6000000</v>
      </c>
      <c r="E1200" s="125">
        <v>4753504.42</v>
      </c>
      <c r="F1200" s="12">
        <v>48</v>
      </c>
      <c r="G1200" s="12">
        <v>180</v>
      </c>
      <c r="H1200" s="12">
        <v>0</v>
      </c>
      <c r="I1200" s="13">
        <v>42941.695466435187</v>
      </c>
      <c r="J1200" s="13">
        <v>43306</v>
      </c>
      <c r="K1200" s="12" t="s">
        <v>44</v>
      </c>
      <c r="L1200" s="12" t="s">
        <v>75</v>
      </c>
      <c r="M1200" s="12" t="s">
        <v>4834</v>
      </c>
      <c r="N1200" s="12" t="s">
        <v>2034</v>
      </c>
      <c r="O1200" s="12"/>
      <c r="P1200" s="12"/>
      <c r="Q1200" s="12"/>
    </row>
    <row r="1201" spans="1:17" x14ac:dyDescent="0.25">
      <c r="A1201" s="11">
        <v>201185</v>
      </c>
      <c r="B1201" s="12" t="s">
        <v>5085</v>
      </c>
      <c r="C1201" s="12" t="s">
        <v>1449</v>
      </c>
      <c r="D1201" s="125">
        <v>13000000</v>
      </c>
      <c r="E1201" s="125">
        <v>9681263.8300000001</v>
      </c>
      <c r="F1201" s="12">
        <v>54</v>
      </c>
      <c r="G1201" s="12">
        <v>180</v>
      </c>
      <c r="H1201" s="12">
        <v>0</v>
      </c>
      <c r="I1201" s="13">
        <v>42941.62990177083</v>
      </c>
      <c r="J1201" s="13">
        <v>43245</v>
      </c>
      <c r="K1201" s="12" t="s">
        <v>25</v>
      </c>
      <c r="L1201" s="12" t="s">
        <v>88</v>
      </c>
      <c r="M1201" s="12" t="s">
        <v>285</v>
      </c>
      <c r="N1201" s="12" t="s">
        <v>1467</v>
      </c>
      <c r="O1201" s="12"/>
      <c r="P1201" s="12"/>
      <c r="Q1201" s="12"/>
    </row>
    <row r="1202" spans="1:17" x14ac:dyDescent="0.25">
      <c r="A1202" s="11">
        <v>201186</v>
      </c>
      <c r="B1202" s="12" t="s">
        <v>5084</v>
      </c>
      <c r="C1202" s="12" t="s">
        <v>1449</v>
      </c>
      <c r="D1202" s="125">
        <v>4000000</v>
      </c>
      <c r="E1202" s="125">
        <v>2131859.11</v>
      </c>
      <c r="F1202" s="12">
        <v>54</v>
      </c>
      <c r="G1202" s="12">
        <v>180</v>
      </c>
      <c r="H1202" s="12">
        <v>0</v>
      </c>
      <c r="I1202" s="13">
        <v>42941.65516574074</v>
      </c>
      <c r="J1202" s="13">
        <v>43125</v>
      </c>
      <c r="K1202" s="12" t="s">
        <v>25</v>
      </c>
      <c r="L1202" s="12" t="s">
        <v>88</v>
      </c>
      <c r="M1202" s="12" t="s">
        <v>285</v>
      </c>
      <c r="N1202" s="12" t="s">
        <v>4919</v>
      </c>
      <c r="O1202" s="12"/>
      <c r="P1202" s="12"/>
      <c r="Q1202" s="12"/>
    </row>
    <row r="1203" spans="1:17" x14ac:dyDescent="0.25">
      <c r="A1203" s="11">
        <v>201188</v>
      </c>
      <c r="B1203" s="12" t="s">
        <v>5086</v>
      </c>
      <c r="C1203" s="12" t="s">
        <v>2807</v>
      </c>
      <c r="D1203" s="125">
        <v>2000000</v>
      </c>
      <c r="E1203" s="125">
        <v>1331125.69</v>
      </c>
      <c r="F1203" s="12">
        <v>54</v>
      </c>
      <c r="G1203" s="12">
        <v>180</v>
      </c>
      <c r="H1203" s="12">
        <v>0</v>
      </c>
      <c r="I1203" s="13">
        <v>42941.688671261574</v>
      </c>
      <c r="J1203" s="13">
        <v>43184</v>
      </c>
      <c r="K1203" s="12" t="s">
        <v>44</v>
      </c>
      <c r="L1203" s="12" t="s">
        <v>75</v>
      </c>
      <c r="M1203" s="12" t="s">
        <v>26</v>
      </c>
      <c r="N1203" s="12" t="s">
        <v>963</v>
      </c>
      <c r="O1203" s="12"/>
      <c r="P1203" s="12"/>
      <c r="Q1203" s="12"/>
    </row>
    <row r="1204" spans="1:17" x14ac:dyDescent="0.25">
      <c r="A1204" s="11">
        <v>201189</v>
      </c>
      <c r="B1204" s="12" t="s">
        <v>2812</v>
      </c>
      <c r="C1204" s="12" t="s">
        <v>2807</v>
      </c>
      <c r="D1204" s="125">
        <v>2500000</v>
      </c>
      <c r="E1204" s="125">
        <v>1852369.27</v>
      </c>
      <c r="F1204" s="12">
        <v>48</v>
      </c>
      <c r="G1204" s="12">
        <v>180</v>
      </c>
      <c r="H1204" s="12">
        <v>0</v>
      </c>
      <c r="I1204" s="13">
        <v>42947.505184803238</v>
      </c>
      <c r="J1204" s="13">
        <v>43252</v>
      </c>
      <c r="K1204" s="12" t="s">
        <v>25</v>
      </c>
      <c r="L1204" s="12" t="s">
        <v>88</v>
      </c>
      <c r="M1204" s="12" t="s">
        <v>26</v>
      </c>
      <c r="N1204" s="12" t="s">
        <v>2034</v>
      </c>
      <c r="O1204" s="12"/>
      <c r="P1204" s="12"/>
      <c r="Q1204" s="12"/>
    </row>
    <row r="1205" spans="1:17" x14ac:dyDescent="0.25">
      <c r="A1205" s="11">
        <v>201190</v>
      </c>
      <c r="B1205" s="12" t="s">
        <v>5101</v>
      </c>
      <c r="C1205" s="12" t="s">
        <v>2807</v>
      </c>
      <c r="D1205" s="125">
        <v>2500000</v>
      </c>
      <c r="E1205" s="125">
        <v>1675849.05</v>
      </c>
      <c r="F1205" s="12">
        <v>54</v>
      </c>
      <c r="G1205" s="12">
        <v>180</v>
      </c>
      <c r="H1205" s="12">
        <v>0</v>
      </c>
      <c r="I1205" s="13">
        <v>42942.522085567129</v>
      </c>
      <c r="J1205" s="13">
        <v>43191</v>
      </c>
      <c r="K1205" s="12" t="s">
        <v>36</v>
      </c>
      <c r="L1205" s="12" t="s">
        <v>118</v>
      </c>
      <c r="M1205" s="12" t="s">
        <v>119</v>
      </c>
      <c r="N1205" s="12" t="s">
        <v>4686</v>
      </c>
      <c r="O1205" s="12"/>
      <c r="P1205" s="12"/>
      <c r="Q1205" s="12"/>
    </row>
    <row r="1206" spans="1:17" x14ac:dyDescent="0.25">
      <c r="A1206" s="11">
        <v>201191</v>
      </c>
      <c r="B1206" s="12" t="s">
        <v>2826</v>
      </c>
      <c r="C1206" s="12" t="s">
        <v>1449</v>
      </c>
      <c r="D1206" s="125">
        <v>13000000</v>
      </c>
      <c r="E1206" s="125">
        <v>11043692.17</v>
      </c>
      <c r="F1206" s="12">
        <v>48</v>
      </c>
      <c r="G1206" s="12">
        <v>180</v>
      </c>
      <c r="H1206" s="12">
        <v>0</v>
      </c>
      <c r="I1206" s="13">
        <v>42942.476226620369</v>
      </c>
      <c r="J1206" s="13">
        <v>43405</v>
      </c>
      <c r="K1206" s="12" t="s">
        <v>25</v>
      </c>
      <c r="L1206" s="12" t="s">
        <v>88</v>
      </c>
      <c r="M1206" s="12" t="s">
        <v>285</v>
      </c>
      <c r="N1206" s="12" t="s">
        <v>1447</v>
      </c>
      <c r="O1206" s="12"/>
      <c r="P1206" s="12"/>
      <c r="Q1206" s="12"/>
    </row>
    <row r="1207" spans="1:17" x14ac:dyDescent="0.25">
      <c r="A1207" s="11">
        <v>201193</v>
      </c>
      <c r="B1207" s="12" t="s">
        <v>5109</v>
      </c>
      <c r="C1207" s="12" t="s">
        <v>1449</v>
      </c>
      <c r="D1207" s="125">
        <v>6500000</v>
      </c>
      <c r="E1207" s="125">
        <v>3207175.14</v>
      </c>
      <c r="F1207" s="12">
        <v>54</v>
      </c>
      <c r="G1207" s="12">
        <v>180</v>
      </c>
      <c r="H1207" s="12">
        <v>0</v>
      </c>
      <c r="I1207" s="13">
        <v>42943.562869444446</v>
      </c>
      <c r="J1207" s="13">
        <v>43252</v>
      </c>
      <c r="K1207" s="12" t="s">
        <v>25</v>
      </c>
      <c r="L1207" s="12" t="s">
        <v>290</v>
      </c>
      <c r="M1207" s="12" t="s">
        <v>297</v>
      </c>
      <c r="N1207" s="12" t="s">
        <v>1909</v>
      </c>
      <c r="O1207" s="12"/>
      <c r="P1207" s="12"/>
      <c r="Q1207" s="12"/>
    </row>
    <row r="1208" spans="1:17" x14ac:dyDescent="0.25">
      <c r="A1208" s="11">
        <v>201194</v>
      </c>
      <c r="B1208" s="12" t="s">
        <v>3526</v>
      </c>
      <c r="C1208" s="12" t="s">
        <v>2807</v>
      </c>
      <c r="D1208" s="125">
        <v>7500000</v>
      </c>
      <c r="E1208" s="125">
        <v>5964733.9000000004</v>
      </c>
      <c r="F1208" s="12">
        <v>48</v>
      </c>
      <c r="G1208" s="12">
        <v>180</v>
      </c>
      <c r="H1208" s="12">
        <v>0</v>
      </c>
      <c r="I1208" s="13">
        <v>42944.660376157408</v>
      </c>
      <c r="J1208" s="13">
        <v>43313</v>
      </c>
      <c r="K1208" s="12" t="s">
        <v>25</v>
      </c>
      <c r="L1208" s="12" t="s">
        <v>88</v>
      </c>
      <c r="M1208" s="12" t="s">
        <v>285</v>
      </c>
      <c r="N1208" s="12" t="s">
        <v>2034</v>
      </c>
      <c r="O1208" s="12"/>
      <c r="P1208" s="12"/>
      <c r="Q1208" s="12"/>
    </row>
    <row r="1209" spans="1:17" x14ac:dyDescent="0.25">
      <c r="A1209" s="11">
        <v>201195</v>
      </c>
      <c r="B1209" s="12" t="s">
        <v>1857</v>
      </c>
      <c r="C1209" s="12" t="s">
        <v>2807</v>
      </c>
      <c r="D1209" s="125">
        <v>16000000</v>
      </c>
      <c r="E1209" s="125">
        <v>13928317.18</v>
      </c>
      <c r="F1209" s="12">
        <v>36</v>
      </c>
      <c r="G1209" s="12">
        <v>180</v>
      </c>
      <c r="H1209" s="12">
        <v>0</v>
      </c>
      <c r="I1209" s="13">
        <v>42944.574526932869</v>
      </c>
      <c r="J1209" s="13">
        <v>43497</v>
      </c>
      <c r="K1209" s="12" t="s">
        <v>36</v>
      </c>
      <c r="L1209" s="12" t="s">
        <v>97</v>
      </c>
      <c r="M1209" s="12" t="s">
        <v>98</v>
      </c>
      <c r="N1209" s="12" t="s">
        <v>963</v>
      </c>
      <c r="O1209" s="12"/>
      <c r="P1209" s="12"/>
      <c r="Q1209" s="12"/>
    </row>
    <row r="1210" spans="1:17" x14ac:dyDescent="0.25">
      <c r="A1210" s="11">
        <v>201196</v>
      </c>
      <c r="B1210" s="12" t="s">
        <v>5126</v>
      </c>
      <c r="C1210" s="12" t="s">
        <v>2807</v>
      </c>
      <c r="D1210" s="125">
        <v>7000000</v>
      </c>
      <c r="E1210" s="125">
        <v>5704867.8099999996</v>
      </c>
      <c r="F1210" s="12">
        <v>54</v>
      </c>
      <c r="G1210" s="12">
        <v>180</v>
      </c>
      <c r="H1210" s="12">
        <v>0</v>
      </c>
      <c r="I1210" s="13">
        <v>42944.532806249998</v>
      </c>
      <c r="J1210" s="13">
        <v>43252</v>
      </c>
      <c r="K1210" s="12" t="s">
        <v>44</v>
      </c>
      <c r="L1210" s="12" t="s">
        <v>92</v>
      </c>
      <c r="M1210" s="12" t="s">
        <v>92</v>
      </c>
      <c r="N1210" s="12" t="s">
        <v>5047</v>
      </c>
      <c r="O1210" s="12"/>
      <c r="P1210" s="12"/>
      <c r="Q1210" s="12"/>
    </row>
    <row r="1211" spans="1:17" x14ac:dyDescent="0.25">
      <c r="A1211" s="11">
        <v>201197</v>
      </c>
      <c r="B1211" s="12" t="s">
        <v>3512</v>
      </c>
      <c r="C1211" s="12" t="s">
        <v>2807</v>
      </c>
      <c r="D1211" s="125">
        <v>4800000</v>
      </c>
      <c r="E1211" s="125">
        <v>3817429.7</v>
      </c>
      <c r="F1211" s="12">
        <v>48</v>
      </c>
      <c r="G1211" s="12">
        <v>180</v>
      </c>
      <c r="H1211" s="12">
        <v>0</v>
      </c>
      <c r="I1211" s="13">
        <v>42944.557641516207</v>
      </c>
      <c r="J1211" s="13">
        <v>43313</v>
      </c>
      <c r="K1211" s="12" t="s">
        <v>25</v>
      </c>
      <c r="L1211" s="12" t="s">
        <v>88</v>
      </c>
      <c r="M1211" s="12" t="s">
        <v>285</v>
      </c>
      <c r="N1211" s="12" t="s">
        <v>2034</v>
      </c>
      <c r="O1211" s="12"/>
      <c r="P1211" s="12"/>
      <c r="Q1211" s="12"/>
    </row>
    <row r="1212" spans="1:17" x14ac:dyDescent="0.25">
      <c r="A1212" s="11">
        <v>201198</v>
      </c>
      <c r="B1212" s="12" t="s">
        <v>3878</v>
      </c>
      <c r="C1212" s="12" t="s">
        <v>2807</v>
      </c>
      <c r="D1212" s="125">
        <v>6000000</v>
      </c>
      <c r="E1212" s="125">
        <v>3188506.38</v>
      </c>
      <c r="F1212" s="12">
        <v>48</v>
      </c>
      <c r="G1212" s="12">
        <v>180</v>
      </c>
      <c r="H1212" s="12">
        <v>0</v>
      </c>
      <c r="I1212" s="13">
        <v>42944.547210682867</v>
      </c>
      <c r="J1212" s="13">
        <v>43132</v>
      </c>
      <c r="K1212" s="12" t="s">
        <v>25</v>
      </c>
      <c r="L1212" s="12" t="s">
        <v>289</v>
      </c>
      <c r="M1212" s="12" t="s">
        <v>1771</v>
      </c>
      <c r="N1212" s="12" t="s">
        <v>2175</v>
      </c>
      <c r="O1212" s="12"/>
      <c r="P1212" s="12"/>
      <c r="Q1212" s="12"/>
    </row>
    <row r="1213" spans="1:17" x14ac:dyDescent="0.25">
      <c r="A1213" s="11">
        <v>201199</v>
      </c>
      <c r="B1213" s="12" t="s">
        <v>5115</v>
      </c>
      <c r="C1213" s="12" t="s">
        <v>2807</v>
      </c>
      <c r="D1213" s="125">
        <v>6000000</v>
      </c>
      <c r="E1213" s="125">
        <v>5113650.09</v>
      </c>
      <c r="F1213" s="12">
        <v>48</v>
      </c>
      <c r="G1213" s="12">
        <v>180</v>
      </c>
      <c r="H1213" s="12">
        <v>0</v>
      </c>
      <c r="I1213" s="13">
        <v>42944.669319907407</v>
      </c>
      <c r="J1213" s="13">
        <v>43191</v>
      </c>
      <c r="K1213" s="12" t="s">
        <v>31</v>
      </c>
      <c r="L1213" s="12" t="s">
        <v>2309</v>
      </c>
      <c r="M1213" s="12" t="s">
        <v>5116</v>
      </c>
      <c r="N1213" s="12" t="s">
        <v>2034</v>
      </c>
      <c r="O1213" s="12"/>
      <c r="P1213" s="12"/>
      <c r="Q1213" s="12"/>
    </row>
    <row r="1214" spans="1:17" x14ac:dyDescent="0.25">
      <c r="A1214" s="11">
        <v>201200</v>
      </c>
      <c r="B1214" s="12" t="s">
        <v>2480</v>
      </c>
      <c r="C1214" s="12" t="s">
        <v>2807</v>
      </c>
      <c r="D1214" s="125">
        <v>2500000</v>
      </c>
      <c r="E1214" s="125">
        <v>1857112.85</v>
      </c>
      <c r="F1214" s="12">
        <v>48</v>
      </c>
      <c r="G1214" s="12">
        <v>180</v>
      </c>
      <c r="H1214" s="12">
        <v>0</v>
      </c>
      <c r="I1214" s="13">
        <v>42944.714830324076</v>
      </c>
      <c r="J1214" s="13">
        <v>43252</v>
      </c>
      <c r="K1214" s="12" t="s">
        <v>44</v>
      </c>
      <c r="L1214" s="12" t="s">
        <v>92</v>
      </c>
      <c r="M1214" s="12" t="s">
        <v>92</v>
      </c>
      <c r="N1214" s="12" t="s">
        <v>2034</v>
      </c>
      <c r="O1214" s="12"/>
      <c r="P1214" s="12"/>
      <c r="Q1214" s="12"/>
    </row>
    <row r="1215" spans="1:17" x14ac:dyDescent="0.25">
      <c r="A1215" s="11">
        <v>201201</v>
      </c>
      <c r="B1215" s="12" t="s">
        <v>2971</v>
      </c>
      <c r="C1215" s="12" t="s">
        <v>2807</v>
      </c>
      <c r="D1215" s="125">
        <v>5500000</v>
      </c>
      <c r="E1215" s="125">
        <v>3782209.81</v>
      </c>
      <c r="F1215" s="12">
        <v>22</v>
      </c>
      <c r="G1215" s="12">
        <v>180</v>
      </c>
      <c r="H1215" s="12">
        <v>0</v>
      </c>
      <c r="I1215" s="13">
        <v>42944.700933368054</v>
      </c>
      <c r="J1215" s="13">
        <v>43302</v>
      </c>
      <c r="K1215" s="12" t="s">
        <v>43</v>
      </c>
      <c r="L1215" s="12" t="s">
        <v>338</v>
      </c>
      <c r="M1215" s="12" t="s">
        <v>339</v>
      </c>
      <c r="N1215" s="12" t="s">
        <v>284</v>
      </c>
      <c r="O1215" s="12"/>
      <c r="P1215" s="12"/>
      <c r="Q1215" s="12"/>
    </row>
    <row r="1216" spans="1:17" x14ac:dyDescent="0.25">
      <c r="A1216" s="11">
        <v>201202</v>
      </c>
      <c r="B1216" s="12" t="s">
        <v>3525</v>
      </c>
      <c r="C1216" s="12" t="s">
        <v>2807</v>
      </c>
      <c r="D1216" s="125">
        <v>6000000</v>
      </c>
      <c r="E1216" s="125">
        <v>4744815.45</v>
      </c>
      <c r="F1216" s="12">
        <v>44</v>
      </c>
      <c r="G1216" s="12">
        <v>180</v>
      </c>
      <c r="H1216" s="12">
        <v>0</v>
      </c>
      <c r="I1216" s="13">
        <v>42945.442615706015</v>
      </c>
      <c r="J1216" s="13">
        <v>43313</v>
      </c>
      <c r="K1216" s="12" t="s">
        <v>36</v>
      </c>
      <c r="L1216" s="12" t="s">
        <v>97</v>
      </c>
      <c r="M1216" s="12" t="s">
        <v>98</v>
      </c>
      <c r="N1216" s="12" t="s">
        <v>2034</v>
      </c>
      <c r="O1216" s="12"/>
      <c r="P1216" s="12"/>
      <c r="Q1216" s="12"/>
    </row>
    <row r="1217" spans="1:17" x14ac:dyDescent="0.25">
      <c r="A1217" s="11">
        <v>201203</v>
      </c>
      <c r="B1217" s="12" t="s">
        <v>5127</v>
      </c>
      <c r="C1217" s="12" t="s">
        <v>2807</v>
      </c>
      <c r="D1217" s="125">
        <v>6000000</v>
      </c>
      <c r="E1217" s="125">
        <v>4455396.6500000004</v>
      </c>
      <c r="F1217" s="12">
        <v>50</v>
      </c>
      <c r="G1217" s="12">
        <v>180</v>
      </c>
      <c r="H1217" s="12">
        <v>0</v>
      </c>
      <c r="I1217" s="13">
        <v>42947.74363730324</v>
      </c>
      <c r="J1217" s="13">
        <v>43252</v>
      </c>
      <c r="K1217" s="12" t="s">
        <v>45</v>
      </c>
      <c r="L1217" s="12" t="s">
        <v>45</v>
      </c>
      <c r="M1217" s="12" t="s">
        <v>89</v>
      </c>
      <c r="N1217" s="12" t="s">
        <v>4686</v>
      </c>
      <c r="O1217" s="12"/>
      <c r="P1217" s="12"/>
      <c r="Q1217" s="12"/>
    </row>
    <row r="1218" spans="1:17" x14ac:dyDescent="0.25">
      <c r="A1218" s="11">
        <v>201204</v>
      </c>
      <c r="B1218" s="12" t="s">
        <v>3023</v>
      </c>
      <c r="C1218" s="12" t="s">
        <v>1449</v>
      </c>
      <c r="D1218" s="125">
        <v>6000000</v>
      </c>
      <c r="E1218" s="125">
        <v>4395039.2699999996</v>
      </c>
      <c r="F1218" s="12">
        <v>36</v>
      </c>
      <c r="G1218" s="12">
        <v>180</v>
      </c>
      <c r="H1218" s="12">
        <v>0</v>
      </c>
      <c r="I1218" s="13">
        <v>42950.72107133102</v>
      </c>
      <c r="J1218" s="13">
        <v>43257</v>
      </c>
      <c r="K1218" s="12" t="s">
        <v>25</v>
      </c>
      <c r="L1218" s="12" t="s">
        <v>88</v>
      </c>
      <c r="M1218" s="12" t="s">
        <v>285</v>
      </c>
      <c r="N1218" s="12" t="s">
        <v>491</v>
      </c>
      <c r="O1218" s="12"/>
      <c r="P1218" s="12"/>
      <c r="Q1218" s="12"/>
    </row>
    <row r="1219" spans="1:17" x14ac:dyDescent="0.25">
      <c r="A1219" s="11">
        <v>201205</v>
      </c>
      <c r="B1219" s="12" t="s">
        <v>2968</v>
      </c>
      <c r="C1219" s="12" t="s">
        <v>2807</v>
      </c>
      <c r="D1219" s="125">
        <v>8000000</v>
      </c>
      <c r="E1219" s="125">
        <v>5919991.9199999999</v>
      </c>
      <c r="F1219" s="12">
        <v>48</v>
      </c>
      <c r="G1219" s="12">
        <v>180</v>
      </c>
      <c r="H1219" s="12">
        <v>0</v>
      </c>
      <c r="I1219" s="13">
        <v>42949.654072453704</v>
      </c>
      <c r="J1219" s="13">
        <v>43253</v>
      </c>
      <c r="K1219" s="12" t="s">
        <v>36</v>
      </c>
      <c r="L1219" s="12" t="s">
        <v>1023</v>
      </c>
      <c r="M1219" s="12" t="s">
        <v>4042</v>
      </c>
      <c r="N1219" s="12" t="s">
        <v>1447</v>
      </c>
      <c r="O1219" s="12"/>
      <c r="P1219" s="12"/>
      <c r="Q1219" s="12"/>
    </row>
    <row r="1220" spans="1:17" x14ac:dyDescent="0.25">
      <c r="A1220" s="11">
        <v>201208</v>
      </c>
      <c r="B1220" s="12" t="s">
        <v>4198</v>
      </c>
      <c r="C1220" s="12" t="s">
        <v>1449</v>
      </c>
      <c r="D1220" s="125">
        <v>5000000</v>
      </c>
      <c r="E1220" s="125">
        <v>3961253.7</v>
      </c>
      <c r="F1220" s="12">
        <v>48</v>
      </c>
      <c r="G1220" s="12">
        <v>180</v>
      </c>
      <c r="H1220" s="12">
        <v>0</v>
      </c>
      <c r="I1220" s="13">
        <v>42954.512467442131</v>
      </c>
      <c r="J1220" s="13">
        <v>43319</v>
      </c>
      <c r="K1220" s="12" t="s">
        <v>25</v>
      </c>
      <c r="L1220" s="12" t="s">
        <v>88</v>
      </c>
      <c r="M1220" s="12" t="s">
        <v>285</v>
      </c>
      <c r="N1220" s="12" t="s">
        <v>1909</v>
      </c>
      <c r="O1220" s="12"/>
      <c r="P1220" s="12"/>
      <c r="Q1220" s="12"/>
    </row>
    <row r="1221" spans="1:17" x14ac:dyDescent="0.25">
      <c r="A1221" s="11">
        <v>201210</v>
      </c>
      <c r="B1221" s="12" t="s">
        <v>5150</v>
      </c>
      <c r="C1221" s="12" t="s">
        <v>2807</v>
      </c>
      <c r="D1221" s="125">
        <v>4000000</v>
      </c>
      <c r="E1221" s="125">
        <v>2978850.4</v>
      </c>
      <c r="F1221" s="12">
        <v>54</v>
      </c>
      <c r="G1221" s="12">
        <v>180</v>
      </c>
      <c r="H1221" s="12">
        <v>0</v>
      </c>
      <c r="I1221" s="13">
        <v>42954.678449039355</v>
      </c>
      <c r="J1221" s="13">
        <v>43258</v>
      </c>
      <c r="K1221" s="12" t="s">
        <v>36</v>
      </c>
      <c r="L1221" s="12" t="s">
        <v>1023</v>
      </c>
      <c r="M1221" s="12" t="s">
        <v>1810</v>
      </c>
      <c r="N1221" s="12" t="s">
        <v>4686</v>
      </c>
      <c r="O1221" s="12"/>
      <c r="P1221" s="12"/>
      <c r="Q1221" s="12"/>
    </row>
    <row r="1222" spans="1:17" x14ac:dyDescent="0.25">
      <c r="A1222" s="11">
        <v>201211</v>
      </c>
      <c r="B1222" s="12" t="s">
        <v>3708</v>
      </c>
      <c r="C1222" s="12" t="s">
        <v>2807</v>
      </c>
      <c r="D1222" s="125">
        <v>4000000</v>
      </c>
      <c r="E1222" s="125">
        <v>2959995.95</v>
      </c>
      <c r="F1222" s="12">
        <v>48</v>
      </c>
      <c r="G1222" s="12">
        <v>180</v>
      </c>
      <c r="H1222" s="12">
        <v>0</v>
      </c>
      <c r="I1222" s="13">
        <v>42954.705635497688</v>
      </c>
      <c r="J1222" s="13">
        <v>43258</v>
      </c>
      <c r="K1222" s="12" t="s">
        <v>45</v>
      </c>
      <c r="L1222" s="12" t="s">
        <v>45</v>
      </c>
      <c r="M1222" s="12" t="s">
        <v>89</v>
      </c>
      <c r="N1222" s="12" t="s">
        <v>491</v>
      </c>
      <c r="O1222" s="12"/>
      <c r="P1222" s="12"/>
      <c r="Q1222" s="12"/>
    </row>
    <row r="1223" spans="1:17" x14ac:dyDescent="0.25">
      <c r="A1223" s="11">
        <v>201212</v>
      </c>
      <c r="B1223" s="12" t="s">
        <v>2790</v>
      </c>
      <c r="C1223" s="12" t="s">
        <v>1449</v>
      </c>
      <c r="D1223" s="125">
        <v>6000000</v>
      </c>
      <c r="E1223" s="125">
        <v>4431349.74</v>
      </c>
      <c r="F1223" s="12">
        <v>44</v>
      </c>
      <c r="G1223" s="12">
        <v>180</v>
      </c>
      <c r="H1223" s="12">
        <v>0</v>
      </c>
      <c r="I1223" s="13">
        <v>42955.442869444443</v>
      </c>
      <c r="J1223" s="13">
        <v>43261</v>
      </c>
      <c r="K1223" s="12" t="s">
        <v>25</v>
      </c>
      <c r="L1223" s="12" t="s">
        <v>88</v>
      </c>
      <c r="M1223" s="12" t="s">
        <v>285</v>
      </c>
      <c r="N1223" s="12" t="s">
        <v>2175</v>
      </c>
      <c r="O1223" s="12"/>
      <c r="P1223" s="12"/>
      <c r="Q1223" s="12"/>
    </row>
    <row r="1224" spans="1:17" x14ac:dyDescent="0.25">
      <c r="A1224" s="11">
        <v>201213</v>
      </c>
      <c r="B1224" s="12" t="s">
        <v>2983</v>
      </c>
      <c r="C1224" s="12" t="s">
        <v>2807</v>
      </c>
      <c r="D1224" s="125">
        <v>4000000</v>
      </c>
      <c r="E1224" s="125">
        <v>3169002.95</v>
      </c>
      <c r="F1224" s="12">
        <v>48</v>
      </c>
      <c r="G1224" s="12">
        <v>180</v>
      </c>
      <c r="H1224" s="12">
        <v>0</v>
      </c>
      <c r="I1224" s="13">
        <v>42956.50059826389</v>
      </c>
      <c r="J1224" s="13">
        <v>43321</v>
      </c>
      <c r="K1224" s="12" t="s">
        <v>25</v>
      </c>
      <c r="L1224" s="12" t="s">
        <v>106</v>
      </c>
      <c r="M1224" s="12" t="s">
        <v>107</v>
      </c>
      <c r="N1224" s="12" t="s">
        <v>1467</v>
      </c>
      <c r="O1224" s="12"/>
      <c r="P1224" s="12"/>
      <c r="Q1224" s="12"/>
    </row>
    <row r="1225" spans="1:17" x14ac:dyDescent="0.25">
      <c r="A1225" s="11">
        <v>201214</v>
      </c>
      <c r="B1225" s="12" t="s">
        <v>3511</v>
      </c>
      <c r="C1225" s="12" t="s">
        <v>2807</v>
      </c>
      <c r="D1225" s="125">
        <v>10000000</v>
      </c>
      <c r="E1225" s="125">
        <v>7922507.3700000001</v>
      </c>
      <c r="F1225" s="12">
        <v>48</v>
      </c>
      <c r="G1225" s="12">
        <v>180</v>
      </c>
      <c r="H1225" s="12">
        <v>0</v>
      </c>
      <c r="I1225" s="13">
        <v>42956.558485729169</v>
      </c>
      <c r="J1225" s="13">
        <v>43321</v>
      </c>
      <c r="K1225" s="12" t="s">
        <v>27</v>
      </c>
      <c r="L1225" s="12" t="s">
        <v>81</v>
      </c>
      <c r="M1225" s="12" t="s">
        <v>5165</v>
      </c>
      <c r="N1225" s="12" t="s">
        <v>4684</v>
      </c>
      <c r="O1225" s="12"/>
      <c r="P1225" s="12"/>
      <c r="Q1225" s="12"/>
    </row>
    <row r="1226" spans="1:17" x14ac:dyDescent="0.25">
      <c r="A1226" s="11">
        <v>201215</v>
      </c>
      <c r="B1226" s="12" t="s">
        <v>5166</v>
      </c>
      <c r="C1226" s="12" t="s">
        <v>2807</v>
      </c>
      <c r="D1226" s="125">
        <v>4000000</v>
      </c>
      <c r="E1226" s="125">
        <v>3334321.23</v>
      </c>
      <c r="F1226" s="12">
        <v>54</v>
      </c>
      <c r="G1226" s="12">
        <v>180</v>
      </c>
      <c r="H1226" s="12">
        <v>0</v>
      </c>
      <c r="I1226" s="13">
        <v>42956.583530902775</v>
      </c>
      <c r="J1226" s="13">
        <v>43260</v>
      </c>
      <c r="K1226" s="12" t="s">
        <v>25</v>
      </c>
      <c r="L1226" s="12" t="s">
        <v>88</v>
      </c>
      <c r="M1226" s="12" t="s">
        <v>285</v>
      </c>
      <c r="N1226" s="12" t="s">
        <v>5167</v>
      </c>
      <c r="O1226" s="12"/>
      <c r="P1226" s="12"/>
      <c r="Q1226" s="12"/>
    </row>
    <row r="1227" spans="1:17" x14ac:dyDescent="0.25">
      <c r="A1227" s="11">
        <v>201216</v>
      </c>
      <c r="B1227" s="12" t="s">
        <v>3374</v>
      </c>
      <c r="C1227" s="12" t="s">
        <v>2807</v>
      </c>
      <c r="D1227" s="125">
        <v>2500000</v>
      </c>
      <c r="E1227" s="125">
        <v>1849997.48</v>
      </c>
      <c r="F1227" s="12">
        <v>48</v>
      </c>
      <c r="G1227" s="12">
        <v>180</v>
      </c>
      <c r="H1227" s="12">
        <v>0</v>
      </c>
      <c r="I1227" s="13">
        <v>42956.591755821762</v>
      </c>
      <c r="J1227" s="13">
        <v>43260</v>
      </c>
      <c r="K1227" s="12" t="s">
        <v>44</v>
      </c>
      <c r="L1227" s="12" t="s">
        <v>92</v>
      </c>
      <c r="M1227" s="12" t="s">
        <v>92</v>
      </c>
      <c r="N1227" s="12" t="s">
        <v>3074</v>
      </c>
      <c r="O1227" s="12"/>
      <c r="P1227" s="12"/>
      <c r="Q1227" s="12"/>
    </row>
    <row r="1228" spans="1:17" x14ac:dyDescent="0.25">
      <c r="A1228" s="11">
        <v>201217</v>
      </c>
      <c r="B1228" s="12" t="s">
        <v>5174</v>
      </c>
      <c r="C1228" s="12" t="s">
        <v>1449</v>
      </c>
      <c r="D1228" s="125">
        <v>4000000</v>
      </c>
      <c r="E1228" s="125">
        <v>2379976.25</v>
      </c>
      <c r="F1228" s="12">
        <v>54</v>
      </c>
      <c r="G1228" s="12">
        <v>180</v>
      </c>
      <c r="H1228" s="12">
        <v>0</v>
      </c>
      <c r="I1228" s="13">
        <v>42957.52770309028</v>
      </c>
      <c r="J1228" s="13">
        <v>43141</v>
      </c>
      <c r="K1228" s="12" t="s">
        <v>25</v>
      </c>
      <c r="L1228" s="12" t="s">
        <v>88</v>
      </c>
      <c r="M1228" s="12" t="s">
        <v>285</v>
      </c>
      <c r="N1228" s="12" t="s">
        <v>5167</v>
      </c>
      <c r="O1228" s="12"/>
      <c r="P1228" s="12"/>
      <c r="Q1228" s="12"/>
    </row>
    <row r="1229" spans="1:17" x14ac:dyDescent="0.25">
      <c r="A1229" s="11">
        <v>201218</v>
      </c>
      <c r="B1229" s="12" t="s">
        <v>2010</v>
      </c>
      <c r="C1229" s="12" t="s">
        <v>1449</v>
      </c>
      <c r="D1229" s="125">
        <v>10000000</v>
      </c>
      <c r="E1229" s="125">
        <v>6645099.4500000002</v>
      </c>
      <c r="F1229" s="12">
        <v>44</v>
      </c>
      <c r="G1229" s="12">
        <v>180</v>
      </c>
      <c r="H1229" s="12">
        <v>0</v>
      </c>
      <c r="I1229" s="13">
        <v>42957.643901041665</v>
      </c>
      <c r="J1229" s="13">
        <v>43208</v>
      </c>
      <c r="K1229" s="12" t="s">
        <v>25</v>
      </c>
      <c r="L1229" s="12" t="s">
        <v>88</v>
      </c>
      <c r="M1229" s="12" t="s">
        <v>285</v>
      </c>
      <c r="N1229" s="12" t="s">
        <v>2861</v>
      </c>
      <c r="O1229" s="12"/>
      <c r="P1229" s="12"/>
      <c r="Q1229" s="12"/>
    </row>
    <row r="1230" spans="1:17" x14ac:dyDescent="0.25">
      <c r="A1230" s="11">
        <v>201219</v>
      </c>
      <c r="B1230" s="12" t="s">
        <v>2291</v>
      </c>
      <c r="C1230" s="12" t="s">
        <v>1449</v>
      </c>
      <c r="D1230" s="125">
        <v>25000000</v>
      </c>
      <c r="E1230" s="125">
        <v>19681836.120000001</v>
      </c>
      <c r="F1230" s="12">
        <v>42</v>
      </c>
      <c r="G1230" s="12">
        <v>180</v>
      </c>
      <c r="H1230" s="12">
        <v>0</v>
      </c>
      <c r="I1230" s="13">
        <v>42957.611355821762</v>
      </c>
      <c r="J1230" s="13">
        <v>43322</v>
      </c>
      <c r="K1230" s="12" t="s">
        <v>25</v>
      </c>
      <c r="L1230" s="12" t="s">
        <v>88</v>
      </c>
      <c r="M1230" s="12" t="s">
        <v>285</v>
      </c>
      <c r="N1230" s="12" t="s">
        <v>2861</v>
      </c>
      <c r="O1230" s="12"/>
      <c r="P1230" s="12"/>
      <c r="Q1230" s="12"/>
    </row>
    <row r="1231" spans="1:17" x14ac:dyDescent="0.25">
      <c r="A1231" s="11">
        <v>201220</v>
      </c>
      <c r="B1231" s="12" t="s">
        <v>5173</v>
      </c>
      <c r="C1231" s="12" t="s">
        <v>2807</v>
      </c>
      <c r="D1231" s="125">
        <v>2000000</v>
      </c>
      <c r="E1231" s="125">
        <v>1391087.38</v>
      </c>
      <c r="F1231" s="12">
        <v>54</v>
      </c>
      <c r="G1231" s="12">
        <v>180</v>
      </c>
      <c r="H1231" s="12">
        <v>0</v>
      </c>
      <c r="I1231" s="13">
        <v>42957.655313888892</v>
      </c>
      <c r="J1231" s="13">
        <v>43141</v>
      </c>
      <c r="K1231" s="12" t="s">
        <v>36</v>
      </c>
      <c r="L1231" s="12" t="s">
        <v>118</v>
      </c>
      <c r="M1231" s="12" t="s">
        <v>119</v>
      </c>
      <c r="N1231" s="12" t="s">
        <v>5167</v>
      </c>
      <c r="O1231" s="12"/>
      <c r="P1231" s="12"/>
      <c r="Q1231" s="12"/>
    </row>
    <row r="1232" spans="1:17" x14ac:dyDescent="0.25">
      <c r="A1232" s="11">
        <v>201222</v>
      </c>
      <c r="B1232" s="12" t="s">
        <v>2733</v>
      </c>
      <c r="C1232" s="12" t="s">
        <v>2807</v>
      </c>
      <c r="D1232" s="125">
        <v>3000000</v>
      </c>
      <c r="E1232" s="125">
        <v>2219996.98</v>
      </c>
      <c r="F1232" s="12">
        <v>48</v>
      </c>
      <c r="G1232" s="12">
        <v>180</v>
      </c>
      <c r="H1232" s="12">
        <v>0</v>
      </c>
      <c r="I1232" s="13">
        <v>42958.64839278935</v>
      </c>
      <c r="J1232" s="13">
        <v>43262</v>
      </c>
      <c r="K1232" s="12" t="s">
        <v>44</v>
      </c>
      <c r="L1232" s="12" t="s">
        <v>92</v>
      </c>
      <c r="M1232" s="12" t="s">
        <v>92</v>
      </c>
      <c r="N1232" s="12" t="s">
        <v>1667</v>
      </c>
      <c r="O1232" s="12"/>
      <c r="P1232" s="12"/>
      <c r="Q1232" s="12"/>
    </row>
    <row r="1233" spans="1:17" x14ac:dyDescent="0.25">
      <c r="A1233" s="11">
        <v>201223</v>
      </c>
      <c r="B1233" s="12" t="s">
        <v>3228</v>
      </c>
      <c r="C1233" s="12" t="s">
        <v>2807</v>
      </c>
      <c r="D1233" s="125">
        <v>3500000</v>
      </c>
      <c r="E1233" s="125">
        <v>2772877.6</v>
      </c>
      <c r="F1233" s="12">
        <v>48</v>
      </c>
      <c r="G1233" s="12">
        <v>180</v>
      </c>
      <c r="H1233" s="12">
        <v>0</v>
      </c>
      <c r="I1233" s="13">
        <v>42958.615538113423</v>
      </c>
      <c r="J1233" s="13">
        <v>43323</v>
      </c>
      <c r="K1233" s="12" t="s">
        <v>44</v>
      </c>
      <c r="L1233" s="12" t="s">
        <v>92</v>
      </c>
      <c r="M1233" s="12" t="s">
        <v>92</v>
      </c>
      <c r="N1233" s="12" t="s">
        <v>468</v>
      </c>
      <c r="O1233" s="12"/>
      <c r="P1233" s="12"/>
      <c r="Q1233" s="12"/>
    </row>
    <row r="1234" spans="1:17" x14ac:dyDescent="0.25">
      <c r="A1234" s="11">
        <v>201225</v>
      </c>
      <c r="B1234" s="12" t="s">
        <v>3990</v>
      </c>
      <c r="C1234" s="12" t="s">
        <v>2807</v>
      </c>
      <c r="D1234" s="125">
        <v>5000000</v>
      </c>
      <c r="E1234" s="125">
        <v>3699994.94</v>
      </c>
      <c r="F1234" s="12">
        <v>48</v>
      </c>
      <c r="G1234" s="12">
        <v>180</v>
      </c>
      <c r="H1234" s="12">
        <v>0</v>
      </c>
      <c r="I1234" s="13">
        <v>42961.715052430554</v>
      </c>
      <c r="J1234" s="13">
        <v>43265</v>
      </c>
      <c r="K1234" s="12" t="s">
        <v>44</v>
      </c>
      <c r="L1234" s="12" t="s">
        <v>75</v>
      </c>
      <c r="M1234" s="12" t="s">
        <v>1442</v>
      </c>
      <c r="N1234" s="12" t="s">
        <v>1447</v>
      </c>
      <c r="O1234" s="12"/>
      <c r="P1234" s="12"/>
      <c r="Q1234" s="12"/>
    </row>
    <row r="1235" spans="1:17" x14ac:dyDescent="0.25">
      <c r="A1235" s="11">
        <v>201226</v>
      </c>
      <c r="B1235" s="12" t="s">
        <v>2709</v>
      </c>
      <c r="C1235" s="12" t="s">
        <v>2807</v>
      </c>
      <c r="D1235" s="125">
        <v>4000000</v>
      </c>
      <c r="E1235" s="125">
        <v>2894261.73</v>
      </c>
      <c r="F1235" s="12">
        <v>48</v>
      </c>
      <c r="G1235" s="12">
        <v>180</v>
      </c>
      <c r="H1235" s="12">
        <v>0</v>
      </c>
      <c r="I1235" s="13">
        <v>42958.69990482639</v>
      </c>
      <c r="J1235" s="13">
        <v>43201</v>
      </c>
      <c r="K1235" s="12" t="s">
        <v>25</v>
      </c>
      <c r="L1235" s="12" t="s">
        <v>103</v>
      </c>
      <c r="M1235" s="12" t="s">
        <v>104</v>
      </c>
      <c r="N1235" s="12" t="s">
        <v>3074</v>
      </c>
      <c r="O1235" s="12"/>
      <c r="P1235" s="12"/>
      <c r="Q1235" s="12"/>
    </row>
    <row r="1236" spans="1:17" x14ac:dyDescent="0.25">
      <c r="A1236" s="11">
        <v>201227</v>
      </c>
      <c r="B1236" s="12" t="s">
        <v>5192</v>
      </c>
      <c r="C1236" s="12" t="s">
        <v>1449</v>
      </c>
      <c r="D1236" s="125">
        <v>4000000</v>
      </c>
      <c r="E1236" s="125">
        <v>2131859.11</v>
      </c>
      <c r="F1236" s="12">
        <v>54</v>
      </c>
      <c r="G1236" s="12">
        <v>180</v>
      </c>
      <c r="H1236" s="12">
        <v>0</v>
      </c>
      <c r="I1236" s="13">
        <v>42961.691763275463</v>
      </c>
      <c r="J1236" s="13">
        <v>43145</v>
      </c>
      <c r="K1236" s="12" t="s">
        <v>25</v>
      </c>
      <c r="L1236" s="12" t="s">
        <v>88</v>
      </c>
      <c r="M1236" s="12" t="s">
        <v>285</v>
      </c>
      <c r="N1236" s="12" t="s">
        <v>491</v>
      </c>
      <c r="O1236" s="12"/>
      <c r="P1236" s="12"/>
      <c r="Q1236" s="12"/>
    </row>
    <row r="1237" spans="1:17" x14ac:dyDescent="0.25">
      <c r="A1237" s="11">
        <v>201228</v>
      </c>
      <c r="B1237" s="12" t="s">
        <v>3372</v>
      </c>
      <c r="C1237" s="12" t="s">
        <v>1449</v>
      </c>
      <c r="D1237" s="125">
        <v>7000000</v>
      </c>
      <c r="E1237" s="125">
        <v>5522595.8200000003</v>
      </c>
      <c r="F1237" s="12">
        <v>44</v>
      </c>
      <c r="G1237" s="12">
        <v>180</v>
      </c>
      <c r="H1237" s="12">
        <v>0</v>
      </c>
      <c r="I1237" s="13">
        <v>42961.758969826391</v>
      </c>
      <c r="J1237" s="13">
        <v>43326</v>
      </c>
      <c r="K1237" s="12" t="s">
        <v>25</v>
      </c>
      <c r="L1237" s="12" t="s">
        <v>88</v>
      </c>
      <c r="M1237" s="12" t="s">
        <v>285</v>
      </c>
      <c r="N1237" s="12" t="s">
        <v>2557</v>
      </c>
      <c r="O1237" s="12"/>
      <c r="P1237" s="12"/>
      <c r="Q1237" s="12"/>
    </row>
    <row r="1238" spans="1:17" x14ac:dyDescent="0.25">
      <c r="A1238" s="11">
        <v>201229</v>
      </c>
      <c r="B1238" s="12" t="s">
        <v>3940</v>
      </c>
      <c r="C1238" s="12" t="s">
        <v>2807</v>
      </c>
      <c r="D1238" s="125">
        <v>7000000</v>
      </c>
      <c r="E1238" s="125">
        <v>5179992.92</v>
      </c>
      <c r="F1238" s="12">
        <v>48</v>
      </c>
      <c r="G1238" s="12">
        <v>180</v>
      </c>
      <c r="H1238" s="12">
        <v>0</v>
      </c>
      <c r="I1238" s="13">
        <v>42961.635382291664</v>
      </c>
      <c r="J1238" s="13">
        <v>43265</v>
      </c>
      <c r="K1238" s="12" t="s">
        <v>31</v>
      </c>
      <c r="L1238" s="12" t="s">
        <v>5187</v>
      </c>
      <c r="M1238" s="12" t="s">
        <v>5188</v>
      </c>
      <c r="N1238" s="12" t="s">
        <v>2538</v>
      </c>
      <c r="O1238" s="12"/>
      <c r="P1238" s="12"/>
      <c r="Q1238" s="12"/>
    </row>
    <row r="1239" spans="1:17" x14ac:dyDescent="0.25">
      <c r="A1239" s="11">
        <v>201230</v>
      </c>
      <c r="B1239" s="12" t="s">
        <v>3707</v>
      </c>
      <c r="C1239" s="12" t="s">
        <v>2807</v>
      </c>
      <c r="D1239" s="125">
        <v>3000000</v>
      </c>
      <c r="E1239" s="125">
        <v>2376752.21</v>
      </c>
      <c r="F1239" s="12">
        <v>48</v>
      </c>
      <c r="G1239" s="12">
        <v>180</v>
      </c>
      <c r="H1239" s="12">
        <v>0</v>
      </c>
      <c r="I1239" s="13">
        <v>42961.692666817129</v>
      </c>
      <c r="J1239" s="13">
        <v>43326</v>
      </c>
      <c r="K1239" s="12" t="s">
        <v>44</v>
      </c>
      <c r="L1239" s="12" t="s">
        <v>75</v>
      </c>
      <c r="M1239" s="12" t="s">
        <v>26</v>
      </c>
      <c r="N1239" s="12" t="s">
        <v>4684</v>
      </c>
      <c r="O1239" s="12"/>
      <c r="P1239" s="12"/>
      <c r="Q1239" s="12"/>
    </row>
    <row r="1240" spans="1:17" x14ac:dyDescent="0.25">
      <c r="A1240" s="11">
        <v>201231</v>
      </c>
      <c r="B1240" s="12" t="s">
        <v>5210</v>
      </c>
      <c r="C1240" s="12" t="s">
        <v>1449</v>
      </c>
      <c r="D1240" s="125">
        <v>3000000</v>
      </c>
      <c r="E1240" s="125">
        <v>1598894.34</v>
      </c>
      <c r="F1240" s="12">
        <v>54</v>
      </c>
      <c r="G1240" s="12">
        <v>180</v>
      </c>
      <c r="H1240" s="12">
        <v>0</v>
      </c>
      <c r="I1240" s="13">
        <v>42962.699635960649</v>
      </c>
      <c r="J1240" s="13">
        <v>43146</v>
      </c>
      <c r="K1240" s="12" t="s">
        <v>25</v>
      </c>
      <c r="L1240" s="12" t="s">
        <v>88</v>
      </c>
      <c r="M1240" s="12" t="s">
        <v>285</v>
      </c>
      <c r="N1240" s="12" t="s">
        <v>4685</v>
      </c>
      <c r="O1240" s="12"/>
      <c r="P1240" s="12"/>
      <c r="Q1240" s="12"/>
    </row>
    <row r="1241" spans="1:17" x14ac:dyDescent="0.25">
      <c r="A1241" s="11">
        <v>201232</v>
      </c>
      <c r="B1241" s="12" t="s">
        <v>5221</v>
      </c>
      <c r="C1241" s="12" t="s">
        <v>2807</v>
      </c>
      <c r="D1241" s="125">
        <v>2500000</v>
      </c>
      <c r="E1241" s="125">
        <v>1332411.94</v>
      </c>
      <c r="F1241" s="12">
        <v>54</v>
      </c>
      <c r="G1241" s="12">
        <v>180</v>
      </c>
      <c r="H1241" s="12">
        <v>0</v>
      </c>
      <c r="I1241" s="13">
        <v>42963.693098923613</v>
      </c>
      <c r="J1241" s="13">
        <v>43147</v>
      </c>
      <c r="K1241" s="12" t="s">
        <v>25</v>
      </c>
      <c r="L1241" s="12" t="s">
        <v>103</v>
      </c>
      <c r="M1241" s="12" t="s">
        <v>104</v>
      </c>
      <c r="N1241" s="12" t="s">
        <v>4685</v>
      </c>
      <c r="O1241" s="12"/>
      <c r="P1241" s="12"/>
      <c r="Q1241" s="12"/>
    </row>
    <row r="1242" spans="1:17" x14ac:dyDescent="0.25">
      <c r="A1242" s="11">
        <v>201233</v>
      </c>
      <c r="B1242" s="12" t="s">
        <v>5222</v>
      </c>
      <c r="C1242" s="12" t="s">
        <v>2807</v>
      </c>
      <c r="D1242" s="125">
        <v>4000000</v>
      </c>
      <c r="E1242" s="125">
        <v>2131859.11</v>
      </c>
      <c r="F1242" s="12">
        <v>54</v>
      </c>
      <c r="G1242" s="12">
        <v>180</v>
      </c>
      <c r="H1242" s="12">
        <v>0</v>
      </c>
      <c r="I1242" s="13">
        <v>42963.67516875</v>
      </c>
      <c r="J1242" s="13">
        <v>43147</v>
      </c>
      <c r="K1242" s="12" t="s">
        <v>25</v>
      </c>
      <c r="L1242" s="12" t="s">
        <v>103</v>
      </c>
      <c r="M1242" s="12" t="s">
        <v>104</v>
      </c>
      <c r="N1242" s="12" t="s">
        <v>4686</v>
      </c>
      <c r="O1242" s="12"/>
      <c r="P1242" s="12"/>
      <c r="Q1242" s="12"/>
    </row>
    <row r="1243" spans="1:17" x14ac:dyDescent="0.25">
      <c r="A1243" s="11">
        <v>201234</v>
      </c>
      <c r="B1243" s="12" t="s">
        <v>3826</v>
      </c>
      <c r="C1243" s="12" t="s">
        <v>2807</v>
      </c>
      <c r="D1243" s="125">
        <v>6000000</v>
      </c>
      <c r="E1243" s="125">
        <v>4439993.91</v>
      </c>
      <c r="F1243" s="12">
        <v>48</v>
      </c>
      <c r="G1243" s="12">
        <v>180</v>
      </c>
      <c r="H1243" s="12">
        <v>0</v>
      </c>
      <c r="I1243" s="13">
        <v>42963.518841203702</v>
      </c>
      <c r="J1243" s="13">
        <v>43267</v>
      </c>
      <c r="K1243" s="12" t="s">
        <v>25</v>
      </c>
      <c r="L1243" s="12" t="s">
        <v>88</v>
      </c>
      <c r="M1243" s="12" t="s">
        <v>285</v>
      </c>
      <c r="N1243" s="12" t="s">
        <v>5167</v>
      </c>
      <c r="O1243" s="12"/>
      <c r="P1243" s="12"/>
      <c r="Q1243" s="12"/>
    </row>
    <row r="1244" spans="1:17" x14ac:dyDescent="0.25">
      <c r="A1244" s="11">
        <v>201235</v>
      </c>
      <c r="B1244" s="12" t="s">
        <v>3900</v>
      </c>
      <c r="C1244" s="12" t="s">
        <v>1449</v>
      </c>
      <c r="D1244" s="125">
        <v>8000000</v>
      </c>
      <c r="E1244" s="125">
        <v>6338005.9000000004</v>
      </c>
      <c r="F1244" s="12">
        <v>48</v>
      </c>
      <c r="G1244" s="12">
        <v>180</v>
      </c>
      <c r="H1244" s="12">
        <v>0</v>
      </c>
      <c r="I1244" s="13">
        <v>42963.690912118058</v>
      </c>
      <c r="J1244" s="13">
        <v>43328</v>
      </c>
      <c r="K1244" s="12" t="s">
        <v>25</v>
      </c>
      <c r="L1244" s="12" t="s">
        <v>88</v>
      </c>
      <c r="M1244" s="12" t="s">
        <v>285</v>
      </c>
      <c r="N1244" s="12" t="s">
        <v>1448</v>
      </c>
      <c r="O1244" s="12"/>
      <c r="P1244" s="12"/>
      <c r="Q1244" s="12"/>
    </row>
    <row r="1245" spans="1:17" x14ac:dyDescent="0.25">
      <c r="A1245" s="11">
        <v>201236</v>
      </c>
      <c r="B1245" s="12" t="s">
        <v>5223</v>
      </c>
      <c r="C1245" s="12" t="s">
        <v>1449</v>
      </c>
      <c r="D1245" s="125">
        <v>3000000</v>
      </c>
      <c r="E1245" s="125">
        <v>2448249.4</v>
      </c>
      <c r="F1245" s="12">
        <v>48</v>
      </c>
      <c r="G1245" s="12">
        <v>180</v>
      </c>
      <c r="H1245" s="12">
        <v>0</v>
      </c>
      <c r="I1245" s="13">
        <v>42963.677953668979</v>
      </c>
      <c r="J1245" s="13">
        <v>43267</v>
      </c>
      <c r="K1245" s="12" t="s">
        <v>25</v>
      </c>
      <c r="L1245" s="12" t="s">
        <v>88</v>
      </c>
      <c r="M1245" s="12" t="s">
        <v>285</v>
      </c>
      <c r="N1245" s="12" t="s">
        <v>2175</v>
      </c>
      <c r="O1245" s="12"/>
      <c r="P1245" s="12"/>
      <c r="Q1245" s="12"/>
    </row>
    <row r="1246" spans="1:17" x14ac:dyDescent="0.25">
      <c r="A1246" s="11">
        <v>201237</v>
      </c>
      <c r="B1246" s="12" t="s">
        <v>4323</v>
      </c>
      <c r="C1246" s="12" t="s">
        <v>1449</v>
      </c>
      <c r="D1246" s="125">
        <v>5000000</v>
      </c>
      <c r="E1246" s="125">
        <v>4150432.37</v>
      </c>
      <c r="F1246" s="12">
        <v>48</v>
      </c>
      <c r="G1246" s="12">
        <v>180</v>
      </c>
      <c r="H1246" s="12">
        <v>0</v>
      </c>
      <c r="I1246" s="13">
        <v>42963.714644409723</v>
      </c>
      <c r="J1246" s="13">
        <v>43267</v>
      </c>
      <c r="K1246" s="12" t="s">
        <v>25</v>
      </c>
      <c r="L1246" s="12" t="s">
        <v>88</v>
      </c>
      <c r="M1246" s="12" t="s">
        <v>26</v>
      </c>
      <c r="N1246" s="12" t="s">
        <v>491</v>
      </c>
      <c r="O1246" s="12"/>
      <c r="P1246" s="12"/>
      <c r="Q1246" s="12"/>
    </row>
    <row r="1247" spans="1:17" x14ac:dyDescent="0.25">
      <c r="A1247" s="11">
        <v>201238</v>
      </c>
      <c r="B1247" s="12" t="s">
        <v>1784</v>
      </c>
      <c r="C1247" s="12" t="s">
        <v>2807</v>
      </c>
      <c r="D1247" s="125">
        <v>30000000</v>
      </c>
      <c r="E1247" s="125">
        <v>21911376.800000001</v>
      </c>
      <c r="F1247" s="12">
        <v>36</v>
      </c>
      <c r="G1247" s="12">
        <v>180</v>
      </c>
      <c r="H1247" s="12">
        <v>0</v>
      </c>
      <c r="I1247" s="13">
        <v>42964.682263773146</v>
      </c>
      <c r="J1247" s="13">
        <v>43268</v>
      </c>
      <c r="K1247" s="12" t="s">
        <v>27</v>
      </c>
      <c r="L1247" s="12" t="s">
        <v>81</v>
      </c>
      <c r="M1247" s="12" t="s">
        <v>1685</v>
      </c>
      <c r="N1247" s="12" t="s">
        <v>1447</v>
      </c>
      <c r="O1247" s="12"/>
      <c r="P1247" s="12"/>
      <c r="Q1247" s="12"/>
    </row>
    <row r="1248" spans="1:17" x14ac:dyDescent="0.25">
      <c r="A1248" s="11">
        <v>201240</v>
      </c>
      <c r="B1248" s="12" t="s">
        <v>4769</v>
      </c>
      <c r="C1248" s="12" t="s">
        <v>1449</v>
      </c>
      <c r="D1248" s="125">
        <v>30000000</v>
      </c>
      <c r="E1248" s="125">
        <v>26196411.280000001</v>
      </c>
      <c r="F1248" s="12">
        <v>42</v>
      </c>
      <c r="G1248" s="12">
        <v>180</v>
      </c>
      <c r="H1248" s="12">
        <v>0</v>
      </c>
      <c r="I1248" s="13">
        <v>42964.550383182868</v>
      </c>
      <c r="J1248" s="13">
        <v>43513</v>
      </c>
      <c r="K1248" s="12" t="s">
        <v>37</v>
      </c>
      <c r="L1248" s="12" t="s">
        <v>288</v>
      </c>
      <c r="M1248" s="12" t="s">
        <v>1313</v>
      </c>
      <c r="N1248" s="12" t="s">
        <v>468</v>
      </c>
      <c r="O1248" s="12"/>
      <c r="P1248" s="12"/>
      <c r="Q1248" s="12"/>
    </row>
    <row r="1249" spans="1:17" x14ac:dyDescent="0.25">
      <c r="A1249" s="11">
        <v>201241</v>
      </c>
      <c r="B1249" s="12" t="s">
        <v>2452</v>
      </c>
      <c r="C1249" s="12" t="s">
        <v>2807</v>
      </c>
      <c r="D1249" s="125">
        <v>13000000</v>
      </c>
      <c r="E1249" s="125">
        <v>10299259.609999999</v>
      </c>
      <c r="F1249" s="12">
        <v>48</v>
      </c>
      <c r="G1249" s="12">
        <v>180</v>
      </c>
      <c r="H1249" s="12">
        <v>0</v>
      </c>
      <c r="I1249" s="13">
        <v>42966.509046874999</v>
      </c>
      <c r="J1249" s="13">
        <v>43331</v>
      </c>
      <c r="K1249" s="12" t="s">
        <v>45</v>
      </c>
      <c r="L1249" s="12" t="s">
        <v>45</v>
      </c>
      <c r="M1249" s="12" t="s">
        <v>89</v>
      </c>
      <c r="N1249" s="12" t="s">
        <v>1447</v>
      </c>
      <c r="O1249" s="12"/>
      <c r="P1249" s="12"/>
      <c r="Q1249" s="12"/>
    </row>
    <row r="1250" spans="1:17" x14ac:dyDescent="0.25">
      <c r="A1250" s="11">
        <v>201243</v>
      </c>
      <c r="B1250" s="12" t="s">
        <v>5235</v>
      </c>
      <c r="C1250" s="12" t="s">
        <v>1449</v>
      </c>
      <c r="D1250" s="125">
        <v>5000000</v>
      </c>
      <c r="E1250" s="125">
        <v>3327814.25</v>
      </c>
      <c r="F1250" s="12">
        <v>54</v>
      </c>
      <c r="G1250" s="12">
        <v>180</v>
      </c>
      <c r="H1250" s="12">
        <v>0</v>
      </c>
      <c r="I1250" s="13">
        <v>42965.661909722221</v>
      </c>
      <c r="J1250" s="13">
        <v>43208</v>
      </c>
      <c r="K1250" s="12" t="s">
        <v>25</v>
      </c>
      <c r="L1250" s="12" t="s">
        <v>88</v>
      </c>
      <c r="M1250" s="12" t="s">
        <v>285</v>
      </c>
      <c r="N1250" s="12" t="s">
        <v>5047</v>
      </c>
      <c r="O1250" s="12"/>
      <c r="P1250" s="12"/>
      <c r="Q1250" s="12"/>
    </row>
    <row r="1251" spans="1:17" x14ac:dyDescent="0.25">
      <c r="A1251" s="11">
        <v>201244</v>
      </c>
      <c r="B1251" s="12" t="s">
        <v>5241</v>
      </c>
      <c r="C1251" s="12" t="s">
        <v>2807</v>
      </c>
      <c r="D1251" s="125">
        <v>3000000</v>
      </c>
      <c r="E1251" s="125">
        <v>2234137.79</v>
      </c>
      <c r="F1251" s="12">
        <v>54</v>
      </c>
      <c r="G1251" s="12">
        <v>180</v>
      </c>
      <c r="H1251" s="12">
        <v>0</v>
      </c>
      <c r="I1251" s="13">
        <v>42966.490009641202</v>
      </c>
      <c r="J1251" s="13">
        <v>43270</v>
      </c>
      <c r="K1251" s="12" t="s">
        <v>36</v>
      </c>
      <c r="L1251" s="12" t="s">
        <v>97</v>
      </c>
      <c r="M1251" s="12" t="s">
        <v>98</v>
      </c>
      <c r="N1251" s="12" t="s">
        <v>5410</v>
      </c>
      <c r="O1251" s="12"/>
      <c r="P1251" s="12"/>
      <c r="Q1251" s="12"/>
    </row>
    <row r="1252" spans="1:17" x14ac:dyDescent="0.25">
      <c r="A1252" s="11">
        <v>201245</v>
      </c>
      <c r="B1252" s="12" t="s">
        <v>5285</v>
      </c>
      <c r="C1252" s="12" t="s">
        <v>2807</v>
      </c>
      <c r="D1252" s="125">
        <v>3500000</v>
      </c>
      <c r="E1252" s="125">
        <v>2917531.08</v>
      </c>
      <c r="F1252" s="12">
        <v>54</v>
      </c>
      <c r="G1252" s="12">
        <v>180</v>
      </c>
      <c r="H1252" s="12">
        <v>0</v>
      </c>
      <c r="I1252" s="13">
        <v>42970.619665081016</v>
      </c>
      <c r="J1252" s="13">
        <v>43274</v>
      </c>
      <c r="K1252" s="12" t="s">
        <v>25</v>
      </c>
      <c r="L1252" s="12" t="s">
        <v>88</v>
      </c>
      <c r="M1252" s="12" t="s">
        <v>285</v>
      </c>
      <c r="N1252" s="12" t="s">
        <v>5047</v>
      </c>
      <c r="O1252" s="12"/>
      <c r="P1252" s="12"/>
      <c r="Q1252" s="12"/>
    </row>
    <row r="1253" spans="1:17" x14ac:dyDescent="0.25">
      <c r="A1253" s="11">
        <v>201246</v>
      </c>
      <c r="B1253" s="12" t="s">
        <v>5233</v>
      </c>
      <c r="C1253" s="12" t="s">
        <v>2807</v>
      </c>
      <c r="D1253" s="125">
        <v>2500000</v>
      </c>
      <c r="E1253" s="125">
        <v>1992851.37</v>
      </c>
      <c r="F1253" s="12">
        <v>54</v>
      </c>
      <c r="G1253" s="12">
        <v>180</v>
      </c>
      <c r="H1253" s="12">
        <v>0</v>
      </c>
      <c r="I1253" s="13">
        <v>42965.688243171295</v>
      </c>
      <c r="J1253" s="13">
        <v>43330</v>
      </c>
      <c r="K1253" s="12" t="s">
        <v>36</v>
      </c>
      <c r="L1253" s="12" t="s">
        <v>97</v>
      </c>
      <c r="M1253" s="12" t="s">
        <v>5234</v>
      </c>
      <c r="N1253" s="12" t="s">
        <v>4919</v>
      </c>
      <c r="O1253" s="12"/>
      <c r="P1253" s="12"/>
      <c r="Q1253" s="12"/>
    </row>
    <row r="1254" spans="1:17" x14ac:dyDescent="0.25">
      <c r="A1254" s="11">
        <v>201247</v>
      </c>
      <c r="B1254" s="12" t="s">
        <v>1956</v>
      </c>
      <c r="C1254" s="12" t="s">
        <v>1449</v>
      </c>
      <c r="D1254" s="125">
        <v>20000000</v>
      </c>
      <c r="E1254" s="125">
        <v>17679498.629999999</v>
      </c>
      <c r="F1254" s="12">
        <v>36</v>
      </c>
      <c r="G1254" s="12">
        <v>180</v>
      </c>
      <c r="H1254" s="12">
        <v>0</v>
      </c>
      <c r="I1254" s="13">
        <v>42966.509947650462</v>
      </c>
      <c r="J1254" s="13">
        <v>43423</v>
      </c>
      <c r="K1254" s="12" t="s">
        <v>44</v>
      </c>
      <c r="L1254" s="12" t="s">
        <v>75</v>
      </c>
      <c r="M1254" s="12" t="s">
        <v>1442</v>
      </c>
      <c r="N1254" s="12" t="s">
        <v>1467</v>
      </c>
      <c r="O1254" s="12"/>
      <c r="P1254" s="12"/>
      <c r="Q1254" s="12"/>
    </row>
    <row r="1255" spans="1:17" x14ac:dyDescent="0.25">
      <c r="A1255" s="11">
        <v>201248</v>
      </c>
      <c r="B1255" s="12" t="s">
        <v>5244</v>
      </c>
      <c r="C1255" s="12" t="s">
        <v>1449</v>
      </c>
      <c r="D1255" s="125">
        <v>2000000</v>
      </c>
      <c r="E1255" s="125">
        <v>1584501.47</v>
      </c>
      <c r="F1255" s="12">
        <v>48</v>
      </c>
      <c r="G1255" s="12">
        <v>180</v>
      </c>
      <c r="H1255" s="12">
        <v>0</v>
      </c>
      <c r="I1255" s="13">
        <v>42966.524724884257</v>
      </c>
      <c r="J1255" s="13">
        <v>43331</v>
      </c>
      <c r="K1255" s="12" t="s">
        <v>25</v>
      </c>
      <c r="L1255" s="12" t="s">
        <v>88</v>
      </c>
      <c r="M1255" s="12" t="s">
        <v>285</v>
      </c>
      <c r="N1255" s="12" t="s">
        <v>963</v>
      </c>
      <c r="O1255" s="12"/>
      <c r="P1255" s="12"/>
      <c r="Q1255" s="12"/>
    </row>
    <row r="1256" spans="1:17" x14ac:dyDescent="0.25">
      <c r="A1256" s="11">
        <v>201249</v>
      </c>
      <c r="B1256" s="12" t="s">
        <v>5253</v>
      </c>
      <c r="C1256" s="12" t="s">
        <v>1449</v>
      </c>
      <c r="D1256" s="125">
        <v>3500000</v>
      </c>
      <c r="E1256" s="125">
        <v>2736941.4</v>
      </c>
      <c r="F1256" s="12">
        <v>54</v>
      </c>
      <c r="G1256" s="12">
        <v>180</v>
      </c>
      <c r="H1256" s="12">
        <v>0</v>
      </c>
      <c r="I1256" s="13">
        <v>42968.663438692129</v>
      </c>
      <c r="J1256" s="13">
        <v>43211</v>
      </c>
      <c r="K1256" s="12" t="s">
        <v>25</v>
      </c>
      <c r="L1256" s="12" t="s">
        <v>88</v>
      </c>
      <c r="M1256" s="12" t="s">
        <v>285</v>
      </c>
      <c r="N1256" s="12" t="s">
        <v>3074</v>
      </c>
      <c r="O1256" s="12"/>
      <c r="P1256" s="12"/>
      <c r="Q1256" s="12"/>
    </row>
    <row r="1257" spans="1:17" x14ac:dyDescent="0.25">
      <c r="A1257" s="11">
        <v>201250</v>
      </c>
      <c r="B1257" s="12" t="s">
        <v>2134</v>
      </c>
      <c r="C1257" s="12" t="s">
        <v>1449</v>
      </c>
      <c r="D1257" s="125">
        <v>10000000</v>
      </c>
      <c r="E1257" s="125">
        <v>7922507.3700000001</v>
      </c>
      <c r="F1257" s="12">
        <v>48</v>
      </c>
      <c r="G1257" s="12">
        <v>180</v>
      </c>
      <c r="H1257" s="12">
        <v>0</v>
      </c>
      <c r="I1257" s="13">
        <v>42968.696249189816</v>
      </c>
      <c r="J1257" s="13">
        <v>43333</v>
      </c>
      <c r="K1257" s="12" t="s">
        <v>25</v>
      </c>
      <c r="L1257" s="12" t="s">
        <v>88</v>
      </c>
      <c r="M1257" s="12" t="s">
        <v>285</v>
      </c>
      <c r="N1257" s="12" t="s">
        <v>1448</v>
      </c>
      <c r="O1257" s="12"/>
      <c r="P1257" s="12"/>
      <c r="Q1257" s="12"/>
    </row>
    <row r="1258" spans="1:17" x14ac:dyDescent="0.25">
      <c r="A1258" s="11">
        <v>201251</v>
      </c>
      <c r="B1258" s="12" t="s">
        <v>5255</v>
      </c>
      <c r="C1258" s="12" t="s">
        <v>2807</v>
      </c>
      <c r="D1258" s="125">
        <v>2000000</v>
      </c>
      <c r="E1258" s="125">
        <v>1331125.69</v>
      </c>
      <c r="F1258" s="12">
        <v>54</v>
      </c>
      <c r="G1258" s="12">
        <v>180</v>
      </c>
      <c r="H1258" s="12">
        <v>0</v>
      </c>
      <c r="I1258" s="13">
        <v>42968.715607141203</v>
      </c>
      <c r="J1258" s="13">
        <v>43211</v>
      </c>
      <c r="K1258" s="12" t="s">
        <v>44</v>
      </c>
      <c r="L1258" s="12" t="s">
        <v>75</v>
      </c>
      <c r="M1258" s="12" t="s">
        <v>26</v>
      </c>
      <c r="N1258" s="12" t="s">
        <v>4683</v>
      </c>
      <c r="O1258" s="12"/>
      <c r="P1258" s="12"/>
      <c r="Q1258" s="12"/>
    </row>
    <row r="1259" spans="1:17" x14ac:dyDescent="0.25">
      <c r="A1259" s="11">
        <v>201252</v>
      </c>
      <c r="B1259" s="12" t="s">
        <v>5274</v>
      </c>
      <c r="C1259" s="12" t="s">
        <v>2807</v>
      </c>
      <c r="D1259" s="125">
        <v>1500000</v>
      </c>
      <c r="E1259" s="125">
        <v>1127164.3600000001</v>
      </c>
      <c r="F1259" s="12">
        <v>54</v>
      </c>
      <c r="G1259" s="12">
        <v>180</v>
      </c>
      <c r="H1259" s="12">
        <v>0</v>
      </c>
      <c r="I1259" s="13">
        <v>42969.395477627317</v>
      </c>
      <c r="J1259" s="13">
        <v>43273</v>
      </c>
      <c r="K1259" s="12" t="s">
        <v>44</v>
      </c>
      <c r="L1259" s="12" t="s">
        <v>92</v>
      </c>
      <c r="M1259" s="12" t="s">
        <v>92</v>
      </c>
      <c r="N1259" s="12" t="s">
        <v>4683</v>
      </c>
      <c r="O1259" s="12"/>
      <c r="P1259" s="12"/>
      <c r="Q1259" s="12"/>
    </row>
    <row r="1260" spans="1:17" x14ac:dyDescent="0.25">
      <c r="A1260" s="11">
        <v>201254</v>
      </c>
      <c r="B1260" s="12" t="s">
        <v>4158</v>
      </c>
      <c r="C1260" s="12" t="s">
        <v>1449</v>
      </c>
      <c r="D1260" s="125">
        <v>9000000</v>
      </c>
      <c r="E1260" s="125">
        <v>7100480.3399999999</v>
      </c>
      <c r="F1260" s="12">
        <v>44</v>
      </c>
      <c r="G1260" s="12">
        <v>180</v>
      </c>
      <c r="H1260" s="12">
        <v>0</v>
      </c>
      <c r="I1260" s="13">
        <v>42969.544407141206</v>
      </c>
      <c r="J1260" s="13">
        <v>43334</v>
      </c>
      <c r="K1260" s="12" t="s">
        <v>25</v>
      </c>
      <c r="L1260" s="12" t="s">
        <v>88</v>
      </c>
      <c r="M1260" s="12" t="s">
        <v>285</v>
      </c>
      <c r="N1260" s="12" t="s">
        <v>2557</v>
      </c>
      <c r="O1260" s="12"/>
      <c r="P1260" s="12"/>
      <c r="Q1260" s="12"/>
    </row>
    <row r="1261" spans="1:17" x14ac:dyDescent="0.25">
      <c r="A1261" s="11">
        <v>201255</v>
      </c>
      <c r="B1261" s="12" t="s">
        <v>4094</v>
      </c>
      <c r="C1261" s="12" t="s">
        <v>1449</v>
      </c>
      <c r="D1261" s="125">
        <v>17000000</v>
      </c>
      <c r="E1261" s="125">
        <v>13383648.550000001</v>
      </c>
      <c r="F1261" s="12">
        <v>42</v>
      </c>
      <c r="G1261" s="12">
        <v>180</v>
      </c>
      <c r="H1261" s="12">
        <v>0</v>
      </c>
      <c r="I1261" s="13">
        <v>42969.638759259258</v>
      </c>
      <c r="J1261" s="13">
        <v>43334</v>
      </c>
      <c r="K1261" s="12" t="s">
        <v>25</v>
      </c>
      <c r="L1261" s="12" t="s">
        <v>88</v>
      </c>
      <c r="M1261" s="12" t="s">
        <v>285</v>
      </c>
      <c r="N1261" s="12" t="s">
        <v>2557</v>
      </c>
      <c r="O1261" s="12"/>
      <c r="P1261" s="12"/>
      <c r="Q1261" s="12"/>
    </row>
    <row r="1262" spans="1:17" x14ac:dyDescent="0.25">
      <c r="A1262" s="11">
        <v>201256</v>
      </c>
      <c r="B1262" s="12" t="s">
        <v>5273</v>
      </c>
      <c r="C1262" s="12" t="s">
        <v>1449</v>
      </c>
      <c r="D1262" s="125">
        <v>3000000</v>
      </c>
      <c r="E1262" s="125">
        <v>2234137.79</v>
      </c>
      <c r="F1262" s="12">
        <v>54</v>
      </c>
      <c r="G1262" s="12">
        <v>180</v>
      </c>
      <c r="H1262" s="12">
        <v>0</v>
      </c>
      <c r="I1262" s="13">
        <v>42969.602546678238</v>
      </c>
      <c r="J1262" s="13">
        <v>43273</v>
      </c>
      <c r="K1262" s="12" t="s">
        <v>25</v>
      </c>
      <c r="L1262" s="12" t="s">
        <v>88</v>
      </c>
      <c r="M1262" s="12" t="s">
        <v>285</v>
      </c>
      <c r="N1262" s="12" t="s">
        <v>4686</v>
      </c>
      <c r="O1262" s="12"/>
      <c r="P1262" s="12"/>
      <c r="Q1262" s="12"/>
    </row>
    <row r="1263" spans="1:17" x14ac:dyDescent="0.25">
      <c r="A1263" s="11">
        <v>201257</v>
      </c>
      <c r="B1263" s="12" t="s">
        <v>3169</v>
      </c>
      <c r="C1263" s="12" t="s">
        <v>1409</v>
      </c>
      <c r="D1263" s="125">
        <v>1470000</v>
      </c>
      <c r="E1263" s="125">
        <v>757210.05</v>
      </c>
      <c r="F1263" s="12">
        <v>25</v>
      </c>
      <c r="G1263" s="12">
        <v>180</v>
      </c>
      <c r="H1263" s="12">
        <v>0</v>
      </c>
      <c r="I1263" s="13">
        <v>42969.632656018519</v>
      </c>
      <c r="J1263" s="13">
        <v>43152</v>
      </c>
      <c r="K1263" s="12" t="s">
        <v>28</v>
      </c>
      <c r="L1263" s="12" t="s">
        <v>26</v>
      </c>
      <c r="M1263" s="12" t="s">
        <v>26</v>
      </c>
      <c r="N1263" s="12" t="s">
        <v>284</v>
      </c>
      <c r="O1263" s="12"/>
      <c r="P1263" s="12"/>
      <c r="Q1263" s="12"/>
    </row>
    <row r="1264" spans="1:17" x14ac:dyDescent="0.25">
      <c r="A1264" s="11">
        <v>201258</v>
      </c>
      <c r="B1264" s="12" t="s">
        <v>5272</v>
      </c>
      <c r="C1264" s="12" t="s">
        <v>1449</v>
      </c>
      <c r="D1264" s="125">
        <v>3500000</v>
      </c>
      <c r="E1264" s="125">
        <v>2728654.36</v>
      </c>
      <c r="F1264" s="12">
        <v>54</v>
      </c>
      <c r="G1264" s="12">
        <v>180</v>
      </c>
      <c r="H1264" s="12">
        <v>0</v>
      </c>
      <c r="I1264" s="13">
        <v>42969.730253240741</v>
      </c>
      <c r="J1264" s="13">
        <v>43212</v>
      </c>
      <c r="K1264" s="12" t="s">
        <v>25</v>
      </c>
      <c r="L1264" s="12" t="s">
        <v>88</v>
      </c>
      <c r="M1264" s="12" t="s">
        <v>285</v>
      </c>
      <c r="N1264" s="12" t="s">
        <v>4686</v>
      </c>
      <c r="O1264" s="12"/>
      <c r="P1264" s="12"/>
      <c r="Q1264" s="12"/>
    </row>
    <row r="1265" spans="1:17" x14ac:dyDescent="0.25">
      <c r="A1265" s="11">
        <v>201259</v>
      </c>
      <c r="B1265" s="12" t="s">
        <v>4401</v>
      </c>
      <c r="C1265" s="12" t="s">
        <v>5043</v>
      </c>
      <c r="D1265" s="125">
        <v>3463900</v>
      </c>
      <c r="E1265" s="125">
        <v>1783071.03</v>
      </c>
      <c r="F1265" s="12">
        <v>25</v>
      </c>
      <c r="G1265" s="12">
        <v>180</v>
      </c>
      <c r="H1265" s="12">
        <v>0</v>
      </c>
      <c r="I1265" s="13">
        <v>42970.614022453701</v>
      </c>
      <c r="J1265" s="13">
        <v>43152</v>
      </c>
      <c r="K1265" s="12" t="s">
        <v>28</v>
      </c>
      <c r="L1265" s="12" t="s">
        <v>26</v>
      </c>
      <c r="M1265" s="12" t="s">
        <v>26</v>
      </c>
      <c r="N1265" s="12" t="s">
        <v>284</v>
      </c>
      <c r="O1265" s="12"/>
      <c r="P1265" s="12"/>
      <c r="Q1265" s="12"/>
    </row>
    <row r="1266" spans="1:17" x14ac:dyDescent="0.25">
      <c r="A1266" s="11">
        <v>201260</v>
      </c>
      <c r="B1266" s="12" t="s">
        <v>5284</v>
      </c>
      <c r="C1266" s="12" t="s">
        <v>2807</v>
      </c>
      <c r="D1266" s="125">
        <v>12000000</v>
      </c>
      <c r="E1266" s="125">
        <v>9343238.6799999997</v>
      </c>
      <c r="F1266" s="12">
        <v>48</v>
      </c>
      <c r="G1266" s="12">
        <v>180</v>
      </c>
      <c r="H1266" s="12">
        <v>0</v>
      </c>
      <c r="I1266" s="13">
        <v>42970.691239664353</v>
      </c>
      <c r="J1266" s="13">
        <v>43213</v>
      </c>
      <c r="K1266" s="12" t="s">
        <v>25</v>
      </c>
      <c r="L1266" s="12" t="s">
        <v>88</v>
      </c>
      <c r="M1266" s="12" t="s">
        <v>285</v>
      </c>
      <c r="N1266" s="12" t="s">
        <v>491</v>
      </c>
      <c r="O1266" s="12"/>
      <c r="P1266" s="12"/>
      <c r="Q1266" s="12"/>
    </row>
    <row r="1267" spans="1:17" x14ac:dyDescent="0.25">
      <c r="A1267" s="11">
        <v>201261</v>
      </c>
      <c r="B1267" s="12" t="s">
        <v>5295</v>
      </c>
      <c r="C1267" s="12" t="s">
        <v>2807</v>
      </c>
      <c r="D1267" s="125">
        <v>2500000</v>
      </c>
      <c r="E1267" s="125">
        <v>1954958.15</v>
      </c>
      <c r="F1267" s="12">
        <v>54</v>
      </c>
      <c r="G1267" s="12">
        <v>180</v>
      </c>
      <c r="H1267" s="12">
        <v>0</v>
      </c>
      <c r="I1267" s="13">
        <v>42971.563569942133</v>
      </c>
      <c r="J1267" s="13">
        <v>43214</v>
      </c>
      <c r="K1267" s="12" t="s">
        <v>44</v>
      </c>
      <c r="L1267" s="12" t="s">
        <v>75</v>
      </c>
      <c r="M1267" s="12" t="s">
        <v>26</v>
      </c>
      <c r="N1267" s="12" t="s">
        <v>1447</v>
      </c>
      <c r="O1267" s="12"/>
      <c r="P1267" s="12"/>
      <c r="Q1267" s="12"/>
    </row>
    <row r="1268" spans="1:17" x14ac:dyDescent="0.25">
      <c r="A1268" s="11">
        <v>201262</v>
      </c>
      <c r="B1268" s="12" t="s">
        <v>5294</v>
      </c>
      <c r="C1268" s="12" t="s">
        <v>1449</v>
      </c>
      <c r="D1268" s="125">
        <v>4000000</v>
      </c>
      <c r="E1268" s="125">
        <v>3334321.23</v>
      </c>
      <c r="F1268" s="12">
        <v>54</v>
      </c>
      <c r="G1268" s="12">
        <v>180</v>
      </c>
      <c r="H1268" s="12">
        <v>0</v>
      </c>
      <c r="I1268" s="13">
        <v>42971.655487349541</v>
      </c>
      <c r="J1268" s="13">
        <v>43275</v>
      </c>
      <c r="K1268" s="12" t="s">
        <v>25</v>
      </c>
      <c r="L1268" s="12" t="s">
        <v>88</v>
      </c>
      <c r="M1268" s="12" t="s">
        <v>285</v>
      </c>
      <c r="N1268" s="12" t="s">
        <v>5167</v>
      </c>
      <c r="O1268" s="12"/>
      <c r="P1268" s="12"/>
      <c r="Q1268" s="12"/>
    </row>
    <row r="1269" spans="1:17" x14ac:dyDescent="0.25">
      <c r="A1269" s="11">
        <v>201263</v>
      </c>
      <c r="B1269" s="12" t="s">
        <v>5305</v>
      </c>
      <c r="C1269" s="12" t="s">
        <v>1449</v>
      </c>
      <c r="D1269" s="125">
        <v>6000000</v>
      </c>
      <c r="E1269" s="125">
        <v>5001481.8600000003</v>
      </c>
      <c r="F1269" s="12">
        <v>54</v>
      </c>
      <c r="G1269" s="12">
        <v>180</v>
      </c>
      <c r="H1269" s="12">
        <v>0</v>
      </c>
      <c r="I1269" s="13">
        <v>42972.661190196763</v>
      </c>
      <c r="J1269" s="13">
        <v>43276</v>
      </c>
      <c r="K1269" s="12" t="s">
        <v>25</v>
      </c>
      <c r="L1269" s="12" t="s">
        <v>88</v>
      </c>
      <c r="M1269" s="12" t="s">
        <v>285</v>
      </c>
      <c r="N1269" s="12" t="s">
        <v>4844</v>
      </c>
      <c r="O1269" s="12"/>
      <c r="P1269" s="12"/>
      <c r="Q1269" s="12"/>
    </row>
    <row r="1270" spans="1:17" x14ac:dyDescent="0.25">
      <c r="A1270" s="11">
        <v>201265</v>
      </c>
      <c r="B1270" s="12" t="s">
        <v>4207</v>
      </c>
      <c r="C1270" s="12" t="s">
        <v>80</v>
      </c>
      <c r="D1270" s="125">
        <v>10000000</v>
      </c>
      <c r="E1270" s="125">
        <v>8642335.6699999999</v>
      </c>
      <c r="F1270" s="12">
        <v>48</v>
      </c>
      <c r="G1270" s="12">
        <v>180</v>
      </c>
      <c r="H1270" s="12">
        <v>0</v>
      </c>
      <c r="I1270" s="13">
        <v>42972.503821840277</v>
      </c>
      <c r="J1270" s="13">
        <v>43337</v>
      </c>
      <c r="K1270" s="12" t="s">
        <v>36</v>
      </c>
      <c r="L1270" s="12" t="s">
        <v>1023</v>
      </c>
      <c r="M1270" s="12" t="s">
        <v>26</v>
      </c>
      <c r="N1270" s="12" t="s">
        <v>2034</v>
      </c>
      <c r="O1270" s="12"/>
      <c r="P1270" s="12"/>
      <c r="Q1270" s="12"/>
    </row>
    <row r="1271" spans="1:17" x14ac:dyDescent="0.25">
      <c r="A1271" s="11">
        <v>201267</v>
      </c>
      <c r="B1271" s="12" t="s">
        <v>5321</v>
      </c>
      <c r="C1271" s="12" t="s">
        <v>2807</v>
      </c>
      <c r="D1271" s="125">
        <v>10000000</v>
      </c>
      <c r="E1271" s="125">
        <v>8640396.2799999993</v>
      </c>
      <c r="F1271" s="12">
        <v>40</v>
      </c>
      <c r="G1271" s="12">
        <v>180</v>
      </c>
      <c r="H1271" s="12">
        <v>0</v>
      </c>
      <c r="I1271" s="13">
        <v>42973.472984178239</v>
      </c>
      <c r="J1271" s="13">
        <v>43344</v>
      </c>
      <c r="K1271" s="12" t="s">
        <v>44</v>
      </c>
      <c r="L1271" s="12" t="s">
        <v>75</v>
      </c>
      <c r="M1271" s="12" t="s">
        <v>26</v>
      </c>
      <c r="N1271" s="12" t="s">
        <v>2538</v>
      </c>
      <c r="O1271" s="12"/>
      <c r="P1271" s="12"/>
      <c r="Q1271" s="12"/>
    </row>
    <row r="1272" spans="1:17" x14ac:dyDescent="0.25">
      <c r="A1272" s="11">
        <v>201268</v>
      </c>
      <c r="B1272" s="12" t="s">
        <v>5320</v>
      </c>
      <c r="C1272" s="12" t="s">
        <v>1449</v>
      </c>
      <c r="D1272" s="125">
        <v>25000000</v>
      </c>
      <c r="E1272" s="125">
        <v>23705861.850000001</v>
      </c>
      <c r="F1272" s="12">
        <v>48</v>
      </c>
      <c r="G1272" s="12">
        <v>180</v>
      </c>
      <c r="H1272" s="12">
        <v>0</v>
      </c>
      <c r="I1272" s="13">
        <v>42973.504926585651</v>
      </c>
      <c r="J1272" s="13">
        <v>43525</v>
      </c>
      <c r="K1272" s="12" t="s">
        <v>25</v>
      </c>
      <c r="L1272" s="12" t="s">
        <v>88</v>
      </c>
      <c r="M1272" s="12" t="s">
        <v>285</v>
      </c>
      <c r="N1272" s="12" t="s">
        <v>1909</v>
      </c>
      <c r="O1272" s="12"/>
      <c r="P1272" s="12"/>
      <c r="Q1272" s="12"/>
    </row>
    <row r="1273" spans="1:17" x14ac:dyDescent="0.25">
      <c r="A1273" s="11">
        <v>201269</v>
      </c>
      <c r="B1273" s="12" t="s">
        <v>5319</v>
      </c>
      <c r="C1273" s="12" t="s">
        <v>2807</v>
      </c>
      <c r="D1273" s="125">
        <v>15000000</v>
      </c>
      <c r="E1273" s="125">
        <v>13109783.550000001</v>
      </c>
      <c r="F1273" s="12">
        <v>54</v>
      </c>
      <c r="G1273" s="12">
        <v>180</v>
      </c>
      <c r="H1273" s="12">
        <v>0</v>
      </c>
      <c r="I1273" s="13">
        <v>42973.525386608795</v>
      </c>
      <c r="J1273" s="13">
        <v>43344</v>
      </c>
      <c r="K1273" s="12" t="s">
        <v>25</v>
      </c>
      <c r="L1273" s="12" t="s">
        <v>103</v>
      </c>
      <c r="M1273" s="12" t="s">
        <v>104</v>
      </c>
      <c r="N1273" s="12" t="s">
        <v>2538</v>
      </c>
      <c r="O1273" s="12"/>
      <c r="P1273" s="12"/>
      <c r="Q1273" s="12"/>
    </row>
    <row r="1274" spans="1:17" x14ac:dyDescent="0.25">
      <c r="A1274" s="11">
        <v>201270</v>
      </c>
      <c r="B1274" s="12" t="s">
        <v>5334</v>
      </c>
      <c r="C1274" s="12" t="s">
        <v>2807</v>
      </c>
      <c r="D1274" s="125">
        <v>18000000</v>
      </c>
      <c r="E1274" s="125">
        <v>15519445.48</v>
      </c>
      <c r="F1274" s="12">
        <v>40</v>
      </c>
      <c r="G1274" s="12">
        <v>180</v>
      </c>
      <c r="H1274" s="12">
        <v>0</v>
      </c>
      <c r="I1274" s="13">
        <v>42975.484989317127</v>
      </c>
      <c r="J1274" s="13">
        <v>43344</v>
      </c>
      <c r="K1274" s="12" t="s">
        <v>44</v>
      </c>
      <c r="L1274" s="12" t="s">
        <v>75</v>
      </c>
      <c r="M1274" s="12" t="s">
        <v>26</v>
      </c>
      <c r="N1274" s="12" t="s">
        <v>5335</v>
      </c>
      <c r="O1274" s="12"/>
      <c r="P1274" s="12"/>
      <c r="Q1274" s="12"/>
    </row>
    <row r="1275" spans="1:17" x14ac:dyDescent="0.25">
      <c r="A1275" s="11">
        <v>201271</v>
      </c>
      <c r="B1275" s="12" t="s">
        <v>4777</v>
      </c>
      <c r="C1275" s="12" t="s">
        <v>1449</v>
      </c>
      <c r="D1275" s="125">
        <v>7000000</v>
      </c>
      <c r="E1275" s="125">
        <v>6351849.1299999999</v>
      </c>
      <c r="F1275" s="12">
        <v>44</v>
      </c>
      <c r="G1275" s="12">
        <v>180</v>
      </c>
      <c r="H1275" s="12">
        <v>0</v>
      </c>
      <c r="I1275" s="13">
        <v>42975.711182557869</v>
      </c>
      <c r="J1275" s="13">
        <v>43252</v>
      </c>
      <c r="K1275" s="12" t="s">
        <v>25</v>
      </c>
      <c r="L1275" s="12" t="s">
        <v>88</v>
      </c>
      <c r="M1275" s="12" t="s">
        <v>285</v>
      </c>
      <c r="N1275" s="12" t="s">
        <v>90</v>
      </c>
      <c r="O1275" s="12"/>
      <c r="P1275" s="12"/>
      <c r="Q1275" s="12"/>
    </row>
    <row r="1276" spans="1:17" x14ac:dyDescent="0.25">
      <c r="A1276" s="11">
        <v>201272</v>
      </c>
      <c r="B1276" s="12" t="s">
        <v>5329</v>
      </c>
      <c r="C1276" s="12" t="s">
        <v>2807</v>
      </c>
      <c r="D1276" s="125">
        <v>4000000</v>
      </c>
      <c r="E1276" s="125">
        <v>3348679.55</v>
      </c>
      <c r="F1276" s="12">
        <v>54</v>
      </c>
      <c r="G1276" s="12">
        <v>180</v>
      </c>
      <c r="H1276" s="12">
        <v>0</v>
      </c>
      <c r="I1276" s="13">
        <v>42975.699042048611</v>
      </c>
      <c r="J1276" s="13">
        <v>43282</v>
      </c>
      <c r="K1276" s="12" t="s">
        <v>25</v>
      </c>
      <c r="L1276" s="12" t="s">
        <v>290</v>
      </c>
      <c r="M1276" s="12" t="s">
        <v>1824</v>
      </c>
      <c r="N1276" s="12" t="s">
        <v>2855</v>
      </c>
      <c r="O1276" s="12"/>
      <c r="P1276" s="12"/>
      <c r="Q1276" s="12"/>
    </row>
    <row r="1277" spans="1:17" x14ac:dyDescent="0.25">
      <c r="A1277" s="11">
        <v>201273</v>
      </c>
      <c r="B1277" s="12" t="s">
        <v>4281</v>
      </c>
      <c r="C1277" s="12" t="s">
        <v>2807</v>
      </c>
      <c r="D1277" s="125">
        <v>25000000</v>
      </c>
      <c r="E1277" s="125">
        <v>21515879.079999998</v>
      </c>
      <c r="F1277" s="12">
        <v>42</v>
      </c>
      <c r="G1277" s="12">
        <v>180</v>
      </c>
      <c r="H1277" s="12">
        <v>0</v>
      </c>
      <c r="I1277" s="13">
        <v>42975.677240046294</v>
      </c>
      <c r="J1277" s="13">
        <v>43344</v>
      </c>
      <c r="K1277" s="12" t="s">
        <v>44</v>
      </c>
      <c r="L1277" s="12" t="s">
        <v>75</v>
      </c>
      <c r="M1277" s="12" t="s">
        <v>26</v>
      </c>
      <c r="N1277" s="12" t="s">
        <v>1467</v>
      </c>
      <c r="O1277" s="12"/>
      <c r="P1277" s="12"/>
      <c r="Q1277" s="12"/>
    </row>
    <row r="1278" spans="1:17" x14ac:dyDescent="0.25">
      <c r="A1278" s="11">
        <v>201275</v>
      </c>
      <c r="B1278" s="12" t="s">
        <v>5355</v>
      </c>
      <c r="C1278" s="12" t="s">
        <v>2807</v>
      </c>
      <c r="D1278" s="125">
        <v>3500000</v>
      </c>
      <c r="E1278" s="125">
        <v>2925906.77</v>
      </c>
      <c r="F1278" s="12">
        <v>54</v>
      </c>
      <c r="G1278" s="12">
        <v>180</v>
      </c>
      <c r="H1278" s="12">
        <v>0</v>
      </c>
      <c r="I1278" s="13">
        <v>42976.713202511572</v>
      </c>
      <c r="J1278" s="13">
        <v>43282</v>
      </c>
      <c r="K1278" s="12" t="s">
        <v>37</v>
      </c>
      <c r="L1278" s="12" t="s">
        <v>38</v>
      </c>
      <c r="M1278" s="12" t="s">
        <v>39</v>
      </c>
      <c r="N1278" s="12" t="s">
        <v>4919</v>
      </c>
      <c r="O1278" s="12"/>
      <c r="P1278" s="12"/>
      <c r="Q1278" s="12"/>
    </row>
    <row r="1279" spans="1:17" x14ac:dyDescent="0.25">
      <c r="A1279" s="11">
        <v>201276</v>
      </c>
      <c r="B1279" s="12" t="s">
        <v>5354</v>
      </c>
      <c r="C1279" s="12" t="s">
        <v>2807</v>
      </c>
      <c r="D1279" s="125">
        <v>3000000</v>
      </c>
      <c r="E1279" s="125">
        <v>2507920.08</v>
      </c>
      <c r="F1279" s="12">
        <v>54</v>
      </c>
      <c r="G1279" s="12">
        <v>180</v>
      </c>
      <c r="H1279" s="12">
        <v>0</v>
      </c>
      <c r="I1279" s="13">
        <v>42976.704078506948</v>
      </c>
      <c r="J1279" s="13">
        <v>43282</v>
      </c>
      <c r="K1279" s="12" t="s">
        <v>25</v>
      </c>
      <c r="L1279" s="12" t="s">
        <v>88</v>
      </c>
      <c r="M1279" s="12" t="s">
        <v>26</v>
      </c>
      <c r="N1279" s="12" t="s">
        <v>4686</v>
      </c>
      <c r="O1279" s="12"/>
      <c r="P1279" s="12"/>
      <c r="Q1279" s="12"/>
    </row>
    <row r="1280" spans="1:17" x14ac:dyDescent="0.25">
      <c r="A1280" s="11">
        <v>201277</v>
      </c>
      <c r="B1280" s="12" t="s">
        <v>2747</v>
      </c>
      <c r="C1280" s="12" t="s">
        <v>1449</v>
      </c>
      <c r="D1280" s="125">
        <v>20000000</v>
      </c>
      <c r="E1280" s="125">
        <v>19006250.460000001</v>
      </c>
      <c r="F1280" s="12">
        <v>42</v>
      </c>
      <c r="G1280" s="12">
        <v>180</v>
      </c>
      <c r="H1280" s="12">
        <v>0</v>
      </c>
      <c r="I1280" s="13">
        <v>42976.705124189815</v>
      </c>
      <c r="J1280" s="13">
        <v>43435</v>
      </c>
      <c r="K1280" s="12" t="s">
        <v>25</v>
      </c>
      <c r="L1280" s="12" t="s">
        <v>88</v>
      </c>
      <c r="M1280" s="12" t="s">
        <v>285</v>
      </c>
      <c r="N1280" s="12" t="s">
        <v>2557</v>
      </c>
      <c r="O1280" s="12"/>
      <c r="P1280" s="12"/>
      <c r="Q1280" s="12"/>
    </row>
    <row r="1281" spans="1:17" x14ac:dyDescent="0.25">
      <c r="A1281" s="11">
        <v>201278</v>
      </c>
      <c r="B1281" s="12" t="s">
        <v>2872</v>
      </c>
      <c r="C1281" s="12" t="s">
        <v>1449</v>
      </c>
      <c r="D1281" s="125">
        <v>15000000</v>
      </c>
      <c r="E1281" s="125">
        <v>13375781.220000001</v>
      </c>
      <c r="F1281" s="12">
        <v>36</v>
      </c>
      <c r="G1281" s="12">
        <v>180</v>
      </c>
      <c r="H1281" s="12">
        <v>0</v>
      </c>
      <c r="I1281" s="13">
        <v>42977.507034722221</v>
      </c>
      <c r="J1281" s="13">
        <v>43435</v>
      </c>
      <c r="K1281" s="12" t="s">
        <v>25</v>
      </c>
      <c r="L1281" s="12" t="s">
        <v>88</v>
      </c>
      <c r="M1281" s="12" t="s">
        <v>285</v>
      </c>
      <c r="N1281" s="12" t="s">
        <v>2557</v>
      </c>
      <c r="O1281" s="12"/>
      <c r="P1281" s="12"/>
      <c r="Q1281" s="12"/>
    </row>
    <row r="1282" spans="1:17" x14ac:dyDescent="0.25">
      <c r="A1282" s="11">
        <v>201279</v>
      </c>
      <c r="B1282" s="12" t="s">
        <v>3147</v>
      </c>
      <c r="C1282" s="12" t="s">
        <v>2807</v>
      </c>
      <c r="D1282" s="125">
        <v>25000000</v>
      </c>
      <c r="E1282" s="125">
        <v>21444849.199999999</v>
      </c>
      <c r="F1282" s="12">
        <v>36</v>
      </c>
      <c r="G1282" s="12">
        <v>180</v>
      </c>
      <c r="H1282" s="12">
        <v>0</v>
      </c>
      <c r="I1282" s="13">
        <v>42978.501097372682</v>
      </c>
      <c r="J1282" s="13">
        <v>43344</v>
      </c>
      <c r="K1282" s="12" t="s">
        <v>44</v>
      </c>
      <c r="L1282" s="12" t="s">
        <v>92</v>
      </c>
      <c r="M1282" s="12" t="s">
        <v>92</v>
      </c>
      <c r="N1282" s="12" t="s">
        <v>491</v>
      </c>
      <c r="O1282" s="12"/>
      <c r="P1282" s="12"/>
      <c r="Q1282" s="12"/>
    </row>
    <row r="1283" spans="1:17" x14ac:dyDescent="0.25">
      <c r="A1283" s="11">
        <v>201280</v>
      </c>
      <c r="B1283" s="12" t="s">
        <v>3347</v>
      </c>
      <c r="C1283" s="12" t="s">
        <v>2807</v>
      </c>
      <c r="D1283" s="125">
        <v>12000000</v>
      </c>
      <c r="E1283" s="125">
        <v>10339263.41</v>
      </c>
      <c r="F1283" s="12">
        <v>42</v>
      </c>
      <c r="G1283" s="12">
        <v>180</v>
      </c>
      <c r="H1283" s="12">
        <v>0</v>
      </c>
      <c r="I1283" s="13">
        <v>42978.713211226852</v>
      </c>
      <c r="J1283" s="13">
        <v>43344</v>
      </c>
      <c r="K1283" s="12" t="s">
        <v>25</v>
      </c>
      <c r="L1283" s="12" t="s">
        <v>88</v>
      </c>
      <c r="M1283" s="12" t="s">
        <v>285</v>
      </c>
      <c r="N1283" s="12" t="s">
        <v>4684</v>
      </c>
      <c r="O1283" s="12"/>
      <c r="P1283" s="12"/>
      <c r="Q1283" s="12"/>
    </row>
    <row r="1284" spans="1:17" x14ac:dyDescent="0.25">
      <c r="A1284" s="11">
        <v>201281</v>
      </c>
      <c r="B1284" s="12" t="s">
        <v>3225</v>
      </c>
      <c r="C1284" s="12" t="s">
        <v>1449</v>
      </c>
      <c r="D1284" s="125">
        <v>9000000</v>
      </c>
      <c r="E1284" s="125">
        <v>7788074.04</v>
      </c>
      <c r="F1284" s="12">
        <v>48</v>
      </c>
      <c r="G1284" s="12">
        <v>180</v>
      </c>
      <c r="H1284" s="12">
        <v>0</v>
      </c>
      <c r="I1284" s="13">
        <v>42978.639178622689</v>
      </c>
      <c r="J1284" s="13">
        <v>43344</v>
      </c>
      <c r="K1284" s="12" t="s">
        <v>25</v>
      </c>
      <c r="L1284" s="12" t="s">
        <v>88</v>
      </c>
      <c r="M1284" s="12" t="s">
        <v>285</v>
      </c>
      <c r="N1284" s="12" t="s">
        <v>2557</v>
      </c>
      <c r="O1284" s="12"/>
      <c r="P1284" s="12"/>
      <c r="Q1284" s="12"/>
    </row>
    <row r="1285" spans="1:17" x14ac:dyDescent="0.25">
      <c r="A1285" s="11">
        <v>201282</v>
      </c>
      <c r="B1285" s="12" t="s">
        <v>4474</v>
      </c>
      <c r="C1285" s="12" t="s">
        <v>1449</v>
      </c>
      <c r="D1285" s="125">
        <v>4000000</v>
      </c>
      <c r="E1285" s="125">
        <v>3320345.89</v>
      </c>
      <c r="F1285" s="12">
        <v>48</v>
      </c>
      <c r="G1285" s="12">
        <v>180</v>
      </c>
      <c r="H1285" s="12">
        <v>0</v>
      </c>
      <c r="I1285" s="13">
        <v>42982.557688460649</v>
      </c>
      <c r="J1285" s="13">
        <v>43285</v>
      </c>
      <c r="K1285" s="12" t="s">
        <v>25</v>
      </c>
      <c r="L1285" s="12" t="s">
        <v>88</v>
      </c>
      <c r="M1285" s="12" t="s">
        <v>26</v>
      </c>
      <c r="N1285" s="12" t="s">
        <v>2538</v>
      </c>
      <c r="O1285" s="12"/>
      <c r="P1285" s="12"/>
      <c r="Q1285" s="12"/>
    </row>
    <row r="1286" spans="1:17" x14ac:dyDescent="0.25">
      <c r="A1286" s="11">
        <v>201283</v>
      </c>
      <c r="B1286" s="12" t="s">
        <v>3702</v>
      </c>
      <c r="C1286" s="12" t="s">
        <v>1449</v>
      </c>
      <c r="D1286" s="125">
        <v>5000000</v>
      </c>
      <c r="E1286" s="125">
        <v>4321167.8499999996</v>
      </c>
      <c r="F1286" s="12">
        <v>48</v>
      </c>
      <c r="G1286" s="12">
        <v>180</v>
      </c>
      <c r="H1286" s="12">
        <v>0</v>
      </c>
      <c r="I1286" s="13">
        <v>42983.470955324075</v>
      </c>
      <c r="J1286" s="13">
        <v>43348</v>
      </c>
      <c r="K1286" s="12" t="s">
        <v>25</v>
      </c>
      <c r="L1286" s="12" t="s">
        <v>88</v>
      </c>
      <c r="M1286" s="12" t="s">
        <v>285</v>
      </c>
      <c r="N1286" s="12" t="s">
        <v>4684</v>
      </c>
      <c r="O1286" s="12"/>
      <c r="P1286" s="12"/>
      <c r="Q1286" s="12"/>
    </row>
    <row r="1287" spans="1:17" x14ac:dyDescent="0.25">
      <c r="A1287" s="11">
        <v>201284</v>
      </c>
      <c r="B1287" s="12" t="s">
        <v>5389</v>
      </c>
      <c r="C1287" s="12" t="s">
        <v>2807</v>
      </c>
      <c r="D1287" s="125">
        <v>1000000</v>
      </c>
      <c r="E1287" s="125">
        <v>781983.27</v>
      </c>
      <c r="F1287" s="12">
        <v>54</v>
      </c>
      <c r="G1287" s="12">
        <v>180</v>
      </c>
      <c r="H1287" s="12">
        <v>0</v>
      </c>
      <c r="I1287" s="13">
        <v>42982.631709027781</v>
      </c>
      <c r="J1287" s="13">
        <v>43224</v>
      </c>
      <c r="K1287" s="12" t="s">
        <v>31</v>
      </c>
      <c r="L1287" s="12" t="s">
        <v>5390</v>
      </c>
      <c r="M1287" s="12" t="s">
        <v>5391</v>
      </c>
      <c r="N1287" s="12" t="s">
        <v>2538</v>
      </c>
      <c r="O1287" s="12"/>
      <c r="P1287" s="12"/>
      <c r="Q1287" s="12"/>
    </row>
    <row r="1288" spans="1:17" x14ac:dyDescent="0.25">
      <c r="A1288" s="11">
        <v>201285</v>
      </c>
      <c r="B1288" s="12" t="s">
        <v>5401</v>
      </c>
      <c r="C1288" s="12" t="s">
        <v>1449</v>
      </c>
      <c r="D1288" s="125">
        <v>1000000</v>
      </c>
      <c r="E1288" s="125">
        <v>781983.27</v>
      </c>
      <c r="F1288" s="12">
        <v>54</v>
      </c>
      <c r="G1288" s="12">
        <v>180</v>
      </c>
      <c r="H1288" s="12">
        <v>0</v>
      </c>
      <c r="I1288" s="13">
        <v>42984.537024421297</v>
      </c>
      <c r="J1288" s="13">
        <v>43226</v>
      </c>
      <c r="K1288" s="12" t="s">
        <v>25</v>
      </c>
      <c r="L1288" s="12" t="s">
        <v>88</v>
      </c>
      <c r="M1288" s="12" t="s">
        <v>285</v>
      </c>
      <c r="N1288" s="12" t="s">
        <v>1447</v>
      </c>
      <c r="O1288" s="12"/>
      <c r="P1288" s="12"/>
      <c r="Q1288" s="12"/>
    </row>
    <row r="1289" spans="1:17" x14ac:dyDescent="0.25">
      <c r="A1289" s="11">
        <v>201286</v>
      </c>
      <c r="B1289" s="12" t="s">
        <v>5408</v>
      </c>
      <c r="C1289" s="12" t="s">
        <v>2807</v>
      </c>
      <c r="D1289" s="125">
        <v>3000000</v>
      </c>
      <c r="E1289" s="125">
        <v>2345949.7799999998</v>
      </c>
      <c r="F1289" s="12">
        <v>54</v>
      </c>
      <c r="G1289" s="12">
        <v>180</v>
      </c>
      <c r="H1289" s="12">
        <v>0</v>
      </c>
      <c r="I1289" s="13">
        <v>42985.593266550924</v>
      </c>
      <c r="J1289" s="13">
        <v>43227</v>
      </c>
      <c r="K1289" s="12" t="s">
        <v>31</v>
      </c>
      <c r="L1289" s="12" t="s">
        <v>2309</v>
      </c>
      <c r="M1289" s="12" t="s">
        <v>5116</v>
      </c>
      <c r="N1289" s="12" t="s">
        <v>2855</v>
      </c>
      <c r="O1289" s="12"/>
      <c r="P1289" s="12"/>
      <c r="Q1289" s="12"/>
    </row>
    <row r="1290" spans="1:17" x14ac:dyDescent="0.25">
      <c r="A1290" s="11">
        <v>201288</v>
      </c>
      <c r="B1290" s="12" t="s">
        <v>5409</v>
      </c>
      <c r="C1290" s="12" t="s">
        <v>1449</v>
      </c>
      <c r="D1290" s="125">
        <v>20000000</v>
      </c>
      <c r="E1290" s="125">
        <v>17962403.100000001</v>
      </c>
      <c r="F1290" s="12">
        <v>48</v>
      </c>
      <c r="G1290" s="12">
        <v>180</v>
      </c>
      <c r="H1290" s="12">
        <v>0</v>
      </c>
      <c r="I1290" s="13">
        <v>42985.602457442132</v>
      </c>
      <c r="J1290" s="13">
        <v>43441</v>
      </c>
      <c r="K1290" s="12" t="s">
        <v>37</v>
      </c>
      <c r="L1290" s="12" t="s">
        <v>288</v>
      </c>
      <c r="M1290" s="12" t="s">
        <v>26</v>
      </c>
      <c r="N1290" s="12" t="s">
        <v>90</v>
      </c>
      <c r="O1290" s="12"/>
      <c r="P1290" s="12"/>
      <c r="Q1290" s="12"/>
    </row>
    <row r="1291" spans="1:17" x14ac:dyDescent="0.25">
      <c r="A1291" s="11">
        <v>201289</v>
      </c>
      <c r="B1291" s="12" t="s">
        <v>5418</v>
      </c>
      <c r="C1291" s="12" t="s">
        <v>1449</v>
      </c>
      <c r="D1291" s="125">
        <v>6000000</v>
      </c>
      <c r="E1291" s="125">
        <v>4987545.6500000004</v>
      </c>
      <c r="F1291" s="12">
        <v>50</v>
      </c>
      <c r="G1291" s="12">
        <v>180</v>
      </c>
      <c r="H1291" s="12">
        <v>0</v>
      </c>
      <c r="I1291" s="13">
        <v>42986.699585995368</v>
      </c>
      <c r="J1291" s="13">
        <v>43289</v>
      </c>
      <c r="K1291" s="12" t="s">
        <v>25</v>
      </c>
      <c r="L1291" s="12" t="s">
        <v>88</v>
      </c>
      <c r="M1291" s="12" t="s">
        <v>285</v>
      </c>
      <c r="N1291" s="12" t="s">
        <v>1925</v>
      </c>
      <c r="O1291" s="12"/>
      <c r="P1291" s="12"/>
      <c r="Q1291" s="12"/>
    </row>
    <row r="1292" spans="1:17" x14ac:dyDescent="0.25">
      <c r="A1292" s="11">
        <v>201290</v>
      </c>
      <c r="B1292" s="12" t="s">
        <v>4490</v>
      </c>
      <c r="C1292" s="12" t="s">
        <v>2807</v>
      </c>
      <c r="D1292" s="125">
        <v>13000000</v>
      </c>
      <c r="E1292" s="125">
        <v>11235036.390000001</v>
      </c>
      <c r="F1292" s="12">
        <v>48</v>
      </c>
      <c r="G1292" s="12">
        <v>180</v>
      </c>
      <c r="H1292" s="12">
        <v>0</v>
      </c>
      <c r="I1292" s="13">
        <v>42986.699592280092</v>
      </c>
      <c r="J1292" s="13">
        <v>43351</v>
      </c>
      <c r="K1292" s="12" t="s">
        <v>25</v>
      </c>
      <c r="L1292" s="12" t="s">
        <v>88</v>
      </c>
      <c r="M1292" s="12" t="s">
        <v>285</v>
      </c>
      <c r="N1292" s="12" t="s">
        <v>2538</v>
      </c>
      <c r="O1292" s="12"/>
      <c r="P1292" s="12"/>
      <c r="Q1292" s="12"/>
    </row>
    <row r="1293" spans="1:17" x14ac:dyDescent="0.25">
      <c r="A1293" s="11">
        <v>201291</v>
      </c>
      <c r="B1293" s="12" t="s">
        <v>5423</v>
      </c>
      <c r="C1293" s="12" t="s">
        <v>2807</v>
      </c>
      <c r="D1293" s="125">
        <v>2000000</v>
      </c>
      <c r="E1293" s="125">
        <v>1667160.63</v>
      </c>
      <c r="F1293" s="12">
        <v>54</v>
      </c>
      <c r="G1293" s="12">
        <v>180</v>
      </c>
      <c r="H1293" s="12">
        <v>0</v>
      </c>
      <c r="I1293" s="13">
        <v>42989.645120370369</v>
      </c>
      <c r="J1293" s="13">
        <v>43292</v>
      </c>
      <c r="K1293" s="12" t="s">
        <v>25</v>
      </c>
      <c r="L1293" s="12" t="s">
        <v>290</v>
      </c>
      <c r="M1293" s="12" t="s">
        <v>297</v>
      </c>
      <c r="N1293" s="12" t="s">
        <v>4919</v>
      </c>
      <c r="O1293" s="12"/>
      <c r="P1293" s="12"/>
      <c r="Q1293" s="12"/>
    </row>
    <row r="1294" spans="1:17" x14ac:dyDescent="0.25">
      <c r="A1294" s="11">
        <v>201292</v>
      </c>
      <c r="B1294" s="12" t="s">
        <v>3777</v>
      </c>
      <c r="C1294" s="12" t="s">
        <v>2807</v>
      </c>
      <c r="D1294" s="125">
        <v>2500000</v>
      </c>
      <c r="E1294" s="125">
        <v>2160583.92</v>
      </c>
      <c r="F1294" s="12">
        <v>48</v>
      </c>
      <c r="G1294" s="12">
        <v>174</v>
      </c>
      <c r="H1294" s="12">
        <v>0</v>
      </c>
      <c r="I1294" s="13">
        <v>42989.662398229164</v>
      </c>
      <c r="J1294" s="13">
        <v>43354</v>
      </c>
      <c r="K1294" s="12" t="s">
        <v>25</v>
      </c>
      <c r="L1294" s="12" t="s">
        <v>32</v>
      </c>
      <c r="M1294" s="12" t="s">
        <v>3369</v>
      </c>
      <c r="N1294" s="12" t="s">
        <v>4684</v>
      </c>
      <c r="O1294" s="12"/>
      <c r="P1294" s="12"/>
      <c r="Q1294" s="12"/>
    </row>
    <row r="1295" spans="1:17" x14ac:dyDescent="0.25">
      <c r="A1295" s="11">
        <v>201294</v>
      </c>
      <c r="B1295" s="12" t="s">
        <v>5421</v>
      </c>
      <c r="C1295" s="12" t="s">
        <v>2807</v>
      </c>
      <c r="D1295" s="125">
        <v>2500000</v>
      </c>
      <c r="E1295" s="125">
        <v>1954958.15</v>
      </c>
      <c r="F1295" s="12">
        <v>54</v>
      </c>
      <c r="G1295" s="12">
        <v>180</v>
      </c>
      <c r="H1295" s="12">
        <v>0</v>
      </c>
      <c r="I1295" s="13">
        <v>42989.684774305555</v>
      </c>
      <c r="J1295" s="13">
        <v>43231</v>
      </c>
      <c r="K1295" s="12" t="s">
        <v>25</v>
      </c>
      <c r="L1295" s="12" t="s">
        <v>103</v>
      </c>
      <c r="M1295" s="12" t="s">
        <v>104</v>
      </c>
      <c r="N1295" s="12" t="s">
        <v>4683</v>
      </c>
      <c r="O1295" s="12"/>
      <c r="P1295" s="12"/>
      <c r="Q1295" s="12"/>
    </row>
    <row r="1296" spans="1:17" x14ac:dyDescent="0.25">
      <c r="A1296" s="11">
        <v>201295</v>
      </c>
      <c r="B1296" s="12" t="s">
        <v>5433</v>
      </c>
      <c r="C1296" s="12" t="s">
        <v>1449</v>
      </c>
      <c r="D1296" s="125">
        <v>4000000</v>
      </c>
      <c r="E1296" s="125">
        <v>3471030.59</v>
      </c>
      <c r="F1296" s="12">
        <v>54</v>
      </c>
      <c r="G1296" s="12">
        <v>180</v>
      </c>
      <c r="H1296" s="12">
        <v>0</v>
      </c>
      <c r="I1296" s="13">
        <v>42990.691062731479</v>
      </c>
      <c r="J1296" s="13">
        <v>43355</v>
      </c>
      <c r="K1296" s="12" t="s">
        <v>25</v>
      </c>
      <c r="L1296" s="12" t="s">
        <v>88</v>
      </c>
      <c r="M1296" s="12" t="s">
        <v>285</v>
      </c>
      <c r="N1296" s="12" t="s">
        <v>4686</v>
      </c>
      <c r="O1296" s="12"/>
      <c r="P1296" s="12"/>
      <c r="Q1296" s="12"/>
    </row>
    <row r="1297" spans="1:17" x14ac:dyDescent="0.25">
      <c r="A1297" s="11">
        <v>201296</v>
      </c>
      <c r="B1297" s="12" t="s">
        <v>5444</v>
      </c>
      <c r="C1297" s="12" t="s">
        <v>2807</v>
      </c>
      <c r="D1297" s="125">
        <v>5000000</v>
      </c>
      <c r="E1297" s="125">
        <v>4338788.2300000004</v>
      </c>
      <c r="F1297" s="12">
        <v>54</v>
      </c>
      <c r="G1297" s="12">
        <v>180</v>
      </c>
      <c r="H1297" s="12">
        <v>0</v>
      </c>
      <c r="I1297" s="13">
        <v>42991.551782291666</v>
      </c>
      <c r="J1297" s="13">
        <v>43356</v>
      </c>
      <c r="K1297" s="12" t="s">
        <v>29</v>
      </c>
      <c r="L1297" s="12" t="s">
        <v>30</v>
      </c>
      <c r="M1297" s="12" t="s">
        <v>1819</v>
      </c>
      <c r="N1297" s="12" t="s">
        <v>4919</v>
      </c>
      <c r="O1297" s="12"/>
      <c r="P1297" s="12"/>
      <c r="Q1297" s="12"/>
    </row>
    <row r="1298" spans="1:17" x14ac:dyDescent="0.25">
      <c r="A1298" s="11">
        <v>201297</v>
      </c>
      <c r="B1298" s="12" t="s">
        <v>3756</v>
      </c>
      <c r="C1298" s="12" t="s">
        <v>1449</v>
      </c>
      <c r="D1298" s="125">
        <v>3000000</v>
      </c>
      <c r="E1298" s="125">
        <v>2592700.7000000002</v>
      </c>
      <c r="F1298" s="12">
        <v>48</v>
      </c>
      <c r="G1298" s="12">
        <v>180</v>
      </c>
      <c r="H1298" s="12">
        <v>0</v>
      </c>
      <c r="I1298" s="13">
        <v>42991.706475196763</v>
      </c>
      <c r="J1298" s="13">
        <v>43356</v>
      </c>
      <c r="K1298" s="12" t="s">
        <v>25</v>
      </c>
      <c r="L1298" s="12" t="s">
        <v>88</v>
      </c>
      <c r="M1298" s="12" t="s">
        <v>285</v>
      </c>
      <c r="N1298" s="12" t="s">
        <v>491</v>
      </c>
      <c r="O1298" s="12"/>
      <c r="P1298" s="12"/>
      <c r="Q1298" s="12"/>
    </row>
    <row r="1299" spans="1:17" x14ac:dyDescent="0.25">
      <c r="A1299" s="11">
        <v>201298</v>
      </c>
      <c r="B1299" s="12" t="s">
        <v>5455</v>
      </c>
      <c r="C1299" s="12" t="s">
        <v>2807</v>
      </c>
      <c r="D1299" s="125">
        <v>6000000</v>
      </c>
      <c r="E1299" s="125">
        <v>5185401.4000000004</v>
      </c>
      <c r="F1299" s="12">
        <v>48</v>
      </c>
      <c r="G1299" s="12">
        <v>180</v>
      </c>
      <c r="H1299" s="12">
        <v>0</v>
      </c>
      <c r="I1299" s="13">
        <v>42992.633950115742</v>
      </c>
      <c r="J1299" s="13">
        <v>43357</v>
      </c>
      <c r="K1299" s="12" t="s">
        <v>25</v>
      </c>
      <c r="L1299" s="12" t="s">
        <v>88</v>
      </c>
      <c r="M1299" s="12" t="s">
        <v>285</v>
      </c>
      <c r="N1299" s="12" t="s">
        <v>3074</v>
      </c>
      <c r="O1299" s="12"/>
      <c r="P1299" s="12"/>
      <c r="Q1299" s="12"/>
    </row>
    <row r="1300" spans="1:17" x14ac:dyDescent="0.25">
      <c r="A1300" s="11">
        <v>201299</v>
      </c>
      <c r="B1300" s="12" t="s">
        <v>5454</v>
      </c>
      <c r="C1300" s="12" t="s">
        <v>1449</v>
      </c>
      <c r="D1300" s="125">
        <v>2500000</v>
      </c>
      <c r="E1300" s="125">
        <v>2083950.78</v>
      </c>
      <c r="F1300" s="12">
        <v>54</v>
      </c>
      <c r="G1300" s="12">
        <v>180</v>
      </c>
      <c r="H1300" s="12">
        <v>0</v>
      </c>
      <c r="I1300" s="13">
        <v>42992.702857488424</v>
      </c>
      <c r="J1300" s="13">
        <v>43295</v>
      </c>
      <c r="K1300" s="12" t="s">
        <v>25</v>
      </c>
      <c r="L1300" s="12" t="s">
        <v>88</v>
      </c>
      <c r="M1300" s="12" t="s">
        <v>285</v>
      </c>
      <c r="N1300" s="12" t="s">
        <v>5335</v>
      </c>
      <c r="O1300" s="12"/>
      <c r="P1300" s="12"/>
      <c r="Q1300" s="12"/>
    </row>
    <row r="1301" spans="1:17" x14ac:dyDescent="0.25">
      <c r="A1301" s="11">
        <v>201300</v>
      </c>
      <c r="B1301" s="12" t="s">
        <v>5457</v>
      </c>
      <c r="C1301" s="12" t="s">
        <v>2807</v>
      </c>
      <c r="D1301" s="125">
        <v>6000000</v>
      </c>
      <c r="E1301" s="125">
        <v>5206545.87</v>
      </c>
      <c r="F1301" s="12">
        <v>54</v>
      </c>
      <c r="G1301" s="12">
        <v>180</v>
      </c>
      <c r="H1301" s="12">
        <v>0</v>
      </c>
      <c r="I1301" s="13">
        <v>42992.703987037035</v>
      </c>
      <c r="J1301" s="13">
        <v>43357</v>
      </c>
      <c r="K1301" s="12" t="s">
        <v>44</v>
      </c>
      <c r="L1301" s="12" t="s">
        <v>92</v>
      </c>
      <c r="M1301" s="12" t="s">
        <v>92</v>
      </c>
      <c r="N1301" s="12" t="s">
        <v>3074</v>
      </c>
      <c r="O1301" s="12"/>
      <c r="P1301" s="12"/>
      <c r="Q1301" s="12"/>
    </row>
    <row r="1302" spans="1:17" x14ac:dyDescent="0.25">
      <c r="A1302" s="11">
        <v>201301</v>
      </c>
      <c r="B1302" s="12" t="s">
        <v>5456</v>
      </c>
      <c r="C1302" s="12" t="s">
        <v>1449</v>
      </c>
      <c r="D1302" s="125">
        <v>6000000</v>
      </c>
      <c r="E1302" s="125">
        <v>5206545.87</v>
      </c>
      <c r="F1302" s="12">
        <v>54</v>
      </c>
      <c r="G1302" s="12">
        <v>180</v>
      </c>
      <c r="H1302" s="12">
        <v>0</v>
      </c>
      <c r="I1302" s="13">
        <v>42992.742704710647</v>
      </c>
      <c r="J1302" s="13">
        <v>43357</v>
      </c>
      <c r="K1302" s="12" t="s">
        <v>25</v>
      </c>
      <c r="L1302" s="12" t="s">
        <v>88</v>
      </c>
      <c r="M1302" s="12" t="s">
        <v>285</v>
      </c>
      <c r="N1302" s="12" t="s">
        <v>4683</v>
      </c>
      <c r="O1302" s="12"/>
      <c r="P1302" s="12"/>
      <c r="Q1302" s="12"/>
    </row>
    <row r="1303" spans="1:17" x14ac:dyDescent="0.25">
      <c r="A1303" s="11">
        <v>201302</v>
      </c>
      <c r="B1303" s="12" t="s">
        <v>5475</v>
      </c>
      <c r="C1303" s="12" t="s">
        <v>1449</v>
      </c>
      <c r="D1303" s="125">
        <v>17000000</v>
      </c>
      <c r="E1303" s="125">
        <v>15824651.460000001</v>
      </c>
      <c r="F1303" s="12">
        <v>40</v>
      </c>
      <c r="G1303" s="12">
        <v>180</v>
      </c>
      <c r="H1303" s="12">
        <v>0</v>
      </c>
      <c r="I1303" s="13">
        <v>42993.652268865742</v>
      </c>
      <c r="J1303" s="13">
        <v>43358</v>
      </c>
      <c r="K1303" s="12" t="s">
        <v>44</v>
      </c>
      <c r="L1303" s="12" t="s">
        <v>75</v>
      </c>
      <c r="M1303" s="12" t="s">
        <v>1442</v>
      </c>
      <c r="N1303" s="12" t="s">
        <v>1467</v>
      </c>
      <c r="O1303" s="12"/>
      <c r="P1303" s="12"/>
      <c r="Q1303" s="12"/>
    </row>
    <row r="1304" spans="1:17" x14ac:dyDescent="0.25">
      <c r="A1304" s="11">
        <v>201303</v>
      </c>
      <c r="B1304" s="12" t="s">
        <v>3395</v>
      </c>
      <c r="C1304" s="12" t="s">
        <v>1449</v>
      </c>
      <c r="D1304" s="125">
        <v>30000000</v>
      </c>
      <c r="E1304" s="125">
        <v>25819054.890000001</v>
      </c>
      <c r="F1304" s="12">
        <v>42</v>
      </c>
      <c r="G1304" s="12">
        <v>180</v>
      </c>
      <c r="H1304" s="12">
        <v>0</v>
      </c>
      <c r="I1304" s="13">
        <v>42993.746074733797</v>
      </c>
      <c r="J1304" s="13">
        <v>43358</v>
      </c>
      <c r="K1304" s="12" t="s">
        <v>25</v>
      </c>
      <c r="L1304" s="12" t="s">
        <v>88</v>
      </c>
      <c r="M1304" s="12" t="s">
        <v>285</v>
      </c>
      <c r="N1304" s="12" t="s">
        <v>2034</v>
      </c>
      <c r="O1304" s="12"/>
      <c r="P1304" s="12"/>
      <c r="Q1304" s="12"/>
    </row>
    <row r="1305" spans="1:17" x14ac:dyDescent="0.25">
      <c r="A1305" s="11">
        <v>201304</v>
      </c>
      <c r="B1305" s="12" t="s">
        <v>5496</v>
      </c>
      <c r="C1305" s="12" t="s">
        <v>1449</v>
      </c>
      <c r="D1305" s="125">
        <v>5000000</v>
      </c>
      <c r="E1305" s="125">
        <v>4318687.12</v>
      </c>
      <c r="F1305" s="12">
        <v>54</v>
      </c>
      <c r="G1305" s="12">
        <v>180</v>
      </c>
      <c r="H1305" s="12">
        <v>0</v>
      </c>
      <c r="I1305" s="13">
        <v>42996.538668321758</v>
      </c>
      <c r="J1305" s="13">
        <v>43299</v>
      </c>
      <c r="K1305" s="12" t="s">
        <v>25</v>
      </c>
      <c r="L1305" s="12" t="s">
        <v>88</v>
      </c>
      <c r="M1305" s="12" t="s">
        <v>285</v>
      </c>
      <c r="N1305" s="12" t="s">
        <v>4683</v>
      </c>
      <c r="O1305" s="12"/>
      <c r="P1305" s="12"/>
      <c r="Q1305" s="12"/>
    </row>
    <row r="1306" spans="1:17" x14ac:dyDescent="0.25">
      <c r="A1306" s="11">
        <v>201305</v>
      </c>
      <c r="B1306" s="12" t="s">
        <v>2715</v>
      </c>
      <c r="C1306" s="12" t="s">
        <v>1449</v>
      </c>
      <c r="D1306" s="125">
        <v>7200000</v>
      </c>
      <c r="E1306" s="125">
        <v>6205269.0300000003</v>
      </c>
      <c r="F1306" s="12">
        <v>44</v>
      </c>
      <c r="G1306" s="12">
        <v>180</v>
      </c>
      <c r="H1306" s="12">
        <v>0</v>
      </c>
      <c r="I1306" s="13">
        <v>42996.611837037039</v>
      </c>
      <c r="J1306" s="13">
        <v>43361</v>
      </c>
      <c r="K1306" s="12" t="s">
        <v>25</v>
      </c>
      <c r="L1306" s="12" t="s">
        <v>88</v>
      </c>
      <c r="M1306" s="12" t="s">
        <v>285</v>
      </c>
      <c r="N1306" s="12" t="s">
        <v>2557</v>
      </c>
      <c r="O1306" s="12"/>
      <c r="P1306" s="12"/>
      <c r="Q1306" s="12"/>
    </row>
    <row r="1307" spans="1:17" x14ac:dyDescent="0.25">
      <c r="A1307" s="11">
        <v>201306</v>
      </c>
      <c r="B1307" s="12" t="s">
        <v>3204</v>
      </c>
      <c r="C1307" s="12" t="s">
        <v>2807</v>
      </c>
      <c r="D1307" s="125">
        <v>18000000</v>
      </c>
      <c r="E1307" s="125">
        <v>16035369.15</v>
      </c>
      <c r="F1307" s="12">
        <v>36</v>
      </c>
      <c r="G1307" s="12">
        <v>180</v>
      </c>
      <c r="H1307" s="12">
        <v>0</v>
      </c>
      <c r="I1307" s="13">
        <v>42996.697323379631</v>
      </c>
      <c r="J1307" s="13">
        <v>43452</v>
      </c>
      <c r="K1307" s="12" t="s">
        <v>44</v>
      </c>
      <c r="L1307" s="12" t="s">
        <v>92</v>
      </c>
      <c r="M1307" s="12" t="s">
        <v>92</v>
      </c>
      <c r="N1307" s="12" t="s">
        <v>546</v>
      </c>
      <c r="O1307" s="12"/>
      <c r="P1307" s="12"/>
      <c r="Q1307" s="12"/>
    </row>
    <row r="1308" spans="1:17" x14ac:dyDescent="0.25">
      <c r="A1308" s="11">
        <v>201307</v>
      </c>
      <c r="B1308" s="12" t="s">
        <v>4328</v>
      </c>
      <c r="C1308" s="12" t="s">
        <v>1449</v>
      </c>
      <c r="D1308" s="125">
        <v>3000000</v>
      </c>
      <c r="E1308" s="125">
        <v>2490259.4300000002</v>
      </c>
      <c r="F1308" s="12">
        <v>48</v>
      </c>
      <c r="G1308" s="12">
        <v>180</v>
      </c>
      <c r="H1308" s="12">
        <v>0</v>
      </c>
      <c r="I1308" s="13">
        <v>42997.60321828704</v>
      </c>
      <c r="J1308" s="13">
        <v>43300</v>
      </c>
      <c r="K1308" s="12" t="s">
        <v>25</v>
      </c>
      <c r="L1308" s="12" t="s">
        <v>88</v>
      </c>
      <c r="M1308" s="12" t="s">
        <v>285</v>
      </c>
      <c r="N1308" s="12" t="s">
        <v>1667</v>
      </c>
      <c r="O1308" s="12"/>
      <c r="P1308" s="12"/>
      <c r="Q1308" s="12"/>
    </row>
    <row r="1309" spans="1:17" x14ac:dyDescent="0.25">
      <c r="A1309" s="11">
        <v>201308</v>
      </c>
      <c r="B1309" s="12" t="s">
        <v>3022</v>
      </c>
      <c r="C1309" s="12" t="s">
        <v>2807</v>
      </c>
      <c r="D1309" s="125">
        <v>4000000</v>
      </c>
      <c r="E1309" s="125">
        <v>3456934.27</v>
      </c>
      <c r="F1309" s="12">
        <v>48</v>
      </c>
      <c r="G1309" s="12">
        <v>180</v>
      </c>
      <c r="H1309" s="12">
        <v>0</v>
      </c>
      <c r="I1309" s="13">
        <v>42997.695235104169</v>
      </c>
      <c r="J1309" s="13">
        <v>43362</v>
      </c>
      <c r="K1309" s="12" t="s">
        <v>44</v>
      </c>
      <c r="L1309" s="12" t="s">
        <v>92</v>
      </c>
      <c r="M1309" s="12" t="s">
        <v>92</v>
      </c>
      <c r="N1309" s="12" t="s">
        <v>1448</v>
      </c>
      <c r="O1309" s="12"/>
      <c r="P1309" s="12"/>
      <c r="Q1309" s="12"/>
    </row>
    <row r="1310" spans="1:17" x14ac:dyDescent="0.25">
      <c r="A1310" s="11">
        <v>201309</v>
      </c>
      <c r="B1310" s="12" t="s">
        <v>5509</v>
      </c>
      <c r="C1310" s="12" t="s">
        <v>2807</v>
      </c>
      <c r="D1310" s="125">
        <v>6000000</v>
      </c>
      <c r="E1310" s="125">
        <v>5206545.87</v>
      </c>
      <c r="F1310" s="12">
        <v>54</v>
      </c>
      <c r="G1310" s="12">
        <v>180</v>
      </c>
      <c r="H1310" s="12">
        <v>0</v>
      </c>
      <c r="I1310" s="13">
        <v>42997.706073807873</v>
      </c>
      <c r="J1310" s="13">
        <v>43362</v>
      </c>
      <c r="K1310" s="12" t="s">
        <v>44</v>
      </c>
      <c r="L1310" s="12" t="s">
        <v>92</v>
      </c>
      <c r="M1310" s="12" t="s">
        <v>92</v>
      </c>
      <c r="N1310" s="12" t="s">
        <v>5386</v>
      </c>
      <c r="O1310" s="12"/>
      <c r="P1310" s="12"/>
      <c r="Q1310" s="12"/>
    </row>
    <row r="1311" spans="1:17" x14ac:dyDescent="0.25">
      <c r="A1311" s="11">
        <v>201310</v>
      </c>
      <c r="B1311" s="12" t="s">
        <v>5518</v>
      </c>
      <c r="C1311" s="12" t="s">
        <v>1449</v>
      </c>
      <c r="D1311" s="125">
        <v>5000000</v>
      </c>
      <c r="E1311" s="125">
        <v>4593105.8899999997</v>
      </c>
      <c r="F1311" s="12">
        <v>54</v>
      </c>
      <c r="G1311" s="12">
        <v>180</v>
      </c>
      <c r="H1311" s="12">
        <v>0</v>
      </c>
      <c r="I1311" s="13">
        <v>42998.652610381941</v>
      </c>
      <c r="J1311" s="13">
        <v>43301</v>
      </c>
      <c r="K1311" s="12" t="s">
        <v>25</v>
      </c>
      <c r="L1311" s="12" t="s">
        <v>88</v>
      </c>
      <c r="M1311" s="12" t="s">
        <v>285</v>
      </c>
      <c r="N1311" s="12" t="s">
        <v>2034</v>
      </c>
      <c r="O1311" s="12"/>
      <c r="P1311" s="12"/>
      <c r="Q1311" s="12"/>
    </row>
    <row r="1312" spans="1:17" x14ac:dyDescent="0.25">
      <c r="A1312" s="11">
        <v>201311</v>
      </c>
      <c r="B1312" s="12" t="s">
        <v>5531</v>
      </c>
      <c r="C1312" s="12" t="s">
        <v>1449</v>
      </c>
      <c r="D1312" s="125">
        <v>2500000</v>
      </c>
      <c r="E1312" s="125">
        <v>1734692.86</v>
      </c>
      <c r="F1312" s="12">
        <v>48</v>
      </c>
      <c r="G1312" s="12">
        <v>180</v>
      </c>
      <c r="H1312" s="12">
        <v>0</v>
      </c>
      <c r="I1312" s="13">
        <v>42999.561557488429</v>
      </c>
      <c r="J1312" s="13">
        <v>43180</v>
      </c>
      <c r="K1312" s="12" t="s">
        <v>25</v>
      </c>
      <c r="L1312" s="12" t="s">
        <v>88</v>
      </c>
      <c r="M1312" s="12" t="s">
        <v>285</v>
      </c>
      <c r="N1312" s="12" t="s">
        <v>2557</v>
      </c>
      <c r="O1312" s="12"/>
      <c r="P1312" s="12"/>
      <c r="Q1312" s="12"/>
    </row>
    <row r="1313" spans="1:17" x14ac:dyDescent="0.25">
      <c r="A1313" s="11">
        <v>201312</v>
      </c>
      <c r="B1313" s="12" t="s">
        <v>5517</v>
      </c>
      <c r="C1313" s="12" t="s">
        <v>2807</v>
      </c>
      <c r="D1313" s="125">
        <v>2500000</v>
      </c>
      <c r="E1313" s="125">
        <v>2169394.11</v>
      </c>
      <c r="F1313" s="12">
        <v>54</v>
      </c>
      <c r="G1313" s="12">
        <v>180</v>
      </c>
      <c r="H1313" s="12">
        <v>0</v>
      </c>
      <c r="I1313" s="13">
        <v>42998.651798263891</v>
      </c>
      <c r="J1313" s="13">
        <v>43363</v>
      </c>
      <c r="K1313" s="12" t="s">
        <v>25</v>
      </c>
      <c r="L1313" s="12" t="s">
        <v>290</v>
      </c>
      <c r="M1313" s="12" t="s">
        <v>1822</v>
      </c>
      <c r="N1313" s="12" t="s">
        <v>1447</v>
      </c>
      <c r="O1313" s="12"/>
      <c r="P1313" s="12"/>
      <c r="Q1313" s="12"/>
    </row>
    <row r="1314" spans="1:17" x14ac:dyDescent="0.25">
      <c r="A1314" s="11">
        <v>201313</v>
      </c>
      <c r="B1314" s="12" t="s">
        <v>5516</v>
      </c>
      <c r="C1314" s="12" t="s">
        <v>2807</v>
      </c>
      <c r="D1314" s="125">
        <v>1000000</v>
      </c>
      <c r="E1314" s="125">
        <v>799402.57</v>
      </c>
      <c r="F1314" s="12">
        <v>54</v>
      </c>
      <c r="G1314" s="12">
        <v>180</v>
      </c>
      <c r="H1314" s="12">
        <v>0</v>
      </c>
      <c r="I1314" s="13">
        <v>42998.715631562503</v>
      </c>
      <c r="J1314" s="13">
        <v>43240</v>
      </c>
      <c r="K1314" s="12" t="s">
        <v>25</v>
      </c>
      <c r="L1314" s="12" t="s">
        <v>290</v>
      </c>
      <c r="M1314" s="12" t="s">
        <v>297</v>
      </c>
      <c r="N1314" s="12" t="s">
        <v>4684</v>
      </c>
      <c r="O1314" s="12"/>
      <c r="P1314" s="12"/>
      <c r="Q1314" s="12"/>
    </row>
    <row r="1315" spans="1:17" x14ac:dyDescent="0.25">
      <c r="A1315" s="11">
        <v>201315</v>
      </c>
      <c r="B1315" s="12" t="s">
        <v>5541</v>
      </c>
      <c r="C1315" s="12" t="s">
        <v>2807</v>
      </c>
      <c r="D1315" s="125">
        <v>4000000</v>
      </c>
      <c r="E1315" s="125">
        <v>3786877.19</v>
      </c>
      <c r="F1315" s="12">
        <v>54</v>
      </c>
      <c r="G1315" s="12">
        <v>180</v>
      </c>
      <c r="H1315" s="12">
        <v>0</v>
      </c>
      <c r="I1315" s="13">
        <v>43000.477500810186</v>
      </c>
      <c r="J1315" s="13">
        <v>43181</v>
      </c>
      <c r="K1315" s="12" t="s">
        <v>44</v>
      </c>
      <c r="L1315" s="12" t="s">
        <v>92</v>
      </c>
      <c r="M1315" s="12" t="s">
        <v>92</v>
      </c>
      <c r="N1315" s="12" t="s">
        <v>2557</v>
      </c>
      <c r="O1315" s="12"/>
      <c r="P1315" s="12"/>
      <c r="Q1315" s="12"/>
    </row>
    <row r="1316" spans="1:17" x14ac:dyDescent="0.25">
      <c r="A1316" s="11">
        <v>201316</v>
      </c>
      <c r="B1316" s="12" t="s">
        <v>3038</v>
      </c>
      <c r="C1316" s="12" t="s">
        <v>2807</v>
      </c>
      <c r="D1316" s="125">
        <v>25000000</v>
      </c>
      <c r="E1316" s="125">
        <v>21515879.079999998</v>
      </c>
      <c r="F1316" s="12">
        <v>42</v>
      </c>
      <c r="G1316" s="12">
        <v>180</v>
      </c>
      <c r="H1316" s="12">
        <v>0</v>
      </c>
      <c r="I1316" s="13">
        <v>43000.607355011576</v>
      </c>
      <c r="J1316" s="13">
        <v>43365</v>
      </c>
      <c r="K1316" s="12" t="s">
        <v>29</v>
      </c>
      <c r="L1316" s="12" t="s">
        <v>96</v>
      </c>
      <c r="M1316" s="12" t="s">
        <v>96</v>
      </c>
      <c r="N1316" s="12" t="s">
        <v>2538</v>
      </c>
      <c r="O1316" s="12"/>
      <c r="P1316" s="12"/>
      <c r="Q1316" s="12"/>
    </row>
    <row r="1317" spans="1:17" x14ac:dyDescent="0.25">
      <c r="A1317" s="11">
        <v>201317</v>
      </c>
      <c r="B1317" s="12" t="s">
        <v>4016</v>
      </c>
      <c r="C1317" s="12" t="s">
        <v>2807</v>
      </c>
      <c r="D1317" s="125">
        <v>20000000</v>
      </c>
      <c r="E1317" s="125">
        <v>18789731.27</v>
      </c>
      <c r="F1317" s="12">
        <v>36</v>
      </c>
      <c r="G1317" s="12">
        <v>180</v>
      </c>
      <c r="H1317" s="12">
        <v>0</v>
      </c>
      <c r="I1317" s="13">
        <v>43000.692347881944</v>
      </c>
      <c r="J1317" s="13">
        <v>43546</v>
      </c>
      <c r="K1317" s="12" t="s">
        <v>45</v>
      </c>
      <c r="L1317" s="12" t="s">
        <v>45</v>
      </c>
      <c r="M1317" s="12" t="s">
        <v>1658</v>
      </c>
      <c r="N1317" s="12" t="s">
        <v>2557</v>
      </c>
      <c r="O1317" s="12"/>
      <c r="P1317" s="12"/>
      <c r="Q1317" s="12"/>
    </row>
    <row r="1318" spans="1:17" x14ac:dyDescent="0.25">
      <c r="A1318" s="11">
        <v>201320</v>
      </c>
      <c r="B1318" s="12" t="s">
        <v>1948</v>
      </c>
      <c r="C1318" s="12" t="s">
        <v>5043</v>
      </c>
      <c r="D1318" s="125">
        <v>8780000</v>
      </c>
      <c r="E1318" s="125">
        <v>5969098.1399999997</v>
      </c>
      <c r="F1318" s="12">
        <v>25</v>
      </c>
      <c r="G1318" s="12">
        <v>180</v>
      </c>
      <c r="H1318" s="12">
        <v>0</v>
      </c>
      <c r="I1318" s="13">
        <v>43000.754174571761</v>
      </c>
      <c r="J1318" s="13">
        <v>43180</v>
      </c>
      <c r="K1318" s="12" t="s">
        <v>28</v>
      </c>
      <c r="L1318" s="12" t="s">
        <v>108</v>
      </c>
      <c r="M1318" s="12" t="s">
        <v>26</v>
      </c>
      <c r="N1318" s="12" t="s">
        <v>284</v>
      </c>
      <c r="O1318" s="12"/>
      <c r="P1318" s="12"/>
      <c r="Q1318" s="12"/>
    </row>
    <row r="1319" spans="1:17" x14ac:dyDescent="0.25">
      <c r="A1319" s="11">
        <v>201321</v>
      </c>
      <c r="B1319" s="12" t="s">
        <v>5555</v>
      </c>
      <c r="C1319" s="12" t="s">
        <v>2807</v>
      </c>
      <c r="D1319" s="125">
        <v>1800000</v>
      </c>
      <c r="E1319" s="125">
        <v>1304462.43</v>
      </c>
      <c r="F1319" s="12">
        <v>54</v>
      </c>
      <c r="G1319" s="12">
        <v>180</v>
      </c>
      <c r="H1319" s="12">
        <v>0</v>
      </c>
      <c r="I1319" s="13">
        <v>43001.471149502315</v>
      </c>
      <c r="J1319" s="13">
        <v>43182</v>
      </c>
      <c r="K1319" s="12" t="s">
        <v>44</v>
      </c>
      <c r="L1319" s="12" t="s">
        <v>75</v>
      </c>
      <c r="M1319" s="12" t="s">
        <v>26</v>
      </c>
      <c r="N1319" s="12" t="s">
        <v>4685</v>
      </c>
      <c r="O1319" s="12"/>
      <c r="P1319" s="12"/>
      <c r="Q1319" s="12"/>
    </row>
    <row r="1320" spans="1:17" x14ac:dyDescent="0.25">
      <c r="A1320" s="11">
        <v>201322</v>
      </c>
      <c r="B1320" s="12" t="s">
        <v>5554</v>
      </c>
      <c r="C1320" s="12" t="s">
        <v>2807</v>
      </c>
      <c r="D1320" s="125">
        <v>3000000</v>
      </c>
      <c r="E1320" s="125">
        <v>2755863.53</v>
      </c>
      <c r="F1320" s="12">
        <v>54</v>
      </c>
      <c r="G1320" s="12">
        <v>180</v>
      </c>
      <c r="H1320" s="12">
        <v>0</v>
      </c>
      <c r="I1320" s="13">
        <v>43001.50625864583</v>
      </c>
      <c r="J1320" s="13">
        <v>43304</v>
      </c>
      <c r="K1320" s="12" t="s">
        <v>25</v>
      </c>
      <c r="L1320" s="12" t="s">
        <v>88</v>
      </c>
      <c r="M1320" s="12" t="s">
        <v>285</v>
      </c>
      <c r="N1320" s="12" t="s">
        <v>4686</v>
      </c>
      <c r="O1320" s="12"/>
      <c r="P1320" s="12"/>
      <c r="Q1320" s="12"/>
    </row>
    <row r="1321" spans="1:17" x14ac:dyDescent="0.25">
      <c r="A1321" s="11">
        <v>201323</v>
      </c>
      <c r="B1321" s="12" t="s">
        <v>3110</v>
      </c>
      <c r="C1321" s="12" t="s">
        <v>2807</v>
      </c>
      <c r="D1321" s="125">
        <v>6000000</v>
      </c>
      <c r="E1321" s="125">
        <v>5592990.5999999996</v>
      </c>
      <c r="F1321" s="12">
        <v>44</v>
      </c>
      <c r="G1321" s="12">
        <v>180</v>
      </c>
      <c r="H1321" s="12">
        <v>0</v>
      </c>
      <c r="I1321" s="13">
        <v>43003.48632384259</v>
      </c>
      <c r="J1321" s="13">
        <v>43368</v>
      </c>
      <c r="K1321" s="12" t="s">
        <v>44</v>
      </c>
      <c r="L1321" s="12" t="s">
        <v>75</v>
      </c>
      <c r="M1321" s="12" t="s">
        <v>26</v>
      </c>
      <c r="N1321" s="12" t="s">
        <v>1447</v>
      </c>
      <c r="O1321" s="12"/>
      <c r="P1321" s="12"/>
      <c r="Q1321" s="12"/>
    </row>
    <row r="1322" spans="1:17" x14ac:dyDescent="0.25">
      <c r="A1322" s="11">
        <v>201324</v>
      </c>
      <c r="B1322" s="12" t="s">
        <v>4284</v>
      </c>
      <c r="C1322" s="12" t="s">
        <v>5043</v>
      </c>
      <c r="D1322" s="125">
        <v>2365322</v>
      </c>
      <c r="E1322" s="125">
        <v>1604784.23</v>
      </c>
      <c r="F1322" s="12">
        <v>25</v>
      </c>
      <c r="G1322" s="12">
        <v>180</v>
      </c>
      <c r="H1322" s="12">
        <v>0</v>
      </c>
      <c r="I1322" s="13">
        <v>43003.492693749999</v>
      </c>
      <c r="J1322" s="13">
        <v>43180</v>
      </c>
      <c r="K1322" s="12" t="s">
        <v>28</v>
      </c>
      <c r="L1322" s="12" t="s">
        <v>108</v>
      </c>
      <c r="M1322" s="12" t="s">
        <v>26</v>
      </c>
      <c r="N1322" s="12" t="s">
        <v>284</v>
      </c>
      <c r="O1322" s="12"/>
      <c r="P1322" s="12"/>
      <c r="Q1322" s="12"/>
    </row>
    <row r="1323" spans="1:17" x14ac:dyDescent="0.25">
      <c r="A1323" s="11">
        <v>201325</v>
      </c>
      <c r="B1323" s="12" t="s">
        <v>5566</v>
      </c>
      <c r="C1323" s="12" t="s">
        <v>2807</v>
      </c>
      <c r="D1323" s="125">
        <v>10000000</v>
      </c>
      <c r="E1323" s="125">
        <v>9308618.5</v>
      </c>
      <c r="F1323" s="12">
        <v>40</v>
      </c>
      <c r="G1323" s="12">
        <v>180</v>
      </c>
      <c r="H1323" s="12">
        <v>0</v>
      </c>
      <c r="I1323" s="13">
        <v>43003.53083171296</v>
      </c>
      <c r="J1323" s="13">
        <v>43368</v>
      </c>
      <c r="K1323" s="12" t="s">
        <v>44</v>
      </c>
      <c r="L1323" s="12" t="s">
        <v>75</v>
      </c>
      <c r="M1323" s="12" t="s">
        <v>26</v>
      </c>
      <c r="N1323" s="12" t="s">
        <v>1909</v>
      </c>
      <c r="O1323" s="12"/>
      <c r="P1323" s="12"/>
      <c r="Q1323" s="12"/>
    </row>
    <row r="1324" spans="1:17" x14ac:dyDescent="0.25">
      <c r="A1324" s="11">
        <v>201326</v>
      </c>
      <c r="B1324" s="12" t="s">
        <v>4192</v>
      </c>
      <c r="C1324" s="12" t="s">
        <v>2807</v>
      </c>
      <c r="D1324" s="125">
        <v>6000000</v>
      </c>
      <c r="E1324" s="125">
        <v>5500254.3300000001</v>
      </c>
      <c r="F1324" s="12">
        <v>48</v>
      </c>
      <c r="G1324" s="12">
        <v>180</v>
      </c>
      <c r="H1324" s="12">
        <v>0</v>
      </c>
      <c r="I1324" s="13">
        <v>43003.575624108795</v>
      </c>
      <c r="J1324" s="13">
        <v>43306</v>
      </c>
      <c r="K1324" s="12" t="s">
        <v>25</v>
      </c>
      <c r="L1324" s="12" t="s">
        <v>88</v>
      </c>
      <c r="M1324" s="12" t="s">
        <v>285</v>
      </c>
      <c r="N1324" s="12" t="s">
        <v>2861</v>
      </c>
      <c r="O1324" s="12"/>
      <c r="P1324" s="12"/>
      <c r="Q1324" s="12"/>
    </row>
    <row r="1325" spans="1:17" x14ac:dyDescent="0.25">
      <c r="A1325" s="11">
        <v>201327</v>
      </c>
      <c r="B1325" s="12" t="s">
        <v>3441</v>
      </c>
      <c r="C1325" s="12" t="s">
        <v>2807</v>
      </c>
      <c r="D1325" s="125">
        <v>6000000</v>
      </c>
      <c r="E1325" s="125">
        <v>5600686.96</v>
      </c>
      <c r="F1325" s="12">
        <v>48</v>
      </c>
      <c r="G1325" s="12">
        <v>180</v>
      </c>
      <c r="H1325" s="12">
        <v>0</v>
      </c>
      <c r="I1325" s="13">
        <v>43003.602945335646</v>
      </c>
      <c r="J1325" s="13">
        <v>43368</v>
      </c>
      <c r="K1325" s="12" t="s">
        <v>44</v>
      </c>
      <c r="L1325" s="12" t="s">
        <v>92</v>
      </c>
      <c r="M1325" s="12" t="s">
        <v>92</v>
      </c>
      <c r="N1325" s="12" t="s">
        <v>2557</v>
      </c>
      <c r="O1325" s="12"/>
      <c r="P1325" s="12"/>
      <c r="Q1325" s="12"/>
    </row>
    <row r="1326" spans="1:17" x14ac:dyDescent="0.25">
      <c r="A1326" s="11">
        <v>201328</v>
      </c>
      <c r="B1326" s="12" t="s">
        <v>5567</v>
      </c>
      <c r="C1326" s="12" t="s">
        <v>5043</v>
      </c>
      <c r="D1326" s="125">
        <v>3500000</v>
      </c>
      <c r="E1326" s="125">
        <v>2374621.64</v>
      </c>
      <c r="F1326" s="12">
        <v>25</v>
      </c>
      <c r="G1326" s="12">
        <v>180</v>
      </c>
      <c r="H1326" s="12">
        <v>0</v>
      </c>
      <c r="I1326" s="13">
        <v>43003.691176932873</v>
      </c>
      <c r="J1326" s="13">
        <v>43180</v>
      </c>
      <c r="K1326" s="12" t="s">
        <v>28</v>
      </c>
      <c r="L1326" s="12" t="s">
        <v>108</v>
      </c>
      <c r="M1326" s="12" t="s">
        <v>26</v>
      </c>
      <c r="N1326" s="12" t="s">
        <v>284</v>
      </c>
      <c r="O1326" s="12"/>
      <c r="P1326" s="12"/>
      <c r="Q1326" s="12"/>
    </row>
    <row r="1327" spans="1:17" x14ac:dyDescent="0.25">
      <c r="A1327" s="11">
        <v>201329</v>
      </c>
      <c r="B1327" s="12" t="s">
        <v>5580</v>
      </c>
      <c r="C1327" s="12" t="s">
        <v>2807</v>
      </c>
      <c r="D1327" s="125">
        <v>5000000</v>
      </c>
      <c r="E1327" s="125">
        <v>5000000</v>
      </c>
      <c r="F1327" s="12">
        <v>54</v>
      </c>
      <c r="G1327" s="12">
        <v>180</v>
      </c>
      <c r="H1327" s="12">
        <v>0</v>
      </c>
      <c r="I1327" s="13">
        <v>43004.478649571756</v>
      </c>
      <c r="J1327" s="13">
        <v>43192</v>
      </c>
      <c r="K1327" s="12" t="s">
        <v>37</v>
      </c>
      <c r="L1327" s="12" t="s">
        <v>686</v>
      </c>
      <c r="M1327" s="12" t="s">
        <v>686</v>
      </c>
      <c r="N1327" s="12" t="s">
        <v>3074</v>
      </c>
      <c r="O1327" s="12"/>
      <c r="P1327" s="12"/>
      <c r="Q1327" s="12"/>
    </row>
    <row r="1328" spans="1:17" x14ac:dyDescent="0.25">
      <c r="A1328" s="11">
        <v>201330</v>
      </c>
      <c r="B1328" s="12" t="s">
        <v>5581</v>
      </c>
      <c r="C1328" s="12" t="s">
        <v>2807</v>
      </c>
      <c r="D1328" s="125">
        <v>18000000</v>
      </c>
      <c r="E1328" s="125">
        <v>16931307.510000002</v>
      </c>
      <c r="F1328" s="12">
        <v>48</v>
      </c>
      <c r="G1328" s="12">
        <v>180</v>
      </c>
      <c r="H1328" s="12">
        <v>0</v>
      </c>
      <c r="I1328" s="13">
        <v>43004.653141122682</v>
      </c>
      <c r="J1328" s="13">
        <v>43375</v>
      </c>
      <c r="K1328" s="12" t="s">
        <v>37</v>
      </c>
      <c r="L1328" s="12" t="s">
        <v>686</v>
      </c>
      <c r="M1328" s="12" t="s">
        <v>686</v>
      </c>
      <c r="N1328" s="12" t="s">
        <v>1667</v>
      </c>
      <c r="O1328" s="12"/>
      <c r="P1328" s="12"/>
      <c r="Q1328" s="12"/>
    </row>
    <row r="1329" spans="1:17" x14ac:dyDescent="0.25">
      <c r="A1329" s="11">
        <v>201331</v>
      </c>
      <c r="B1329" s="12" t="s">
        <v>5582</v>
      </c>
      <c r="C1329" s="12" t="s">
        <v>2807</v>
      </c>
      <c r="D1329" s="125">
        <v>2000000</v>
      </c>
      <c r="E1329" s="125">
        <v>1847521.33</v>
      </c>
      <c r="F1329" s="12">
        <v>48</v>
      </c>
      <c r="G1329" s="12">
        <v>180</v>
      </c>
      <c r="H1329" s="12">
        <v>0</v>
      </c>
      <c r="I1329" s="13">
        <v>43004.57486724537</v>
      </c>
      <c r="J1329" s="13">
        <v>43314</v>
      </c>
      <c r="K1329" s="12" t="s">
        <v>44</v>
      </c>
      <c r="L1329" s="12" t="s">
        <v>75</v>
      </c>
      <c r="M1329" s="12" t="s">
        <v>26</v>
      </c>
      <c r="N1329" s="12" t="s">
        <v>1447</v>
      </c>
      <c r="O1329" s="12"/>
      <c r="P1329" s="12"/>
      <c r="Q1329" s="12"/>
    </row>
    <row r="1330" spans="1:17" x14ac:dyDescent="0.25">
      <c r="A1330" s="11">
        <v>201332</v>
      </c>
      <c r="B1330" s="12" t="s">
        <v>5593</v>
      </c>
      <c r="C1330" s="12" t="s">
        <v>1449</v>
      </c>
      <c r="D1330" s="125">
        <v>1500000</v>
      </c>
      <c r="E1330" s="125">
        <v>1387821.23</v>
      </c>
      <c r="F1330" s="12">
        <v>54</v>
      </c>
      <c r="G1330" s="12">
        <v>180</v>
      </c>
      <c r="H1330" s="12">
        <v>0</v>
      </c>
      <c r="I1330" s="13">
        <v>43005.516873611108</v>
      </c>
      <c r="J1330" s="13">
        <v>43314</v>
      </c>
      <c r="K1330" s="12" t="s">
        <v>25</v>
      </c>
      <c r="L1330" s="12" t="s">
        <v>88</v>
      </c>
      <c r="M1330" s="12" t="s">
        <v>285</v>
      </c>
      <c r="N1330" s="12" t="s">
        <v>4919</v>
      </c>
      <c r="O1330" s="12"/>
      <c r="P1330" s="12"/>
      <c r="Q1330" s="12"/>
    </row>
    <row r="1331" spans="1:17" x14ac:dyDescent="0.25">
      <c r="A1331" s="11">
        <v>201333</v>
      </c>
      <c r="B1331" s="12" t="s">
        <v>5594</v>
      </c>
      <c r="C1331" s="12" t="s">
        <v>1449</v>
      </c>
      <c r="D1331" s="125">
        <v>3500000</v>
      </c>
      <c r="E1331" s="125">
        <v>3149307.84</v>
      </c>
      <c r="F1331" s="12">
        <v>54</v>
      </c>
      <c r="G1331" s="12">
        <v>180</v>
      </c>
      <c r="H1331" s="12">
        <v>0</v>
      </c>
      <c r="I1331" s="13">
        <v>43005.514843206016</v>
      </c>
      <c r="J1331" s="13">
        <v>43253</v>
      </c>
      <c r="K1331" s="12" t="s">
        <v>25</v>
      </c>
      <c r="L1331" s="12" t="s">
        <v>88</v>
      </c>
      <c r="M1331" s="12" t="s">
        <v>285</v>
      </c>
      <c r="N1331" s="12" t="s">
        <v>4919</v>
      </c>
      <c r="O1331" s="12"/>
      <c r="P1331" s="12"/>
      <c r="Q1331" s="12"/>
    </row>
    <row r="1332" spans="1:17" x14ac:dyDescent="0.25">
      <c r="A1332" s="11">
        <v>201334</v>
      </c>
      <c r="B1332" s="12" t="s">
        <v>3510</v>
      </c>
      <c r="C1332" s="12" t="s">
        <v>2807</v>
      </c>
      <c r="D1332" s="125">
        <v>3000000</v>
      </c>
      <c r="E1332" s="125">
        <v>3000000</v>
      </c>
      <c r="F1332" s="12">
        <v>48</v>
      </c>
      <c r="G1332" s="12">
        <v>180</v>
      </c>
      <c r="H1332" s="12">
        <v>0</v>
      </c>
      <c r="I1332" s="13">
        <v>43005.506766550927</v>
      </c>
      <c r="J1332" s="13">
        <v>43314</v>
      </c>
      <c r="K1332" s="12" t="s">
        <v>25</v>
      </c>
      <c r="L1332" s="12" t="s">
        <v>32</v>
      </c>
      <c r="M1332" s="12" t="s">
        <v>3369</v>
      </c>
      <c r="N1332" s="12" t="s">
        <v>2538</v>
      </c>
      <c r="O1332" s="12"/>
      <c r="P1332" s="12"/>
      <c r="Q1332" s="12"/>
    </row>
    <row r="1333" spans="1:17" x14ac:dyDescent="0.25">
      <c r="A1333" s="11">
        <v>201335</v>
      </c>
      <c r="B1333" s="12" t="s">
        <v>5596</v>
      </c>
      <c r="C1333" s="12" t="s">
        <v>2807</v>
      </c>
      <c r="D1333" s="125">
        <v>14000000</v>
      </c>
      <c r="E1333" s="125">
        <v>13188654.27</v>
      </c>
      <c r="F1333" s="12">
        <v>54</v>
      </c>
      <c r="G1333" s="12">
        <v>180</v>
      </c>
      <c r="H1333" s="12">
        <v>0</v>
      </c>
      <c r="I1333" s="13">
        <v>43005.5893125</v>
      </c>
      <c r="J1333" s="13">
        <v>43375</v>
      </c>
      <c r="K1333" s="12" t="s">
        <v>44</v>
      </c>
      <c r="L1333" s="12" t="s">
        <v>75</v>
      </c>
      <c r="M1333" s="12" t="s">
        <v>1442</v>
      </c>
      <c r="N1333" s="12" t="s">
        <v>5410</v>
      </c>
      <c r="O1333" s="12"/>
      <c r="P1333" s="12"/>
      <c r="Q1333" s="12"/>
    </row>
    <row r="1334" spans="1:17" x14ac:dyDescent="0.25">
      <c r="A1334" s="11">
        <v>201336</v>
      </c>
      <c r="B1334" s="12" t="s">
        <v>1900</v>
      </c>
      <c r="C1334" s="12" t="s">
        <v>2807</v>
      </c>
      <c r="D1334" s="125">
        <v>5000000</v>
      </c>
      <c r="E1334" s="125">
        <v>4697157.33</v>
      </c>
      <c r="F1334" s="12">
        <v>48</v>
      </c>
      <c r="G1334" s="12">
        <v>180</v>
      </c>
      <c r="H1334" s="12">
        <v>0</v>
      </c>
      <c r="I1334" s="13">
        <v>43005.677940277776</v>
      </c>
      <c r="J1334" s="13">
        <v>43375</v>
      </c>
      <c r="K1334" s="12" t="s">
        <v>44</v>
      </c>
      <c r="L1334" s="12" t="s">
        <v>75</v>
      </c>
      <c r="M1334" s="12" t="s">
        <v>1442</v>
      </c>
      <c r="N1334" s="12" t="s">
        <v>1925</v>
      </c>
      <c r="O1334" s="12"/>
      <c r="P1334" s="12"/>
      <c r="Q1334" s="12"/>
    </row>
    <row r="1335" spans="1:17" x14ac:dyDescent="0.25">
      <c r="A1335" s="11">
        <v>201337</v>
      </c>
      <c r="B1335" s="12" t="s">
        <v>5612</v>
      </c>
      <c r="C1335" s="12" t="s">
        <v>2807</v>
      </c>
      <c r="D1335" s="125">
        <v>8000000</v>
      </c>
      <c r="E1335" s="125">
        <v>7188158.8899999997</v>
      </c>
      <c r="F1335" s="12">
        <v>54</v>
      </c>
      <c r="G1335" s="12">
        <v>180</v>
      </c>
      <c r="H1335" s="12">
        <v>0</v>
      </c>
      <c r="I1335" s="13">
        <v>43006.63448310185</v>
      </c>
      <c r="J1335" s="13">
        <v>43253</v>
      </c>
      <c r="K1335" s="12" t="s">
        <v>25</v>
      </c>
      <c r="L1335" s="12" t="s">
        <v>88</v>
      </c>
      <c r="M1335" s="12" t="s">
        <v>285</v>
      </c>
      <c r="N1335" s="12" t="s">
        <v>1447</v>
      </c>
      <c r="O1335" s="12"/>
      <c r="P1335" s="12"/>
      <c r="Q1335" s="12"/>
    </row>
    <row r="1336" spans="1:17" x14ac:dyDescent="0.25">
      <c r="A1336" s="11">
        <v>201338</v>
      </c>
      <c r="B1336" s="12" t="s">
        <v>3442</v>
      </c>
      <c r="C1336" s="12" t="s">
        <v>2807</v>
      </c>
      <c r="D1336" s="125">
        <v>22000000</v>
      </c>
      <c r="E1336" s="125">
        <v>21197175.530000001</v>
      </c>
      <c r="F1336" s="12">
        <v>42</v>
      </c>
      <c r="G1336" s="12">
        <v>180</v>
      </c>
      <c r="H1336" s="12">
        <v>0</v>
      </c>
      <c r="I1336" s="13">
        <v>43006.709984027781</v>
      </c>
      <c r="J1336" s="13">
        <v>43557</v>
      </c>
      <c r="K1336" s="12" t="s">
        <v>45</v>
      </c>
      <c r="L1336" s="12" t="s">
        <v>45</v>
      </c>
      <c r="M1336" s="12" t="s">
        <v>89</v>
      </c>
      <c r="N1336" s="12" t="s">
        <v>2557</v>
      </c>
      <c r="O1336" s="12"/>
      <c r="P1336" s="12"/>
      <c r="Q1336" s="12"/>
    </row>
    <row r="1337" spans="1:17" x14ac:dyDescent="0.25">
      <c r="A1337" s="11">
        <v>201339</v>
      </c>
      <c r="B1337" s="12" t="s">
        <v>3270</v>
      </c>
      <c r="C1337" s="12" t="s">
        <v>2807</v>
      </c>
      <c r="D1337" s="125">
        <v>13000000</v>
      </c>
      <c r="E1337" s="125">
        <v>12197051.609999999</v>
      </c>
      <c r="F1337" s="12">
        <v>48</v>
      </c>
      <c r="G1337" s="12">
        <v>180</v>
      </c>
      <c r="H1337" s="12">
        <v>0</v>
      </c>
      <c r="I1337" s="13">
        <v>43006.489802777774</v>
      </c>
      <c r="J1337" s="13">
        <v>43375</v>
      </c>
      <c r="K1337" s="12" t="s">
        <v>44</v>
      </c>
      <c r="L1337" s="12" t="s">
        <v>75</v>
      </c>
      <c r="M1337" s="12" t="s">
        <v>1442</v>
      </c>
      <c r="N1337" s="12" t="s">
        <v>468</v>
      </c>
      <c r="O1337" s="12"/>
      <c r="P1337" s="12"/>
      <c r="Q1337" s="12"/>
    </row>
    <row r="1338" spans="1:17" x14ac:dyDescent="0.25">
      <c r="A1338" s="11">
        <v>201340</v>
      </c>
      <c r="B1338" s="12" t="s">
        <v>5614</v>
      </c>
      <c r="C1338" s="12" t="s">
        <v>2807</v>
      </c>
      <c r="D1338" s="125">
        <v>5000000</v>
      </c>
      <c r="E1338" s="125">
        <v>4619477.79</v>
      </c>
      <c r="F1338" s="12">
        <v>54</v>
      </c>
      <c r="G1338" s="12">
        <v>180</v>
      </c>
      <c r="H1338" s="12">
        <v>0</v>
      </c>
      <c r="I1338" s="13">
        <v>43006.655426192126</v>
      </c>
      <c r="J1338" s="13">
        <v>43314</v>
      </c>
      <c r="K1338" s="12" t="s">
        <v>44</v>
      </c>
      <c r="L1338" s="12" t="s">
        <v>75</v>
      </c>
      <c r="M1338" s="12" t="s">
        <v>1442</v>
      </c>
      <c r="N1338" s="12" t="s">
        <v>5384</v>
      </c>
      <c r="O1338" s="12"/>
      <c r="P1338" s="12"/>
      <c r="Q1338" s="12"/>
    </row>
    <row r="1339" spans="1:17" x14ac:dyDescent="0.25">
      <c r="A1339" s="11">
        <v>201341</v>
      </c>
      <c r="B1339" s="12" t="s">
        <v>3463</v>
      </c>
      <c r="C1339" s="12" t="s">
        <v>1449</v>
      </c>
      <c r="D1339" s="125">
        <v>7000000</v>
      </c>
      <c r="E1339" s="125">
        <v>7000000</v>
      </c>
      <c r="F1339" s="12">
        <v>44</v>
      </c>
      <c r="G1339" s="12">
        <v>180</v>
      </c>
      <c r="H1339" s="12">
        <v>0</v>
      </c>
      <c r="I1339" s="13">
        <v>43006.778086342594</v>
      </c>
      <c r="J1339" s="13">
        <v>43375</v>
      </c>
      <c r="K1339" s="12" t="s">
        <v>25</v>
      </c>
      <c r="L1339" s="12" t="s">
        <v>88</v>
      </c>
      <c r="M1339" s="12" t="s">
        <v>285</v>
      </c>
      <c r="N1339" s="12" t="s">
        <v>1039</v>
      </c>
      <c r="O1339" s="12"/>
      <c r="P1339" s="12"/>
      <c r="Q1339" s="12"/>
    </row>
    <row r="1340" spans="1:17" x14ac:dyDescent="0.25">
      <c r="A1340" s="11">
        <v>201342</v>
      </c>
      <c r="B1340" s="12" t="s">
        <v>5609</v>
      </c>
      <c r="C1340" s="12" t="s">
        <v>1449</v>
      </c>
      <c r="D1340" s="125">
        <v>5000000</v>
      </c>
      <c r="E1340" s="125">
        <v>4703520.75</v>
      </c>
      <c r="F1340" s="12">
        <v>54</v>
      </c>
      <c r="G1340" s="12">
        <v>180</v>
      </c>
      <c r="H1340" s="12">
        <v>0</v>
      </c>
      <c r="I1340" s="13">
        <v>43006.535467511574</v>
      </c>
      <c r="J1340" s="13">
        <v>43375</v>
      </c>
      <c r="K1340" s="12" t="s">
        <v>25</v>
      </c>
      <c r="L1340" s="12" t="s">
        <v>88</v>
      </c>
      <c r="M1340" s="12" t="s">
        <v>285</v>
      </c>
      <c r="N1340" s="12" t="s">
        <v>5384</v>
      </c>
      <c r="O1340" s="12"/>
      <c r="P1340" s="12"/>
      <c r="Q1340" s="12"/>
    </row>
    <row r="1341" spans="1:17" x14ac:dyDescent="0.25">
      <c r="A1341" s="11">
        <v>201343</v>
      </c>
      <c r="B1341" s="12" t="s">
        <v>5611</v>
      </c>
      <c r="C1341" s="12" t="s">
        <v>1449</v>
      </c>
      <c r="D1341" s="125">
        <v>1000000</v>
      </c>
      <c r="E1341" s="125">
        <v>856008.44</v>
      </c>
      <c r="F1341" s="12">
        <v>54</v>
      </c>
      <c r="G1341" s="12">
        <v>180</v>
      </c>
      <c r="H1341" s="12">
        <v>0</v>
      </c>
      <c r="I1341" s="13">
        <v>43006.635618553242</v>
      </c>
      <c r="J1341" s="13">
        <v>43192</v>
      </c>
      <c r="K1341" s="12" t="s">
        <v>25</v>
      </c>
      <c r="L1341" s="12" t="s">
        <v>88</v>
      </c>
      <c r="M1341" s="12" t="s">
        <v>285</v>
      </c>
      <c r="N1341" s="12" t="s">
        <v>4685</v>
      </c>
      <c r="O1341" s="12"/>
      <c r="P1341" s="12"/>
      <c r="Q1341" s="12"/>
    </row>
    <row r="1342" spans="1:17" x14ac:dyDescent="0.25">
      <c r="A1342" s="11">
        <v>201344</v>
      </c>
      <c r="B1342" s="12" t="s">
        <v>4799</v>
      </c>
      <c r="C1342" s="12" t="s">
        <v>2807</v>
      </c>
      <c r="D1342" s="125">
        <v>3000000</v>
      </c>
      <c r="E1342" s="125">
        <v>2764230.38</v>
      </c>
      <c r="F1342" s="12">
        <v>48</v>
      </c>
      <c r="G1342" s="12">
        <v>180</v>
      </c>
      <c r="H1342" s="12">
        <v>0</v>
      </c>
      <c r="I1342" s="13">
        <v>43006.638989236111</v>
      </c>
      <c r="J1342" s="13">
        <v>43314</v>
      </c>
      <c r="K1342" s="12" t="s">
        <v>44</v>
      </c>
      <c r="L1342" s="12" t="s">
        <v>75</v>
      </c>
      <c r="M1342" s="12" t="s">
        <v>1442</v>
      </c>
      <c r="N1342" s="12" t="s">
        <v>1467</v>
      </c>
      <c r="O1342" s="12"/>
      <c r="P1342" s="12"/>
      <c r="Q1342" s="12"/>
    </row>
    <row r="1343" spans="1:17" x14ac:dyDescent="0.25">
      <c r="A1343" s="11">
        <v>201345</v>
      </c>
      <c r="B1343" s="12" t="s">
        <v>1999</v>
      </c>
      <c r="C1343" s="12" t="s">
        <v>1449</v>
      </c>
      <c r="D1343" s="125">
        <v>27000000</v>
      </c>
      <c r="E1343" s="125">
        <v>26014715.420000002</v>
      </c>
      <c r="F1343" s="12">
        <v>42</v>
      </c>
      <c r="G1343" s="12">
        <v>180</v>
      </c>
      <c r="H1343" s="12">
        <v>0</v>
      </c>
      <c r="I1343" s="13">
        <v>43006.793217789353</v>
      </c>
      <c r="J1343" s="13">
        <v>43557</v>
      </c>
      <c r="K1343" s="12" t="s">
        <v>25</v>
      </c>
      <c r="L1343" s="12" t="s">
        <v>88</v>
      </c>
      <c r="M1343" s="12" t="s">
        <v>285</v>
      </c>
      <c r="N1343" s="12" t="s">
        <v>468</v>
      </c>
      <c r="O1343" s="12"/>
      <c r="P1343" s="12"/>
      <c r="Q1343" s="12"/>
    </row>
    <row r="1344" spans="1:17" x14ac:dyDescent="0.25">
      <c r="A1344" s="11">
        <v>201346</v>
      </c>
      <c r="B1344" s="12" t="s">
        <v>4780</v>
      </c>
      <c r="C1344" s="12" t="s">
        <v>1449</v>
      </c>
      <c r="D1344" s="125">
        <v>28000000</v>
      </c>
      <c r="E1344" s="125">
        <v>26908250.329999998</v>
      </c>
      <c r="F1344" s="12">
        <v>36</v>
      </c>
      <c r="G1344" s="12">
        <v>180</v>
      </c>
      <c r="H1344" s="12">
        <v>0</v>
      </c>
      <c r="I1344" s="13">
        <v>43006.777691400464</v>
      </c>
      <c r="J1344" s="13">
        <v>43557</v>
      </c>
      <c r="K1344" s="12" t="s">
        <v>25</v>
      </c>
      <c r="L1344" s="12" t="s">
        <v>88</v>
      </c>
      <c r="M1344" s="12" t="s">
        <v>285</v>
      </c>
      <c r="N1344" s="12" t="s">
        <v>491</v>
      </c>
      <c r="O1344" s="12"/>
      <c r="P1344" s="12"/>
      <c r="Q1344" s="12"/>
    </row>
    <row r="1345" spans="1:17" x14ac:dyDescent="0.25">
      <c r="A1345" s="11">
        <v>201347</v>
      </c>
      <c r="B1345" s="12" t="s">
        <v>3965</v>
      </c>
      <c r="C1345" s="12" t="s">
        <v>1449</v>
      </c>
      <c r="D1345" s="125">
        <v>31000000</v>
      </c>
      <c r="E1345" s="125">
        <v>31000000</v>
      </c>
      <c r="F1345" s="12">
        <v>36</v>
      </c>
      <c r="G1345" s="12">
        <v>180</v>
      </c>
      <c r="H1345" s="12">
        <v>0</v>
      </c>
      <c r="I1345" s="13">
        <v>43032.702154166669</v>
      </c>
      <c r="J1345" s="13">
        <v>43397</v>
      </c>
      <c r="K1345" s="12" t="s">
        <v>25</v>
      </c>
      <c r="L1345" s="12" t="s">
        <v>88</v>
      </c>
      <c r="M1345" s="12" t="s">
        <v>285</v>
      </c>
      <c r="N1345" s="12" t="s">
        <v>491</v>
      </c>
      <c r="O1345" s="12"/>
      <c r="P1345" s="12"/>
      <c r="Q1345" s="12"/>
    </row>
    <row r="1346" spans="1:17" x14ac:dyDescent="0.25">
      <c r="A1346" s="11">
        <v>201348</v>
      </c>
      <c r="B1346" s="12" t="s">
        <v>4566</v>
      </c>
      <c r="C1346" s="12" t="s">
        <v>1449</v>
      </c>
      <c r="D1346" s="125">
        <v>3500000</v>
      </c>
      <c r="E1346" s="125">
        <v>3220822.01</v>
      </c>
      <c r="F1346" s="12">
        <v>48</v>
      </c>
      <c r="G1346" s="12">
        <v>180</v>
      </c>
      <c r="H1346" s="12">
        <v>0</v>
      </c>
      <c r="I1346" s="13">
        <v>43007.558963692129</v>
      </c>
      <c r="J1346" s="13">
        <v>43314</v>
      </c>
      <c r="K1346" s="12" t="s">
        <v>25</v>
      </c>
      <c r="L1346" s="12" t="s">
        <v>88</v>
      </c>
      <c r="M1346" s="12" t="s">
        <v>285</v>
      </c>
      <c r="N1346" s="12" t="s">
        <v>2538</v>
      </c>
      <c r="O1346" s="12"/>
      <c r="P1346" s="12"/>
      <c r="Q1346" s="12"/>
    </row>
    <row r="1347" spans="1:17" x14ac:dyDescent="0.25">
      <c r="A1347" s="11">
        <v>201349</v>
      </c>
      <c r="B1347" s="12" t="s">
        <v>5642</v>
      </c>
      <c r="C1347" s="12" t="s">
        <v>2807</v>
      </c>
      <c r="D1347" s="125">
        <v>9000000</v>
      </c>
      <c r="E1347" s="125">
        <v>8404781.6799999997</v>
      </c>
      <c r="F1347" s="12">
        <v>40</v>
      </c>
      <c r="G1347" s="12">
        <v>180</v>
      </c>
      <c r="H1347" s="12">
        <v>0</v>
      </c>
      <c r="I1347" s="13">
        <v>43007.564548726848</v>
      </c>
      <c r="J1347" s="13">
        <v>43375</v>
      </c>
      <c r="K1347" s="12" t="s">
        <v>44</v>
      </c>
      <c r="L1347" s="12" t="s">
        <v>75</v>
      </c>
      <c r="M1347" s="12" t="s">
        <v>1442</v>
      </c>
      <c r="N1347" s="12" t="s">
        <v>2861</v>
      </c>
      <c r="O1347" s="12"/>
      <c r="P1347" s="12"/>
      <c r="Q1347" s="12"/>
    </row>
    <row r="1348" spans="1:17" x14ac:dyDescent="0.25">
      <c r="A1348" s="11">
        <v>201350</v>
      </c>
      <c r="B1348" s="12" t="s">
        <v>4421</v>
      </c>
      <c r="C1348" s="12" t="s">
        <v>2807</v>
      </c>
      <c r="D1348" s="125">
        <v>30000000</v>
      </c>
      <c r="E1348" s="125">
        <v>28802385.940000001</v>
      </c>
      <c r="F1348" s="12">
        <v>36</v>
      </c>
      <c r="G1348" s="12">
        <v>180</v>
      </c>
      <c r="H1348" s="12">
        <v>0</v>
      </c>
      <c r="I1348" s="13">
        <v>43007.569637187502</v>
      </c>
      <c r="J1348" s="13">
        <v>43557</v>
      </c>
      <c r="K1348" s="12" t="s">
        <v>29</v>
      </c>
      <c r="L1348" s="12" t="s">
        <v>96</v>
      </c>
      <c r="M1348" s="12" t="s">
        <v>96</v>
      </c>
      <c r="N1348" s="12" t="s">
        <v>491</v>
      </c>
      <c r="O1348" s="12"/>
      <c r="P1348" s="12"/>
      <c r="Q1348" s="12"/>
    </row>
    <row r="1349" spans="1:17" x14ac:dyDescent="0.25">
      <c r="A1349" s="11">
        <v>201352</v>
      </c>
      <c r="B1349" s="12" t="s">
        <v>4371</v>
      </c>
      <c r="C1349" s="12" t="s">
        <v>2807</v>
      </c>
      <c r="D1349" s="125">
        <v>17000000</v>
      </c>
      <c r="E1349" s="125">
        <v>15894195.869999999</v>
      </c>
      <c r="F1349" s="12">
        <v>36</v>
      </c>
      <c r="G1349" s="12">
        <v>180</v>
      </c>
      <c r="H1349" s="12">
        <v>0</v>
      </c>
      <c r="I1349" s="13">
        <v>43007.79022638889</v>
      </c>
      <c r="J1349" s="13">
        <v>43378</v>
      </c>
      <c r="K1349" s="12" t="s">
        <v>25</v>
      </c>
      <c r="L1349" s="12" t="s">
        <v>289</v>
      </c>
      <c r="M1349" s="12" t="s">
        <v>26</v>
      </c>
      <c r="N1349" s="12" t="s">
        <v>1448</v>
      </c>
      <c r="O1349" s="12"/>
      <c r="P1349" s="12"/>
      <c r="Q1349" s="12"/>
    </row>
    <row r="1350" spans="1:17" x14ac:dyDescent="0.25">
      <c r="A1350" s="11">
        <v>201353</v>
      </c>
      <c r="B1350" s="12" t="s">
        <v>3126</v>
      </c>
      <c r="C1350" s="12" t="s">
        <v>2807</v>
      </c>
      <c r="D1350" s="125">
        <v>4000000</v>
      </c>
      <c r="E1350" s="125">
        <v>3579603.63</v>
      </c>
      <c r="F1350" s="12">
        <v>48</v>
      </c>
      <c r="G1350" s="12">
        <v>180</v>
      </c>
      <c r="H1350" s="12">
        <v>0</v>
      </c>
      <c r="I1350" s="13">
        <v>43007.766183831016</v>
      </c>
      <c r="J1350" s="13">
        <v>43253</v>
      </c>
      <c r="K1350" s="12" t="s">
        <v>25</v>
      </c>
      <c r="L1350" s="12" t="s">
        <v>88</v>
      </c>
      <c r="M1350" s="12" t="s">
        <v>285</v>
      </c>
      <c r="N1350" s="12" t="s">
        <v>2034</v>
      </c>
      <c r="O1350" s="12"/>
      <c r="P1350" s="12"/>
      <c r="Q1350" s="12"/>
    </row>
    <row r="1351" spans="1:17" x14ac:dyDescent="0.25">
      <c r="A1351" s="11">
        <v>201354</v>
      </c>
      <c r="B1351" s="12" t="s">
        <v>5638</v>
      </c>
      <c r="C1351" s="12" t="s">
        <v>1449</v>
      </c>
      <c r="D1351" s="125">
        <v>6000000</v>
      </c>
      <c r="E1351" s="125">
        <v>5374100.46</v>
      </c>
      <c r="F1351" s="12">
        <v>50</v>
      </c>
      <c r="G1351" s="12">
        <v>180</v>
      </c>
      <c r="H1351" s="12">
        <v>0</v>
      </c>
      <c r="I1351" s="13">
        <v>43007.787448379633</v>
      </c>
      <c r="J1351" s="13">
        <v>43253</v>
      </c>
      <c r="K1351" s="12" t="s">
        <v>25</v>
      </c>
      <c r="L1351" s="12" t="s">
        <v>88</v>
      </c>
      <c r="M1351" s="12" t="s">
        <v>285</v>
      </c>
      <c r="N1351" s="12" t="s">
        <v>2861</v>
      </c>
      <c r="O1351" s="12"/>
      <c r="P1351" s="12"/>
      <c r="Q1351" s="12"/>
    </row>
    <row r="1352" spans="1:17" x14ac:dyDescent="0.25">
      <c r="A1352" s="11">
        <v>201355</v>
      </c>
      <c r="B1352" s="12" t="s">
        <v>5640</v>
      </c>
      <c r="C1352" s="12" t="s">
        <v>2807</v>
      </c>
      <c r="D1352" s="125">
        <v>5000000</v>
      </c>
      <c r="E1352" s="125">
        <v>4612884.82</v>
      </c>
      <c r="F1352" s="12">
        <v>54</v>
      </c>
      <c r="G1352" s="12">
        <v>180</v>
      </c>
      <c r="H1352" s="12">
        <v>0</v>
      </c>
      <c r="I1352" s="13">
        <v>43007.777926736111</v>
      </c>
      <c r="J1352" s="13">
        <v>43314</v>
      </c>
      <c r="K1352" s="12" t="s">
        <v>25</v>
      </c>
      <c r="L1352" s="12" t="s">
        <v>88</v>
      </c>
      <c r="M1352" s="12" t="s">
        <v>285</v>
      </c>
      <c r="N1352" s="12" t="s">
        <v>3074</v>
      </c>
      <c r="O1352" s="12"/>
      <c r="P1352" s="12"/>
      <c r="Q1352" s="12"/>
    </row>
    <row r="1353" spans="1:17" x14ac:dyDescent="0.25">
      <c r="A1353" s="11">
        <v>201356</v>
      </c>
      <c r="B1353" s="12" t="s">
        <v>3966</v>
      </c>
      <c r="C1353" s="12" t="s">
        <v>2807</v>
      </c>
      <c r="D1353" s="125">
        <v>5000000</v>
      </c>
      <c r="E1353" s="125">
        <v>4679206.41</v>
      </c>
      <c r="F1353" s="12">
        <v>48</v>
      </c>
      <c r="G1353" s="12">
        <v>180</v>
      </c>
      <c r="H1353" s="12">
        <v>0</v>
      </c>
      <c r="I1353" s="13">
        <v>43008.60329097222</v>
      </c>
      <c r="J1353" s="13">
        <v>43375</v>
      </c>
      <c r="K1353" s="12" t="s">
        <v>44</v>
      </c>
      <c r="L1353" s="12" t="s">
        <v>75</v>
      </c>
      <c r="M1353" s="12" t="s">
        <v>26</v>
      </c>
      <c r="N1353" s="12" t="s">
        <v>1467</v>
      </c>
      <c r="O1353" s="12"/>
      <c r="P1353" s="12"/>
      <c r="Q1353" s="12"/>
    </row>
    <row r="1354" spans="1:17" x14ac:dyDescent="0.25">
      <c r="A1354" s="11">
        <v>201357</v>
      </c>
      <c r="B1354" s="12" t="s">
        <v>5487</v>
      </c>
      <c r="C1354" s="12" t="s">
        <v>2807</v>
      </c>
      <c r="D1354" s="125">
        <v>4000000</v>
      </c>
      <c r="E1354" s="125">
        <v>3748152.05</v>
      </c>
      <c r="F1354" s="12">
        <v>48</v>
      </c>
      <c r="G1354" s="12">
        <v>180</v>
      </c>
      <c r="H1354" s="12">
        <v>0</v>
      </c>
      <c r="I1354" s="13">
        <v>43008.662423530091</v>
      </c>
      <c r="J1354" s="13">
        <v>43376</v>
      </c>
      <c r="K1354" s="12" t="s">
        <v>36</v>
      </c>
      <c r="L1354" s="12" t="s">
        <v>97</v>
      </c>
      <c r="M1354" s="12" t="s">
        <v>98</v>
      </c>
      <c r="N1354" s="12" t="s">
        <v>3074</v>
      </c>
      <c r="O1354" s="12"/>
      <c r="P1354" s="12"/>
      <c r="Q1354" s="12"/>
    </row>
    <row r="1355" spans="1:17" x14ac:dyDescent="0.25">
      <c r="A1355" s="11">
        <v>201358</v>
      </c>
      <c r="B1355" s="12" t="s">
        <v>5668</v>
      </c>
      <c r="C1355" s="12" t="s">
        <v>1449</v>
      </c>
      <c r="D1355" s="125">
        <v>5000000</v>
      </c>
      <c r="E1355" s="125">
        <v>4690094.9000000004</v>
      </c>
      <c r="F1355" s="12">
        <v>54</v>
      </c>
      <c r="G1355" s="12">
        <v>180</v>
      </c>
      <c r="H1355" s="12">
        <v>0</v>
      </c>
      <c r="I1355" s="13">
        <v>43008.646953900461</v>
      </c>
      <c r="J1355" s="13">
        <v>43375</v>
      </c>
      <c r="K1355" s="12" t="s">
        <v>25</v>
      </c>
      <c r="L1355" s="12" t="s">
        <v>88</v>
      </c>
      <c r="M1355" s="12" t="s">
        <v>285</v>
      </c>
      <c r="N1355" s="12" t="s">
        <v>963</v>
      </c>
      <c r="O1355" s="12"/>
      <c r="P1355" s="12"/>
      <c r="Q1355" s="12"/>
    </row>
    <row r="1356" spans="1:17" x14ac:dyDescent="0.25">
      <c r="A1356" s="11">
        <v>201359</v>
      </c>
      <c r="B1356" s="12" t="s">
        <v>5674</v>
      </c>
      <c r="C1356" s="12" t="s">
        <v>1449</v>
      </c>
      <c r="D1356" s="125">
        <v>1500000</v>
      </c>
      <c r="E1356" s="125">
        <v>1381887.55</v>
      </c>
      <c r="F1356" s="12">
        <v>54</v>
      </c>
      <c r="G1356" s="12">
        <v>180</v>
      </c>
      <c r="H1356" s="12">
        <v>0</v>
      </c>
      <c r="I1356" s="13">
        <v>43008.738874189818</v>
      </c>
      <c r="J1356" s="13">
        <v>43314</v>
      </c>
      <c r="K1356" s="12" t="s">
        <v>25</v>
      </c>
      <c r="L1356" s="12" t="s">
        <v>88</v>
      </c>
      <c r="M1356" s="12" t="s">
        <v>285</v>
      </c>
      <c r="N1356" s="12" t="s">
        <v>1448</v>
      </c>
      <c r="O1356" s="12"/>
      <c r="P1356" s="12"/>
      <c r="Q1356" s="12"/>
    </row>
    <row r="1357" spans="1:17" x14ac:dyDescent="0.25">
      <c r="A1357" s="11">
        <v>201360</v>
      </c>
      <c r="B1357" s="12" t="s">
        <v>5672</v>
      </c>
      <c r="C1357" s="12" t="s">
        <v>2807</v>
      </c>
      <c r="D1357" s="125">
        <v>7000000</v>
      </c>
      <c r="E1357" s="125">
        <v>6448808.5800000001</v>
      </c>
      <c r="F1357" s="12">
        <v>54</v>
      </c>
      <c r="G1357" s="12">
        <v>180</v>
      </c>
      <c r="H1357" s="12">
        <v>0</v>
      </c>
      <c r="I1357" s="13">
        <v>43008.752287465279</v>
      </c>
      <c r="J1357" s="13">
        <v>43314</v>
      </c>
      <c r="K1357" s="12" t="s">
        <v>25</v>
      </c>
      <c r="L1357" s="12" t="s">
        <v>88</v>
      </c>
      <c r="M1357" s="12" t="s">
        <v>285</v>
      </c>
      <c r="N1357" s="12" t="s">
        <v>2557</v>
      </c>
      <c r="O1357" s="12"/>
      <c r="P1357" s="12"/>
      <c r="Q1357" s="12"/>
    </row>
    <row r="1358" spans="1:17" x14ac:dyDescent="0.25">
      <c r="A1358" s="11">
        <v>201361</v>
      </c>
      <c r="B1358" s="12" t="s">
        <v>5667</v>
      </c>
      <c r="C1358" s="12" t="s">
        <v>1449</v>
      </c>
      <c r="D1358" s="125">
        <v>6000000</v>
      </c>
      <c r="E1358" s="125">
        <v>5619434.5999999996</v>
      </c>
      <c r="F1358" s="12">
        <v>50</v>
      </c>
      <c r="G1358" s="12">
        <v>180</v>
      </c>
      <c r="H1358" s="12">
        <v>0</v>
      </c>
      <c r="I1358" s="13">
        <v>43008.79057665509</v>
      </c>
      <c r="J1358" s="13">
        <v>43375</v>
      </c>
      <c r="K1358" s="12" t="s">
        <v>25</v>
      </c>
      <c r="L1358" s="12" t="s">
        <v>88</v>
      </c>
      <c r="M1358" s="12" t="s">
        <v>285</v>
      </c>
      <c r="N1358" s="12" t="s">
        <v>468</v>
      </c>
      <c r="O1358" s="12"/>
      <c r="P1358" s="12"/>
      <c r="Q1358" s="12"/>
    </row>
    <row r="1359" spans="1:17" x14ac:dyDescent="0.25">
      <c r="A1359" s="11">
        <v>201362</v>
      </c>
      <c r="B1359" s="12" t="s">
        <v>2222</v>
      </c>
      <c r="C1359" s="12" t="s">
        <v>1449</v>
      </c>
      <c r="D1359" s="125">
        <v>8500000</v>
      </c>
      <c r="E1359" s="125">
        <v>7962980.6299999999</v>
      </c>
      <c r="F1359" s="12">
        <v>48</v>
      </c>
      <c r="G1359" s="12">
        <v>180</v>
      </c>
      <c r="H1359" s="12">
        <v>0</v>
      </c>
      <c r="I1359" s="13">
        <v>43008.800173344905</v>
      </c>
      <c r="J1359" s="13">
        <v>43375</v>
      </c>
      <c r="K1359" s="12" t="s">
        <v>25</v>
      </c>
      <c r="L1359" s="12" t="s">
        <v>88</v>
      </c>
      <c r="M1359" s="12" t="s">
        <v>285</v>
      </c>
      <c r="N1359" s="12" t="s">
        <v>1448</v>
      </c>
      <c r="O1359" s="12"/>
      <c r="P1359" s="12"/>
      <c r="Q1359" s="12"/>
    </row>
    <row r="1360" spans="1:17" x14ac:dyDescent="0.25">
      <c r="A1360" s="11">
        <v>201363</v>
      </c>
      <c r="B1360" s="12" t="s">
        <v>4548</v>
      </c>
      <c r="C1360" s="12" t="s">
        <v>1449</v>
      </c>
      <c r="D1360" s="125">
        <v>6000000</v>
      </c>
      <c r="E1360" s="125">
        <v>5718054.1200000001</v>
      </c>
      <c r="F1360" s="12">
        <v>22</v>
      </c>
      <c r="G1360" s="12">
        <v>180</v>
      </c>
      <c r="H1360" s="12">
        <v>0</v>
      </c>
      <c r="I1360" s="13">
        <v>43011.720706365741</v>
      </c>
      <c r="J1360" s="13">
        <v>44095</v>
      </c>
      <c r="K1360" s="12" t="s">
        <v>43</v>
      </c>
      <c r="L1360" s="12" t="s">
        <v>338</v>
      </c>
      <c r="M1360" s="12" t="s">
        <v>339</v>
      </c>
      <c r="N1360" s="12" t="s">
        <v>284</v>
      </c>
      <c r="O1360" s="12"/>
      <c r="P1360" s="12"/>
      <c r="Q1360" s="12"/>
    </row>
    <row r="1361" spans="1:17" x14ac:dyDescent="0.25">
      <c r="A1361" s="11">
        <v>201364</v>
      </c>
      <c r="B1361" s="12" t="s">
        <v>2311</v>
      </c>
      <c r="C1361" s="12" t="s">
        <v>2807</v>
      </c>
      <c r="D1361" s="125">
        <v>30000000</v>
      </c>
      <c r="E1361" s="125">
        <v>28775494.780000001</v>
      </c>
      <c r="F1361" s="12">
        <v>42</v>
      </c>
      <c r="G1361" s="12">
        <v>180</v>
      </c>
      <c r="H1361" s="12">
        <v>0</v>
      </c>
      <c r="I1361" s="13">
        <v>43012.678501041664</v>
      </c>
      <c r="J1361" s="13">
        <v>43559</v>
      </c>
      <c r="K1361" s="12" t="s">
        <v>36</v>
      </c>
      <c r="L1361" s="12" t="s">
        <v>97</v>
      </c>
      <c r="M1361" s="12" t="s">
        <v>98</v>
      </c>
      <c r="N1361" s="12" t="s">
        <v>1191</v>
      </c>
      <c r="O1361" s="12"/>
      <c r="P1361" s="12"/>
      <c r="Q1361" s="12"/>
    </row>
    <row r="1362" spans="1:17" x14ac:dyDescent="0.25">
      <c r="A1362" s="11">
        <v>201365</v>
      </c>
      <c r="B1362" s="12" t="s">
        <v>2759</v>
      </c>
      <c r="C1362" s="12" t="s">
        <v>2807</v>
      </c>
      <c r="D1362" s="125">
        <v>16000000</v>
      </c>
      <c r="E1362" s="125">
        <v>15170798.890000001</v>
      </c>
      <c r="F1362" s="12">
        <v>42</v>
      </c>
      <c r="G1362" s="12">
        <v>180</v>
      </c>
      <c r="H1362" s="12">
        <v>0</v>
      </c>
      <c r="I1362" s="13">
        <v>43012.761587731482</v>
      </c>
      <c r="J1362" s="13">
        <v>43469</v>
      </c>
      <c r="K1362" s="12" t="s">
        <v>27</v>
      </c>
      <c r="L1362" s="12" t="s">
        <v>81</v>
      </c>
      <c r="M1362" s="12" t="s">
        <v>26</v>
      </c>
      <c r="N1362" s="12" t="s">
        <v>2557</v>
      </c>
      <c r="O1362" s="12"/>
      <c r="P1362" s="12"/>
      <c r="Q1362" s="12"/>
    </row>
    <row r="1363" spans="1:17" x14ac:dyDescent="0.25">
      <c r="A1363" s="11">
        <v>201366</v>
      </c>
      <c r="B1363" s="12" t="s">
        <v>5713</v>
      </c>
      <c r="C1363" s="12" t="s">
        <v>5043</v>
      </c>
      <c r="D1363" s="125">
        <v>1800000</v>
      </c>
      <c r="E1363" s="125">
        <v>1213736.6399999999</v>
      </c>
      <c r="F1363" s="12">
        <v>25</v>
      </c>
      <c r="G1363" s="12">
        <v>180</v>
      </c>
      <c r="H1363" s="12">
        <v>0</v>
      </c>
      <c r="I1363" s="13">
        <v>43012.759731365739</v>
      </c>
      <c r="J1363" s="13">
        <v>43180</v>
      </c>
      <c r="K1363" s="12" t="s">
        <v>28</v>
      </c>
      <c r="L1363" s="12" t="s">
        <v>108</v>
      </c>
      <c r="M1363" s="12" t="s">
        <v>26</v>
      </c>
      <c r="N1363" s="12" t="s">
        <v>284</v>
      </c>
      <c r="O1363" s="12"/>
      <c r="P1363" s="12"/>
      <c r="Q1363" s="12"/>
    </row>
    <row r="1364" spans="1:17" x14ac:dyDescent="0.25">
      <c r="A1364" s="11">
        <v>201367</v>
      </c>
      <c r="B1364" s="12" t="s">
        <v>5712</v>
      </c>
      <c r="C1364" s="12" t="s">
        <v>1449</v>
      </c>
      <c r="D1364" s="125">
        <v>28000000</v>
      </c>
      <c r="E1364" s="125">
        <v>26136539.16</v>
      </c>
      <c r="F1364" s="12">
        <v>48</v>
      </c>
      <c r="G1364" s="12">
        <v>180</v>
      </c>
      <c r="H1364" s="12">
        <v>0</v>
      </c>
      <c r="I1364" s="13">
        <v>43012.775329050928</v>
      </c>
      <c r="J1364" s="13">
        <v>43377</v>
      </c>
      <c r="K1364" s="12" t="s">
        <v>25</v>
      </c>
      <c r="L1364" s="12" t="s">
        <v>88</v>
      </c>
      <c r="M1364" s="12" t="s">
        <v>285</v>
      </c>
      <c r="N1364" s="12" t="s">
        <v>1447</v>
      </c>
      <c r="O1364" s="12"/>
      <c r="P1364" s="12"/>
      <c r="Q1364" s="12"/>
    </row>
    <row r="1365" spans="1:17" x14ac:dyDescent="0.25">
      <c r="A1365" s="11">
        <v>201368</v>
      </c>
      <c r="B1365" s="12" t="s">
        <v>5143</v>
      </c>
      <c r="C1365" s="12" t="s">
        <v>5043</v>
      </c>
      <c r="D1365" s="125">
        <v>900000</v>
      </c>
      <c r="E1365" s="125">
        <v>303290.34999999998</v>
      </c>
      <c r="F1365" s="12">
        <v>25</v>
      </c>
      <c r="G1365" s="12">
        <v>180</v>
      </c>
      <c r="H1365" s="12">
        <v>0</v>
      </c>
      <c r="I1365" s="13">
        <v>43013.442692442128</v>
      </c>
      <c r="J1365" s="13">
        <v>43090</v>
      </c>
      <c r="K1365" s="12" t="s">
        <v>28</v>
      </c>
      <c r="L1365" s="12" t="s">
        <v>108</v>
      </c>
      <c r="M1365" s="12" t="s">
        <v>26</v>
      </c>
      <c r="N1365" s="12" t="s">
        <v>284</v>
      </c>
      <c r="O1365" s="12"/>
      <c r="P1365" s="12"/>
      <c r="Q1365" s="12"/>
    </row>
    <row r="1366" spans="1:17" x14ac:dyDescent="0.25">
      <c r="A1366" s="11">
        <v>201370</v>
      </c>
      <c r="B1366" s="12" t="s">
        <v>5731</v>
      </c>
      <c r="C1366" s="12" t="s">
        <v>1449</v>
      </c>
      <c r="D1366" s="125">
        <v>25000000</v>
      </c>
      <c r="E1366" s="125">
        <v>23336195.68</v>
      </c>
      <c r="F1366" s="12">
        <v>48</v>
      </c>
      <c r="G1366" s="12">
        <v>180</v>
      </c>
      <c r="H1366" s="12">
        <v>0</v>
      </c>
      <c r="I1366" s="13">
        <v>43014.748938344906</v>
      </c>
      <c r="J1366" s="13">
        <v>43379</v>
      </c>
      <c r="K1366" s="12" t="s">
        <v>25</v>
      </c>
      <c r="L1366" s="12" t="s">
        <v>88</v>
      </c>
      <c r="M1366" s="12" t="s">
        <v>26</v>
      </c>
      <c r="N1366" s="12" t="s">
        <v>4683</v>
      </c>
      <c r="O1366" s="12"/>
      <c r="P1366" s="12"/>
      <c r="Q1366" s="12"/>
    </row>
    <row r="1367" spans="1:17" x14ac:dyDescent="0.25">
      <c r="A1367" s="11">
        <v>201371</v>
      </c>
      <c r="B1367" s="12" t="s">
        <v>5732</v>
      </c>
      <c r="C1367" s="12" t="s">
        <v>5043</v>
      </c>
      <c r="D1367" s="125">
        <v>3685000</v>
      </c>
      <c r="E1367" s="125">
        <v>2481377.81</v>
      </c>
      <c r="F1367" s="12">
        <v>25</v>
      </c>
      <c r="G1367" s="12">
        <v>180</v>
      </c>
      <c r="H1367" s="12">
        <v>0</v>
      </c>
      <c r="I1367" s="13">
        <v>43014.766459027778</v>
      </c>
      <c r="J1367" s="13">
        <v>43180</v>
      </c>
      <c r="K1367" s="12" t="s">
        <v>28</v>
      </c>
      <c r="L1367" s="12" t="s">
        <v>108</v>
      </c>
      <c r="M1367" s="12" t="s">
        <v>26</v>
      </c>
      <c r="N1367" s="12" t="s">
        <v>284</v>
      </c>
      <c r="O1367" s="12"/>
      <c r="P1367" s="12"/>
      <c r="Q1367" s="12"/>
    </row>
    <row r="1368" spans="1:17" x14ac:dyDescent="0.25">
      <c r="A1368" s="11">
        <v>201372</v>
      </c>
      <c r="B1368" s="12" t="s">
        <v>3427</v>
      </c>
      <c r="C1368" s="12" t="s">
        <v>1449</v>
      </c>
      <c r="D1368" s="125">
        <v>8000000</v>
      </c>
      <c r="E1368" s="125">
        <v>7333672.4500000002</v>
      </c>
      <c r="F1368" s="12">
        <v>48</v>
      </c>
      <c r="G1368" s="12">
        <v>180</v>
      </c>
      <c r="H1368" s="12">
        <v>0</v>
      </c>
      <c r="I1368" s="13">
        <v>43018.567411145836</v>
      </c>
      <c r="J1368" s="13">
        <v>43322</v>
      </c>
      <c r="K1368" s="12" t="s">
        <v>25</v>
      </c>
      <c r="L1368" s="12" t="s">
        <v>88</v>
      </c>
      <c r="M1368" s="12" t="s">
        <v>285</v>
      </c>
      <c r="N1368" s="12" t="s">
        <v>1447</v>
      </c>
      <c r="O1368" s="12"/>
      <c r="P1368" s="12"/>
      <c r="Q1368" s="12"/>
    </row>
    <row r="1369" spans="1:17" x14ac:dyDescent="0.25">
      <c r="A1369" s="11">
        <v>201373</v>
      </c>
      <c r="B1369" s="12" t="s">
        <v>5749</v>
      </c>
      <c r="C1369" s="12" t="s">
        <v>1449</v>
      </c>
      <c r="D1369" s="125">
        <v>1500000</v>
      </c>
      <c r="E1369" s="125">
        <v>1340085.52</v>
      </c>
      <c r="F1369" s="12">
        <v>54</v>
      </c>
      <c r="G1369" s="12">
        <v>180</v>
      </c>
      <c r="H1369" s="12">
        <v>0</v>
      </c>
      <c r="I1369" s="13">
        <v>43018.709052118058</v>
      </c>
      <c r="J1369" s="13">
        <v>43261</v>
      </c>
      <c r="K1369" s="12" t="s">
        <v>25</v>
      </c>
      <c r="L1369" s="12" t="s">
        <v>88</v>
      </c>
      <c r="M1369" s="12" t="s">
        <v>285</v>
      </c>
      <c r="N1369" s="12" t="s">
        <v>3074</v>
      </c>
      <c r="O1369" s="12"/>
      <c r="P1369" s="12"/>
      <c r="Q1369" s="12"/>
    </row>
    <row r="1370" spans="1:17" x14ac:dyDescent="0.25">
      <c r="A1370" s="11">
        <v>201374</v>
      </c>
      <c r="B1370" s="12" t="s">
        <v>5748</v>
      </c>
      <c r="C1370" s="12" t="s">
        <v>2807</v>
      </c>
      <c r="D1370" s="125">
        <v>4000000</v>
      </c>
      <c r="E1370" s="125">
        <v>3404486.45</v>
      </c>
      <c r="F1370" s="12">
        <v>54</v>
      </c>
      <c r="G1370" s="12">
        <v>180</v>
      </c>
      <c r="H1370" s="12">
        <v>0</v>
      </c>
      <c r="I1370" s="13">
        <v>43018.674467094905</v>
      </c>
      <c r="J1370" s="13">
        <v>43200</v>
      </c>
      <c r="K1370" s="12" t="s">
        <v>36</v>
      </c>
      <c r="L1370" s="12" t="s">
        <v>97</v>
      </c>
      <c r="M1370" s="12" t="s">
        <v>1811</v>
      </c>
      <c r="N1370" s="12" t="s">
        <v>4686</v>
      </c>
      <c r="O1370" s="12"/>
      <c r="P1370" s="12"/>
      <c r="Q1370" s="12"/>
    </row>
    <row r="1371" spans="1:17" x14ac:dyDescent="0.25">
      <c r="A1371" s="11">
        <v>201375</v>
      </c>
      <c r="B1371" s="12" t="s">
        <v>5750</v>
      </c>
      <c r="C1371" s="12" t="s">
        <v>2807</v>
      </c>
      <c r="D1371" s="125">
        <v>2200000</v>
      </c>
      <c r="E1371" s="125">
        <v>2020966.59</v>
      </c>
      <c r="F1371" s="12">
        <v>54</v>
      </c>
      <c r="G1371" s="12">
        <v>180</v>
      </c>
      <c r="H1371" s="12">
        <v>0</v>
      </c>
      <c r="I1371" s="13">
        <v>43018.682332789351</v>
      </c>
      <c r="J1371" s="13">
        <v>43322</v>
      </c>
      <c r="K1371" s="12" t="s">
        <v>36</v>
      </c>
      <c r="L1371" s="12" t="s">
        <v>97</v>
      </c>
      <c r="M1371" s="12" t="s">
        <v>98</v>
      </c>
      <c r="N1371" s="12" t="s">
        <v>4686</v>
      </c>
      <c r="O1371" s="12"/>
      <c r="P1371" s="12"/>
      <c r="Q1371" s="12"/>
    </row>
    <row r="1372" spans="1:17" x14ac:dyDescent="0.25">
      <c r="A1372" s="11">
        <v>201376</v>
      </c>
      <c r="B1372" s="12" t="s">
        <v>3255</v>
      </c>
      <c r="C1372" s="12" t="s">
        <v>2807</v>
      </c>
      <c r="D1372" s="125">
        <v>5000000</v>
      </c>
      <c r="E1372" s="125">
        <v>4883290.75</v>
      </c>
      <c r="F1372" s="12">
        <v>48</v>
      </c>
      <c r="G1372" s="12">
        <v>180</v>
      </c>
      <c r="H1372" s="12">
        <v>0</v>
      </c>
      <c r="I1372" s="13">
        <v>43020.638863460648</v>
      </c>
      <c r="J1372" s="13">
        <v>43385</v>
      </c>
      <c r="K1372" s="12" t="s">
        <v>45</v>
      </c>
      <c r="L1372" s="12" t="s">
        <v>45</v>
      </c>
      <c r="M1372" s="12" t="s">
        <v>1658</v>
      </c>
      <c r="N1372" s="12" t="s">
        <v>2557</v>
      </c>
      <c r="O1372" s="12"/>
      <c r="P1372" s="12"/>
      <c r="Q1372" s="12"/>
    </row>
    <row r="1373" spans="1:17" x14ac:dyDescent="0.25">
      <c r="A1373" s="11">
        <v>201377</v>
      </c>
      <c r="B1373" s="12" t="s">
        <v>5775</v>
      </c>
      <c r="C1373" s="12" t="s">
        <v>2807</v>
      </c>
      <c r="D1373" s="125">
        <v>1000000</v>
      </c>
      <c r="E1373" s="125">
        <v>918621.18</v>
      </c>
      <c r="F1373" s="12">
        <v>54</v>
      </c>
      <c r="G1373" s="12">
        <v>180</v>
      </c>
      <c r="H1373" s="12">
        <v>0</v>
      </c>
      <c r="I1373" s="13">
        <v>43020.46736840278</v>
      </c>
      <c r="J1373" s="13">
        <v>43324</v>
      </c>
      <c r="K1373" s="12" t="s">
        <v>25</v>
      </c>
      <c r="L1373" s="12" t="s">
        <v>94</v>
      </c>
      <c r="M1373" s="12" t="s">
        <v>95</v>
      </c>
      <c r="N1373" s="12" t="s">
        <v>2855</v>
      </c>
      <c r="O1373" s="12"/>
      <c r="P1373" s="12"/>
      <c r="Q1373" s="12"/>
    </row>
    <row r="1374" spans="1:17" x14ac:dyDescent="0.25">
      <c r="A1374" s="11">
        <v>201378</v>
      </c>
      <c r="B1374" s="12" t="s">
        <v>5779</v>
      </c>
      <c r="C1374" s="12" t="s">
        <v>2807</v>
      </c>
      <c r="D1374" s="125">
        <v>4000000</v>
      </c>
      <c r="E1374" s="125">
        <v>3674484.71</v>
      </c>
      <c r="F1374" s="12">
        <v>54</v>
      </c>
      <c r="G1374" s="12">
        <v>180</v>
      </c>
      <c r="H1374" s="12">
        <v>0</v>
      </c>
      <c r="I1374" s="13">
        <v>43020.595618136576</v>
      </c>
      <c r="J1374" s="13">
        <v>43324</v>
      </c>
      <c r="K1374" s="12" t="s">
        <v>25</v>
      </c>
      <c r="L1374" s="12" t="s">
        <v>88</v>
      </c>
      <c r="M1374" s="12" t="s">
        <v>285</v>
      </c>
      <c r="N1374" s="12" t="s">
        <v>4686</v>
      </c>
      <c r="O1374" s="12"/>
      <c r="P1374" s="12"/>
      <c r="Q1374" s="12"/>
    </row>
    <row r="1375" spans="1:17" x14ac:dyDescent="0.25">
      <c r="A1375" s="11">
        <v>201379</v>
      </c>
      <c r="B1375" s="12" t="s">
        <v>5780</v>
      </c>
      <c r="C1375" s="12" t="s">
        <v>1449</v>
      </c>
      <c r="D1375" s="125">
        <v>5000000</v>
      </c>
      <c r="E1375" s="125">
        <v>4593105.8899999997</v>
      </c>
      <c r="F1375" s="12">
        <v>54</v>
      </c>
      <c r="G1375" s="12">
        <v>180</v>
      </c>
      <c r="H1375" s="12">
        <v>0</v>
      </c>
      <c r="I1375" s="13">
        <v>43020.558276006945</v>
      </c>
      <c r="J1375" s="13">
        <v>43324</v>
      </c>
      <c r="K1375" s="12" t="s">
        <v>25</v>
      </c>
      <c r="L1375" s="12" t="s">
        <v>88</v>
      </c>
      <c r="M1375" s="12" t="s">
        <v>285</v>
      </c>
      <c r="N1375" s="12" t="s">
        <v>963</v>
      </c>
      <c r="O1375" s="12"/>
      <c r="P1375" s="12"/>
      <c r="Q1375" s="12"/>
    </row>
    <row r="1376" spans="1:17" x14ac:dyDescent="0.25">
      <c r="A1376" s="11">
        <v>201380</v>
      </c>
      <c r="B1376" s="12" t="s">
        <v>5777</v>
      </c>
      <c r="C1376" s="12" t="s">
        <v>1449</v>
      </c>
      <c r="D1376" s="125">
        <v>3000000</v>
      </c>
      <c r="E1376" s="125">
        <v>2755863.53</v>
      </c>
      <c r="F1376" s="12">
        <v>54</v>
      </c>
      <c r="G1376" s="12">
        <v>180</v>
      </c>
      <c r="H1376" s="12">
        <v>0</v>
      </c>
      <c r="I1376" s="13">
        <v>43020.582957754632</v>
      </c>
      <c r="J1376" s="13">
        <v>43324</v>
      </c>
      <c r="K1376" s="12" t="s">
        <v>25</v>
      </c>
      <c r="L1376" s="12" t="s">
        <v>88</v>
      </c>
      <c r="M1376" s="12" t="s">
        <v>285</v>
      </c>
      <c r="N1376" s="12" t="s">
        <v>2034</v>
      </c>
      <c r="O1376" s="12"/>
      <c r="P1376" s="12"/>
      <c r="Q1376" s="12"/>
    </row>
    <row r="1377" spans="1:17" x14ac:dyDescent="0.25">
      <c r="A1377" s="11">
        <v>201381</v>
      </c>
      <c r="B1377" s="12" t="s">
        <v>5778</v>
      </c>
      <c r="C1377" s="12" t="s">
        <v>1449</v>
      </c>
      <c r="D1377" s="125">
        <v>3500000</v>
      </c>
      <c r="E1377" s="125">
        <v>3267067.4</v>
      </c>
      <c r="F1377" s="12">
        <v>48</v>
      </c>
      <c r="G1377" s="12">
        <v>180</v>
      </c>
      <c r="H1377" s="12">
        <v>0</v>
      </c>
      <c r="I1377" s="13">
        <v>43020.633114351855</v>
      </c>
      <c r="J1377" s="13">
        <v>43385</v>
      </c>
      <c r="K1377" s="12" t="s">
        <v>25</v>
      </c>
      <c r="L1377" s="12" t="s">
        <v>88</v>
      </c>
      <c r="M1377" s="12" t="s">
        <v>285</v>
      </c>
      <c r="N1377" s="12" t="s">
        <v>2494</v>
      </c>
      <c r="O1377" s="12"/>
      <c r="P1377" s="12"/>
      <c r="Q1377" s="12"/>
    </row>
    <row r="1378" spans="1:17" x14ac:dyDescent="0.25">
      <c r="A1378" s="11">
        <v>201382</v>
      </c>
      <c r="B1378" s="12" t="s">
        <v>5781</v>
      </c>
      <c r="C1378" s="12" t="s">
        <v>5043</v>
      </c>
      <c r="D1378" s="125">
        <v>949000</v>
      </c>
      <c r="E1378" s="125">
        <v>318265.31</v>
      </c>
      <c r="F1378" s="12">
        <v>25</v>
      </c>
      <c r="G1378" s="12">
        <v>180</v>
      </c>
      <c r="H1378" s="12">
        <v>0</v>
      </c>
      <c r="I1378" s="13">
        <v>43020.70151053241</v>
      </c>
      <c r="J1378" s="13">
        <v>43090</v>
      </c>
      <c r="K1378" s="12" t="s">
        <v>28</v>
      </c>
      <c r="L1378" s="12" t="s">
        <v>108</v>
      </c>
      <c r="M1378" s="12" t="s">
        <v>26</v>
      </c>
      <c r="N1378" s="12" t="s">
        <v>284</v>
      </c>
      <c r="O1378" s="12"/>
      <c r="P1378" s="12"/>
      <c r="Q1378" s="12"/>
    </row>
    <row r="1379" spans="1:17" x14ac:dyDescent="0.25">
      <c r="A1379" s="11">
        <v>201383</v>
      </c>
      <c r="B1379" s="12" t="s">
        <v>1953</v>
      </c>
      <c r="C1379" s="12" t="s">
        <v>1449</v>
      </c>
      <c r="D1379" s="125">
        <v>9000000</v>
      </c>
      <c r="E1379" s="125">
        <v>8401030.4499999993</v>
      </c>
      <c r="F1379" s="12">
        <v>48</v>
      </c>
      <c r="G1379" s="12">
        <v>180</v>
      </c>
      <c r="H1379" s="12">
        <v>0</v>
      </c>
      <c r="I1379" s="13">
        <v>43022.475865972221</v>
      </c>
      <c r="J1379" s="13">
        <v>43387</v>
      </c>
      <c r="K1379" s="12" t="s">
        <v>25</v>
      </c>
      <c r="L1379" s="12" t="s">
        <v>88</v>
      </c>
      <c r="M1379" s="12" t="s">
        <v>285</v>
      </c>
      <c r="N1379" s="12" t="s">
        <v>1925</v>
      </c>
      <c r="O1379" s="12"/>
      <c r="P1379" s="12"/>
      <c r="Q1379" s="12"/>
    </row>
    <row r="1380" spans="1:17" x14ac:dyDescent="0.25">
      <c r="A1380" s="11">
        <v>201384</v>
      </c>
      <c r="B1380" s="12" t="s">
        <v>5802</v>
      </c>
      <c r="C1380" s="12" t="s">
        <v>2807</v>
      </c>
      <c r="D1380" s="125">
        <v>1500000</v>
      </c>
      <c r="E1380" s="125">
        <v>1377931.77</v>
      </c>
      <c r="F1380" s="12">
        <v>54</v>
      </c>
      <c r="G1380" s="12">
        <v>180</v>
      </c>
      <c r="H1380" s="12">
        <v>0</v>
      </c>
      <c r="I1380" s="13">
        <v>43021.516642974537</v>
      </c>
      <c r="J1380" s="13">
        <v>43325</v>
      </c>
      <c r="K1380" s="12" t="s">
        <v>25</v>
      </c>
      <c r="L1380" s="12" t="s">
        <v>290</v>
      </c>
      <c r="M1380" s="12" t="s">
        <v>26</v>
      </c>
      <c r="N1380" s="12" t="s">
        <v>2855</v>
      </c>
      <c r="O1380" s="12"/>
      <c r="P1380" s="12"/>
      <c r="Q1380" s="12"/>
    </row>
    <row r="1381" spans="1:17" x14ac:dyDescent="0.25">
      <c r="A1381" s="11">
        <v>201385</v>
      </c>
      <c r="B1381" s="12" t="s">
        <v>5806</v>
      </c>
      <c r="C1381" s="12" t="s">
        <v>1449</v>
      </c>
      <c r="D1381" s="125">
        <v>1000000</v>
      </c>
      <c r="E1381" s="125">
        <v>875298.53</v>
      </c>
      <c r="F1381" s="12">
        <v>54</v>
      </c>
      <c r="G1381" s="12">
        <v>180</v>
      </c>
      <c r="H1381" s="12">
        <v>0</v>
      </c>
      <c r="I1381" s="13">
        <v>43021.548038657405</v>
      </c>
      <c r="J1381" s="13">
        <v>43233</v>
      </c>
      <c r="K1381" s="12" t="s">
        <v>25</v>
      </c>
      <c r="L1381" s="12" t="s">
        <v>88</v>
      </c>
      <c r="M1381" s="12" t="s">
        <v>285</v>
      </c>
      <c r="N1381" s="12" t="s">
        <v>4919</v>
      </c>
      <c r="O1381" s="12"/>
      <c r="P1381" s="12"/>
      <c r="Q1381" s="12"/>
    </row>
    <row r="1382" spans="1:17" x14ac:dyDescent="0.25">
      <c r="A1382" s="11">
        <v>201386</v>
      </c>
      <c r="B1382" s="12" t="s">
        <v>4011</v>
      </c>
      <c r="C1382" s="12" t="s">
        <v>1449</v>
      </c>
      <c r="D1382" s="125">
        <v>10000000</v>
      </c>
      <c r="E1382" s="125">
        <v>9334478.2699999996</v>
      </c>
      <c r="F1382" s="12">
        <v>48</v>
      </c>
      <c r="G1382" s="12">
        <v>180</v>
      </c>
      <c r="H1382" s="12">
        <v>0</v>
      </c>
      <c r="I1382" s="13">
        <v>43021.683898877316</v>
      </c>
      <c r="J1382" s="13">
        <v>43386</v>
      </c>
      <c r="K1382" s="12" t="s">
        <v>25</v>
      </c>
      <c r="L1382" s="12" t="s">
        <v>88</v>
      </c>
      <c r="M1382" s="12" t="s">
        <v>285</v>
      </c>
      <c r="N1382" s="12" t="s">
        <v>1447</v>
      </c>
      <c r="O1382" s="12"/>
      <c r="P1382" s="12"/>
      <c r="Q1382" s="12"/>
    </row>
    <row r="1383" spans="1:17" x14ac:dyDescent="0.25">
      <c r="A1383" s="11">
        <v>201387</v>
      </c>
      <c r="B1383" s="12" t="s">
        <v>3466</v>
      </c>
      <c r="C1383" s="12" t="s">
        <v>2807</v>
      </c>
      <c r="D1383" s="125">
        <v>2000000</v>
      </c>
      <c r="E1383" s="125">
        <v>1698476.19</v>
      </c>
      <c r="F1383" s="12">
        <v>48</v>
      </c>
      <c r="G1383" s="12">
        <v>180</v>
      </c>
      <c r="H1383" s="12">
        <v>0</v>
      </c>
      <c r="I1383" s="13">
        <v>43021.726803240737</v>
      </c>
      <c r="J1383" s="13">
        <v>43203</v>
      </c>
      <c r="K1383" s="12" t="s">
        <v>44</v>
      </c>
      <c r="L1383" s="12" t="s">
        <v>75</v>
      </c>
      <c r="M1383" s="12" t="s">
        <v>1442</v>
      </c>
      <c r="N1383" s="12" t="s">
        <v>963</v>
      </c>
      <c r="O1383" s="12"/>
      <c r="P1383" s="12"/>
      <c r="Q1383" s="12"/>
    </row>
    <row r="1384" spans="1:17" x14ac:dyDescent="0.25">
      <c r="A1384" s="11">
        <v>201388</v>
      </c>
      <c r="B1384" s="12" t="s">
        <v>5821</v>
      </c>
      <c r="C1384" s="12" t="s">
        <v>1449</v>
      </c>
      <c r="D1384" s="125">
        <v>20000000</v>
      </c>
      <c r="E1384" s="125">
        <v>19564351.399999999</v>
      </c>
      <c r="F1384" s="12">
        <v>48</v>
      </c>
      <c r="G1384" s="12">
        <v>180</v>
      </c>
      <c r="H1384" s="12">
        <v>0</v>
      </c>
      <c r="I1384" s="13">
        <v>43024.580717048608</v>
      </c>
      <c r="J1384" s="13">
        <v>43487</v>
      </c>
      <c r="K1384" s="12" t="s">
        <v>25</v>
      </c>
      <c r="L1384" s="12" t="s">
        <v>88</v>
      </c>
      <c r="M1384" s="12" t="s">
        <v>285</v>
      </c>
      <c r="N1384" s="12" t="s">
        <v>4919</v>
      </c>
      <c r="O1384" s="12"/>
      <c r="P1384" s="12"/>
      <c r="Q1384" s="12"/>
    </row>
    <row r="1385" spans="1:17" x14ac:dyDescent="0.25">
      <c r="A1385" s="11">
        <v>201389</v>
      </c>
      <c r="B1385" s="12" t="s">
        <v>5822</v>
      </c>
      <c r="C1385" s="12" t="s">
        <v>1409</v>
      </c>
      <c r="D1385" s="125">
        <v>1270000</v>
      </c>
      <c r="E1385" s="125">
        <v>1029856.2</v>
      </c>
      <c r="F1385" s="12">
        <v>25</v>
      </c>
      <c r="G1385" s="12">
        <v>180</v>
      </c>
      <c r="H1385" s="12">
        <v>0</v>
      </c>
      <c r="I1385" s="13">
        <v>43024.703599652777</v>
      </c>
      <c r="J1385" s="13">
        <v>43180</v>
      </c>
      <c r="K1385" s="12" t="s">
        <v>28</v>
      </c>
      <c r="L1385" s="12" t="s">
        <v>26</v>
      </c>
      <c r="M1385" s="12" t="s">
        <v>26</v>
      </c>
      <c r="N1385" s="12" t="s">
        <v>284</v>
      </c>
      <c r="O1385" s="12"/>
      <c r="P1385" s="12"/>
      <c r="Q1385" s="12"/>
    </row>
    <row r="1386" spans="1:17" x14ac:dyDescent="0.25">
      <c r="A1386" s="11">
        <v>201390</v>
      </c>
      <c r="B1386" s="12" t="s">
        <v>5848</v>
      </c>
      <c r="C1386" s="12" t="s">
        <v>1449</v>
      </c>
      <c r="D1386" s="125">
        <v>30000000</v>
      </c>
      <c r="E1386" s="125">
        <v>29232395.059999999</v>
      </c>
      <c r="F1386" s="12">
        <v>48</v>
      </c>
      <c r="G1386" s="12">
        <v>180</v>
      </c>
      <c r="H1386" s="12">
        <v>0</v>
      </c>
      <c r="I1386" s="13">
        <v>43027.492221956018</v>
      </c>
      <c r="J1386" s="13">
        <v>43757</v>
      </c>
      <c r="K1386" s="12" t="s">
        <v>25</v>
      </c>
      <c r="L1386" s="12" t="s">
        <v>88</v>
      </c>
      <c r="M1386" s="12" t="s">
        <v>285</v>
      </c>
      <c r="N1386" s="12" t="s">
        <v>4683</v>
      </c>
      <c r="O1386" s="12"/>
      <c r="P1386" s="12"/>
      <c r="Q1386" s="12"/>
    </row>
    <row r="1387" spans="1:17" x14ac:dyDescent="0.25">
      <c r="A1387" s="11">
        <v>201391</v>
      </c>
      <c r="B1387" s="12" t="s">
        <v>4630</v>
      </c>
      <c r="C1387" s="12" t="s">
        <v>2807</v>
      </c>
      <c r="D1387" s="125">
        <v>2000000</v>
      </c>
      <c r="E1387" s="125">
        <v>1833418.11</v>
      </c>
      <c r="F1387" s="12">
        <v>48</v>
      </c>
      <c r="G1387" s="12">
        <v>180</v>
      </c>
      <c r="H1387" s="12">
        <v>0</v>
      </c>
      <c r="I1387" s="13">
        <v>43025.653137349538</v>
      </c>
      <c r="J1387" s="13">
        <v>43329</v>
      </c>
      <c r="K1387" s="12" t="s">
        <v>25</v>
      </c>
      <c r="L1387" s="12" t="s">
        <v>88</v>
      </c>
      <c r="M1387" s="12" t="s">
        <v>285</v>
      </c>
      <c r="N1387" s="12" t="s">
        <v>1447</v>
      </c>
      <c r="O1387" s="12"/>
      <c r="P1387" s="12"/>
      <c r="Q1387" s="12"/>
    </row>
    <row r="1388" spans="1:17" x14ac:dyDescent="0.25">
      <c r="A1388" s="11">
        <v>201392</v>
      </c>
      <c r="B1388" s="12" t="s">
        <v>5831</v>
      </c>
      <c r="C1388" s="12" t="s">
        <v>2807</v>
      </c>
      <c r="D1388" s="125">
        <v>9000000</v>
      </c>
      <c r="E1388" s="125">
        <v>8462910.6300000008</v>
      </c>
      <c r="F1388" s="12">
        <v>54</v>
      </c>
      <c r="G1388" s="12">
        <v>180</v>
      </c>
      <c r="H1388" s="12">
        <v>0</v>
      </c>
      <c r="I1388" s="13">
        <v>43025.641603854165</v>
      </c>
      <c r="J1388" s="13">
        <v>43390</v>
      </c>
      <c r="K1388" s="12" t="s">
        <v>25</v>
      </c>
      <c r="L1388" s="12" t="s">
        <v>88</v>
      </c>
      <c r="M1388" s="12" t="s">
        <v>285</v>
      </c>
      <c r="N1388" s="12" t="s">
        <v>5385</v>
      </c>
      <c r="O1388" s="12"/>
      <c r="P1388" s="12"/>
      <c r="Q1388" s="12"/>
    </row>
    <row r="1389" spans="1:17" x14ac:dyDescent="0.25">
      <c r="A1389" s="11">
        <v>201393</v>
      </c>
      <c r="B1389" s="12" t="s">
        <v>5543</v>
      </c>
      <c r="C1389" s="12" t="s">
        <v>2807</v>
      </c>
      <c r="D1389" s="125">
        <v>18700000</v>
      </c>
      <c r="E1389" s="125">
        <v>18372668.670000002</v>
      </c>
      <c r="F1389" s="12">
        <v>22</v>
      </c>
      <c r="G1389" s="12">
        <v>180</v>
      </c>
      <c r="H1389" s="12">
        <v>0</v>
      </c>
      <c r="I1389" s="13">
        <v>43025.633398993057</v>
      </c>
      <c r="J1389" s="13">
        <v>44125</v>
      </c>
      <c r="K1389" s="12" t="s">
        <v>43</v>
      </c>
      <c r="L1389" s="12" t="s">
        <v>338</v>
      </c>
      <c r="M1389" s="12" t="s">
        <v>339</v>
      </c>
      <c r="N1389" s="12" t="s">
        <v>284</v>
      </c>
      <c r="O1389" s="12"/>
      <c r="P1389" s="12"/>
      <c r="Q1389" s="12"/>
    </row>
    <row r="1390" spans="1:17" x14ac:dyDescent="0.25">
      <c r="A1390" s="11">
        <v>201394</v>
      </c>
      <c r="B1390" s="12" t="s">
        <v>4731</v>
      </c>
      <c r="C1390" s="12" t="s">
        <v>2807</v>
      </c>
      <c r="D1390" s="125">
        <v>28000000</v>
      </c>
      <c r="E1390" s="125">
        <v>26082449.420000002</v>
      </c>
      <c r="F1390" s="12">
        <v>42</v>
      </c>
      <c r="G1390" s="12">
        <v>180</v>
      </c>
      <c r="H1390" s="12">
        <v>0</v>
      </c>
      <c r="I1390" s="13">
        <v>43026.664325578706</v>
      </c>
      <c r="J1390" s="13">
        <v>43391</v>
      </c>
      <c r="K1390" s="12" t="s">
        <v>35</v>
      </c>
      <c r="L1390" s="12" t="s">
        <v>121</v>
      </c>
      <c r="M1390" s="12" t="s">
        <v>26</v>
      </c>
      <c r="N1390" s="12" t="s">
        <v>1467</v>
      </c>
      <c r="O1390" s="12"/>
      <c r="P1390" s="12"/>
      <c r="Q1390" s="12"/>
    </row>
    <row r="1391" spans="1:17" x14ac:dyDescent="0.25">
      <c r="A1391" s="11">
        <v>201395</v>
      </c>
      <c r="B1391" s="12" t="s">
        <v>4067</v>
      </c>
      <c r="C1391" s="12" t="s">
        <v>2807</v>
      </c>
      <c r="D1391" s="125">
        <v>6000000</v>
      </c>
      <c r="E1391" s="125">
        <v>5600686.96</v>
      </c>
      <c r="F1391" s="12">
        <v>48</v>
      </c>
      <c r="G1391" s="12">
        <v>180</v>
      </c>
      <c r="H1391" s="12">
        <v>0</v>
      </c>
      <c r="I1391" s="13">
        <v>43027.532977083334</v>
      </c>
      <c r="J1391" s="13">
        <v>43392</v>
      </c>
      <c r="K1391" s="12" t="s">
        <v>36</v>
      </c>
      <c r="L1391" s="12" t="s">
        <v>97</v>
      </c>
      <c r="M1391" s="12" t="s">
        <v>98</v>
      </c>
      <c r="N1391" s="12" t="s">
        <v>1039</v>
      </c>
      <c r="O1391" s="12"/>
      <c r="P1391" s="12"/>
      <c r="Q1391" s="12"/>
    </row>
    <row r="1392" spans="1:17" x14ac:dyDescent="0.25">
      <c r="A1392" s="11">
        <v>201396</v>
      </c>
      <c r="B1392" s="12" t="s">
        <v>4309</v>
      </c>
      <c r="C1392" s="12" t="s">
        <v>2807</v>
      </c>
      <c r="D1392" s="125">
        <v>6000000</v>
      </c>
      <c r="E1392" s="125">
        <v>6000000</v>
      </c>
      <c r="F1392" s="12">
        <v>48</v>
      </c>
      <c r="G1392" s="12">
        <v>180</v>
      </c>
      <c r="H1392" s="12">
        <v>0</v>
      </c>
      <c r="I1392" s="13">
        <v>43028.621682986108</v>
      </c>
      <c r="J1392" s="13">
        <v>43271</v>
      </c>
      <c r="K1392" s="12" t="s">
        <v>25</v>
      </c>
      <c r="L1392" s="12" t="s">
        <v>88</v>
      </c>
      <c r="M1392" s="12" t="s">
        <v>285</v>
      </c>
      <c r="N1392" s="12" t="s">
        <v>2538</v>
      </c>
      <c r="O1392" s="12"/>
      <c r="P1392" s="12"/>
      <c r="Q1392" s="12"/>
    </row>
    <row r="1393" spans="1:17" x14ac:dyDescent="0.25">
      <c r="A1393" s="11">
        <v>201397</v>
      </c>
      <c r="B1393" s="12" t="s">
        <v>5846</v>
      </c>
      <c r="C1393" s="12" t="s">
        <v>1449</v>
      </c>
      <c r="D1393" s="125">
        <v>5000000</v>
      </c>
      <c r="E1393" s="125">
        <v>4593105.8899999997</v>
      </c>
      <c r="F1393" s="12">
        <v>54</v>
      </c>
      <c r="G1393" s="12">
        <v>180</v>
      </c>
      <c r="H1393" s="12">
        <v>0</v>
      </c>
      <c r="I1393" s="13">
        <v>43027.61984540509</v>
      </c>
      <c r="J1393" s="13">
        <v>43331</v>
      </c>
      <c r="K1393" s="12" t="s">
        <v>25</v>
      </c>
      <c r="L1393" s="12" t="s">
        <v>88</v>
      </c>
      <c r="M1393" s="12" t="s">
        <v>285</v>
      </c>
      <c r="N1393" s="12" t="s">
        <v>4683</v>
      </c>
      <c r="O1393" s="12"/>
      <c r="P1393" s="12"/>
      <c r="Q1393" s="12"/>
    </row>
    <row r="1394" spans="1:17" x14ac:dyDescent="0.25">
      <c r="A1394" s="11">
        <v>201398</v>
      </c>
      <c r="B1394" s="12" t="s">
        <v>5849</v>
      </c>
      <c r="C1394" s="12" t="s">
        <v>1449</v>
      </c>
      <c r="D1394" s="125">
        <v>5000000</v>
      </c>
      <c r="E1394" s="125">
        <v>4999790.24</v>
      </c>
      <c r="F1394" s="12">
        <v>54</v>
      </c>
      <c r="G1394" s="12">
        <v>180</v>
      </c>
      <c r="H1394" s="12">
        <v>0</v>
      </c>
      <c r="I1394" s="13">
        <v>43027.643940162037</v>
      </c>
      <c r="J1394" s="13">
        <v>43270</v>
      </c>
      <c r="K1394" s="12" t="s">
        <v>25</v>
      </c>
      <c r="L1394" s="12" t="s">
        <v>88</v>
      </c>
      <c r="M1394" s="12" t="s">
        <v>285</v>
      </c>
      <c r="N1394" s="12" t="s">
        <v>5386</v>
      </c>
      <c r="O1394" s="12"/>
      <c r="P1394" s="12"/>
      <c r="Q1394" s="12"/>
    </row>
    <row r="1395" spans="1:17" x14ac:dyDescent="0.25">
      <c r="A1395" s="11">
        <v>201399</v>
      </c>
      <c r="B1395" s="12" t="s">
        <v>2555</v>
      </c>
      <c r="C1395" s="12" t="s">
        <v>2807</v>
      </c>
      <c r="D1395" s="125">
        <v>8000000</v>
      </c>
      <c r="E1395" s="125">
        <v>7467582.6200000001</v>
      </c>
      <c r="F1395" s="12">
        <v>48</v>
      </c>
      <c r="G1395" s="12">
        <v>180</v>
      </c>
      <c r="H1395" s="12">
        <v>0</v>
      </c>
      <c r="I1395" s="13">
        <v>43027.636032291666</v>
      </c>
      <c r="J1395" s="13">
        <v>43392</v>
      </c>
      <c r="K1395" s="12" t="s">
        <v>25</v>
      </c>
      <c r="L1395" s="12" t="s">
        <v>94</v>
      </c>
      <c r="M1395" s="12" t="s">
        <v>95</v>
      </c>
      <c r="N1395" s="12" t="s">
        <v>2855</v>
      </c>
      <c r="O1395" s="12"/>
      <c r="P1395" s="12"/>
      <c r="Q1395" s="12"/>
    </row>
    <row r="1396" spans="1:17" x14ac:dyDescent="0.25">
      <c r="A1396" s="11">
        <v>201400</v>
      </c>
      <c r="B1396" s="12" t="s">
        <v>5850</v>
      </c>
      <c r="C1396" s="12" t="s">
        <v>1449</v>
      </c>
      <c r="D1396" s="125">
        <v>5000000</v>
      </c>
      <c r="E1396" s="125">
        <v>4593105.8899999997</v>
      </c>
      <c r="F1396" s="12">
        <v>54</v>
      </c>
      <c r="G1396" s="12">
        <v>180</v>
      </c>
      <c r="H1396" s="12">
        <v>0</v>
      </c>
      <c r="I1396" s="13">
        <v>43027.657996145834</v>
      </c>
      <c r="J1396" s="13">
        <v>43331</v>
      </c>
      <c r="K1396" s="12" t="s">
        <v>25</v>
      </c>
      <c r="L1396" s="12" t="s">
        <v>88</v>
      </c>
      <c r="M1396" s="12" t="s">
        <v>285</v>
      </c>
      <c r="N1396" s="12" t="s">
        <v>491</v>
      </c>
      <c r="O1396" s="12"/>
      <c r="P1396" s="12"/>
      <c r="Q1396" s="12"/>
    </row>
    <row r="1397" spans="1:17" x14ac:dyDescent="0.25">
      <c r="A1397" s="11">
        <v>201401</v>
      </c>
      <c r="B1397" s="12" t="s">
        <v>2575</v>
      </c>
      <c r="C1397" s="12" t="s">
        <v>2807</v>
      </c>
      <c r="D1397" s="125">
        <v>8500000</v>
      </c>
      <c r="E1397" s="125">
        <v>7923403.3499999996</v>
      </c>
      <c r="F1397" s="12">
        <v>44</v>
      </c>
      <c r="G1397" s="12">
        <v>180</v>
      </c>
      <c r="H1397" s="12">
        <v>0</v>
      </c>
      <c r="I1397" s="13">
        <v>43027.699184224541</v>
      </c>
      <c r="J1397" s="13">
        <v>43392</v>
      </c>
      <c r="K1397" s="12" t="s">
        <v>44</v>
      </c>
      <c r="L1397" s="12" t="s">
        <v>75</v>
      </c>
      <c r="M1397" s="12" t="s">
        <v>1442</v>
      </c>
      <c r="N1397" s="12" t="s">
        <v>1667</v>
      </c>
      <c r="O1397" s="12"/>
      <c r="P1397" s="12"/>
      <c r="Q1397" s="12"/>
    </row>
    <row r="1398" spans="1:17" x14ac:dyDescent="0.25">
      <c r="A1398" s="11">
        <v>201402</v>
      </c>
      <c r="B1398" s="12" t="s">
        <v>5851</v>
      </c>
      <c r="C1398" s="12" t="s">
        <v>1449</v>
      </c>
      <c r="D1398" s="125">
        <v>8500000</v>
      </c>
      <c r="E1398" s="125">
        <v>7950337.4000000004</v>
      </c>
      <c r="F1398" s="12">
        <v>54</v>
      </c>
      <c r="G1398" s="12">
        <v>180</v>
      </c>
      <c r="H1398" s="12">
        <v>0</v>
      </c>
      <c r="I1398" s="13">
        <v>43027.709482905091</v>
      </c>
      <c r="J1398" s="13">
        <v>43392</v>
      </c>
      <c r="K1398" s="12" t="s">
        <v>25</v>
      </c>
      <c r="L1398" s="12" t="s">
        <v>88</v>
      </c>
      <c r="M1398" s="12" t="s">
        <v>285</v>
      </c>
      <c r="N1398" s="12" t="s">
        <v>2557</v>
      </c>
      <c r="O1398" s="12"/>
      <c r="P1398" s="12"/>
      <c r="Q1398" s="12"/>
    </row>
    <row r="1399" spans="1:17" x14ac:dyDescent="0.25">
      <c r="A1399" s="11">
        <v>201403</v>
      </c>
      <c r="B1399" s="12" t="s">
        <v>5870</v>
      </c>
      <c r="C1399" s="12" t="s">
        <v>1449</v>
      </c>
      <c r="D1399" s="125">
        <v>6000000</v>
      </c>
      <c r="E1399" s="125">
        <v>6000000</v>
      </c>
      <c r="F1399" s="12">
        <v>54</v>
      </c>
      <c r="G1399" s="12">
        <v>180</v>
      </c>
      <c r="H1399" s="12">
        <v>0</v>
      </c>
      <c r="I1399" s="13">
        <v>43028.537628506943</v>
      </c>
      <c r="J1399" s="13">
        <v>43393</v>
      </c>
      <c r="K1399" s="12" t="s">
        <v>25</v>
      </c>
      <c r="L1399" s="12" t="s">
        <v>88</v>
      </c>
      <c r="M1399" s="12" t="s">
        <v>285</v>
      </c>
      <c r="N1399" s="12" t="s">
        <v>491</v>
      </c>
      <c r="O1399" s="12"/>
      <c r="P1399" s="12"/>
      <c r="Q1399" s="12"/>
    </row>
    <row r="1400" spans="1:17" x14ac:dyDescent="0.25">
      <c r="A1400" s="11">
        <v>201404</v>
      </c>
      <c r="B1400" s="12" t="s">
        <v>3726</v>
      </c>
      <c r="C1400" s="12" t="s">
        <v>2807</v>
      </c>
      <c r="D1400" s="125">
        <v>2500000</v>
      </c>
      <c r="E1400" s="125">
        <v>2341823.39</v>
      </c>
      <c r="F1400" s="12">
        <v>48</v>
      </c>
      <c r="G1400" s="12">
        <v>180</v>
      </c>
      <c r="H1400" s="12">
        <v>0</v>
      </c>
      <c r="I1400" s="13">
        <v>43028.558704976851</v>
      </c>
      <c r="J1400" s="13">
        <v>43332</v>
      </c>
      <c r="K1400" s="12" t="s">
        <v>25</v>
      </c>
      <c r="L1400" s="12" t="s">
        <v>88</v>
      </c>
      <c r="M1400" s="12" t="s">
        <v>285</v>
      </c>
      <c r="N1400" s="12" t="s">
        <v>2538</v>
      </c>
      <c r="O1400" s="12"/>
      <c r="P1400" s="12"/>
      <c r="Q1400" s="12"/>
    </row>
    <row r="1401" spans="1:17" x14ac:dyDescent="0.25">
      <c r="A1401" s="11">
        <v>201405</v>
      </c>
      <c r="B1401" s="12" t="s">
        <v>5868</v>
      </c>
      <c r="C1401" s="12" t="s">
        <v>2807</v>
      </c>
      <c r="D1401" s="125">
        <v>1600000</v>
      </c>
      <c r="E1401" s="125">
        <v>1469793.89</v>
      </c>
      <c r="F1401" s="12">
        <v>54</v>
      </c>
      <c r="G1401" s="12">
        <v>180</v>
      </c>
      <c r="H1401" s="12">
        <v>0</v>
      </c>
      <c r="I1401" s="13">
        <v>43028.582934918981</v>
      </c>
      <c r="J1401" s="13">
        <v>43332</v>
      </c>
      <c r="K1401" s="12" t="s">
        <v>25</v>
      </c>
      <c r="L1401" s="12" t="s">
        <v>88</v>
      </c>
      <c r="M1401" s="12" t="s">
        <v>285</v>
      </c>
      <c r="N1401" s="12" t="s">
        <v>1667</v>
      </c>
      <c r="O1401" s="12"/>
      <c r="P1401" s="12"/>
      <c r="Q1401" s="12"/>
    </row>
    <row r="1402" spans="1:17" x14ac:dyDescent="0.25">
      <c r="A1402" s="11">
        <v>201406</v>
      </c>
      <c r="B1402" s="12" t="s">
        <v>5871</v>
      </c>
      <c r="C1402" s="12" t="s">
        <v>2807</v>
      </c>
      <c r="D1402" s="125">
        <v>4000000</v>
      </c>
      <c r="E1402" s="125">
        <v>3573561.39</v>
      </c>
      <c r="F1402" s="12">
        <v>54</v>
      </c>
      <c r="G1402" s="12">
        <v>180</v>
      </c>
      <c r="H1402" s="12">
        <v>0</v>
      </c>
      <c r="I1402" s="13">
        <v>43028.653854745367</v>
      </c>
      <c r="J1402" s="13">
        <v>43271</v>
      </c>
      <c r="K1402" s="12" t="s">
        <v>25</v>
      </c>
      <c r="L1402" s="12" t="s">
        <v>88</v>
      </c>
      <c r="M1402" s="12" t="s">
        <v>285</v>
      </c>
      <c r="N1402" s="12" t="s">
        <v>5384</v>
      </c>
      <c r="O1402" s="12"/>
      <c r="P1402" s="12"/>
      <c r="Q1402" s="12"/>
    </row>
    <row r="1403" spans="1:17" x14ac:dyDescent="0.25">
      <c r="A1403" s="11">
        <v>201407</v>
      </c>
      <c r="B1403" s="12" t="s">
        <v>5867</v>
      </c>
      <c r="C1403" s="12" t="s">
        <v>2807</v>
      </c>
      <c r="D1403" s="125">
        <v>6000000</v>
      </c>
      <c r="E1403" s="125">
        <v>5504103.9900000002</v>
      </c>
      <c r="F1403" s="12">
        <v>50</v>
      </c>
      <c r="G1403" s="12">
        <v>180</v>
      </c>
      <c r="H1403" s="12">
        <v>0</v>
      </c>
      <c r="I1403" s="13">
        <v>43028.603793946757</v>
      </c>
      <c r="J1403" s="13">
        <v>43332</v>
      </c>
      <c r="K1403" s="12" t="s">
        <v>27</v>
      </c>
      <c r="L1403" s="12" t="s">
        <v>81</v>
      </c>
      <c r="M1403" s="12" t="s">
        <v>1685</v>
      </c>
      <c r="N1403" s="12" t="s">
        <v>1467</v>
      </c>
      <c r="O1403" s="12"/>
      <c r="P1403" s="12"/>
      <c r="Q1403" s="12"/>
    </row>
    <row r="1404" spans="1:17" x14ac:dyDescent="0.25">
      <c r="A1404" s="11">
        <v>201408</v>
      </c>
      <c r="B1404" s="12" t="s">
        <v>2270</v>
      </c>
      <c r="C1404" s="12" t="s">
        <v>1449</v>
      </c>
      <c r="D1404" s="125">
        <v>20000000</v>
      </c>
      <c r="E1404" s="125">
        <v>19145826.079999998</v>
      </c>
      <c r="F1404" s="12">
        <v>36</v>
      </c>
      <c r="G1404" s="12">
        <v>180</v>
      </c>
      <c r="H1404" s="12">
        <v>0</v>
      </c>
      <c r="I1404" s="13">
        <v>43028.695226076386</v>
      </c>
      <c r="J1404" s="13">
        <v>43575</v>
      </c>
      <c r="K1404" s="12" t="s">
        <v>44</v>
      </c>
      <c r="L1404" s="12" t="s">
        <v>75</v>
      </c>
      <c r="M1404" s="12" t="s">
        <v>1442</v>
      </c>
      <c r="N1404" s="12" t="s">
        <v>1925</v>
      </c>
      <c r="O1404" s="12"/>
      <c r="P1404" s="12"/>
      <c r="Q1404" s="12"/>
    </row>
    <row r="1405" spans="1:17" x14ac:dyDescent="0.25">
      <c r="A1405" s="11">
        <v>201409</v>
      </c>
      <c r="B1405" s="12" t="s">
        <v>5872</v>
      </c>
      <c r="C1405" s="12" t="s">
        <v>2807</v>
      </c>
      <c r="D1405" s="125">
        <v>5000000</v>
      </c>
      <c r="E1405" s="125">
        <v>4593105.8899999997</v>
      </c>
      <c r="F1405" s="12">
        <v>54</v>
      </c>
      <c r="G1405" s="12">
        <v>180</v>
      </c>
      <c r="H1405" s="12">
        <v>0</v>
      </c>
      <c r="I1405" s="13">
        <v>43028.682979282406</v>
      </c>
      <c r="J1405" s="13">
        <v>43332</v>
      </c>
      <c r="K1405" s="12" t="s">
        <v>44</v>
      </c>
      <c r="L1405" s="12" t="s">
        <v>75</v>
      </c>
      <c r="M1405" s="12" t="s">
        <v>1442</v>
      </c>
      <c r="N1405" s="12" t="s">
        <v>4686</v>
      </c>
      <c r="O1405" s="12"/>
      <c r="P1405" s="12"/>
      <c r="Q1405" s="12"/>
    </row>
    <row r="1406" spans="1:17" x14ac:dyDescent="0.25">
      <c r="A1406" s="11">
        <v>201410</v>
      </c>
      <c r="B1406" s="12" t="s">
        <v>4372</v>
      </c>
      <c r="C1406" s="12" t="s">
        <v>2807</v>
      </c>
      <c r="D1406" s="125">
        <v>9000000</v>
      </c>
      <c r="E1406" s="125">
        <v>8516100.7799999993</v>
      </c>
      <c r="F1406" s="12">
        <v>36</v>
      </c>
      <c r="G1406" s="12">
        <v>180</v>
      </c>
      <c r="H1406" s="12">
        <v>0</v>
      </c>
      <c r="I1406" s="13">
        <v>43028.716241585651</v>
      </c>
      <c r="J1406" s="13">
        <v>43485</v>
      </c>
      <c r="K1406" s="12" t="s">
        <v>25</v>
      </c>
      <c r="L1406" s="12" t="s">
        <v>88</v>
      </c>
      <c r="M1406" s="12" t="s">
        <v>285</v>
      </c>
      <c r="N1406" s="12" t="s">
        <v>2175</v>
      </c>
      <c r="O1406" s="12"/>
      <c r="P1406" s="12"/>
      <c r="Q1406" s="12"/>
    </row>
    <row r="1407" spans="1:17" x14ac:dyDescent="0.25">
      <c r="A1407" s="11">
        <v>201411</v>
      </c>
      <c r="B1407" s="12" t="s">
        <v>5886</v>
      </c>
      <c r="C1407" s="12" t="s">
        <v>2807</v>
      </c>
      <c r="D1407" s="125">
        <v>3000000</v>
      </c>
      <c r="E1407" s="125">
        <v>2806001.43</v>
      </c>
      <c r="F1407" s="12">
        <v>54</v>
      </c>
      <c r="G1407" s="12">
        <v>180</v>
      </c>
      <c r="H1407" s="12">
        <v>0</v>
      </c>
      <c r="I1407" s="13">
        <v>43029.559149537039</v>
      </c>
      <c r="J1407" s="13">
        <v>43394</v>
      </c>
      <c r="K1407" s="12" t="s">
        <v>25</v>
      </c>
      <c r="L1407" s="12" t="s">
        <v>94</v>
      </c>
      <c r="M1407" s="12" t="s">
        <v>95</v>
      </c>
      <c r="N1407" s="12" t="s">
        <v>2034</v>
      </c>
      <c r="O1407" s="12"/>
      <c r="P1407" s="12"/>
      <c r="Q1407" s="12"/>
    </row>
    <row r="1408" spans="1:17" x14ac:dyDescent="0.25">
      <c r="A1408" s="11">
        <v>201412</v>
      </c>
      <c r="B1408" s="12" t="s">
        <v>5894</v>
      </c>
      <c r="C1408" s="12" t="s">
        <v>2807</v>
      </c>
      <c r="D1408" s="125">
        <v>3500000</v>
      </c>
      <c r="E1408" s="125">
        <v>3215174.12</v>
      </c>
      <c r="F1408" s="12">
        <v>54</v>
      </c>
      <c r="G1408" s="12">
        <v>180</v>
      </c>
      <c r="H1408" s="12">
        <v>0</v>
      </c>
      <c r="I1408" s="13">
        <v>43031.60994328704</v>
      </c>
      <c r="J1408" s="13">
        <v>43335</v>
      </c>
      <c r="K1408" s="12" t="s">
        <v>25</v>
      </c>
      <c r="L1408" s="12" t="s">
        <v>88</v>
      </c>
      <c r="M1408" s="12" t="s">
        <v>285</v>
      </c>
      <c r="N1408" s="12" t="s">
        <v>5384</v>
      </c>
      <c r="O1408" s="12"/>
      <c r="P1408" s="12"/>
      <c r="Q1408" s="12"/>
    </row>
    <row r="1409" spans="1:17" x14ac:dyDescent="0.25">
      <c r="A1409" s="11">
        <v>201413</v>
      </c>
      <c r="B1409" s="12" t="s">
        <v>5893</v>
      </c>
      <c r="C1409" s="12" t="s">
        <v>2807</v>
      </c>
      <c r="D1409" s="125">
        <v>17000000</v>
      </c>
      <c r="E1409" s="125">
        <v>15868613.060000001</v>
      </c>
      <c r="F1409" s="12">
        <v>48</v>
      </c>
      <c r="G1409" s="12">
        <v>180</v>
      </c>
      <c r="H1409" s="12">
        <v>0</v>
      </c>
      <c r="I1409" s="13">
        <v>43031.470546099539</v>
      </c>
      <c r="J1409" s="13">
        <v>43396</v>
      </c>
      <c r="K1409" s="12" t="s">
        <v>25</v>
      </c>
      <c r="L1409" s="12" t="s">
        <v>88</v>
      </c>
      <c r="M1409" s="12" t="s">
        <v>285</v>
      </c>
      <c r="N1409" s="12" t="s">
        <v>5410</v>
      </c>
      <c r="O1409" s="12"/>
      <c r="P1409" s="12"/>
      <c r="Q1409" s="12"/>
    </row>
    <row r="1410" spans="1:17" x14ac:dyDescent="0.25">
      <c r="A1410" s="11">
        <v>201415</v>
      </c>
      <c r="B1410" s="12" t="s">
        <v>4776</v>
      </c>
      <c r="C1410" s="12" t="s">
        <v>2807</v>
      </c>
      <c r="D1410" s="125">
        <v>28000000</v>
      </c>
      <c r="E1410" s="125">
        <v>23725290.16</v>
      </c>
      <c r="F1410" s="12">
        <v>42</v>
      </c>
      <c r="G1410" s="12">
        <v>180</v>
      </c>
      <c r="H1410" s="12">
        <v>0</v>
      </c>
      <c r="I1410" s="13">
        <v>43031.617362581019</v>
      </c>
      <c r="J1410" s="13">
        <v>43213</v>
      </c>
      <c r="K1410" s="12" t="s">
        <v>45</v>
      </c>
      <c r="L1410" s="12" t="s">
        <v>45</v>
      </c>
      <c r="M1410" s="12" t="s">
        <v>89</v>
      </c>
      <c r="N1410" s="12" t="s">
        <v>2861</v>
      </c>
      <c r="O1410" s="12"/>
      <c r="P1410" s="12"/>
      <c r="Q1410" s="12"/>
    </row>
    <row r="1411" spans="1:17" x14ac:dyDescent="0.25">
      <c r="A1411" s="11">
        <v>201416</v>
      </c>
      <c r="B1411" s="12" t="s">
        <v>5895</v>
      </c>
      <c r="C1411" s="12" t="s">
        <v>1449</v>
      </c>
      <c r="D1411" s="125">
        <v>6000000</v>
      </c>
      <c r="E1411" s="125">
        <v>5585171.0999999996</v>
      </c>
      <c r="F1411" s="12">
        <v>40</v>
      </c>
      <c r="G1411" s="12">
        <v>180</v>
      </c>
      <c r="H1411" s="12">
        <v>0</v>
      </c>
      <c r="I1411" s="13">
        <v>43031.723029629633</v>
      </c>
      <c r="J1411" s="13">
        <v>43396</v>
      </c>
      <c r="K1411" s="12" t="s">
        <v>44</v>
      </c>
      <c r="L1411" s="12" t="s">
        <v>92</v>
      </c>
      <c r="M1411" s="12" t="s">
        <v>92</v>
      </c>
      <c r="N1411" s="12" t="s">
        <v>2861</v>
      </c>
      <c r="O1411" s="12"/>
      <c r="P1411" s="12"/>
      <c r="Q1411" s="12"/>
    </row>
    <row r="1412" spans="1:17" x14ac:dyDescent="0.25">
      <c r="A1412" s="11">
        <v>201418</v>
      </c>
      <c r="B1412" s="12" t="s">
        <v>5919</v>
      </c>
      <c r="C1412" s="12" t="s">
        <v>1449</v>
      </c>
      <c r="D1412" s="125">
        <v>2000000</v>
      </c>
      <c r="E1412" s="125">
        <v>2000000</v>
      </c>
      <c r="F1412" s="12">
        <v>54</v>
      </c>
      <c r="G1412" s="12">
        <v>180</v>
      </c>
      <c r="H1412" s="12">
        <v>0</v>
      </c>
      <c r="I1412" s="13">
        <v>43032.744100543983</v>
      </c>
      <c r="J1412" s="13">
        <v>43336</v>
      </c>
      <c r="K1412" s="12" t="s">
        <v>25</v>
      </c>
      <c r="L1412" s="12" t="s">
        <v>88</v>
      </c>
      <c r="M1412" s="12" t="s">
        <v>285</v>
      </c>
      <c r="N1412" s="12" t="s">
        <v>1667</v>
      </c>
      <c r="O1412" s="12"/>
      <c r="P1412" s="12"/>
      <c r="Q1412" s="12"/>
    </row>
    <row r="1413" spans="1:17" x14ac:dyDescent="0.25">
      <c r="A1413" s="11">
        <v>201419</v>
      </c>
      <c r="B1413" s="12" t="s">
        <v>5920</v>
      </c>
      <c r="C1413" s="12" t="s">
        <v>1449</v>
      </c>
      <c r="D1413" s="125">
        <v>4500000</v>
      </c>
      <c r="E1413" s="125">
        <v>4500000</v>
      </c>
      <c r="F1413" s="12">
        <v>54</v>
      </c>
      <c r="G1413" s="12">
        <v>180</v>
      </c>
      <c r="H1413" s="12">
        <v>0</v>
      </c>
      <c r="I1413" s="13">
        <v>43032.733813692132</v>
      </c>
      <c r="J1413" s="13">
        <v>43336</v>
      </c>
      <c r="K1413" s="12" t="s">
        <v>25</v>
      </c>
      <c r="L1413" s="12" t="s">
        <v>88</v>
      </c>
      <c r="M1413" s="12" t="s">
        <v>285</v>
      </c>
      <c r="N1413" s="12" t="s">
        <v>5047</v>
      </c>
      <c r="O1413" s="12"/>
      <c r="P1413" s="12"/>
      <c r="Q1413" s="12"/>
    </row>
    <row r="1414" spans="1:17" x14ac:dyDescent="0.25">
      <c r="A1414" s="11">
        <v>201420</v>
      </c>
      <c r="B1414" s="12" t="s">
        <v>5916</v>
      </c>
      <c r="C1414" s="12" t="s">
        <v>2807</v>
      </c>
      <c r="D1414" s="125">
        <v>5000000</v>
      </c>
      <c r="E1414" s="125">
        <v>5000000</v>
      </c>
      <c r="F1414" s="12">
        <v>54</v>
      </c>
      <c r="G1414" s="12">
        <v>180</v>
      </c>
      <c r="H1414" s="12">
        <v>0</v>
      </c>
      <c r="I1414" s="13">
        <v>43032.650605868053</v>
      </c>
      <c r="J1414" s="13">
        <v>43336</v>
      </c>
      <c r="K1414" s="12" t="s">
        <v>25</v>
      </c>
      <c r="L1414" s="12" t="s">
        <v>106</v>
      </c>
      <c r="M1414" s="12" t="s">
        <v>107</v>
      </c>
      <c r="N1414" s="12" t="s">
        <v>5410</v>
      </c>
      <c r="O1414" s="12"/>
      <c r="P1414" s="12"/>
      <c r="Q1414" s="12"/>
    </row>
    <row r="1415" spans="1:17" x14ac:dyDescent="0.25">
      <c r="A1415" s="11">
        <v>201421</v>
      </c>
      <c r="B1415" s="12" t="s">
        <v>5922</v>
      </c>
      <c r="C1415" s="12" t="s">
        <v>2807</v>
      </c>
      <c r="D1415" s="125">
        <v>2000000</v>
      </c>
      <c r="E1415" s="125">
        <v>2000000</v>
      </c>
      <c r="F1415" s="12">
        <v>54</v>
      </c>
      <c r="G1415" s="12">
        <v>180</v>
      </c>
      <c r="H1415" s="12">
        <v>0</v>
      </c>
      <c r="I1415" s="13">
        <v>43032.691087037034</v>
      </c>
      <c r="J1415" s="13">
        <v>43336</v>
      </c>
      <c r="K1415" s="12" t="s">
        <v>25</v>
      </c>
      <c r="L1415" s="12" t="s">
        <v>88</v>
      </c>
      <c r="M1415" s="12" t="s">
        <v>285</v>
      </c>
      <c r="N1415" s="12" t="s">
        <v>2557</v>
      </c>
      <c r="O1415" s="12"/>
      <c r="P1415" s="12"/>
      <c r="Q1415" s="12"/>
    </row>
    <row r="1416" spans="1:17" x14ac:dyDescent="0.25">
      <c r="A1416" s="11">
        <v>201422</v>
      </c>
      <c r="B1416" s="12" t="s">
        <v>4667</v>
      </c>
      <c r="C1416" s="12" t="s">
        <v>2807</v>
      </c>
      <c r="D1416" s="125">
        <v>10000000</v>
      </c>
      <c r="E1416" s="125">
        <v>10000000</v>
      </c>
      <c r="F1416" s="12">
        <v>44</v>
      </c>
      <c r="G1416" s="12">
        <v>180</v>
      </c>
      <c r="H1416" s="12">
        <v>0</v>
      </c>
      <c r="I1416" s="13">
        <v>43033.665487071761</v>
      </c>
      <c r="J1416" s="13">
        <v>43398</v>
      </c>
      <c r="K1416" s="12" t="s">
        <v>25</v>
      </c>
      <c r="L1416" s="12" t="s">
        <v>88</v>
      </c>
      <c r="M1416" s="12" t="s">
        <v>285</v>
      </c>
      <c r="N1416" s="12" t="s">
        <v>2557</v>
      </c>
      <c r="O1416" s="12"/>
      <c r="P1416" s="12"/>
      <c r="Q1416" s="12"/>
    </row>
    <row r="1417" spans="1:17" x14ac:dyDescent="0.25">
      <c r="A1417" s="11">
        <v>201423</v>
      </c>
      <c r="B1417" s="12" t="s">
        <v>5941</v>
      </c>
      <c r="C1417" s="12" t="s">
        <v>1449</v>
      </c>
      <c r="D1417" s="125">
        <v>4000000</v>
      </c>
      <c r="E1417" s="125">
        <v>4000000</v>
      </c>
      <c r="F1417" s="12">
        <v>54</v>
      </c>
      <c r="G1417" s="12">
        <v>180</v>
      </c>
      <c r="H1417" s="12">
        <v>0</v>
      </c>
      <c r="I1417" s="13">
        <v>43033.59846241898</v>
      </c>
      <c r="J1417" s="13">
        <v>43337</v>
      </c>
      <c r="K1417" s="12" t="s">
        <v>25</v>
      </c>
      <c r="L1417" s="12" t="s">
        <v>88</v>
      </c>
      <c r="M1417" s="12" t="s">
        <v>285</v>
      </c>
      <c r="N1417" s="12" t="s">
        <v>4685</v>
      </c>
      <c r="O1417" s="12"/>
      <c r="P1417" s="12"/>
      <c r="Q1417" s="12"/>
    </row>
    <row r="1418" spans="1:17" x14ac:dyDescent="0.25">
      <c r="A1418" s="11">
        <v>201424</v>
      </c>
      <c r="B1418" s="12" t="s">
        <v>5944</v>
      </c>
      <c r="C1418" s="12" t="s">
        <v>1449</v>
      </c>
      <c r="D1418" s="125">
        <v>25000000</v>
      </c>
      <c r="E1418" s="125">
        <v>25000000</v>
      </c>
      <c r="F1418" s="12">
        <v>48</v>
      </c>
      <c r="G1418" s="12">
        <v>180</v>
      </c>
      <c r="H1418" s="12">
        <v>0</v>
      </c>
      <c r="I1418" s="13">
        <v>43033.736196840277</v>
      </c>
      <c r="J1418" s="13">
        <v>43337</v>
      </c>
      <c r="K1418" s="12" t="s">
        <v>44</v>
      </c>
      <c r="L1418" s="12" t="s">
        <v>75</v>
      </c>
      <c r="M1418" s="12" t="s">
        <v>1442</v>
      </c>
      <c r="N1418" s="12" t="s">
        <v>4686</v>
      </c>
      <c r="O1418" s="12"/>
      <c r="P1418" s="12"/>
      <c r="Q1418" s="12"/>
    </row>
    <row r="1419" spans="1:17" x14ac:dyDescent="0.25">
      <c r="A1419" s="11">
        <v>201425</v>
      </c>
      <c r="B1419" s="12" t="s">
        <v>3047</v>
      </c>
      <c r="C1419" s="12" t="s">
        <v>1449</v>
      </c>
      <c r="D1419" s="125">
        <v>10000000</v>
      </c>
      <c r="E1419" s="125">
        <v>10000000</v>
      </c>
      <c r="F1419" s="12">
        <v>48</v>
      </c>
      <c r="G1419" s="12">
        <v>180</v>
      </c>
      <c r="H1419" s="12">
        <v>0</v>
      </c>
      <c r="I1419" s="13">
        <v>43033.744951122688</v>
      </c>
      <c r="J1419" s="13">
        <v>43398</v>
      </c>
      <c r="K1419" s="12" t="s">
        <v>25</v>
      </c>
      <c r="L1419" s="12" t="s">
        <v>88</v>
      </c>
      <c r="M1419" s="12" t="s">
        <v>285</v>
      </c>
      <c r="N1419" s="12" t="s">
        <v>2855</v>
      </c>
      <c r="O1419" s="12"/>
      <c r="P1419" s="12"/>
      <c r="Q1419" s="12"/>
    </row>
    <row r="1420" spans="1:17" x14ac:dyDescent="0.25">
      <c r="A1420" s="11">
        <v>201426</v>
      </c>
      <c r="B1420" s="12" t="s">
        <v>5942</v>
      </c>
      <c r="C1420" s="12" t="s">
        <v>1449</v>
      </c>
      <c r="D1420" s="125">
        <v>1800000</v>
      </c>
      <c r="E1420" s="125">
        <v>1800000</v>
      </c>
      <c r="F1420" s="12">
        <v>54</v>
      </c>
      <c r="G1420" s="12">
        <v>180</v>
      </c>
      <c r="H1420" s="12">
        <v>0</v>
      </c>
      <c r="I1420" s="13">
        <v>43033.749620451388</v>
      </c>
      <c r="J1420" s="13">
        <v>43337</v>
      </c>
      <c r="K1420" s="12" t="s">
        <v>25</v>
      </c>
      <c r="L1420" s="12" t="s">
        <v>88</v>
      </c>
      <c r="M1420" s="12" t="s">
        <v>285</v>
      </c>
      <c r="N1420" s="12" t="s">
        <v>2855</v>
      </c>
      <c r="O1420" s="12"/>
      <c r="P1420" s="12"/>
      <c r="Q1420" s="12"/>
    </row>
    <row r="1421" spans="1:17" x14ac:dyDescent="0.25">
      <c r="A1421" s="11">
        <v>201427</v>
      </c>
      <c r="B1421" s="12" t="s">
        <v>1738</v>
      </c>
      <c r="C1421" s="12" t="s">
        <v>5043</v>
      </c>
      <c r="D1421" s="125">
        <v>3685000</v>
      </c>
      <c r="E1421" s="125">
        <v>3093610.93</v>
      </c>
      <c r="F1421" s="12">
        <v>25</v>
      </c>
      <c r="G1421" s="12">
        <v>180</v>
      </c>
      <c r="H1421" s="12">
        <v>0</v>
      </c>
      <c r="I1421" s="13">
        <v>43033.711786307867</v>
      </c>
      <c r="J1421" s="13">
        <v>43211</v>
      </c>
      <c r="K1421" s="12" t="s">
        <v>28</v>
      </c>
      <c r="L1421" s="12" t="s">
        <v>108</v>
      </c>
      <c r="M1421" s="12" t="s">
        <v>26</v>
      </c>
      <c r="N1421" s="12" t="s">
        <v>284</v>
      </c>
      <c r="O1421" s="12"/>
      <c r="P1421" s="12"/>
      <c r="Q1421" s="12"/>
    </row>
    <row r="1422" spans="1:17" x14ac:dyDescent="0.25">
      <c r="A1422" s="11">
        <v>201428</v>
      </c>
      <c r="B1422" s="12" t="s">
        <v>4549</v>
      </c>
      <c r="C1422" s="12" t="s">
        <v>5043</v>
      </c>
      <c r="D1422" s="125">
        <v>2000000</v>
      </c>
      <c r="E1422" s="125">
        <v>1610825.38</v>
      </c>
      <c r="F1422" s="12">
        <v>25</v>
      </c>
      <c r="G1422" s="12">
        <v>180</v>
      </c>
      <c r="H1422" s="12">
        <v>0</v>
      </c>
      <c r="I1422" s="13">
        <v>43034.410622766205</v>
      </c>
      <c r="J1422" s="13">
        <v>43180</v>
      </c>
      <c r="K1422" s="12" t="s">
        <v>28</v>
      </c>
      <c r="L1422" s="12" t="s">
        <v>108</v>
      </c>
      <c r="M1422" s="12" t="s">
        <v>26</v>
      </c>
      <c r="N1422" s="12" t="s">
        <v>284</v>
      </c>
      <c r="O1422" s="12"/>
      <c r="P1422" s="12"/>
      <c r="Q1422" s="12"/>
    </row>
    <row r="1423" spans="1:17" x14ac:dyDescent="0.25">
      <c r="A1423" s="11">
        <v>201429</v>
      </c>
      <c r="B1423" s="12" t="s">
        <v>3330</v>
      </c>
      <c r="C1423" s="12" t="s">
        <v>2807</v>
      </c>
      <c r="D1423" s="125">
        <v>20000000</v>
      </c>
      <c r="E1423" s="125">
        <v>20000000</v>
      </c>
      <c r="F1423" s="12">
        <v>36</v>
      </c>
      <c r="G1423" s="12">
        <v>180</v>
      </c>
      <c r="H1423" s="12">
        <v>0</v>
      </c>
      <c r="I1423" s="13">
        <v>43034.539215659723</v>
      </c>
      <c r="J1423" s="13">
        <v>43587</v>
      </c>
      <c r="K1423" s="12" t="s">
        <v>44</v>
      </c>
      <c r="L1423" s="12" t="s">
        <v>75</v>
      </c>
      <c r="M1423" s="12" t="s">
        <v>1442</v>
      </c>
      <c r="N1423" s="12" t="s">
        <v>5167</v>
      </c>
      <c r="O1423" s="12"/>
      <c r="P1423" s="12"/>
      <c r="Q1423" s="12"/>
    </row>
    <row r="1424" spans="1:17" x14ac:dyDescent="0.25">
      <c r="A1424" s="11">
        <v>201430</v>
      </c>
      <c r="B1424" s="12" t="s">
        <v>2677</v>
      </c>
      <c r="C1424" s="12" t="s">
        <v>2807</v>
      </c>
      <c r="D1424" s="125">
        <v>19500000</v>
      </c>
      <c r="E1424" s="125">
        <v>19500000</v>
      </c>
      <c r="F1424" s="12">
        <v>36</v>
      </c>
      <c r="G1424" s="12">
        <v>180</v>
      </c>
      <c r="H1424" s="12">
        <v>0</v>
      </c>
      <c r="I1424" s="13">
        <v>43034.727116006943</v>
      </c>
      <c r="J1424" s="13">
        <v>43587</v>
      </c>
      <c r="K1424" s="12" t="s">
        <v>36</v>
      </c>
      <c r="L1424" s="12" t="s">
        <v>1023</v>
      </c>
      <c r="M1424" s="12" t="s">
        <v>1810</v>
      </c>
      <c r="N1424" s="12" t="s">
        <v>1925</v>
      </c>
      <c r="O1424" s="12"/>
      <c r="P1424" s="12"/>
      <c r="Q1424" s="12"/>
    </row>
    <row r="1425" spans="1:17" x14ac:dyDescent="0.25">
      <c r="A1425" s="11">
        <v>201431</v>
      </c>
      <c r="B1425" s="12" t="s">
        <v>3218</v>
      </c>
      <c r="C1425" s="12" t="s">
        <v>2807</v>
      </c>
      <c r="D1425" s="125">
        <v>5000000</v>
      </c>
      <c r="E1425" s="125">
        <v>5000000</v>
      </c>
      <c r="F1425" s="12">
        <v>48</v>
      </c>
      <c r="G1425" s="12">
        <v>180</v>
      </c>
      <c r="H1425" s="12">
        <v>0</v>
      </c>
      <c r="I1425" s="13">
        <v>43039.472468287036</v>
      </c>
      <c r="J1425" s="13">
        <v>43405</v>
      </c>
      <c r="K1425" s="12" t="s">
        <v>25</v>
      </c>
      <c r="L1425" s="12" t="s">
        <v>88</v>
      </c>
      <c r="M1425" s="12" t="s">
        <v>285</v>
      </c>
      <c r="N1425" s="12" t="s">
        <v>2557</v>
      </c>
      <c r="O1425" s="12"/>
      <c r="P1425" s="12"/>
      <c r="Q1425" s="12"/>
    </row>
    <row r="1426" spans="1:17" x14ac:dyDescent="0.25">
      <c r="A1426" s="11">
        <v>201432</v>
      </c>
      <c r="B1426" s="12" t="s">
        <v>2248</v>
      </c>
      <c r="C1426" s="12" t="s">
        <v>2807</v>
      </c>
      <c r="D1426" s="125">
        <v>28000000</v>
      </c>
      <c r="E1426" s="125">
        <v>28000000</v>
      </c>
      <c r="F1426" s="12">
        <v>36</v>
      </c>
      <c r="G1426" s="12">
        <v>180</v>
      </c>
      <c r="H1426" s="12">
        <v>0</v>
      </c>
      <c r="I1426" s="13">
        <v>43035.58486909722</v>
      </c>
      <c r="J1426" s="13">
        <v>43406</v>
      </c>
      <c r="K1426" s="12" t="s">
        <v>29</v>
      </c>
      <c r="L1426" s="12" t="s">
        <v>30</v>
      </c>
      <c r="M1426" s="12" t="s">
        <v>437</v>
      </c>
      <c r="N1426" s="12" t="s">
        <v>2175</v>
      </c>
      <c r="O1426" s="12"/>
      <c r="P1426" s="12"/>
      <c r="Q1426" s="12"/>
    </row>
    <row r="1427" spans="1:17" x14ac:dyDescent="0.25">
      <c r="A1427" s="11">
        <v>201434</v>
      </c>
      <c r="B1427" s="12" t="s">
        <v>4373</v>
      </c>
      <c r="C1427" s="12" t="s">
        <v>2807</v>
      </c>
      <c r="D1427" s="125">
        <v>10000000</v>
      </c>
      <c r="E1427" s="125">
        <v>10000000</v>
      </c>
      <c r="F1427" s="12">
        <v>48</v>
      </c>
      <c r="G1427" s="12">
        <v>180</v>
      </c>
      <c r="H1427" s="12">
        <v>0</v>
      </c>
      <c r="I1427" s="13">
        <v>43036.471182754627</v>
      </c>
      <c r="J1427" s="13">
        <v>43406</v>
      </c>
      <c r="K1427" s="12" t="s">
        <v>43</v>
      </c>
      <c r="L1427" s="12" t="s">
        <v>338</v>
      </c>
      <c r="M1427" s="12" t="s">
        <v>26</v>
      </c>
      <c r="N1427" s="12" t="s">
        <v>1909</v>
      </c>
      <c r="O1427" s="12"/>
      <c r="P1427" s="12"/>
      <c r="Q1427" s="12"/>
    </row>
    <row r="1428" spans="1:17" x14ac:dyDescent="0.25">
      <c r="A1428" s="11">
        <v>201435</v>
      </c>
      <c r="B1428" s="12" t="s">
        <v>5965</v>
      </c>
      <c r="C1428" s="12" t="s">
        <v>1449</v>
      </c>
      <c r="D1428" s="125">
        <v>10000000</v>
      </c>
      <c r="E1428" s="125">
        <v>10000000</v>
      </c>
      <c r="F1428" s="12">
        <v>54</v>
      </c>
      <c r="G1428" s="12">
        <v>180</v>
      </c>
      <c r="H1428" s="12">
        <v>0</v>
      </c>
      <c r="I1428" s="13">
        <v>43036.508972685187</v>
      </c>
      <c r="J1428" s="13">
        <v>43406</v>
      </c>
      <c r="K1428" s="12" t="s">
        <v>25</v>
      </c>
      <c r="L1428" s="12" t="s">
        <v>88</v>
      </c>
      <c r="M1428" s="12" t="s">
        <v>285</v>
      </c>
      <c r="N1428" s="12" t="s">
        <v>2557</v>
      </c>
      <c r="O1428" s="12"/>
      <c r="P1428" s="12"/>
      <c r="Q1428" s="12"/>
    </row>
    <row r="1429" spans="1:17" x14ac:dyDescent="0.25">
      <c r="A1429" s="11">
        <v>201436</v>
      </c>
      <c r="B1429" s="12" t="s">
        <v>3114</v>
      </c>
      <c r="C1429" s="12" t="s">
        <v>2807</v>
      </c>
      <c r="D1429" s="125">
        <v>22000000</v>
      </c>
      <c r="E1429" s="125">
        <v>22000000</v>
      </c>
      <c r="F1429" s="12">
        <v>42</v>
      </c>
      <c r="G1429" s="12">
        <v>180</v>
      </c>
      <c r="H1429" s="12">
        <v>0</v>
      </c>
      <c r="I1429" s="13">
        <v>43036.492605555555</v>
      </c>
      <c r="J1429" s="13">
        <v>43406</v>
      </c>
      <c r="K1429" s="12" t="s">
        <v>25</v>
      </c>
      <c r="L1429" s="12" t="s">
        <v>88</v>
      </c>
      <c r="M1429" s="12" t="s">
        <v>285</v>
      </c>
      <c r="N1429" s="12" t="s">
        <v>2034</v>
      </c>
      <c r="O1429" s="12"/>
      <c r="P1429" s="12"/>
      <c r="Q1429" s="12"/>
    </row>
    <row r="1430" spans="1:17" x14ac:dyDescent="0.25">
      <c r="A1430" s="11">
        <v>201437</v>
      </c>
      <c r="B1430" s="12" t="s">
        <v>4546</v>
      </c>
      <c r="C1430" s="12" t="s">
        <v>2807</v>
      </c>
      <c r="D1430" s="125">
        <v>17000000</v>
      </c>
      <c r="E1430" s="125">
        <v>17000000</v>
      </c>
      <c r="F1430" s="12">
        <v>42</v>
      </c>
      <c r="G1430" s="12">
        <v>180</v>
      </c>
      <c r="H1430" s="12">
        <v>0</v>
      </c>
      <c r="I1430" s="13">
        <v>43039.73473827546</v>
      </c>
      <c r="J1430" s="13">
        <v>43406</v>
      </c>
      <c r="K1430" s="12" t="s">
        <v>36</v>
      </c>
      <c r="L1430" s="12" t="s">
        <v>118</v>
      </c>
      <c r="M1430" s="12" t="s">
        <v>119</v>
      </c>
      <c r="N1430" s="12" t="s">
        <v>3074</v>
      </c>
      <c r="O1430" s="12"/>
      <c r="P1430" s="12"/>
      <c r="Q1430" s="12"/>
    </row>
    <row r="1431" spans="1:17" x14ac:dyDescent="0.25">
      <c r="A1431" s="11">
        <v>201438</v>
      </c>
      <c r="B1431" s="12" t="s">
        <v>5973</v>
      </c>
      <c r="C1431" s="12" t="s">
        <v>2807</v>
      </c>
      <c r="D1431" s="125">
        <v>17000000</v>
      </c>
      <c r="E1431" s="125">
        <v>17000000</v>
      </c>
      <c r="F1431" s="12">
        <v>48</v>
      </c>
      <c r="G1431" s="12">
        <v>180</v>
      </c>
      <c r="H1431" s="12">
        <v>0</v>
      </c>
      <c r="I1431" s="13">
        <v>43039.714177233793</v>
      </c>
      <c r="J1431" s="13">
        <v>43406</v>
      </c>
      <c r="K1431" s="12" t="s">
        <v>37</v>
      </c>
      <c r="L1431" s="12" t="s">
        <v>38</v>
      </c>
      <c r="M1431" s="12" t="s">
        <v>39</v>
      </c>
      <c r="N1431" s="12" t="s">
        <v>1447</v>
      </c>
      <c r="O1431" s="12"/>
      <c r="P1431" s="12"/>
      <c r="Q1431" s="12"/>
    </row>
    <row r="1432" spans="1:17" x14ac:dyDescent="0.25">
      <c r="A1432" s="11">
        <v>201439</v>
      </c>
      <c r="B1432" s="12" t="s">
        <v>5969</v>
      </c>
      <c r="C1432" s="12" t="s">
        <v>1449</v>
      </c>
      <c r="D1432" s="125">
        <v>20000000</v>
      </c>
      <c r="E1432" s="125">
        <v>20000000</v>
      </c>
      <c r="F1432" s="12">
        <v>48</v>
      </c>
      <c r="G1432" s="12">
        <v>180</v>
      </c>
      <c r="H1432" s="12">
        <v>0</v>
      </c>
      <c r="I1432" s="13">
        <v>43039.705528240738</v>
      </c>
      <c r="J1432" s="13">
        <v>43587</v>
      </c>
      <c r="K1432" s="12" t="s">
        <v>25</v>
      </c>
      <c r="L1432" s="12" t="s">
        <v>88</v>
      </c>
      <c r="M1432" s="12" t="s">
        <v>285</v>
      </c>
      <c r="N1432" s="12" t="s">
        <v>1909</v>
      </c>
      <c r="O1432" s="12"/>
      <c r="P1432" s="12"/>
      <c r="Q1432" s="12"/>
    </row>
    <row r="1433" spans="1:17" x14ac:dyDescent="0.25">
      <c r="A1433" s="11">
        <v>201440</v>
      </c>
      <c r="B1433" s="12" t="s">
        <v>5971</v>
      </c>
      <c r="C1433" s="12" t="s">
        <v>1449</v>
      </c>
      <c r="D1433" s="125">
        <v>2500000</v>
      </c>
      <c r="E1433" s="125">
        <v>2500000</v>
      </c>
      <c r="F1433" s="12">
        <v>54</v>
      </c>
      <c r="G1433" s="12">
        <v>180</v>
      </c>
      <c r="H1433" s="12">
        <v>0</v>
      </c>
      <c r="I1433" s="13">
        <v>43039.751634490742</v>
      </c>
      <c r="J1433" s="13">
        <v>43283</v>
      </c>
      <c r="K1433" s="12" t="s">
        <v>25</v>
      </c>
      <c r="L1433" s="12" t="s">
        <v>88</v>
      </c>
      <c r="M1433" s="12" t="s">
        <v>285</v>
      </c>
      <c r="N1433" s="12" t="s">
        <v>4683</v>
      </c>
      <c r="O1433" s="12"/>
      <c r="P1433" s="12"/>
      <c r="Q1433" s="12"/>
    </row>
    <row r="1434" spans="1:17" x14ac:dyDescent="0.25">
      <c r="A1434" s="11">
        <v>201441</v>
      </c>
      <c r="B1434" s="12" t="s">
        <v>5970</v>
      </c>
      <c r="C1434" s="12" t="s">
        <v>1449</v>
      </c>
      <c r="D1434" s="125">
        <v>28000000</v>
      </c>
      <c r="E1434" s="125">
        <v>28000000</v>
      </c>
      <c r="F1434" s="12">
        <v>48</v>
      </c>
      <c r="G1434" s="12">
        <v>180</v>
      </c>
      <c r="H1434" s="12">
        <v>0</v>
      </c>
      <c r="I1434" s="13">
        <v>43039.797131331019</v>
      </c>
      <c r="J1434" s="13">
        <v>43222</v>
      </c>
      <c r="K1434" s="12" t="s">
        <v>25</v>
      </c>
      <c r="L1434" s="12" t="s">
        <v>88</v>
      </c>
      <c r="M1434" s="12" t="s">
        <v>285</v>
      </c>
      <c r="N1434" s="12" t="s">
        <v>5382</v>
      </c>
      <c r="O1434" s="12"/>
      <c r="P1434" s="12"/>
      <c r="Q1434" s="12"/>
    </row>
    <row r="1435" spans="1:17" x14ac:dyDescent="0.25">
      <c r="A1435" s="11">
        <v>201442</v>
      </c>
      <c r="B1435" s="12" t="s">
        <v>3312</v>
      </c>
      <c r="C1435" s="12" t="s">
        <v>1449</v>
      </c>
      <c r="D1435" s="125">
        <v>18000000</v>
      </c>
      <c r="E1435" s="125">
        <v>18000000</v>
      </c>
      <c r="F1435" s="12">
        <v>42</v>
      </c>
      <c r="G1435" s="12">
        <v>180</v>
      </c>
      <c r="H1435" s="12">
        <v>0</v>
      </c>
      <c r="I1435" s="13">
        <v>43041.570559953703</v>
      </c>
      <c r="J1435" s="13">
        <v>43498</v>
      </c>
      <c r="K1435" s="12" t="s">
        <v>25</v>
      </c>
      <c r="L1435" s="12" t="s">
        <v>88</v>
      </c>
      <c r="M1435" s="12" t="s">
        <v>285</v>
      </c>
      <c r="N1435" s="12" t="s">
        <v>1925</v>
      </c>
      <c r="O1435" s="12"/>
      <c r="P1435" s="12"/>
      <c r="Q1435" s="12"/>
    </row>
    <row r="1436" spans="1:17" x14ac:dyDescent="0.25">
      <c r="A1436" s="11">
        <v>201443</v>
      </c>
      <c r="B1436" s="12" t="s">
        <v>1886</v>
      </c>
      <c r="C1436" s="12" t="s">
        <v>1409</v>
      </c>
      <c r="D1436" s="125">
        <v>8781380</v>
      </c>
      <c r="E1436" s="125">
        <v>7336894.8300000001</v>
      </c>
      <c r="F1436" s="12">
        <v>25</v>
      </c>
      <c r="G1436" s="12">
        <v>180</v>
      </c>
      <c r="H1436" s="12">
        <v>0</v>
      </c>
      <c r="I1436" s="13">
        <v>43041.55247800926</v>
      </c>
      <c r="J1436" s="13">
        <v>43211</v>
      </c>
      <c r="K1436" s="12" t="s">
        <v>28</v>
      </c>
      <c r="L1436" s="12" t="s">
        <v>26</v>
      </c>
      <c r="M1436" s="12" t="s">
        <v>26</v>
      </c>
      <c r="N1436" s="12" t="s">
        <v>284</v>
      </c>
      <c r="O1436" s="12"/>
      <c r="P1436" s="12"/>
      <c r="Q1436" s="12"/>
    </row>
    <row r="1437" spans="1:17" x14ac:dyDescent="0.25">
      <c r="A1437" s="11">
        <v>201445</v>
      </c>
      <c r="B1437" s="12" t="s">
        <v>2748</v>
      </c>
      <c r="C1437" s="12" t="s">
        <v>5043</v>
      </c>
      <c r="D1437" s="125">
        <v>4000000</v>
      </c>
      <c r="E1437" s="125">
        <v>3337442.36</v>
      </c>
      <c r="F1437" s="12">
        <v>25</v>
      </c>
      <c r="G1437" s="12">
        <v>180</v>
      </c>
      <c r="H1437" s="12">
        <v>0</v>
      </c>
      <c r="I1437" s="13">
        <v>43043.446434490739</v>
      </c>
      <c r="J1437" s="13">
        <v>43211</v>
      </c>
      <c r="K1437" s="12" t="s">
        <v>28</v>
      </c>
      <c r="L1437" s="12" t="s">
        <v>108</v>
      </c>
      <c r="M1437" s="12" t="s">
        <v>26</v>
      </c>
      <c r="N1437" s="12" t="s">
        <v>284</v>
      </c>
      <c r="O1437" s="12"/>
      <c r="P1437" s="12"/>
      <c r="Q1437" s="12"/>
    </row>
    <row r="1438" spans="1:17" x14ac:dyDescent="0.25">
      <c r="A1438" s="11">
        <v>201447</v>
      </c>
      <c r="B1438" s="12" t="s">
        <v>6000</v>
      </c>
      <c r="C1438" s="12" t="s">
        <v>5043</v>
      </c>
      <c r="D1438" s="125">
        <v>4606378</v>
      </c>
      <c r="E1438" s="125">
        <v>3835466.65</v>
      </c>
      <c r="F1438" s="12">
        <v>25</v>
      </c>
      <c r="G1438" s="12">
        <v>180</v>
      </c>
      <c r="H1438" s="12">
        <v>0</v>
      </c>
      <c r="I1438" s="13">
        <v>43046.41154591435</v>
      </c>
      <c r="J1438" s="13">
        <v>43211</v>
      </c>
      <c r="K1438" s="12" t="s">
        <v>28</v>
      </c>
      <c r="L1438" s="12" t="s">
        <v>108</v>
      </c>
      <c r="M1438" s="12" t="s">
        <v>26</v>
      </c>
      <c r="N1438" s="12" t="s">
        <v>284</v>
      </c>
      <c r="O1438" s="12"/>
      <c r="P1438" s="12"/>
      <c r="Q1438" s="12"/>
    </row>
    <row r="1439" spans="1:17" x14ac:dyDescent="0.25">
      <c r="A1439" s="11">
        <v>201448</v>
      </c>
      <c r="B1439" s="12" t="s">
        <v>4861</v>
      </c>
      <c r="C1439" s="12" t="s">
        <v>2807</v>
      </c>
      <c r="D1439" s="125">
        <v>10000000</v>
      </c>
      <c r="E1439" s="125">
        <v>10000000</v>
      </c>
      <c r="F1439" s="12">
        <v>48</v>
      </c>
      <c r="G1439" s="12">
        <v>180</v>
      </c>
      <c r="H1439" s="12">
        <v>0</v>
      </c>
      <c r="I1439" s="13">
        <v>43046.715636423614</v>
      </c>
      <c r="J1439" s="13">
        <v>43411</v>
      </c>
      <c r="K1439" s="12" t="s">
        <v>46</v>
      </c>
      <c r="L1439" s="12" t="s">
        <v>46</v>
      </c>
      <c r="M1439" s="12" t="s">
        <v>112</v>
      </c>
      <c r="N1439" s="12" t="s">
        <v>2861</v>
      </c>
      <c r="O1439" s="12"/>
      <c r="P1439" s="12"/>
      <c r="Q1439" s="12"/>
    </row>
    <row r="1440" spans="1:17" x14ac:dyDescent="0.25">
      <c r="A1440" s="11">
        <v>201449</v>
      </c>
      <c r="B1440" s="12" t="s">
        <v>6017</v>
      </c>
      <c r="C1440" s="12" t="s">
        <v>2807</v>
      </c>
      <c r="D1440" s="125">
        <v>3000000</v>
      </c>
      <c r="E1440" s="125">
        <v>3000000</v>
      </c>
      <c r="F1440" s="12">
        <v>48</v>
      </c>
      <c r="G1440" s="12">
        <v>180</v>
      </c>
      <c r="H1440" s="12">
        <v>0</v>
      </c>
      <c r="I1440" s="13">
        <v>43048.43716577546</v>
      </c>
      <c r="J1440" s="13">
        <v>43352</v>
      </c>
      <c r="K1440" s="12" t="s">
        <v>44</v>
      </c>
      <c r="L1440" s="12" t="s">
        <v>75</v>
      </c>
      <c r="M1440" s="12" t="s">
        <v>1442</v>
      </c>
      <c r="N1440" s="12" t="s">
        <v>2861</v>
      </c>
      <c r="O1440" s="12"/>
      <c r="P1440" s="12"/>
      <c r="Q1440" s="12"/>
    </row>
    <row r="1441" spans="1:17" x14ac:dyDescent="0.25">
      <c r="A1441" s="11">
        <v>201450</v>
      </c>
      <c r="B1441" s="12" t="s">
        <v>6001</v>
      </c>
      <c r="C1441" s="12" t="s">
        <v>1449</v>
      </c>
      <c r="D1441" s="125">
        <v>6000000</v>
      </c>
      <c r="E1441" s="125">
        <v>6000000</v>
      </c>
      <c r="F1441" s="12">
        <v>40</v>
      </c>
      <c r="G1441" s="12">
        <v>180</v>
      </c>
      <c r="H1441" s="12">
        <v>0</v>
      </c>
      <c r="I1441" s="13">
        <v>43046.70612318287</v>
      </c>
      <c r="J1441" s="13">
        <v>43411</v>
      </c>
      <c r="K1441" s="12" t="s">
        <v>25</v>
      </c>
      <c r="L1441" s="12" t="s">
        <v>88</v>
      </c>
      <c r="M1441" s="12" t="s">
        <v>285</v>
      </c>
      <c r="N1441" s="12" t="s">
        <v>5335</v>
      </c>
      <c r="O1441" s="12"/>
      <c r="P1441" s="12"/>
      <c r="Q1441" s="12"/>
    </row>
    <row r="1442" spans="1:17" x14ac:dyDescent="0.25">
      <c r="A1442" s="11">
        <v>201451</v>
      </c>
      <c r="B1442" s="12" t="s">
        <v>2473</v>
      </c>
      <c r="C1442" s="12" t="s">
        <v>1449</v>
      </c>
      <c r="D1442" s="125">
        <v>6500000</v>
      </c>
      <c r="E1442" s="125">
        <v>6500000</v>
      </c>
      <c r="F1442" s="12">
        <v>44</v>
      </c>
      <c r="G1442" s="12">
        <v>180</v>
      </c>
      <c r="H1442" s="12">
        <v>0</v>
      </c>
      <c r="I1442" s="13">
        <v>43047.486772303244</v>
      </c>
      <c r="J1442" s="13">
        <v>43289</v>
      </c>
      <c r="K1442" s="12" t="s">
        <v>25</v>
      </c>
      <c r="L1442" s="12" t="s">
        <v>88</v>
      </c>
      <c r="M1442" s="12" t="s">
        <v>285</v>
      </c>
      <c r="N1442" s="12" t="s">
        <v>2861</v>
      </c>
      <c r="O1442" s="12"/>
      <c r="P1442" s="12"/>
      <c r="Q1442" s="12"/>
    </row>
    <row r="1443" spans="1:17" x14ac:dyDescent="0.25">
      <c r="A1443" s="11">
        <v>201452</v>
      </c>
      <c r="B1443" s="12" t="s">
        <v>6006</v>
      </c>
      <c r="C1443" s="12" t="s">
        <v>1449</v>
      </c>
      <c r="D1443" s="125">
        <v>3000000</v>
      </c>
      <c r="E1443" s="125">
        <v>3000000</v>
      </c>
      <c r="F1443" s="12">
        <v>54</v>
      </c>
      <c r="G1443" s="12">
        <v>180</v>
      </c>
      <c r="H1443" s="12">
        <v>0</v>
      </c>
      <c r="I1443" s="13">
        <v>43047.499046840276</v>
      </c>
      <c r="J1443" s="13">
        <v>43351</v>
      </c>
      <c r="K1443" s="12" t="s">
        <v>25</v>
      </c>
      <c r="L1443" s="12" t="s">
        <v>88</v>
      </c>
      <c r="M1443" s="12" t="s">
        <v>285</v>
      </c>
      <c r="N1443" s="12" t="s">
        <v>4686</v>
      </c>
      <c r="O1443" s="12"/>
      <c r="P1443" s="12"/>
      <c r="Q1443" s="12"/>
    </row>
    <row r="1444" spans="1:17" x14ac:dyDescent="0.25">
      <c r="A1444" s="11">
        <v>201453</v>
      </c>
      <c r="B1444" s="12" t="s">
        <v>6007</v>
      </c>
      <c r="C1444" s="12" t="s">
        <v>1449</v>
      </c>
      <c r="D1444" s="125">
        <v>4000000</v>
      </c>
      <c r="E1444" s="125">
        <v>4000000</v>
      </c>
      <c r="F1444" s="12">
        <v>54</v>
      </c>
      <c r="G1444" s="12">
        <v>180</v>
      </c>
      <c r="H1444" s="12">
        <v>0</v>
      </c>
      <c r="I1444" s="13">
        <v>43047.549877511578</v>
      </c>
      <c r="J1444" s="13">
        <v>43351</v>
      </c>
      <c r="K1444" s="12" t="s">
        <v>25</v>
      </c>
      <c r="L1444" s="12" t="s">
        <v>88</v>
      </c>
      <c r="M1444" s="12" t="s">
        <v>285</v>
      </c>
      <c r="N1444" s="12" t="s">
        <v>5386</v>
      </c>
      <c r="O1444" s="12"/>
      <c r="P1444" s="12"/>
      <c r="Q1444" s="12"/>
    </row>
    <row r="1445" spans="1:17" x14ac:dyDescent="0.25">
      <c r="A1445" s="11">
        <v>201454</v>
      </c>
      <c r="B1445" s="12" t="s">
        <v>6008</v>
      </c>
      <c r="C1445" s="12" t="s">
        <v>1449</v>
      </c>
      <c r="D1445" s="125">
        <v>6000000</v>
      </c>
      <c r="E1445" s="125">
        <v>6000000</v>
      </c>
      <c r="F1445" s="12">
        <v>50</v>
      </c>
      <c r="G1445" s="12">
        <v>180</v>
      </c>
      <c r="H1445" s="12">
        <v>0</v>
      </c>
      <c r="I1445" s="13">
        <v>43047.583961724536</v>
      </c>
      <c r="J1445" s="13">
        <v>43351</v>
      </c>
      <c r="K1445" s="12" t="s">
        <v>25</v>
      </c>
      <c r="L1445" s="12" t="s">
        <v>88</v>
      </c>
      <c r="M1445" s="12" t="s">
        <v>285</v>
      </c>
      <c r="N1445" s="12" t="s">
        <v>4686</v>
      </c>
      <c r="O1445" s="12"/>
      <c r="P1445" s="12"/>
      <c r="Q1445" s="12"/>
    </row>
    <row r="1446" spans="1:17" x14ac:dyDescent="0.25">
      <c r="A1446" s="11">
        <v>201455</v>
      </c>
      <c r="B1446" s="12" t="s">
        <v>5180</v>
      </c>
      <c r="C1446" s="12" t="s">
        <v>5043</v>
      </c>
      <c r="D1446" s="125">
        <v>1000000</v>
      </c>
      <c r="E1446" s="125">
        <v>831497.3</v>
      </c>
      <c r="F1446" s="12">
        <v>25</v>
      </c>
      <c r="G1446" s="12">
        <v>180</v>
      </c>
      <c r="H1446" s="12">
        <v>0</v>
      </c>
      <c r="I1446" s="13">
        <v>43048.486365081022</v>
      </c>
      <c r="J1446" s="13">
        <v>43211</v>
      </c>
      <c r="K1446" s="12" t="s">
        <v>28</v>
      </c>
      <c r="L1446" s="12" t="s">
        <v>108</v>
      </c>
      <c r="M1446" s="12" t="s">
        <v>26</v>
      </c>
      <c r="N1446" s="12" t="s">
        <v>284</v>
      </c>
      <c r="O1446" s="12"/>
      <c r="P1446" s="12"/>
      <c r="Q1446" s="12"/>
    </row>
    <row r="1447" spans="1:17" x14ac:dyDescent="0.25">
      <c r="A1447" s="11">
        <v>201456</v>
      </c>
      <c r="B1447" s="12" t="s">
        <v>6019</v>
      </c>
      <c r="C1447" s="12" t="s">
        <v>1449</v>
      </c>
      <c r="D1447" s="125">
        <v>4000000</v>
      </c>
      <c r="E1447" s="125">
        <v>4000000</v>
      </c>
      <c r="F1447" s="12">
        <v>54</v>
      </c>
      <c r="G1447" s="12">
        <v>180</v>
      </c>
      <c r="H1447" s="12">
        <v>0</v>
      </c>
      <c r="I1447" s="13">
        <v>43048.546624768518</v>
      </c>
      <c r="J1447" s="13">
        <v>43352</v>
      </c>
      <c r="K1447" s="12" t="s">
        <v>25</v>
      </c>
      <c r="L1447" s="12" t="s">
        <v>88</v>
      </c>
      <c r="M1447" s="12" t="s">
        <v>26</v>
      </c>
      <c r="N1447" s="12" t="s">
        <v>5047</v>
      </c>
      <c r="O1447" s="12"/>
      <c r="P1447" s="12"/>
      <c r="Q1447" s="12"/>
    </row>
    <row r="1448" spans="1:17" x14ac:dyDescent="0.25">
      <c r="A1448" s="11">
        <v>201457</v>
      </c>
      <c r="B1448" s="12" t="s">
        <v>1957</v>
      </c>
      <c r="C1448" s="12" t="s">
        <v>2807</v>
      </c>
      <c r="D1448" s="125">
        <v>10000000</v>
      </c>
      <c r="E1448" s="125">
        <v>10000000</v>
      </c>
      <c r="F1448" s="12">
        <v>44</v>
      </c>
      <c r="G1448" s="12">
        <v>180</v>
      </c>
      <c r="H1448" s="12">
        <v>0</v>
      </c>
      <c r="I1448" s="13">
        <v>43049.507392245374</v>
      </c>
      <c r="J1448" s="13">
        <v>43414</v>
      </c>
      <c r="K1448" s="12" t="s">
        <v>44</v>
      </c>
      <c r="L1448" s="12" t="s">
        <v>75</v>
      </c>
      <c r="M1448" s="12" t="s">
        <v>1442</v>
      </c>
      <c r="N1448" s="12" t="s">
        <v>963</v>
      </c>
      <c r="O1448" s="12"/>
      <c r="P1448" s="12"/>
      <c r="Q1448" s="12"/>
    </row>
    <row r="1449" spans="1:17" x14ac:dyDescent="0.25">
      <c r="A1449" s="11">
        <v>201458</v>
      </c>
      <c r="B1449" s="12" t="s">
        <v>6018</v>
      </c>
      <c r="C1449" s="12" t="s">
        <v>2807</v>
      </c>
      <c r="D1449" s="125">
        <v>2000000</v>
      </c>
      <c r="E1449" s="125">
        <v>2000000</v>
      </c>
      <c r="F1449" s="12">
        <v>54</v>
      </c>
      <c r="G1449" s="12">
        <v>180</v>
      </c>
      <c r="H1449" s="12">
        <v>0</v>
      </c>
      <c r="I1449" s="13">
        <v>43050.456770868055</v>
      </c>
      <c r="J1449" s="13">
        <v>43354</v>
      </c>
      <c r="K1449" s="12" t="s">
        <v>25</v>
      </c>
      <c r="L1449" s="12" t="s">
        <v>286</v>
      </c>
      <c r="M1449" s="12" t="s">
        <v>287</v>
      </c>
      <c r="N1449" s="12" t="s">
        <v>4686</v>
      </c>
      <c r="O1449" s="12"/>
      <c r="P1449" s="12"/>
      <c r="Q1449" s="12"/>
    </row>
    <row r="1450" spans="1:17" x14ac:dyDescent="0.25">
      <c r="A1450" s="11">
        <v>201459</v>
      </c>
      <c r="B1450" s="12" t="s">
        <v>6030</v>
      </c>
      <c r="C1450" s="12" t="s">
        <v>2807</v>
      </c>
      <c r="D1450" s="125">
        <v>1500000</v>
      </c>
      <c r="E1450" s="125">
        <v>1500000</v>
      </c>
      <c r="F1450" s="12">
        <v>54</v>
      </c>
      <c r="G1450" s="12">
        <v>180</v>
      </c>
      <c r="H1450" s="12">
        <v>0</v>
      </c>
      <c r="I1450" s="13">
        <v>43054.660704282411</v>
      </c>
      <c r="J1450" s="13">
        <v>43358</v>
      </c>
      <c r="K1450" s="12" t="s">
        <v>25</v>
      </c>
      <c r="L1450" s="12" t="s">
        <v>290</v>
      </c>
      <c r="M1450" s="12" t="s">
        <v>1824</v>
      </c>
      <c r="N1450" s="12" t="s">
        <v>491</v>
      </c>
      <c r="O1450" s="12"/>
      <c r="P1450" s="12"/>
      <c r="Q1450" s="12"/>
    </row>
    <row r="1451" spans="1:17" x14ac:dyDescent="0.25">
      <c r="A1451" s="11">
        <v>201460</v>
      </c>
      <c r="B1451" s="12" t="s">
        <v>4567</v>
      </c>
      <c r="C1451" s="12" t="s">
        <v>2807</v>
      </c>
      <c r="D1451" s="125">
        <v>8902000</v>
      </c>
      <c r="E1451" s="125">
        <v>8902000</v>
      </c>
      <c r="F1451" s="12">
        <v>22</v>
      </c>
      <c r="G1451" s="12">
        <v>180</v>
      </c>
      <c r="H1451" s="12">
        <v>0</v>
      </c>
      <c r="I1451" s="13">
        <v>43055.710180821756</v>
      </c>
      <c r="J1451" s="13">
        <v>43790</v>
      </c>
      <c r="K1451" s="12" t="s">
        <v>43</v>
      </c>
      <c r="L1451" s="12" t="s">
        <v>338</v>
      </c>
      <c r="M1451" s="12" t="s">
        <v>339</v>
      </c>
      <c r="N1451" s="12" t="s">
        <v>284</v>
      </c>
      <c r="O1451" s="12"/>
      <c r="P1451" s="12"/>
      <c r="Q1451" s="12"/>
    </row>
    <row r="1452" spans="1:17" x14ac:dyDescent="0.25">
      <c r="A1452" s="11">
        <v>201461</v>
      </c>
      <c r="B1452" s="12" t="s">
        <v>5152</v>
      </c>
      <c r="C1452" s="12" t="s">
        <v>1449</v>
      </c>
      <c r="D1452" s="125">
        <v>11880000</v>
      </c>
      <c r="E1452" s="125">
        <v>11880000</v>
      </c>
      <c r="F1452" s="12">
        <v>22</v>
      </c>
      <c r="G1452" s="12">
        <v>180</v>
      </c>
      <c r="H1452" s="12">
        <v>0</v>
      </c>
      <c r="I1452" s="13">
        <v>43055.720786886573</v>
      </c>
      <c r="J1452" s="13">
        <v>43790</v>
      </c>
      <c r="K1452" s="12" t="s">
        <v>25</v>
      </c>
      <c r="L1452" s="12" t="s">
        <v>88</v>
      </c>
      <c r="M1452" s="12" t="s">
        <v>285</v>
      </c>
      <c r="N1452" s="12" t="s">
        <v>284</v>
      </c>
      <c r="O1452" s="12"/>
      <c r="P1452" s="12"/>
      <c r="Q1452" s="12"/>
    </row>
    <row r="1453" spans="1:17" x14ac:dyDescent="0.25">
      <c r="A1453" s="11"/>
      <c r="B1453" s="12"/>
      <c r="C1453" s="12"/>
      <c r="D1453" s="125"/>
      <c r="E1453" s="125"/>
      <c r="F1453" s="12"/>
      <c r="G1453" s="12"/>
      <c r="H1453" s="12"/>
      <c r="I1453" s="13"/>
      <c r="J1453" s="13"/>
      <c r="K1453" s="12"/>
      <c r="L1453" s="12"/>
      <c r="M1453" s="12"/>
      <c r="N1453" s="12"/>
      <c r="O1453" s="12"/>
      <c r="P1453" s="12"/>
      <c r="Q1453" s="12"/>
    </row>
    <row r="1454" spans="1:17" x14ac:dyDescent="0.25">
      <c r="A1454" s="11"/>
      <c r="B1454" s="12"/>
      <c r="C1454" s="12"/>
      <c r="D1454" s="125"/>
      <c r="E1454" s="125"/>
      <c r="F1454" s="12"/>
      <c r="G1454" s="12"/>
      <c r="H1454" s="12"/>
      <c r="I1454" s="13"/>
      <c r="J1454" s="13"/>
      <c r="K1454" s="12"/>
      <c r="L1454" s="12"/>
      <c r="M1454" s="12"/>
      <c r="N1454" s="12"/>
      <c r="O1454" s="12"/>
      <c r="P1454" s="12"/>
      <c r="Q1454" s="12"/>
    </row>
    <row r="1455" spans="1:17" x14ac:dyDescent="0.25">
      <c r="A1455" s="11"/>
      <c r="B1455" s="12"/>
      <c r="C1455" s="12"/>
      <c r="D1455" s="125"/>
      <c r="E1455" s="125"/>
      <c r="F1455" s="12"/>
      <c r="G1455" s="12"/>
      <c r="H1455" s="12"/>
      <c r="I1455" s="13"/>
      <c r="J1455" s="13"/>
      <c r="K1455" s="12"/>
      <c r="L1455" s="12"/>
      <c r="M1455" s="12"/>
      <c r="N1455" s="12"/>
      <c r="O1455" s="12"/>
      <c r="P1455" s="12"/>
      <c r="Q1455" s="12"/>
    </row>
    <row r="1456" spans="1:17" x14ac:dyDescent="0.25">
      <c r="A1456" s="11"/>
      <c r="B1456" s="12"/>
      <c r="C1456" s="12"/>
      <c r="D1456" s="125"/>
      <c r="E1456" s="125"/>
      <c r="F1456" s="12"/>
      <c r="G1456" s="12"/>
      <c r="H1456" s="12"/>
      <c r="I1456" s="13"/>
      <c r="J1456" s="13"/>
      <c r="K1456" s="12"/>
      <c r="L1456" s="12"/>
      <c r="M1456" s="12"/>
      <c r="N1456" s="12"/>
      <c r="O1456" s="12"/>
      <c r="P1456" s="12"/>
      <c r="Q1456" s="12"/>
    </row>
    <row r="1457" spans="1:17" x14ac:dyDescent="0.25">
      <c r="A1457" s="11"/>
      <c r="B1457" s="12"/>
      <c r="C1457" s="12"/>
      <c r="D1457" s="125"/>
      <c r="E1457" s="125"/>
      <c r="F1457" s="12"/>
      <c r="G1457" s="12"/>
      <c r="H1457" s="12"/>
      <c r="I1457" s="13"/>
      <c r="J1457" s="13"/>
      <c r="K1457" s="12"/>
      <c r="L1457" s="12"/>
      <c r="M1457" s="12"/>
      <c r="N1457" s="12"/>
      <c r="O1457" s="12"/>
      <c r="P1457" s="12"/>
      <c r="Q1457" s="12"/>
    </row>
    <row r="1458" spans="1:17" x14ac:dyDescent="0.25">
      <c r="A1458" s="11"/>
      <c r="B1458" s="12"/>
      <c r="C1458" s="12"/>
      <c r="D1458" s="125"/>
      <c r="E1458" s="125"/>
      <c r="F1458" s="12"/>
      <c r="G1458" s="12"/>
      <c r="H1458" s="12"/>
      <c r="I1458" s="13"/>
      <c r="J1458" s="13"/>
      <c r="K1458" s="12"/>
      <c r="L1458" s="12"/>
      <c r="M1458" s="12"/>
      <c r="N1458" s="12"/>
      <c r="O1458" s="12"/>
      <c r="P1458" s="12"/>
      <c r="Q1458" s="12"/>
    </row>
    <row r="1459" spans="1:17" x14ac:dyDescent="0.25">
      <c r="A1459" s="11"/>
      <c r="B1459" s="12"/>
      <c r="C1459" s="12"/>
      <c r="D1459" s="125"/>
      <c r="E1459" s="125"/>
      <c r="F1459" s="12"/>
      <c r="G1459" s="12"/>
      <c r="H1459" s="12"/>
      <c r="I1459" s="13"/>
      <c r="J1459" s="13"/>
      <c r="K1459" s="12"/>
      <c r="L1459" s="12"/>
      <c r="M1459" s="12"/>
      <c r="N1459" s="12"/>
      <c r="O1459" s="12"/>
      <c r="P1459" s="12"/>
      <c r="Q1459" s="12"/>
    </row>
    <row r="1460" spans="1:17" x14ac:dyDescent="0.25">
      <c r="A1460" s="11"/>
      <c r="B1460" s="12"/>
      <c r="C1460" s="12"/>
      <c r="D1460" s="125"/>
      <c r="E1460" s="125"/>
      <c r="F1460" s="12"/>
      <c r="G1460" s="12"/>
      <c r="H1460" s="12"/>
      <c r="I1460" s="13"/>
      <c r="J1460" s="13"/>
      <c r="K1460" s="12"/>
      <c r="L1460" s="12"/>
      <c r="M1460" s="12"/>
      <c r="N1460" s="12"/>
      <c r="O1460" s="12"/>
      <c r="P1460" s="12"/>
      <c r="Q1460" s="12"/>
    </row>
    <row r="1461" spans="1:17" x14ac:dyDescent="0.25">
      <c r="A1461" s="11"/>
      <c r="B1461" s="12"/>
      <c r="C1461" s="12"/>
      <c r="D1461" s="125"/>
      <c r="E1461" s="125"/>
      <c r="F1461" s="12"/>
      <c r="G1461" s="12"/>
      <c r="H1461" s="12"/>
      <c r="I1461" s="13"/>
      <c r="J1461" s="13"/>
      <c r="K1461" s="12"/>
      <c r="L1461" s="12"/>
      <c r="M1461" s="12"/>
      <c r="N1461" s="12"/>
      <c r="O1461" s="12"/>
      <c r="P1461" s="12"/>
      <c r="Q1461" s="12"/>
    </row>
    <row r="1462" spans="1:17" x14ac:dyDescent="0.25">
      <c r="A1462" s="11"/>
      <c r="B1462" s="12"/>
      <c r="C1462" s="12"/>
      <c r="D1462" s="125"/>
      <c r="E1462" s="125"/>
      <c r="F1462" s="12"/>
      <c r="G1462" s="12"/>
      <c r="H1462" s="12"/>
      <c r="I1462" s="13"/>
      <c r="J1462" s="13"/>
      <c r="K1462" s="12"/>
      <c r="L1462" s="12"/>
      <c r="M1462" s="12"/>
      <c r="N1462" s="12"/>
      <c r="O1462" s="12"/>
      <c r="P1462" s="12"/>
      <c r="Q1462" s="12"/>
    </row>
    <row r="1463" spans="1:17" x14ac:dyDescent="0.25">
      <c r="A1463" s="11"/>
      <c r="B1463" s="12"/>
      <c r="C1463" s="12"/>
      <c r="D1463" s="125"/>
      <c r="E1463" s="125"/>
      <c r="F1463" s="12"/>
      <c r="G1463" s="12"/>
      <c r="H1463" s="12"/>
      <c r="I1463" s="13"/>
      <c r="J1463" s="13"/>
      <c r="K1463" s="12"/>
      <c r="L1463" s="12"/>
      <c r="M1463" s="12"/>
      <c r="N1463" s="12"/>
      <c r="O1463" s="12"/>
      <c r="P1463" s="12"/>
      <c r="Q1463" s="12"/>
    </row>
    <row r="1464" spans="1:17" x14ac:dyDescent="0.25">
      <c r="A1464" s="11"/>
      <c r="B1464" s="12"/>
      <c r="C1464" s="12"/>
      <c r="D1464" s="125"/>
      <c r="E1464" s="125"/>
      <c r="F1464" s="12"/>
      <c r="G1464" s="12"/>
      <c r="H1464" s="12"/>
      <c r="I1464" s="13"/>
      <c r="J1464" s="13"/>
      <c r="K1464" s="12"/>
      <c r="L1464" s="12"/>
      <c r="M1464" s="12"/>
      <c r="N1464" s="12"/>
      <c r="O1464" s="12"/>
      <c r="P1464" s="12"/>
      <c r="Q1464" s="12"/>
    </row>
    <row r="1465" spans="1:17" x14ac:dyDescent="0.25">
      <c r="A1465" s="11"/>
      <c r="B1465" s="12"/>
      <c r="C1465" s="12"/>
      <c r="D1465" s="125"/>
      <c r="E1465" s="125"/>
      <c r="F1465" s="12"/>
      <c r="G1465" s="12"/>
      <c r="H1465" s="12"/>
      <c r="I1465" s="13"/>
      <c r="J1465" s="13"/>
      <c r="K1465" s="12"/>
      <c r="L1465" s="12"/>
      <c r="M1465" s="12"/>
      <c r="N1465" s="12"/>
      <c r="O1465" s="12"/>
      <c r="P1465" s="12"/>
      <c r="Q1465" s="12"/>
    </row>
    <row r="1466" spans="1:17" x14ac:dyDescent="0.25">
      <c r="A1466" s="11"/>
      <c r="B1466" s="12"/>
      <c r="C1466" s="12"/>
      <c r="D1466" s="125"/>
      <c r="E1466" s="125"/>
      <c r="F1466" s="12"/>
      <c r="G1466" s="12"/>
      <c r="H1466" s="12"/>
      <c r="I1466" s="13"/>
      <c r="J1466" s="13"/>
      <c r="K1466" s="12"/>
      <c r="L1466" s="12"/>
      <c r="M1466" s="12"/>
      <c r="N1466" s="12"/>
      <c r="O1466" s="12"/>
      <c r="P1466" s="12"/>
      <c r="Q1466" s="12"/>
    </row>
    <row r="1467" spans="1:17" x14ac:dyDescent="0.25">
      <c r="A1467" s="11"/>
      <c r="B1467" s="12"/>
      <c r="C1467" s="12"/>
      <c r="D1467" s="125"/>
      <c r="E1467" s="125"/>
      <c r="F1467" s="12"/>
      <c r="G1467" s="12"/>
      <c r="H1467" s="12"/>
      <c r="I1467" s="13"/>
      <c r="J1467" s="13"/>
      <c r="K1467" s="12"/>
      <c r="L1467" s="12"/>
      <c r="M1467" s="12"/>
      <c r="N1467" s="12"/>
      <c r="O1467" s="12"/>
      <c r="P1467" s="12"/>
      <c r="Q1467" s="12"/>
    </row>
    <row r="1468" spans="1:17" x14ac:dyDescent="0.25">
      <c r="A1468" s="11"/>
      <c r="B1468" s="12"/>
      <c r="C1468" s="12"/>
      <c r="D1468" s="125"/>
      <c r="E1468" s="125"/>
      <c r="F1468" s="12"/>
      <c r="G1468" s="12"/>
      <c r="H1468" s="12"/>
      <c r="I1468" s="13"/>
      <c r="J1468" s="13"/>
      <c r="K1468" s="12"/>
      <c r="L1468" s="12"/>
      <c r="M1468" s="12"/>
      <c r="N1468" s="12"/>
      <c r="O1468" s="12"/>
      <c r="P1468" s="12"/>
      <c r="Q1468" s="12"/>
    </row>
    <row r="1469" spans="1:17" x14ac:dyDescent="0.25">
      <c r="A1469" s="11"/>
      <c r="B1469" s="12"/>
      <c r="C1469" s="12"/>
      <c r="D1469" s="125"/>
      <c r="E1469" s="125"/>
      <c r="F1469" s="12"/>
      <c r="G1469" s="12"/>
      <c r="H1469" s="12"/>
      <c r="I1469" s="13"/>
      <c r="J1469" s="13"/>
      <c r="K1469" s="12"/>
      <c r="L1469" s="12"/>
      <c r="M1469" s="12"/>
      <c r="N1469" s="12"/>
      <c r="O1469" s="12"/>
      <c r="P1469" s="12"/>
      <c r="Q1469" s="12"/>
    </row>
    <row r="1470" spans="1:17" x14ac:dyDescent="0.25">
      <c r="A1470" s="11"/>
      <c r="B1470" s="12"/>
      <c r="C1470" s="12"/>
      <c r="D1470" s="125"/>
      <c r="E1470" s="125"/>
      <c r="F1470" s="12"/>
      <c r="G1470" s="12"/>
      <c r="H1470" s="12"/>
      <c r="I1470" s="13"/>
      <c r="J1470" s="13"/>
      <c r="K1470" s="12"/>
      <c r="L1470" s="12"/>
      <c r="M1470" s="12"/>
      <c r="N1470" s="12"/>
      <c r="O1470" s="12"/>
      <c r="P1470" s="12"/>
      <c r="Q1470" s="12"/>
    </row>
    <row r="1471" spans="1:17" x14ac:dyDescent="0.25">
      <c r="A1471" s="11"/>
      <c r="B1471" s="12"/>
      <c r="C1471" s="12"/>
      <c r="D1471" s="125"/>
      <c r="E1471" s="125"/>
      <c r="F1471" s="12"/>
      <c r="G1471" s="12"/>
      <c r="H1471" s="12"/>
      <c r="I1471" s="13"/>
      <c r="J1471" s="13"/>
      <c r="K1471" s="12"/>
      <c r="L1471" s="12"/>
      <c r="M1471" s="12"/>
      <c r="N1471" s="12"/>
      <c r="O1471" s="12"/>
      <c r="P1471" s="12"/>
      <c r="Q1471" s="12"/>
    </row>
    <row r="1472" spans="1:17" x14ac:dyDescent="0.25">
      <c r="A1472" s="11"/>
      <c r="B1472" s="12"/>
      <c r="C1472" s="12"/>
      <c r="D1472" s="125"/>
      <c r="E1472" s="125"/>
      <c r="F1472" s="12"/>
      <c r="G1472" s="12"/>
      <c r="H1472" s="12"/>
      <c r="I1472" s="13"/>
      <c r="J1472" s="13"/>
      <c r="K1472" s="12"/>
      <c r="L1472" s="12"/>
      <c r="M1472" s="12"/>
      <c r="N1472" s="12"/>
      <c r="O1472" s="12"/>
      <c r="P1472" s="12"/>
      <c r="Q1472" s="12"/>
    </row>
    <row r="1473" spans="1:17" x14ac:dyDescent="0.25">
      <c r="A1473" s="11"/>
      <c r="B1473" s="12"/>
      <c r="C1473" s="12"/>
      <c r="D1473" s="125"/>
      <c r="E1473" s="125"/>
      <c r="F1473" s="12"/>
      <c r="G1473" s="12"/>
      <c r="H1473" s="12"/>
      <c r="I1473" s="13"/>
      <c r="J1473" s="13"/>
      <c r="K1473" s="12"/>
      <c r="L1473" s="12"/>
      <c r="M1473" s="12"/>
      <c r="N1473" s="12"/>
      <c r="O1473" s="12"/>
      <c r="P1473" s="12"/>
      <c r="Q1473" s="12"/>
    </row>
    <row r="1474" spans="1:17" x14ac:dyDescent="0.25">
      <c r="A1474" s="11"/>
      <c r="B1474" s="12"/>
      <c r="C1474" s="12"/>
      <c r="D1474" s="125"/>
      <c r="E1474" s="125"/>
      <c r="F1474" s="12"/>
      <c r="G1474" s="12"/>
      <c r="H1474" s="12"/>
      <c r="I1474" s="13"/>
      <c r="J1474" s="13"/>
      <c r="K1474" s="12"/>
      <c r="L1474" s="12"/>
      <c r="M1474" s="12"/>
      <c r="N1474" s="12"/>
      <c r="O1474" s="12"/>
      <c r="P1474" s="12"/>
      <c r="Q1474" s="12"/>
    </row>
    <row r="1475" spans="1:17" x14ac:dyDescent="0.25">
      <c r="A1475" s="11"/>
      <c r="B1475" s="12"/>
      <c r="C1475" s="12"/>
      <c r="D1475" s="125"/>
      <c r="E1475" s="125"/>
      <c r="F1475" s="12"/>
      <c r="G1475" s="12"/>
      <c r="H1475" s="12"/>
      <c r="I1475" s="13"/>
      <c r="J1475" s="13"/>
      <c r="K1475" s="12"/>
      <c r="L1475" s="12"/>
      <c r="M1475" s="12"/>
      <c r="N1475" s="12"/>
      <c r="O1475" s="12"/>
      <c r="P1475" s="12"/>
      <c r="Q1475" s="12"/>
    </row>
    <row r="1476" spans="1:17" x14ac:dyDescent="0.25">
      <c r="A1476" s="11"/>
      <c r="B1476" s="12"/>
      <c r="C1476" s="12"/>
      <c r="D1476" s="125"/>
      <c r="E1476" s="125"/>
      <c r="F1476" s="12"/>
      <c r="G1476" s="12"/>
      <c r="H1476" s="12"/>
      <c r="I1476" s="13"/>
      <c r="J1476" s="13"/>
      <c r="K1476" s="12"/>
      <c r="L1476" s="12"/>
      <c r="M1476" s="12"/>
      <c r="N1476" s="12"/>
      <c r="O1476" s="12"/>
      <c r="P1476" s="12"/>
      <c r="Q1476" s="12"/>
    </row>
    <row r="1477" spans="1:17" x14ac:dyDescent="0.25">
      <c r="A1477" s="11"/>
      <c r="B1477" s="12"/>
      <c r="C1477" s="12"/>
      <c r="D1477" s="125"/>
      <c r="E1477" s="125"/>
      <c r="F1477" s="12"/>
      <c r="G1477" s="12"/>
      <c r="H1477" s="12"/>
      <c r="I1477" s="13"/>
      <c r="J1477" s="13"/>
      <c r="K1477" s="12"/>
      <c r="L1477" s="12"/>
      <c r="M1477" s="12"/>
      <c r="N1477" s="12"/>
      <c r="O1477" s="12"/>
      <c r="P1477" s="12"/>
      <c r="Q1477" s="12"/>
    </row>
    <row r="1478" spans="1:17" x14ac:dyDescent="0.25">
      <c r="A1478" s="11"/>
      <c r="B1478" s="12"/>
      <c r="C1478" s="12"/>
      <c r="D1478" s="125"/>
      <c r="E1478" s="125"/>
      <c r="F1478" s="12"/>
      <c r="G1478" s="12"/>
      <c r="H1478" s="12"/>
      <c r="I1478" s="13"/>
      <c r="J1478" s="13"/>
      <c r="K1478" s="12"/>
      <c r="L1478" s="12"/>
      <c r="M1478" s="12"/>
      <c r="N1478" s="12"/>
      <c r="O1478" s="12"/>
      <c r="P1478" s="12"/>
      <c r="Q1478" s="12"/>
    </row>
    <row r="1479" spans="1:17" x14ac:dyDescent="0.25">
      <c r="A1479" s="11"/>
      <c r="B1479" s="12"/>
      <c r="C1479" s="12"/>
      <c r="D1479" s="125"/>
      <c r="E1479" s="125"/>
      <c r="F1479" s="12"/>
      <c r="G1479" s="12"/>
      <c r="H1479" s="12"/>
      <c r="I1479" s="13"/>
      <c r="J1479" s="13"/>
      <c r="K1479" s="12"/>
      <c r="L1479" s="12"/>
      <c r="M1479" s="12"/>
      <c r="N1479" s="12"/>
      <c r="O1479" s="12"/>
      <c r="P1479" s="12"/>
      <c r="Q1479" s="12"/>
    </row>
    <row r="1480" spans="1:17" x14ac:dyDescent="0.25">
      <c r="A1480" s="11"/>
      <c r="B1480" s="12"/>
      <c r="C1480" s="12"/>
      <c r="D1480" s="125"/>
      <c r="E1480" s="125"/>
      <c r="F1480" s="12"/>
      <c r="G1480" s="12"/>
      <c r="H1480" s="12"/>
      <c r="I1480" s="13"/>
      <c r="J1480" s="13"/>
      <c r="K1480" s="12"/>
      <c r="L1480" s="12"/>
      <c r="M1480" s="12"/>
      <c r="N1480" s="12"/>
      <c r="O1480" s="12"/>
      <c r="P1480" s="12"/>
      <c r="Q1480" s="12"/>
    </row>
    <row r="1481" spans="1:17" x14ac:dyDescent="0.25">
      <c r="A1481" s="11"/>
      <c r="B1481" s="12"/>
      <c r="C1481" s="12"/>
      <c r="D1481" s="125"/>
      <c r="E1481" s="125"/>
      <c r="F1481" s="12"/>
      <c r="G1481" s="12"/>
      <c r="H1481" s="12"/>
      <c r="I1481" s="13"/>
      <c r="J1481" s="13"/>
      <c r="K1481" s="12"/>
      <c r="L1481" s="12"/>
      <c r="M1481" s="12"/>
      <c r="N1481" s="12"/>
      <c r="O1481" s="12"/>
      <c r="P1481" s="12"/>
      <c r="Q1481" s="12"/>
    </row>
    <row r="1482" spans="1:17" x14ac:dyDescent="0.25">
      <c r="A1482" s="11"/>
      <c r="B1482" s="12"/>
      <c r="C1482" s="12"/>
      <c r="D1482" s="125"/>
      <c r="E1482" s="125"/>
      <c r="F1482" s="12"/>
      <c r="G1482" s="12"/>
      <c r="H1482" s="12"/>
      <c r="I1482" s="13"/>
      <c r="J1482" s="13"/>
      <c r="K1482" s="12"/>
      <c r="L1482" s="12"/>
      <c r="M1482" s="12"/>
      <c r="N1482" s="12"/>
      <c r="O1482" s="12"/>
      <c r="P1482" s="12"/>
      <c r="Q1482" s="12"/>
    </row>
    <row r="1483" spans="1:17" x14ac:dyDescent="0.25">
      <c r="A1483" s="11"/>
      <c r="B1483" s="12"/>
      <c r="C1483" s="12"/>
      <c r="D1483" s="125"/>
      <c r="E1483" s="125"/>
      <c r="F1483" s="12"/>
      <c r="G1483" s="12"/>
      <c r="H1483" s="12"/>
      <c r="I1483" s="13"/>
      <c r="J1483" s="13"/>
      <c r="K1483" s="12"/>
      <c r="L1483" s="12"/>
      <c r="M1483" s="12"/>
      <c r="N1483" s="12"/>
      <c r="O1483" s="12"/>
      <c r="P1483" s="12"/>
      <c r="Q1483" s="12"/>
    </row>
    <row r="1484" spans="1:17" x14ac:dyDescent="0.25">
      <c r="A1484" s="11"/>
      <c r="B1484" s="12"/>
      <c r="C1484" s="12"/>
      <c r="D1484" s="125"/>
      <c r="E1484" s="125"/>
      <c r="F1484" s="12"/>
      <c r="G1484" s="12"/>
      <c r="H1484" s="12"/>
      <c r="I1484" s="13"/>
      <c r="J1484" s="13"/>
      <c r="K1484" s="12"/>
      <c r="L1484" s="12"/>
      <c r="M1484" s="12"/>
      <c r="N1484" s="12"/>
      <c r="O1484" s="12"/>
      <c r="P1484" s="12"/>
      <c r="Q1484" s="12"/>
    </row>
    <row r="1485" spans="1:17" x14ac:dyDescent="0.25">
      <c r="A1485" s="11"/>
      <c r="B1485" s="12"/>
      <c r="C1485" s="12"/>
      <c r="D1485" s="125"/>
      <c r="E1485" s="125"/>
      <c r="F1485" s="12"/>
      <c r="G1485" s="12"/>
      <c r="H1485" s="12"/>
      <c r="I1485" s="13"/>
      <c r="J1485" s="13"/>
      <c r="K1485" s="12"/>
      <c r="L1485" s="12"/>
      <c r="M1485" s="12"/>
      <c r="N1485" s="12"/>
      <c r="O1485" s="12"/>
      <c r="P1485" s="12"/>
      <c r="Q1485" s="12"/>
    </row>
    <row r="1486" spans="1:17" x14ac:dyDescent="0.25">
      <c r="A1486" s="11"/>
      <c r="B1486" s="12"/>
      <c r="C1486" s="12"/>
      <c r="D1486" s="125"/>
      <c r="E1486" s="125"/>
      <c r="F1486" s="12"/>
      <c r="G1486" s="12"/>
      <c r="H1486" s="12"/>
      <c r="I1486" s="13"/>
      <c r="J1486" s="13"/>
      <c r="K1486" s="12"/>
      <c r="L1486" s="12"/>
      <c r="M1486" s="12"/>
      <c r="N1486" s="12"/>
      <c r="O1486" s="12"/>
      <c r="P1486" s="12"/>
      <c r="Q1486" s="12"/>
    </row>
    <row r="1487" spans="1:17" x14ac:dyDescent="0.25">
      <c r="A1487" s="11"/>
      <c r="B1487" s="12"/>
      <c r="C1487" s="12"/>
      <c r="D1487" s="125"/>
      <c r="E1487" s="125"/>
      <c r="F1487" s="12"/>
      <c r="G1487" s="12"/>
      <c r="H1487" s="12"/>
      <c r="I1487" s="13"/>
      <c r="J1487" s="13"/>
      <c r="K1487" s="12"/>
      <c r="L1487" s="12"/>
      <c r="M1487" s="12"/>
      <c r="N1487" s="12"/>
      <c r="O1487" s="12"/>
      <c r="P1487" s="12"/>
      <c r="Q1487" s="12"/>
    </row>
    <row r="1488" spans="1:17" x14ac:dyDescent="0.25">
      <c r="A1488" s="11"/>
      <c r="B1488" s="12"/>
      <c r="C1488" s="12"/>
      <c r="D1488" s="125"/>
      <c r="E1488" s="125"/>
      <c r="F1488" s="12"/>
      <c r="G1488" s="12"/>
      <c r="H1488" s="12"/>
      <c r="I1488" s="13"/>
      <c r="J1488" s="13"/>
      <c r="K1488" s="12"/>
      <c r="L1488" s="12"/>
      <c r="M1488" s="12"/>
      <c r="N1488" s="12"/>
      <c r="O1488" s="12"/>
      <c r="P1488" s="12"/>
      <c r="Q1488" s="12"/>
    </row>
    <row r="1489" spans="1:17" x14ac:dyDescent="0.25">
      <c r="A1489" s="11"/>
      <c r="B1489" s="12"/>
      <c r="C1489" s="12"/>
      <c r="D1489" s="125"/>
      <c r="E1489" s="125"/>
      <c r="F1489" s="12"/>
      <c r="G1489" s="12"/>
      <c r="H1489" s="12"/>
      <c r="I1489" s="13"/>
      <c r="J1489" s="13"/>
      <c r="K1489" s="12"/>
      <c r="L1489" s="12"/>
      <c r="M1489" s="12"/>
      <c r="N1489" s="12"/>
      <c r="O1489" s="12"/>
      <c r="P1489" s="12"/>
      <c r="Q1489" s="12"/>
    </row>
    <row r="1490" spans="1:17" x14ac:dyDescent="0.25">
      <c r="A1490" s="11"/>
      <c r="B1490" s="12"/>
      <c r="C1490" s="12"/>
      <c r="D1490" s="125"/>
      <c r="E1490" s="125"/>
      <c r="F1490" s="12"/>
      <c r="G1490" s="12"/>
      <c r="H1490" s="12"/>
      <c r="I1490" s="13"/>
      <c r="J1490" s="13"/>
      <c r="K1490" s="12"/>
      <c r="L1490" s="12"/>
      <c r="M1490" s="12"/>
      <c r="N1490" s="12"/>
      <c r="O1490" s="12"/>
      <c r="P1490" s="12"/>
      <c r="Q1490" s="12"/>
    </row>
    <row r="1491" spans="1:17" x14ac:dyDescent="0.25">
      <c r="A1491" s="11"/>
      <c r="B1491" s="12"/>
      <c r="C1491" s="12"/>
      <c r="D1491" s="125"/>
      <c r="E1491" s="125"/>
      <c r="F1491" s="12"/>
      <c r="G1491" s="12"/>
      <c r="H1491" s="12"/>
      <c r="I1491" s="13"/>
      <c r="J1491" s="13"/>
      <c r="K1491" s="12"/>
      <c r="L1491" s="12"/>
      <c r="M1491" s="12"/>
      <c r="N1491" s="12"/>
      <c r="O1491" s="12"/>
      <c r="P1491" s="12"/>
      <c r="Q1491" s="12"/>
    </row>
    <row r="1492" spans="1:17" x14ac:dyDescent="0.25">
      <c r="A1492" s="11"/>
      <c r="B1492" s="12"/>
      <c r="C1492" s="12"/>
      <c r="D1492" s="125"/>
      <c r="E1492" s="125"/>
      <c r="F1492" s="12"/>
      <c r="G1492" s="12"/>
      <c r="H1492" s="12"/>
      <c r="I1492" s="13"/>
      <c r="J1492" s="13"/>
      <c r="K1492" s="12"/>
      <c r="L1492" s="12"/>
      <c r="M1492" s="12"/>
      <c r="N1492" s="12"/>
      <c r="O1492" s="12"/>
      <c r="P1492" s="12"/>
      <c r="Q1492" s="12"/>
    </row>
    <row r="1493" spans="1:17" x14ac:dyDescent="0.25">
      <c r="A1493" s="11"/>
      <c r="B1493" s="12"/>
      <c r="C1493" s="12"/>
      <c r="D1493" s="125"/>
      <c r="E1493" s="125"/>
      <c r="F1493" s="12"/>
      <c r="G1493" s="12"/>
      <c r="H1493" s="12"/>
      <c r="I1493" s="13"/>
      <c r="J1493" s="13"/>
      <c r="K1493" s="12"/>
      <c r="L1493" s="12"/>
      <c r="M1493" s="12"/>
      <c r="N1493" s="12"/>
      <c r="O1493" s="12"/>
      <c r="P1493" s="12"/>
      <c r="Q1493" s="12"/>
    </row>
    <row r="1494" spans="1:17" x14ac:dyDescent="0.25">
      <c r="A1494" s="11"/>
      <c r="B1494" s="12"/>
      <c r="C1494" s="12"/>
      <c r="D1494" s="125"/>
      <c r="E1494" s="125"/>
      <c r="F1494" s="12"/>
      <c r="G1494" s="12"/>
      <c r="H1494" s="12"/>
      <c r="I1494" s="13"/>
      <c r="J1494" s="13"/>
      <c r="K1494" s="12"/>
      <c r="L1494" s="12"/>
      <c r="M1494" s="12"/>
      <c r="N1494" s="12"/>
      <c r="O1494" s="12"/>
      <c r="P1494" s="12"/>
      <c r="Q1494" s="12"/>
    </row>
    <row r="1495" spans="1:17" x14ac:dyDescent="0.25">
      <c r="A1495" s="11"/>
      <c r="B1495" s="12"/>
      <c r="C1495" s="12"/>
      <c r="D1495" s="125"/>
      <c r="E1495" s="125"/>
      <c r="F1495" s="12"/>
      <c r="G1495" s="12"/>
      <c r="H1495" s="12"/>
      <c r="I1495" s="13"/>
      <c r="J1495" s="13"/>
      <c r="K1495" s="12"/>
      <c r="L1495" s="12"/>
      <c r="M1495" s="12"/>
      <c r="N1495" s="12"/>
      <c r="O1495" s="12"/>
      <c r="P1495" s="12"/>
      <c r="Q1495" s="12"/>
    </row>
    <row r="1496" spans="1:17" x14ac:dyDescent="0.25">
      <c r="A1496" s="11"/>
      <c r="B1496" s="12"/>
      <c r="C1496" s="12"/>
      <c r="D1496" s="125"/>
      <c r="E1496" s="125"/>
      <c r="F1496" s="12"/>
      <c r="G1496" s="12"/>
      <c r="H1496" s="12"/>
      <c r="I1496" s="13"/>
      <c r="J1496" s="13"/>
      <c r="K1496" s="12"/>
      <c r="L1496" s="12"/>
      <c r="M1496" s="12"/>
      <c r="N1496" s="12"/>
      <c r="O1496" s="12"/>
      <c r="P1496" s="12"/>
      <c r="Q1496" s="12"/>
    </row>
    <row r="1497" spans="1:17" x14ac:dyDescent="0.25">
      <c r="A1497" s="11"/>
      <c r="B1497" s="12"/>
      <c r="C1497" s="12"/>
      <c r="D1497" s="125"/>
      <c r="E1497" s="125"/>
      <c r="F1497" s="12"/>
      <c r="G1497" s="12"/>
      <c r="H1497" s="12"/>
      <c r="I1497" s="13"/>
      <c r="J1497" s="13"/>
      <c r="K1497" s="12"/>
      <c r="L1497" s="12"/>
      <c r="M1497" s="12"/>
      <c r="N1497" s="12"/>
      <c r="O1497" s="12"/>
      <c r="P1497" s="12"/>
      <c r="Q1497" s="12"/>
    </row>
    <row r="1498" spans="1:17" x14ac:dyDescent="0.25">
      <c r="A1498" s="11"/>
      <c r="B1498" s="12"/>
      <c r="C1498" s="12"/>
      <c r="D1498" s="125"/>
      <c r="E1498" s="125"/>
      <c r="F1498" s="12"/>
      <c r="G1498" s="12"/>
      <c r="H1498" s="12"/>
      <c r="I1498" s="13"/>
      <c r="J1498" s="13"/>
      <c r="K1498" s="12"/>
      <c r="L1498" s="12"/>
      <c r="M1498" s="12"/>
      <c r="N1498" s="12"/>
      <c r="O1498" s="12"/>
      <c r="P1498" s="12"/>
      <c r="Q1498" s="12"/>
    </row>
    <row r="1499" spans="1:17" x14ac:dyDescent="0.25">
      <c r="A1499" s="11"/>
      <c r="B1499" s="12"/>
      <c r="C1499" s="12"/>
      <c r="D1499" s="125"/>
      <c r="E1499" s="125"/>
      <c r="F1499" s="12"/>
      <c r="G1499" s="12"/>
      <c r="H1499" s="12"/>
      <c r="I1499" s="13"/>
      <c r="J1499" s="13"/>
      <c r="K1499" s="12"/>
      <c r="L1499" s="12"/>
      <c r="M1499" s="12"/>
      <c r="N1499" s="12"/>
      <c r="O1499" s="12"/>
      <c r="P1499" s="12"/>
      <c r="Q1499" s="12"/>
    </row>
    <row r="1500" spans="1:17" x14ac:dyDescent="0.25">
      <c r="A1500" s="11"/>
      <c r="B1500" s="12"/>
      <c r="C1500" s="12"/>
      <c r="D1500" s="125"/>
      <c r="E1500" s="125"/>
      <c r="F1500" s="12"/>
      <c r="G1500" s="12"/>
      <c r="H1500" s="12"/>
      <c r="I1500" s="13"/>
      <c r="J1500" s="13"/>
      <c r="K1500" s="12"/>
      <c r="L1500" s="12"/>
      <c r="M1500" s="12"/>
      <c r="N1500" s="12"/>
      <c r="O1500" s="12"/>
      <c r="P1500" s="12"/>
      <c r="Q1500" s="12"/>
    </row>
    <row r="1501" spans="1:17" x14ac:dyDescent="0.25">
      <c r="A1501" s="11"/>
      <c r="B1501" s="12"/>
      <c r="C1501" s="12"/>
      <c r="D1501" s="125"/>
      <c r="E1501" s="125"/>
      <c r="F1501" s="12"/>
      <c r="G1501" s="12"/>
      <c r="H1501" s="12"/>
      <c r="I1501" s="13"/>
      <c r="J1501" s="13"/>
      <c r="K1501" s="12"/>
      <c r="L1501" s="12"/>
      <c r="M1501" s="12"/>
      <c r="N1501" s="12"/>
      <c r="O1501" s="12"/>
      <c r="P1501" s="12"/>
      <c r="Q1501" s="12"/>
    </row>
    <row r="1502" spans="1:17" x14ac:dyDescent="0.25">
      <c r="A1502" s="11"/>
      <c r="B1502" s="12"/>
      <c r="C1502" s="12"/>
      <c r="D1502" s="125"/>
      <c r="E1502" s="125"/>
      <c r="F1502" s="12"/>
      <c r="G1502" s="12"/>
      <c r="H1502" s="12"/>
      <c r="I1502" s="13"/>
      <c r="J1502" s="13"/>
      <c r="K1502" s="12"/>
      <c r="L1502" s="12"/>
      <c r="M1502" s="12"/>
      <c r="N1502" s="12"/>
      <c r="O1502" s="12"/>
      <c r="P1502" s="12"/>
      <c r="Q1502" s="12"/>
    </row>
    <row r="1503" spans="1:17" x14ac:dyDescent="0.25">
      <c r="A1503" s="11"/>
      <c r="B1503" s="12"/>
      <c r="C1503" s="12"/>
      <c r="D1503" s="125"/>
      <c r="E1503" s="125"/>
      <c r="F1503" s="12"/>
      <c r="G1503" s="12"/>
      <c r="H1503" s="12"/>
      <c r="I1503" s="13"/>
      <c r="J1503" s="13"/>
      <c r="K1503" s="12"/>
      <c r="L1503" s="12"/>
      <c r="M1503" s="12"/>
      <c r="N1503" s="12"/>
      <c r="O1503" s="12"/>
      <c r="P1503" s="12"/>
      <c r="Q1503" s="12"/>
    </row>
    <row r="1504" spans="1:17" x14ac:dyDescent="0.25">
      <c r="A1504" s="11"/>
      <c r="B1504" s="12"/>
      <c r="C1504" s="12"/>
      <c r="D1504" s="125"/>
      <c r="E1504" s="125"/>
      <c r="F1504" s="12"/>
      <c r="G1504" s="12"/>
      <c r="H1504" s="12"/>
      <c r="I1504" s="13"/>
      <c r="J1504" s="13"/>
      <c r="K1504" s="12"/>
      <c r="L1504" s="12"/>
      <c r="M1504" s="12"/>
      <c r="N1504" s="12"/>
      <c r="O1504" s="12"/>
      <c r="P1504" s="12"/>
      <c r="Q1504" s="12"/>
    </row>
    <row r="1505" spans="1:17" x14ac:dyDescent="0.25">
      <c r="A1505" s="11"/>
      <c r="B1505" s="12"/>
      <c r="C1505" s="12"/>
      <c r="D1505" s="125"/>
      <c r="E1505" s="125"/>
      <c r="F1505" s="12"/>
      <c r="G1505" s="12"/>
      <c r="H1505" s="12"/>
      <c r="I1505" s="13"/>
      <c r="J1505" s="13"/>
      <c r="K1505" s="12"/>
      <c r="L1505" s="12"/>
      <c r="M1505" s="12"/>
      <c r="N1505" s="12"/>
      <c r="O1505" s="12"/>
      <c r="P1505" s="12"/>
      <c r="Q1505" s="12"/>
    </row>
    <row r="1506" spans="1:17" x14ac:dyDescent="0.25">
      <c r="A1506" s="11"/>
      <c r="B1506" s="12"/>
      <c r="C1506" s="12"/>
      <c r="D1506" s="125"/>
      <c r="E1506" s="125"/>
      <c r="F1506" s="12"/>
      <c r="G1506" s="12"/>
      <c r="H1506" s="12"/>
      <c r="I1506" s="13"/>
      <c r="J1506" s="13"/>
      <c r="K1506" s="12"/>
      <c r="L1506" s="12"/>
      <c r="M1506" s="12"/>
      <c r="N1506" s="12"/>
      <c r="O1506" s="12"/>
      <c r="P1506" s="12"/>
      <c r="Q1506" s="12"/>
    </row>
  </sheetData>
  <sortState xmlns:xlrd2="http://schemas.microsoft.com/office/spreadsheetml/2017/richdata2" ref="A2:N638">
    <sortCondition ref="A1"/>
  </sortState>
  <pageMargins left="0.7" right="0.7" top="0.75" bottom="0.75" header="0.3" footer="0.3"/>
  <pageSetup orientation="portrait" r:id="rId1"/>
  <headerFooter>
    <oddFooter>&amp;R32362_Credit Daily Dashboard_T1.7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Q1506"/>
  <sheetViews>
    <sheetView workbookViewId="0">
      <selection sqref="A1:Q1"/>
    </sheetView>
  </sheetViews>
  <sheetFormatPr defaultColWidth="9.109375" defaultRowHeight="13.2" x14ac:dyDescent="0.25"/>
  <cols>
    <col min="1" max="1" width="8.6640625" bestFit="1" customWidth="1"/>
    <col min="2" max="2" width="12" style="825" bestFit="1" customWidth="1"/>
    <col min="3" max="3" width="68.5546875" style="825" bestFit="1" customWidth="1"/>
    <col min="4" max="4" width="10.44140625" style="825" bestFit="1" customWidth="1"/>
    <col min="5" max="5" width="17.33203125" style="126" bestFit="1" customWidth="1"/>
    <col min="6" max="6" width="7.33203125" style="825" bestFit="1" customWidth="1"/>
    <col min="7" max="7" width="18.5546875" style="126" bestFit="1" customWidth="1"/>
    <col min="8" max="8" width="19.44140625" style="825" bestFit="1" customWidth="1"/>
    <col min="9" max="9" width="16.109375" style="126" bestFit="1" customWidth="1"/>
    <col min="10" max="11" width="10.109375" style="825" bestFit="1" customWidth="1"/>
    <col min="12" max="14" width="12" style="825" bestFit="1" customWidth="1"/>
    <col min="15" max="15" width="11" style="825" bestFit="1" customWidth="1"/>
    <col min="16" max="17" width="9.109375" style="825"/>
  </cols>
  <sheetData>
    <row r="1" spans="1:17" ht="26.4" x14ac:dyDescent="0.25">
      <c r="A1" s="15" t="s">
        <v>49</v>
      </c>
      <c r="B1" s="15" t="s">
        <v>50</v>
      </c>
      <c r="C1" s="15" t="s">
        <v>51</v>
      </c>
      <c r="D1" s="15" t="s">
        <v>52</v>
      </c>
      <c r="E1" s="124" t="s">
        <v>53</v>
      </c>
      <c r="F1" s="15" t="s">
        <v>54</v>
      </c>
      <c r="G1" s="124" t="s">
        <v>55</v>
      </c>
      <c r="H1" s="15" t="s">
        <v>56</v>
      </c>
      <c r="I1" s="124" t="s">
        <v>57</v>
      </c>
      <c r="J1" s="15" t="s">
        <v>58</v>
      </c>
      <c r="K1" s="15" t="s">
        <v>59</v>
      </c>
      <c r="L1" s="15" t="s">
        <v>60</v>
      </c>
      <c r="M1" s="15" t="s">
        <v>61</v>
      </c>
      <c r="N1" s="15" t="s">
        <v>62</v>
      </c>
      <c r="O1" s="15"/>
      <c r="P1" s="15"/>
      <c r="Q1" s="15"/>
    </row>
    <row r="2" spans="1:17" x14ac:dyDescent="0.25">
      <c r="A2" s="11">
        <v>101042</v>
      </c>
      <c r="B2" s="12" t="s">
        <v>326</v>
      </c>
      <c r="C2" s="12" t="s">
        <v>333</v>
      </c>
      <c r="D2" s="12">
        <v>1</v>
      </c>
      <c r="E2" s="125">
        <v>1586606.27</v>
      </c>
      <c r="F2" s="12">
        <v>41</v>
      </c>
      <c r="G2" s="125">
        <v>1496244.82</v>
      </c>
      <c r="H2" s="12" t="s">
        <v>5724</v>
      </c>
      <c r="I2" s="125">
        <v>89344.39</v>
      </c>
      <c r="J2" s="13">
        <v>41957.638357060183</v>
      </c>
      <c r="K2" s="13">
        <v>43053</v>
      </c>
      <c r="L2" s="13" t="s">
        <v>334</v>
      </c>
      <c r="M2" s="12"/>
      <c r="N2" s="12"/>
      <c r="O2" s="12"/>
      <c r="P2" s="12"/>
      <c r="Q2" s="12"/>
    </row>
    <row r="3" spans="1:17" x14ac:dyDescent="0.25">
      <c r="A3" s="11">
        <v>101068</v>
      </c>
      <c r="B3" s="12" t="s">
        <v>602</v>
      </c>
      <c r="C3" s="12" t="s">
        <v>603</v>
      </c>
      <c r="D3" s="12">
        <v>6</v>
      </c>
      <c r="E3" s="125">
        <v>1841045.61</v>
      </c>
      <c r="F3" s="12">
        <v>-8</v>
      </c>
      <c r="G3" s="125">
        <v>1787422.92</v>
      </c>
      <c r="H3" s="12" t="s">
        <v>491</v>
      </c>
      <c r="I3" s="125">
        <v>37535.879999999997</v>
      </c>
      <c r="J3" s="13">
        <v>41970.484529710651</v>
      </c>
      <c r="K3" s="13">
        <v>43071</v>
      </c>
      <c r="L3" s="13" t="s">
        <v>604</v>
      </c>
      <c r="M3" s="12" t="s">
        <v>605</v>
      </c>
      <c r="N3" s="12"/>
      <c r="O3" s="12"/>
      <c r="P3" s="12"/>
      <c r="Q3" s="12"/>
    </row>
    <row r="4" spans="1:17" x14ac:dyDescent="0.25">
      <c r="A4" s="11">
        <v>101114</v>
      </c>
      <c r="B4" s="12" t="s">
        <v>595</v>
      </c>
      <c r="C4" s="12" t="s">
        <v>596</v>
      </c>
      <c r="D4" s="12">
        <v>6</v>
      </c>
      <c r="E4" s="125">
        <v>1388948.2</v>
      </c>
      <c r="F4" s="12">
        <v>6</v>
      </c>
      <c r="G4" s="125">
        <v>1348808.9</v>
      </c>
      <c r="H4" s="12" t="s">
        <v>546</v>
      </c>
      <c r="I4" s="125">
        <v>6689.88</v>
      </c>
      <c r="J4" s="13">
        <v>41988.481454317131</v>
      </c>
      <c r="K4" s="13">
        <v>43087</v>
      </c>
      <c r="L4" s="13" t="s">
        <v>597</v>
      </c>
      <c r="M4" s="12"/>
      <c r="N4" s="12"/>
      <c r="O4" s="12"/>
      <c r="P4" s="12"/>
      <c r="Q4" s="12"/>
    </row>
    <row r="5" spans="1:17" x14ac:dyDescent="0.25">
      <c r="A5" s="11">
        <v>101181</v>
      </c>
      <c r="B5" s="12" t="s">
        <v>120</v>
      </c>
      <c r="C5" s="12" t="s">
        <v>279</v>
      </c>
      <c r="D5" s="12">
        <v>6</v>
      </c>
      <c r="E5" s="125">
        <v>7421104.2699999996</v>
      </c>
      <c r="F5" s="12">
        <v>40</v>
      </c>
      <c r="G5" s="125">
        <v>6896243.7000000002</v>
      </c>
      <c r="H5" s="12" t="s">
        <v>1039</v>
      </c>
      <c r="I5" s="125">
        <v>362625.13</v>
      </c>
      <c r="J5" s="13">
        <v>42006.451877627318</v>
      </c>
      <c r="K5" s="13">
        <v>43115</v>
      </c>
      <c r="L5" s="13" t="s">
        <v>280</v>
      </c>
      <c r="M5" s="12" t="s">
        <v>281</v>
      </c>
      <c r="N5" s="12"/>
      <c r="O5" s="12"/>
      <c r="P5" s="12"/>
      <c r="Q5" s="12"/>
    </row>
    <row r="6" spans="1:17" x14ac:dyDescent="0.25">
      <c r="A6" s="11">
        <v>101304</v>
      </c>
      <c r="B6" s="12" t="s">
        <v>744</v>
      </c>
      <c r="C6" s="12" t="s">
        <v>745</v>
      </c>
      <c r="D6" s="12">
        <v>3</v>
      </c>
      <c r="E6" s="125">
        <v>10017074.689999999</v>
      </c>
      <c r="F6" s="12">
        <v>23</v>
      </c>
      <c r="G6" s="125">
        <v>9430003.2799999993</v>
      </c>
      <c r="H6" s="12" t="s">
        <v>468</v>
      </c>
      <c r="I6" s="125">
        <v>169700.16</v>
      </c>
      <c r="J6" s="13">
        <v>42059.636060914352</v>
      </c>
      <c r="K6" s="13">
        <v>43160</v>
      </c>
      <c r="L6" s="13" t="s">
        <v>746</v>
      </c>
      <c r="M6" s="12"/>
      <c r="N6" s="12"/>
      <c r="O6" s="12"/>
      <c r="P6" s="12"/>
      <c r="Q6" s="12"/>
    </row>
    <row r="7" spans="1:17" x14ac:dyDescent="0.25">
      <c r="A7" s="11">
        <v>101313</v>
      </c>
      <c r="B7" s="12" t="s">
        <v>139</v>
      </c>
      <c r="C7" s="12" t="s">
        <v>140</v>
      </c>
      <c r="D7" s="12">
        <v>2</v>
      </c>
      <c r="E7" s="125">
        <v>3797879.23</v>
      </c>
      <c r="F7" s="12">
        <v>23</v>
      </c>
      <c r="G7" s="125">
        <v>3431151.96</v>
      </c>
      <c r="H7" s="12" t="s">
        <v>1191</v>
      </c>
      <c r="I7" s="125">
        <v>189931.83</v>
      </c>
      <c r="J7" s="13">
        <v>42061.503410300924</v>
      </c>
      <c r="K7" s="13">
        <v>43160</v>
      </c>
      <c r="L7" s="13" t="s">
        <v>141</v>
      </c>
      <c r="M7" s="12" t="s">
        <v>142</v>
      </c>
      <c r="N7" s="12" t="s">
        <v>143</v>
      </c>
      <c r="O7" s="12"/>
      <c r="P7" s="12"/>
      <c r="Q7" s="12"/>
    </row>
    <row r="8" spans="1:17" x14ac:dyDescent="0.25">
      <c r="A8" s="11">
        <v>101339</v>
      </c>
      <c r="B8" s="12" t="s">
        <v>203</v>
      </c>
      <c r="C8" s="12" t="s">
        <v>204</v>
      </c>
      <c r="D8" s="12">
        <v>3</v>
      </c>
      <c r="E8" s="125">
        <v>5517678.3499999996</v>
      </c>
      <c r="F8" s="12">
        <v>-8</v>
      </c>
      <c r="G8" s="125">
        <v>5142447.18</v>
      </c>
      <c r="H8" s="12" t="s">
        <v>3074</v>
      </c>
      <c r="I8" s="125">
        <v>107991.39</v>
      </c>
      <c r="J8" s="13">
        <v>42067.607975578707</v>
      </c>
      <c r="K8" s="13">
        <v>43161</v>
      </c>
      <c r="L8" s="13" t="s">
        <v>205</v>
      </c>
      <c r="M8" s="12" t="s">
        <v>206</v>
      </c>
      <c r="N8" s="12"/>
      <c r="O8" s="12"/>
      <c r="P8" s="12"/>
      <c r="Q8" s="12"/>
    </row>
    <row r="9" spans="1:17" x14ac:dyDescent="0.25">
      <c r="A9" s="11">
        <v>101385</v>
      </c>
      <c r="B9" s="12" t="s">
        <v>809</v>
      </c>
      <c r="C9" s="12" t="s">
        <v>814</v>
      </c>
      <c r="D9" s="12">
        <v>3</v>
      </c>
      <c r="E9" s="125">
        <v>15034466.93</v>
      </c>
      <c r="F9" s="12">
        <v>7</v>
      </c>
      <c r="G9" s="125">
        <v>13971913.65</v>
      </c>
      <c r="H9" s="12" t="s">
        <v>468</v>
      </c>
      <c r="I9" s="125">
        <v>83766.55</v>
      </c>
      <c r="J9" s="13">
        <v>42080.653667743056</v>
      </c>
      <c r="K9" s="13">
        <v>43176</v>
      </c>
      <c r="L9" s="13" t="s">
        <v>815</v>
      </c>
      <c r="M9" s="12"/>
      <c r="N9" s="12"/>
      <c r="O9" s="12"/>
      <c r="P9" s="12"/>
      <c r="Q9" s="12"/>
    </row>
    <row r="10" spans="1:17" x14ac:dyDescent="0.25">
      <c r="A10" s="11">
        <v>101518</v>
      </c>
      <c r="B10" s="12" t="s">
        <v>626</v>
      </c>
      <c r="C10" s="12" t="s">
        <v>627</v>
      </c>
      <c r="D10" s="12">
        <v>3</v>
      </c>
      <c r="E10" s="125">
        <v>24336341.989999998</v>
      </c>
      <c r="F10" s="12">
        <v>71</v>
      </c>
      <c r="G10" s="125">
        <v>21619863.559999999</v>
      </c>
      <c r="H10" s="12" t="s">
        <v>5725</v>
      </c>
      <c r="I10" s="125">
        <v>611192.65</v>
      </c>
      <c r="J10" s="13">
        <v>42118.63092635417</v>
      </c>
      <c r="K10" s="13">
        <v>43234</v>
      </c>
      <c r="L10" s="13" t="s">
        <v>628</v>
      </c>
      <c r="M10" s="12" t="s">
        <v>629</v>
      </c>
      <c r="N10" s="12"/>
      <c r="O10" s="12"/>
      <c r="P10" s="12"/>
      <c r="Q10" s="12"/>
    </row>
    <row r="11" spans="1:17" x14ac:dyDescent="0.25">
      <c r="A11" s="11">
        <v>101540</v>
      </c>
      <c r="B11" s="12" t="s">
        <v>904</v>
      </c>
      <c r="C11" s="12" t="s">
        <v>905</v>
      </c>
      <c r="D11" s="12">
        <v>6</v>
      </c>
      <c r="E11" s="125">
        <v>18036911.510000002</v>
      </c>
      <c r="F11" s="12">
        <v>-15</v>
      </c>
      <c r="G11" s="125">
        <v>16284900.460000001</v>
      </c>
      <c r="H11" s="12" t="s">
        <v>546</v>
      </c>
      <c r="I11" s="125">
        <v>227988.61</v>
      </c>
      <c r="J11" s="13">
        <v>42123.626142094909</v>
      </c>
      <c r="K11" s="13">
        <v>43229</v>
      </c>
      <c r="L11" s="13" t="s">
        <v>906</v>
      </c>
      <c r="M11" s="12" t="s">
        <v>907</v>
      </c>
      <c r="N11" s="12"/>
      <c r="O11" s="12"/>
      <c r="P11" s="12"/>
      <c r="Q11" s="12"/>
    </row>
    <row r="12" spans="1:17" x14ac:dyDescent="0.25">
      <c r="A12" s="11">
        <v>101541</v>
      </c>
      <c r="B12" s="12" t="s">
        <v>534</v>
      </c>
      <c r="C12" s="12" t="s">
        <v>536</v>
      </c>
      <c r="D12" s="12">
        <v>6</v>
      </c>
      <c r="E12" s="125">
        <v>29024485.68</v>
      </c>
      <c r="F12" s="12">
        <v>80</v>
      </c>
      <c r="G12" s="125">
        <v>25109756.34</v>
      </c>
      <c r="H12" s="12" t="s">
        <v>491</v>
      </c>
      <c r="I12" s="125">
        <v>1449906</v>
      </c>
      <c r="J12" s="13">
        <v>42123.651579201389</v>
      </c>
      <c r="K12" s="13">
        <v>43225</v>
      </c>
      <c r="L12" s="13" t="s">
        <v>537</v>
      </c>
      <c r="M12" s="12"/>
      <c r="N12" s="12"/>
      <c r="O12" s="12"/>
      <c r="P12" s="12"/>
      <c r="Q12" s="12"/>
    </row>
    <row r="13" spans="1:17" x14ac:dyDescent="0.25">
      <c r="A13" s="11">
        <v>101547</v>
      </c>
      <c r="B13" s="12" t="s">
        <v>912</v>
      </c>
      <c r="C13" s="12" t="s">
        <v>915</v>
      </c>
      <c r="D13" s="12">
        <v>3</v>
      </c>
      <c r="E13" s="125">
        <v>39610400.009999998</v>
      </c>
      <c r="F13" s="12">
        <v>176</v>
      </c>
      <c r="G13" s="125">
        <v>32858913.73</v>
      </c>
      <c r="H13" s="12" t="s">
        <v>5726</v>
      </c>
      <c r="I13" s="125">
        <v>1917458.15</v>
      </c>
      <c r="J13" s="13">
        <v>42124.534045405089</v>
      </c>
      <c r="K13" s="13">
        <v>43221</v>
      </c>
      <c r="L13" s="13" t="s">
        <v>916</v>
      </c>
      <c r="M13" s="12"/>
      <c r="N13" s="12"/>
      <c r="O13" s="12"/>
      <c r="P13" s="12"/>
      <c r="Q13" s="12"/>
    </row>
    <row r="14" spans="1:17" x14ac:dyDescent="0.25">
      <c r="A14" s="11">
        <v>101605</v>
      </c>
      <c r="B14" s="12" t="s">
        <v>325</v>
      </c>
      <c r="C14" s="12" t="s">
        <v>328</v>
      </c>
      <c r="D14" s="12">
        <v>3</v>
      </c>
      <c r="E14" s="125">
        <v>24020310.350000001</v>
      </c>
      <c r="F14" s="12">
        <v>15</v>
      </c>
      <c r="G14" s="125">
        <v>21402795.050000001</v>
      </c>
      <c r="H14" s="12" t="s">
        <v>86</v>
      </c>
      <c r="I14" s="125">
        <v>902618.17</v>
      </c>
      <c r="J14" s="13">
        <v>42133.476330324076</v>
      </c>
      <c r="K14" s="13">
        <v>43221</v>
      </c>
      <c r="L14" s="13" t="s">
        <v>329</v>
      </c>
      <c r="M14" s="12"/>
      <c r="N14" s="12"/>
      <c r="O14" s="12"/>
      <c r="P14" s="12"/>
      <c r="Q14" s="12"/>
    </row>
    <row r="15" spans="1:17" x14ac:dyDescent="0.25">
      <c r="A15" s="11">
        <v>101670</v>
      </c>
      <c r="B15" s="12" t="s">
        <v>994</v>
      </c>
      <c r="C15" s="12" t="s">
        <v>995</v>
      </c>
      <c r="D15" s="12">
        <v>1</v>
      </c>
      <c r="E15" s="125">
        <v>4868236.78</v>
      </c>
      <c r="F15" s="12">
        <v>-10</v>
      </c>
      <c r="G15" s="125">
        <v>4174203.37</v>
      </c>
      <c r="H15" s="12" t="s">
        <v>86</v>
      </c>
      <c r="I15" s="125">
        <v>105746.49</v>
      </c>
      <c r="J15" s="13">
        <v>42149.685221527776</v>
      </c>
      <c r="K15" s="13">
        <v>43255</v>
      </c>
      <c r="L15" s="13" t="s">
        <v>996</v>
      </c>
      <c r="M15" s="12" t="s">
        <v>997</v>
      </c>
      <c r="N15" s="12"/>
      <c r="O15" s="12"/>
      <c r="P15" s="12"/>
      <c r="Q15" s="12"/>
    </row>
    <row r="16" spans="1:17" x14ac:dyDescent="0.25">
      <c r="A16" s="11">
        <v>101674</v>
      </c>
      <c r="B16" s="12" t="s">
        <v>1005</v>
      </c>
      <c r="C16" s="12" t="s">
        <v>1007</v>
      </c>
      <c r="D16" s="12">
        <v>2</v>
      </c>
      <c r="E16" s="125">
        <v>10385851.039999999</v>
      </c>
      <c r="F16" s="12">
        <v>-16</v>
      </c>
      <c r="G16" s="125">
        <v>9083233.8300000001</v>
      </c>
      <c r="H16" s="12" t="s">
        <v>963</v>
      </c>
      <c r="I16" s="125">
        <v>137762.38</v>
      </c>
      <c r="J16" s="13">
        <v>42150.471053935187</v>
      </c>
      <c r="K16" s="13">
        <v>43261</v>
      </c>
      <c r="L16" s="13" t="s">
        <v>1008</v>
      </c>
      <c r="M16" s="12"/>
      <c r="N16" s="12"/>
      <c r="O16" s="12"/>
      <c r="P16" s="12"/>
      <c r="Q16" s="12"/>
    </row>
    <row r="17" spans="1:17" x14ac:dyDescent="0.25">
      <c r="A17" s="11">
        <v>101704</v>
      </c>
      <c r="B17" s="12" t="s">
        <v>687</v>
      </c>
      <c r="C17" s="12" t="s">
        <v>688</v>
      </c>
      <c r="D17" s="12">
        <v>2</v>
      </c>
      <c r="E17" s="125">
        <v>8571997.5199999996</v>
      </c>
      <c r="F17" s="12">
        <v>-21</v>
      </c>
      <c r="G17" s="125">
        <v>7505070.71</v>
      </c>
      <c r="H17" s="12" t="s">
        <v>963</v>
      </c>
      <c r="I17" s="125">
        <v>70047.33</v>
      </c>
      <c r="J17" s="13">
        <v>42154.480922106479</v>
      </c>
      <c r="K17" s="13">
        <v>43266</v>
      </c>
      <c r="L17" s="13" t="s">
        <v>689</v>
      </c>
      <c r="M17" s="12"/>
      <c r="N17" s="12"/>
      <c r="O17" s="12"/>
      <c r="P17" s="12"/>
      <c r="Q17" s="12"/>
    </row>
    <row r="18" spans="1:17" x14ac:dyDescent="0.25">
      <c r="A18" s="11">
        <v>101711</v>
      </c>
      <c r="B18" s="12" t="s">
        <v>730</v>
      </c>
      <c r="C18" s="12" t="s">
        <v>733</v>
      </c>
      <c r="D18" s="12">
        <v>6</v>
      </c>
      <c r="E18" s="125">
        <v>16096617.449999999</v>
      </c>
      <c r="F18" s="12">
        <v>20</v>
      </c>
      <c r="G18" s="125">
        <v>14326640.18</v>
      </c>
      <c r="H18" s="12" t="s">
        <v>1467</v>
      </c>
      <c r="I18" s="125">
        <v>666480.74</v>
      </c>
      <c r="J18" s="13">
        <v>42154.654883796298</v>
      </c>
      <c r="K18" s="13">
        <v>43224</v>
      </c>
      <c r="L18" s="13" t="s">
        <v>734</v>
      </c>
      <c r="M18" s="12"/>
      <c r="N18" s="12"/>
      <c r="O18" s="12"/>
      <c r="P18" s="12"/>
      <c r="Q18" s="12"/>
    </row>
    <row r="19" spans="1:17" x14ac:dyDescent="0.25">
      <c r="A19" s="11">
        <v>101730</v>
      </c>
      <c r="B19" s="12" t="s">
        <v>1047</v>
      </c>
      <c r="C19" s="12" t="s">
        <v>1048</v>
      </c>
      <c r="D19" s="12">
        <v>6</v>
      </c>
      <c r="E19" s="125">
        <v>19019801.079999998</v>
      </c>
      <c r="F19" s="12">
        <v>35</v>
      </c>
      <c r="G19" s="125">
        <v>16757272.619999999</v>
      </c>
      <c r="H19" s="12" t="s">
        <v>1039</v>
      </c>
      <c r="I19" s="125">
        <v>484216.83</v>
      </c>
      <c r="J19" s="13">
        <v>42167.549388113424</v>
      </c>
      <c r="K19" s="13">
        <v>43271</v>
      </c>
      <c r="L19" s="13" t="s">
        <v>1049</v>
      </c>
      <c r="M19" s="12" t="s">
        <v>1050</v>
      </c>
      <c r="N19" s="12"/>
      <c r="O19" s="12"/>
      <c r="P19" s="12"/>
      <c r="Q19" s="12"/>
    </row>
    <row r="20" spans="1:17" x14ac:dyDescent="0.25">
      <c r="A20" s="11">
        <v>101743</v>
      </c>
      <c r="B20" s="12" t="s">
        <v>420</v>
      </c>
      <c r="C20" s="12" t="s">
        <v>421</v>
      </c>
      <c r="D20" s="12">
        <v>6</v>
      </c>
      <c r="E20" s="125">
        <v>9676170.5899999999</v>
      </c>
      <c r="F20" s="12">
        <v>-29</v>
      </c>
      <c r="G20" s="125">
        <v>8610988.6300000008</v>
      </c>
      <c r="H20" s="12" t="s">
        <v>546</v>
      </c>
      <c r="I20" s="125">
        <v>291061.37</v>
      </c>
      <c r="J20" s="13">
        <v>42172.712030243056</v>
      </c>
      <c r="K20" s="13">
        <v>43275</v>
      </c>
      <c r="L20" s="13" t="s">
        <v>422</v>
      </c>
      <c r="M20" s="12"/>
      <c r="N20" s="12"/>
      <c r="O20" s="12"/>
      <c r="P20" s="12"/>
      <c r="Q20" s="12"/>
    </row>
    <row r="21" spans="1:17" x14ac:dyDescent="0.25">
      <c r="A21" s="11">
        <v>101758</v>
      </c>
      <c r="B21" s="12" t="s">
        <v>1079</v>
      </c>
      <c r="C21" s="12" t="s">
        <v>1080</v>
      </c>
      <c r="D21" s="12">
        <v>6</v>
      </c>
      <c r="E21" s="125">
        <v>14596290.74</v>
      </c>
      <c r="F21" s="12">
        <v>22</v>
      </c>
      <c r="G21" s="125">
        <v>12627589.939999999</v>
      </c>
      <c r="H21" s="12" t="s">
        <v>1039</v>
      </c>
      <c r="I21" s="125">
        <v>617904.46</v>
      </c>
      <c r="J21" s="13">
        <v>42175.503005057872</v>
      </c>
      <c r="K21" s="13">
        <v>43283</v>
      </c>
      <c r="L21" s="13" t="s">
        <v>1081</v>
      </c>
      <c r="M21" s="12"/>
      <c r="N21" s="12"/>
      <c r="O21" s="12"/>
      <c r="P21" s="12"/>
      <c r="Q21" s="12"/>
    </row>
    <row r="22" spans="1:17" x14ac:dyDescent="0.25">
      <c r="A22" s="11">
        <v>101780</v>
      </c>
      <c r="B22" s="12" t="s">
        <v>1090</v>
      </c>
      <c r="C22" s="12" t="s">
        <v>1095</v>
      </c>
      <c r="D22" s="12">
        <v>3</v>
      </c>
      <c r="E22" s="125">
        <v>11524768.369999999</v>
      </c>
      <c r="F22" s="12">
        <v>-16</v>
      </c>
      <c r="G22" s="125">
        <v>10112540.810000001</v>
      </c>
      <c r="H22" s="12" t="s">
        <v>468</v>
      </c>
      <c r="I22" s="125">
        <v>131463.03</v>
      </c>
      <c r="J22" s="13">
        <v>42180.710793020837</v>
      </c>
      <c r="K22" s="13">
        <v>43291</v>
      </c>
      <c r="L22" s="13" t="s">
        <v>1096</v>
      </c>
      <c r="M22" s="12"/>
      <c r="N22" s="12"/>
      <c r="O22" s="12"/>
      <c r="P22" s="12"/>
      <c r="Q22" s="12"/>
    </row>
    <row r="23" spans="1:17" x14ac:dyDescent="0.25">
      <c r="A23" s="11">
        <v>101791</v>
      </c>
      <c r="B23" s="12" t="s">
        <v>1101</v>
      </c>
      <c r="C23" s="12" t="s">
        <v>1103</v>
      </c>
      <c r="D23" s="12">
        <v>6</v>
      </c>
      <c r="E23" s="125">
        <v>13474911.9</v>
      </c>
      <c r="F23" s="12">
        <v>40</v>
      </c>
      <c r="G23" s="125">
        <v>11780976.289999999</v>
      </c>
      <c r="H23" s="12" t="s">
        <v>1467</v>
      </c>
      <c r="I23" s="125">
        <v>324886.45</v>
      </c>
      <c r="J23" s="13">
        <v>42184.590671412036</v>
      </c>
      <c r="K23" s="13">
        <v>43296</v>
      </c>
      <c r="L23" s="13" t="s">
        <v>1104</v>
      </c>
      <c r="M23" s="12"/>
      <c r="N23" s="12"/>
      <c r="O23" s="12"/>
      <c r="P23" s="12"/>
      <c r="Q23" s="12"/>
    </row>
    <row r="24" spans="1:17" x14ac:dyDescent="0.25">
      <c r="A24" s="11">
        <v>101795</v>
      </c>
      <c r="B24" s="12" t="s">
        <v>344</v>
      </c>
      <c r="C24" s="12" t="s">
        <v>345</v>
      </c>
      <c r="D24" s="12">
        <v>6</v>
      </c>
      <c r="E24" s="125">
        <v>18232578.449999999</v>
      </c>
      <c r="F24" s="12">
        <v>-1</v>
      </c>
      <c r="G24" s="125">
        <v>15998386.050000001</v>
      </c>
      <c r="H24" s="12" t="s">
        <v>546</v>
      </c>
      <c r="I24" s="125">
        <v>447954.81</v>
      </c>
      <c r="J24" s="13">
        <v>42185.557041585649</v>
      </c>
      <c r="K24" s="13">
        <v>43276</v>
      </c>
      <c r="L24" s="13" t="s">
        <v>346</v>
      </c>
      <c r="M24" s="12"/>
      <c r="N24" s="12"/>
      <c r="O24" s="12"/>
      <c r="P24" s="12"/>
      <c r="Q24" s="12"/>
    </row>
    <row r="25" spans="1:17" x14ac:dyDescent="0.25">
      <c r="A25" s="11">
        <v>101802</v>
      </c>
      <c r="B25" s="12" t="s">
        <v>367</v>
      </c>
      <c r="C25" s="12" t="s">
        <v>378</v>
      </c>
      <c r="D25" s="12">
        <v>6</v>
      </c>
      <c r="E25" s="125">
        <v>33864094.539999999</v>
      </c>
      <c r="F25" s="12">
        <v>22</v>
      </c>
      <c r="G25" s="125">
        <v>29300717.640000001</v>
      </c>
      <c r="H25" s="12" t="s">
        <v>546</v>
      </c>
      <c r="I25" s="125">
        <v>1429025.65</v>
      </c>
      <c r="J25" s="13">
        <v>42185.721404432872</v>
      </c>
      <c r="K25" s="13">
        <v>43283</v>
      </c>
      <c r="L25" s="13" t="s">
        <v>379</v>
      </c>
      <c r="M25" s="12" t="s">
        <v>380</v>
      </c>
      <c r="N25" s="12"/>
      <c r="O25" s="12"/>
      <c r="P25" s="12"/>
      <c r="Q25" s="12"/>
    </row>
    <row r="26" spans="1:17" x14ac:dyDescent="0.25">
      <c r="A26" s="11">
        <v>101815</v>
      </c>
      <c r="B26" s="12" t="s">
        <v>111</v>
      </c>
      <c r="C26" s="12" t="s">
        <v>270</v>
      </c>
      <c r="D26" s="12">
        <v>6</v>
      </c>
      <c r="E26" s="125">
        <v>20114536.280000001</v>
      </c>
      <c r="F26" s="12">
        <v>-8</v>
      </c>
      <c r="G26" s="125">
        <v>17649731.629999999</v>
      </c>
      <c r="H26" s="12" t="s">
        <v>1039</v>
      </c>
      <c r="I26" s="125">
        <v>370644.36</v>
      </c>
      <c r="J26" s="13">
        <v>42189.499219328703</v>
      </c>
      <c r="K26" s="13">
        <v>43283</v>
      </c>
      <c r="L26" s="13" t="s">
        <v>271</v>
      </c>
      <c r="M26" s="12" t="s">
        <v>272</v>
      </c>
      <c r="N26" s="12"/>
      <c r="O26" s="12"/>
      <c r="P26" s="12"/>
      <c r="Q26" s="12"/>
    </row>
    <row r="27" spans="1:17" x14ac:dyDescent="0.25">
      <c r="A27" s="11">
        <v>101817</v>
      </c>
      <c r="B27" s="12" t="s">
        <v>698</v>
      </c>
      <c r="C27" s="12" t="s">
        <v>699</v>
      </c>
      <c r="D27" s="12">
        <v>6</v>
      </c>
      <c r="E27" s="125">
        <v>27482276.73</v>
      </c>
      <c r="F27" s="12">
        <v>-12</v>
      </c>
      <c r="G27" s="125">
        <v>24114640.399999999</v>
      </c>
      <c r="H27" s="12" t="s">
        <v>546</v>
      </c>
      <c r="I27" s="125">
        <v>409948.89</v>
      </c>
      <c r="J27" s="13">
        <v>42191.634749965277</v>
      </c>
      <c r="K27" s="13">
        <v>43287</v>
      </c>
      <c r="L27" s="13" t="s">
        <v>700</v>
      </c>
      <c r="M27" s="12" t="s">
        <v>701</v>
      </c>
      <c r="N27" s="12"/>
      <c r="O27" s="12"/>
      <c r="P27" s="12"/>
      <c r="Q27" s="12"/>
    </row>
    <row r="28" spans="1:17" x14ac:dyDescent="0.25">
      <c r="A28" s="11">
        <v>101863</v>
      </c>
      <c r="B28" s="12" t="s">
        <v>1157</v>
      </c>
      <c r="C28" s="12" t="s">
        <v>1161</v>
      </c>
      <c r="D28" s="12">
        <v>1</v>
      </c>
      <c r="E28" s="125">
        <v>5877374.2599999998</v>
      </c>
      <c r="F28" s="12">
        <v>-24</v>
      </c>
      <c r="G28" s="125">
        <v>4970824.9000000004</v>
      </c>
      <c r="H28" s="12" t="s">
        <v>1191</v>
      </c>
      <c r="I28" s="125">
        <v>33138.83</v>
      </c>
      <c r="J28" s="13">
        <v>42210.528615312498</v>
      </c>
      <c r="K28" s="13">
        <v>43330</v>
      </c>
      <c r="L28" s="13" t="s">
        <v>1162</v>
      </c>
      <c r="M28" s="12"/>
      <c r="N28" s="12"/>
      <c r="O28" s="12"/>
      <c r="P28" s="12"/>
      <c r="Q28" s="12"/>
    </row>
    <row r="29" spans="1:17" x14ac:dyDescent="0.25">
      <c r="A29" s="11">
        <v>101877</v>
      </c>
      <c r="B29" s="12" t="s">
        <v>1173</v>
      </c>
      <c r="C29" s="12" t="s">
        <v>1177</v>
      </c>
      <c r="D29" s="12">
        <v>3</v>
      </c>
      <c r="E29" s="125">
        <v>33170841.039999999</v>
      </c>
      <c r="F29" s="12">
        <v>-11</v>
      </c>
      <c r="G29" s="125">
        <v>28696864.579999998</v>
      </c>
      <c r="H29" s="12" t="s">
        <v>90</v>
      </c>
      <c r="I29" s="125">
        <v>516543.56</v>
      </c>
      <c r="J29" s="13">
        <v>42214.663188969906</v>
      </c>
      <c r="K29" s="13">
        <v>43317</v>
      </c>
      <c r="L29" s="13" t="s">
        <v>1178</v>
      </c>
      <c r="M29" s="12"/>
      <c r="N29" s="12"/>
      <c r="O29" s="12"/>
      <c r="P29" s="12"/>
      <c r="Q29" s="12"/>
    </row>
    <row r="30" spans="1:17" x14ac:dyDescent="0.25">
      <c r="A30" s="11">
        <v>101892</v>
      </c>
      <c r="B30" s="12" t="s">
        <v>223</v>
      </c>
      <c r="C30" s="12" t="s">
        <v>224</v>
      </c>
      <c r="D30" s="12">
        <v>3</v>
      </c>
      <c r="E30" s="125">
        <v>5072616.33</v>
      </c>
      <c r="F30" s="12">
        <v>145</v>
      </c>
      <c r="G30" s="125">
        <v>4853148.8099999996</v>
      </c>
      <c r="H30" s="12" t="s">
        <v>5725</v>
      </c>
      <c r="I30" s="125">
        <v>217005.08</v>
      </c>
      <c r="J30" s="13">
        <v>42216.629636655096</v>
      </c>
      <c r="K30" s="13">
        <v>42949</v>
      </c>
      <c r="L30" s="13" t="s">
        <v>225</v>
      </c>
      <c r="M30" s="12" t="s">
        <v>226</v>
      </c>
      <c r="N30" s="12"/>
      <c r="O30" s="12"/>
      <c r="P30" s="12"/>
      <c r="Q30" s="12"/>
    </row>
    <row r="31" spans="1:17" x14ac:dyDescent="0.25">
      <c r="A31" s="11">
        <v>101895</v>
      </c>
      <c r="B31" s="12" t="s">
        <v>649</v>
      </c>
      <c r="C31" s="12" t="s">
        <v>654</v>
      </c>
      <c r="D31" s="12">
        <v>3</v>
      </c>
      <c r="E31" s="125">
        <v>27485334.969999999</v>
      </c>
      <c r="F31" s="12">
        <v>53</v>
      </c>
      <c r="G31" s="125">
        <v>23516676.079999998</v>
      </c>
      <c r="H31" s="12" t="s">
        <v>5726</v>
      </c>
      <c r="I31" s="125">
        <v>881515.01</v>
      </c>
      <c r="J31" s="13">
        <v>42216.642023067128</v>
      </c>
      <c r="K31" s="13">
        <v>43314</v>
      </c>
      <c r="L31" s="13" t="s">
        <v>655</v>
      </c>
      <c r="M31" s="12"/>
      <c r="N31" s="12"/>
      <c r="O31" s="12"/>
      <c r="P31" s="12"/>
      <c r="Q31" s="12"/>
    </row>
    <row r="32" spans="1:17" x14ac:dyDescent="0.25">
      <c r="A32" s="11">
        <v>101896</v>
      </c>
      <c r="B32" s="12" t="s">
        <v>621</v>
      </c>
      <c r="C32" s="12" t="s">
        <v>623</v>
      </c>
      <c r="D32" s="12">
        <v>6</v>
      </c>
      <c r="E32" s="125">
        <v>10734848.43</v>
      </c>
      <c r="F32" s="12">
        <v>-8</v>
      </c>
      <c r="G32" s="125">
        <v>10121571.390000001</v>
      </c>
      <c r="H32" s="12" t="s">
        <v>1039</v>
      </c>
      <c r="I32" s="125">
        <v>212553</v>
      </c>
      <c r="J32" s="13">
        <v>42216.681677314817</v>
      </c>
      <c r="K32" s="13">
        <v>43133</v>
      </c>
      <c r="L32" s="13" t="s">
        <v>624</v>
      </c>
      <c r="M32" s="12" t="s">
        <v>625</v>
      </c>
      <c r="N32" s="12"/>
      <c r="O32" s="12"/>
      <c r="P32" s="12"/>
      <c r="Q32" s="12"/>
    </row>
    <row r="33" spans="1:17" x14ac:dyDescent="0.25">
      <c r="A33" s="11">
        <v>101898</v>
      </c>
      <c r="B33" s="12" t="s">
        <v>1087</v>
      </c>
      <c r="C33" s="12" t="s">
        <v>1088</v>
      </c>
      <c r="D33" s="12">
        <v>3</v>
      </c>
      <c r="E33" s="125">
        <v>33138822.579999998</v>
      </c>
      <c r="F33" s="12">
        <v>-11</v>
      </c>
      <c r="G33" s="125">
        <v>28669164.699999999</v>
      </c>
      <c r="H33" s="12" t="s">
        <v>2855</v>
      </c>
      <c r="I33" s="125">
        <v>516044.96</v>
      </c>
      <c r="J33" s="13">
        <v>42216.722978275466</v>
      </c>
      <c r="K33" s="13">
        <v>43317</v>
      </c>
      <c r="L33" s="13" t="s">
        <v>1089</v>
      </c>
      <c r="M33" s="12"/>
      <c r="N33" s="12"/>
      <c r="O33" s="12"/>
      <c r="P33" s="12"/>
      <c r="Q33" s="12"/>
    </row>
    <row r="34" spans="1:17" x14ac:dyDescent="0.25">
      <c r="A34" s="11">
        <v>101902</v>
      </c>
      <c r="B34" s="12" t="s">
        <v>572</v>
      </c>
      <c r="C34" s="12" t="s">
        <v>573</v>
      </c>
      <c r="D34" s="12">
        <v>3</v>
      </c>
      <c r="E34" s="125">
        <v>33042768.030000001</v>
      </c>
      <c r="F34" s="12">
        <v>-8</v>
      </c>
      <c r="G34" s="125">
        <v>28586065.690000001</v>
      </c>
      <c r="H34" s="12" t="s">
        <v>4684</v>
      </c>
      <c r="I34" s="125">
        <v>600307.38</v>
      </c>
      <c r="J34" s="13">
        <v>42216.604566319445</v>
      </c>
      <c r="K34" s="13">
        <v>43314</v>
      </c>
      <c r="L34" s="13" t="s">
        <v>574</v>
      </c>
      <c r="M34" s="12" t="s">
        <v>575</v>
      </c>
      <c r="N34" s="12"/>
      <c r="O34" s="12"/>
      <c r="P34" s="12"/>
      <c r="Q34" s="12"/>
    </row>
    <row r="35" spans="1:17" x14ac:dyDescent="0.25">
      <c r="A35" s="11">
        <v>101903</v>
      </c>
      <c r="B35" s="12" t="s">
        <v>124</v>
      </c>
      <c r="C35" s="12" t="s">
        <v>282</v>
      </c>
      <c r="D35" s="12">
        <v>6</v>
      </c>
      <c r="E35" s="125">
        <v>33106804.539999999</v>
      </c>
      <c r="F35" s="12">
        <v>-10</v>
      </c>
      <c r="G35" s="125">
        <v>28641465.129999999</v>
      </c>
      <c r="H35" s="12" t="s">
        <v>491</v>
      </c>
      <c r="I35" s="125">
        <v>544187.84</v>
      </c>
      <c r="J35" s="13">
        <v>42216.62358402778</v>
      </c>
      <c r="K35" s="13">
        <v>43316</v>
      </c>
      <c r="L35" s="13" t="s">
        <v>283</v>
      </c>
      <c r="M35" s="12"/>
      <c r="N35" s="12"/>
      <c r="O35" s="12"/>
      <c r="P35" s="12"/>
      <c r="Q35" s="12"/>
    </row>
    <row r="36" spans="1:17" x14ac:dyDescent="0.25">
      <c r="A36" s="11">
        <v>101906</v>
      </c>
      <c r="B36" s="12" t="s">
        <v>1195</v>
      </c>
      <c r="C36" s="12" t="s">
        <v>1197</v>
      </c>
      <c r="D36" s="12">
        <v>2</v>
      </c>
      <c r="E36" s="125">
        <v>11533382.52</v>
      </c>
      <c r="F36" s="12">
        <v>52</v>
      </c>
      <c r="G36" s="125">
        <v>9708159.1500000004</v>
      </c>
      <c r="H36" s="12" t="s">
        <v>963</v>
      </c>
      <c r="I36" s="125">
        <v>351233.95</v>
      </c>
      <c r="J36" s="13">
        <v>42219.586541006945</v>
      </c>
      <c r="K36" s="13">
        <v>43315</v>
      </c>
      <c r="L36" s="13" t="s">
        <v>1198</v>
      </c>
      <c r="M36" s="12" t="s">
        <v>1199</v>
      </c>
      <c r="N36" s="12"/>
      <c r="O36" s="12"/>
      <c r="P36" s="12"/>
      <c r="Q36" s="12"/>
    </row>
    <row r="37" spans="1:17" x14ac:dyDescent="0.25">
      <c r="A37" s="11">
        <v>101908</v>
      </c>
      <c r="B37" s="12" t="s">
        <v>1196</v>
      </c>
      <c r="C37" s="12" t="s">
        <v>1200</v>
      </c>
      <c r="D37" s="12">
        <v>3</v>
      </c>
      <c r="E37" s="125">
        <v>11479333.310000001</v>
      </c>
      <c r="F37" s="12">
        <v>-9</v>
      </c>
      <c r="G37" s="125">
        <v>10823524.18</v>
      </c>
      <c r="H37" s="12" t="s">
        <v>2855</v>
      </c>
      <c r="I37" s="125">
        <v>216470.48</v>
      </c>
      <c r="J37" s="13">
        <v>42219.720567511577</v>
      </c>
      <c r="K37" s="13">
        <v>43134</v>
      </c>
      <c r="L37" s="13" t="s">
        <v>1201</v>
      </c>
      <c r="M37" s="12"/>
      <c r="N37" s="12"/>
      <c r="O37" s="12"/>
      <c r="P37" s="12"/>
      <c r="Q37" s="12"/>
    </row>
    <row r="38" spans="1:17" x14ac:dyDescent="0.25">
      <c r="A38" s="11">
        <v>101916</v>
      </c>
      <c r="B38" s="12" t="s">
        <v>1227</v>
      </c>
      <c r="C38" s="12" t="s">
        <v>1231</v>
      </c>
      <c r="D38" s="12">
        <v>3</v>
      </c>
      <c r="E38" s="125">
        <v>22929574.670000002</v>
      </c>
      <c r="F38" s="12">
        <v>14</v>
      </c>
      <c r="G38" s="125">
        <v>19592683.27</v>
      </c>
      <c r="H38" s="12" t="s">
        <v>1191</v>
      </c>
      <c r="I38" s="125">
        <v>781240.11</v>
      </c>
      <c r="J38" s="13">
        <v>42223.544226238424</v>
      </c>
      <c r="K38" s="13">
        <v>43322</v>
      </c>
      <c r="L38" s="13" t="s">
        <v>1232</v>
      </c>
      <c r="M38" s="12"/>
      <c r="N38" s="12"/>
      <c r="O38" s="12"/>
      <c r="P38" s="12"/>
      <c r="Q38" s="12"/>
    </row>
    <row r="39" spans="1:17" x14ac:dyDescent="0.25">
      <c r="A39" s="11">
        <v>101925</v>
      </c>
      <c r="B39" s="12" t="s">
        <v>1240</v>
      </c>
      <c r="C39" s="12" t="s">
        <v>1252</v>
      </c>
      <c r="D39" s="12">
        <v>3</v>
      </c>
      <c r="E39" s="125">
        <v>12816479.84</v>
      </c>
      <c r="F39" s="12">
        <v>-21</v>
      </c>
      <c r="G39" s="125">
        <v>11087834.220000001</v>
      </c>
      <c r="H39" s="12" t="s">
        <v>1191</v>
      </c>
      <c r="I39" s="125">
        <v>88702.67</v>
      </c>
      <c r="J39" s="13">
        <v>42228.610583368056</v>
      </c>
      <c r="K39" s="13">
        <v>43327</v>
      </c>
      <c r="L39" s="13" t="s">
        <v>1253</v>
      </c>
      <c r="M39" s="12" t="s">
        <v>1254</v>
      </c>
      <c r="N39" s="12"/>
      <c r="O39" s="12"/>
      <c r="P39" s="12"/>
      <c r="Q39" s="12"/>
    </row>
    <row r="40" spans="1:17" x14ac:dyDescent="0.25">
      <c r="A40" s="11">
        <v>101931</v>
      </c>
      <c r="B40" s="12" t="s">
        <v>717</v>
      </c>
      <c r="C40" s="12" t="s">
        <v>718</v>
      </c>
      <c r="D40" s="12">
        <v>10</v>
      </c>
      <c r="E40" s="125">
        <v>8965318.0199999996</v>
      </c>
      <c r="F40" s="12">
        <v>42</v>
      </c>
      <c r="G40" s="125">
        <v>8344405.3499999996</v>
      </c>
      <c r="H40" s="12" t="s">
        <v>5726</v>
      </c>
      <c r="I40" s="125">
        <v>242798.67</v>
      </c>
      <c r="J40" s="13">
        <v>42230.654949965276</v>
      </c>
      <c r="K40" s="13">
        <v>43144</v>
      </c>
      <c r="L40" s="13" t="s">
        <v>719</v>
      </c>
      <c r="M40" s="12" t="s">
        <v>720</v>
      </c>
      <c r="N40" s="12"/>
      <c r="O40" s="12"/>
      <c r="P40" s="12"/>
      <c r="Q40" s="12"/>
    </row>
    <row r="41" spans="1:17" x14ac:dyDescent="0.25">
      <c r="A41" s="11">
        <v>101939</v>
      </c>
      <c r="B41" s="12" t="s">
        <v>1123</v>
      </c>
      <c r="C41" s="12" t="s">
        <v>1125</v>
      </c>
      <c r="D41" s="12">
        <v>6</v>
      </c>
      <c r="E41" s="125">
        <v>27563984.710000001</v>
      </c>
      <c r="F41" s="12">
        <v>37</v>
      </c>
      <c r="G41" s="125">
        <v>23309290.98</v>
      </c>
      <c r="H41" s="12" t="s">
        <v>5724</v>
      </c>
      <c r="I41" s="125">
        <v>1194774.26</v>
      </c>
      <c r="J41" s="13">
        <v>42234.622842789351</v>
      </c>
      <c r="K41" s="13">
        <v>43330</v>
      </c>
      <c r="L41" s="13" t="s">
        <v>1126</v>
      </c>
      <c r="M41" s="12"/>
      <c r="N41" s="12"/>
      <c r="O41" s="12"/>
      <c r="P41" s="12"/>
      <c r="Q41" s="12"/>
    </row>
    <row r="42" spans="1:17" x14ac:dyDescent="0.25">
      <c r="A42" s="11">
        <v>101943</v>
      </c>
      <c r="B42" s="12" t="s">
        <v>1266</v>
      </c>
      <c r="C42" s="12" t="s">
        <v>1267</v>
      </c>
      <c r="D42" s="12">
        <v>3</v>
      </c>
      <c r="E42" s="125">
        <v>28323747.190000001</v>
      </c>
      <c r="F42" s="12">
        <v>3</v>
      </c>
      <c r="G42" s="125">
        <v>24060353.460000001</v>
      </c>
      <c r="H42" s="12" t="s">
        <v>5167</v>
      </c>
      <c r="I42" s="125">
        <v>765894.48</v>
      </c>
      <c r="J42" s="13">
        <v>42234.675016782407</v>
      </c>
      <c r="K42" s="13">
        <v>43333</v>
      </c>
      <c r="L42" s="13" t="s">
        <v>1268</v>
      </c>
      <c r="M42" s="12" t="s">
        <v>1269</v>
      </c>
      <c r="N42" s="12"/>
      <c r="O42" s="12"/>
      <c r="P42" s="12"/>
      <c r="Q42" s="12"/>
    </row>
    <row r="43" spans="1:17" x14ac:dyDescent="0.25">
      <c r="A43" s="11">
        <v>101944</v>
      </c>
      <c r="B43" s="12" t="s">
        <v>451</v>
      </c>
      <c r="C43" s="12" t="s">
        <v>454</v>
      </c>
      <c r="D43" s="12">
        <v>11</v>
      </c>
      <c r="E43" s="125">
        <v>36119095.039999999</v>
      </c>
      <c r="F43" s="12">
        <v>53</v>
      </c>
      <c r="G43" s="125">
        <v>29980930.129999999</v>
      </c>
      <c r="H43" s="12" t="s">
        <v>5724</v>
      </c>
      <c r="I43" s="125">
        <v>1709038.24</v>
      </c>
      <c r="J43" s="13">
        <v>42235.604235219907</v>
      </c>
      <c r="K43" s="13">
        <v>43345</v>
      </c>
      <c r="L43" s="13" t="s">
        <v>455</v>
      </c>
      <c r="M43" s="12" t="s">
        <v>456</v>
      </c>
      <c r="N43" s="12"/>
      <c r="O43" s="12"/>
      <c r="P43" s="12"/>
      <c r="Q43" s="12"/>
    </row>
    <row r="44" spans="1:17" x14ac:dyDescent="0.25">
      <c r="A44" s="11">
        <v>101954</v>
      </c>
      <c r="B44" s="12" t="s">
        <v>854</v>
      </c>
      <c r="C44" s="12" t="s">
        <v>855</v>
      </c>
      <c r="D44" s="12">
        <v>3</v>
      </c>
      <c r="E44" s="125">
        <v>33491022.719999999</v>
      </c>
      <c r="F44" s="12">
        <v>-13</v>
      </c>
      <c r="G44" s="125">
        <v>28568521.719999999</v>
      </c>
      <c r="H44" s="12" t="s">
        <v>468</v>
      </c>
      <c r="I44" s="125">
        <v>457096.35</v>
      </c>
      <c r="J44" s="13">
        <v>42237.669844328702</v>
      </c>
      <c r="K44" s="13">
        <v>43350</v>
      </c>
      <c r="L44" s="13" t="s">
        <v>856</v>
      </c>
      <c r="M44" s="12" t="s">
        <v>857</v>
      </c>
      <c r="N44" s="12"/>
      <c r="O44" s="12"/>
      <c r="P44" s="12"/>
      <c r="Q44" s="12"/>
    </row>
    <row r="45" spans="1:17" x14ac:dyDescent="0.25">
      <c r="A45" s="11">
        <v>101971</v>
      </c>
      <c r="B45" s="12" t="s">
        <v>215</v>
      </c>
      <c r="C45" s="12" t="s">
        <v>216</v>
      </c>
      <c r="D45" s="12">
        <v>3</v>
      </c>
      <c r="E45" s="125">
        <v>35900391.43</v>
      </c>
      <c r="F45" s="12">
        <v>84</v>
      </c>
      <c r="G45" s="125">
        <v>29369158.379999999</v>
      </c>
      <c r="H45" s="12" t="s">
        <v>5725</v>
      </c>
      <c r="I45" s="125">
        <v>1729291.43</v>
      </c>
      <c r="J45" s="13">
        <v>42242.439896064818</v>
      </c>
      <c r="K45" s="13">
        <v>43344</v>
      </c>
      <c r="L45" s="13" t="s">
        <v>217</v>
      </c>
      <c r="M45" s="12" t="s">
        <v>218</v>
      </c>
      <c r="N45" s="12"/>
      <c r="O45" s="12"/>
      <c r="P45" s="12"/>
      <c r="Q45" s="12"/>
    </row>
    <row r="46" spans="1:17" x14ac:dyDescent="0.25">
      <c r="A46" s="11">
        <v>101980</v>
      </c>
      <c r="B46" s="12" t="s">
        <v>1145</v>
      </c>
      <c r="C46" s="12" t="s">
        <v>1270</v>
      </c>
      <c r="D46" s="12">
        <v>1</v>
      </c>
      <c r="E46" s="125">
        <v>5014205.82</v>
      </c>
      <c r="F46" s="12">
        <v>3</v>
      </c>
      <c r="G46" s="125">
        <v>4626744.96</v>
      </c>
      <c r="H46" s="12" t="s">
        <v>5726</v>
      </c>
      <c r="I46" s="125">
        <v>73591.679999999993</v>
      </c>
      <c r="J46" s="13">
        <v>42243.690604050928</v>
      </c>
      <c r="K46" s="13">
        <v>43333</v>
      </c>
      <c r="L46" s="13" t="s">
        <v>1271</v>
      </c>
      <c r="M46" s="12" t="s">
        <v>1272</v>
      </c>
      <c r="N46" s="12"/>
      <c r="O46" s="12"/>
      <c r="P46" s="12"/>
      <c r="Q46" s="12"/>
    </row>
    <row r="47" spans="1:17" x14ac:dyDescent="0.25">
      <c r="A47" s="11">
        <v>101990</v>
      </c>
      <c r="B47" s="12" t="s">
        <v>1301</v>
      </c>
      <c r="C47" s="12" t="s">
        <v>1302</v>
      </c>
      <c r="D47" s="12">
        <v>3</v>
      </c>
      <c r="E47" s="125">
        <v>18574362.559999999</v>
      </c>
      <c r="F47" s="12">
        <v>-21</v>
      </c>
      <c r="G47" s="125">
        <v>15849705.220000001</v>
      </c>
      <c r="H47" s="12" t="s">
        <v>5724</v>
      </c>
      <c r="I47" s="125">
        <v>126797.64</v>
      </c>
      <c r="J47" s="13">
        <v>42244.742318634257</v>
      </c>
      <c r="K47" s="13">
        <v>43358</v>
      </c>
      <c r="L47" s="13" t="s">
        <v>1303</v>
      </c>
      <c r="M47" s="12"/>
      <c r="N47" s="12"/>
      <c r="O47" s="12"/>
      <c r="P47" s="12"/>
      <c r="Q47" s="12"/>
    </row>
    <row r="48" spans="1:17" x14ac:dyDescent="0.25">
      <c r="A48" s="11">
        <v>101991</v>
      </c>
      <c r="B48" s="12" t="s">
        <v>1304</v>
      </c>
      <c r="C48" s="12" t="s">
        <v>1305</v>
      </c>
      <c r="D48" s="12">
        <v>3</v>
      </c>
      <c r="E48" s="125">
        <v>8151804.5499999998</v>
      </c>
      <c r="F48" s="12">
        <v>19</v>
      </c>
      <c r="G48" s="125">
        <v>7621404.0199999996</v>
      </c>
      <c r="H48" s="12" t="s">
        <v>468</v>
      </c>
      <c r="I48" s="125">
        <v>125442.62</v>
      </c>
      <c r="J48" s="13">
        <v>42244.750642743056</v>
      </c>
      <c r="K48" s="13">
        <v>43164</v>
      </c>
      <c r="L48" s="13" t="s">
        <v>1306</v>
      </c>
      <c r="M48" s="12"/>
      <c r="N48" s="12"/>
      <c r="O48" s="12"/>
      <c r="P48" s="12"/>
      <c r="Q48" s="12"/>
    </row>
    <row r="49" spans="1:17" x14ac:dyDescent="0.25">
      <c r="A49" s="11">
        <v>101997</v>
      </c>
      <c r="B49" s="12" t="s">
        <v>824</v>
      </c>
      <c r="C49" s="12" t="s">
        <v>729</v>
      </c>
      <c r="D49" s="12">
        <v>11</v>
      </c>
      <c r="E49" s="125">
        <v>25167320.199999999</v>
      </c>
      <c r="F49" s="12">
        <v>53</v>
      </c>
      <c r="G49" s="125">
        <v>20876300.52</v>
      </c>
      <c r="H49" s="12" t="s">
        <v>5725</v>
      </c>
      <c r="I49" s="125">
        <v>1206933.29</v>
      </c>
      <c r="J49" s="13">
        <v>42245.596607175925</v>
      </c>
      <c r="K49" s="13">
        <v>43345</v>
      </c>
      <c r="L49" s="13" t="s">
        <v>828</v>
      </c>
      <c r="M49" s="12" t="s">
        <v>829</v>
      </c>
      <c r="N49" s="12"/>
      <c r="O49" s="12"/>
      <c r="P49" s="12"/>
      <c r="Q49" s="12"/>
    </row>
    <row r="50" spans="1:17" x14ac:dyDescent="0.25">
      <c r="A50" s="11">
        <v>102006</v>
      </c>
      <c r="B50" s="12" t="s">
        <v>1309</v>
      </c>
      <c r="C50" s="12" t="s">
        <v>1310</v>
      </c>
      <c r="D50" s="12">
        <v>2</v>
      </c>
      <c r="E50" s="125">
        <v>2735597.62</v>
      </c>
      <c r="F50" s="12">
        <v>111</v>
      </c>
      <c r="G50" s="125">
        <v>2682654.79</v>
      </c>
      <c r="H50" s="12" t="s">
        <v>5724</v>
      </c>
      <c r="I50" s="125">
        <v>51178.07</v>
      </c>
      <c r="J50" s="13">
        <v>42247.742464317133</v>
      </c>
      <c r="K50" s="13">
        <v>42983</v>
      </c>
      <c r="L50" s="13" t="s">
        <v>1311</v>
      </c>
      <c r="M50" s="12" t="s">
        <v>1312</v>
      </c>
      <c r="N50" s="12"/>
      <c r="O50" s="12"/>
      <c r="P50" s="12"/>
      <c r="Q50" s="12"/>
    </row>
    <row r="51" spans="1:17" x14ac:dyDescent="0.25">
      <c r="A51" s="11">
        <v>102010</v>
      </c>
      <c r="B51" s="12" t="s">
        <v>335</v>
      </c>
      <c r="C51" s="12" t="s">
        <v>336</v>
      </c>
      <c r="D51" s="12">
        <v>6</v>
      </c>
      <c r="E51" s="125">
        <v>12645524.74</v>
      </c>
      <c r="F51" s="12">
        <v>17</v>
      </c>
      <c r="G51" s="125">
        <v>10667138.1</v>
      </c>
      <c r="H51" s="12" t="s">
        <v>546</v>
      </c>
      <c r="I51" s="125">
        <v>441239.59</v>
      </c>
      <c r="J51" s="13">
        <v>42247.794150810187</v>
      </c>
      <c r="K51" s="13">
        <v>43350</v>
      </c>
      <c r="L51" s="13" t="s">
        <v>337</v>
      </c>
      <c r="M51" s="12"/>
      <c r="N51" s="12"/>
      <c r="O51" s="12"/>
      <c r="P51" s="12"/>
      <c r="Q51" s="12"/>
    </row>
    <row r="52" spans="1:17" x14ac:dyDescent="0.25">
      <c r="A52" s="11">
        <v>102011</v>
      </c>
      <c r="B52" s="12" t="s">
        <v>487</v>
      </c>
      <c r="C52" s="12" t="s">
        <v>488</v>
      </c>
      <c r="D52" s="12">
        <v>10</v>
      </c>
      <c r="E52" s="125">
        <v>11117532.869999999</v>
      </c>
      <c r="F52" s="12">
        <v>-11</v>
      </c>
      <c r="G52" s="125">
        <v>9246013.3000000007</v>
      </c>
      <c r="H52" s="12" t="s">
        <v>963</v>
      </c>
      <c r="I52" s="125">
        <v>194166.28</v>
      </c>
      <c r="J52" s="13">
        <v>42247.800327627316</v>
      </c>
      <c r="K52" s="13">
        <v>43348</v>
      </c>
      <c r="L52" s="13" t="s">
        <v>489</v>
      </c>
      <c r="M52" s="12" t="s">
        <v>490</v>
      </c>
      <c r="N52" s="12"/>
      <c r="O52" s="12"/>
      <c r="P52" s="12"/>
      <c r="Q52" s="12"/>
    </row>
    <row r="53" spans="1:17" x14ac:dyDescent="0.25">
      <c r="A53" s="11">
        <v>102044</v>
      </c>
      <c r="B53" s="12" t="s">
        <v>109</v>
      </c>
      <c r="C53" s="12" t="s">
        <v>267</v>
      </c>
      <c r="D53" s="12">
        <v>6</v>
      </c>
      <c r="E53" s="125">
        <v>32064029.030000001</v>
      </c>
      <c r="F53" s="12">
        <v>14</v>
      </c>
      <c r="G53" s="125">
        <v>26970582.52</v>
      </c>
      <c r="H53" s="12" t="s">
        <v>1039</v>
      </c>
      <c r="I53" s="125">
        <v>1132359.73</v>
      </c>
      <c r="J53" s="13">
        <v>42259.50795107639</v>
      </c>
      <c r="K53" s="13">
        <v>43353</v>
      </c>
      <c r="L53" s="13" t="s">
        <v>268</v>
      </c>
      <c r="M53" s="12" t="s">
        <v>269</v>
      </c>
      <c r="N53" s="12"/>
      <c r="O53" s="12"/>
      <c r="P53" s="12"/>
      <c r="Q53" s="12"/>
    </row>
    <row r="54" spans="1:17" x14ac:dyDescent="0.25">
      <c r="A54" s="11">
        <v>102051</v>
      </c>
      <c r="B54" s="12" t="s">
        <v>1326</v>
      </c>
      <c r="C54" s="12" t="s">
        <v>1327</v>
      </c>
      <c r="D54" s="12">
        <v>3</v>
      </c>
      <c r="E54" s="125">
        <v>46804152.049999997</v>
      </c>
      <c r="F54" s="12">
        <v>190</v>
      </c>
      <c r="G54" s="125">
        <v>36253749.93</v>
      </c>
      <c r="H54" s="12" t="s">
        <v>5724</v>
      </c>
      <c r="I54" s="125">
        <v>2107711.13</v>
      </c>
      <c r="J54" s="13">
        <v>42263.613655173613</v>
      </c>
      <c r="K54" s="13">
        <v>43361</v>
      </c>
      <c r="L54" s="13" t="s">
        <v>1328</v>
      </c>
      <c r="M54" s="12"/>
      <c r="N54" s="12"/>
      <c r="O54" s="12"/>
      <c r="P54" s="12"/>
      <c r="Q54" s="12"/>
    </row>
    <row r="55" spans="1:17" x14ac:dyDescent="0.25">
      <c r="A55" s="11">
        <v>102056</v>
      </c>
      <c r="B55" s="12" t="s">
        <v>1370</v>
      </c>
      <c r="C55" s="12" t="s">
        <v>1371</v>
      </c>
      <c r="D55" s="12">
        <v>3</v>
      </c>
      <c r="E55" s="125">
        <v>20671741.350000001</v>
      </c>
      <c r="F55" s="12">
        <v>-26</v>
      </c>
      <c r="G55" s="125">
        <v>17633414.690000001</v>
      </c>
      <c r="H55" s="12" t="s">
        <v>1191</v>
      </c>
      <c r="I55" s="125">
        <v>52900.24</v>
      </c>
      <c r="J55" s="13">
        <v>42264.720444016202</v>
      </c>
      <c r="K55" s="13">
        <v>43363</v>
      </c>
      <c r="L55" s="13" t="s">
        <v>1372</v>
      </c>
      <c r="M55" s="12" t="s">
        <v>1715</v>
      </c>
      <c r="N55" s="12" t="s">
        <v>4801</v>
      </c>
      <c r="O55" s="12"/>
      <c r="P55" s="12"/>
      <c r="Q55" s="12"/>
    </row>
    <row r="56" spans="1:17" x14ac:dyDescent="0.25">
      <c r="A56" s="11">
        <v>102057</v>
      </c>
      <c r="B56" s="12" t="s">
        <v>1211</v>
      </c>
      <c r="C56" s="12" t="s">
        <v>1213</v>
      </c>
      <c r="D56" s="12">
        <v>11</v>
      </c>
      <c r="E56" s="125">
        <v>3700348.5</v>
      </c>
      <c r="F56" s="12">
        <v>63</v>
      </c>
      <c r="G56" s="125">
        <v>3333418.48</v>
      </c>
      <c r="H56" s="12" t="s">
        <v>5724</v>
      </c>
      <c r="I56" s="125">
        <v>144047.5</v>
      </c>
      <c r="J56" s="13">
        <v>42265.354739814815</v>
      </c>
      <c r="K56" s="13">
        <v>43181</v>
      </c>
      <c r="L56" s="13" t="s">
        <v>1214</v>
      </c>
      <c r="M56" s="12"/>
      <c r="N56" s="12"/>
      <c r="O56" s="12"/>
      <c r="P56" s="12"/>
      <c r="Q56" s="12"/>
    </row>
    <row r="57" spans="1:17" x14ac:dyDescent="0.25">
      <c r="A57" s="11">
        <v>102064</v>
      </c>
      <c r="B57" s="12" t="s">
        <v>1373</v>
      </c>
      <c r="C57" s="12" t="s">
        <v>1374</v>
      </c>
      <c r="D57" s="12">
        <v>3</v>
      </c>
      <c r="E57" s="125">
        <v>20231936.140000001</v>
      </c>
      <c r="F57" s="12">
        <v>-1</v>
      </c>
      <c r="G57" s="125">
        <v>17018045.469999999</v>
      </c>
      <c r="H57" s="12" t="s">
        <v>1447</v>
      </c>
      <c r="I57" s="125">
        <v>476505.27</v>
      </c>
      <c r="J57" s="13">
        <v>42268.715586689817</v>
      </c>
      <c r="K57" s="13">
        <v>43368</v>
      </c>
      <c r="L57" s="13" t="s">
        <v>1375</v>
      </c>
      <c r="M57" s="12"/>
      <c r="N57" s="12"/>
      <c r="O57" s="12"/>
      <c r="P57" s="12"/>
      <c r="Q57" s="12"/>
    </row>
    <row r="58" spans="1:17" x14ac:dyDescent="0.25">
      <c r="A58" s="11">
        <v>102065</v>
      </c>
      <c r="B58" s="12" t="s">
        <v>1376</v>
      </c>
      <c r="C58" s="12" t="s">
        <v>1377</v>
      </c>
      <c r="D58" s="12">
        <v>6</v>
      </c>
      <c r="E58" s="125">
        <v>34386198.030000001</v>
      </c>
      <c r="F58" s="12">
        <v>-28</v>
      </c>
      <c r="G58" s="125">
        <v>29332124.379999999</v>
      </c>
      <c r="H58" s="12" t="s">
        <v>546</v>
      </c>
      <c r="I58" s="125">
        <v>29332.12</v>
      </c>
      <c r="J58" s="13">
        <v>42268.742467361109</v>
      </c>
      <c r="K58" s="13">
        <v>43365</v>
      </c>
      <c r="L58" s="13" t="s">
        <v>1378</v>
      </c>
      <c r="M58" s="12" t="s">
        <v>1379</v>
      </c>
      <c r="N58" s="12"/>
      <c r="O58" s="12"/>
      <c r="P58" s="12"/>
      <c r="Q58" s="12"/>
    </row>
    <row r="59" spans="1:17" x14ac:dyDescent="0.25">
      <c r="A59" s="11">
        <v>102088</v>
      </c>
      <c r="B59" s="12" t="s">
        <v>1419</v>
      </c>
      <c r="C59" s="12" t="s">
        <v>1420</v>
      </c>
      <c r="D59" s="12">
        <v>3</v>
      </c>
      <c r="E59" s="125">
        <v>25546672.579999998</v>
      </c>
      <c r="F59" s="12">
        <v>198</v>
      </c>
      <c r="G59" s="125">
        <v>19756376.18</v>
      </c>
      <c r="H59" s="12" t="s">
        <v>5724</v>
      </c>
      <c r="I59" s="125">
        <v>844834.28</v>
      </c>
      <c r="J59" s="13">
        <v>42275.753918750001</v>
      </c>
      <c r="K59" s="13">
        <v>43383</v>
      </c>
      <c r="L59" s="13" t="s">
        <v>1421</v>
      </c>
      <c r="M59" s="12" t="s">
        <v>1422</v>
      </c>
      <c r="N59" s="12"/>
      <c r="O59" s="12"/>
      <c r="P59" s="12"/>
      <c r="Q59" s="12"/>
    </row>
    <row r="60" spans="1:17" x14ac:dyDescent="0.25">
      <c r="A60" s="11">
        <v>102099</v>
      </c>
      <c r="B60" s="12" t="s">
        <v>1427</v>
      </c>
      <c r="C60" s="12" t="s">
        <v>1428</v>
      </c>
      <c r="D60" s="12">
        <v>3</v>
      </c>
      <c r="E60" s="125">
        <v>38060900.43</v>
      </c>
      <c r="F60" s="12">
        <v>22</v>
      </c>
      <c r="G60" s="125">
        <v>32046511.23</v>
      </c>
      <c r="H60" s="12" t="s">
        <v>2855</v>
      </c>
      <c r="I60" s="125">
        <v>668789.43999999994</v>
      </c>
      <c r="J60" s="13">
        <v>42277.464006365743</v>
      </c>
      <c r="K60" s="13">
        <v>43375</v>
      </c>
      <c r="L60" s="13" t="s">
        <v>1429</v>
      </c>
      <c r="M60" s="12"/>
      <c r="N60" s="12"/>
      <c r="O60" s="12"/>
      <c r="P60" s="12"/>
      <c r="Q60" s="12"/>
    </row>
    <row r="61" spans="1:17" x14ac:dyDescent="0.25">
      <c r="A61" s="11">
        <v>102102</v>
      </c>
      <c r="B61" s="12" t="s">
        <v>1063</v>
      </c>
      <c r="C61" s="12" t="s">
        <v>1067</v>
      </c>
      <c r="D61" s="12">
        <v>3</v>
      </c>
      <c r="E61" s="125">
        <v>25062005.690000001</v>
      </c>
      <c r="F61" s="12">
        <v>-21</v>
      </c>
      <c r="G61" s="125">
        <v>22239297.010000002</v>
      </c>
      <c r="H61" s="12" t="s">
        <v>963</v>
      </c>
      <c r="I61" s="125">
        <v>177914.38</v>
      </c>
      <c r="J61" s="13">
        <v>42277.528308530091</v>
      </c>
      <c r="K61" s="13">
        <v>43388</v>
      </c>
      <c r="L61" s="13" t="s">
        <v>1068</v>
      </c>
      <c r="M61" s="12"/>
      <c r="N61" s="12"/>
      <c r="O61" s="12"/>
      <c r="P61" s="12"/>
      <c r="Q61" s="12"/>
    </row>
    <row r="62" spans="1:17" x14ac:dyDescent="0.25">
      <c r="A62" s="11">
        <v>102107</v>
      </c>
      <c r="B62" s="12" t="s">
        <v>1434</v>
      </c>
      <c r="C62" s="12" t="s">
        <v>1435</v>
      </c>
      <c r="D62" s="12">
        <v>2</v>
      </c>
      <c r="E62" s="125">
        <v>13834566.82</v>
      </c>
      <c r="F62" s="12">
        <v>54</v>
      </c>
      <c r="G62" s="125">
        <v>11183352.5</v>
      </c>
      <c r="H62" s="12" t="s">
        <v>90</v>
      </c>
      <c r="I62" s="125">
        <v>481112.23</v>
      </c>
      <c r="J62" s="13">
        <v>42277.652901157409</v>
      </c>
      <c r="K62" s="13">
        <v>43374</v>
      </c>
      <c r="L62" s="13" t="s">
        <v>1436</v>
      </c>
      <c r="M62" s="12"/>
      <c r="N62" s="12"/>
      <c r="O62" s="12"/>
      <c r="P62" s="12"/>
      <c r="Q62" s="12"/>
    </row>
    <row r="63" spans="1:17" x14ac:dyDescent="0.25">
      <c r="A63" s="11">
        <v>102125</v>
      </c>
      <c r="B63" s="12" t="s">
        <v>645</v>
      </c>
      <c r="C63" s="12" t="s">
        <v>646</v>
      </c>
      <c r="D63" s="12">
        <v>6</v>
      </c>
      <c r="E63" s="125">
        <v>37788130.409999996</v>
      </c>
      <c r="F63" s="12">
        <v>-13</v>
      </c>
      <c r="G63" s="125">
        <v>31785396.940000001</v>
      </c>
      <c r="H63" s="12" t="s">
        <v>491</v>
      </c>
      <c r="I63" s="125">
        <v>508566.35</v>
      </c>
      <c r="J63" s="13">
        <v>42284.707001423609</v>
      </c>
      <c r="K63" s="13">
        <v>43380</v>
      </c>
      <c r="L63" s="13" t="s">
        <v>647</v>
      </c>
      <c r="M63" s="12" t="s">
        <v>648</v>
      </c>
      <c r="N63" s="12"/>
      <c r="O63" s="12"/>
      <c r="P63" s="12"/>
      <c r="Q63" s="12"/>
    </row>
    <row r="64" spans="1:17" x14ac:dyDescent="0.25">
      <c r="A64" s="11">
        <v>102129</v>
      </c>
      <c r="B64" s="12" t="s">
        <v>1455</v>
      </c>
      <c r="C64" s="12" t="s">
        <v>1466</v>
      </c>
      <c r="D64" s="12">
        <v>6</v>
      </c>
      <c r="E64" s="125">
        <v>25698441.050000001</v>
      </c>
      <c r="F64" s="12">
        <v>12</v>
      </c>
      <c r="G64" s="125">
        <v>21696618.77</v>
      </c>
      <c r="H64" s="12" t="s">
        <v>1467</v>
      </c>
      <c r="I64" s="125">
        <v>233092.91</v>
      </c>
      <c r="J64" s="13">
        <v>42289.678322650463</v>
      </c>
      <c r="K64" s="13">
        <v>43385</v>
      </c>
      <c r="L64" s="13" t="s">
        <v>1468</v>
      </c>
      <c r="M64" s="12" t="s">
        <v>1469</v>
      </c>
      <c r="N64" s="12"/>
      <c r="O64" s="12"/>
      <c r="P64" s="12"/>
      <c r="Q64" s="12"/>
    </row>
    <row r="65" spans="1:17" x14ac:dyDescent="0.25">
      <c r="A65" s="11">
        <v>102130</v>
      </c>
      <c r="B65" s="12" t="s">
        <v>1444</v>
      </c>
      <c r="C65" s="12" t="s">
        <v>1470</v>
      </c>
      <c r="D65" s="12">
        <v>3</v>
      </c>
      <c r="E65" s="125">
        <v>41343482.810000002</v>
      </c>
      <c r="F65" s="12">
        <v>9</v>
      </c>
      <c r="G65" s="125">
        <v>34294432.770000003</v>
      </c>
      <c r="H65" s="12" t="s">
        <v>5725</v>
      </c>
      <c r="I65" s="125">
        <v>1283856.78</v>
      </c>
      <c r="J65" s="13">
        <v>42289.731255636572</v>
      </c>
      <c r="K65" s="13">
        <v>43388</v>
      </c>
      <c r="L65" s="13" t="s">
        <v>1471</v>
      </c>
      <c r="M65" s="12" t="s">
        <v>1472</v>
      </c>
      <c r="N65" s="12"/>
      <c r="O65" s="12"/>
      <c r="P65" s="12"/>
      <c r="Q65" s="12"/>
    </row>
    <row r="66" spans="1:17" x14ac:dyDescent="0.25">
      <c r="A66" s="11">
        <v>102131</v>
      </c>
      <c r="B66" s="12" t="s">
        <v>1454</v>
      </c>
      <c r="C66" s="12" t="s">
        <v>1473</v>
      </c>
      <c r="D66" s="12">
        <v>6</v>
      </c>
      <c r="E66" s="125">
        <v>8453162.9299999997</v>
      </c>
      <c r="F66" s="12">
        <v>40</v>
      </c>
      <c r="G66" s="125">
        <v>7044717.6100000003</v>
      </c>
      <c r="H66" s="12" t="s">
        <v>1467</v>
      </c>
      <c r="I66" s="125">
        <v>205084.59</v>
      </c>
      <c r="J66" s="13">
        <v>42290.472969710645</v>
      </c>
      <c r="K66" s="13">
        <v>43388</v>
      </c>
      <c r="L66" s="13" t="s">
        <v>1474</v>
      </c>
      <c r="M66" s="12"/>
      <c r="N66" s="12" t="s">
        <v>1475</v>
      </c>
      <c r="O66" s="12"/>
      <c r="P66" s="12"/>
      <c r="Q66" s="12"/>
    </row>
    <row r="67" spans="1:17" x14ac:dyDescent="0.25">
      <c r="A67" s="11">
        <v>102143</v>
      </c>
      <c r="B67" s="12" t="s">
        <v>1445</v>
      </c>
      <c r="C67" s="12" t="s">
        <v>1479</v>
      </c>
      <c r="D67" s="12">
        <v>6</v>
      </c>
      <c r="E67" s="125">
        <v>21985821.039999999</v>
      </c>
      <c r="F67" s="12">
        <v>9</v>
      </c>
      <c r="G67" s="125">
        <v>18237245.899999999</v>
      </c>
      <c r="H67" s="12" t="s">
        <v>1467</v>
      </c>
      <c r="I67" s="125">
        <v>682735.07</v>
      </c>
      <c r="J67" s="13">
        <v>42292.551115706017</v>
      </c>
      <c r="K67" s="13">
        <v>43388</v>
      </c>
      <c r="L67" s="13" t="s">
        <v>1481</v>
      </c>
      <c r="M67" s="12"/>
      <c r="N67" s="12"/>
      <c r="O67" s="12"/>
      <c r="P67" s="12"/>
      <c r="Q67" s="12"/>
    </row>
    <row r="68" spans="1:17" x14ac:dyDescent="0.25">
      <c r="A68" s="11">
        <v>102148</v>
      </c>
      <c r="B68" s="12" t="s">
        <v>697</v>
      </c>
      <c r="C68" s="12" t="s">
        <v>702</v>
      </c>
      <c r="D68" s="12">
        <v>1</v>
      </c>
      <c r="E68" s="125">
        <v>2005443.34</v>
      </c>
      <c r="F68" s="12">
        <v>84</v>
      </c>
      <c r="G68" s="125">
        <v>1855095.95</v>
      </c>
      <c r="H68" s="12" t="s">
        <v>468</v>
      </c>
      <c r="I68" s="125">
        <v>124636.58</v>
      </c>
      <c r="J68" s="13">
        <v>42293.454223298613</v>
      </c>
      <c r="K68" s="13">
        <v>43040</v>
      </c>
      <c r="L68" s="13" t="s">
        <v>703</v>
      </c>
      <c r="M68" s="12"/>
      <c r="N68" s="12"/>
      <c r="O68" s="12"/>
      <c r="P68" s="12"/>
      <c r="Q68" s="12"/>
    </row>
    <row r="69" spans="1:17" x14ac:dyDescent="0.25">
      <c r="A69" s="11">
        <v>102150</v>
      </c>
      <c r="B69" s="12" t="s">
        <v>233</v>
      </c>
      <c r="C69" s="12" t="s">
        <v>234</v>
      </c>
      <c r="D69" s="12">
        <v>3</v>
      </c>
      <c r="E69" s="125">
        <v>36840125.280000001</v>
      </c>
      <c r="F69" s="12">
        <v>-8</v>
      </c>
      <c r="G69" s="125">
        <v>30558896.16</v>
      </c>
      <c r="H69" s="12" t="s">
        <v>90</v>
      </c>
      <c r="I69" s="125">
        <v>641736.81999999995</v>
      </c>
      <c r="J69" s="13">
        <v>42293.597538738424</v>
      </c>
      <c r="K69" s="13">
        <v>43406</v>
      </c>
      <c r="L69" s="13" t="s">
        <v>235</v>
      </c>
      <c r="M69" s="12"/>
      <c r="N69" s="12"/>
      <c r="O69" s="12"/>
      <c r="P69" s="12"/>
      <c r="Q69" s="12"/>
    </row>
    <row r="70" spans="1:17" x14ac:dyDescent="0.25">
      <c r="A70" s="11">
        <v>102151</v>
      </c>
      <c r="B70" s="12" t="s">
        <v>1485</v>
      </c>
      <c r="C70" s="12" t="s">
        <v>1486</v>
      </c>
      <c r="D70" s="12">
        <v>6</v>
      </c>
      <c r="E70" s="125">
        <v>845328.55</v>
      </c>
      <c r="F70" s="12">
        <v>69</v>
      </c>
      <c r="G70" s="125">
        <v>832429.84</v>
      </c>
      <c r="H70" s="12" t="s">
        <v>491</v>
      </c>
      <c r="I70" s="125">
        <v>12898.71</v>
      </c>
      <c r="J70" s="13">
        <v>42293.624338194444</v>
      </c>
      <c r="K70" s="13">
        <v>43024</v>
      </c>
      <c r="L70" s="13" t="s">
        <v>1487</v>
      </c>
      <c r="M70" s="12"/>
      <c r="N70" s="12"/>
      <c r="O70" s="12"/>
      <c r="P70" s="12"/>
      <c r="Q70" s="12"/>
    </row>
    <row r="71" spans="1:17" x14ac:dyDescent="0.25">
      <c r="A71" s="11">
        <v>102156</v>
      </c>
      <c r="B71" s="12" t="s">
        <v>721</v>
      </c>
      <c r="C71" s="12" t="s">
        <v>723</v>
      </c>
      <c r="D71" s="12">
        <v>6</v>
      </c>
      <c r="E71" s="125">
        <v>13633164.109999999</v>
      </c>
      <c r="F71" s="12">
        <v>9</v>
      </c>
      <c r="G71" s="125">
        <v>11376146.18</v>
      </c>
      <c r="H71" s="12" t="s">
        <v>1039</v>
      </c>
      <c r="I71" s="125">
        <v>344588.51</v>
      </c>
      <c r="J71" s="13">
        <v>42294.570270104166</v>
      </c>
      <c r="K71" s="13">
        <v>43388</v>
      </c>
      <c r="L71" s="13" t="s">
        <v>724</v>
      </c>
      <c r="M71" s="12" t="s">
        <v>725</v>
      </c>
      <c r="N71" s="12"/>
      <c r="O71" s="12"/>
      <c r="P71" s="12"/>
      <c r="Q71" s="12"/>
    </row>
    <row r="72" spans="1:17" x14ac:dyDescent="0.25">
      <c r="A72" s="11">
        <v>102172</v>
      </c>
      <c r="B72" s="12" t="s">
        <v>1504</v>
      </c>
      <c r="C72" s="12" t="s">
        <v>1505</v>
      </c>
      <c r="D72" s="12">
        <v>3</v>
      </c>
      <c r="E72" s="125">
        <v>36558365</v>
      </c>
      <c r="F72" s="12">
        <v>-7</v>
      </c>
      <c r="G72" s="125">
        <v>30325175.940000001</v>
      </c>
      <c r="H72" s="12" t="s">
        <v>5167</v>
      </c>
      <c r="I72" s="125">
        <v>667153.87</v>
      </c>
      <c r="J72" s="13">
        <v>42300.557242129631</v>
      </c>
      <c r="K72" s="13">
        <v>43405</v>
      </c>
      <c r="L72" s="13" t="s">
        <v>1506</v>
      </c>
      <c r="M72" s="12"/>
      <c r="N72" s="12"/>
      <c r="O72" s="12"/>
      <c r="P72" s="12"/>
      <c r="Q72" s="12"/>
    </row>
    <row r="73" spans="1:17" x14ac:dyDescent="0.25">
      <c r="A73" s="11">
        <v>102179</v>
      </c>
      <c r="B73" s="12" t="s">
        <v>1507</v>
      </c>
      <c r="C73" s="12" t="s">
        <v>1508</v>
      </c>
      <c r="D73" s="12">
        <v>3</v>
      </c>
      <c r="E73" s="125">
        <v>17397881.66</v>
      </c>
      <c r="F73" s="12">
        <v>-7</v>
      </c>
      <c r="G73" s="125">
        <v>14431548.67</v>
      </c>
      <c r="H73" s="12" t="s">
        <v>5725</v>
      </c>
      <c r="I73" s="125">
        <v>317494.07</v>
      </c>
      <c r="J73" s="13">
        <v>42303.658698877312</v>
      </c>
      <c r="K73" s="13">
        <v>43405</v>
      </c>
      <c r="L73" s="13" t="s">
        <v>1509</v>
      </c>
      <c r="M73" s="12"/>
      <c r="N73" s="12"/>
      <c r="O73" s="12"/>
      <c r="P73" s="12"/>
      <c r="Q73" s="12"/>
    </row>
    <row r="74" spans="1:17" x14ac:dyDescent="0.25">
      <c r="A74" s="11">
        <v>102185</v>
      </c>
      <c r="B74" s="12" t="s">
        <v>1511</v>
      </c>
      <c r="C74" s="12" t="s">
        <v>1514</v>
      </c>
      <c r="D74" s="12">
        <v>6</v>
      </c>
      <c r="E74" s="125">
        <v>8611161.7400000002</v>
      </c>
      <c r="F74" s="12">
        <v>21</v>
      </c>
      <c r="G74" s="125">
        <v>7198622.1799999997</v>
      </c>
      <c r="H74" s="12" t="s">
        <v>546</v>
      </c>
      <c r="I74" s="125">
        <v>137443.32</v>
      </c>
      <c r="J74" s="13">
        <v>42305.393427777781</v>
      </c>
      <c r="K74" s="13">
        <v>43407</v>
      </c>
      <c r="L74" s="13" t="s">
        <v>1515</v>
      </c>
      <c r="M74" s="12"/>
      <c r="N74" s="12"/>
      <c r="O74" s="12"/>
      <c r="P74" s="12"/>
      <c r="Q74" s="12"/>
    </row>
    <row r="75" spans="1:17" x14ac:dyDescent="0.25">
      <c r="A75" s="11">
        <v>102186</v>
      </c>
      <c r="B75" s="12" t="s">
        <v>1512</v>
      </c>
      <c r="C75" s="12" t="s">
        <v>1516</v>
      </c>
      <c r="D75" s="12">
        <v>6</v>
      </c>
      <c r="E75" s="125">
        <v>19368334.66</v>
      </c>
      <c r="F75" s="12">
        <v>-11</v>
      </c>
      <c r="G75" s="125">
        <v>16066040.01</v>
      </c>
      <c r="H75" s="12" t="s">
        <v>1467</v>
      </c>
      <c r="I75" s="125">
        <v>289188.71999999997</v>
      </c>
      <c r="J75" s="13">
        <v>42305.414281793979</v>
      </c>
      <c r="K75" s="13">
        <v>43409</v>
      </c>
      <c r="L75" s="13" t="s">
        <v>1517</v>
      </c>
      <c r="M75" s="12" t="s">
        <v>1518</v>
      </c>
      <c r="N75" s="12"/>
      <c r="O75" s="12"/>
      <c r="P75" s="12"/>
      <c r="Q75" s="12"/>
    </row>
    <row r="76" spans="1:17" x14ac:dyDescent="0.25">
      <c r="A76" s="11">
        <v>102190</v>
      </c>
      <c r="B76" s="12" t="s">
        <v>663</v>
      </c>
      <c r="C76" s="12" t="s">
        <v>1521</v>
      </c>
      <c r="D76" s="12">
        <v>6</v>
      </c>
      <c r="E76" s="125">
        <v>8260692.2699999996</v>
      </c>
      <c r="F76" s="12">
        <v>-7</v>
      </c>
      <c r="G76" s="125">
        <v>6852246.9500000002</v>
      </c>
      <c r="H76" s="12" t="s">
        <v>491</v>
      </c>
      <c r="I76" s="125">
        <v>150749.43</v>
      </c>
      <c r="J76" s="13">
        <v>42306.496015428238</v>
      </c>
      <c r="K76" s="13">
        <v>43405</v>
      </c>
      <c r="L76" s="13" t="s">
        <v>1522</v>
      </c>
      <c r="M76" s="12"/>
      <c r="N76" s="12"/>
      <c r="O76" s="12"/>
      <c r="P76" s="12"/>
      <c r="Q76" s="12"/>
    </row>
    <row r="77" spans="1:17" x14ac:dyDescent="0.25">
      <c r="A77" s="11">
        <v>102192</v>
      </c>
      <c r="B77" s="12" t="s">
        <v>1151</v>
      </c>
      <c r="C77" s="12" t="s">
        <v>1152</v>
      </c>
      <c r="D77" s="12">
        <v>10</v>
      </c>
      <c r="E77" s="125">
        <v>46119217.759999998</v>
      </c>
      <c r="F77" s="12">
        <v>53</v>
      </c>
      <c r="G77" s="125">
        <v>37211861.189999998</v>
      </c>
      <c r="H77" s="12" t="s">
        <v>5725</v>
      </c>
      <c r="I77" s="125">
        <v>2165132.25</v>
      </c>
      <c r="J77" s="13">
        <v>42306.654785648148</v>
      </c>
      <c r="K77" s="13">
        <v>43406</v>
      </c>
      <c r="L77" s="13" t="s">
        <v>1153</v>
      </c>
      <c r="M77" s="12"/>
      <c r="N77" s="12"/>
      <c r="O77" s="12"/>
      <c r="P77" s="12"/>
      <c r="Q77" s="12"/>
    </row>
    <row r="78" spans="1:17" x14ac:dyDescent="0.25">
      <c r="A78" s="11">
        <v>102207</v>
      </c>
      <c r="B78" s="12" t="s">
        <v>347</v>
      </c>
      <c r="C78" s="12" t="s">
        <v>348</v>
      </c>
      <c r="D78" s="12">
        <v>6</v>
      </c>
      <c r="E78" s="125">
        <v>42913975.009999998</v>
      </c>
      <c r="F78" s="12">
        <v>23</v>
      </c>
      <c r="G78" s="125">
        <v>35106785.170000002</v>
      </c>
      <c r="H78" s="12" t="s">
        <v>491</v>
      </c>
      <c r="I78" s="125">
        <v>1776099.66</v>
      </c>
      <c r="J78" s="13">
        <v>42308.688990127317</v>
      </c>
      <c r="K78" s="13">
        <v>43405</v>
      </c>
      <c r="L78" s="13" t="s">
        <v>349</v>
      </c>
      <c r="M78" s="12" t="s">
        <v>350</v>
      </c>
      <c r="N78" s="12"/>
      <c r="O78" s="12"/>
      <c r="P78" s="12"/>
      <c r="Q78" s="12"/>
    </row>
    <row r="79" spans="1:17" x14ac:dyDescent="0.25">
      <c r="A79" s="11">
        <v>102212</v>
      </c>
      <c r="B79" s="12" t="s">
        <v>846</v>
      </c>
      <c r="C79" s="12" t="s">
        <v>847</v>
      </c>
      <c r="D79" s="12">
        <v>6</v>
      </c>
      <c r="E79" s="125">
        <v>3807837.14</v>
      </c>
      <c r="F79" s="12">
        <v>101</v>
      </c>
      <c r="G79" s="125">
        <v>3623553.87</v>
      </c>
      <c r="H79" s="12" t="s">
        <v>1039</v>
      </c>
      <c r="I79" s="125">
        <v>88201.33</v>
      </c>
      <c r="J79" s="13">
        <v>42311.652017129629</v>
      </c>
      <c r="K79" s="13">
        <v>43054</v>
      </c>
      <c r="L79" s="13" t="s">
        <v>848</v>
      </c>
      <c r="M79" s="12" t="s">
        <v>849</v>
      </c>
      <c r="N79" s="12"/>
      <c r="O79" s="12"/>
      <c r="P79" s="12"/>
      <c r="Q79" s="12"/>
    </row>
    <row r="80" spans="1:17" x14ac:dyDescent="0.25">
      <c r="A80" s="11">
        <v>102220</v>
      </c>
      <c r="B80" s="12" t="s">
        <v>542</v>
      </c>
      <c r="C80" s="12" t="s">
        <v>543</v>
      </c>
      <c r="D80" s="12">
        <v>2</v>
      </c>
      <c r="E80" s="125">
        <v>13099016.449999999</v>
      </c>
      <c r="F80" s="12">
        <v>-19</v>
      </c>
      <c r="G80" s="125">
        <v>10548347.9</v>
      </c>
      <c r="H80" s="12" t="s">
        <v>5167</v>
      </c>
      <c r="I80" s="125">
        <v>123064.06</v>
      </c>
      <c r="J80" s="13">
        <v>42315.444171331015</v>
      </c>
      <c r="K80" s="13">
        <v>43417</v>
      </c>
      <c r="L80" s="13" t="s">
        <v>544</v>
      </c>
      <c r="M80" s="12" t="s">
        <v>545</v>
      </c>
      <c r="N80" s="12"/>
      <c r="O80" s="12"/>
      <c r="P80" s="12"/>
      <c r="Q80" s="12"/>
    </row>
    <row r="81" spans="1:17" x14ac:dyDescent="0.25">
      <c r="A81" s="11">
        <v>102222</v>
      </c>
      <c r="B81" s="12" t="s">
        <v>1044</v>
      </c>
      <c r="C81" s="12" t="s">
        <v>1045</v>
      </c>
      <c r="D81" s="12">
        <v>3</v>
      </c>
      <c r="E81" s="125">
        <v>37040772.43</v>
      </c>
      <c r="F81" s="12">
        <v>-21</v>
      </c>
      <c r="G81" s="125">
        <v>30725333.050000001</v>
      </c>
      <c r="H81" s="12" t="s">
        <v>1447</v>
      </c>
      <c r="I81" s="125">
        <v>245802.66</v>
      </c>
      <c r="J81" s="13">
        <v>42317.601501041667</v>
      </c>
      <c r="K81" s="13">
        <v>43419</v>
      </c>
      <c r="L81" s="13" t="s">
        <v>1046</v>
      </c>
      <c r="M81" s="12"/>
      <c r="N81" s="12"/>
      <c r="O81" s="12"/>
      <c r="P81" s="12"/>
      <c r="Q81" s="12"/>
    </row>
    <row r="82" spans="1:17" x14ac:dyDescent="0.25">
      <c r="A82" s="11">
        <v>102223</v>
      </c>
      <c r="B82" s="12" t="s">
        <v>1553</v>
      </c>
      <c r="C82" s="12" t="s">
        <v>1567</v>
      </c>
      <c r="D82" s="12">
        <v>6</v>
      </c>
      <c r="E82" s="125">
        <v>9306244.5999999996</v>
      </c>
      <c r="F82" s="12">
        <v>46</v>
      </c>
      <c r="G82" s="125">
        <v>7681324.2800000003</v>
      </c>
      <c r="H82" s="12" t="s">
        <v>491</v>
      </c>
      <c r="I82" s="125">
        <v>218736.73</v>
      </c>
      <c r="J82" s="13">
        <v>42317.61409116898</v>
      </c>
      <c r="K82" s="13">
        <v>43413</v>
      </c>
      <c r="L82" s="13" t="s">
        <v>1568</v>
      </c>
      <c r="M82" s="12"/>
      <c r="N82" s="12"/>
      <c r="O82" s="12"/>
      <c r="P82" s="12"/>
      <c r="Q82" s="12"/>
    </row>
    <row r="83" spans="1:17" x14ac:dyDescent="0.25">
      <c r="A83" s="11">
        <v>102224</v>
      </c>
      <c r="B83" s="12" t="s">
        <v>1554</v>
      </c>
      <c r="C83" s="12" t="s">
        <v>1569</v>
      </c>
      <c r="D83" s="12">
        <v>3</v>
      </c>
      <c r="E83" s="125">
        <v>3253913.95</v>
      </c>
      <c r="F83" s="12">
        <v>12</v>
      </c>
      <c r="G83" s="125">
        <v>3159139.76</v>
      </c>
      <c r="H83" s="12" t="s">
        <v>2855</v>
      </c>
      <c r="I83" s="125">
        <v>94774.19</v>
      </c>
      <c r="J83" s="13">
        <v>42318.462431400461</v>
      </c>
      <c r="K83" s="13">
        <v>43051</v>
      </c>
      <c r="L83" s="13" t="s">
        <v>1570</v>
      </c>
      <c r="M83" s="12"/>
      <c r="N83" s="12"/>
      <c r="O83" s="12"/>
      <c r="P83" s="12"/>
      <c r="Q83" s="12"/>
    </row>
    <row r="84" spans="1:17" x14ac:dyDescent="0.25">
      <c r="A84" s="11">
        <v>102226</v>
      </c>
      <c r="B84" s="12" t="s">
        <v>777</v>
      </c>
      <c r="C84" s="12" t="s">
        <v>783</v>
      </c>
      <c r="D84" s="12">
        <v>3</v>
      </c>
      <c r="E84" s="125">
        <v>26454593.050000001</v>
      </c>
      <c r="F84" s="12">
        <v>73</v>
      </c>
      <c r="G84" s="125">
        <v>21495779.050000001</v>
      </c>
      <c r="H84" s="12" t="s">
        <v>86</v>
      </c>
      <c r="I84" s="125">
        <v>639741.36</v>
      </c>
      <c r="J84" s="13">
        <v>42319.608294675927</v>
      </c>
      <c r="K84" s="13">
        <v>43416</v>
      </c>
      <c r="L84" s="13" t="s">
        <v>784</v>
      </c>
      <c r="M84" s="12" t="s">
        <v>785</v>
      </c>
      <c r="N84" s="12"/>
      <c r="O84" s="12"/>
      <c r="P84" s="12"/>
      <c r="Q84" s="12"/>
    </row>
    <row r="85" spans="1:17" x14ac:dyDescent="0.25">
      <c r="A85" s="11">
        <v>102248</v>
      </c>
      <c r="B85" s="12" t="s">
        <v>1559</v>
      </c>
      <c r="C85" s="12" t="s">
        <v>1584</v>
      </c>
      <c r="D85" s="12">
        <v>6</v>
      </c>
      <c r="E85" s="125">
        <v>14079112.24</v>
      </c>
      <c r="F85" s="12">
        <v>6</v>
      </c>
      <c r="G85" s="125">
        <v>11736252.67</v>
      </c>
      <c r="H85" s="12" t="s">
        <v>1467</v>
      </c>
      <c r="I85" s="125">
        <v>289894.87</v>
      </c>
      <c r="J85" s="13">
        <v>42326.438722303239</v>
      </c>
      <c r="K85" s="13">
        <v>43422</v>
      </c>
      <c r="L85" s="13" t="s">
        <v>1585</v>
      </c>
      <c r="M85" s="12" t="s">
        <v>1586</v>
      </c>
      <c r="N85" s="12"/>
      <c r="O85" s="12"/>
      <c r="P85" s="12"/>
      <c r="Q85" s="12"/>
    </row>
    <row r="86" spans="1:17" x14ac:dyDescent="0.25">
      <c r="A86" s="11">
        <v>102256</v>
      </c>
      <c r="B86" s="12" t="s">
        <v>1562</v>
      </c>
      <c r="C86" s="12" t="s">
        <v>1589</v>
      </c>
      <c r="D86" s="12">
        <v>3</v>
      </c>
      <c r="E86" s="125">
        <v>19787239.120000001</v>
      </c>
      <c r="F86" s="12">
        <v>-25</v>
      </c>
      <c r="G86" s="125">
        <v>16413521.43</v>
      </c>
      <c r="H86" s="12" t="s">
        <v>1191</v>
      </c>
      <c r="I86" s="125">
        <v>65654.09</v>
      </c>
      <c r="J86" s="13">
        <v>42327.745232986112</v>
      </c>
      <c r="K86" s="13">
        <v>43423</v>
      </c>
      <c r="L86" s="13" t="s">
        <v>1590</v>
      </c>
      <c r="M86" s="12" t="s">
        <v>1591</v>
      </c>
      <c r="N86" s="12"/>
      <c r="O86" s="12"/>
      <c r="P86" s="12"/>
      <c r="Q86" s="12"/>
    </row>
    <row r="87" spans="1:17" x14ac:dyDescent="0.25">
      <c r="A87" s="11">
        <v>102259</v>
      </c>
      <c r="B87" s="12" t="s">
        <v>817</v>
      </c>
      <c r="C87" s="12" t="s">
        <v>820</v>
      </c>
      <c r="D87" s="12">
        <v>3</v>
      </c>
      <c r="E87" s="125">
        <v>42962813.18</v>
      </c>
      <c r="F87" s="12">
        <v>35</v>
      </c>
      <c r="G87" s="125">
        <v>34666001.640000001</v>
      </c>
      <c r="H87" s="12" t="s">
        <v>5724</v>
      </c>
      <c r="I87" s="125">
        <v>2015858.35</v>
      </c>
      <c r="J87" s="13">
        <v>42328.725100925927</v>
      </c>
      <c r="K87" s="13">
        <v>43424</v>
      </c>
      <c r="L87" s="13" t="s">
        <v>821</v>
      </c>
      <c r="M87" s="12" t="s">
        <v>822</v>
      </c>
      <c r="N87" s="12"/>
      <c r="O87" s="12"/>
      <c r="P87" s="12"/>
      <c r="Q87" s="12"/>
    </row>
    <row r="88" spans="1:17" x14ac:dyDescent="0.25">
      <c r="A88" s="11">
        <v>102267</v>
      </c>
      <c r="B88" s="12" t="s">
        <v>1154</v>
      </c>
      <c r="C88" s="12" t="s">
        <v>1155</v>
      </c>
      <c r="D88" s="12">
        <v>3</v>
      </c>
      <c r="E88" s="125">
        <v>37760718.149999999</v>
      </c>
      <c r="F88" s="12">
        <v>21</v>
      </c>
      <c r="G88" s="125">
        <v>30687345.84</v>
      </c>
      <c r="H88" s="12" t="s">
        <v>86</v>
      </c>
      <c r="I88" s="125">
        <v>1226227.81</v>
      </c>
      <c r="J88" s="13">
        <v>42332.515357025462</v>
      </c>
      <c r="K88" s="13">
        <v>43437</v>
      </c>
      <c r="L88" s="13" t="s">
        <v>1156</v>
      </c>
      <c r="M88" s="12"/>
      <c r="N88" s="12"/>
      <c r="O88" s="12"/>
      <c r="P88" s="12"/>
      <c r="Q88" s="12"/>
    </row>
    <row r="89" spans="1:17" x14ac:dyDescent="0.25">
      <c r="A89" s="11">
        <v>102271</v>
      </c>
      <c r="B89" s="12" t="s">
        <v>1601</v>
      </c>
      <c r="C89" s="12" t="s">
        <v>1614</v>
      </c>
      <c r="D89" s="12">
        <v>5</v>
      </c>
      <c r="E89" s="125">
        <v>10829690.49</v>
      </c>
      <c r="F89" s="12">
        <v>-27</v>
      </c>
      <c r="G89" s="125">
        <v>9843742.1099999994</v>
      </c>
      <c r="H89" s="12" t="s">
        <v>284</v>
      </c>
      <c r="I89" s="125">
        <v>9843.74</v>
      </c>
      <c r="J89" s="13">
        <v>42332.723250891206</v>
      </c>
      <c r="K89" s="13">
        <v>43425</v>
      </c>
      <c r="L89" s="13" t="s">
        <v>1615</v>
      </c>
      <c r="M89" s="12" t="s">
        <v>1616</v>
      </c>
      <c r="N89" s="12"/>
      <c r="O89" s="12"/>
      <c r="P89" s="12"/>
      <c r="Q89" s="12"/>
    </row>
    <row r="90" spans="1:17" x14ac:dyDescent="0.25">
      <c r="A90" s="11">
        <v>102272</v>
      </c>
      <c r="B90" s="12" t="s">
        <v>659</v>
      </c>
      <c r="C90" s="12" t="s">
        <v>660</v>
      </c>
      <c r="D90" s="12">
        <v>6</v>
      </c>
      <c r="E90" s="125">
        <v>16470243.960000001</v>
      </c>
      <c r="F90" s="12">
        <v>-7</v>
      </c>
      <c r="G90" s="125">
        <v>13473869.890000001</v>
      </c>
      <c r="H90" s="12" t="s">
        <v>1039</v>
      </c>
      <c r="I90" s="125">
        <v>296425.14</v>
      </c>
      <c r="J90" s="13">
        <v>42333.516573692126</v>
      </c>
      <c r="K90" s="13">
        <v>43435</v>
      </c>
      <c r="L90" s="13" t="s">
        <v>661</v>
      </c>
      <c r="M90" s="12" t="s">
        <v>662</v>
      </c>
      <c r="N90" s="12"/>
      <c r="O90" s="12"/>
      <c r="P90" s="12"/>
      <c r="Q90" s="12"/>
    </row>
    <row r="91" spans="1:17" x14ac:dyDescent="0.25">
      <c r="A91" s="11">
        <v>102277</v>
      </c>
      <c r="B91" s="12" t="s">
        <v>1607</v>
      </c>
      <c r="C91" s="12" t="s">
        <v>1620</v>
      </c>
      <c r="D91" s="12">
        <v>2</v>
      </c>
      <c r="E91" s="125">
        <v>10345064.24</v>
      </c>
      <c r="F91" s="12">
        <v>-16</v>
      </c>
      <c r="G91" s="125">
        <v>8209036.5300000003</v>
      </c>
      <c r="H91" s="12" t="s">
        <v>1667</v>
      </c>
      <c r="I91" s="125">
        <v>124503.72</v>
      </c>
      <c r="J91" s="13">
        <v>42334.710147881946</v>
      </c>
      <c r="K91" s="13">
        <v>43444</v>
      </c>
      <c r="L91" s="13" t="s">
        <v>1621</v>
      </c>
      <c r="M91" s="12"/>
      <c r="N91" s="12"/>
      <c r="O91" s="12"/>
      <c r="P91" s="12"/>
      <c r="Q91" s="12"/>
    </row>
    <row r="92" spans="1:17" x14ac:dyDescent="0.25">
      <c r="A92" s="11">
        <v>102279</v>
      </c>
      <c r="B92" s="12" t="s">
        <v>1602</v>
      </c>
      <c r="C92" s="12" t="s">
        <v>1622</v>
      </c>
      <c r="D92" s="12">
        <v>3</v>
      </c>
      <c r="E92" s="125">
        <v>18566457.030000001</v>
      </c>
      <c r="F92" s="12">
        <v>-8</v>
      </c>
      <c r="G92" s="125">
        <v>15188726.189999999</v>
      </c>
      <c r="H92" s="12" t="s">
        <v>963</v>
      </c>
      <c r="I92" s="125">
        <v>318963.25</v>
      </c>
      <c r="J92" s="13">
        <v>42334.679847534724</v>
      </c>
      <c r="K92" s="13">
        <v>43436</v>
      </c>
      <c r="L92" s="13" t="s">
        <v>1623</v>
      </c>
      <c r="M92" s="12"/>
      <c r="N92" s="12"/>
      <c r="O92" s="12"/>
      <c r="P92" s="12"/>
      <c r="Q92" s="12"/>
    </row>
    <row r="93" spans="1:17" x14ac:dyDescent="0.25">
      <c r="A93" s="11">
        <v>102282</v>
      </c>
      <c r="B93" s="12" t="s">
        <v>1603</v>
      </c>
      <c r="C93" s="12" t="s">
        <v>1625</v>
      </c>
      <c r="D93" s="12">
        <v>6</v>
      </c>
      <c r="E93" s="125">
        <v>899567.69</v>
      </c>
      <c r="F93" s="12">
        <v>20</v>
      </c>
      <c r="G93" s="125">
        <v>873594.96</v>
      </c>
      <c r="H93" s="12" t="s">
        <v>1467</v>
      </c>
      <c r="I93" s="125">
        <v>16449.400000000001</v>
      </c>
      <c r="J93" s="13">
        <v>42335.543069016203</v>
      </c>
      <c r="K93" s="13">
        <v>43073</v>
      </c>
      <c r="L93" s="13" t="s">
        <v>1626</v>
      </c>
      <c r="M93" s="12" t="s">
        <v>1627</v>
      </c>
      <c r="N93" s="12"/>
      <c r="O93" s="12"/>
      <c r="P93" s="12"/>
      <c r="Q93" s="12"/>
    </row>
    <row r="94" spans="1:17" x14ac:dyDescent="0.25">
      <c r="A94" s="11">
        <v>102284</v>
      </c>
      <c r="B94" s="12" t="s">
        <v>802</v>
      </c>
      <c r="C94" s="12" t="s">
        <v>803</v>
      </c>
      <c r="D94" s="12">
        <v>3</v>
      </c>
      <c r="E94" s="125">
        <v>3761407.72</v>
      </c>
      <c r="F94" s="12">
        <v>14</v>
      </c>
      <c r="G94" s="125">
        <v>3603961.3</v>
      </c>
      <c r="H94" s="12" t="s">
        <v>1191</v>
      </c>
      <c r="I94" s="125">
        <v>126360.03</v>
      </c>
      <c r="J94" s="13">
        <v>42335.629440856479</v>
      </c>
      <c r="K94" s="13">
        <v>43079</v>
      </c>
      <c r="L94" s="13" t="s">
        <v>804</v>
      </c>
      <c r="M94" s="12" t="s">
        <v>805</v>
      </c>
      <c r="N94" s="12"/>
      <c r="O94" s="12"/>
      <c r="P94" s="12"/>
      <c r="Q94" s="12"/>
    </row>
    <row r="95" spans="1:17" x14ac:dyDescent="0.25">
      <c r="A95" s="11">
        <v>102288</v>
      </c>
      <c r="B95" s="12" t="s">
        <v>535</v>
      </c>
      <c r="C95" s="12" t="s">
        <v>538</v>
      </c>
      <c r="D95" s="12">
        <v>6</v>
      </c>
      <c r="E95" s="125">
        <v>43451646.229999997</v>
      </c>
      <c r="F95" s="12">
        <v>6</v>
      </c>
      <c r="G95" s="125">
        <v>35097849.229999997</v>
      </c>
      <c r="H95" s="12" t="s">
        <v>546</v>
      </c>
      <c r="I95" s="125">
        <v>1050865.93</v>
      </c>
      <c r="J95" s="13">
        <v>42338.701221331015</v>
      </c>
      <c r="K95" s="13">
        <v>43452</v>
      </c>
      <c r="L95" s="13" t="s">
        <v>539</v>
      </c>
      <c r="M95" s="12" t="s">
        <v>540</v>
      </c>
      <c r="N95" s="12"/>
      <c r="O95" s="12"/>
      <c r="P95" s="12"/>
      <c r="Q95" s="12"/>
    </row>
    <row r="96" spans="1:17" x14ac:dyDescent="0.25">
      <c r="A96" s="11">
        <v>102293</v>
      </c>
      <c r="B96" s="12" t="s">
        <v>368</v>
      </c>
      <c r="C96" s="12" t="s">
        <v>370</v>
      </c>
      <c r="D96" s="12">
        <v>6</v>
      </c>
      <c r="E96" s="125">
        <v>41501622.07</v>
      </c>
      <c r="F96" s="12">
        <v>9</v>
      </c>
      <c r="G96" s="125">
        <v>34144992.619999997</v>
      </c>
      <c r="H96" s="12" t="s">
        <v>1039</v>
      </c>
      <c r="I96" s="125">
        <v>264645.90999999997</v>
      </c>
      <c r="J96" s="13">
        <v>42339.50013630787</v>
      </c>
      <c r="K96" s="13">
        <v>43449</v>
      </c>
      <c r="L96" s="13" t="s">
        <v>371</v>
      </c>
      <c r="M96" s="12" t="s">
        <v>372</v>
      </c>
      <c r="N96" s="12"/>
      <c r="O96" s="12"/>
      <c r="P96" s="12"/>
      <c r="Q96" s="12"/>
    </row>
    <row r="97" spans="1:17" x14ac:dyDescent="0.25">
      <c r="A97" s="11">
        <v>102295</v>
      </c>
      <c r="B97" s="12" t="s">
        <v>500</v>
      </c>
      <c r="C97" s="12" t="s">
        <v>501</v>
      </c>
      <c r="D97" s="12">
        <v>2</v>
      </c>
      <c r="E97" s="125">
        <v>7030612.0700000003</v>
      </c>
      <c r="F97" s="12">
        <v>161</v>
      </c>
      <c r="G97" s="125">
        <v>6286514.0700000003</v>
      </c>
      <c r="H97" s="12" t="s">
        <v>5725</v>
      </c>
      <c r="I97" s="125">
        <v>207927.89</v>
      </c>
      <c r="J97" s="13">
        <v>42339.717164895832</v>
      </c>
      <c r="K97" s="13">
        <v>43085</v>
      </c>
      <c r="L97" s="13" t="s">
        <v>502</v>
      </c>
      <c r="M97" s="12" t="s">
        <v>503</v>
      </c>
      <c r="N97" s="12"/>
      <c r="O97" s="12"/>
      <c r="P97" s="12"/>
      <c r="Q97" s="12"/>
    </row>
    <row r="98" spans="1:17" x14ac:dyDescent="0.25">
      <c r="A98" s="11">
        <v>102299</v>
      </c>
      <c r="B98" s="12" t="s">
        <v>1631</v>
      </c>
      <c r="C98" s="12" t="s">
        <v>1632</v>
      </c>
      <c r="D98" s="12">
        <v>6</v>
      </c>
      <c r="E98" s="125">
        <v>35831018.479999997</v>
      </c>
      <c r="F98" s="12">
        <v>-11</v>
      </c>
      <c r="G98" s="125">
        <v>29312406.25</v>
      </c>
      <c r="H98" s="12" t="s">
        <v>491</v>
      </c>
      <c r="I98" s="125">
        <v>527623.31000000006</v>
      </c>
      <c r="J98" s="13">
        <v>42340.740084606485</v>
      </c>
      <c r="K98" s="13">
        <v>43439</v>
      </c>
      <c r="L98" s="13" t="s">
        <v>1633</v>
      </c>
      <c r="M98" s="12" t="s">
        <v>1634</v>
      </c>
      <c r="N98" s="12"/>
      <c r="O98" s="12"/>
      <c r="P98" s="12"/>
      <c r="Q98" s="12"/>
    </row>
    <row r="99" spans="1:17" x14ac:dyDescent="0.25">
      <c r="A99" s="11">
        <v>102318</v>
      </c>
      <c r="B99" s="12" t="s">
        <v>975</v>
      </c>
      <c r="C99" s="12" t="s">
        <v>976</v>
      </c>
      <c r="D99" s="12">
        <v>2</v>
      </c>
      <c r="E99" s="125">
        <v>1245456.43</v>
      </c>
      <c r="F99" s="12">
        <v>-17</v>
      </c>
      <c r="G99" s="125">
        <v>1203339.55</v>
      </c>
      <c r="H99" s="12" t="s">
        <v>4684</v>
      </c>
      <c r="I99" s="125">
        <v>16846.75</v>
      </c>
      <c r="J99" s="13">
        <v>42349.715272800924</v>
      </c>
      <c r="K99" s="13">
        <v>43080</v>
      </c>
      <c r="L99" s="13" t="s">
        <v>977</v>
      </c>
      <c r="M99" s="12" t="s">
        <v>978</v>
      </c>
      <c r="N99" s="12"/>
      <c r="O99" s="12"/>
      <c r="P99" s="12"/>
      <c r="Q99" s="12"/>
    </row>
    <row r="100" spans="1:17" x14ac:dyDescent="0.25">
      <c r="A100" s="11">
        <v>102319</v>
      </c>
      <c r="B100" s="12" t="s">
        <v>1129</v>
      </c>
      <c r="C100" s="12" t="s">
        <v>1133</v>
      </c>
      <c r="D100" s="12">
        <v>3</v>
      </c>
      <c r="E100" s="125">
        <v>35726959.539999999</v>
      </c>
      <c r="F100" s="12">
        <v>-18</v>
      </c>
      <c r="G100" s="125">
        <v>29227278.370000001</v>
      </c>
      <c r="H100" s="12" t="s">
        <v>1191</v>
      </c>
      <c r="I100" s="125">
        <v>321500.06</v>
      </c>
      <c r="J100" s="13">
        <v>42350.529940775465</v>
      </c>
      <c r="K100" s="13">
        <v>43446</v>
      </c>
      <c r="L100" s="13" t="s">
        <v>1134</v>
      </c>
      <c r="M100" s="12" t="s">
        <v>1716</v>
      </c>
      <c r="N100" s="12"/>
      <c r="O100" s="12"/>
      <c r="P100" s="12"/>
      <c r="Q100" s="12"/>
    </row>
    <row r="101" spans="1:17" x14ac:dyDescent="0.25">
      <c r="A101" s="11">
        <v>102320</v>
      </c>
      <c r="B101" s="12" t="s">
        <v>1656</v>
      </c>
      <c r="C101" s="12" t="s">
        <v>1659</v>
      </c>
      <c r="D101" s="12">
        <v>2</v>
      </c>
      <c r="E101" s="125">
        <v>1179134.96</v>
      </c>
      <c r="F101" s="12">
        <v>160</v>
      </c>
      <c r="G101" s="125">
        <v>1139260.83</v>
      </c>
      <c r="H101" s="12" t="s">
        <v>90</v>
      </c>
      <c r="I101" s="125">
        <v>39874.129999999997</v>
      </c>
      <c r="J101" s="13">
        <v>42352.446862847224</v>
      </c>
      <c r="K101" s="13">
        <v>42903</v>
      </c>
      <c r="L101" s="13" t="s">
        <v>1660</v>
      </c>
      <c r="M101" s="12" t="s">
        <v>1661</v>
      </c>
      <c r="N101" s="12"/>
      <c r="O101" s="12"/>
      <c r="P101" s="12"/>
      <c r="Q101" s="12"/>
    </row>
    <row r="102" spans="1:17" x14ac:dyDescent="0.25">
      <c r="A102" s="11">
        <v>102325</v>
      </c>
      <c r="B102" s="12" t="s">
        <v>606</v>
      </c>
      <c r="C102" s="12" t="s">
        <v>608</v>
      </c>
      <c r="D102" s="12">
        <v>10</v>
      </c>
      <c r="E102" s="125">
        <v>29870318.100000001</v>
      </c>
      <c r="F102" s="12">
        <v>40</v>
      </c>
      <c r="G102" s="125">
        <v>23772661.25</v>
      </c>
      <c r="H102" s="12" t="s">
        <v>5725</v>
      </c>
      <c r="I102" s="125">
        <v>1386697.91</v>
      </c>
      <c r="J102" s="13">
        <v>42353.615307094908</v>
      </c>
      <c r="K102" s="13">
        <v>43449</v>
      </c>
      <c r="L102" s="13" t="s">
        <v>609</v>
      </c>
      <c r="M102" s="12" t="s">
        <v>610</v>
      </c>
      <c r="N102" s="12"/>
      <c r="O102" s="12"/>
      <c r="P102" s="12"/>
      <c r="Q102" s="12"/>
    </row>
    <row r="103" spans="1:17" x14ac:dyDescent="0.25">
      <c r="A103" s="11">
        <v>102326</v>
      </c>
      <c r="B103" s="12" t="s">
        <v>650</v>
      </c>
      <c r="C103" s="12" t="s">
        <v>656</v>
      </c>
      <c r="D103" s="12">
        <v>5</v>
      </c>
      <c r="E103" s="125">
        <v>2018577.34</v>
      </c>
      <c r="F103" s="12">
        <v>-27</v>
      </c>
      <c r="G103" s="125">
        <v>1939877.81</v>
      </c>
      <c r="H103" s="12" t="s">
        <v>284</v>
      </c>
      <c r="I103" s="125">
        <v>1939.88</v>
      </c>
      <c r="J103" s="13">
        <v>42353.648289930556</v>
      </c>
      <c r="K103" s="13">
        <v>43455</v>
      </c>
      <c r="L103" s="13" t="s">
        <v>657</v>
      </c>
      <c r="M103" s="12" t="s">
        <v>658</v>
      </c>
      <c r="N103" s="12"/>
      <c r="O103" s="12"/>
      <c r="P103" s="12"/>
      <c r="Q103" s="12"/>
    </row>
    <row r="104" spans="1:17" x14ac:dyDescent="0.25">
      <c r="A104" s="11">
        <v>102331</v>
      </c>
      <c r="B104" s="12" t="s">
        <v>566</v>
      </c>
      <c r="C104" s="12" t="s">
        <v>567</v>
      </c>
      <c r="D104" s="12">
        <v>6</v>
      </c>
      <c r="E104" s="125">
        <v>1362580.57</v>
      </c>
      <c r="F104" s="12">
        <v>40</v>
      </c>
      <c r="G104" s="125">
        <v>1306377.28</v>
      </c>
      <c r="H104" s="12" t="s">
        <v>1039</v>
      </c>
      <c r="I104" s="125">
        <v>36672.959999999999</v>
      </c>
      <c r="J104" s="13">
        <v>42353.74308310185</v>
      </c>
      <c r="K104" s="13">
        <v>43084</v>
      </c>
      <c r="L104" s="13" t="s">
        <v>568</v>
      </c>
      <c r="M104" s="12" t="s">
        <v>569</v>
      </c>
      <c r="N104" s="12"/>
      <c r="O104" s="12"/>
      <c r="P104" s="12"/>
      <c r="Q104" s="12"/>
    </row>
    <row r="105" spans="1:17" x14ac:dyDescent="0.25">
      <c r="A105" s="11">
        <v>102332</v>
      </c>
      <c r="B105" s="12" t="s">
        <v>154</v>
      </c>
      <c r="C105" s="12" t="s">
        <v>155</v>
      </c>
      <c r="D105" s="12">
        <v>3</v>
      </c>
      <c r="E105" s="125">
        <v>7140724.4000000004</v>
      </c>
      <c r="F105" s="12">
        <v>0</v>
      </c>
      <c r="G105" s="125">
        <v>6831779.8700000001</v>
      </c>
      <c r="H105" s="12" t="s">
        <v>86</v>
      </c>
      <c r="I105" s="125">
        <v>198121.62</v>
      </c>
      <c r="J105" s="13">
        <v>42354.499002662036</v>
      </c>
      <c r="K105" s="13">
        <v>43093</v>
      </c>
      <c r="L105" s="13" t="s">
        <v>156</v>
      </c>
      <c r="M105" s="12" t="s">
        <v>157</v>
      </c>
      <c r="N105" s="12" t="s">
        <v>158</v>
      </c>
      <c r="O105" s="12"/>
      <c r="P105" s="12"/>
      <c r="Q105" s="12"/>
    </row>
    <row r="106" spans="1:17" x14ac:dyDescent="0.25">
      <c r="A106" s="11">
        <v>102338</v>
      </c>
      <c r="B106" s="12" t="s">
        <v>591</v>
      </c>
      <c r="C106" s="12" t="s">
        <v>592</v>
      </c>
      <c r="D106" s="12">
        <v>10</v>
      </c>
      <c r="E106" s="125">
        <v>12946749.539999999</v>
      </c>
      <c r="F106" s="12">
        <v>75</v>
      </c>
      <c r="G106" s="125">
        <v>9467414.0500000007</v>
      </c>
      <c r="H106" s="12" t="s">
        <v>5725</v>
      </c>
      <c r="I106" s="125">
        <v>734329.53</v>
      </c>
      <c r="J106" s="13">
        <v>42355.719460335647</v>
      </c>
      <c r="K106" s="13">
        <v>43475</v>
      </c>
      <c r="L106" s="13" t="s">
        <v>593</v>
      </c>
      <c r="M106" s="12" t="s">
        <v>594</v>
      </c>
      <c r="N106" s="12"/>
      <c r="O106" s="12"/>
      <c r="P106" s="12"/>
      <c r="Q106" s="12"/>
    </row>
    <row r="107" spans="1:17" x14ac:dyDescent="0.25">
      <c r="A107" s="11">
        <v>102339</v>
      </c>
      <c r="B107" s="12" t="s">
        <v>1107</v>
      </c>
      <c r="C107" s="12" t="s">
        <v>1114</v>
      </c>
      <c r="D107" s="12">
        <v>6</v>
      </c>
      <c r="E107" s="125">
        <v>26431917.23</v>
      </c>
      <c r="F107" s="12">
        <v>7</v>
      </c>
      <c r="G107" s="125">
        <v>21579944.219999999</v>
      </c>
      <c r="H107" s="12" t="s">
        <v>1039</v>
      </c>
      <c r="I107" s="125">
        <v>760040.97</v>
      </c>
      <c r="J107" s="13">
        <v>42355.730444710651</v>
      </c>
      <c r="K107" s="13">
        <v>43482</v>
      </c>
      <c r="L107" s="13" t="s">
        <v>1115</v>
      </c>
      <c r="M107" s="12"/>
      <c r="N107" s="12"/>
      <c r="O107" s="12"/>
      <c r="P107" s="12"/>
      <c r="Q107" s="12"/>
    </row>
    <row r="108" spans="1:17" x14ac:dyDescent="0.25">
      <c r="A108" s="11">
        <v>102349</v>
      </c>
      <c r="B108" s="12" t="s">
        <v>1688</v>
      </c>
      <c r="C108" s="12" t="s">
        <v>1690</v>
      </c>
      <c r="D108" s="12">
        <v>3</v>
      </c>
      <c r="E108" s="125">
        <v>17311890.789999999</v>
      </c>
      <c r="F108" s="12">
        <v>84</v>
      </c>
      <c r="G108" s="125">
        <v>16299883.449999999</v>
      </c>
      <c r="H108" s="12" t="s">
        <v>5167</v>
      </c>
      <c r="I108" s="125">
        <v>405753.7</v>
      </c>
      <c r="J108" s="13">
        <v>42359.423008796293</v>
      </c>
      <c r="K108" s="13">
        <v>43101</v>
      </c>
      <c r="L108" s="13" t="s">
        <v>1691</v>
      </c>
      <c r="M108" s="12"/>
      <c r="N108" s="12"/>
      <c r="O108" s="12"/>
      <c r="P108" s="12"/>
      <c r="Q108" s="12"/>
    </row>
    <row r="109" spans="1:17" x14ac:dyDescent="0.25">
      <c r="A109" s="11">
        <v>102365</v>
      </c>
      <c r="B109" s="12" t="s">
        <v>1717</v>
      </c>
      <c r="C109" s="12" t="s">
        <v>1718</v>
      </c>
      <c r="D109" s="12">
        <v>6</v>
      </c>
      <c r="E109" s="125">
        <v>6140142.9299999997</v>
      </c>
      <c r="F109" s="12">
        <v>-16</v>
      </c>
      <c r="G109" s="125">
        <v>5387739.1900000004</v>
      </c>
      <c r="H109" s="12" t="s">
        <v>1467</v>
      </c>
      <c r="I109" s="125">
        <v>70040.61</v>
      </c>
      <c r="J109" s="13">
        <v>42376.666967939818</v>
      </c>
      <c r="K109" s="13">
        <v>43291</v>
      </c>
      <c r="L109" s="13" t="s">
        <v>1719</v>
      </c>
      <c r="M109" s="12" t="s">
        <v>1720</v>
      </c>
      <c r="N109" s="12"/>
      <c r="O109" s="12"/>
      <c r="P109" s="12"/>
      <c r="Q109" s="12"/>
    </row>
    <row r="110" spans="1:17" x14ac:dyDescent="0.25">
      <c r="A110" s="11">
        <v>102374</v>
      </c>
      <c r="B110" s="12" t="s">
        <v>677</v>
      </c>
      <c r="C110" s="12" t="s">
        <v>678</v>
      </c>
      <c r="D110" s="12">
        <v>3</v>
      </c>
      <c r="E110" s="125">
        <v>32062655.93</v>
      </c>
      <c r="F110" s="12">
        <v>-20</v>
      </c>
      <c r="G110" s="125">
        <v>25870150.449999999</v>
      </c>
      <c r="H110" s="12" t="s">
        <v>1191</v>
      </c>
      <c r="I110" s="125">
        <v>232831.35</v>
      </c>
      <c r="J110" s="13">
        <v>42383.680837928237</v>
      </c>
      <c r="K110" s="13">
        <v>43479</v>
      </c>
      <c r="L110" s="13" t="s">
        <v>679</v>
      </c>
      <c r="M110" s="12" t="s">
        <v>680</v>
      </c>
      <c r="N110" s="12"/>
      <c r="O110" s="12"/>
      <c r="P110" s="12"/>
      <c r="Q110" s="12"/>
    </row>
    <row r="111" spans="1:17" x14ac:dyDescent="0.25">
      <c r="A111" s="11">
        <v>102375</v>
      </c>
      <c r="B111" s="12" t="s">
        <v>74</v>
      </c>
      <c r="C111" s="12" t="s">
        <v>76</v>
      </c>
      <c r="D111" s="12">
        <v>6</v>
      </c>
      <c r="E111" s="125">
        <v>28856390.199999999</v>
      </c>
      <c r="F111" s="12">
        <v>-21</v>
      </c>
      <c r="G111" s="125">
        <v>23283135.34</v>
      </c>
      <c r="H111" s="12" t="s">
        <v>491</v>
      </c>
      <c r="I111" s="125">
        <v>186265.08</v>
      </c>
      <c r="J111" s="13">
        <v>42384.482900497685</v>
      </c>
      <c r="K111" s="13">
        <v>43480</v>
      </c>
      <c r="L111" s="13" t="s">
        <v>77</v>
      </c>
      <c r="M111" s="12" t="s">
        <v>78</v>
      </c>
      <c r="N111" s="12"/>
      <c r="O111" s="12"/>
      <c r="P111" s="12"/>
      <c r="Q111" s="12"/>
    </row>
    <row r="112" spans="1:17" x14ac:dyDescent="0.25">
      <c r="A112" s="11">
        <v>102394</v>
      </c>
      <c r="B112" s="12" t="s">
        <v>929</v>
      </c>
      <c r="C112" s="12" t="s">
        <v>944</v>
      </c>
      <c r="D112" s="12">
        <v>2</v>
      </c>
      <c r="E112" s="125">
        <v>5310771.09</v>
      </c>
      <c r="F112" s="12">
        <v>14</v>
      </c>
      <c r="G112" s="125">
        <v>4875346.83</v>
      </c>
      <c r="H112" s="12" t="s">
        <v>468</v>
      </c>
      <c r="I112" s="125">
        <v>227036.9</v>
      </c>
      <c r="J112" s="13">
        <v>42399.498592442127</v>
      </c>
      <c r="K112" s="13">
        <v>43142</v>
      </c>
      <c r="L112" s="13" t="s">
        <v>945</v>
      </c>
      <c r="M112" s="12"/>
      <c r="N112" s="12"/>
      <c r="O112" s="12"/>
      <c r="P112" s="12"/>
      <c r="Q112" s="12"/>
    </row>
    <row r="113" spans="1:17" x14ac:dyDescent="0.25">
      <c r="A113" s="11">
        <v>102395</v>
      </c>
      <c r="B113" s="12" t="s">
        <v>1778</v>
      </c>
      <c r="C113" s="12" t="s">
        <v>1779</v>
      </c>
      <c r="D113" s="12">
        <v>2</v>
      </c>
      <c r="E113" s="125">
        <v>3758839.95</v>
      </c>
      <c r="F113" s="12">
        <v>-11</v>
      </c>
      <c r="G113" s="125">
        <v>3508983.22</v>
      </c>
      <c r="H113" s="12" t="s">
        <v>1447</v>
      </c>
      <c r="I113" s="125">
        <v>73688.649999999994</v>
      </c>
      <c r="J113" s="13">
        <v>42399.587561192129</v>
      </c>
      <c r="K113" s="13">
        <v>43137</v>
      </c>
      <c r="L113" s="13" t="s">
        <v>1780</v>
      </c>
      <c r="M113" s="12"/>
      <c r="N113" s="12"/>
      <c r="O113" s="12"/>
      <c r="P113" s="12"/>
      <c r="Q113" s="12"/>
    </row>
    <row r="114" spans="1:17" x14ac:dyDescent="0.25">
      <c r="A114" s="11">
        <v>102404</v>
      </c>
      <c r="B114" s="12" t="s">
        <v>1748</v>
      </c>
      <c r="C114" s="12" t="s">
        <v>1749</v>
      </c>
      <c r="D114" s="12">
        <v>6</v>
      </c>
      <c r="E114" s="125">
        <v>3560043.19</v>
      </c>
      <c r="F114" s="12">
        <v>-21</v>
      </c>
      <c r="G114" s="125">
        <v>3356659.52</v>
      </c>
      <c r="H114" s="12" t="s">
        <v>491</v>
      </c>
      <c r="I114" s="125">
        <v>26853.279999999999</v>
      </c>
      <c r="J114" s="13">
        <v>42410.686364548608</v>
      </c>
      <c r="K114" s="13">
        <v>43146</v>
      </c>
      <c r="L114" s="13" t="s">
        <v>1750</v>
      </c>
      <c r="M114" s="12"/>
      <c r="N114" s="12"/>
      <c r="O114" s="12"/>
      <c r="P114" s="12"/>
      <c r="Q114" s="12"/>
    </row>
    <row r="115" spans="1:17" x14ac:dyDescent="0.25">
      <c r="A115" s="11">
        <v>102405</v>
      </c>
      <c r="B115" s="12" t="s">
        <v>872</v>
      </c>
      <c r="C115" s="12" t="s">
        <v>877</v>
      </c>
      <c r="D115" s="12">
        <v>2</v>
      </c>
      <c r="E115" s="125">
        <v>21487541.030000001</v>
      </c>
      <c r="F115" s="12">
        <v>39</v>
      </c>
      <c r="G115" s="125">
        <v>16320894.539999999</v>
      </c>
      <c r="H115" s="12" t="s">
        <v>1191</v>
      </c>
      <c r="I115" s="125">
        <v>673048.42</v>
      </c>
      <c r="J115" s="13">
        <v>42410.706986689816</v>
      </c>
      <c r="K115" s="13">
        <v>43512</v>
      </c>
      <c r="L115" s="13" t="s">
        <v>878</v>
      </c>
      <c r="M115" s="12" t="s">
        <v>879</v>
      </c>
      <c r="N115" s="12"/>
      <c r="O115" s="12"/>
      <c r="P115" s="12"/>
      <c r="Q115" s="12"/>
    </row>
    <row r="116" spans="1:17" x14ac:dyDescent="0.25">
      <c r="A116" s="11">
        <v>102407</v>
      </c>
      <c r="B116" s="12" t="s">
        <v>1743</v>
      </c>
      <c r="C116" s="12" t="s">
        <v>1744</v>
      </c>
      <c r="D116" s="12">
        <v>6</v>
      </c>
      <c r="E116" s="125">
        <v>31127680.699999999</v>
      </c>
      <c r="F116" s="12">
        <v>-26</v>
      </c>
      <c r="G116" s="125">
        <v>24773348.710000001</v>
      </c>
      <c r="H116" s="12" t="s">
        <v>491</v>
      </c>
      <c r="I116" s="125">
        <v>74320.05</v>
      </c>
      <c r="J116" s="13">
        <v>42413.45611767361</v>
      </c>
      <c r="K116" s="13">
        <v>43516</v>
      </c>
      <c r="L116" s="13" t="s">
        <v>1745</v>
      </c>
      <c r="M116" s="12" t="s">
        <v>1834</v>
      </c>
      <c r="N116" s="12"/>
      <c r="O116" s="12"/>
      <c r="P116" s="12"/>
      <c r="Q116" s="12"/>
    </row>
    <row r="117" spans="1:17" x14ac:dyDescent="0.25">
      <c r="A117" s="11">
        <v>102409</v>
      </c>
      <c r="B117" s="12" t="s">
        <v>1772</v>
      </c>
      <c r="C117" s="12" t="s">
        <v>1773</v>
      </c>
      <c r="D117" s="12">
        <v>2</v>
      </c>
      <c r="E117" s="125">
        <v>1679394.84</v>
      </c>
      <c r="F117" s="12">
        <v>96</v>
      </c>
      <c r="G117" s="125">
        <v>1624281.74</v>
      </c>
      <c r="H117" s="12" t="s">
        <v>1191</v>
      </c>
      <c r="I117" s="125">
        <v>55113.1</v>
      </c>
      <c r="J117" s="13">
        <v>42413.487209606479</v>
      </c>
      <c r="K117" s="13">
        <v>42967</v>
      </c>
      <c r="L117" s="13" t="s">
        <v>1774</v>
      </c>
      <c r="M117" s="12" t="s">
        <v>1835</v>
      </c>
      <c r="N117" s="12"/>
      <c r="O117" s="12"/>
      <c r="P117" s="12"/>
      <c r="Q117" s="12"/>
    </row>
    <row r="118" spans="1:17" x14ac:dyDescent="0.25">
      <c r="A118" s="11">
        <v>102418</v>
      </c>
      <c r="B118" s="12" t="s">
        <v>810</v>
      </c>
      <c r="C118" s="12" t="s">
        <v>812</v>
      </c>
      <c r="D118" s="12">
        <v>10</v>
      </c>
      <c r="E118" s="125">
        <v>15329057.83</v>
      </c>
      <c r="F118" s="12">
        <v>-7</v>
      </c>
      <c r="G118" s="125">
        <v>11163669.66</v>
      </c>
      <c r="H118" s="12" t="s">
        <v>86</v>
      </c>
      <c r="I118" s="125">
        <v>327467.64</v>
      </c>
      <c r="J118" s="13">
        <v>42426.470221099538</v>
      </c>
      <c r="K118" s="13">
        <v>43525</v>
      </c>
      <c r="L118" s="13" t="s">
        <v>813</v>
      </c>
      <c r="M118" s="12"/>
      <c r="N118" s="12"/>
      <c r="O118" s="12"/>
      <c r="P118" s="12"/>
      <c r="Q118" s="12"/>
    </row>
    <row r="119" spans="1:17" x14ac:dyDescent="0.25">
      <c r="A119" s="11">
        <v>102423</v>
      </c>
      <c r="B119" s="12" t="s">
        <v>163</v>
      </c>
      <c r="C119" s="12" t="s">
        <v>164</v>
      </c>
      <c r="D119" s="12">
        <v>6</v>
      </c>
      <c r="E119" s="125">
        <v>59246620.770000003</v>
      </c>
      <c r="F119" s="12">
        <v>-12</v>
      </c>
      <c r="G119" s="125">
        <v>39703928.780000001</v>
      </c>
      <c r="H119" s="12" t="s">
        <v>1467</v>
      </c>
      <c r="I119" s="125">
        <v>674966.79</v>
      </c>
      <c r="J119" s="13">
        <v>42427.511391203705</v>
      </c>
      <c r="K119" s="13">
        <v>43896</v>
      </c>
      <c r="L119" s="13" t="s">
        <v>165</v>
      </c>
      <c r="M119" s="12" t="s">
        <v>166</v>
      </c>
      <c r="N119" s="12" t="s">
        <v>167</v>
      </c>
      <c r="O119" s="12"/>
      <c r="P119" s="12"/>
      <c r="Q119" s="12"/>
    </row>
    <row r="120" spans="1:17" x14ac:dyDescent="0.25">
      <c r="A120" s="11">
        <v>102424</v>
      </c>
      <c r="B120" s="12" t="s">
        <v>902</v>
      </c>
      <c r="C120" s="12" t="s">
        <v>908</v>
      </c>
      <c r="D120" s="12">
        <v>3</v>
      </c>
      <c r="E120" s="125">
        <v>15043877.02</v>
      </c>
      <c r="F120" s="12">
        <v>31</v>
      </c>
      <c r="G120" s="125">
        <v>14161111.449999999</v>
      </c>
      <c r="H120" s="12" t="s">
        <v>1191</v>
      </c>
      <c r="I120" s="125">
        <v>336365.96</v>
      </c>
      <c r="J120" s="13">
        <v>42427.581274999997</v>
      </c>
      <c r="K120" s="13">
        <v>43155</v>
      </c>
      <c r="L120" s="13" t="s">
        <v>909</v>
      </c>
      <c r="M120" s="12" t="s">
        <v>910</v>
      </c>
      <c r="N120" s="12"/>
      <c r="O120" s="12"/>
      <c r="P120" s="12"/>
      <c r="Q120" s="12"/>
    </row>
    <row r="121" spans="1:17" x14ac:dyDescent="0.25">
      <c r="A121" s="11">
        <v>102425</v>
      </c>
      <c r="B121" s="12" t="s">
        <v>551</v>
      </c>
      <c r="C121" s="12" t="s">
        <v>552</v>
      </c>
      <c r="D121" s="12">
        <v>3</v>
      </c>
      <c r="E121" s="125">
        <v>25966803.949999999</v>
      </c>
      <c r="F121" s="12">
        <v>17</v>
      </c>
      <c r="G121" s="125">
        <v>20400269.43</v>
      </c>
      <c r="H121" s="12" t="s">
        <v>2855</v>
      </c>
      <c r="I121" s="125">
        <v>325321.93</v>
      </c>
      <c r="J121" s="13">
        <v>42427.614638923609</v>
      </c>
      <c r="K121" s="13">
        <v>43531</v>
      </c>
      <c r="L121" s="13" t="s">
        <v>553</v>
      </c>
      <c r="M121" s="12" t="s">
        <v>554</v>
      </c>
      <c r="N121" s="12"/>
      <c r="O121" s="12"/>
      <c r="P121" s="12"/>
      <c r="Q121" s="12"/>
    </row>
    <row r="122" spans="1:17" x14ac:dyDescent="0.25">
      <c r="A122" s="11">
        <v>102426</v>
      </c>
      <c r="B122" s="12" t="s">
        <v>359</v>
      </c>
      <c r="C122" s="12" t="s">
        <v>360</v>
      </c>
      <c r="D122" s="12">
        <v>3</v>
      </c>
      <c r="E122" s="125">
        <v>50013241.759999998</v>
      </c>
      <c r="F122" s="12">
        <v>53</v>
      </c>
      <c r="G122" s="125">
        <v>32676053.670000002</v>
      </c>
      <c r="H122" s="12" t="s">
        <v>468</v>
      </c>
      <c r="I122" s="125">
        <v>1939251</v>
      </c>
      <c r="J122" s="13">
        <v>42429.693336076387</v>
      </c>
      <c r="K122" s="13">
        <v>43892</v>
      </c>
      <c r="L122" s="13" t="s">
        <v>361</v>
      </c>
      <c r="M122" s="12" t="s">
        <v>362</v>
      </c>
      <c r="N122" s="12"/>
      <c r="O122" s="12"/>
      <c r="P122" s="12"/>
      <c r="Q122" s="12"/>
    </row>
    <row r="123" spans="1:17" x14ac:dyDescent="0.25">
      <c r="A123" s="11">
        <v>102430</v>
      </c>
      <c r="B123" s="12" t="s">
        <v>570</v>
      </c>
      <c r="C123" s="12" t="s">
        <v>576</v>
      </c>
      <c r="D123" s="12">
        <v>11</v>
      </c>
      <c r="E123" s="125">
        <v>56469725.68</v>
      </c>
      <c r="F123" s="12">
        <v>-16</v>
      </c>
      <c r="G123" s="125">
        <v>37890293.920000002</v>
      </c>
      <c r="H123" s="12" t="s">
        <v>546</v>
      </c>
      <c r="I123" s="125">
        <v>492573.82</v>
      </c>
      <c r="J123" s="13">
        <v>42429.801953321759</v>
      </c>
      <c r="K123" s="13">
        <v>43900</v>
      </c>
      <c r="L123" s="13" t="s">
        <v>577</v>
      </c>
      <c r="M123" s="12" t="s">
        <v>578</v>
      </c>
      <c r="N123" s="12"/>
      <c r="O123" s="12"/>
      <c r="P123" s="12"/>
      <c r="Q123" s="12"/>
    </row>
    <row r="124" spans="1:17" x14ac:dyDescent="0.25">
      <c r="A124" s="11">
        <v>102431</v>
      </c>
      <c r="B124" s="12" t="s">
        <v>1006</v>
      </c>
      <c r="C124" s="12" t="s">
        <v>1009</v>
      </c>
      <c r="D124" s="12">
        <v>3</v>
      </c>
      <c r="E124" s="125">
        <v>52988394.75</v>
      </c>
      <c r="F124" s="12">
        <v>-17</v>
      </c>
      <c r="G124" s="125">
        <v>35511680.869999997</v>
      </c>
      <c r="H124" s="12" t="s">
        <v>86</v>
      </c>
      <c r="I124" s="125">
        <v>426140.17</v>
      </c>
      <c r="J124" s="13">
        <v>42430.377102164355</v>
      </c>
      <c r="K124" s="13">
        <v>43901</v>
      </c>
      <c r="L124" s="13" t="s">
        <v>1010</v>
      </c>
      <c r="M124" s="12"/>
      <c r="N124" s="12"/>
      <c r="O124" s="12"/>
      <c r="P124" s="12"/>
      <c r="Q124" s="12"/>
    </row>
    <row r="125" spans="1:17" x14ac:dyDescent="0.25">
      <c r="A125" s="11">
        <v>102434</v>
      </c>
      <c r="B125" s="12" t="s">
        <v>1100</v>
      </c>
      <c r="C125" s="12" t="s">
        <v>1105</v>
      </c>
      <c r="D125" s="12">
        <v>11</v>
      </c>
      <c r="E125" s="125">
        <v>55423093.659999996</v>
      </c>
      <c r="F125" s="12">
        <v>14</v>
      </c>
      <c r="G125" s="125">
        <v>36671845.369999997</v>
      </c>
      <c r="H125" s="12" t="s">
        <v>546</v>
      </c>
      <c r="I125" s="125">
        <v>1099344.3799999999</v>
      </c>
      <c r="J125" s="13">
        <v>42431.627083680556</v>
      </c>
      <c r="K125" s="13">
        <v>43900</v>
      </c>
      <c r="L125" s="13" t="s">
        <v>1106</v>
      </c>
      <c r="M125" s="12"/>
      <c r="N125" s="12"/>
      <c r="O125" s="12"/>
      <c r="P125" s="12"/>
      <c r="Q125" s="12"/>
    </row>
    <row r="126" spans="1:17" x14ac:dyDescent="0.25">
      <c r="A126" s="11">
        <v>102437</v>
      </c>
      <c r="B126" s="12" t="s">
        <v>622</v>
      </c>
      <c r="C126" s="12" t="s">
        <v>1277</v>
      </c>
      <c r="D126" s="12">
        <v>6</v>
      </c>
      <c r="E126" s="125">
        <v>36461009.710000001</v>
      </c>
      <c r="F126" s="12">
        <v>20</v>
      </c>
      <c r="G126" s="125">
        <v>28343734.399999999</v>
      </c>
      <c r="H126" s="12" t="s">
        <v>546</v>
      </c>
      <c r="I126" s="125">
        <v>2188711.61</v>
      </c>
      <c r="J126" s="13">
        <v>42433.590518518518</v>
      </c>
      <c r="K126" s="13">
        <v>43528</v>
      </c>
      <c r="L126" s="13" t="s">
        <v>1278</v>
      </c>
      <c r="M126" s="12"/>
      <c r="N126" s="12"/>
      <c r="O126" s="12"/>
      <c r="P126" s="12"/>
      <c r="Q126" s="12"/>
    </row>
    <row r="127" spans="1:17" x14ac:dyDescent="0.25">
      <c r="A127" s="11">
        <v>102439</v>
      </c>
      <c r="B127" s="12" t="s">
        <v>508</v>
      </c>
      <c r="C127" s="12" t="s">
        <v>514</v>
      </c>
      <c r="D127" s="12">
        <v>2</v>
      </c>
      <c r="E127" s="125">
        <v>6227282.8700000001</v>
      </c>
      <c r="F127" s="12">
        <v>20</v>
      </c>
      <c r="G127" s="125">
        <v>5623301.6799999997</v>
      </c>
      <c r="H127" s="12" t="s">
        <v>86</v>
      </c>
      <c r="I127" s="125">
        <v>298220.53999999998</v>
      </c>
      <c r="J127" s="13">
        <v>42433.703201620374</v>
      </c>
      <c r="K127" s="13">
        <v>43163</v>
      </c>
      <c r="L127" s="13" t="s">
        <v>515</v>
      </c>
      <c r="M127" s="12" t="s">
        <v>516</v>
      </c>
      <c r="N127" s="12"/>
      <c r="O127" s="12"/>
      <c r="P127" s="12"/>
      <c r="Q127" s="12"/>
    </row>
    <row r="128" spans="1:17" x14ac:dyDescent="0.25">
      <c r="A128" s="11">
        <v>102444</v>
      </c>
      <c r="B128" s="12" t="s">
        <v>1858</v>
      </c>
      <c r="C128" s="12" t="s">
        <v>1147</v>
      </c>
      <c r="D128" s="12">
        <v>3</v>
      </c>
      <c r="E128" s="125">
        <v>26831005.379999999</v>
      </c>
      <c r="F128" s="12">
        <v>194</v>
      </c>
      <c r="G128" s="125">
        <v>22352970.59</v>
      </c>
      <c r="H128" s="12" t="s">
        <v>5726</v>
      </c>
      <c r="I128" s="125">
        <v>1183820.78</v>
      </c>
      <c r="J128" s="13">
        <v>42438.497540509263</v>
      </c>
      <c r="K128" s="13">
        <v>43173</v>
      </c>
      <c r="L128" s="13" t="s">
        <v>1859</v>
      </c>
      <c r="M128" s="12"/>
      <c r="N128" s="12"/>
      <c r="O128" s="12"/>
      <c r="P128" s="12"/>
      <c r="Q128" s="12"/>
    </row>
    <row r="129" spans="1:17" x14ac:dyDescent="0.25">
      <c r="A129" s="11">
        <v>102449</v>
      </c>
      <c r="B129" s="12" t="s">
        <v>1555</v>
      </c>
      <c r="C129" s="12" t="s">
        <v>1574</v>
      </c>
      <c r="D129" s="12">
        <v>11</v>
      </c>
      <c r="E129" s="125">
        <v>43945444.380000003</v>
      </c>
      <c r="F129" s="12">
        <v>-21</v>
      </c>
      <c r="G129" s="125">
        <v>29449895.48</v>
      </c>
      <c r="H129" s="12" t="s">
        <v>1467</v>
      </c>
      <c r="I129" s="125">
        <v>235599.16</v>
      </c>
      <c r="J129" s="13">
        <v>42440.763313275464</v>
      </c>
      <c r="K129" s="13">
        <v>43905</v>
      </c>
      <c r="L129" s="13" t="s">
        <v>1575</v>
      </c>
      <c r="M129" s="12"/>
      <c r="N129" s="12"/>
      <c r="O129" s="12"/>
      <c r="P129" s="12"/>
      <c r="Q129" s="12"/>
    </row>
    <row r="130" spans="1:17" x14ac:dyDescent="0.25">
      <c r="A130" s="11">
        <v>102453</v>
      </c>
      <c r="B130" s="12" t="s">
        <v>1091</v>
      </c>
      <c r="C130" s="12" t="s">
        <v>1092</v>
      </c>
      <c r="D130" s="12">
        <v>6</v>
      </c>
      <c r="E130" s="125">
        <v>44542286.539999999</v>
      </c>
      <c r="F130" s="12">
        <v>-26</v>
      </c>
      <c r="G130" s="125">
        <v>29849867.420000002</v>
      </c>
      <c r="H130" s="12" t="s">
        <v>1467</v>
      </c>
      <c r="I130" s="125">
        <v>89549.6</v>
      </c>
      <c r="J130" s="13">
        <v>42444.561077280094</v>
      </c>
      <c r="K130" s="13">
        <v>43910</v>
      </c>
      <c r="L130" s="13" t="s">
        <v>1093</v>
      </c>
      <c r="M130" s="12" t="s">
        <v>1094</v>
      </c>
      <c r="N130" s="12"/>
      <c r="O130" s="12"/>
      <c r="P130" s="12"/>
      <c r="Q130" s="12"/>
    </row>
    <row r="131" spans="1:17" x14ac:dyDescent="0.25">
      <c r="A131" s="11">
        <v>102457</v>
      </c>
      <c r="B131" s="12" t="s">
        <v>1869</v>
      </c>
      <c r="C131" s="12" t="s">
        <v>1876</v>
      </c>
      <c r="D131" s="12">
        <v>2</v>
      </c>
      <c r="E131" s="125">
        <v>7345725.0300000003</v>
      </c>
      <c r="F131" s="12">
        <v>-22</v>
      </c>
      <c r="G131" s="125">
        <v>6666053.0499999998</v>
      </c>
      <c r="H131" s="12" t="s">
        <v>1191</v>
      </c>
      <c r="I131" s="125">
        <v>62216.5</v>
      </c>
      <c r="J131" s="13">
        <v>42445.698319444447</v>
      </c>
      <c r="K131" s="13">
        <v>43175</v>
      </c>
      <c r="L131" s="13" t="s">
        <v>1877</v>
      </c>
      <c r="M131" s="12"/>
      <c r="N131" s="12"/>
      <c r="O131" s="12"/>
      <c r="P131" s="12"/>
      <c r="Q131" s="12"/>
    </row>
    <row r="132" spans="1:17" x14ac:dyDescent="0.25">
      <c r="A132" s="11">
        <v>102459</v>
      </c>
      <c r="B132" s="12" t="s">
        <v>1878</v>
      </c>
      <c r="C132" s="12" t="s">
        <v>1879</v>
      </c>
      <c r="D132" s="12">
        <v>3</v>
      </c>
      <c r="E132" s="125">
        <v>36586472.240000002</v>
      </c>
      <c r="F132" s="12">
        <v>7</v>
      </c>
      <c r="G132" s="125">
        <v>28100045.739999998</v>
      </c>
      <c r="H132" s="12" t="s">
        <v>5167</v>
      </c>
      <c r="I132" s="125">
        <v>184616.05</v>
      </c>
      <c r="J132" s="13">
        <v>42446.599923877315</v>
      </c>
      <c r="K132" s="13">
        <v>43541</v>
      </c>
      <c r="L132" s="13" t="s">
        <v>1880</v>
      </c>
      <c r="M132" s="12"/>
      <c r="N132" s="12" t="s">
        <v>1881</v>
      </c>
      <c r="O132" s="12"/>
      <c r="P132" s="12"/>
      <c r="Q132" s="12"/>
    </row>
    <row r="133" spans="1:17" x14ac:dyDescent="0.25">
      <c r="A133" s="11">
        <v>102460</v>
      </c>
      <c r="B133" s="12" t="s">
        <v>1172</v>
      </c>
      <c r="C133" s="12" t="s">
        <v>1179</v>
      </c>
      <c r="D133" s="12">
        <v>2</v>
      </c>
      <c r="E133" s="125">
        <v>35537314.039999999</v>
      </c>
      <c r="F133" s="12">
        <v>130</v>
      </c>
      <c r="G133" s="125">
        <v>20993030.940000001</v>
      </c>
      <c r="H133" s="12" t="s">
        <v>468</v>
      </c>
      <c r="I133" s="125">
        <v>1265050.9099999999</v>
      </c>
      <c r="J133" s="13">
        <v>42446.670012499999</v>
      </c>
      <c r="K133" s="13">
        <v>43907</v>
      </c>
      <c r="L133" s="13" t="s">
        <v>1180</v>
      </c>
      <c r="M133" s="12"/>
      <c r="N133" s="12"/>
      <c r="O133" s="12"/>
      <c r="P133" s="12"/>
      <c r="Q133" s="12"/>
    </row>
    <row r="134" spans="1:17" x14ac:dyDescent="0.25">
      <c r="A134" s="11">
        <v>102464</v>
      </c>
      <c r="B134" s="12" t="s">
        <v>1130</v>
      </c>
      <c r="C134" s="12" t="s">
        <v>1131</v>
      </c>
      <c r="D134" s="12">
        <v>6</v>
      </c>
      <c r="E134" s="125">
        <v>11138601.6</v>
      </c>
      <c r="F134" s="12">
        <v>-27</v>
      </c>
      <c r="G134" s="125">
        <v>8068862.0700000003</v>
      </c>
      <c r="H134" s="12" t="s">
        <v>491</v>
      </c>
      <c r="I134" s="125">
        <v>16137.72</v>
      </c>
      <c r="J134" s="13">
        <v>42450.687901851852</v>
      </c>
      <c r="K134" s="13">
        <v>43729</v>
      </c>
      <c r="L134" s="13" t="s">
        <v>1132</v>
      </c>
      <c r="M134" s="12"/>
      <c r="N134" s="12"/>
      <c r="O134" s="12"/>
      <c r="P134" s="12"/>
      <c r="Q134" s="12"/>
    </row>
    <row r="135" spans="1:17" x14ac:dyDescent="0.25">
      <c r="A135" s="11">
        <v>102479</v>
      </c>
      <c r="B135" s="12" t="s">
        <v>681</v>
      </c>
      <c r="C135" s="12" t="s">
        <v>682</v>
      </c>
      <c r="D135" s="12">
        <v>2</v>
      </c>
      <c r="E135" s="125">
        <v>21027481.710000001</v>
      </c>
      <c r="F135" s="12">
        <v>50</v>
      </c>
      <c r="G135" s="125">
        <v>15172808.17</v>
      </c>
      <c r="H135" s="12" t="s">
        <v>1191</v>
      </c>
      <c r="I135" s="125">
        <v>1041253.33</v>
      </c>
      <c r="J135" s="13">
        <v>42459.616795254631</v>
      </c>
      <c r="K135" s="13">
        <v>43560</v>
      </c>
      <c r="L135" s="13" t="s">
        <v>683</v>
      </c>
      <c r="M135" s="12" t="s">
        <v>684</v>
      </c>
      <c r="N135" s="12"/>
      <c r="O135" s="12"/>
      <c r="P135" s="12"/>
      <c r="Q135" s="12"/>
    </row>
    <row r="136" spans="1:17" x14ac:dyDescent="0.25">
      <c r="A136" s="11">
        <v>102483</v>
      </c>
      <c r="B136" s="12" t="s">
        <v>1108</v>
      </c>
      <c r="C136" s="12" t="s">
        <v>1112</v>
      </c>
      <c r="D136" s="12">
        <v>2</v>
      </c>
      <c r="E136" s="125">
        <v>11507007.24</v>
      </c>
      <c r="F136" s="12">
        <v>65</v>
      </c>
      <c r="G136" s="125">
        <v>10357297.82</v>
      </c>
      <c r="H136" s="12" t="s">
        <v>5724</v>
      </c>
      <c r="I136" s="125">
        <v>326677.87</v>
      </c>
      <c r="J136" s="13">
        <v>42460.545624270831</v>
      </c>
      <c r="K136" s="13">
        <v>43179</v>
      </c>
      <c r="L136" s="13" t="s">
        <v>1113</v>
      </c>
      <c r="M136" s="12"/>
      <c r="N136" s="12"/>
      <c r="O136" s="12"/>
      <c r="P136" s="12"/>
      <c r="Q136" s="12"/>
    </row>
    <row r="137" spans="1:17" x14ac:dyDescent="0.25">
      <c r="A137" s="11">
        <v>102486</v>
      </c>
      <c r="B137" s="12" t="s">
        <v>1256</v>
      </c>
      <c r="C137" s="12" t="s">
        <v>1257</v>
      </c>
      <c r="D137" s="12">
        <v>6</v>
      </c>
      <c r="E137" s="125">
        <v>42713801.32</v>
      </c>
      <c r="F137" s="12">
        <v>-7</v>
      </c>
      <c r="G137" s="125">
        <v>33080880.539999999</v>
      </c>
      <c r="H137" s="12" t="s">
        <v>1039</v>
      </c>
      <c r="I137" s="125">
        <v>727779.37</v>
      </c>
      <c r="J137" s="13">
        <v>42460.686850891201</v>
      </c>
      <c r="K137" s="13">
        <v>43556</v>
      </c>
      <c r="L137" s="13" t="s">
        <v>1258</v>
      </c>
      <c r="M137" s="12"/>
      <c r="N137" s="12"/>
      <c r="O137" s="12"/>
      <c r="P137" s="12"/>
      <c r="Q137" s="12"/>
    </row>
    <row r="138" spans="1:17" x14ac:dyDescent="0.25">
      <c r="A138" s="11">
        <v>102488</v>
      </c>
      <c r="B138" s="12" t="s">
        <v>461</v>
      </c>
      <c r="C138" s="12" t="s">
        <v>463</v>
      </c>
      <c r="D138" s="12">
        <v>3</v>
      </c>
      <c r="E138" s="125">
        <v>14075901.02</v>
      </c>
      <c r="F138" s="12">
        <v>21</v>
      </c>
      <c r="G138" s="125">
        <v>12832112.75</v>
      </c>
      <c r="H138" s="12" t="s">
        <v>5725</v>
      </c>
      <c r="I138" s="125">
        <v>465174.77</v>
      </c>
      <c r="J138" s="13">
        <v>42460.567592210646</v>
      </c>
      <c r="K138" s="13">
        <v>43193</v>
      </c>
      <c r="L138" s="13" t="s">
        <v>464</v>
      </c>
      <c r="M138" s="12"/>
      <c r="N138" s="12"/>
      <c r="O138" s="12"/>
      <c r="P138" s="12"/>
      <c r="Q138" s="12"/>
    </row>
    <row r="139" spans="1:17" x14ac:dyDescent="0.25">
      <c r="A139" s="11">
        <v>102491</v>
      </c>
      <c r="B139" s="12" t="s">
        <v>105</v>
      </c>
      <c r="C139" s="12" t="s">
        <v>264</v>
      </c>
      <c r="D139" s="12">
        <v>1</v>
      </c>
      <c r="E139" s="125">
        <v>8910082.9399999995</v>
      </c>
      <c r="F139" s="12">
        <v>-1</v>
      </c>
      <c r="G139" s="125">
        <v>6376301.0800000001</v>
      </c>
      <c r="H139" s="12" t="s">
        <v>5167</v>
      </c>
      <c r="I139" s="125">
        <v>238048.57</v>
      </c>
      <c r="J139" s="13">
        <v>42462.467640393515</v>
      </c>
      <c r="K139" s="13">
        <v>43549</v>
      </c>
      <c r="L139" s="13" t="s">
        <v>265</v>
      </c>
      <c r="M139" s="12" t="s">
        <v>266</v>
      </c>
      <c r="N139" s="12"/>
      <c r="O139" s="12"/>
      <c r="P139" s="12"/>
      <c r="Q139" s="12"/>
    </row>
    <row r="140" spans="1:17" x14ac:dyDescent="0.25">
      <c r="A140" s="11">
        <v>102492</v>
      </c>
      <c r="B140" s="12" t="s">
        <v>529</v>
      </c>
      <c r="C140" s="12" t="s">
        <v>531</v>
      </c>
      <c r="D140" s="12">
        <v>10</v>
      </c>
      <c r="E140" s="125">
        <v>46797972.090000004</v>
      </c>
      <c r="F140" s="12">
        <v>163</v>
      </c>
      <c r="G140" s="125">
        <v>33457718.48</v>
      </c>
      <c r="H140" s="12" t="s">
        <v>90</v>
      </c>
      <c r="I140" s="125">
        <v>2003323.25</v>
      </c>
      <c r="J140" s="13">
        <v>42464.513811076387</v>
      </c>
      <c r="K140" s="13">
        <v>43569</v>
      </c>
      <c r="L140" s="13" t="s">
        <v>532</v>
      </c>
      <c r="M140" s="12" t="s">
        <v>533</v>
      </c>
      <c r="N140" s="12"/>
      <c r="O140" s="12"/>
      <c r="P140" s="12"/>
      <c r="Q140" s="12"/>
    </row>
    <row r="141" spans="1:17" x14ac:dyDescent="0.25">
      <c r="A141" s="11">
        <v>102495</v>
      </c>
      <c r="B141" s="12" t="s">
        <v>1557</v>
      </c>
      <c r="C141" s="12" t="s">
        <v>1579</v>
      </c>
      <c r="D141" s="12">
        <v>3</v>
      </c>
      <c r="E141" s="125">
        <v>27339528.699999999</v>
      </c>
      <c r="F141" s="12">
        <v>13</v>
      </c>
      <c r="G141" s="125">
        <v>20889698.109999999</v>
      </c>
      <c r="H141" s="12" t="s">
        <v>5725</v>
      </c>
      <c r="I141" s="125">
        <v>866661.26</v>
      </c>
      <c r="J141" s="13">
        <v>42466.533940740737</v>
      </c>
      <c r="K141" s="13">
        <v>43566</v>
      </c>
      <c r="L141" s="13" t="s">
        <v>1580</v>
      </c>
      <c r="M141" s="12"/>
      <c r="N141" s="12" t="s">
        <v>1581</v>
      </c>
      <c r="O141" s="12"/>
      <c r="P141" s="12"/>
      <c r="Q141" s="12"/>
    </row>
    <row r="142" spans="1:17" x14ac:dyDescent="0.25">
      <c r="A142" s="11">
        <v>102501</v>
      </c>
      <c r="B142" s="12" t="s">
        <v>510</v>
      </c>
      <c r="C142" s="12" t="s">
        <v>511</v>
      </c>
      <c r="D142" s="12">
        <v>2</v>
      </c>
      <c r="E142" s="125">
        <v>16738237.720000001</v>
      </c>
      <c r="F142" s="12">
        <v>15</v>
      </c>
      <c r="G142" s="125">
        <v>11412255.83</v>
      </c>
      <c r="H142" s="12" t="s">
        <v>5725</v>
      </c>
      <c r="I142" s="125">
        <v>262819.78999999998</v>
      </c>
      <c r="J142" s="13">
        <v>42468.689994479166</v>
      </c>
      <c r="K142" s="13">
        <v>43747</v>
      </c>
      <c r="L142" s="13" t="s">
        <v>512</v>
      </c>
      <c r="M142" s="12" t="s">
        <v>513</v>
      </c>
      <c r="N142" s="12"/>
      <c r="O142" s="12"/>
      <c r="P142" s="12"/>
      <c r="Q142" s="12"/>
    </row>
    <row r="143" spans="1:17" x14ac:dyDescent="0.25">
      <c r="A143" s="11">
        <v>102505</v>
      </c>
      <c r="B143" s="12" t="s">
        <v>556</v>
      </c>
      <c r="C143" s="12" t="s">
        <v>557</v>
      </c>
      <c r="D143" s="12">
        <v>6</v>
      </c>
      <c r="E143" s="125">
        <v>47363142.310000002</v>
      </c>
      <c r="F143" s="12">
        <v>54</v>
      </c>
      <c r="G143" s="125">
        <v>31027359.940000001</v>
      </c>
      <c r="H143" s="12" t="s">
        <v>1039</v>
      </c>
      <c r="I143" s="125">
        <v>923012.83</v>
      </c>
      <c r="J143" s="13">
        <v>42469.519066898145</v>
      </c>
      <c r="K143" s="13">
        <v>43922</v>
      </c>
      <c r="L143" s="13" t="s">
        <v>558</v>
      </c>
      <c r="M143" s="12"/>
      <c r="N143" s="12"/>
      <c r="O143" s="12"/>
      <c r="P143" s="12"/>
      <c r="Q143" s="12"/>
    </row>
    <row r="144" spans="1:17" x14ac:dyDescent="0.25">
      <c r="A144" s="11">
        <v>102513</v>
      </c>
      <c r="B144" s="12" t="s">
        <v>1926</v>
      </c>
      <c r="C144" s="12" t="s">
        <v>1927</v>
      </c>
      <c r="D144" s="12">
        <v>2</v>
      </c>
      <c r="E144" s="125">
        <v>5123510.95</v>
      </c>
      <c r="F144" s="12">
        <v>4</v>
      </c>
      <c r="G144" s="125">
        <v>4562663.53</v>
      </c>
      <c r="H144" s="12" t="s">
        <v>5167</v>
      </c>
      <c r="I144" s="125">
        <v>18218.86</v>
      </c>
      <c r="J144" s="13">
        <v>42475.657613773146</v>
      </c>
      <c r="K144" s="13">
        <v>43210</v>
      </c>
      <c r="L144" s="13" t="s">
        <v>1928</v>
      </c>
      <c r="M144" s="12"/>
      <c r="N144" s="12"/>
      <c r="O144" s="12"/>
      <c r="P144" s="12"/>
      <c r="Q144" s="12"/>
    </row>
    <row r="145" spans="1:17" x14ac:dyDescent="0.25">
      <c r="A145" s="11">
        <v>102514</v>
      </c>
      <c r="B145" s="12" t="s">
        <v>327</v>
      </c>
      <c r="C145" s="12" t="s">
        <v>330</v>
      </c>
      <c r="D145" s="12">
        <v>3</v>
      </c>
      <c r="E145" s="125">
        <v>10322433.26</v>
      </c>
      <c r="F145" s="12">
        <v>19</v>
      </c>
      <c r="G145" s="125">
        <v>9462264.1300000008</v>
      </c>
      <c r="H145" s="12" t="s">
        <v>90</v>
      </c>
      <c r="I145" s="125">
        <v>168710.5</v>
      </c>
      <c r="J145" s="13">
        <v>42475.673721840278</v>
      </c>
      <c r="K145" s="13">
        <v>43195</v>
      </c>
      <c r="L145" s="13" t="s">
        <v>331</v>
      </c>
      <c r="M145" s="12" t="s">
        <v>332</v>
      </c>
      <c r="N145" s="12"/>
      <c r="O145" s="12"/>
      <c r="P145" s="12"/>
      <c r="Q145" s="12"/>
    </row>
    <row r="146" spans="1:17" x14ac:dyDescent="0.25">
      <c r="A146" s="11">
        <v>102521</v>
      </c>
      <c r="B146" s="12" t="s">
        <v>1423</v>
      </c>
      <c r="C146" s="12" t="s">
        <v>1424</v>
      </c>
      <c r="D146" s="12">
        <v>3</v>
      </c>
      <c r="E146" s="125">
        <v>12876264.390000001</v>
      </c>
      <c r="F146" s="12">
        <v>128</v>
      </c>
      <c r="G146" s="125">
        <v>11930860.960000001</v>
      </c>
      <c r="H146" s="12" t="s">
        <v>86</v>
      </c>
      <c r="I146" s="125">
        <v>300929.06</v>
      </c>
      <c r="J146" s="13">
        <v>42481.618425196757</v>
      </c>
      <c r="K146" s="13">
        <v>43088</v>
      </c>
      <c r="L146" s="13" t="s">
        <v>1425</v>
      </c>
      <c r="M146" s="12" t="s">
        <v>1426</v>
      </c>
      <c r="N146" s="12"/>
      <c r="O146" s="12"/>
      <c r="P146" s="12"/>
      <c r="Q146" s="12"/>
    </row>
    <row r="147" spans="1:17" x14ac:dyDescent="0.25">
      <c r="A147" s="11">
        <v>102528</v>
      </c>
      <c r="B147" s="12" t="s">
        <v>524</v>
      </c>
      <c r="C147" s="12" t="s">
        <v>525</v>
      </c>
      <c r="D147" s="12">
        <v>6</v>
      </c>
      <c r="E147" s="125">
        <v>47057972.729999997</v>
      </c>
      <c r="F147" s="12">
        <v>-29</v>
      </c>
      <c r="G147" s="125">
        <v>31136888.829999998</v>
      </c>
      <c r="H147" s="12" t="s">
        <v>1039</v>
      </c>
      <c r="I147" s="125">
        <v>954162.45</v>
      </c>
      <c r="J147" s="13">
        <v>42483.508859837966</v>
      </c>
      <c r="K147" s="13">
        <v>43944</v>
      </c>
      <c r="L147" s="13" t="s">
        <v>526</v>
      </c>
      <c r="M147" s="12"/>
      <c r="N147" s="12"/>
      <c r="O147" s="12"/>
      <c r="P147" s="12"/>
      <c r="Q147" s="12"/>
    </row>
    <row r="148" spans="1:17" x14ac:dyDescent="0.25">
      <c r="A148" s="11">
        <v>102531</v>
      </c>
      <c r="B148" s="12" t="s">
        <v>392</v>
      </c>
      <c r="C148" s="12" t="s">
        <v>395</v>
      </c>
      <c r="D148" s="12">
        <v>6</v>
      </c>
      <c r="E148" s="125">
        <v>49131259.700000003</v>
      </c>
      <c r="F148" s="12">
        <v>19</v>
      </c>
      <c r="G148" s="125">
        <v>32108559.550000001</v>
      </c>
      <c r="H148" s="12" t="s">
        <v>1467</v>
      </c>
      <c r="I148" s="125">
        <v>577499.88</v>
      </c>
      <c r="J148" s="13">
        <v>42486.576036574072</v>
      </c>
      <c r="K148" s="13">
        <v>43956</v>
      </c>
      <c r="L148" s="13" t="s">
        <v>396</v>
      </c>
      <c r="M148" s="12" t="s">
        <v>397</v>
      </c>
      <c r="N148" s="12"/>
      <c r="O148" s="12"/>
      <c r="P148" s="12"/>
      <c r="Q148" s="12"/>
    </row>
    <row r="149" spans="1:17" x14ac:dyDescent="0.25">
      <c r="A149" s="11">
        <v>102539</v>
      </c>
      <c r="B149" s="12" t="s">
        <v>1960</v>
      </c>
      <c r="C149" s="12" t="s">
        <v>1961</v>
      </c>
      <c r="D149" s="12">
        <v>6</v>
      </c>
      <c r="E149" s="125">
        <v>7670491.75</v>
      </c>
      <c r="F149" s="12">
        <v>50</v>
      </c>
      <c r="G149" s="125">
        <v>6782563.1500000004</v>
      </c>
      <c r="H149" s="12" t="s">
        <v>1039</v>
      </c>
      <c r="I149" s="125">
        <v>214014.95</v>
      </c>
      <c r="J149" s="13">
        <v>42488.521989930552</v>
      </c>
      <c r="K149" s="13">
        <v>43225</v>
      </c>
      <c r="L149" s="13" t="s">
        <v>1962</v>
      </c>
      <c r="M149" s="12"/>
      <c r="N149" s="12"/>
      <c r="O149" s="12"/>
      <c r="P149" s="12"/>
      <c r="Q149" s="12"/>
    </row>
    <row r="150" spans="1:17" x14ac:dyDescent="0.25">
      <c r="A150" s="11">
        <v>102542</v>
      </c>
      <c r="B150" s="12" t="s">
        <v>1963</v>
      </c>
      <c r="C150" s="12" t="s">
        <v>1964</v>
      </c>
      <c r="D150" s="12">
        <v>3</v>
      </c>
      <c r="E150" s="125">
        <v>52870449.159999996</v>
      </c>
      <c r="F150" s="12">
        <v>19</v>
      </c>
      <c r="G150" s="125">
        <v>33251222.120000001</v>
      </c>
      <c r="H150" s="12" t="s">
        <v>86</v>
      </c>
      <c r="I150" s="125">
        <v>1275006.75</v>
      </c>
      <c r="J150" s="13">
        <v>42488.616505902777</v>
      </c>
      <c r="K150" s="13">
        <v>43956</v>
      </c>
      <c r="L150" s="13" t="s">
        <v>1965</v>
      </c>
      <c r="M150" s="12"/>
      <c r="N150" s="12"/>
      <c r="O150" s="12"/>
      <c r="P150" s="12"/>
      <c r="Q150" s="12"/>
    </row>
    <row r="151" spans="1:17" x14ac:dyDescent="0.25">
      <c r="A151" s="11">
        <v>102543</v>
      </c>
      <c r="B151" s="12" t="s">
        <v>482</v>
      </c>
      <c r="C151" s="12" t="s">
        <v>483</v>
      </c>
      <c r="D151" s="12">
        <v>7</v>
      </c>
      <c r="E151" s="125">
        <v>430033.65</v>
      </c>
      <c r="F151" s="12">
        <v>203</v>
      </c>
      <c r="G151" s="125">
        <v>413493.89</v>
      </c>
      <c r="H151" s="12" t="s">
        <v>5725</v>
      </c>
      <c r="I151" s="125">
        <v>16539.759999999998</v>
      </c>
      <c r="J151" s="13">
        <v>42488.684151504633</v>
      </c>
      <c r="K151" s="13">
        <v>42860</v>
      </c>
      <c r="L151" s="13" t="s">
        <v>484</v>
      </c>
      <c r="M151" s="12"/>
      <c r="N151" s="12"/>
      <c r="O151" s="12"/>
      <c r="P151" s="12"/>
      <c r="Q151" s="12"/>
    </row>
    <row r="152" spans="1:17" x14ac:dyDescent="0.25">
      <c r="A152" s="11">
        <v>102544</v>
      </c>
      <c r="B152" s="12" t="s">
        <v>1966</v>
      </c>
      <c r="C152" s="12" t="s">
        <v>1967</v>
      </c>
      <c r="D152" s="12">
        <v>6</v>
      </c>
      <c r="E152" s="125">
        <v>7493721.2000000002</v>
      </c>
      <c r="F152" s="12">
        <v>0</v>
      </c>
      <c r="G152" s="125">
        <v>6691704.0499999998</v>
      </c>
      <c r="H152" s="12" t="s">
        <v>491</v>
      </c>
      <c r="I152" s="125">
        <v>215621.57</v>
      </c>
      <c r="J152" s="13">
        <v>42488.770340856485</v>
      </c>
      <c r="K152" s="13">
        <v>43214</v>
      </c>
      <c r="L152" s="13" t="s">
        <v>1968</v>
      </c>
      <c r="M152" s="12" t="s">
        <v>1969</v>
      </c>
      <c r="N152" s="12"/>
      <c r="O152" s="12"/>
      <c r="P152" s="12"/>
      <c r="Q152" s="12"/>
    </row>
    <row r="153" spans="1:17" x14ac:dyDescent="0.25">
      <c r="A153" s="11">
        <v>102546</v>
      </c>
      <c r="B153" s="12" t="s">
        <v>1262</v>
      </c>
      <c r="C153" s="12" t="s">
        <v>1263</v>
      </c>
      <c r="D153" s="12">
        <v>6</v>
      </c>
      <c r="E153" s="125">
        <v>29539236.32</v>
      </c>
      <c r="F153" s="12">
        <v>0</v>
      </c>
      <c r="G153" s="125">
        <v>19299402.359999999</v>
      </c>
      <c r="H153" s="12" t="s">
        <v>491</v>
      </c>
      <c r="I153" s="125">
        <v>559682.67000000004</v>
      </c>
      <c r="J153" s="13">
        <v>42489.584698958337</v>
      </c>
      <c r="K153" s="13">
        <v>43945</v>
      </c>
      <c r="L153" s="13" t="s">
        <v>1264</v>
      </c>
      <c r="M153" s="12" t="s">
        <v>1265</v>
      </c>
      <c r="N153" s="12"/>
      <c r="O153" s="12"/>
      <c r="P153" s="12"/>
      <c r="Q153" s="12"/>
    </row>
    <row r="154" spans="1:17" x14ac:dyDescent="0.25">
      <c r="A154" s="11">
        <v>102547</v>
      </c>
      <c r="B154" s="12" t="s">
        <v>100</v>
      </c>
      <c r="C154" s="12" t="s">
        <v>258</v>
      </c>
      <c r="D154" s="12">
        <v>3</v>
      </c>
      <c r="E154" s="125">
        <v>42569721.420000002</v>
      </c>
      <c r="F154" s="12">
        <v>23</v>
      </c>
      <c r="G154" s="125">
        <v>32825576.800000001</v>
      </c>
      <c r="H154" s="12" t="s">
        <v>1447</v>
      </c>
      <c r="I154" s="125">
        <v>694304.94</v>
      </c>
      <c r="J154" s="13">
        <v>42489.647573229166</v>
      </c>
      <c r="K154" s="13">
        <v>43586</v>
      </c>
      <c r="L154" s="13" t="s">
        <v>259</v>
      </c>
      <c r="M154" s="12" t="s">
        <v>260</v>
      </c>
      <c r="N154" s="12"/>
      <c r="O154" s="12"/>
      <c r="P154" s="12"/>
      <c r="Q154" s="12"/>
    </row>
    <row r="155" spans="1:17" x14ac:dyDescent="0.25">
      <c r="A155" s="11">
        <v>102550</v>
      </c>
      <c r="B155" s="12" t="s">
        <v>144</v>
      </c>
      <c r="C155" s="12" t="s">
        <v>145</v>
      </c>
      <c r="D155" s="12">
        <v>3</v>
      </c>
      <c r="E155" s="125">
        <v>4124940.56</v>
      </c>
      <c r="F155" s="12">
        <v>172</v>
      </c>
      <c r="G155" s="125">
        <v>4124940.56</v>
      </c>
      <c r="H155" s="12" t="s">
        <v>5725</v>
      </c>
      <c r="I155" s="125">
        <v>0</v>
      </c>
      <c r="J155" s="13">
        <v>42490.46178020833</v>
      </c>
      <c r="K155" s="13">
        <v>42891</v>
      </c>
      <c r="L155" s="13" t="s">
        <v>146</v>
      </c>
      <c r="M155" s="12"/>
      <c r="N155" s="12"/>
      <c r="O155" s="12"/>
      <c r="P155" s="12"/>
      <c r="Q155" s="12"/>
    </row>
    <row r="156" spans="1:17" x14ac:dyDescent="0.25">
      <c r="A156" s="11">
        <v>102552</v>
      </c>
      <c r="B156" s="12" t="s">
        <v>1974</v>
      </c>
      <c r="C156" s="12" t="s">
        <v>1975</v>
      </c>
      <c r="D156" s="12">
        <v>8</v>
      </c>
      <c r="E156" s="125">
        <v>4807979.0599999996</v>
      </c>
      <c r="F156" s="12">
        <v>141</v>
      </c>
      <c r="G156" s="125">
        <v>3794918.66</v>
      </c>
      <c r="H156" s="12" t="s">
        <v>1191</v>
      </c>
      <c r="I156" s="125">
        <v>302901.45</v>
      </c>
      <c r="J156" s="13">
        <v>42490.545032719907</v>
      </c>
      <c r="K156" s="13">
        <v>43226</v>
      </c>
      <c r="L156" s="13" t="s">
        <v>1976</v>
      </c>
      <c r="M156" s="12"/>
      <c r="N156" s="12" t="s">
        <v>1977</v>
      </c>
      <c r="O156" s="12"/>
      <c r="P156" s="12"/>
      <c r="Q156" s="12"/>
    </row>
    <row r="157" spans="1:17" x14ac:dyDescent="0.25">
      <c r="A157" s="11">
        <v>102558</v>
      </c>
      <c r="B157" s="12" t="s">
        <v>1978</v>
      </c>
      <c r="C157" s="12" t="s">
        <v>1979</v>
      </c>
      <c r="D157" s="12">
        <v>6</v>
      </c>
      <c r="E157" s="125">
        <v>46012567.509999998</v>
      </c>
      <c r="F157" s="12">
        <v>16</v>
      </c>
      <c r="G157" s="125">
        <v>28415483.350000001</v>
      </c>
      <c r="H157" s="12" t="s">
        <v>1467</v>
      </c>
      <c r="I157" s="125">
        <v>1411149.87</v>
      </c>
      <c r="J157" s="13">
        <v>42490.691256134261</v>
      </c>
      <c r="K157" s="13">
        <v>43959</v>
      </c>
      <c r="L157" s="13" t="s">
        <v>1980</v>
      </c>
      <c r="M157" s="12"/>
      <c r="N157" s="12"/>
      <c r="O157" s="12"/>
      <c r="P157" s="12"/>
      <c r="Q157" s="12"/>
    </row>
    <row r="158" spans="1:17" x14ac:dyDescent="0.25">
      <c r="A158" s="11">
        <v>102561</v>
      </c>
      <c r="B158" s="12" t="s">
        <v>1218</v>
      </c>
      <c r="C158" s="12" t="s">
        <v>1219</v>
      </c>
      <c r="D158" s="12">
        <v>3</v>
      </c>
      <c r="E158" s="125">
        <v>49721750.030000001</v>
      </c>
      <c r="F158" s="12">
        <v>78</v>
      </c>
      <c r="G158" s="125">
        <v>31305614.719999999</v>
      </c>
      <c r="H158" s="12" t="s">
        <v>5725</v>
      </c>
      <c r="I158" s="125">
        <v>1890834</v>
      </c>
      <c r="J158" s="13">
        <v>42490.803992511574</v>
      </c>
      <c r="K158" s="13">
        <v>43958</v>
      </c>
      <c r="L158" s="13" t="s">
        <v>1220</v>
      </c>
      <c r="M158" s="12"/>
      <c r="N158" s="12"/>
      <c r="O158" s="12"/>
      <c r="P158" s="12"/>
      <c r="Q158" s="12"/>
    </row>
    <row r="159" spans="1:17" x14ac:dyDescent="0.25">
      <c r="A159" s="11">
        <v>102567</v>
      </c>
      <c r="B159" s="12" t="s">
        <v>1036</v>
      </c>
      <c r="C159" s="12" t="s">
        <v>1037</v>
      </c>
      <c r="D159" s="12">
        <v>7</v>
      </c>
      <c r="E159" s="125">
        <v>426208.7</v>
      </c>
      <c r="F159" s="12">
        <v>202</v>
      </c>
      <c r="G159" s="125">
        <v>409816.06</v>
      </c>
      <c r="H159" s="12" t="s">
        <v>86</v>
      </c>
      <c r="I159" s="125">
        <v>16392.64</v>
      </c>
      <c r="J159" s="13">
        <v>42496.567496099538</v>
      </c>
      <c r="K159" s="13">
        <v>42861</v>
      </c>
      <c r="L159" s="13" t="s">
        <v>1038</v>
      </c>
      <c r="M159" s="12"/>
      <c r="N159" s="12"/>
      <c r="O159" s="12"/>
      <c r="P159" s="12"/>
      <c r="Q159" s="12"/>
    </row>
    <row r="160" spans="1:17" x14ac:dyDescent="0.25">
      <c r="A160" s="11">
        <v>102569</v>
      </c>
      <c r="B160" s="12" t="s">
        <v>1109</v>
      </c>
      <c r="C160" s="12" t="s">
        <v>1110</v>
      </c>
      <c r="D160" s="12">
        <v>6</v>
      </c>
      <c r="E160" s="125">
        <v>69799054.439999998</v>
      </c>
      <c r="F160" s="12">
        <v>132</v>
      </c>
      <c r="G160" s="125">
        <v>42851075.539999999</v>
      </c>
      <c r="H160" s="12" t="s">
        <v>1039</v>
      </c>
      <c r="I160" s="125">
        <v>2546748.75</v>
      </c>
      <c r="J160" s="13">
        <v>42497.483535150466</v>
      </c>
      <c r="K160" s="13">
        <v>43966</v>
      </c>
      <c r="L160" s="13" t="s">
        <v>1111</v>
      </c>
      <c r="M160" s="12"/>
      <c r="N160" s="12"/>
      <c r="O160" s="12"/>
      <c r="P160" s="12"/>
      <c r="Q160" s="12"/>
    </row>
    <row r="161" spans="1:17" x14ac:dyDescent="0.25">
      <c r="A161" s="11">
        <v>102570</v>
      </c>
      <c r="B161" s="12" t="s">
        <v>1238</v>
      </c>
      <c r="C161" s="12" t="s">
        <v>1247</v>
      </c>
      <c r="D161" s="12">
        <v>1</v>
      </c>
      <c r="E161" s="125">
        <v>6903273.46</v>
      </c>
      <c r="F161" s="12">
        <v>201</v>
      </c>
      <c r="G161" s="125">
        <v>6125013.7699999996</v>
      </c>
      <c r="H161" s="12" t="s">
        <v>5725</v>
      </c>
      <c r="I161" s="125">
        <v>208151.17</v>
      </c>
      <c r="J161" s="13">
        <v>42497.538281250003</v>
      </c>
      <c r="K161" s="13">
        <v>43046</v>
      </c>
      <c r="L161" s="13" t="s">
        <v>1248</v>
      </c>
      <c r="M161" s="12" t="s">
        <v>1249</v>
      </c>
      <c r="N161" s="12"/>
      <c r="O161" s="12"/>
      <c r="P161" s="12"/>
      <c r="Q161" s="12"/>
    </row>
    <row r="162" spans="1:17" x14ac:dyDescent="0.25">
      <c r="A162" s="11">
        <v>102571</v>
      </c>
      <c r="B162" s="12" t="s">
        <v>99</v>
      </c>
      <c r="C162" s="12" t="s">
        <v>1986</v>
      </c>
      <c r="D162" s="12">
        <v>2</v>
      </c>
      <c r="E162" s="125">
        <v>7523280.0300000003</v>
      </c>
      <c r="F162" s="12">
        <v>-21</v>
      </c>
      <c r="G162" s="125">
        <v>6681366.0800000001</v>
      </c>
      <c r="H162" s="12" t="s">
        <v>86</v>
      </c>
      <c r="I162" s="125">
        <v>62359.42</v>
      </c>
      <c r="J162" s="13">
        <v>42499.492378900461</v>
      </c>
      <c r="K162" s="13">
        <v>43235</v>
      </c>
      <c r="L162" s="13" t="s">
        <v>1987</v>
      </c>
      <c r="M162" s="12" t="s">
        <v>1988</v>
      </c>
      <c r="N162" s="12"/>
      <c r="O162" s="12"/>
      <c r="P162" s="12"/>
      <c r="Q162" s="12"/>
    </row>
    <row r="163" spans="1:17" x14ac:dyDescent="0.25">
      <c r="A163" s="11">
        <v>102575</v>
      </c>
      <c r="B163" s="12" t="s">
        <v>1097</v>
      </c>
      <c r="C163" s="12" t="s">
        <v>1098</v>
      </c>
      <c r="D163" s="12">
        <v>3</v>
      </c>
      <c r="E163" s="125">
        <v>29788790.739999998</v>
      </c>
      <c r="F163" s="12">
        <v>167</v>
      </c>
      <c r="G163" s="125">
        <v>24709811.829999998</v>
      </c>
      <c r="H163" s="12" t="s">
        <v>5725</v>
      </c>
      <c r="I163" s="125">
        <v>1443803.19</v>
      </c>
      <c r="J163" s="13">
        <v>42499.786681168982</v>
      </c>
      <c r="K163" s="13">
        <v>43230</v>
      </c>
      <c r="L163" s="13" t="s">
        <v>1099</v>
      </c>
      <c r="M163" s="12"/>
      <c r="N163" s="12"/>
      <c r="O163" s="12"/>
      <c r="P163" s="12"/>
      <c r="Q163" s="12"/>
    </row>
    <row r="164" spans="1:17" x14ac:dyDescent="0.25">
      <c r="A164" s="11">
        <v>102579</v>
      </c>
      <c r="B164" s="12" t="s">
        <v>860</v>
      </c>
      <c r="C164" s="12" t="s">
        <v>862</v>
      </c>
      <c r="D164" s="12">
        <v>10</v>
      </c>
      <c r="E164" s="125">
        <v>13645322.310000001</v>
      </c>
      <c r="F164" s="12">
        <v>14</v>
      </c>
      <c r="G164" s="125">
        <v>9590763.6799999997</v>
      </c>
      <c r="H164" s="12" t="s">
        <v>5167</v>
      </c>
      <c r="I164" s="125">
        <v>314862.77</v>
      </c>
      <c r="J164" s="13">
        <v>42500.666356168978</v>
      </c>
      <c r="K164" s="13">
        <v>43595</v>
      </c>
      <c r="L164" s="13" t="s">
        <v>863</v>
      </c>
      <c r="M164" s="12" t="s">
        <v>864</v>
      </c>
      <c r="N164" s="12"/>
      <c r="O164" s="12"/>
      <c r="P164" s="12"/>
      <c r="Q164" s="12"/>
    </row>
    <row r="165" spans="1:17" x14ac:dyDescent="0.25">
      <c r="A165" s="11">
        <v>102581</v>
      </c>
      <c r="B165" s="12" t="s">
        <v>555</v>
      </c>
      <c r="C165" s="12" t="s">
        <v>559</v>
      </c>
      <c r="D165" s="12">
        <v>10</v>
      </c>
      <c r="E165" s="125">
        <v>10541339.65</v>
      </c>
      <c r="F165" s="12">
        <v>40</v>
      </c>
      <c r="G165" s="125">
        <v>9057587.5299999993</v>
      </c>
      <c r="H165" s="12" t="s">
        <v>5726</v>
      </c>
      <c r="I165" s="125">
        <v>597800.02</v>
      </c>
      <c r="J165" s="13">
        <v>42500.760113807868</v>
      </c>
      <c r="K165" s="13">
        <v>43235</v>
      </c>
      <c r="L165" s="13" t="s">
        <v>560</v>
      </c>
      <c r="M165" s="12" t="s">
        <v>561</v>
      </c>
      <c r="N165" s="12"/>
      <c r="O165" s="12"/>
      <c r="P165" s="12"/>
      <c r="Q165" s="12"/>
    </row>
    <row r="166" spans="1:17" x14ac:dyDescent="0.25">
      <c r="A166" s="11">
        <v>102583</v>
      </c>
      <c r="B166" s="12" t="s">
        <v>2050</v>
      </c>
      <c r="C166" s="12" t="s">
        <v>2051</v>
      </c>
      <c r="D166" s="12">
        <v>6</v>
      </c>
      <c r="E166" s="125">
        <v>43299135.920000002</v>
      </c>
      <c r="F166" s="12">
        <v>-17</v>
      </c>
      <c r="G166" s="125">
        <v>32170744.59</v>
      </c>
      <c r="H166" s="12" t="s">
        <v>491</v>
      </c>
      <c r="I166" s="125">
        <v>428943.26</v>
      </c>
      <c r="J166" s="13">
        <v>42501.581520914355</v>
      </c>
      <c r="K166" s="13">
        <v>43596</v>
      </c>
      <c r="L166" s="13" t="s">
        <v>2052</v>
      </c>
      <c r="M166" s="12"/>
      <c r="N166" s="12" t="s">
        <v>2053</v>
      </c>
      <c r="O166" s="12"/>
      <c r="P166" s="12"/>
      <c r="Q166" s="12"/>
    </row>
    <row r="167" spans="1:17" x14ac:dyDescent="0.25">
      <c r="A167" s="11">
        <v>102585</v>
      </c>
      <c r="B167" s="12" t="s">
        <v>195</v>
      </c>
      <c r="C167" s="12" t="s">
        <v>196</v>
      </c>
      <c r="D167" s="12">
        <v>3</v>
      </c>
      <c r="E167" s="125">
        <v>38398781.719999999</v>
      </c>
      <c r="F167" s="12">
        <v>1</v>
      </c>
      <c r="G167" s="125">
        <v>24775096.48</v>
      </c>
      <c r="H167" s="12" t="s">
        <v>86</v>
      </c>
      <c r="I167" s="125">
        <v>743252.89</v>
      </c>
      <c r="J167" s="13">
        <v>42503.531356053238</v>
      </c>
      <c r="K167" s="13">
        <v>43974</v>
      </c>
      <c r="L167" s="13" t="s">
        <v>197</v>
      </c>
      <c r="M167" s="12" t="s">
        <v>198</v>
      </c>
      <c r="N167" s="12"/>
      <c r="O167" s="12"/>
      <c r="P167" s="12"/>
      <c r="Q167" s="12"/>
    </row>
    <row r="168" spans="1:17" x14ac:dyDescent="0.25">
      <c r="A168" s="11">
        <v>102589</v>
      </c>
      <c r="B168" s="12" t="s">
        <v>2073</v>
      </c>
      <c r="C168" s="12" t="s">
        <v>2075</v>
      </c>
      <c r="D168" s="12">
        <v>6</v>
      </c>
      <c r="E168" s="125">
        <v>32075813.68</v>
      </c>
      <c r="F168" s="12">
        <v>-23</v>
      </c>
      <c r="G168" s="125">
        <v>23831949.239999998</v>
      </c>
      <c r="H168" s="12" t="s">
        <v>1467</v>
      </c>
      <c r="I168" s="125">
        <v>158879.66</v>
      </c>
      <c r="J168" s="13">
        <v>42506.733621678242</v>
      </c>
      <c r="K168" s="13">
        <v>43602</v>
      </c>
      <c r="L168" s="13" t="s">
        <v>2076</v>
      </c>
      <c r="M168" s="12"/>
      <c r="N168" s="12"/>
      <c r="O168" s="12"/>
      <c r="P168" s="12"/>
      <c r="Q168" s="12"/>
    </row>
    <row r="169" spans="1:17" x14ac:dyDescent="0.25">
      <c r="A169" s="11">
        <v>102592</v>
      </c>
      <c r="B169" s="12" t="s">
        <v>1071</v>
      </c>
      <c r="C169" s="12" t="s">
        <v>1073</v>
      </c>
      <c r="D169" s="12">
        <v>1</v>
      </c>
      <c r="E169" s="125">
        <v>985278.25</v>
      </c>
      <c r="F169" s="12">
        <v>36</v>
      </c>
      <c r="G169" s="125">
        <v>954818.3</v>
      </c>
      <c r="H169" s="12" t="s">
        <v>963</v>
      </c>
      <c r="I169" s="125">
        <v>29444.62</v>
      </c>
      <c r="J169" s="13">
        <v>42507.562189548611</v>
      </c>
      <c r="K169" s="13">
        <v>43058</v>
      </c>
      <c r="L169" s="13" t="s">
        <v>1074</v>
      </c>
      <c r="M169" s="12" t="s">
        <v>1075</v>
      </c>
      <c r="N169" s="12"/>
      <c r="O169" s="12"/>
      <c r="P169" s="12"/>
      <c r="Q169" s="12"/>
    </row>
    <row r="170" spans="1:17" x14ac:dyDescent="0.25">
      <c r="A170" s="11">
        <v>102596</v>
      </c>
      <c r="B170" s="12" t="s">
        <v>1146</v>
      </c>
      <c r="C170" s="12" t="s">
        <v>1148</v>
      </c>
      <c r="D170" s="12">
        <v>6</v>
      </c>
      <c r="E170" s="125">
        <v>29706214.719999999</v>
      </c>
      <c r="F170" s="12">
        <v>0</v>
      </c>
      <c r="G170" s="125">
        <v>20691148.239999998</v>
      </c>
      <c r="H170" s="12" t="s">
        <v>1039</v>
      </c>
      <c r="I170" s="125">
        <v>600043.30000000005</v>
      </c>
      <c r="J170" s="13">
        <v>42508.715578356481</v>
      </c>
      <c r="K170" s="13">
        <v>43793</v>
      </c>
      <c r="L170" s="13" t="s">
        <v>1149</v>
      </c>
      <c r="M170" s="12" t="s">
        <v>1150</v>
      </c>
      <c r="N170" s="12"/>
      <c r="O170" s="12"/>
      <c r="P170" s="12"/>
      <c r="Q170" s="12"/>
    </row>
    <row r="171" spans="1:17" x14ac:dyDescent="0.25">
      <c r="A171" s="11">
        <v>102598</v>
      </c>
      <c r="B171" s="12" t="s">
        <v>1624</v>
      </c>
      <c r="C171" s="12" t="s">
        <v>1638</v>
      </c>
      <c r="D171" s="12">
        <v>3</v>
      </c>
      <c r="E171" s="125">
        <v>36342771.380000003</v>
      </c>
      <c r="F171" s="12">
        <v>-11</v>
      </c>
      <c r="G171" s="125">
        <v>23744478.52</v>
      </c>
      <c r="H171" s="12" t="s">
        <v>2855</v>
      </c>
      <c r="I171" s="125">
        <v>427400.61</v>
      </c>
      <c r="J171" s="13">
        <v>42508.736337349539</v>
      </c>
      <c r="K171" s="13">
        <v>43956</v>
      </c>
      <c r="L171" s="13" t="s">
        <v>1639</v>
      </c>
      <c r="M171" s="12" t="s">
        <v>1640</v>
      </c>
      <c r="N171" s="12"/>
      <c r="O171" s="12"/>
      <c r="P171" s="12"/>
      <c r="Q171" s="12"/>
    </row>
    <row r="172" spans="1:17" x14ac:dyDescent="0.25">
      <c r="A172" s="11">
        <v>102599</v>
      </c>
      <c r="B172" s="12" t="s">
        <v>352</v>
      </c>
      <c r="C172" s="12" t="s">
        <v>2089</v>
      </c>
      <c r="D172" s="12">
        <v>2</v>
      </c>
      <c r="E172" s="125">
        <v>9963652.6999999993</v>
      </c>
      <c r="F172" s="12">
        <v>37</v>
      </c>
      <c r="G172" s="125">
        <v>8561213.2300000004</v>
      </c>
      <c r="H172" s="12" t="s">
        <v>5726</v>
      </c>
      <c r="I172" s="125">
        <v>565039.35999999999</v>
      </c>
      <c r="J172" s="13">
        <v>42508.752132905094</v>
      </c>
      <c r="K172" s="13">
        <v>43238</v>
      </c>
      <c r="L172" s="13" t="s">
        <v>2090</v>
      </c>
      <c r="M172" s="12"/>
      <c r="N172" s="12"/>
      <c r="O172" s="12"/>
      <c r="P172" s="12"/>
      <c r="Q172" s="12"/>
    </row>
    <row r="173" spans="1:17" x14ac:dyDescent="0.25">
      <c r="A173" s="11">
        <v>102602</v>
      </c>
      <c r="B173" s="12" t="s">
        <v>2102</v>
      </c>
      <c r="C173" s="12" t="s">
        <v>2106</v>
      </c>
      <c r="D173" s="12">
        <v>2</v>
      </c>
      <c r="E173" s="125">
        <v>6099575.1900000004</v>
      </c>
      <c r="F173" s="12">
        <v>-26</v>
      </c>
      <c r="G173" s="125">
        <v>5329134.6500000004</v>
      </c>
      <c r="H173" s="12" t="s">
        <v>86</v>
      </c>
      <c r="I173" s="125">
        <v>21316.54</v>
      </c>
      <c r="J173" s="13">
        <v>42510.571932754632</v>
      </c>
      <c r="K173" s="13">
        <v>43240</v>
      </c>
      <c r="L173" s="13" t="s">
        <v>2107</v>
      </c>
      <c r="M173" s="12" t="s">
        <v>2108</v>
      </c>
      <c r="N173" s="12"/>
      <c r="O173" s="12"/>
      <c r="P173" s="12"/>
      <c r="Q173" s="12"/>
    </row>
    <row r="174" spans="1:17" x14ac:dyDescent="0.25">
      <c r="A174" s="11">
        <v>102605</v>
      </c>
      <c r="B174" s="12" t="s">
        <v>590</v>
      </c>
      <c r="C174" s="12" t="s">
        <v>2111</v>
      </c>
      <c r="D174" s="12">
        <v>3</v>
      </c>
      <c r="E174" s="125">
        <v>19715105.120000001</v>
      </c>
      <c r="F174" s="12">
        <v>4</v>
      </c>
      <c r="G174" s="125">
        <v>16531356.49</v>
      </c>
      <c r="H174" s="12" t="s">
        <v>468</v>
      </c>
      <c r="I174" s="125">
        <v>46467.9</v>
      </c>
      <c r="J174" s="13">
        <v>42510.774510763891</v>
      </c>
      <c r="K174" s="13">
        <v>43424</v>
      </c>
      <c r="L174" s="13" t="s">
        <v>2112</v>
      </c>
      <c r="M174" s="12"/>
      <c r="N174" s="12"/>
      <c r="O174" s="12"/>
      <c r="P174" s="12"/>
      <c r="Q174" s="12"/>
    </row>
    <row r="175" spans="1:17" x14ac:dyDescent="0.25">
      <c r="A175" s="11">
        <v>102607</v>
      </c>
      <c r="B175" s="12" t="s">
        <v>1530</v>
      </c>
      <c r="C175" s="12" t="s">
        <v>1533</v>
      </c>
      <c r="D175" s="12">
        <v>3</v>
      </c>
      <c r="E175" s="125">
        <v>27083205.48</v>
      </c>
      <c r="F175" s="12">
        <v>-1</v>
      </c>
      <c r="G175" s="125">
        <v>20417599.690000001</v>
      </c>
      <c r="H175" s="12" t="s">
        <v>2861</v>
      </c>
      <c r="I175" s="125">
        <v>571692.79</v>
      </c>
      <c r="J175" s="13">
        <v>42511.555987268519</v>
      </c>
      <c r="K175" s="13">
        <v>43610</v>
      </c>
      <c r="L175" s="13" t="s">
        <v>1534</v>
      </c>
      <c r="M175" s="12"/>
      <c r="N175" s="12" t="s">
        <v>1535</v>
      </c>
      <c r="O175" s="12"/>
      <c r="P175" s="12"/>
      <c r="Q175" s="12"/>
    </row>
    <row r="176" spans="1:17" x14ac:dyDescent="0.25">
      <c r="A176" s="11">
        <v>102608</v>
      </c>
      <c r="B176" s="12" t="s">
        <v>1255</v>
      </c>
      <c r="C176" s="12" t="s">
        <v>1973</v>
      </c>
      <c r="D176" s="12">
        <v>1</v>
      </c>
      <c r="E176" s="125">
        <v>11289588.140000001</v>
      </c>
      <c r="F176" s="12">
        <v>126</v>
      </c>
      <c r="G176" s="125">
        <v>8898075.0199999996</v>
      </c>
      <c r="H176" s="12" t="s">
        <v>5726</v>
      </c>
      <c r="I176" s="125">
        <v>362934.77</v>
      </c>
      <c r="J176" s="13">
        <v>42511.570760416667</v>
      </c>
      <c r="K176" s="13">
        <v>43606</v>
      </c>
      <c r="L176" s="13" t="s">
        <v>1523</v>
      </c>
      <c r="M176" s="12"/>
      <c r="N176" s="12"/>
      <c r="O176" s="12"/>
      <c r="P176" s="12"/>
      <c r="Q176" s="12"/>
    </row>
    <row r="177" spans="1:17" x14ac:dyDescent="0.25">
      <c r="A177" s="11">
        <v>102609</v>
      </c>
      <c r="B177" s="12" t="s">
        <v>2100</v>
      </c>
      <c r="C177" s="12" t="s">
        <v>2113</v>
      </c>
      <c r="D177" s="12">
        <v>2</v>
      </c>
      <c r="E177" s="125">
        <v>5853741.4400000004</v>
      </c>
      <c r="F177" s="12">
        <v>126</v>
      </c>
      <c r="G177" s="125">
        <v>5400586.4299999997</v>
      </c>
      <c r="H177" s="12" t="s">
        <v>468</v>
      </c>
      <c r="I177" s="125">
        <v>171851.34</v>
      </c>
      <c r="J177" s="13">
        <v>42511.581972997687</v>
      </c>
      <c r="K177" s="13">
        <v>43060</v>
      </c>
      <c r="L177" s="13" t="s">
        <v>2114</v>
      </c>
      <c r="M177" s="12"/>
      <c r="N177" s="12"/>
      <c r="O177" s="12"/>
      <c r="P177" s="12"/>
      <c r="Q177" s="12"/>
    </row>
    <row r="178" spans="1:17" x14ac:dyDescent="0.25">
      <c r="A178" s="11">
        <v>102611</v>
      </c>
      <c r="B178" s="12" t="s">
        <v>1566</v>
      </c>
      <c r="C178" s="12" t="s">
        <v>1597</v>
      </c>
      <c r="D178" s="12">
        <v>6</v>
      </c>
      <c r="E178" s="125">
        <v>63222449.880000003</v>
      </c>
      <c r="F178" s="12">
        <v>21</v>
      </c>
      <c r="G178" s="125">
        <v>40735858.659999996</v>
      </c>
      <c r="H178" s="12" t="s">
        <v>491</v>
      </c>
      <c r="I178" s="125">
        <v>1312101.53</v>
      </c>
      <c r="J178" s="13">
        <v>42513.546250266205</v>
      </c>
      <c r="K178" s="13">
        <v>43985</v>
      </c>
      <c r="L178" s="13" t="s">
        <v>1598</v>
      </c>
      <c r="M178" s="12" t="s">
        <v>1599</v>
      </c>
      <c r="N178" s="12"/>
      <c r="O178" s="12"/>
      <c r="P178" s="12"/>
      <c r="Q178" s="12"/>
    </row>
    <row r="179" spans="1:17" x14ac:dyDescent="0.25">
      <c r="A179" s="11">
        <v>102613</v>
      </c>
      <c r="B179" s="12" t="s">
        <v>1016</v>
      </c>
      <c r="C179" s="12" t="s">
        <v>1017</v>
      </c>
      <c r="D179" s="12">
        <v>6</v>
      </c>
      <c r="E179" s="125">
        <v>66757722.359999999</v>
      </c>
      <c r="F179" s="12">
        <v>-7</v>
      </c>
      <c r="G179" s="125">
        <v>43070421.020000003</v>
      </c>
      <c r="H179" s="12" t="s">
        <v>1039</v>
      </c>
      <c r="I179" s="125">
        <v>947549.26</v>
      </c>
      <c r="J179" s="13">
        <v>42514.419436111108</v>
      </c>
      <c r="K179" s="13">
        <v>43983</v>
      </c>
      <c r="L179" s="13" t="s">
        <v>1018</v>
      </c>
      <c r="M179" s="12"/>
      <c r="N179" s="12"/>
      <c r="O179" s="12"/>
      <c r="P179" s="12"/>
      <c r="Q179" s="12"/>
    </row>
    <row r="180" spans="1:17" x14ac:dyDescent="0.25">
      <c r="A180" s="11">
        <v>102615</v>
      </c>
      <c r="B180" s="12" t="s">
        <v>2137</v>
      </c>
      <c r="C180" s="12" t="s">
        <v>2142</v>
      </c>
      <c r="D180" s="12">
        <v>2</v>
      </c>
      <c r="E180" s="125">
        <v>26714653.609999999</v>
      </c>
      <c r="F180" s="12">
        <v>22</v>
      </c>
      <c r="G180" s="125">
        <v>18153043.07</v>
      </c>
      <c r="H180" s="12" t="s">
        <v>1191</v>
      </c>
      <c r="I180" s="125">
        <v>725308.91</v>
      </c>
      <c r="J180" s="13">
        <v>42514.757372719905</v>
      </c>
      <c r="K180" s="13">
        <v>43618</v>
      </c>
      <c r="L180" s="13" t="s">
        <v>2143</v>
      </c>
      <c r="M180" s="12"/>
      <c r="N180" s="12"/>
      <c r="O180" s="12"/>
      <c r="P180" s="12"/>
      <c r="Q180" s="12"/>
    </row>
    <row r="181" spans="1:17" x14ac:dyDescent="0.25">
      <c r="A181" s="11">
        <v>102616</v>
      </c>
      <c r="B181" s="12" t="s">
        <v>453</v>
      </c>
      <c r="C181" s="12" t="s">
        <v>2144</v>
      </c>
      <c r="D181" s="12">
        <v>1</v>
      </c>
      <c r="E181" s="125">
        <v>597121.59</v>
      </c>
      <c r="F181" s="12">
        <v>91</v>
      </c>
      <c r="G181" s="125">
        <v>597121.59</v>
      </c>
      <c r="H181" s="12" t="s">
        <v>1909</v>
      </c>
      <c r="I181" s="125">
        <v>27674.19</v>
      </c>
      <c r="J181" s="13">
        <v>42515.406449224538</v>
      </c>
      <c r="K181" s="13">
        <v>42972</v>
      </c>
      <c r="L181" s="13" t="s">
        <v>2145</v>
      </c>
      <c r="M181" s="12" t="s">
        <v>2146</v>
      </c>
      <c r="N181" s="12"/>
      <c r="O181" s="12"/>
      <c r="P181" s="12"/>
      <c r="Q181" s="12"/>
    </row>
    <row r="182" spans="1:17" x14ac:dyDescent="0.25">
      <c r="A182" s="11">
        <v>102618</v>
      </c>
      <c r="B182" s="12" t="s">
        <v>199</v>
      </c>
      <c r="C182" s="12" t="s">
        <v>1482</v>
      </c>
      <c r="D182" s="12">
        <v>8</v>
      </c>
      <c r="E182" s="125">
        <v>269587.37</v>
      </c>
      <c r="F182" s="12">
        <v>84</v>
      </c>
      <c r="G182" s="125">
        <v>269587.37</v>
      </c>
      <c r="H182" s="12" t="s">
        <v>1191</v>
      </c>
      <c r="I182" s="125">
        <v>0</v>
      </c>
      <c r="J182" s="13">
        <v>42515.50470528935</v>
      </c>
      <c r="K182" s="13">
        <v>42979</v>
      </c>
      <c r="L182" s="13" t="s">
        <v>1483</v>
      </c>
      <c r="M182" s="12"/>
      <c r="N182" s="12"/>
      <c r="O182" s="12"/>
      <c r="P182" s="12"/>
      <c r="Q182" s="12"/>
    </row>
    <row r="183" spans="1:17" x14ac:dyDescent="0.25">
      <c r="A183" s="11">
        <v>102619</v>
      </c>
      <c r="B183" s="12" t="s">
        <v>301</v>
      </c>
      <c r="C183" s="12" t="s">
        <v>302</v>
      </c>
      <c r="D183" s="12">
        <v>2</v>
      </c>
      <c r="E183" s="125">
        <v>23673857.940000001</v>
      </c>
      <c r="F183" s="12">
        <v>-11</v>
      </c>
      <c r="G183" s="125">
        <v>17082354.920000002</v>
      </c>
      <c r="H183" s="12" t="s">
        <v>468</v>
      </c>
      <c r="I183" s="125">
        <v>358729.45</v>
      </c>
      <c r="J183" s="13">
        <v>42515.566288078706</v>
      </c>
      <c r="K183" s="13">
        <v>43621</v>
      </c>
      <c r="L183" s="13" t="s">
        <v>303</v>
      </c>
      <c r="M183" s="12" t="s">
        <v>304</v>
      </c>
      <c r="N183" s="12"/>
      <c r="O183" s="12"/>
      <c r="P183" s="12"/>
      <c r="Q183" s="12"/>
    </row>
    <row r="184" spans="1:17" x14ac:dyDescent="0.25">
      <c r="A184" s="11">
        <v>102620</v>
      </c>
      <c r="B184" s="12" t="s">
        <v>2132</v>
      </c>
      <c r="C184" s="12" t="s">
        <v>2147</v>
      </c>
      <c r="D184" s="12">
        <v>2</v>
      </c>
      <c r="E184" s="125">
        <v>10977187.439999999</v>
      </c>
      <c r="F184" s="12">
        <v>54</v>
      </c>
      <c r="G184" s="125">
        <v>9091104.7799999993</v>
      </c>
      <c r="H184" s="12" t="s">
        <v>468</v>
      </c>
      <c r="I184" s="125">
        <v>664713.78</v>
      </c>
      <c r="J184" s="13">
        <v>42515.655396678238</v>
      </c>
      <c r="K184" s="13">
        <v>43252</v>
      </c>
      <c r="L184" s="13" t="s">
        <v>2148</v>
      </c>
      <c r="M184" s="12"/>
      <c r="N184" s="12"/>
      <c r="O184" s="12"/>
      <c r="P184" s="12"/>
      <c r="Q184" s="12"/>
    </row>
    <row r="185" spans="1:17" x14ac:dyDescent="0.25">
      <c r="A185" s="11">
        <v>102626</v>
      </c>
      <c r="B185" s="12" t="s">
        <v>134</v>
      </c>
      <c r="C185" s="12" t="s">
        <v>135</v>
      </c>
      <c r="D185" s="12">
        <v>3</v>
      </c>
      <c r="E185" s="125">
        <v>13234624.01</v>
      </c>
      <c r="F185" s="12">
        <v>23</v>
      </c>
      <c r="G185" s="125">
        <v>11820208.539999999</v>
      </c>
      <c r="H185" s="12" t="s">
        <v>1191</v>
      </c>
      <c r="I185" s="125">
        <v>251869.95</v>
      </c>
      <c r="J185" s="13">
        <v>42517.672851238429</v>
      </c>
      <c r="K185" s="13">
        <v>43252</v>
      </c>
      <c r="L185" s="13" t="s">
        <v>136</v>
      </c>
      <c r="M185" s="12" t="s">
        <v>137</v>
      </c>
      <c r="N185" s="12" t="s">
        <v>138</v>
      </c>
      <c r="O185" s="12"/>
      <c r="P185" s="12"/>
      <c r="Q185" s="12"/>
    </row>
    <row r="186" spans="1:17" x14ac:dyDescent="0.25">
      <c r="A186" s="11">
        <v>102630</v>
      </c>
      <c r="B186" s="12" t="s">
        <v>2176</v>
      </c>
      <c r="C186" s="12" t="s">
        <v>2177</v>
      </c>
      <c r="D186" s="12">
        <v>2</v>
      </c>
      <c r="E186" s="125">
        <v>13604286.699999999</v>
      </c>
      <c r="F186" s="12">
        <v>207</v>
      </c>
      <c r="G186" s="125">
        <v>10535979.98</v>
      </c>
      <c r="H186" s="12" t="s">
        <v>5726</v>
      </c>
      <c r="I186" s="125">
        <v>401168.79</v>
      </c>
      <c r="J186" s="13">
        <v>42520.556637766203</v>
      </c>
      <c r="K186" s="13">
        <v>43252</v>
      </c>
      <c r="L186" s="13" t="s">
        <v>2178</v>
      </c>
      <c r="M186" s="12" t="s">
        <v>2179</v>
      </c>
      <c r="N186" s="12"/>
      <c r="O186" s="12"/>
      <c r="P186" s="12"/>
      <c r="Q186" s="12"/>
    </row>
    <row r="187" spans="1:17" x14ac:dyDescent="0.25">
      <c r="A187" s="11">
        <v>102631</v>
      </c>
      <c r="B187" s="12" t="s">
        <v>1291</v>
      </c>
      <c r="C187" s="12" t="s">
        <v>1292</v>
      </c>
      <c r="D187" s="12">
        <v>1</v>
      </c>
      <c r="E187" s="125">
        <v>1742612.59</v>
      </c>
      <c r="F187" s="12">
        <v>19</v>
      </c>
      <c r="G187" s="125">
        <v>1704219.93</v>
      </c>
      <c r="H187" s="12" t="s">
        <v>963</v>
      </c>
      <c r="I187" s="125">
        <v>23035.599999999999</v>
      </c>
      <c r="J187" s="13">
        <v>42520.646828206016</v>
      </c>
      <c r="K187" s="13">
        <v>43074</v>
      </c>
      <c r="L187" s="13" t="s">
        <v>1293</v>
      </c>
      <c r="M187" s="12"/>
      <c r="N187" s="12"/>
      <c r="O187" s="12"/>
      <c r="P187" s="12"/>
      <c r="Q187" s="12"/>
    </row>
    <row r="188" spans="1:17" x14ac:dyDescent="0.25">
      <c r="A188" s="11">
        <v>102632</v>
      </c>
      <c r="B188" s="12" t="s">
        <v>834</v>
      </c>
      <c r="C188" s="12" t="s">
        <v>836</v>
      </c>
      <c r="D188" s="12">
        <v>6</v>
      </c>
      <c r="E188" s="125">
        <v>20766918.989999998</v>
      </c>
      <c r="F188" s="12">
        <v>-11</v>
      </c>
      <c r="G188" s="125">
        <v>18483397.329999998</v>
      </c>
      <c r="H188" s="12" t="s">
        <v>546</v>
      </c>
      <c r="I188" s="125">
        <v>332701.15000000002</v>
      </c>
      <c r="J188" s="13">
        <v>42520.70437172454</v>
      </c>
      <c r="K188" s="13">
        <v>43256</v>
      </c>
      <c r="L188" s="13" t="s">
        <v>837</v>
      </c>
      <c r="M188" s="12"/>
      <c r="N188" s="12"/>
      <c r="O188" s="12"/>
      <c r="P188" s="12"/>
      <c r="Q188" s="12"/>
    </row>
    <row r="189" spans="1:17" x14ac:dyDescent="0.25">
      <c r="A189" s="11">
        <v>102633</v>
      </c>
      <c r="B189" s="12" t="s">
        <v>816</v>
      </c>
      <c r="C189" s="12" t="s">
        <v>818</v>
      </c>
      <c r="D189" s="12">
        <v>3</v>
      </c>
      <c r="E189" s="125">
        <v>53668573.380000003</v>
      </c>
      <c r="F189" s="12">
        <v>14</v>
      </c>
      <c r="G189" s="125">
        <v>34218121.240000002</v>
      </c>
      <c r="H189" s="12" t="s">
        <v>90</v>
      </c>
      <c r="I189" s="125">
        <v>1428917.09</v>
      </c>
      <c r="J189" s="13">
        <v>42520.725074965281</v>
      </c>
      <c r="K189" s="13">
        <v>43992</v>
      </c>
      <c r="L189" s="13" t="s">
        <v>819</v>
      </c>
      <c r="M189" s="12"/>
      <c r="N189" s="12"/>
      <c r="O189" s="12"/>
      <c r="P189" s="12"/>
      <c r="Q189" s="12"/>
    </row>
    <row r="190" spans="1:17" x14ac:dyDescent="0.25">
      <c r="A190" s="11">
        <v>102634</v>
      </c>
      <c r="B190" s="12" t="s">
        <v>930</v>
      </c>
      <c r="C190" s="12" t="s">
        <v>949</v>
      </c>
      <c r="D190" s="12">
        <v>3</v>
      </c>
      <c r="E190" s="125">
        <v>51452523.460000001</v>
      </c>
      <c r="F190" s="12">
        <v>19</v>
      </c>
      <c r="G190" s="125">
        <v>32782919.98</v>
      </c>
      <c r="H190" s="12" t="s">
        <v>468</v>
      </c>
      <c r="I190" s="125">
        <v>1562340.89</v>
      </c>
      <c r="J190" s="13">
        <v>42521.574859918983</v>
      </c>
      <c r="K190" s="13">
        <v>43987</v>
      </c>
      <c r="L190" s="13" t="s">
        <v>950</v>
      </c>
      <c r="M190" s="12"/>
      <c r="N190" s="12"/>
      <c r="O190" s="12"/>
      <c r="P190" s="12"/>
      <c r="Q190" s="12"/>
    </row>
    <row r="191" spans="1:17" x14ac:dyDescent="0.25">
      <c r="A191" s="11">
        <v>102636</v>
      </c>
      <c r="B191" s="12" t="s">
        <v>1657</v>
      </c>
      <c r="C191" s="12" t="s">
        <v>1662</v>
      </c>
      <c r="D191" s="12">
        <v>6</v>
      </c>
      <c r="E191" s="125">
        <v>43555850.850000001</v>
      </c>
      <c r="F191" s="12">
        <v>-7</v>
      </c>
      <c r="G191" s="125">
        <v>32836066.149999999</v>
      </c>
      <c r="H191" s="12" t="s">
        <v>546</v>
      </c>
      <c r="I191" s="125">
        <v>722393.46</v>
      </c>
      <c r="J191" s="13">
        <v>42521.698426122683</v>
      </c>
      <c r="K191" s="13">
        <v>43617</v>
      </c>
      <c r="L191" s="13" t="s">
        <v>1663</v>
      </c>
      <c r="M191" s="12" t="s">
        <v>1664</v>
      </c>
      <c r="N191" s="12"/>
      <c r="O191" s="12"/>
      <c r="P191" s="12"/>
      <c r="Q191" s="12"/>
    </row>
    <row r="192" spans="1:17" x14ac:dyDescent="0.25">
      <c r="A192" s="11">
        <v>102637</v>
      </c>
      <c r="B192" s="12" t="s">
        <v>630</v>
      </c>
      <c r="C192" s="12" t="s">
        <v>631</v>
      </c>
      <c r="D192" s="12">
        <v>11</v>
      </c>
      <c r="E192" s="125">
        <v>16835375.670000002</v>
      </c>
      <c r="F192" s="12">
        <v>14</v>
      </c>
      <c r="G192" s="125">
        <v>12523393.949999999</v>
      </c>
      <c r="H192" s="12" t="s">
        <v>491</v>
      </c>
      <c r="I192" s="125">
        <v>532447.06999999995</v>
      </c>
      <c r="J192" s="13">
        <v>42521.727298182872</v>
      </c>
      <c r="K192" s="13">
        <v>43626</v>
      </c>
      <c r="L192" s="13" t="s">
        <v>632</v>
      </c>
      <c r="M192" s="12" t="s">
        <v>633</v>
      </c>
      <c r="N192" s="12"/>
      <c r="O192" s="12"/>
      <c r="P192" s="12"/>
      <c r="Q192" s="12"/>
    </row>
    <row r="193" spans="1:17" x14ac:dyDescent="0.25">
      <c r="A193" s="11">
        <v>102642</v>
      </c>
      <c r="B193" s="12" t="s">
        <v>410</v>
      </c>
      <c r="C193" s="12" t="s">
        <v>342</v>
      </c>
      <c r="D193" s="12">
        <v>3</v>
      </c>
      <c r="E193" s="125">
        <v>52466026.789999999</v>
      </c>
      <c r="F193" s="12">
        <v>-11</v>
      </c>
      <c r="G193" s="125">
        <v>33849774.689999998</v>
      </c>
      <c r="H193" s="12" t="s">
        <v>468</v>
      </c>
      <c r="I193" s="125">
        <v>609295.93999999994</v>
      </c>
      <c r="J193" s="13">
        <v>42521.819705821756</v>
      </c>
      <c r="K193" s="13">
        <v>43987</v>
      </c>
      <c r="L193" s="13" t="s">
        <v>411</v>
      </c>
      <c r="M193" s="12"/>
      <c r="N193" s="12"/>
      <c r="O193" s="12"/>
      <c r="P193" s="12"/>
      <c r="Q193" s="12"/>
    </row>
    <row r="194" spans="1:17" x14ac:dyDescent="0.25">
      <c r="A194" s="11">
        <v>102644</v>
      </c>
      <c r="B194" s="12" t="s">
        <v>399</v>
      </c>
      <c r="C194" s="12" t="s">
        <v>400</v>
      </c>
      <c r="D194" s="12">
        <v>2</v>
      </c>
      <c r="E194" s="125">
        <v>27001332.18</v>
      </c>
      <c r="F194" s="12">
        <v>-11</v>
      </c>
      <c r="G194" s="125">
        <v>16319497.07</v>
      </c>
      <c r="H194" s="12" t="s">
        <v>468</v>
      </c>
      <c r="I194" s="125">
        <v>342709.44</v>
      </c>
      <c r="J194" s="13">
        <v>42521.845722418984</v>
      </c>
      <c r="K194" s="13">
        <v>43987</v>
      </c>
      <c r="L194" s="13" t="s">
        <v>401</v>
      </c>
      <c r="M194" s="12" t="s">
        <v>402</v>
      </c>
      <c r="N194" s="12"/>
      <c r="O194" s="12"/>
      <c r="P194" s="12"/>
      <c r="Q194" s="12"/>
    </row>
    <row r="195" spans="1:17" x14ac:dyDescent="0.25">
      <c r="A195" s="11">
        <v>102649</v>
      </c>
      <c r="B195" s="12" t="s">
        <v>710</v>
      </c>
      <c r="C195" s="12" t="s">
        <v>714</v>
      </c>
      <c r="D195" s="12">
        <v>6</v>
      </c>
      <c r="E195" s="125">
        <v>55685864.130000003</v>
      </c>
      <c r="F195" s="12">
        <v>-12</v>
      </c>
      <c r="G195" s="125">
        <v>33362207.190000001</v>
      </c>
      <c r="H195" s="12" t="s">
        <v>491</v>
      </c>
      <c r="I195" s="125">
        <v>567157.52</v>
      </c>
      <c r="J195" s="13">
        <v>42527.501020868054</v>
      </c>
      <c r="K195" s="13">
        <v>44171</v>
      </c>
      <c r="L195" s="13" t="s">
        <v>715</v>
      </c>
      <c r="M195" s="12"/>
      <c r="N195" s="12"/>
      <c r="O195" s="12"/>
      <c r="P195" s="12"/>
      <c r="Q195" s="12"/>
    </row>
    <row r="196" spans="1:17" x14ac:dyDescent="0.25">
      <c r="A196" s="11">
        <v>102651</v>
      </c>
      <c r="B196" s="12" t="s">
        <v>705</v>
      </c>
      <c r="C196" s="12" t="s">
        <v>706</v>
      </c>
      <c r="D196" s="12">
        <v>10</v>
      </c>
      <c r="E196" s="125">
        <v>50408509.340000004</v>
      </c>
      <c r="F196" s="12">
        <v>9</v>
      </c>
      <c r="G196" s="125">
        <v>32117727.530000001</v>
      </c>
      <c r="H196" s="12" t="s">
        <v>4684</v>
      </c>
      <c r="I196" s="125">
        <v>1215579.78</v>
      </c>
      <c r="J196" s="13">
        <v>42527.695888275462</v>
      </c>
      <c r="K196" s="13">
        <v>43997</v>
      </c>
      <c r="L196" s="13" t="s">
        <v>707</v>
      </c>
      <c r="M196" s="12" t="s">
        <v>708</v>
      </c>
      <c r="N196" s="12"/>
      <c r="O196" s="12"/>
      <c r="P196" s="12"/>
      <c r="Q196" s="12"/>
    </row>
    <row r="197" spans="1:17" x14ac:dyDescent="0.25">
      <c r="A197" s="11">
        <v>102652</v>
      </c>
      <c r="B197" s="12" t="s">
        <v>87</v>
      </c>
      <c r="C197" s="12" t="s">
        <v>249</v>
      </c>
      <c r="D197" s="12">
        <v>3</v>
      </c>
      <c r="E197" s="125">
        <v>14509704.59</v>
      </c>
      <c r="F197" s="12">
        <v>-14</v>
      </c>
      <c r="G197" s="125">
        <v>12914223.6</v>
      </c>
      <c r="H197" s="12" t="s">
        <v>1447</v>
      </c>
      <c r="I197" s="125">
        <v>193713.35</v>
      </c>
      <c r="J197" s="13">
        <v>42528.575429780096</v>
      </c>
      <c r="K197" s="13">
        <v>43259</v>
      </c>
      <c r="L197" s="13" t="s">
        <v>250</v>
      </c>
      <c r="M197" s="12" t="s">
        <v>251</v>
      </c>
      <c r="N197" s="12"/>
      <c r="O197" s="12"/>
      <c r="P197" s="12"/>
      <c r="Q197" s="12"/>
    </row>
    <row r="198" spans="1:17" x14ac:dyDescent="0.25">
      <c r="A198" s="11">
        <v>102653</v>
      </c>
      <c r="B198" s="12" t="s">
        <v>219</v>
      </c>
      <c r="C198" s="12" t="s">
        <v>220</v>
      </c>
      <c r="D198" s="12">
        <v>1</v>
      </c>
      <c r="E198" s="125">
        <v>1685871.49</v>
      </c>
      <c r="F198" s="12">
        <v>135</v>
      </c>
      <c r="G198" s="125">
        <v>1613790.34</v>
      </c>
      <c r="H198" s="12" t="s">
        <v>5725</v>
      </c>
      <c r="I198" s="125">
        <v>46150.66</v>
      </c>
      <c r="J198" s="13">
        <v>42529.70623556713</v>
      </c>
      <c r="K198" s="13">
        <v>42990</v>
      </c>
      <c r="L198" s="13" t="s">
        <v>221</v>
      </c>
      <c r="M198" s="12" t="s">
        <v>222</v>
      </c>
      <c r="N198" s="12"/>
      <c r="O198" s="12"/>
      <c r="P198" s="12"/>
      <c r="Q198" s="12"/>
    </row>
    <row r="199" spans="1:17" x14ac:dyDescent="0.25">
      <c r="A199" s="11">
        <v>102655</v>
      </c>
      <c r="B199" s="12" t="s">
        <v>786</v>
      </c>
      <c r="C199" s="12" t="s">
        <v>788</v>
      </c>
      <c r="D199" s="12">
        <v>3</v>
      </c>
      <c r="E199" s="125">
        <v>20431848.34</v>
      </c>
      <c r="F199" s="12">
        <v>14</v>
      </c>
      <c r="G199" s="125">
        <v>18337097.82</v>
      </c>
      <c r="H199" s="12" t="s">
        <v>1191</v>
      </c>
      <c r="I199" s="125">
        <v>220420.67</v>
      </c>
      <c r="J199" s="13">
        <v>42529.736859259261</v>
      </c>
      <c r="K199" s="13">
        <v>43261</v>
      </c>
      <c r="L199" s="13" t="s">
        <v>789</v>
      </c>
      <c r="M199" s="12"/>
      <c r="N199" s="12"/>
      <c r="O199" s="12"/>
      <c r="P199" s="12"/>
      <c r="Q199" s="12"/>
    </row>
    <row r="200" spans="1:17" x14ac:dyDescent="0.25">
      <c r="A200" s="11">
        <v>102658</v>
      </c>
      <c r="B200" s="12" t="s">
        <v>1642</v>
      </c>
      <c r="C200" s="12" t="s">
        <v>1645</v>
      </c>
      <c r="D200" s="12">
        <v>6</v>
      </c>
      <c r="E200" s="125">
        <v>30870166.68</v>
      </c>
      <c r="F200" s="12">
        <v>9</v>
      </c>
      <c r="G200" s="125">
        <v>23337204.469999999</v>
      </c>
      <c r="H200" s="12" t="s">
        <v>491</v>
      </c>
      <c r="I200" s="125">
        <v>184595.38</v>
      </c>
      <c r="J200" s="13">
        <v>42531.702821261577</v>
      </c>
      <c r="K200" s="13">
        <v>43631</v>
      </c>
      <c r="L200" s="13" t="s">
        <v>1646</v>
      </c>
      <c r="M200" s="12"/>
      <c r="N200" s="12"/>
      <c r="O200" s="12"/>
      <c r="P200" s="12"/>
      <c r="Q200" s="12"/>
    </row>
    <row r="201" spans="1:17" x14ac:dyDescent="0.25">
      <c r="A201" s="11">
        <v>102661</v>
      </c>
      <c r="B201" s="12" t="s">
        <v>147</v>
      </c>
      <c r="C201" s="12" t="s">
        <v>148</v>
      </c>
      <c r="D201" s="12">
        <v>3</v>
      </c>
      <c r="E201" s="125">
        <v>11306292.859999999</v>
      </c>
      <c r="F201" s="12">
        <v>69</v>
      </c>
      <c r="G201" s="125">
        <v>10731396.800000001</v>
      </c>
      <c r="H201" s="12" t="s">
        <v>90</v>
      </c>
      <c r="I201" s="125">
        <v>287900.51</v>
      </c>
      <c r="J201" s="13">
        <v>42534.671389467592</v>
      </c>
      <c r="K201" s="13">
        <v>43085</v>
      </c>
      <c r="L201" s="13" t="s">
        <v>149</v>
      </c>
      <c r="M201" s="12" t="s">
        <v>150</v>
      </c>
      <c r="N201" s="12"/>
      <c r="O201" s="12"/>
      <c r="P201" s="12"/>
      <c r="Q201" s="12"/>
    </row>
    <row r="202" spans="1:17" x14ac:dyDescent="0.25">
      <c r="A202" s="11">
        <v>102663</v>
      </c>
      <c r="B202" s="12" t="s">
        <v>519</v>
      </c>
      <c r="C202" s="12" t="s">
        <v>520</v>
      </c>
      <c r="D202" s="12">
        <v>2</v>
      </c>
      <c r="E202" s="125">
        <v>21601149.440000001</v>
      </c>
      <c r="F202" s="12">
        <v>-20</v>
      </c>
      <c r="G202" s="125">
        <v>15118720.9</v>
      </c>
      <c r="H202" s="12" t="s">
        <v>86</v>
      </c>
      <c r="I202" s="125">
        <v>158746.57</v>
      </c>
      <c r="J202" s="13">
        <v>42535.638698958333</v>
      </c>
      <c r="K202" s="13">
        <v>43691</v>
      </c>
      <c r="L202" s="13" t="s">
        <v>521</v>
      </c>
      <c r="M202" s="12" t="s">
        <v>522</v>
      </c>
      <c r="N202" s="12"/>
      <c r="O202" s="12"/>
      <c r="P202" s="12"/>
      <c r="Q202" s="12"/>
    </row>
    <row r="203" spans="1:17" x14ac:dyDescent="0.25">
      <c r="A203" s="11">
        <v>102664</v>
      </c>
      <c r="B203" s="12" t="s">
        <v>2258</v>
      </c>
      <c r="C203" s="12" t="s">
        <v>2260</v>
      </c>
      <c r="D203" s="12">
        <v>3</v>
      </c>
      <c r="E203" s="125">
        <v>19702450.920000002</v>
      </c>
      <c r="F203" s="12">
        <v>-21</v>
      </c>
      <c r="G203" s="125">
        <v>17317769.809999999</v>
      </c>
      <c r="H203" s="12" t="s">
        <v>2855</v>
      </c>
      <c r="I203" s="125">
        <v>153935.73000000001</v>
      </c>
      <c r="J203" s="13">
        <v>42536.550141354164</v>
      </c>
      <c r="K203" s="13">
        <v>43266</v>
      </c>
      <c r="L203" s="13" t="s">
        <v>2261</v>
      </c>
      <c r="M203" s="12"/>
      <c r="N203" s="12"/>
      <c r="O203" s="12"/>
      <c r="P203" s="12"/>
      <c r="Q203" s="12"/>
    </row>
    <row r="204" spans="1:17" x14ac:dyDescent="0.25">
      <c r="A204" s="11">
        <v>102670</v>
      </c>
      <c r="B204" s="12" t="s">
        <v>598</v>
      </c>
      <c r="C204" s="12" t="s">
        <v>599</v>
      </c>
      <c r="D204" s="12">
        <v>6</v>
      </c>
      <c r="E204" s="125">
        <v>40032516.140000001</v>
      </c>
      <c r="F204" s="12">
        <v>-26</v>
      </c>
      <c r="G204" s="125">
        <v>30179879.940000001</v>
      </c>
      <c r="H204" s="12" t="s">
        <v>491</v>
      </c>
      <c r="I204" s="125">
        <v>90539.64</v>
      </c>
      <c r="J204" s="13">
        <v>42541.563828900464</v>
      </c>
      <c r="K204" s="13">
        <v>43636</v>
      </c>
      <c r="L204" s="13" t="s">
        <v>600</v>
      </c>
      <c r="M204" s="12"/>
      <c r="N204" s="12"/>
      <c r="O204" s="12"/>
      <c r="P204" s="12"/>
      <c r="Q204" s="12"/>
    </row>
    <row r="205" spans="1:17" x14ac:dyDescent="0.25">
      <c r="A205" s="11">
        <v>102671</v>
      </c>
      <c r="B205" s="12" t="s">
        <v>2280</v>
      </c>
      <c r="C205" s="12" t="s">
        <v>2282</v>
      </c>
      <c r="D205" s="12">
        <v>2</v>
      </c>
      <c r="E205" s="125">
        <v>10312242.58</v>
      </c>
      <c r="F205" s="12">
        <v>4</v>
      </c>
      <c r="G205" s="125">
        <v>8831587.9800000004</v>
      </c>
      <c r="H205" s="12" t="s">
        <v>963</v>
      </c>
      <c r="I205" s="125">
        <v>221619.66</v>
      </c>
      <c r="J205" s="13">
        <v>42541.662755983794</v>
      </c>
      <c r="K205" s="13">
        <v>43271</v>
      </c>
      <c r="L205" s="13" t="s">
        <v>2283</v>
      </c>
      <c r="M205" s="12"/>
      <c r="N205" s="12"/>
      <c r="O205" s="12"/>
      <c r="P205" s="12"/>
      <c r="Q205" s="12"/>
    </row>
    <row r="206" spans="1:17" x14ac:dyDescent="0.25">
      <c r="A206" s="11">
        <v>102672</v>
      </c>
      <c r="B206" s="12" t="s">
        <v>2294</v>
      </c>
      <c r="C206" s="12" t="s">
        <v>2296</v>
      </c>
      <c r="D206" s="12">
        <v>1</v>
      </c>
      <c r="E206" s="125">
        <v>1096661.92</v>
      </c>
      <c r="F206" s="12">
        <v>187</v>
      </c>
      <c r="G206" s="125">
        <v>1026841.7</v>
      </c>
      <c r="H206" s="12" t="s">
        <v>2419</v>
      </c>
      <c r="I206" s="125">
        <v>69033.14</v>
      </c>
      <c r="J206" s="13">
        <v>42542.497367048614</v>
      </c>
      <c r="K206" s="13">
        <v>42907</v>
      </c>
      <c r="L206" s="13" t="s">
        <v>2297</v>
      </c>
      <c r="M206" s="12"/>
      <c r="N206" s="12"/>
      <c r="O206" s="12"/>
      <c r="P206" s="12"/>
      <c r="Q206" s="12"/>
    </row>
    <row r="207" spans="1:17" x14ac:dyDescent="0.25">
      <c r="A207" s="11">
        <v>102675</v>
      </c>
      <c r="B207" s="12" t="s">
        <v>1359</v>
      </c>
      <c r="C207" s="12" t="s">
        <v>1360</v>
      </c>
      <c r="D207" s="12">
        <v>6</v>
      </c>
      <c r="E207" s="125">
        <v>52757172.780000001</v>
      </c>
      <c r="F207" s="12">
        <v>-28</v>
      </c>
      <c r="G207" s="125">
        <v>34037614.799999997</v>
      </c>
      <c r="H207" s="12" t="s">
        <v>1467</v>
      </c>
      <c r="I207" s="125">
        <v>34037.61</v>
      </c>
      <c r="J207" s="13">
        <v>42543.719333414352</v>
      </c>
      <c r="K207" s="13">
        <v>44004</v>
      </c>
      <c r="L207" s="13" t="s">
        <v>1361</v>
      </c>
      <c r="M207" s="12"/>
      <c r="N207" s="12"/>
      <c r="O207" s="12"/>
      <c r="P207" s="12"/>
      <c r="Q207" s="12"/>
    </row>
    <row r="208" spans="1:17" x14ac:dyDescent="0.25">
      <c r="A208" s="11">
        <v>102677</v>
      </c>
      <c r="B208" s="12" t="s">
        <v>2308</v>
      </c>
      <c r="C208" s="12" t="s">
        <v>2315</v>
      </c>
      <c r="D208" s="12">
        <v>3</v>
      </c>
      <c r="E208" s="125">
        <v>44072796.939999998</v>
      </c>
      <c r="F208" s="12">
        <v>-28</v>
      </c>
      <c r="G208" s="125">
        <v>30444560.640000001</v>
      </c>
      <c r="H208" s="12" t="s">
        <v>86</v>
      </c>
      <c r="I208" s="125">
        <v>581900.26</v>
      </c>
      <c r="J208" s="13">
        <v>42543.779445138891</v>
      </c>
      <c r="K208" s="13">
        <v>43760</v>
      </c>
      <c r="L208" s="13" t="s">
        <v>2316</v>
      </c>
      <c r="M208" s="12"/>
      <c r="N208" s="12" t="s">
        <v>2317</v>
      </c>
      <c r="O208" s="12"/>
      <c r="P208" s="12"/>
      <c r="Q208" s="12"/>
    </row>
    <row r="209" spans="1:17" x14ac:dyDescent="0.25">
      <c r="A209" s="11">
        <v>102678</v>
      </c>
      <c r="B209" s="12" t="s">
        <v>2326</v>
      </c>
      <c r="C209" s="12" t="s">
        <v>2328</v>
      </c>
      <c r="D209" s="12">
        <v>2</v>
      </c>
      <c r="E209" s="125">
        <v>13111227.369999999</v>
      </c>
      <c r="F209" s="12">
        <v>1</v>
      </c>
      <c r="G209" s="125">
        <v>11039485.130000001</v>
      </c>
      <c r="H209" s="12" t="s">
        <v>86</v>
      </c>
      <c r="I209" s="125">
        <v>441579.41</v>
      </c>
      <c r="J209" s="13">
        <v>42544.500216585649</v>
      </c>
      <c r="K209" s="13">
        <v>43274</v>
      </c>
      <c r="L209" s="13" t="s">
        <v>128</v>
      </c>
      <c r="M209" s="12"/>
      <c r="N209" s="12"/>
      <c r="O209" s="12"/>
      <c r="P209" s="12"/>
      <c r="Q209" s="12"/>
    </row>
    <row r="210" spans="1:17" x14ac:dyDescent="0.25">
      <c r="A210" s="11">
        <v>102679</v>
      </c>
      <c r="B210" s="12" t="s">
        <v>2325</v>
      </c>
      <c r="C210" s="12" t="s">
        <v>2329</v>
      </c>
      <c r="D210" s="12">
        <v>3</v>
      </c>
      <c r="E210" s="125">
        <v>21992032.870000001</v>
      </c>
      <c r="F210" s="12">
        <v>1</v>
      </c>
      <c r="G210" s="125">
        <v>19059430.239999998</v>
      </c>
      <c r="H210" s="12" t="s">
        <v>86</v>
      </c>
      <c r="I210" s="125">
        <v>635314.34</v>
      </c>
      <c r="J210" s="13">
        <v>42544.64699212963</v>
      </c>
      <c r="K210" s="13">
        <v>43274</v>
      </c>
      <c r="L210" s="13" t="s">
        <v>2330</v>
      </c>
      <c r="M210" s="12" t="s">
        <v>2331</v>
      </c>
      <c r="N210" s="12"/>
      <c r="O210" s="12"/>
      <c r="P210" s="12"/>
      <c r="Q210" s="12"/>
    </row>
    <row r="211" spans="1:17" x14ac:dyDescent="0.25">
      <c r="A211" s="11">
        <v>102681</v>
      </c>
      <c r="B211" s="12" t="s">
        <v>1072</v>
      </c>
      <c r="C211" s="12" t="s">
        <v>1076</v>
      </c>
      <c r="D211" s="12">
        <v>3</v>
      </c>
      <c r="E211" s="125">
        <v>55291139.159999996</v>
      </c>
      <c r="F211" s="12">
        <v>5</v>
      </c>
      <c r="G211" s="125">
        <v>35774340.950000003</v>
      </c>
      <c r="H211" s="12" t="s">
        <v>5167</v>
      </c>
      <c r="I211" s="125">
        <v>141948.92000000001</v>
      </c>
      <c r="J211" s="13">
        <v>42545.381421412036</v>
      </c>
      <c r="K211" s="13">
        <v>44001</v>
      </c>
      <c r="L211" s="13" t="s">
        <v>1077</v>
      </c>
      <c r="M211" s="12" t="s">
        <v>1078</v>
      </c>
      <c r="N211" s="12"/>
      <c r="O211" s="12"/>
      <c r="P211" s="12"/>
      <c r="Q211" s="12"/>
    </row>
    <row r="212" spans="1:17" x14ac:dyDescent="0.25">
      <c r="A212" s="11">
        <v>102693</v>
      </c>
      <c r="B212" s="12" t="s">
        <v>2359</v>
      </c>
      <c r="C212" s="12" t="s">
        <v>2362</v>
      </c>
      <c r="D212" s="12">
        <v>1</v>
      </c>
      <c r="E212" s="125">
        <v>1847455.59</v>
      </c>
      <c r="F212" s="12">
        <v>23</v>
      </c>
      <c r="G212" s="125">
        <v>1742440.87</v>
      </c>
      <c r="H212" s="12" t="s">
        <v>3074</v>
      </c>
      <c r="I212" s="125">
        <v>50966.69</v>
      </c>
      <c r="J212" s="13">
        <v>42550.383685104163</v>
      </c>
      <c r="K212" s="13">
        <v>43101</v>
      </c>
      <c r="L212" s="13" t="s">
        <v>2363</v>
      </c>
      <c r="M212" s="12"/>
      <c r="N212" s="12" t="s">
        <v>2364</v>
      </c>
      <c r="O212" s="12"/>
      <c r="P212" s="12"/>
      <c r="Q212" s="12"/>
    </row>
    <row r="213" spans="1:17" x14ac:dyDescent="0.25">
      <c r="A213" s="11">
        <v>102694</v>
      </c>
      <c r="B213" s="12" t="s">
        <v>2370</v>
      </c>
      <c r="C213" s="12" t="s">
        <v>2373</v>
      </c>
      <c r="D213" s="12">
        <v>3</v>
      </c>
      <c r="E213" s="125">
        <v>22613934.469999999</v>
      </c>
      <c r="F213" s="12">
        <v>-9</v>
      </c>
      <c r="G213" s="125">
        <v>19566770.960000001</v>
      </c>
      <c r="H213" s="12" t="s">
        <v>468</v>
      </c>
      <c r="I213" s="125">
        <v>434817.13</v>
      </c>
      <c r="J213" s="13">
        <v>42550.659041122686</v>
      </c>
      <c r="K213" s="13">
        <v>43284</v>
      </c>
      <c r="L213" s="13" t="s">
        <v>2374</v>
      </c>
      <c r="M213" s="12"/>
      <c r="N213" s="12"/>
      <c r="O213" s="12"/>
      <c r="P213" s="12"/>
      <c r="Q213" s="12"/>
    </row>
    <row r="214" spans="1:17" x14ac:dyDescent="0.25">
      <c r="A214" s="11">
        <v>102696</v>
      </c>
      <c r="B214" s="12" t="s">
        <v>2379</v>
      </c>
      <c r="C214" s="12" t="s">
        <v>2389</v>
      </c>
      <c r="D214" s="12">
        <v>6</v>
      </c>
      <c r="E214" s="125">
        <v>24287866.68</v>
      </c>
      <c r="F214" s="12">
        <v>-15</v>
      </c>
      <c r="G214" s="125">
        <v>17522656.920000002</v>
      </c>
      <c r="H214" s="12" t="s">
        <v>1039</v>
      </c>
      <c r="I214" s="125">
        <v>272574.65999999997</v>
      </c>
      <c r="J214" s="13">
        <v>42551.073891319444</v>
      </c>
      <c r="K214" s="13">
        <v>43655</v>
      </c>
      <c r="L214" s="13" t="s">
        <v>2390</v>
      </c>
      <c r="M214" s="12"/>
      <c r="N214" s="12" t="s">
        <v>2391</v>
      </c>
      <c r="O214" s="12"/>
      <c r="P214" s="12"/>
      <c r="Q214" s="12"/>
    </row>
    <row r="215" spans="1:17" x14ac:dyDescent="0.25">
      <c r="A215" s="11">
        <v>102698</v>
      </c>
      <c r="B215" s="12" t="s">
        <v>2380</v>
      </c>
      <c r="C215" s="12" t="s">
        <v>2392</v>
      </c>
      <c r="D215" s="12">
        <v>3</v>
      </c>
      <c r="E215" s="125">
        <v>22605022.550000001</v>
      </c>
      <c r="F215" s="12">
        <v>-13</v>
      </c>
      <c r="G215" s="125">
        <v>17831541.02</v>
      </c>
      <c r="H215" s="12" t="s">
        <v>1447</v>
      </c>
      <c r="I215" s="125">
        <v>317005.17</v>
      </c>
      <c r="J215" s="13">
        <v>42551.145418518521</v>
      </c>
      <c r="K215" s="13">
        <v>43472</v>
      </c>
      <c r="L215" s="13" t="s">
        <v>2393</v>
      </c>
      <c r="M215" s="12"/>
      <c r="N215" s="12"/>
      <c r="O215" s="12"/>
      <c r="P215" s="12"/>
      <c r="Q215" s="12"/>
    </row>
    <row r="216" spans="1:17" x14ac:dyDescent="0.25">
      <c r="A216" s="11">
        <v>102701</v>
      </c>
      <c r="B216" s="12" t="s">
        <v>2381</v>
      </c>
      <c r="C216" s="12" t="s">
        <v>2394</v>
      </c>
      <c r="D216" s="12">
        <v>3</v>
      </c>
      <c r="E216" s="125">
        <v>42673510.950000003</v>
      </c>
      <c r="F216" s="12">
        <v>198</v>
      </c>
      <c r="G216" s="125">
        <v>33157684.32</v>
      </c>
      <c r="H216" s="12" t="s">
        <v>5725</v>
      </c>
      <c r="I216" s="125">
        <v>2139495.7200000002</v>
      </c>
      <c r="J216" s="13">
        <v>42551.364522303244</v>
      </c>
      <c r="K216" s="13">
        <v>43291</v>
      </c>
      <c r="L216" s="13" t="s">
        <v>2395</v>
      </c>
      <c r="M216" s="12" t="s">
        <v>2396</v>
      </c>
      <c r="N216" s="12"/>
      <c r="O216" s="12"/>
      <c r="P216" s="12"/>
      <c r="Q216" s="12"/>
    </row>
    <row r="217" spans="1:17" x14ac:dyDescent="0.25">
      <c r="A217" s="11">
        <v>102703</v>
      </c>
      <c r="B217" s="12" t="s">
        <v>1167</v>
      </c>
      <c r="C217" s="12" t="s">
        <v>1168</v>
      </c>
      <c r="D217" s="12">
        <v>3</v>
      </c>
      <c r="E217" s="125">
        <v>18741931.100000001</v>
      </c>
      <c r="F217" s="12">
        <v>-7</v>
      </c>
      <c r="G217" s="125">
        <v>15934664.880000001</v>
      </c>
      <c r="H217" s="12" t="s">
        <v>1039</v>
      </c>
      <c r="I217" s="125">
        <v>350562.63</v>
      </c>
      <c r="J217" s="13">
        <v>42551.396343287037</v>
      </c>
      <c r="K217" s="13">
        <v>43647</v>
      </c>
      <c r="L217" s="13" t="s">
        <v>1169</v>
      </c>
      <c r="M217" s="12"/>
      <c r="N217" s="12"/>
      <c r="O217" s="12"/>
      <c r="P217" s="12"/>
      <c r="Q217" s="12"/>
    </row>
    <row r="218" spans="1:17" x14ac:dyDescent="0.25">
      <c r="A218" s="11">
        <v>102704</v>
      </c>
      <c r="B218" s="12" t="s">
        <v>125</v>
      </c>
      <c r="C218" s="12" t="s">
        <v>126</v>
      </c>
      <c r="D218" s="12">
        <v>3</v>
      </c>
      <c r="E218" s="125">
        <v>55888329.579999998</v>
      </c>
      <c r="F218" s="12">
        <v>-11</v>
      </c>
      <c r="G218" s="125">
        <v>35609189</v>
      </c>
      <c r="H218" s="12" t="s">
        <v>86</v>
      </c>
      <c r="I218" s="125">
        <v>640965.4</v>
      </c>
      <c r="J218" s="13">
        <v>42552.70148009259</v>
      </c>
      <c r="K218" s="13">
        <v>44017</v>
      </c>
      <c r="L218" s="13" t="s">
        <v>127</v>
      </c>
      <c r="M218" s="12" t="s">
        <v>128</v>
      </c>
      <c r="N218" s="12" t="s">
        <v>129</v>
      </c>
      <c r="O218" s="12"/>
      <c r="P218" s="12"/>
      <c r="Q218" s="12"/>
    </row>
    <row r="219" spans="1:17" x14ac:dyDescent="0.25">
      <c r="A219" s="11">
        <v>102706</v>
      </c>
      <c r="B219" s="12" t="s">
        <v>2420</v>
      </c>
      <c r="C219" s="12" t="s">
        <v>2421</v>
      </c>
      <c r="D219" s="12">
        <v>2</v>
      </c>
      <c r="E219" s="125">
        <v>9808354.5299999993</v>
      </c>
      <c r="F219" s="12">
        <v>17</v>
      </c>
      <c r="G219" s="125">
        <v>8290217.3399999999</v>
      </c>
      <c r="H219" s="12" t="s">
        <v>1448</v>
      </c>
      <c r="I219" s="125">
        <v>265324.08</v>
      </c>
      <c r="J219" s="13">
        <v>42558.591984756946</v>
      </c>
      <c r="K219" s="13">
        <v>43288</v>
      </c>
      <c r="L219" s="13" t="s">
        <v>2422</v>
      </c>
      <c r="M219" s="12" t="s">
        <v>2423</v>
      </c>
      <c r="N219" s="12"/>
      <c r="O219" s="12"/>
      <c r="P219" s="12"/>
      <c r="Q219" s="12"/>
    </row>
    <row r="220" spans="1:17" x14ac:dyDescent="0.25">
      <c r="A220" s="11">
        <v>102712</v>
      </c>
      <c r="B220" s="12" t="s">
        <v>2429</v>
      </c>
      <c r="C220" s="12" t="s">
        <v>2430</v>
      </c>
      <c r="D220" s="12">
        <v>2</v>
      </c>
      <c r="E220" s="125">
        <v>10589651.82</v>
      </c>
      <c r="F220" s="12">
        <v>10</v>
      </c>
      <c r="G220" s="125">
        <v>8789130.75</v>
      </c>
      <c r="H220" s="12" t="s">
        <v>86</v>
      </c>
      <c r="I220" s="125">
        <v>398032.02</v>
      </c>
      <c r="J220" s="13">
        <v>42564.684344710651</v>
      </c>
      <c r="K220" s="13">
        <v>43295</v>
      </c>
      <c r="L220" s="13" t="s">
        <v>2431</v>
      </c>
      <c r="M220" s="12" t="s">
        <v>2432</v>
      </c>
      <c r="N220" s="12"/>
      <c r="O220" s="12"/>
      <c r="P220" s="12"/>
      <c r="Q220" s="12"/>
    </row>
    <row r="221" spans="1:17" x14ac:dyDescent="0.25">
      <c r="A221" s="11">
        <v>102713</v>
      </c>
      <c r="B221" s="12" t="s">
        <v>759</v>
      </c>
      <c r="C221" s="12" t="s">
        <v>761</v>
      </c>
      <c r="D221" s="12">
        <v>6</v>
      </c>
      <c r="E221" s="125">
        <v>14185138.33</v>
      </c>
      <c r="F221" s="12">
        <v>-20</v>
      </c>
      <c r="G221" s="125">
        <v>12446913.1</v>
      </c>
      <c r="H221" s="12" t="s">
        <v>491</v>
      </c>
      <c r="I221" s="125">
        <v>112022.22</v>
      </c>
      <c r="J221" s="13">
        <v>42564.693873611111</v>
      </c>
      <c r="K221" s="13">
        <v>43295</v>
      </c>
      <c r="L221" s="13" t="s">
        <v>762</v>
      </c>
      <c r="M221" s="12" t="s">
        <v>763</v>
      </c>
      <c r="N221" s="12"/>
      <c r="O221" s="12"/>
      <c r="P221" s="12"/>
      <c r="Q221" s="12"/>
    </row>
    <row r="222" spans="1:17" x14ac:dyDescent="0.25">
      <c r="A222" s="11">
        <v>102714</v>
      </c>
      <c r="B222" s="12" t="s">
        <v>2433</v>
      </c>
      <c r="C222" s="12" t="s">
        <v>2434</v>
      </c>
      <c r="D222" s="12">
        <v>3</v>
      </c>
      <c r="E222" s="125">
        <v>17150988.030000001</v>
      </c>
      <c r="F222" s="12">
        <v>-20</v>
      </c>
      <c r="G222" s="125">
        <v>14839941.060000001</v>
      </c>
      <c r="H222" s="12" t="s">
        <v>2175</v>
      </c>
      <c r="I222" s="125">
        <v>148399.41</v>
      </c>
      <c r="J222" s="13">
        <v>42564.702947187499</v>
      </c>
      <c r="K222" s="13">
        <v>43295</v>
      </c>
      <c r="L222" s="13" t="s">
        <v>2435</v>
      </c>
      <c r="M222" s="12"/>
      <c r="N222" s="12"/>
      <c r="O222" s="12"/>
      <c r="P222" s="12"/>
      <c r="Q222" s="12"/>
    </row>
    <row r="223" spans="1:17" x14ac:dyDescent="0.25">
      <c r="A223" s="11">
        <v>102717</v>
      </c>
      <c r="B223" s="12" t="s">
        <v>364</v>
      </c>
      <c r="C223" s="12" t="s">
        <v>384</v>
      </c>
      <c r="D223" s="12">
        <v>1</v>
      </c>
      <c r="E223" s="125">
        <v>26402.05</v>
      </c>
      <c r="F223" s="12">
        <v>129</v>
      </c>
      <c r="G223" s="125">
        <v>26402.05</v>
      </c>
      <c r="H223" s="12" t="s">
        <v>5725</v>
      </c>
      <c r="I223" s="125">
        <v>0</v>
      </c>
      <c r="J223" s="13">
        <v>42566.624112268517</v>
      </c>
      <c r="K223" s="13">
        <v>42934</v>
      </c>
      <c r="L223" s="13" t="s">
        <v>385</v>
      </c>
      <c r="M223" s="12" t="s">
        <v>386</v>
      </c>
      <c r="N223" s="12"/>
      <c r="O223" s="12"/>
      <c r="P223" s="12"/>
      <c r="Q223" s="12"/>
    </row>
    <row r="224" spans="1:17" x14ac:dyDescent="0.25">
      <c r="A224" s="11">
        <v>102721</v>
      </c>
      <c r="B224" s="12" t="s">
        <v>1668</v>
      </c>
      <c r="C224" s="12" t="s">
        <v>1675</v>
      </c>
      <c r="D224" s="12">
        <v>1</v>
      </c>
      <c r="E224" s="125">
        <v>1278626.02</v>
      </c>
      <c r="F224" s="12">
        <v>161</v>
      </c>
      <c r="G224" s="125">
        <v>1205804.8700000001</v>
      </c>
      <c r="H224" s="12" t="s">
        <v>90</v>
      </c>
      <c r="I224" s="125">
        <v>72821.149999999994</v>
      </c>
      <c r="J224" s="13">
        <v>42567.597271990744</v>
      </c>
      <c r="K224" s="13">
        <v>42932</v>
      </c>
      <c r="L224" s="13" t="s">
        <v>1676</v>
      </c>
      <c r="M224" s="12"/>
      <c r="N224" s="12"/>
      <c r="O224" s="12"/>
      <c r="P224" s="12"/>
      <c r="Q224" s="12"/>
    </row>
    <row r="225" spans="1:17" x14ac:dyDescent="0.25">
      <c r="A225" s="11">
        <v>102722</v>
      </c>
      <c r="B225" s="12" t="s">
        <v>2439</v>
      </c>
      <c r="C225" s="12" t="s">
        <v>2440</v>
      </c>
      <c r="D225" s="12">
        <v>9</v>
      </c>
      <c r="E225" s="125">
        <v>5396466.0800000001</v>
      </c>
      <c r="F225" s="12">
        <v>159</v>
      </c>
      <c r="G225" s="125">
        <v>4804821.63</v>
      </c>
      <c r="H225" s="12" t="s">
        <v>5725</v>
      </c>
      <c r="I225" s="125">
        <v>348901.72</v>
      </c>
      <c r="J225" s="13">
        <v>42569.726373645834</v>
      </c>
      <c r="K225" s="13">
        <v>43026</v>
      </c>
      <c r="L225" s="13" t="s">
        <v>2441</v>
      </c>
      <c r="M225" s="12"/>
      <c r="N225" s="12"/>
      <c r="O225" s="12"/>
      <c r="P225" s="12"/>
      <c r="Q225" s="12"/>
    </row>
    <row r="226" spans="1:17" x14ac:dyDescent="0.25">
      <c r="A226" s="11">
        <v>102726</v>
      </c>
      <c r="B226" s="12" t="s">
        <v>2506</v>
      </c>
      <c r="C226" s="12" t="s">
        <v>2509</v>
      </c>
      <c r="D226" s="12">
        <v>3</v>
      </c>
      <c r="E226" s="125">
        <v>33749529.689999998</v>
      </c>
      <c r="F226" s="12">
        <v>-28</v>
      </c>
      <c r="G226" s="125">
        <v>24348842.100000001</v>
      </c>
      <c r="H226" s="12" t="s">
        <v>1191</v>
      </c>
      <c r="I226" s="125">
        <v>27054.27</v>
      </c>
      <c r="J226" s="13">
        <v>42571.776242210646</v>
      </c>
      <c r="K226" s="13">
        <v>43668</v>
      </c>
      <c r="L226" s="13" t="s">
        <v>2510</v>
      </c>
      <c r="M226" s="12"/>
      <c r="N226" s="12"/>
      <c r="O226" s="12"/>
      <c r="P226" s="12"/>
      <c r="Q226" s="12"/>
    </row>
    <row r="227" spans="1:17" x14ac:dyDescent="0.25">
      <c r="A227" s="11">
        <v>102728</v>
      </c>
      <c r="B227" s="12" t="s">
        <v>2513</v>
      </c>
      <c r="C227" s="12" t="s">
        <v>2514</v>
      </c>
      <c r="D227" s="12">
        <v>1</v>
      </c>
      <c r="E227" s="125">
        <v>548330.98</v>
      </c>
      <c r="F227" s="12">
        <v>126</v>
      </c>
      <c r="G227" s="125">
        <v>524718.64</v>
      </c>
      <c r="H227" s="12" t="s">
        <v>1448</v>
      </c>
      <c r="I227" s="125">
        <v>23612.34</v>
      </c>
      <c r="J227" s="13">
        <v>42572.520186770831</v>
      </c>
      <c r="K227" s="13">
        <v>42937</v>
      </c>
      <c r="L227" s="13" t="s">
        <v>2515</v>
      </c>
      <c r="M227" s="12"/>
      <c r="N227" s="12"/>
      <c r="O227" s="12"/>
      <c r="P227" s="12"/>
      <c r="Q227" s="12"/>
    </row>
    <row r="228" spans="1:17" x14ac:dyDescent="0.25">
      <c r="A228" s="11">
        <v>102735</v>
      </c>
      <c r="B228" s="12" t="s">
        <v>2531</v>
      </c>
      <c r="C228" s="12" t="s">
        <v>2534</v>
      </c>
      <c r="D228" s="12">
        <v>3</v>
      </c>
      <c r="E228" s="125">
        <v>36371274.159999996</v>
      </c>
      <c r="F228" s="12">
        <v>-1</v>
      </c>
      <c r="G228" s="125">
        <v>25860721.039999999</v>
      </c>
      <c r="H228" s="12" t="s">
        <v>1191</v>
      </c>
      <c r="I228" s="125">
        <v>804555.77</v>
      </c>
      <c r="J228" s="13">
        <v>42576.56290138889</v>
      </c>
      <c r="K228" s="13">
        <v>43671</v>
      </c>
      <c r="L228" s="13" t="s">
        <v>2535</v>
      </c>
      <c r="M228" s="12"/>
      <c r="N228" s="12" t="s">
        <v>2536</v>
      </c>
      <c r="O228" s="12"/>
      <c r="P228" s="12"/>
      <c r="Q228" s="12"/>
    </row>
    <row r="229" spans="1:17" x14ac:dyDescent="0.25">
      <c r="A229" s="11">
        <v>102737</v>
      </c>
      <c r="B229" s="12" t="s">
        <v>664</v>
      </c>
      <c r="C229" s="12" t="s">
        <v>669</v>
      </c>
      <c r="D229" s="12">
        <v>3</v>
      </c>
      <c r="E229" s="125">
        <v>30054404.050000001</v>
      </c>
      <c r="F229" s="12">
        <v>-26</v>
      </c>
      <c r="G229" s="125">
        <v>22356682.059999999</v>
      </c>
      <c r="H229" s="12" t="s">
        <v>1447</v>
      </c>
      <c r="I229" s="125">
        <v>67070.05</v>
      </c>
      <c r="J229" s="13">
        <v>42577.617198148146</v>
      </c>
      <c r="K229" s="13">
        <v>43666</v>
      </c>
      <c r="L229" s="13" t="s">
        <v>670</v>
      </c>
      <c r="M229" s="12" t="s">
        <v>671</v>
      </c>
      <c r="N229" s="12"/>
      <c r="O229" s="12"/>
      <c r="P229" s="12"/>
      <c r="Q229" s="12"/>
    </row>
    <row r="230" spans="1:17" x14ac:dyDescent="0.25">
      <c r="A230" s="11">
        <v>102738</v>
      </c>
      <c r="B230" s="12" t="s">
        <v>2540</v>
      </c>
      <c r="C230" s="12" t="s">
        <v>2545</v>
      </c>
      <c r="D230" s="12">
        <v>2</v>
      </c>
      <c r="E230" s="125">
        <v>4960375.88</v>
      </c>
      <c r="F230" s="12">
        <v>18</v>
      </c>
      <c r="G230" s="125">
        <v>4501411.18</v>
      </c>
      <c r="H230" s="12" t="s">
        <v>1448</v>
      </c>
      <c r="I230" s="125">
        <v>258060.92</v>
      </c>
      <c r="J230" s="13">
        <v>42577.712034340278</v>
      </c>
      <c r="K230" s="13">
        <v>43137</v>
      </c>
      <c r="L230" s="13" t="s">
        <v>2546</v>
      </c>
      <c r="M230" s="12" t="s">
        <v>2547</v>
      </c>
      <c r="N230" s="12"/>
      <c r="O230" s="12"/>
      <c r="P230" s="12"/>
      <c r="Q230" s="12"/>
    </row>
    <row r="231" spans="1:17" x14ac:dyDescent="0.25">
      <c r="A231" s="11">
        <v>102741</v>
      </c>
      <c r="B231" s="12" t="s">
        <v>2558</v>
      </c>
      <c r="C231" s="12" t="s">
        <v>2559</v>
      </c>
      <c r="D231" s="12">
        <v>6</v>
      </c>
      <c r="E231" s="125">
        <v>5857390.0899999999</v>
      </c>
      <c r="F231" s="12">
        <v>-7</v>
      </c>
      <c r="G231" s="125">
        <v>5487555.21</v>
      </c>
      <c r="H231" s="12" t="s">
        <v>491</v>
      </c>
      <c r="I231" s="125">
        <v>134140.24</v>
      </c>
      <c r="J231" s="13">
        <v>42578.643912581021</v>
      </c>
      <c r="K231" s="13">
        <v>43132</v>
      </c>
      <c r="L231" s="13" t="s">
        <v>2560</v>
      </c>
      <c r="M231" s="12" t="s">
        <v>2561</v>
      </c>
      <c r="N231" s="12"/>
      <c r="O231" s="12"/>
      <c r="P231" s="12"/>
      <c r="Q231" s="12"/>
    </row>
    <row r="232" spans="1:17" x14ac:dyDescent="0.25">
      <c r="A232" s="11">
        <v>102742</v>
      </c>
      <c r="B232" s="12" t="s">
        <v>2576</v>
      </c>
      <c r="C232" s="12" t="s">
        <v>2577</v>
      </c>
      <c r="D232" s="12">
        <v>7</v>
      </c>
      <c r="E232" s="125">
        <v>330415.34999999998</v>
      </c>
      <c r="F232" s="12">
        <v>146</v>
      </c>
      <c r="G232" s="125">
        <v>309379.08</v>
      </c>
      <c r="H232" s="12" t="s">
        <v>1447</v>
      </c>
      <c r="I232" s="125">
        <v>20799.13</v>
      </c>
      <c r="J232" s="13">
        <v>42579.529619988425</v>
      </c>
      <c r="K232" s="13">
        <v>42948</v>
      </c>
      <c r="L232" s="13" t="s">
        <v>2578</v>
      </c>
      <c r="M232" s="12"/>
      <c r="N232" s="12"/>
      <c r="O232" s="12"/>
      <c r="P232" s="12"/>
      <c r="Q232" s="12"/>
    </row>
    <row r="233" spans="1:17" x14ac:dyDescent="0.25">
      <c r="A233" s="11">
        <v>102743</v>
      </c>
      <c r="B233" s="12" t="s">
        <v>1163</v>
      </c>
      <c r="C233" s="12" t="s">
        <v>1164</v>
      </c>
      <c r="D233" s="12">
        <v>3</v>
      </c>
      <c r="E233" s="125">
        <v>38177489.899999999</v>
      </c>
      <c r="F233" s="12">
        <v>84</v>
      </c>
      <c r="G233" s="125">
        <v>27229000.399999999</v>
      </c>
      <c r="H233" s="12" t="s">
        <v>5724</v>
      </c>
      <c r="I233" s="125">
        <v>1225035.6399999999</v>
      </c>
      <c r="J233" s="13">
        <v>42579.575141006942</v>
      </c>
      <c r="K233" s="13">
        <v>43678</v>
      </c>
      <c r="L233" s="13" t="s">
        <v>1165</v>
      </c>
      <c r="M233" s="12" t="s">
        <v>1166</v>
      </c>
      <c r="N233" s="12"/>
      <c r="O233" s="12"/>
      <c r="P233" s="12"/>
      <c r="Q233" s="12"/>
    </row>
    <row r="234" spans="1:17" x14ac:dyDescent="0.25">
      <c r="A234" s="11">
        <v>102749</v>
      </c>
      <c r="B234" s="12" t="s">
        <v>2615</v>
      </c>
      <c r="C234" s="12" t="s">
        <v>2618</v>
      </c>
      <c r="D234" s="12">
        <v>1</v>
      </c>
      <c r="E234" s="125">
        <v>1506928.93</v>
      </c>
      <c r="F234" s="12">
        <v>47</v>
      </c>
      <c r="G234" s="125">
        <v>1410988.6</v>
      </c>
      <c r="H234" s="12" t="s">
        <v>86</v>
      </c>
      <c r="I234" s="125">
        <v>94858.8</v>
      </c>
      <c r="J234" s="13">
        <v>42581.595540312497</v>
      </c>
      <c r="K234" s="13">
        <v>43047</v>
      </c>
      <c r="L234" s="13" t="s">
        <v>2619</v>
      </c>
      <c r="M234" s="12" t="s">
        <v>2620</v>
      </c>
      <c r="N234" s="12"/>
      <c r="O234" s="12"/>
      <c r="P234" s="12"/>
      <c r="Q234" s="12"/>
    </row>
    <row r="235" spans="1:17" x14ac:dyDescent="0.25">
      <c r="A235" s="11">
        <v>102752</v>
      </c>
      <c r="B235" s="12" t="s">
        <v>894</v>
      </c>
      <c r="C235" s="12" t="s">
        <v>899</v>
      </c>
      <c r="D235" s="12">
        <v>2</v>
      </c>
      <c r="E235" s="125">
        <v>9257939.2899999991</v>
      </c>
      <c r="F235" s="12">
        <v>-7</v>
      </c>
      <c r="G235" s="125">
        <v>7825722.2000000002</v>
      </c>
      <c r="H235" s="12" t="s">
        <v>86</v>
      </c>
      <c r="I235" s="125">
        <v>200860.2</v>
      </c>
      <c r="J235" s="13">
        <v>42581.587760960647</v>
      </c>
      <c r="K235" s="13">
        <v>43313</v>
      </c>
      <c r="L235" s="13" t="s">
        <v>900</v>
      </c>
      <c r="M235" s="12"/>
      <c r="N235" s="12"/>
      <c r="O235" s="12"/>
      <c r="P235" s="12"/>
      <c r="Q235" s="12"/>
    </row>
    <row r="236" spans="1:17" x14ac:dyDescent="0.25">
      <c r="A236" s="11">
        <v>102753</v>
      </c>
      <c r="B236" s="12" t="s">
        <v>748</v>
      </c>
      <c r="C236" s="12" t="s">
        <v>1355</v>
      </c>
      <c r="D236" s="12">
        <v>1</v>
      </c>
      <c r="E236" s="125">
        <v>1350846.17</v>
      </c>
      <c r="F236" s="12">
        <v>23</v>
      </c>
      <c r="G236" s="125">
        <v>1298890.55</v>
      </c>
      <c r="H236" s="12" t="s">
        <v>1448</v>
      </c>
      <c r="I236" s="125">
        <v>51955.62</v>
      </c>
      <c r="J236" s="13">
        <v>42581.697517592591</v>
      </c>
      <c r="K236" s="13">
        <v>43040</v>
      </c>
      <c r="L236" s="13" t="s">
        <v>749</v>
      </c>
      <c r="M236" s="12" t="s">
        <v>750</v>
      </c>
      <c r="N236" s="12"/>
      <c r="O236" s="12"/>
      <c r="P236" s="12"/>
      <c r="Q236" s="12"/>
    </row>
    <row r="237" spans="1:17" x14ac:dyDescent="0.25">
      <c r="A237" s="11">
        <v>102754</v>
      </c>
      <c r="B237" s="12" t="s">
        <v>895</v>
      </c>
      <c r="C237" s="12" t="s">
        <v>896</v>
      </c>
      <c r="D237" s="12">
        <v>1</v>
      </c>
      <c r="E237" s="125">
        <v>4659379.1100000003</v>
      </c>
      <c r="F237" s="12">
        <v>53</v>
      </c>
      <c r="G237" s="125">
        <v>4251163.26</v>
      </c>
      <c r="H237" s="12" t="s">
        <v>963</v>
      </c>
      <c r="I237" s="125">
        <v>158527.07</v>
      </c>
      <c r="J237" s="13">
        <v>42581.711515196759</v>
      </c>
      <c r="K237" s="13">
        <v>43133</v>
      </c>
      <c r="L237" s="13" t="s">
        <v>897</v>
      </c>
      <c r="M237" s="12" t="s">
        <v>898</v>
      </c>
      <c r="N237" s="12"/>
      <c r="O237" s="12"/>
      <c r="P237" s="12"/>
      <c r="Q237" s="12"/>
    </row>
    <row r="238" spans="1:17" x14ac:dyDescent="0.25">
      <c r="A238" s="11">
        <v>102755</v>
      </c>
      <c r="B238" s="12" t="s">
        <v>474</v>
      </c>
      <c r="C238" s="12" t="s">
        <v>475</v>
      </c>
      <c r="D238" s="12">
        <v>3</v>
      </c>
      <c r="E238" s="125">
        <v>29847219.84</v>
      </c>
      <c r="F238" s="12">
        <v>-7</v>
      </c>
      <c r="G238" s="125">
        <v>21909314.940000001</v>
      </c>
      <c r="H238" s="12" t="s">
        <v>468</v>
      </c>
      <c r="I238" s="125">
        <v>482004.93</v>
      </c>
      <c r="J238" s="13">
        <v>42581.724880902781</v>
      </c>
      <c r="K238" s="13">
        <v>43678</v>
      </c>
      <c r="L238" s="13" t="s">
        <v>476</v>
      </c>
      <c r="M238" s="12" t="s">
        <v>477</v>
      </c>
      <c r="N238" s="12"/>
      <c r="O238" s="12"/>
      <c r="P238" s="12"/>
      <c r="Q238" s="12"/>
    </row>
    <row r="239" spans="1:17" x14ac:dyDescent="0.25">
      <c r="A239" s="11">
        <v>102756</v>
      </c>
      <c r="B239" s="12" t="s">
        <v>2637</v>
      </c>
      <c r="C239" s="12" t="s">
        <v>2638</v>
      </c>
      <c r="D239" s="12">
        <v>7</v>
      </c>
      <c r="E239" s="125">
        <v>1644992.86</v>
      </c>
      <c r="F239" s="12">
        <v>175</v>
      </c>
      <c r="G239" s="125">
        <v>1507342.24</v>
      </c>
      <c r="H239" s="12" t="s">
        <v>5726</v>
      </c>
      <c r="I239" s="125">
        <v>114038.28</v>
      </c>
      <c r="J239" s="13">
        <v>42584.494557557868</v>
      </c>
      <c r="K239" s="13">
        <v>42949</v>
      </c>
      <c r="L239" s="13" t="s">
        <v>2639</v>
      </c>
      <c r="M239" s="12"/>
      <c r="N239" s="12" t="s">
        <v>2640</v>
      </c>
      <c r="O239" s="12"/>
      <c r="P239" s="12"/>
      <c r="Q239" s="12"/>
    </row>
    <row r="240" spans="1:17" x14ac:dyDescent="0.25">
      <c r="A240" s="11">
        <v>102757</v>
      </c>
      <c r="B240" s="12" t="s">
        <v>2648</v>
      </c>
      <c r="C240" s="12" t="s">
        <v>2649</v>
      </c>
      <c r="D240" s="12">
        <v>1</v>
      </c>
      <c r="E240" s="125">
        <v>4331562.88</v>
      </c>
      <c r="F240" s="12">
        <v>11</v>
      </c>
      <c r="G240" s="125">
        <v>3884898.3</v>
      </c>
      <c r="H240" s="12" t="s">
        <v>1448</v>
      </c>
      <c r="I240" s="125">
        <v>219472.84</v>
      </c>
      <c r="J240" s="13">
        <v>42586.573019594907</v>
      </c>
      <c r="K240" s="13">
        <v>43144</v>
      </c>
      <c r="L240" s="13" t="s">
        <v>2650</v>
      </c>
      <c r="M240" s="12" t="s">
        <v>2651</v>
      </c>
      <c r="N240" s="12"/>
      <c r="O240" s="12"/>
      <c r="P240" s="12"/>
      <c r="Q240" s="12"/>
    </row>
    <row r="241" spans="1:17" x14ac:dyDescent="0.25">
      <c r="A241" s="11">
        <v>102759</v>
      </c>
      <c r="B241" s="12" t="s">
        <v>795</v>
      </c>
      <c r="C241" s="12" t="s">
        <v>799</v>
      </c>
      <c r="D241" s="12">
        <v>3</v>
      </c>
      <c r="E241" s="125">
        <v>39354019.799999997</v>
      </c>
      <c r="F241" s="12">
        <v>10</v>
      </c>
      <c r="G241" s="125">
        <v>29032086</v>
      </c>
      <c r="H241" s="12" t="s">
        <v>4684</v>
      </c>
      <c r="I241" s="125">
        <v>256405</v>
      </c>
      <c r="J241" s="13">
        <v>42587.395447187497</v>
      </c>
      <c r="K241" s="13">
        <v>43691</v>
      </c>
      <c r="L241" s="13" t="s">
        <v>800</v>
      </c>
      <c r="M241" s="12" t="s">
        <v>801</v>
      </c>
      <c r="N241" s="12"/>
      <c r="O241" s="12"/>
      <c r="P241" s="12"/>
      <c r="Q241" s="12"/>
    </row>
    <row r="242" spans="1:17" x14ac:dyDescent="0.25">
      <c r="A242" s="11">
        <v>102761</v>
      </c>
      <c r="B242" s="12" t="s">
        <v>767</v>
      </c>
      <c r="C242" s="12" t="s">
        <v>771</v>
      </c>
      <c r="D242" s="12">
        <v>2</v>
      </c>
      <c r="E242" s="125">
        <v>12737587.550000001</v>
      </c>
      <c r="F242" s="12">
        <v>14</v>
      </c>
      <c r="G242" s="125">
        <v>10671998.07</v>
      </c>
      <c r="H242" s="12" t="s">
        <v>1191</v>
      </c>
      <c r="I242" s="125">
        <v>170139.1</v>
      </c>
      <c r="J242" s="13">
        <v>42587.71225196759</v>
      </c>
      <c r="K242" s="13">
        <v>43322</v>
      </c>
      <c r="L242" s="13" t="s">
        <v>772</v>
      </c>
      <c r="M242" s="12"/>
      <c r="N242" s="12"/>
      <c r="O242" s="12"/>
      <c r="P242" s="12"/>
      <c r="Q242" s="12"/>
    </row>
    <row r="243" spans="1:17" x14ac:dyDescent="0.25">
      <c r="A243" s="11">
        <v>102765</v>
      </c>
      <c r="B243" s="12" t="s">
        <v>2659</v>
      </c>
      <c r="C243" s="12" t="s">
        <v>2660</v>
      </c>
      <c r="D243" s="12">
        <v>7</v>
      </c>
      <c r="E243" s="125">
        <v>425686.41</v>
      </c>
      <c r="F243" s="12">
        <v>108</v>
      </c>
      <c r="G243" s="125">
        <v>425686.41</v>
      </c>
      <c r="H243" s="12" t="s">
        <v>5725</v>
      </c>
      <c r="I243" s="125">
        <v>0</v>
      </c>
      <c r="J243" s="13">
        <v>42590.682513657404</v>
      </c>
      <c r="K243" s="13">
        <v>42955</v>
      </c>
      <c r="L243" s="13" t="s">
        <v>2661</v>
      </c>
      <c r="M243" s="12"/>
      <c r="N243" s="12"/>
      <c r="O243" s="12"/>
      <c r="P243" s="12"/>
      <c r="Q243" s="12"/>
    </row>
    <row r="244" spans="1:17" x14ac:dyDescent="0.25">
      <c r="A244" s="11">
        <v>102769</v>
      </c>
      <c r="B244" s="12" t="s">
        <v>2701</v>
      </c>
      <c r="C244" s="12" t="s">
        <v>2702</v>
      </c>
      <c r="D244" s="12">
        <v>8</v>
      </c>
      <c r="E244" s="125">
        <v>6405370.2599999998</v>
      </c>
      <c r="F244" s="12">
        <v>195</v>
      </c>
      <c r="G244" s="125">
        <v>5152490.5599999996</v>
      </c>
      <c r="H244" s="12" t="s">
        <v>5725</v>
      </c>
      <c r="I244" s="125">
        <v>407526.72</v>
      </c>
      <c r="J244" s="13">
        <v>42595.561834108797</v>
      </c>
      <c r="K244" s="13">
        <v>43144</v>
      </c>
      <c r="L244" s="13" t="s">
        <v>2703</v>
      </c>
      <c r="M244" s="12"/>
      <c r="N244" s="12"/>
      <c r="O244" s="12"/>
      <c r="P244" s="12"/>
      <c r="Q244" s="12"/>
    </row>
    <row r="245" spans="1:17" x14ac:dyDescent="0.25">
      <c r="A245" s="11">
        <v>102776</v>
      </c>
      <c r="B245" s="12" t="s">
        <v>823</v>
      </c>
      <c r="C245" s="12" t="s">
        <v>825</v>
      </c>
      <c r="D245" s="12">
        <v>3</v>
      </c>
      <c r="E245" s="125">
        <v>20665277.149999999</v>
      </c>
      <c r="F245" s="12">
        <v>-26</v>
      </c>
      <c r="G245" s="125">
        <v>17878010.98</v>
      </c>
      <c r="H245" s="12" t="s">
        <v>86</v>
      </c>
      <c r="I245" s="125">
        <v>53634.03</v>
      </c>
      <c r="J245" s="13">
        <v>42605.457988043985</v>
      </c>
      <c r="K245" s="13">
        <v>43332</v>
      </c>
      <c r="L245" s="13" t="s">
        <v>826</v>
      </c>
      <c r="M245" s="12" t="s">
        <v>827</v>
      </c>
      <c r="N245" s="12"/>
      <c r="O245" s="12"/>
      <c r="P245" s="12"/>
      <c r="Q245" s="12"/>
    </row>
    <row r="246" spans="1:17" x14ac:dyDescent="0.25">
      <c r="A246" s="11">
        <v>102778</v>
      </c>
      <c r="B246" s="12" t="s">
        <v>2746</v>
      </c>
      <c r="C246" s="12" t="s">
        <v>2749</v>
      </c>
      <c r="D246" s="12">
        <v>6</v>
      </c>
      <c r="E246" s="125">
        <v>8928018.4900000002</v>
      </c>
      <c r="F246" s="12">
        <v>93</v>
      </c>
      <c r="G246" s="125">
        <v>7282420.3399999999</v>
      </c>
      <c r="H246" s="12" t="s">
        <v>1447</v>
      </c>
      <c r="I246" s="125">
        <v>237728.61</v>
      </c>
      <c r="J246" s="13">
        <v>42605.746936377313</v>
      </c>
      <c r="K246" s="13">
        <v>43335</v>
      </c>
      <c r="L246" s="13" t="s">
        <v>2750</v>
      </c>
      <c r="M246" s="12" t="s">
        <v>2751</v>
      </c>
      <c r="N246" s="12"/>
      <c r="O246" s="12"/>
      <c r="P246" s="12"/>
      <c r="Q246" s="12"/>
    </row>
    <row r="247" spans="1:17" x14ac:dyDescent="0.25">
      <c r="A247" s="11">
        <v>102782</v>
      </c>
      <c r="B247" s="12" t="s">
        <v>1666</v>
      </c>
      <c r="C247" s="12" t="s">
        <v>1673</v>
      </c>
      <c r="D247" s="12">
        <v>1</v>
      </c>
      <c r="E247" s="125">
        <v>1991388.3</v>
      </c>
      <c r="F247" s="12">
        <v>23</v>
      </c>
      <c r="G247" s="125">
        <v>1877973.43</v>
      </c>
      <c r="H247" s="12" t="s">
        <v>1667</v>
      </c>
      <c r="I247" s="125">
        <v>103202.62</v>
      </c>
      <c r="J247" s="13">
        <v>42608.746518171298</v>
      </c>
      <c r="K247" s="13">
        <v>43070</v>
      </c>
      <c r="L247" s="13" t="s">
        <v>1674</v>
      </c>
      <c r="M247" s="12"/>
      <c r="N247" s="12"/>
      <c r="O247" s="12"/>
      <c r="P247" s="12"/>
      <c r="Q247" s="12"/>
    </row>
    <row r="248" spans="1:17" x14ac:dyDescent="0.25">
      <c r="A248" s="11">
        <v>102784</v>
      </c>
      <c r="B248" s="12" t="s">
        <v>151</v>
      </c>
      <c r="C248" s="12" t="s">
        <v>152</v>
      </c>
      <c r="D248" s="12">
        <v>2</v>
      </c>
      <c r="E248" s="125">
        <v>21944654.52</v>
      </c>
      <c r="F248" s="12">
        <v>-11</v>
      </c>
      <c r="G248" s="125">
        <v>16587575.98</v>
      </c>
      <c r="H248" s="12" t="s">
        <v>86</v>
      </c>
      <c r="I248" s="125">
        <v>348339.1</v>
      </c>
      <c r="J248" s="13">
        <v>42609.577209027775</v>
      </c>
      <c r="K248" s="13">
        <v>43529</v>
      </c>
      <c r="L248" s="13" t="s">
        <v>153</v>
      </c>
      <c r="M248" s="12"/>
      <c r="N248" s="12"/>
      <c r="O248" s="12"/>
      <c r="P248" s="12"/>
      <c r="Q248" s="12"/>
    </row>
    <row r="249" spans="1:17" x14ac:dyDescent="0.25">
      <c r="A249" s="11">
        <v>102787</v>
      </c>
      <c r="B249" s="12" t="s">
        <v>1415</v>
      </c>
      <c r="C249" s="12" t="s">
        <v>1416</v>
      </c>
      <c r="D249" s="12">
        <v>3</v>
      </c>
      <c r="E249" s="125">
        <v>39414120.399999999</v>
      </c>
      <c r="F249" s="12">
        <v>-9</v>
      </c>
      <c r="G249" s="125">
        <v>28551797.800000001</v>
      </c>
      <c r="H249" s="12" t="s">
        <v>86</v>
      </c>
      <c r="I249" s="125">
        <v>571035.96</v>
      </c>
      <c r="J249" s="13">
        <v>42612.443188310186</v>
      </c>
      <c r="K249" s="13">
        <v>43711</v>
      </c>
      <c r="L249" s="13" t="s">
        <v>1417</v>
      </c>
      <c r="M249" s="12" t="s">
        <v>1418</v>
      </c>
      <c r="N249" s="12"/>
      <c r="O249" s="12"/>
      <c r="P249" s="12"/>
      <c r="Q249" s="12"/>
    </row>
    <row r="250" spans="1:17" x14ac:dyDescent="0.25">
      <c r="A250" s="11">
        <v>102788</v>
      </c>
      <c r="B250" s="12" t="s">
        <v>2806</v>
      </c>
      <c r="C250" s="12" t="s">
        <v>2813</v>
      </c>
      <c r="D250" s="12">
        <v>6</v>
      </c>
      <c r="E250" s="125">
        <v>12846761.91</v>
      </c>
      <c r="F250" s="12">
        <v>-11</v>
      </c>
      <c r="G250" s="125">
        <v>9833312.0600000005</v>
      </c>
      <c r="H250" s="12" t="s">
        <v>2175</v>
      </c>
      <c r="I250" s="125">
        <v>196666.23999999999</v>
      </c>
      <c r="J250" s="13">
        <v>42612.494395057867</v>
      </c>
      <c r="K250" s="13">
        <v>43529</v>
      </c>
      <c r="L250" s="13" t="s">
        <v>2814</v>
      </c>
      <c r="M250" s="12"/>
      <c r="N250" s="12"/>
      <c r="O250" s="12"/>
      <c r="P250" s="12"/>
      <c r="Q250" s="12"/>
    </row>
    <row r="251" spans="1:17" x14ac:dyDescent="0.25">
      <c r="A251" s="11">
        <v>102791</v>
      </c>
      <c r="B251" s="12" t="s">
        <v>2808</v>
      </c>
      <c r="C251" s="12" t="s">
        <v>2815</v>
      </c>
      <c r="D251" s="12">
        <v>7</v>
      </c>
      <c r="E251" s="125">
        <v>420996.35</v>
      </c>
      <c r="F251" s="12">
        <v>113</v>
      </c>
      <c r="G251" s="125">
        <v>406767.94</v>
      </c>
      <c r="H251" s="12" t="s">
        <v>2494</v>
      </c>
      <c r="I251" s="125">
        <v>13754.13</v>
      </c>
      <c r="J251" s="13">
        <v>42612.721365590274</v>
      </c>
      <c r="K251" s="13">
        <v>42981</v>
      </c>
      <c r="L251" s="13" t="s">
        <v>2816</v>
      </c>
      <c r="M251" s="12" t="s">
        <v>2817</v>
      </c>
      <c r="N251" s="12"/>
      <c r="O251" s="12"/>
      <c r="P251" s="12"/>
      <c r="Q251" s="12"/>
    </row>
    <row r="252" spans="1:17" x14ac:dyDescent="0.25">
      <c r="A252" s="11">
        <v>102793</v>
      </c>
      <c r="B252" s="12" t="s">
        <v>2831</v>
      </c>
      <c r="C252" s="12" t="s">
        <v>2833</v>
      </c>
      <c r="D252" s="12">
        <v>2</v>
      </c>
      <c r="E252" s="125">
        <v>18434944.850000001</v>
      </c>
      <c r="F252" s="12">
        <v>-9</v>
      </c>
      <c r="G252" s="125">
        <v>14952391.619999999</v>
      </c>
      <c r="H252" s="12" t="s">
        <v>1191</v>
      </c>
      <c r="I252" s="125">
        <v>398730.44</v>
      </c>
      <c r="J252" s="13">
        <v>42613.480887962964</v>
      </c>
      <c r="K252" s="13">
        <v>43346</v>
      </c>
      <c r="L252" s="13" t="s">
        <v>2834</v>
      </c>
      <c r="M252" s="12"/>
      <c r="N252" s="12"/>
      <c r="O252" s="12"/>
      <c r="P252" s="12"/>
      <c r="Q252" s="12"/>
    </row>
    <row r="253" spans="1:17" x14ac:dyDescent="0.25">
      <c r="A253" s="11">
        <v>102795</v>
      </c>
      <c r="B253" s="12" t="s">
        <v>1239</v>
      </c>
      <c r="C253" s="12" t="s">
        <v>1245</v>
      </c>
      <c r="D253" s="12">
        <v>6</v>
      </c>
      <c r="E253" s="125">
        <v>22022058.629999999</v>
      </c>
      <c r="F253" s="12">
        <v>19</v>
      </c>
      <c r="G253" s="125">
        <v>13672713.18</v>
      </c>
      <c r="H253" s="12" t="s">
        <v>491</v>
      </c>
      <c r="I253" s="125">
        <v>442470.59</v>
      </c>
      <c r="J253" s="13">
        <v>42613.501085497686</v>
      </c>
      <c r="K253" s="13">
        <v>44079</v>
      </c>
      <c r="L253" s="13" t="s">
        <v>1246</v>
      </c>
      <c r="M253" s="12"/>
      <c r="N253" s="12"/>
      <c r="O253" s="12"/>
      <c r="P253" s="12"/>
      <c r="Q253" s="12"/>
    </row>
    <row r="254" spans="1:17" x14ac:dyDescent="0.25">
      <c r="A254" s="11">
        <v>102796</v>
      </c>
      <c r="B254" s="12" t="s">
        <v>2830</v>
      </c>
      <c r="C254" s="12" t="s">
        <v>2835</v>
      </c>
      <c r="D254" s="12">
        <v>7</v>
      </c>
      <c r="E254" s="125">
        <v>494881.69</v>
      </c>
      <c r="F254" s="12">
        <v>113</v>
      </c>
      <c r="G254" s="125">
        <v>478281.87</v>
      </c>
      <c r="H254" s="12" t="s">
        <v>468</v>
      </c>
      <c r="I254" s="125">
        <v>16046.49</v>
      </c>
      <c r="J254" s="13">
        <v>42613.622245254628</v>
      </c>
      <c r="K254" s="13">
        <v>42981</v>
      </c>
      <c r="L254" s="13" t="s">
        <v>2836</v>
      </c>
      <c r="M254" s="12" t="s">
        <v>2837</v>
      </c>
      <c r="N254" s="12"/>
      <c r="O254" s="12"/>
      <c r="P254" s="12"/>
      <c r="Q254" s="12"/>
    </row>
    <row r="255" spans="1:17" x14ac:dyDescent="0.25">
      <c r="A255" s="11">
        <v>102797</v>
      </c>
      <c r="B255" s="12" t="s">
        <v>2829</v>
      </c>
      <c r="C255" s="12" t="s">
        <v>2838</v>
      </c>
      <c r="D255" s="12">
        <v>7</v>
      </c>
      <c r="E255" s="125">
        <v>329692.13</v>
      </c>
      <c r="F255" s="12">
        <v>144</v>
      </c>
      <c r="G255" s="125">
        <v>302766.58</v>
      </c>
      <c r="H255" s="12" t="s">
        <v>86</v>
      </c>
      <c r="I255" s="125">
        <v>21873.37</v>
      </c>
      <c r="J255" s="13">
        <v>42613.657020451392</v>
      </c>
      <c r="K255" s="13">
        <v>42981</v>
      </c>
      <c r="L255" s="13" t="s">
        <v>2839</v>
      </c>
      <c r="M255" s="12" t="s">
        <v>2840</v>
      </c>
      <c r="N255" s="12"/>
      <c r="O255" s="12"/>
      <c r="P255" s="12"/>
      <c r="Q255" s="12"/>
    </row>
    <row r="256" spans="1:17" x14ac:dyDescent="0.25">
      <c r="A256" s="11">
        <v>102799</v>
      </c>
      <c r="B256" s="12" t="s">
        <v>2825</v>
      </c>
      <c r="C256" s="12" t="s">
        <v>2843</v>
      </c>
      <c r="D256" s="12">
        <v>7</v>
      </c>
      <c r="E256" s="125">
        <v>660107.5</v>
      </c>
      <c r="F256" s="12">
        <v>144</v>
      </c>
      <c r="G256" s="125">
        <v>605533.28</v>
      </c>
      <c r="H256" s="12" t="s">
        <v>5725</v>
      </c>
      <c r="I256" s="125">
        <v>44469.86</v>
      </c>
      <c r="J256" s="13">
        <v>42613.756618981482</v>
      </c>
      <c r="K256" s="13">
        <v>42981</v>
      </c>
      <c r="L256" s="13" t="s">
        <v>2844</v>
      </c>
      <c r="M256" s="12"/>
      <c r="N256" s="12"/>
      <c r="O256" s="12"/>
      <c r="P256" s="12"/>
      <c r="Q256" s="12"/>
    </row>
    <row r="257" spans="1:17" x14ac:dyDescent="0.25">
      <c r="A257" s="11">
        <v>102801</v>
      </c>
      <c r="B257" s="12" t="s">
        <v>2852</v>
      </c>
      <c r="C257" s="12" t="s">
        <v>2853</v>
      </c>
      <c r="D257" s="12">
        <v>6</v>
      </c>
      <c r="E257" s="125">
        <v>5150541.96</v>
      </c>
      <c r="F257" s="12">
        <v>21</v>
      </c>
      <c r="G257" s="125">
        <v>4359233.2699999996</v>
      </c>
      <c r="H257" s="12" t="s">
        <v>1467</v>
      </c>
      <c r="I257" s="125">
        <v>91427.49</v>
      </c>
      <c r="J257" s="13">
        <v>42614.517180937502</v>
      </c>
      <c r="K257" s="13">
        <v>43346</v>
      </c>
      <c r="L257" s="13" t="s">
        <v>2854</v>
      </c>
      <c r="M257" s="12"/>
      <c r="N257" s="12"/>
      <c r="O257" s="12"/>
      <c r="P257" s="12"/>
      <c r="Q257" s="12"/>
    </row>
    <row r="258" spans="1:17" x14ac:dyDescent="0.25">
      <c r="A258" s="11">
        <v>102803</v>
      </c>
      <c r="B258" s="12" t="s">
        <v>84</v>
      </c>
      <c r="C258" s="12" t="s">
        <v>243</v>
      </c>
      <c r="D258" s="12">
        <v>2</v>
      </c>
      <c r="E258" s="125">
        <v>9986115.1199999992</v>
      </c>
      <c r="F258" s="12">
        <v>-11</v>
      </c>
      <c r="G258" s="125">
        <v>8305057.8300000001</v>
      </c>
      <c r="H258" s="12" t="s">
        <v>86</v>
      </c>
      <c r="I258" s="125">
        <v>174406.21</v>
      </c>
      <c r="J258" s="13">
        <v>42616.578436493059</v>
      </c>
      <c r="K258" s="13">
        <v>43348</v>
      </c>
      <c r="L258" s="13" t="s">
        <v>244</v>
      </c>
      <c r="M258" s="12" t="s">
        <v>245</v>
      </c>
      <c r="N258" s="12"/>
      <c r="O258" s="12"/>
      <c r="P258" s="12"/>
      <c r="Q258" s="12"/>
    </row>
    <row r="259" spans="1:17" x14ac:dyDescent="0.25">
      <c r="A259" s="11">
        <v>102807</v>
      </c>
      <c r="B259" s="12" t="s">
        <v>993</v>
      </c>
      <c r="C259" s="12" t="s">
        <v>998</v>
      </c>
      <c r="D259" s="12">
        <v>6</v>
      </c>
      <c r="E259" s="125">
        <v>26337181.809999999</v>
      </c>
      <c r="F259" s="12">
        <v>14</v>
      </c>
      <c r="G259" s="125">
        <v>18829491.420000002</v>
      </c>
      <c r="H259" s="12" t="s">
        <v>491</v>
      </c>
      <c r="I259" s="125">
        <v>802125.4</v>
      </c>
      <c r="J259" s="13">
        <v>42623.615724421295</v>
      </c>
      <c r="K259" s="13">
        <v>43718</v>
      </c>
      <c r="L259" s="13" t="s">
        <v>999</v>
      </c>
      <c r="M259" s="12" t="s">
        <v>1000</v>
      </c>
      <c r="N259" s="12"/>
      <c r="O259" s="12"/>
      <c r="P259" s="12"/>
      <c r="Q259" s="12"/>
    </row>
    <row r="260" spans="1:17" x14ac:dyDescent="0.25">
      <c r="A260" s="11">
        <v>102809</v>
      </c>
      <c r="B260" s="12" t="s">
        <v>2233</v>
      </c>
      <c r="C260" s="12" t="s">
        <v>2238</v>
      </c>
      <c r="D260" s="12">
        <v>2</v>
      </c>
      <c r="E260" s="125">
        <v>5055573.0199999996</v>
      </c>
      <c r="F260" s="12">
        <v>-19</v>
      </c>
      <c r="G260" s="125">
        <v>4587800.0999999996</v>
      </c>
      <c r="H260" s="12" t="s">
        <v>468</v>
      </c>
      <c r="I260" s="125">
        <v>61170.67</v>
      </c>
      <c r="J260" s="13">
        <v>42626.617915509261</v>
      </c>
      <c r="K260" s="13">
        <v>43172</v>
      </c>
      <c r="L260" s="13" t="s">
        <v>2239</v>
      </c>
      <c r="M260" s="12"/>
      <c r="N260" s="12"/>
      <c r="O260" s="12"/>
      <c r="P260" s="12"/>
      <c r="Q260" s="12"/>
    </row>
    <row r="261" spans="1:17" x14ac:dyDescent="0.25">
      <c r="A261" s="11">
        <v>102812</v>
      </c>
      <c r="B261" s="12" t="s">
        <v>2910</v>
      </c>
      <c r="C261" s="12" t="s">
        <v>2911</v>
      </c>
      <c r="D261" s="12">
        <v>1</v>
      </c>
      <c r="E261" s="125">
        <v>7496070.1500000004</v>
      </c>
      <c r="F261" s="12">
        <v>9</v>
      </c>
      <c r="G261" s="125">
        <v>5883846.4699999997</v>
      </c>
      <c r="H261" s="12" t="s">
        <v>86</v>
      </c>
      <c r="I261" s="125">
        <v>237774.93</v>
      </c>
      <c r="J261" s="13">
        <v>42628.641779942132</v>
      </c>
      <c r="K261" s="13">
        <v>43358</v>
      </c>
      <c r="L261" s="13" t="s">
        <v>2912</v>
      </c>
      <c r="M261" s="12"/>
      <c r="N261" s="12"/>
      <c r="O261" s="12"/>
      <c r="P261" s="12"/>
      <c r="Q261" s="12"/>
    </row>
    <row r="262" spans="1:17" x14ac:dyDescent="0.25">
      <c r="A262" s="11">
        <v>102813</v>
      </c>
      <c r="B262" s="12" t="s">
        <v>1563</v>
      </c>
      <c r="C262" s="12" t="s">
        <v>1592</v>
      </c>
      <c r="D262" s="12">
        <v>6</v>
      </c>
      <c r="E262" s="125">
        <v>52638439.539999999</v>
      </c>
      <c r="F262" s="12">
        <v>8</v>
      </c>
      <c r="G262" s="125">
        <v>32315820.850000001</v>
      </c>
      <c r="H262" s="12" t="s">
        <v>546</v>
      </c>
      <c r="I262" s="125">
        <v>1191944.01</v>
      </c>
      <c r="J262" s="13">
        <v>42629.37976851852</v>
      </c>
      <c r="K262" s="13">
        <v>44090</v>
      </c>
      <c r="L262" s="13" t="s">
        <v>1593</v>
      </c>
      <c r="M262" s="12"/>
      <c r="N262" s="12"/>
      <c r="O262" s="12"/>
      <c r="P262" s="12"/>
      <c r="Q262" s="12"/>
    </row>
    <row r="263" spans="1:17" x14ac:dyDescent="0.25">
      <c r="A263" s="11">
        <v>102815</v>
      </c>
      <c r="B263" s="12" t="s">
        <v>2917</v>
      </c>
      <c r="C263" s="12" t="s">
        <v>2918</v>
      </c>
      <c r="D263" s="12">
        <v>7</v>
      </c>
      <c r="E263" s="125">
        <v>2157279.86</v>
      </c>
      <c r="F263" s="12">
        <v>69</v>
      </c>
      <c r="G263" s="125">
        <v>1973998.11</v>
      </c>
      <c r="H263" s="12" t="s">
        <v>1467</v>
      </c>
      <c r="I263" s="125">
        <v>119368.67</v>
      </c>
      <c r="J263" s="13">
        <v>42629.536900312502</v>
      </c>
      <c r="K263" s="13">
        <v>43085</v>
      </c>
      <c r="L263" s="13" t="s">
        <v>2919</v>
      </c>
      <c r="M263" s="12" t="s">
        <v>2920</v>
      </c>
      <c r="N263" s="12"/>
      <c r="O263" s="12"/>
      <c r="P263" s="12"/>
      <c r="Q263" s="12"/>
    </row>
    <row r="264" spans="1:17" x14ac:dyDescent="0.25">
      <c r="A264" s="11">
        <v>102820</v>
      </c>
      <c r="B264" s="12" t="s">
        <v>351</v>
      </c>
      <c r="C264" s="12" t="s">
        <v>353</v>
      </c>
      <c r="D264" s="12">
        <v>6</v>
      </c>
      <c r="E264" s="125">
        <v>29726751.399999999</v>
      </c>
      <c r="F264" s="12">
        <v>0</v>
      </c>
      <c r="G264" s="125">
        <v>21252828.609999999</v>
      </c>
      <c r="H264" s="12" t="s">
        <v>1039</v>
      </c>
      <c r="I264" s="125">
        <v>616332.03</v>
      </c>
      <c r="J264" s="13">
        <v>42629.669620335648</v>
      </c>
      <c r="K264" s="13">
        <v>43732</v>
      </c>
      <c r="L264" s="13" t="s">
        <v>354</v>
      </c>
      <c r="M264" s="12"/>
      <c r="N264" s="12"/>
      <c r="O264" s="12"/>
      <c r="P264" s="12"/>
      <c r="Q264" s="12"/>
    </row>
    <row r="265" spans="1:17" x14ac:dyDescent="0.25">
      <c r="A265" s="11">
        <v>102824</v>
      </c>
      <c r="B265" s="12" t="s">
        <v>2928</v>
      </c>
      <c r="C265" s="12" t="s">
        <v>2929</v>
      </c>
      <c r="D265" s="12">
        <v>1</v>
      </c>
      <c r="E265" s="125">
        <v>822369.06</v>
      </c>
      <c r="F265" s="12">
        <v>-25</v>
      </c>
      <c r="G265" s="125">
        <v>737567.53</v>
      </c>
      <c r="H265" s="12" t="s">
        <v>2538</v>
      </c>
      <c r="I265" s="125">
        <v>4425.41</v>
      </c>
      <c r="J265" s="13">
        <v>42632.60021689815</v>
      </c>
      <c r="K265" s="13">
        <v>43178</v>
      </c>
      <c r="L265" s="13" t="s">
        <v>2930</v>
      </c>
      <c r="M265" s="12"/>
      <c r="N265" s="12"/>
      <c r="O265" s="12"/>
      <c r="P265" s="12"/>
      <c r="Q265" s="12"/>
    </row>
    <row r="266" spans="1:17" x14ac:dyDescent="0.25">
      <c r="A266" s="11">
        <v>102828</v>
      </c>
      <c r="B266" s="12" t="s">
        <v>694</v>
      </c>
      <c r="C266" s="12" t="s">
        <v>695</v>
      </c>
      <c r="D266" s="12">
        <v>2</v>
      </c>
      <c r="E266" s="125">
        <v>15163368.16</v>
      </c>
      <c r="F266" s="12">
        <v>96</v>
      </c>
      <c r="G266" s="125">
        <v>13029039.82</v>
      </c>
      <c r="H266" s="12" t="s">
        <v>468</v>
      </c>
      <c r="I266" s="125">
        <v>856254.75</v>
      </c>
      <c r="J266" s="13">
        <v>42633.671304826392</v>
      </c>
      <c r="K266" s="13">
        <v>43179</v>
      </c>
      <c r="L266" s="13" t="s">
        <v>696</v>
      </c>
      <c r="M266" s="12"/>
      <c r="N266" s="12"/>
      <c r="O266" s="12"/>
      <c r="P266" s="12"/>
      <c r="Q266" s="12"/>
    </row>
    <row r="267" spans="1:17" x14ac:dyDescent="0.25">
      <c r="A267" s="11">
        <v>102835</v>
      </c>
      <c r="B267" s="12" t="s">
        <v>2942</v>
      </c>
      <c r="C267" s="12" t="s">
        <v>2943</v>
      </c>
      <c r="D267" s="12">
        <v>3</v>
      </c>
      <c r="E267" s="125">
        <v>35139524.329999998</v>
      </c>
      <c r="F267" s="12">
        <v>115</v>
      </c>
      <c r="G267" s="125">
        <v>27303712.030000001</v>
      </c>
      <c r="H267" s="12" t="s">
        <v>5724</v>
      </c>
      <c r="I267" s="125">
        <v>1767396.58</v>
      </c>
      <c r="J267" s="13">
        <v>42637.580909259261</v>
      </c>
      <c r="K267" s="13">
        <v>43374</v>
      </c>
      <c r="L267" s="13" t="s">
        <v>2944</v>
      </c>
      <c r="M267" s="12" t="s">
        <v>2945</v>
      </c>
      <c r="N267" s="12"/>
      <c r="O267" s="12"/>
      <c r="P267" s="12"/>
      <c r="Q267" s="12"/>
    </row>
    <row r="268" spans="1:17" x14ac:dyDescent="0.25">
      <c r="A268" s="11">
        <v>102838</v>
      </c>
      <c r="B268" s="12" t="s">
        <v>3024</v>
      </c>
      <c r="C268" s="12" t="s">
        <v>3025</v>
      </c>
      <c r="D268" s="12">
        <v>2</v>
      </c>
      <c r="E268" s="125">
        <v>12311909.609999999</v>
      </c>
      <c r="F268" s="12">
        <v>-7</v>
      </c>
      <c r="G268" s="125">
        <v>9805290.6500000004</v>
      </c>
      <c r="H268" s="12" t="s">
        <v>2538</v>
      </c>
      <c r="I268" s="125">
        <v>287621.86</v>
      </c>
      <c r="J268" s="13">
        <v>42641.698485300927</v>
      </c>
      <c r="K268" s="13">
        <v>43374</v>
      </c>
      <c r="L268" s="13" t="s">
        <v>3026</v>
      </c>
      <c r="M268" s="12"/>
      <c r="N268" s="12"/>
      <c r="O268" s="12"/>
      <c r="P268" s="12"/>
      <c r="Q268" s="12"/>
    </row>
    <row r="269" spans="1:17" x14ac:dyDescent="0.25">
      <c r="A269" s="11">
        <v>102841</v>
      </c>
      <c r="B269" s="12" t="s">
        <v>3052</v>
      </c>
      <c r="C269" s="12" t="s">
        <v>3054</v>
      </c>
      <c r="D269" s="12">
        <v>6</v>
      </c>
      <c r="E269" s="125">
        <v>1539061.09</v>
      </c>
      <c r="F269" s="12">
        <v>52</v>
      </c>
      <c r="G269" s="125">
        <v>1492287.63</v>
      </c>
      <c r="H269" s="12" t="s">
        <v>491</v>
      </c>
      <c r="I269" s="125">
        <v>46773.46</v>
      </c>
      <c r="J269" s="13">
        <v>42643.590179548613</v>
      </c>
      <c r="K269" s="13">
        <v>43011</v>
      </c>
      <c r="L269" s="13" t="s">
        <v>3055</v>
      </c>
      <c r="M269" s="12" t="s">
        <v>3056</v>
      </c>
      <c r="N269" s="12"/>
      <c r="O269" s="12"/>
      <c r="P269" s="12"/>
      <c r="Q269" s="12"/>
    </row>
    <row r="270" spans="1:17" x14ac:dyDescent="0.25">
      <c r="A270" s="11">
        <v>102843</v>
      </c>
      <c r="B270" s="12" t="s">
        <v>3050</v>
      </c>
      <c r="C270" s="12" t="s">
        <v>3057</v>
      </c>
      <c r="D270" s="12">
        <v>7</v>
      </c>
      <c r="E270" s="125">
        <v>226805.78</v>
      </c>
      <c r="F270" s="12">
        <v>54</v>
      </c>
      <c r="G270" s="125">
        <v>226805.78</v>
      </c>
      <c r="H270" s="12" t="s">
        <v>2034</v>
      </c>
      <c r="I270" s="125">
        <v>0</v>
      </c>
      <c r="J270" s="13">
        <v>42643.759618668984</v>
      </c>
      <c r="K270" s="13">
        <v>43009</v>
      </c>
      <c r="L270" s="13" t="s">
        <v>3058</v>
      </c>
      <c r="M270" s="12" t="s">
        <v>3295</v>
      </c>
      <c r="N270" s="12"/>
      <c r="O270" s="12"/>
      <c r="P270" s="12"/>
      <c r="Q270" s="12"/>
    </row>
    <row r="271" spans="1:17" x14ac:dyDescent="0.25">
      <c r="A271" s="11">
        <v>102845</v>
      </c>
      <c r="B271" s="12" t="s">
        <v>3049</v>
      </c>
      <c r="C271" s="12" t="s">
        <v>3062</v>
      </c>
      <c r="D271" s="12">
        <v>6</v>
      </c>
      <c r="E271" s="125">
        <v>13321235.119999999</v>
      </c>
      <c r="F271" s="12">
        <v>-9</v>
      </c>
      <c r="G271" s="125">
        <v>9202028.8800000008</v>
      </c>
      <c r="H271" s="12" t="s">
        <v>491</v>
      </c>
      <c r="I271" s="125">
        <v>204489.53</v>
      </c>
      <c r="J271" s="13">
        <v>42643.508438425924</v>
      </c>
      <c r="K271" s="13">
        <v>43741</v>
      </c>
      <c r="L271" s="13" t="s">
        <v>3063</v>
      </c>
      <c r="M271" s="12"/>
      <c r="N271" s="12"/>
      <c r="O271" s="12"/>
      <c r="P271" s="12"/>
      <c r="Q271" s="12"/>
    </row>
    <row r="272" spans="1:17" x14ac:dyDescent="0.25">
      <c r="A272" s="11">
        <v>102848</v>
      </c>
      <c r="B272" s="12" t="s">
        <v>185</v>
      </c>
      <c r="C272" s="12" t="s">
        <v>186</v>
      </c>
      <c r="D272" s="12">
        <v>3</v>
      </c>
      <c r="E272" s="125">
        <v>44371525.200000003</v>
      </c>
      <c r="F272" s="12">
        <v>19</v>
      </c>
      <c r="G272" s="125">
        <v>37664953.229999997</v>
      </c>
      <c r="H272" s="12" t="s">
        <v>963</v>
      </c>
      <c r="I272" s="125">
        <v>639221.94999999995</v>
      </c>
      <c r="J272" s="13">
        <v>42648.49790667824</v>
      </c>
      <c r="K272" s="13">
        <v>43378</v>
      </c>
      <c r="L272" s="13" t="s">
        <v>187</v>
      </c>
      <c r="M272" s="12"/>
      <c r="N272" s="12" t="s">
        <v>188</v>
      </c>
      <c r="O272" s="12"/>
      <c r="P272" s="12"/>
      <c r="Q272" s="12"/>
    </row>
    <row r="273" spans="1:17" x14ac:dyDescent="0.25">
      <c r="A273" s="11">
        <v>102849</v>
      </c>
      <c r="B273" s="12" t="s">
        <v>3103</v>
      </c>
      <c r="C273" s="12" t="s">
        <v>3104</v>
      </c>
      <c r="D273" s="12">
        <v>6</v>
      </c>
      <c r="E273" s="125">
        <v>28268733.850000001</v>
      </c>
      <c r="F273" s="12">
        <v>-13</v>
      </c>
      <c r="G273" s="125">
        <v>23345107.75</v>
      </c>
      <c r="H273" s="12" t="s">
        <v>2494</v>
      </c>
      <c r="I273" s="125">
        <v>415024.14</v>
      </c>
      <c r="J273" s="13">
        <v>42650.479875925928</v>
      </c>
      <c r="K273" s="13">
        <v>43380</v>
      </c>
      <c r="L273" s="13" t="s">
        <v>3105</v>
      </c>
      <c r="M273" s="12" t="s">
        <v>3106</v>
      </c>
      <c r="N273" s="12"/>
      <c r="O273" s="12"/>
      <c r="P273" s="12"/>
      <c r="Q273" s="12"/>
    </row>
    <row r="274" spans="1:17" x14ac:dyDescent="0.25">
      <c r="A274" s="11">
        <v>102850</v>
      </c>
      <c r="B274" s="12" t="s">
        <v>3102</v>
      </c>
      <c r="C274" s="12" t="s">
        <v>3107</v>
      </c>
      <c r="D274" s="12">
        <v>1</v>
      </c>
      <c r="E274" s="125">
        <v>3262175.13</v>
      </c>
      <c r="F274" s="12">
        <v>17</v>
      </c>
      <c r="G274" s="125">
        <v>3071598.41</v>
      </c>
      <c r="H274" s="12" t="s">
        <v>2494</v>
      </c>
      <c r="I274" s="125">
        <v>98518.95</v>
      </c>
      <c r="J274" s="13">
        <v>42650.610318055558</v>
      </c>
      <c r="K274" s="13">
        <v>43107</v>
      </c>
      <c r="L274" s="13" t="s">
        <v>3108</v>
      </c>
      <c r="M274" s="12" t="s">
        <v>3109</v>
      </c>
      <c r="N274" s="12"/>
      <c r="O274" s="12"/>
      <c r="P274" s="12"/>
      <c r="Q274" s="12"/>
    </row>
    <row r="275" spans="1:17" x14ac:dyDescent="0.25">
      <c r="A275" s="11">
        <v>102852</v>
      </c>
      <c r="B275" s="12" t="s">
        <v>1410</v>
      </c>
      <c r="C275" s="12" t="s">
        <v>2841</v>
      </c>
      <c r="D275" s="12">
        <v>5</v>
      </c>
      <c r="E275" s="125">
        <v>2658065.13</v>
      </c>
      <c r="F275" s="12">
        <v>-26</v>
      </c>
      <c r="G275" s="125">
        <v>2353744.7999999998</v>
      </c>
      <c r="H275" s="12" t="s">
        <v>284</v>
      </c>
      <c r="I275" s="125">
        <v>4903.6400000000003</v>
      </c>
      <c r="J275" s="13">
        <v>42654.569900925926</v>
      </c>
      <c r="K275" s="13">
        <v>43393</v>
      </c>
      <c r="L275" s="13" t="s">
        <v>2842</v>
      </c>
      <c r="M275" s="12"/>
      <c r="N275" s="12"/>
      <c r="O275" s="12"/>
      <c r="P275" s="12"/>
      <c r="Q275" s="12"/>
    </row>
    <row r="276" spans="1:17" x14ac:dyDescent="0.25">
      <c r="A276" s="11">
        <v>102854</v>
      </c>
      <c r="B276" s="12" t="s">
        <v>926</v>
      </c>
      <c r="C276" s="12" t="s">
        <v>942</v>
      </c>
      <c r="D276" s="12">
        <v>3</v>
      </c>
      <c r="E276" s="125">
        <v>68476672.420000002</v>
      </c>
      <c r="F276" s="12">
        <v>-18</v>
      </c>
      <c r="G276" s="125">
        <v>48956677.560000002</v>
      </c>
      <c r="H276" s="12" t="s">
        <v>90</v>
      </c>
      <c r="I276" s="125">
        <v>538523.44999999995</v>
      </c>
      <c r="J276" s="13">
        <v>42655.686754247683</v>
      </c>
      <c r="K276" s="13">
        <v>43750</v>
      </c>
      <c r="L276" s="13" t="s">
        <v>943</v>
      </c>
      <c r="M276" s="12"/>
      <c r="N276" s="12"/>
      <c r="O276" s="12"/>
      <c r="P276" s="12"/>
      <c r="Q276" s="12"/>
    </row>
    <row r="277" spans="1:17" x14ac:dyDescent="0.25">
      <c r="A277" s="11">
        <v>102856</v>
      </c>
      <c r="B277" s="12" t="s">
        <v>974</v>
      </c>
      <c r="C277" s="12" t="s">
        <v>979</v>
      </c>
      <c r="D277" s="12">
        <v>1</v>
      </c>
      <c r="E277" s="125">
        <v>12776089.220000001</v>
      </c>
      <c r="F277" s="12">
        <v>101</v>
      </c>
      <c r="G277" s="125">
        <v>9479857.4000000004</v>
      </c>
      <c r="H277" s="12" t="s">
        <v>2538</v>
      </c>
      <c r="I277" s="125">
        <v>724059.04</v>
      </c>
      <c r="J277" s="13">
        <v>42658.427251504632</v>
      </c>
      <c r="K277" s="13">
        <v>43388</v>
      </c>
      <c r="L277" s="13" t="s">
        <v>980</v>
      </c>
      <c r="M277" s="12" t="s">
        <v>981</v>
      </c>
      <c r="N277" s="12"/>
      <c r="O277" s="12"/>
      <c r="P277" s="12"/>
      <c r="Q277" s="12"/>
    </row>
    <row r="278" spans="1:17" x14ac:dyDescent="0.25">
      <c r="A278" s="11">
        <v>102860</v>
      </c>
      <c r="B278" s="12" t="s">
        <v>1332</v>
      </c>
      <c r="C278" s="12" t="s">
        <v>1333</v>
      </c>
      <c r="D278" s="12">
        <v>6</v>
      </c>
      <c r="E278" s="125">
        <v>15015471.960000001</v>
      </c>
      <c r="F278" s="12">
        <v>35</v>
      </c>
      <c r="G278" s="125">
        <v>14011588.01</v>
      </c>
      <c r="H278" s="12" t="s">
        <v>1039</v>
      </c>
      <c r="I278" s="125">
        <v>674258.68</v>
      </c>
      <c r="J278" s="13">
        <v>42663.545598645833</v>
      </c>
      <c r="K278" s="13">
        <v>43120</v>
      </c>
      <c r="L278" s="13" t="s">
        <v>1334</v>
      </c>
      <c r="M278" s="12"/>
      <c r="N278" s="12"/>
      <c r="O278" s="12"/>
      <c r="P278" s="12"/>
      <c r="Q278" s="12"/>
    </row>
    <row r="279" spans="1:17" x14ac:dyDescent="0.25">
      <c r="A279" s="11">
        <v>102861</v>
      </c>
      <c r="B279" s="12" t="s">
        <v>3160</v>
      </c>
      <c r="C279" s="12" t="s">
        <v>3162</v>
      </c>
      <c r="D279" s="12">
        <v>6</v>
      </c>
      <c r="E279" s="125">
        <v>14685056.560000001</v>
      </c>
      <c r="F279" s="12">
        <v>4</v>
      </c>
      <c r="G279" s="125">
        <v>11942392.939999999</v>
      </c>
      <c r="H279" s="12" t="s">
        <v>2175</v>
      </c>
      <c r="I279" s="125">
        <v>435135.49</v>
      </c>
      <c r="J279" s="13">
        <v>42663.599580520837</v>
      </c>
      <c r="K279" s="13">
        <v>43393</v>
      </c>
      <c r="L279" s="13" t="s">
        <v>3163</v>
      </c>
      <c r="M279" s="12" t="s">
        <v>3164</v>
      </c>
      <c r="N279" s="12"/>
      <c r="O279" s="12"/>
      <c r="P279" s="12"/>
      <c r="Q279" s="12"/>
    </row>
    <row r="280" spans="1:17" x14ac:dyDescent="0.25">
      <c r="A280" s="11">
        <v>102866</v>
      </c>
      <c r="B280" s="12" t="s">
        <v>181</v>
      </c>
      <c r="C280" s="12" t="s">
        <v>182</v>
      </c>
      <c r="D280" s="12">
        <v>6</v>
      </c>
      <c r="E280" s="125">
        <v>17039011.420000002</v>
      </c>
      <c r="F280" s="12">
        <v>3</v>
      </c>
      <c r="G280" s="125">
        <v>12023537.32</v>
      </c>
      <c r="H280" s="12" t="s">
        <v>1448</v>
      </c>
      <c r="I280" s="125">
        <v>384054.69</v>
      </c>
      <c r="J280" s="13">
        <v>42664.717809062502</v>
      </c>
      <c r="K280" s="13">
        <v>43759</v>
      </c>
      <c r="L280" s="13" t="s">
        <v>183</v>
      </c>
      <c r="M280" s="12" t="s">
        <v>184</v>
      </c>
      <c r="N280" s="12"/>
      <c r="O280" s="12"/>
      <c r="P280" s="12"/>
      <c r="Q280" s="12"/>
    </row>
    <row r="281" spans="1:17" x14ac:dyDescent="0.25">
      <c r="A281" s="11">
        <v>102871</v>
      </c>
      <c r="B281" s="12" t="s">
        <v>1056</v>
      </c>
      <c r="C281" s="12" t="s">
        <v>1057</v>
      </c>
      <c r="D281" s="12">
        <v>3</v>
      </c>
      <c r="E281" s="125">
        <v>67417882.340000004</v>
      </c>
      <c r="F281" s="12">
        <v>20</v>
      </c>
      <c r="G281" s="125">
        <v>40965108.899999999</v>
      </c>
      <c r="H281" s="12" t="s">
        <v>546</v>
      </c>
      <c r="I281" s="125">
        <v>774591.87</v>
      </c>
      <c r="J281" s="13">
        <v>42667.551442280092</v>
      </c>
      <c r="K281" s="13">
        <v>44139</v>
      </c>
      <c r="L281" s="13" t="s">
        <v>1058</v>
      </c>
      <c r="M281" s="12" t="s">
        <v>1059</v>
      </c>
      <c r="N281" s="12"/>
      <c r="O281" s="12"/>
      <c r="P281" s="12"/>
      <c r="Q281" s="12"/>
    </row>
    <row r="282" spans="1:17" x14ac:dyDescent="0.25">
      <c r="A282" s="11">
        <v>102872</v>
      </c>
      <c r="B282" s="12" t="s">
        <v>2307</v>
      </c>
      <c r="C282" s="12" t="s">
        <v>2313</v>
      </c>
      <c r="D282" s="12">
        <v>3</v>
      </c>
      <c r="E282" s="125">
        <v>49300163.399999999</v>
      </c>
      <c r="F282" s="12">
        <v>51</v>
      </c>
      <c r="G282" s="125">
        <v>33350739.02</v>
      </c>
      <c r="H282" s="12" t="s">
        <v>90</v>
      </c>
      <c r="I282" s="125">
        <v>1538222.59</v>
      </c>
      <c r="J282" s="13">
        <v>42668.394561689813</v>
      </c>
      <c r="K282" s="13">
        <v>43773</v>
      </c>
      <c r="L282" s="13" t="s">
        <v>2314</v>
      </c>
      <c r="M282" s="12"/>
      <c r="N282" s="12"/>
      <c r="O282" s="12"/>
      <c r="P282" s="12"/>
      <c r="Q282" s="12"/>
    </row>
    <row r="283" spans="1:17" x14ac:dyDescent="0.25">
      <c r="A283" s="11">
        <v>102874</v>
      </c>
      <c r="B283" s="12" t="s">
        <v>200</v>
      </c>
      <c r="C283" s="12" t="s">
        <v>201</v>
      </c>
      <c r="D283" s="12">
        <v>2</v>
      </c>
      <c r="E283" s="125">
        <v>11582746.4</v>
      </c>
      <c r="F283" s="12">
        <v>-1</v>
      </c>
      <c r="G283" s="125">
        <v>9327329.2699999996</v>
      </c>
      <c r="H283" s="12" t="s">
        <v>1925</v>
      </c>
      <c r="I283" s="125">
        <v>304692.76</v>
      </c>
      <c r="J283" s="13">
        <v>42668.520148530093</v>
      </c>
      <c r="K283" s="13">
        <v>43398</v>
      </c>
      <c r="L283" s="13" t="s">
        <v>202</v>
      </c>
      <c r="M283" s="12"/>
      <c r="N283" s="12"/>
      <c r="O283" s="12"/>
      <c r="P283" s="12"/>
      <c r="Q283" s="12"/>
    </row>
    <row r="284" spans="1:17" x14ac:dyDescent="0.25">
      <c r="A284" s="11">
        <v>102877</v>
      </c>
      <c r="B284" s="12" t="s">
        <v>1188</v>
      </c>
      <c r="C284" s="12" t="s">
        <v>1193</v>
      </c>
      <c r="D284" s="12">
        <v>3</v>
      </c>
      <c r="E284" s="125">
        <v>55444825.659999996</v>
      </c>
      <c r="F284" s="12">
        <v>-11</v>
      </c>
      <c r="G284" s="125">
        <v>39124507.549999997</v>
      </c>
      <c r="H284" s="12" t="s">
        <v>1191</v>
      </c>
      <c r="I284" s="125">
        <v>704241.14</v>
      </c>
      <c r="J284" s="13">
        <v>42669.588513807874</v>
      </c>
      <c r="K284" s="13">
        <v>43774</v>
      </c>
      <c r="L284" s="13" t="s">
        <v>1194</v>
      </c>
      <c r="M284" s="12"/>
      <c r="N284" s="12"/>
      <c r="O284" s="12"/>
      <c r="P284" s="12"/>
      <c r="Q284" s="12"/>
    </row>
    <row r="285" spans="1:17" x14ac:dyDescent="0.25">
      <c r="A285" s="11">
        <v>102878</v>
      </c>
      <c r="B285" s="12" t="s">
        <v>927</v>
      </c>
      <c r="C285" s="12" t="s">
        <v>951</v>
      </c>
      <c r="D285" s="12">
        <v>1</v>
      </c>
      <c r="E285" s="125">
        <v>2553985.37</v>
      </c>
      <c r="F285" s="12">
        <v>54</v>
      </c>
      <c r="G285" s="125">
        <v>2423977.04</v>
      </c>
      <c r="H285" s="12" t="s">
        <v>2855</v>
      </c>
      <c r="I285" s="125">
        <v>128360.66</v>
      </c>
      <c r="J285" s="13">
        <v>42670.607920833332</v>
      </c>
      <c r="K285" s="13">
        <v>43040</v>
      </c>
      <c r="L285" s="13" t="s">
        <v>952</v>
      </c>
      <c r="M285" s="12" t="s">
        <v>953</v>
      </c>
      <c r="N285" s="12"/>
      <c r="O285" s="12"/>
      <c r="P285" s="12"/>
      <c r="Q285" s="12"/>
    </row>
    <row r="286" spans="1:17" x14ac:dyDescent="0.25">
      <c r="A286" s="11">
        <v>102879</v>
      </c>
      <c r="B286" s="12" t="s">
        <v>1503</v>
      </c>
      <c r="C286" s="12" t="s">
        <v>2298</v>
      </c>
      <c r="D286" s="12">
        <v>6</v>
      </c>
      <c r="E286" s="125">
        <v>74338802.530000001</v>
      </c>
      <c r="F286" s="12">
        <v>23</v>
      </c>
      <c r="G286" s="125">
        <v>52044568.159999996</v>
      </c>
      <c r="H286" s="12" t="s">
        <v>1039</v>
      </c>
      <c r="I286" s="125">
        <v>2293496.9</v>
      </c>
      <c r="J286" s="13">
        <v>42670.619203553244</v>
      </c>
      <c r="K286" s="13">
        <v>43770</v>
      </c>
      <c r="L286" s="13" t="s">
        <v>2299</v>
      </c>
      <c r="M286" s="12"/>
      <c r="N286" s="12"/>
      <c r="O286" s="12"/>
      <c r="P286" s="12"/>
      <c r="Q286" s="12"/>
    </row>
    <row r="287" spans="1:17" x14ac:dyDescent="0.25">
      <c r="A287" s="11">
        <v>102881</v>
      </c>
      <c r="B287" s="12" t="s">
        <v>3202</v>
      </c>
      <c r="C287" s="12" t="s">
        <v>3206</v>
      </c>
      <c r="D287" s="12">
        <v>2</v>
      </c>
      <c r="E287" s="125">
        <v>5693229.7699999996</v>
      </c>
      <c r="F287" s="12">
        <v>-7</v>
      </c>
      <c r="G287" s="125">
        <v>5119768.72</v>
      </c>
      <c r="H287" s="12" t="s">
        <v>1191</v>
      </c>
      <c r="I287" s="125">
        <v>131407.4</v>
      </c>
      <c r="J287" s="13">
        <v>42671.498852118057</v>
      </c>
      <c r="K287" s="13">
        <v>43586</v>
      </c>
      <c r="L287" s="13" t="s">
        <v>3207</v>
      </c>
      <c r="M287" s="12" t="s">
        <v>3208</v>
      </c>
      <c r="N287" s="12" t="s">
        <v>3209</v>
      </c>
      <c r="O287" s="12"/>
      <c r="P287" s="12"/>
      <c r="Q287" s="12"/>
    </row>
    <row r="288" spans="1:17" x14ac:dyDescent="0.25">
      <c r="A288" s="11">
        <v>102886</v>
      </c>
      <c r="B288" s="12" t="s">
        <v>1689</v>
      </c>
      <c r="C288" s="12" t="s">
        <v>1692</v>
      </c>
      <c r="D288" s="12">
        <v>6</v>
      </c>
      <c r="E288" s="125">
        <v>5020807</v>
      </c>
      <c r="F288" s="12">
        <v>20</v>
      </c>
      <c r="G288" s="125">
        <v>4551947.53</v>
      </c>
      <c r="H288" s="12" t="s">
        <v>86</v>
      </c>
      <c r="I288" s="125">
        <v>118249.84</v>
      </c>
      <c r="J288" s="13">
        <v>42672.573115127314</v>
      </c>
      <c r="K288" s="13">
        <v>43224</v>
      </c>
      <c r="L288" s="13" t="s">
        <v>1693</v>
      </c>
      <c r="M288" s="12"/>
      <c r="N288" s="12"/>
      <c r="O288" s="12"/>
      <c r="P288" s="12"/>
      <c r="Q288" s="12"/>
    </row>
    <row r="289" spans="1:17" x14ac:dyDescent="0.25">
      <c r="A289" s="11">
        <v>102889</v>
      </c>
      <c r="B289" s="12" t="s">
        <v>159</v>
      </c>
      <c r="C289" s="12" t="s">
        <v>160</v>
      </c>
      <c r="D289" s="12">
        <v>2</v>
      </c>
      <c r="E289" s="125">
        <v>5324875.3099999996</v>
      </c>
      <c r="F289" s="12">
        <v>75</v>
      </c>
      <c r="G289" s="125">
        <v>5228891.32</v>
      </c>
      <c r="H289" s="12" t="s">
        <v>5725</v>
      </c>
      <c r="I289" s="125">
        <v>95983.99</v>
      </c>
      <c r="J289" s="13">
        <v>42674.520662071758</v>
      </c>
      <c r="K289" s="13">
        <v>43018</v>
      </c>
      <c r="L289" s="13" t="s">
        <v>161</v>
      </c>
      <c r="M289" s="12" t="s">
        <v>162</v>
      </c>
      <c r="N289" s="12"/>
      <c r="O289" s="12"/>
      <c r="P289" s="12"/>
      <c r="Q289" s="12"/>
    </row>
    <row r="290" spans="1:17" x14ac:dyDescent="0.25">
      <c r="A290" s="11">
        <v>102891</v>
      </c>
      <c r="B290" s="12" t="s">
        <v>690</v>
      </c>
      <c r="C290" s="12" t="s">
        <v>691</v>
      </c>
      <c r="D290" s="12">
        <v>3</v>
      </c>
      <c r="E290" s="125">
        <v>50272821.670000002</v>
      </c>
      <c r="F290" s="12">
        <v>0</v>
      </c>
      <c r="G290" s="125">
        <v>35474895.289999999</v>
      </c>
      <c r="H290" s="12" t="s">
        <v>2855</v>
      </c>
      <c r="I290" s="125">
        <v>1028771.96</v>
      </c>
      <c r="J290" s="13">
        <v>42674.614062037035</v>
      </c>
      <c r="K290" s="13">
        <v>43762</v>
      </c>
      <c r="L290" s="13" t="s">
        <v>692</v>
      </c>
      <c r="M290" s="12" t="s">
        <v>693</v>
      </c>
      <c r="N290" s="12"/>
      <c r="O290" s="12"/>
      <c r="P290" s="12"/>
      <c r="Q290" s="12"/>
    </row>
    <row r="291" spans="1:17" x14ac:dyDescent="0.25">
      <c r="A291" s="11">
        <v>102894</v>
      </c>
      <c r="B291" s="12" t="s">
        <v>1032</v>
      </c>
      <c r="C291" s="12" t="s">
        <v>1033</v>
      </c>
      <c r="D291" s="12">
        <v>3</v>
      </c>
      <c r="E291" s="125">
        <v>83238128.200000003</v>
      </c>
      <c r="F291" s="12">
        <v>-11</v>
      </c>
      <c r="G291" s="125">
        <v>50479884.149999999</v>
      </c>
      <c r="H291" s="12" t="s">
        <v>5167</v>
      </c>
      <c r="I291" s="125">
        <v>908637.91</v>
      </c>
      <c r="J291" s="13">
        <v>42674.689139780094</v>
      </c>
      <c r="K291" s="13">
        <v>44140</v>
      </c>
      <c r="L291" s="13" t="s">
        <v>1034</v>
      </c>
      <c r="M291" s="12" t="s">
        <v>1035</v>
      </c>
      <c r="N291" s="12"/>
      <c r="O291" s="12"/>
      <c r="P291" s="12"/>
      <c r="Q291" s="12"/>
    </row>
    <row r="292" spans="1:17" x14ac:dyDescent="0.25">
      <c r="A292" s="11">
        <v>102895</v>
      </c>
      <c r="B292" s="12" t="s">
        <v>1170</v>
      </c>
      <c r="C292" s="12" t="s">
        <v>1174</v>
      </c>
      <c r="D292" s="12">
        <v>2</v>
      </c>
      <c r="E292" s="125">
        <v>27518779.16</v>
      </c>
      <c r="F292" s="12">
        <v>-7</v>
      </c>
      <c r="G292" s="125">
        <v>19418560.120000001</v>
      </c>
      <c r="H292" s="12" t="s">
        <v>86</v>
      </c>
      <c r="I292" s="125">
        <v>427208.32</v>
      </c>
      <c r="J292" s="13">
        <v>42674.712631099537</v>
      </c>
      <c r="K292" s="13">
        <v>43770</v>
      </c>
      <c r="L292" s="13" t="s">
        <v>1175</v>
      </c>
      <c r="M292" s="12" t="s">
        <v>1176</v>
      </c>
      <c r="N292" s="12"/>
      <c r="O292" s="12"/>
      <c r="P292" s="12"/>
      <c r="Q292" s="12"/>
    </row>
    <row r="293" spans="1:17" x14ac:dyDescent="0.25">
      <c r="A293" s="11">
        <v>102898</v>
      </c>
      <c r="B293" s="12" t="s">
        <v>1955</v>
      </c>
      <c r="C293" s="12" t="s">
        <v>1981</v>
      </c>
      <c r="D293" s="12">
        <v>3</v>
      </c>
      <c r="E293" s="125">
        <v>53777124.939999998</v>
      </c>
      <c r="F293" s="12">
        <v>54</v>
      </c>
      <c r="G293" s="125">
        <v>43397347.869999997</v>
      </c>
      <c r="H293" s="12" t="s">
        <v>5725</v>
      </c>
      <c r="I293" s="125">
        <v>2516836.4900000002</v>
      </c>
      <c r="J293" s="13">
        <v>42674.837199421294</v>
      </c>
      <c r="K293" s="13">
        <v>43405</v>
      </c>
      <c r="L293" s="13" t="s">
        <v>1982</v>
      </c>
      <c r="M293" s="12"/>
      <c r="N293" s="12"/>
      <c r="O293" s="12"/>
      <c r="P293" s="12"/>
      <c r="Q293" s="12"/>
    </row>
    <row r="294" spans="1:17" x14ac:dyDescent="0.25">
      <c r="A294" s="11">
        <v>102900</v>
      </c>
      <c r="B294" s="12" t="s">
        <v>3226</v>
      </c>
      <c r="C294" s="12" t="s">
        <v>3233</v>
      </c>
      <c r="D294" s="12">
        <v>6</v>
      </c>
      <c r="E294" s="125">
        <v>23117703.609999999</v>
      </c>
      <c r="F294" s="12">
        <v>-7</v>
      </c>
      <c r="G294" s="125">
        <v>15742332.01</v>
      </c>
      <c r="H294" s="12" t="s">
        <v>2494</v>
      </c>
      <c r="I294" s="125">
        <v>384812.56</v>
      </c>
      <c r="J294" s="13">
        <v>42674.865867476852</v>
      </c>
      <c r="K294" s="13">
        <v>43770</v>
      </c>
      <c r="L294" s="13" t="s">
        <v>3234</v>
      </c>
      <c r="M294" s="12"/>
      <c r="N294" s="12"/>
      <c r="O294" s="12"/>
      <c r="P294" s="12"/>
      <c r="Q294" s="12"/>
    </row>
    <row r="295" spans="1:17" x14ac:dyDescent="0.25">
      <c r="A295" s="11">
        <v>102901</v>
      </c>
      <c r="B295" s="12" t="s">
        <v>3231</v>
      </c>
      <c r="C295" s="12" t="s">
        <v>3235</v>
      </c>
      <c r="D295" s="12">
        <v>6</v>
      </c>
      <c r="E295" s="125">
        <v>15026507.220000001</v>
      </c>
      <c r="F295" s="12">
        <v>-7</v>
      </c>
      <c r="G295" s="125">
        <v>10232515.77</v>
      </c>
      <c r="H295" s="12" t="s">
        <v>2494</v>
      </c>
      <c r="I295" s="125">
        <v>250128.16</v>
      </c>
      <c r="J295" s="13">
        <v>42674.895723530091</v>
      </c>
      <c r="K295" s="13">
        <v>43770</v>
      </c>
      <c r="L295" s="13" t="s">
        <v>3236</v>
      </c>
      <c r="M295" s="12"/>
      <c r="N295" s="12"/>
      <c r="O295" s="12"/>
      <c r="P295" s="12"/>
      <c r="Q295" s="12"/>
    </row>
    <row r="296" spans="1:17" x14ac:dyDescent="0.25">
      <c r="A296" s="11">
        <v>102903</v>
      </c>
      <c r="B296" s="12" t="s">
        <v>3262</v>
      </c>
      <c r="C296" s="12" t="s">
        <v>3247</v>
      </c>
      <c r="D296" s="12">
        <v>2</v>
      </c>
      <c r="E296" s="125">
        <v>16323243.58</v>
      </c>
      <c r="F296" s="12">
        <v>22</v>
      </c>
      <c r="G296" s="125">
        <v>12893149.109999999</v>
      </c>
      <c r="H296" s="12" t="s">
        <v>2855</v>
      </c>
      <c r="I296" s="125">
        <v>344700.86</v>
      </c>
      <c r="J296" s="13">
        <v>42676.695485613425</v>
      </c>
      <c r="K296" s="13">
        <v>43406</v>
      </c>
      <c r="L296" s="13" t="s">
        <v>3263</v>
      </c>
      <c r="M296" s="12" t="s">
        <v>3264</v>
      </c>
      <c r="N296" s="12"/>
      <c r="O296" s="12"/>
      <c r="P296" s="12"/>
      <c r="Q296" s="12"/>
    </row>
    <row r="297" spans="1:17" x14ac:dyDescent="0.25">
      <c r="A297" s="11">
        <v>102904</v>
      </c>
      <c r="B297" s="12" t="s">
        <v>3272</v>
      </c>
      <c r="C297" s="12" t="s">
        <v>3273</v>
      </c>
      <c r="D297" s="12">
        <v>8</v>
      </c>
      <c r="E297" s="125">
        <v>629391.18000000005</v>
      </c>
      <c r="F297" s="12">
        <v>21</v>
      </c>
      <c r="G297" s="125">
        <v>619690.30000000005</v>
      </c>
      <c r="H297" s="12" t="s">
        <v>2494</v>
      </c>
      <c r="I297" s="125">
        <v>9700.8799999999992</v>
      </c>
      <c r="J297" s="13">
        <v>42677.695845682872</v>
      </c>
      <c r="K297" s="13">
        <v>43042</v>
      </c>
      <c r="L297" s="13" t="s">
        <v>3274</v>
      </c>
      <c r="M297" s="12"/>
      <c r="N297" s="12"/>
      <c r="O297" s="12"/>
      <c r="P297" s="12"/>
      <c r="Q297" s="12"/>
    </row>
    <row r="298" spans="1:17" x14ac:dyDescent="0.25">
      <c r="A298" s="11">
        <v>102905</v>
      </c>
      <c r="B298" s="12" t="s">
        <v>3268</v>
      </c>
      <c r="C298" s="12" t="s">
        <v>3275</v>
      </c>
      <c r="D298" s="12">
        <v>1</v>
      </c>
      <c r="E298" s="125">
        <v>548330.98</v>
      </c>
      <c r="F298" s="12">
        <v>21</v>
      </c>
      <c r="G298" s="125">
        <v>524718.64</v>
      </c>
      <c r="H298" s="12" t="s">
        <v>1191</v>
      </c>
      <c r="I298" s="125">
        <v>23612.34</v>
      </c>
      <c r="J298" s="13">
        <v>42677.736543402774</v>
      </c>
      <c r="K298" s="13">
        <v>43042</v>
      </c>
      <c r="L298" s="13" t="s">
        <v>3276</v>
      </c>
      <c r="M298" s="12" t="s">
        <v>3277</v>
      </c>
      <c r="N298" s="12"/>
      <c r="O298" s="12"/>
      <c r="P298" s="12"/>
      <c r="Q298" s="12"/>
    </row>
    <row r="299" spans="1:17" x14ac:dyDescent="0.25">
      <c r="A299" s="11">
        <v>102909</v>
      </c>
      <c r="B299" s="12" t="s">
        <v>1287</v>
      </c>
      <c r="C299" s="12" t="s">
        <v>1288</v>
      </c>
      <c r="D299" s="12">
        <v>3</v>
      </c>
      <c r="E299" s="125">
        <v>88007464.780000001</v>
      </c>
      <c r="F299" s="12">
        <v>-11</v>
      </c>
      <c r="G299" s="125">
        <v>53372255.450000003</v>
      </c>
      <c r="H299" s="12" t="s">
        <v>1447</v>
      </c>
      <c r="I299" s="125">
        <v>960700.6</v>
      </c>
      <c r="J299" s="13">
        <v>42679.558800775463</v>
      </c>
      <c r="K299" s="13">
        <v>44140</v>
      </c>
      <c r="L299" s="13" t="s">
        <v>1289</v>
      </c>
      <c r="M299" s="12" t="s">
        <v>1290</v>
      </c>
      <c r="N299" s="12"/>
      <c r="O299" s="12"/>
      <c r="P299" s="12"/>
      <c r="Q299" s="12"/>
    </row>
    <row r="300" spans="1:17" x14ac:dyDescent="0.25">
      <c r="A300" s="11">
        <v>102916</v>
      </c>
      <c r="B300" s="12" t="s">
        <v>3331</v>
      </c>
      <c r="C300" s="12" t="s">
        <v>3332</v>
      </c>
      <c r="D300" s="12">
        <v>8</v>
      </c>
      <c r="E300" s="125">
        <v>438630.34</v>
      </c>
      <c r="F300" s="12">
        <v>13</v>
      </c>
      <c r="G300" s="125">
        <v>438630.34</v>
      </c>
      <c r="H300" s="12" t="s">
        <v>1448</v>
      </c>
      <c r="I300" s="125">
        <v>0</v>
      </c>
      <c r="J300" s="13">
        <v>42685.65754039352</v>
      </c>
      <c r="K300" s="13">
        <v>43050</v>
      </c>
      <c r="L300" s="13" t="s">
        <v>3333</v>
      </c>
      <c r="M300" s="12" t="s">
        <v>3334</v>
      </c>
      <c r="N300" s="12"/>
      <c r="O300" s="12"/>
      <c r="P300" s="12"/>
      <c r="Q300" s="12"/>
    </row>
    <row r="301" spans="1:17" x14ac:dyDescent="0.25">
      <c r="A301" s="11">
        <v>102917</v>
      </c>
      <c r="B301" s="12" t="s">
        <v>890</v>
      </c>
      <c r="C301" s="12" t="s">
        <v>891</v>
      </c>
      <c r="D301" s="12">
        <v>6</v>
      </c>
      <c r="E301" s="125">
        <v>55560073.270000003</v>
      </c>
      <c r="F301" s="12">
        <v>12</v>
      </c>
      <c r="G301" s="125">
        <v>39365416.740000002</v>
      </c>
      <c r="H301" s="12" t="s">
        <v>546</v>
      </c>
      <c r="I301" s="125">
        <v>427055.86</v>
      </c>
      <c r="J301" s="13">
        <v>42685.711265127313</v>
      </c>
      <c r="K301" s="13">
        <v>43781</v>
      </c>
      <c r="L301" s="13" t="s">
        <v>892</v>
      </c>
      <c r="M301" s="12" t="s">
        <v>893</v>
      </c>
      <c r="N301" s="12"/>
      <c r="O301" s="12"/>
      <c r="P301" s="12"/>
      <c r="Q301" s="12"/>
    </row>
    <row r="302" spans="1:17" x14ac:dyDescent="0.25">
      <c r="A302" s="11">
        <v>102919</v>
      </c>
      <c r="B302" s="12" t="s">
        <v>3351</v>
      </c>
      <c r="C302" s="12" t="s">
        <v>3352</v>
      </c>
      <c r="D302" s="12">
        <v>7</v>
      </c>
      <c r="E302" s="125">
        <v>877329.56</v>
      </c>
      <c r="F302" s="12">
        <v>43</v>
      </c>
      <c r="G302" s="125">
        <v>821473.39</v>
      </c>
      <c r="H302" s="12" t="s">
        <v>5725</v>
      </c>
      <c r="I302" s="125">
        <v>55226.51</v>
      </c>
      <c r="J302" s="13">
        <v>42686.502644872686</v>
      </c>
      <c r="K302" s="13">
        <v>43051</v>
      </c>
      <c r="L302" s="13" t="s">
        <v>3353</v>
      </c>
      <c r="M302" s="12" t="s">
        <v>3354</v>
      </c>
      <c r="N302" s="12"/>
      <c r="O302" s="12"/>
      <c r="P302" s="12"/>
      <c r="Q302" s="12"/>
    </row>
    <row r="303" spans="1:17" x14ac:dyDescent="0.25">
      <c r="A303" s="11">
        <v>102923</v>
      </c>
      <c r="B303" s="12" t="s">
        <v>1527</v>
      </c>
      <c r="C303" s="12" t="s">
        <v>1536</v>
      </c>
      <c r="D303" s="12">
        <v>2</v>
      </c>
      <c r="E303" s="125">
        <v>11956383.52</v>
      </c>
      <c r="F303" s="12">
        <v>-20</v>
      </c>
      <c r="G303" s="125">
        <v>9628210.9199999999</v>
      </c>
      <c r="H303" s="12" t="s">
        <v>468</v>
      </c>
      <c r="I303" s="125">
        <v>101096.21</v>
      </c>
      <c r="J303" s="13">
        <v>42688.730867858794</v>
      </c>
      <c r="K303" s="13">
        <v>43418</v>
      </c>
      <c r="L303" s="13" t="s">
        <v>1537</v>
      </c>
      <c r="M303" s="12"/>
      <c r="N303" s="12"/>
      <c r="O303" s="12"/>
      <c r="P303" s="12"/>
      <c r="Q303" s="12"/>
    </row>
    <row r="304" spans="1:17" x14ac:dyDescent="0.25">
      <c r="A304" s="11">
        <v>102926</v>
      </c>
      <c r="B304" s="12" t="s">
        <v>3373</v>
      </c>
      <c r="C304" s="12" t="s">
        <v>3375</v>
      </c>
      <c r="D304" s="12">
        <v>2</v>
      </c>
      <c r="E304" s="125">
        <v>3409669.56</v>
      </c>
      <c r="F304" s="12">
        <v>40</v>
      </c>
      <c r="G304" s="125">
        <v>3215479.8</v>
      </c>
      <c r="H304" s="12" t="s">
        <v>2494</v>
      </c>
      <c r="I304" s="125">
        <v>192004.07</v>
      </c>
      <c r="J304" s="13">
        <v>42689.727213576392</v>
      </c>
      <c r="K304" s="13">
        <v>43054</v>
      </c>
      <c r="L304" s="13" t="s">
        <v>3376</v>
      </c>
      <c r="M304" s="12"/>
      <c r="N304" s="12"/>
      <c r="O304" s="12"/>
      <c r="P304" s="12"/>
      <c r="Q304" s="12"/>
    </row>
    <row r="305" spans="1:17" x14ac:dyDescent="0.25">
      <c r="A305" s="11">
        <v>102928</v>
      </c>
      <c r="B305" s="12" t="s">
        <v>3385</v>
      </c>
      <c r="C305" s="12" t="s">
        <v>3390</v>
      </c>
      <c r="D305" s="12">
        <v>6</v>
      </c>
      <c r="E305" s="125">
        <v>29930806.82</v>
      </c>
      <c r="F305" s="12">
        <v>8</v>
      </c>
      <c r="G305" s="125">
        <v>20186644.280000001</v>
      </c>
      <c r="H305" s="12" t="s">
        <v>491</v>
      </c>
      <c r="I305" s="125">
        <v>687736.63</v>
      </c>
      <c r="J305" s="13">
        <v>42690.685126122684</v>
      </c>
      <c r="K305" s="13">
        <v>43785</v>
      </c>
      <c r="L305" s="13" t="s">
        <v>3391</v>
      </c>
      <c r="M305" s="12" t="s">
        <v>3392</v>
      </c>
      <c r="N305" s="12"/>
      <c r="O305" s="12"/>
      <c r="P305" s="12"/>
      <c r="Q305" s="12"/>
    </row>
    <row r="306" spans="1:17" x14ac:dyDescent="0.25">
      <c r="A306" s="11">
        <v>102929</v>
      </c>
      <c r="B306" s="12" t="s">
        <v>919</v>
      </c>
      <c r="C306" s="12" t="s">
        <v>920</v>
      </c>
      <c r="D306" s="12">
        <v>6</v>
      </c>
      <c r="E306" s="125">
        <v>92611990.459999993</v>
      </c>
      <c r="F306" s="12">
        <v>-23</v>
      </c>
      <c r="G306" s="125">
        <v>56164676.759999998</v>
      </c>
      <c r="H306" s="12" t="s">
        <v>90</v>
      </c>
      <c r="I306" s="125">
        <v>336988.06</v>
      </c>
      <c r="J306" s="13">
        <v>42691.430251157406</v>
      </c>
      <c r="K306" s="13">
        <v>44152</v>
      </c>
      <c r="L306" s="13" t="s">
        <v>921</v>
      </c>
      <c r="M306" s="12" t="s">
        <v>922</v>
      </c>
      <c r="N306" s="12"/>
      <c r="O306" s="12"/>
      <c r="P306" s="12"/>
      <c r="Q306" s="12"/>
    </row>
    <row r="307" spans="1:17" x14ac:dyDescent="0.25">
      <c r="A307" s="11">
        <v>102932</v>
      </c>
      <c r="B307" s="12" t="s">
        <v>3393</v>
      </c>
      <c r="C307" s="12" t="s">
        <v>3406</v>
      </c>
      <c r="D307" s="12">
        <v>3</v>
      </c>
      <c r="E307" s="125">
        <v>71453919.040000007</v>
      </c>
      <c r="F307" s="12">
        <v>-23</v>
      </c>
      <c r="G307" s="125">
        <v>50421285.609999999</v>
      </c>
      <c r="H307" s="12" t="s">
        <v>86</v>
      </c>
      <c r="I307" s="125">
        <v>302527.71000000002</v>
      </c>
      <c r="J307" s="13">
        <v>42691.780292905096</v>
      </c>
      <c r="K307" s="13">
        <v>43786</v>
      </c>
      <c r="L307" s="13" t="s">
        <v>3407</v>
      </c>
      <c r="M307" s="12" t="s">
        <v>3408</v>
      </c>
      <c r="N307" s="12"/>
      <c r="O307" s="12"/>
      <c r="P307" s="12"/>
      <c r="Q307" s="12"/>
    </row>
    <row r="308" spans="1:17" x14ac:dyDescent="0.25">
      <c r="A308" s="11">
        <v>102933</v>
      </c>
      <c r="B308" s="12" t="s">
        <v>79</v>
      </c>
      <c r="C308" s="12" t="s">
        <v>241</v>
      </c>
      <c r="D308" s="12">
        <v>3</v>
      </c>
      <c r="E308" s="125">
        <v>44285561.93</v>
      </c>
      <c r="F308" s="12">
        <v>66</v>
      </c>
      <c r="G308" s="125">
        <v>35245210.909999996</v>
      </c>
      <c r="H308" s="12" t="s">
        <v>5725</v>
      </c>
      <c r="I308" s="125">
        <v>2087250.13</v>
      </c>
      <c r="J308" s="13">
        <v>42693.545957638889</v>
      </c>
      <c r="K308" s="13">
        <v>43423</v>
      </c>
      <c r="L308" s="13" t="s">
        <v>242</v>
      </c>
      <c r="M308" s="12"/>
      <c r="N308" s="12"/>
      <c r="O308" s="12"/>
      <c r="P308" s="12"/>
      <c r="Q308" s="12"/>
    </row>
    <row r="309" spans="1:17" x14ac:dyDescent="0.25">
      <c r="A309" s="11">
        <v>102935</v>
      </c>
      <c r="B309" s="12" t="s">
        <v>1051</v>
      </c>
      <c r="C309" s="12" t="s">
        <v>1052</v>
      </c>
      <c r="D309" s="12">
        <v>6</v>
      </c>
      <c r="E309" s="125">
        <v>22803035.010000002</v>
      </c>
      <c r="F309" s="12">
        <v>3</v>
      </c>
      <c r="G309" s="125">
        <v>15951764.710000001</v>
      </c>
      <c r="H309" s="12" t="s">
        <v>3074</v>
      </c>
      <c r="I309" s="125">
        <v>410719.2</v>
      </c>
      <c r="J309" s="13">
        <v>42695.465715706021</v>
      </c>
      <c r="K309" s="13">
        <v>43790</v>
      </c>
      <c r="L309" s="13" t="s">
        <v>1053</v>
      </c>
      <c r="M309" s="12"/>
      <c r="N309" s="12"/>
      <c r="O309" s="12"/>
      <c r="P309" s="12"/>
      <c r="Q309" s="12"/>
    </row>
    <row r="310" spans="1:17" x14ac:dyDescent="0.25">
      <c r="A310" s="11">
        <v>102936</v>
      </c>
      <c r="B310" s="12" t="s">
        <v>3446</v>
      </c>
      <c r="C310" s="12" t="s">
        <v>3447</v>
      </c>
      <c r="D310" s="12">
        <v>1</v>
      </c>
      <c r="E310" s="125">
        <v>313631.15999999997</v>
      </c>
      <c r="F310" s="12">
        <v>2</v>
      </c>
      <c r="G310" s="125">
        <v>307362.03000000003</v>
      </c>
      <c r="H310" s="12" t="s">
        <v>90</v>
      </c>
      <c r="I310" s="125">
        <v>6269.13</v>
      </c>
      <c r="J310" s="13">
        <v>42696.624011689812</v>
      </c>
      <c r="K310" s="13">
        <v>43061</v>
      </c>
      <c r="L310" s="13" t="s">
        <v>3448</v>
      </c>
      <c r="M310" s="12" t="s">
        <v>3449</v>
      </c>
      <c r="N310" s="12"/>
      <c r="O310" s="12"/>
      <c r="P310" s="12"/>
      <c r="Q310" s="12"/>
    </row>
    <row r="311" spans="1:17" x14ac:dyDescent="0.25">
      <c r="A311" s="11">
        <v>102937</v>
      </c>
      <c r="B311" s="12" t="s">
        <v>1446</v>
      </c>
      <c r="C311" s="12" t="s">
        <v>1476</v>
      </c>
      <c r="D311" s="12">
        <v>3</v>
      </c>
      <c r="E311" s="125">
        <v>26686676.91</v>
      </c>
      <c r="F311" s="12">
        <v>2</v>
      </c>
      <c r="G311" s="125">
        <v>21978832.079999998</v>
      </c>
      <c r="H311" s="12" t="s">
        <v>86</v>
      </c>
      <c r="I311" s="125">
        <v>500039.18</v>
      </c>
      <c r="J311" s="13">
        <v>42696.410496215278</v>
      </c>
      <c r="K311" s="13">
        <v>43426</v>
      </c>
      <c r="L311" s="13" t="s">
        <v>1477</v>
      </c>
      <c r="M311" s="12" t="s">
        <v>1478</v>
      </c>
      <c r="N311" s="12"/>
      <c r="O311" s="12"/>
      <c r="P311" s="12"/>
      <c r="Q311" s="12"/>
    </row>
    <row r="312" spans="1:17" x14ac:dyDescent="0.25">
      <c r="A312" s="11">
        <v>102938</v>
      </c>
      <c r="B312" s="12" t="s">
        <v>1561</v>
      </c>
      <c r="C312" s="12" t="s">
        <v>1587</v>
      </c>
      <c r="D312" s="12">
        <v>3</v>
      </c>
      <c r="E312" s="125">
        <v>74223904.239999995</v>
      </c>
      <c r="F312" s="12">
        <v>2</v>
      </c>
      <c r="G312" s="125">
        <v>51843235.170000002</v>
      </c>
      <c r="H312" s="12" t="s">
        <v>2855</v>
      </c>
      <c r="I312" s="125">
        <v>1398456.93</v>
      </c>
      <c r="J312" s="13">
        <v>42696.446680520836</v>
      </c>
      <c r="K312" s="13">
        <v>43791</v>
      </c>
      <c r="L312" s="13" t="s">
        <v>1588</v>
      </c>
      <c r="M312" s="12"/>
      <c r="N312" s="12"/>
      <c r="O312" s="12"/>
      <c r="P312" s="12"/>
      <c r="Q312" s="12"/>
    </row>
    <row r="313" spans="1:17" x14ac:dyDescent="0.25">
      <c r="A313" s="11">
        <v>102939</v>
      </c>
      <c r="B313" s="12" t="s">
        <v>1670</v>
      </c>
      <c r="C313" s="12" t="s">
        <v>1671</v>
      </c>
      <c r="D313" s="12">
        <v>3</v>
      </c>
      <c r="E313" s="125">
        <v>34078022.880000003</v>
      </c>
      <c r="F313" s="12">
        <v>-28</v>
      </c>
      <c r="G313" s="125">
        <v>24047074.66</v>
      </c>
      <c r="H313" s="12" t="s">
        <v>2538</v>
      </c>
      <c r="I313" s="125">
        <v>24047.07</v>
      </c>
      <c r="J313" s="13">
        <v>42696.639129594907</v>
      </c>
      <c r="K313" s="13">
        <v>43791</v>
      </c>
      <c r="L313" s="13" t="s">
        <v>1672</v>
      </c>
      <c r="M313" s="12"/>
      <c r="N313" s="12"/>
      <c r="O313" s="12"/>
      <c r="P313" s="12"/>
      <c r="Q313" s="12"/>
    </row>
    <row r="314" spans="1:17" x14ac:dyDescent="0.25">
      <c r="A314" s="11">
        <v>102942</v>
      </c>
      <c r="B314" s="12" t="s">
        <v>1495</v>
      </c>
      <c r="C314" s="12" t="s">
        <v>1496</v>
      </c>
      <c r="D314" s="12">
        <v>2</v>
      </c>
      <c r="E314" s="125">
        <v>36963122.310000002</v>
      </c>
      <c r="F314" s="12">
        <v>0</v>
      </c>
      <c r="G314" s="125">
        <v>24368329.510000002</v>
      </c>
      <c r="H314" s="12" t="s">
        <v>90</v>
      </c>
      <c r="I314" s="125">
        <v>824461.82</v>
      </c>
      <c r="J314" s="13">
        <v>42698.645172337965</v>
      </c>
      <c r="K314" s="13">
        <v>43793</v>
      </c>
      <c r="L314" s="13" t="s">
        <v>1497</v>
      </c>
      <c r="M314" s="12" t="s">
        <v>1498</v>
      </c>
      <c r="N314" s="12"/>
      <c r="O314" s="12"/>
      <c r="P314" s="12"/>
      <c r="Q314" s="12"/>
    </row>
    <row r="315" spans="1:17" x14ac:dyDescent="0.25">
      <c r="A315" s="11">
        <v>102944</v>
      </c>
      <c r="B315" s="12" t="s">
        <v>1119</v>
      </c>
      <c r="C315" s="12" t="s">
        <v>1120</v>
      </c>
      <c r="D315" s="12">
        <v>1</v>
      </c>
      <c r="E315" s="125">
        <v>548330.98</v>
      </c>
      <c r="F315" s="12">
        <v>0</v>
      </c>
      <c r="G315" s="125">
        <v>524718.64</v>
      </c>
      <c r="H315" s="12" t="s">
        <v>2855</v>
      </c>
      <c r="I315" s="125">
        <v>22825.26</v>
      </c>
      <c r="J315" s="13">
        <v>42698.594912384258</v>
      </c>
      <c r="K315" s="13">
        <v>43063</v>
      </c>
      <c r="L315" s="13" t="s">
        <v>1121</v>
      </c>
      <c r="M315" s="12" t="s">
        <v>1122</v>
      </c>
      <c r="N315" s="12"/>
      <c r="O315" s="12"/>
      <c r="P315" s="12"/>
      <c r="Q315" s="12"/>
    </row>
    <row r="316" spans="1:17" x14ac:dyDescent="0.25">
      <c r="A316" s="11">
        <v>102945</v>
      </c>
      <c r="B316" s="12" t="s">
        <v>1022</v>
      </c>
      <c r="C316" s="12" t="s">
        <v>1025</v>
      </c>
      <c r="D316" s="12">
        <v>3</v>
      </c>
      <c r="E316" s="125">
        <v>62980217.009999998</v>
      </c>
      <c r="F316" s="12">
        <v>0</v>
      </c>
      <c r="G316" s="125">
        <v>43867352.810000002</v>
      </c>
      <c r="H316" s="12" t="s">
        <v>468</v>
      </c>
      <c r="I316" s="125">
        <v>1272153.23</v>
      </c>
      <c r="J316" s="13">
        <v>42698.788664467589</v>
      </c>
      <c r="K316" s="13">
        <v>43793</v>
      </c>
      <c r="L316" s="13" t="s">
        <v>1026</v>
      </c>
      <c r="M316" s="12" t="s">
        <v>1027</v>
      </c>
      <c r="N316" s="12"/>
      <c r="O316" s="12"/>
      <c r="P316" s="12"/>
      <c r="Q316" s="12"/>
    </row>
    <row r="317" spans="1:17" x14ac:dyDescent="0.25">
      <c r="A317" s="11">
        <v>102946</v>
      </c>
      <c r="B317" s="12" t="s">
        <v>776</v>
      </c>
      <c r="C317" s="12" t="s">
        <v>1870</v>
      </c>
      <c r="D317" s="12">
        <v>1</v>
      </c>
      <c r="E317" s="125">
        <v>752558.88</v>
      </c>
      <c r="F317" s="12">
        <v>-8</v>
      </c>
      <c r="G317" s="125">
        <v>723614.31</v>
      </c>
      <c r="H317" s="12" t="s">
        <v>5167</v>
      </c>
      <c r="I317" s="125">
        <v>20261.2</v>
      </c>
      <c r="J317" s="13">
        <v>42699.590798611112</v>
      </c>
      <c r="K317" s="13">
        <v>43071</v>
      </c>
      <c r="L317" s="13" t="s">
        <v>1871</v>
      </c>
      <c r="M317" s="12" t="s">
        <v>1872</v>
      </c>
      <c r="N317" s="12"/>
      <c r="O317" s="12"/>
      <c r="P317" s="12"/>
      <c r="Q317" s="12"/>
    </row>
    <row r="318" spans="1:17" x14ac:dyDescent="0.25">
      <c r="A318" s="11">
        <v>102948</v>
      </c>
      <c r="B318" s="12" t="s">
        <v>457</v>
      </c>
      <c r="C318" s="12" t="s">
        <v>458</v>
      </c>
      <c r="D318" s="12">
        <v>1</v>
      </c>
      <c r="E318" s="125">
        <v>4366654.16</v>
      </c>
      <c r="F318" s="12">
        <v>22</v>
      </c>
      <c r="G318" s="125">
        <v>3963617.78</v>
      </c>
      <c r="H318" s="12" t="s">
        <v>963</v>
      </c>
      <c r="I318" s="125">
        <v>110680.65</v>
      </c>
      <c r="J318" s="13">
        <v>42699.680538541666</v>
      </c>
      <c r="K318" s="13">
        <v>43161</v>
      </c>
      <c r="L318" s="13" t="s">
        <v>459</v>
      </c>
      <c r="M318" s="12" t="s">
        <v>460</v>
      </c>
      <c r="N318" s="12"/>
      <c r="O318" s="12"/>
      <c r="P318" s="12"/>
      <c r="Q318" s="12"/>
    </row>
    <row r="319" spans="1:17" x14ac:dyDescent="0.25">
      <c r="A319" s="11">
        <v>102949</v>
      </c>
      <c r="B319" s="12" t="s">
        <v>3487</v>
      </c>
      <c r="C319" s="12" t="s">
        <v>3491</v>
      </c>
      <c r="D319" s="12">
        <v>6</v>
      </c>
      <c r="E319" s="125">
        <v>6700854.7999999998</v>
      </c>
      <c r="F319" s="12">
        <v>30</v>
      </c>
      <c r="G319" s="125">
        <v>6510659.5899999999</v>
      </c>
      <c r="H319" s="12" t="s">
        <v>2855</v>
      </c>
      <c r="I319" s="125">
        <v>177515.53</v>
      </c>
      <c r="J319" s="13">
        <v>42699.601465046297</v>
      </c>
      <c r="K319" s="13">
        <v>43064</v>
      </c>
      <c r="L319" s="13" t="s">
        <v>3492</v>
      </c>
      <c r="M319" s="12"/>
      <c r="N319" s="12"/>
      <c r="O319" s="12"/>
      <c r="P319" s="12"/>
      <c r="Q319" s="12"/>
    </row>
    <row r="320" spans="1:17" x14ac:dyDescent="0.25">
      <c r="A320" s="11">
        <v>102950</v>
      </c>
      <c r="B320" s="12" t="s">
        <v>2164</v>
      </c>
      <c r="C320" s="12" t="s">
        <v>2169</v>
      </c>
      <c r="D320" s="12">
        <v>1</v>
      </c>
      <c r="E320" s="125">
        <v>968692.21</v>
      </c>
      <c r="F320" s="12">
        <v>30</v>
      </c>
      <c r="G320" s="125">
        <v>907019.33</v>
      </c>
      <c r="H320" s="12" t="s">
        <v>4684</v>
      </c>
      <c r="I320" s="125">
        <v>60282.41</v>
      </c>
      <c r="J320" s="13">
        <v>42702.384067974534</v>
      </c>
      <c r="K320" s="13">
        <v>43064</v>
      </c>
      <c r="L320" s="13" t="s">
        <v>2170</v>
      </c>
      <c r="M320" s="12" t="s">
        <v>2171</v>
      </c>
      <c r="N320" s="12"/>
      <c r="O320" s="12"/>
      <c r="P320" s="12"/>
      <c r="Q320" s="12"/>
    </row>
    <row r="321" spans="1:17" x14ac:dyDescent="0.25">
      <c r="A321" s="11">
        <v>102951</v>
      </c>
      <c r="B321" s="12" t="s">
        <v>651</v>
      </c>
      <c r="C321" s="12" t="s">
        <v>652</v>
      </c>
      <c r="D321" s="12">
        <v>1</v>
      </c>
      <c r="E321" s="125">
        <v>1472439.41</v>
      </c>
      <c r="F321" s="12">
        <v>19</v>
      </c>
      <c r="G321" s="125">
        <v>1419397.29</v>
      </c>
      <c r="H321" s="12" t="s">
        <v>3074</v>
      </c>
      <c r="I321" s="125">
        <v>41464.29</v>
      </c>
      <c r="J321" s="13">
        <v>42702.545250578703</v>
      </c>
      <c r="K321" s="13">
        <v>43074</v>
      </c>
      <c r="L321" s="13" t="s">
        <v>653</v>
      </c>
      <c r="M321" s="12"/>
      <c r="N321" s="12"/>
      <c r="O321" s="12"/>
      <c r="P321" s="12"/>
      <c r="Q321" s="12"/>
    </row>
    <row r="322" spans="1:17" x14ac:dyDescent="0.25">
      <c r="A322" s="11">
        <v>102954</v>
      </c>
      <c r="B322" s="12" t="s">
        <v>2135</v>
      </c>
      <c r="C322" s="12" t="s">
        <v>2152</v>
      </c>
      <c r="D322" s="12">
        <v>6</v>
      </c>
      <c r="E322" s="125">
        <v>34609811.600000001</v>
      </c>
      <c r="F322" s="12">
        <v>-7</v>
      </c>
      <c r="G322" s="125">
        <v>28313369.27</v>
      </c>
      <c r="H322" s="12" t="s">
        <v>491</v>
      </c>
      <c r="I322" s="125">
        <v>622894.12</v>
      </c>
      <c r="J322" s="13">
        <v>42703.748234027778</v>
      </c>
      <c r="K322" s="13">
        <v>43435</v>
      </c>
      <c r="L322" s="13" t="s">
        <v>2153</v>
      </c>
      <c r="M322" s="12"/>
      <c r="N322" s="12"/>
      <c r="O322" s="12"/>
      <c r="P322" s="12"/>
      <c r="Q322" s="12"/>
    </row>
    <row r="323" spans="1:17" x14ac:dyDescent="0.25">
      <c r="A323" s="11">
        <v>102955</v>
      </c>
      <c r="B323" s="12" t="s">
        <v>1558</v>
      </c>
      <c r="C323" s="12" t="s">
        <v>1582</v>
      </c>
      <c r="D323" s="12">
        <v>6</v>
      </c>
      <c r="E323" s="125">
        <v>19237171.93</v>
      </c>
      <c r="F323" s="12">
        <v>22</v>
      </c>
      <c r="G323" s="125">
        <v>15739148.41</v>
      </c>
      <c r="H323" s="12" t="s">
        <v>1447</v>
      </c>
      <c r="I323" s="125">
        <v>330322.64</v>
      </c>
      <c r="J323" s="13">
        <v>42704.745354050923</v>
      </c>
      <c r="K323" s="13">
        <v>43436</v>
      </c>
      <c r="L323" s="13" t="s">
        <v>1583</v>
      </c>
      <c r="M323" s="12"/>
      <c r="N323" s="12"/>
      <c r="O323" s="12"/>
      <c r="P323" s="12"/>
      <c r="Q323" s="12"/>
    </row>
    <row r="324" spans="1:17" x14ac:dyDescent="0.25">
      <c r="A324" s="11">
        <v>102957</v>
      </c>
      <c r="B324" s="12" t="s">
        <v>3608</v>
      </c>
      <c r="C324" s="12" t="s">
        <v>3609</v>
      </c>
      <c r="D324" s="12">
        <v>1</v>
      </c>
      <c r="E324" s="125">
        <v>384382.66</v>
      </c>
      <c r="F324" s="12">
        <v>-8</v>
      </c>
      <c r="G324" s="125">
        <v>367830.3</v>
      </c>
      <c r="H324" s="12" t="s">
        <v>1191</v>
      </c>
      <c r="I324" s="125">
        <v>11586.65</v>
      </c>
      <c r="J324" s="13">
        <v>42705.715405752315</v>
      </c>
      <c r="K324" s="13">
        <v>43071</v>
      </c>
      <c r="L324" s="13" t="s">
        <v>3610</v>
      </c>
      <c r="M324" s="12"/>
      <c r="N324" s="12"/>
      <c r="O324" s="12"/>
      <c r="P324" s="12"/>
      <c r="Q324" s="12"/>
    </row>
    <row r="325" spans="1:17" x14ac:dyDescent="0.25">
      <c r="A325" s="11">
        <v>102960</v>
      </c>
      <c r="B325" s="12" t="s">
        <v>3554</v>
      </c>
      <c r="C325" s="12" t="s">
        <v>3566</v>
      </c>
      <c r="D325" s="12">
        <v>1</v>
      </c>
      <c r="E325" s="125">
        <v>1099810.18</v>
      </c>
      <c r="F325" s="12">
        <v>-8</v>
      </c>
      <c r="G325" s="125">
        <v>1052449.93</v>
      </c>
      <c r="H325" s="12" t="s">
        <v>1447</v>
      </c>
      <c r="I325" s="125">
        <v>33152.17</v>
      </c>
      <c r="J325" s="13">
        <v>42704.533907210651</v>
      </c>
      <c r="K325" s="13">
        <v>43071</v>
      </c>
      <c r="L325" s="13" t="s">
        <v>3567</v>
      </c>
      <c r="M325" s="12"/>
      <c r="N325" s="12"/>
      <c r="O325" s="12"/>
      <c r="P325" s="12"/>
      <c r="Q325" s="12"/>
    </row>
    <row r="326" spans="1:17" x14ac:dyDescent="0.25">
      <c r="A326" s="11">
        <v>102961</v>
      </c>
      <c r="B326" s="12" t="s">
        <v>3549</v>
      </c>
      <c r="C326" s="12" t="s">
        <v>3568</v>
      </c>
      <c r="D326" s="12">
        <v>8</v>
      </c>
      <c r="E326" s="125">
        <v>3236160.42</v>
      </c>
      <c r="F326" s="12">
        <v>114</v>
      </c>
      <c r="G326" s="125">
        <v>2867921.12</v>
      </c>
      <c r="H326" s="12" t="s">
        <v>1039</v>
      </c>
      <c r="I326" s="125">
        <v>214617.17</v>
      </c>
      <c r="J326" s="13">
        <v>42704.698594525464</v>
      </c>
      <c r="K326" s="13">
        <v>43071</v>
      </c>
      <c r="L326" s="13" t="s">
        <v>3569</v>
      </c>
      <c r="M326" s="12" t="s">
        <v>3570</v>
      </c>
      <c r="N326" s="12"/>
      <c r="O326" s="12"/>
      <c r="P326" s="12"/>
      <c r="Q326" s="12"/>
    </row>
    <row r="327" spans="1:17" x14ac:dyDescent="0.25">
      <c r="A327" s="11">
        <v>102962</v>
      </c>
      <c r="B327" s="12" t="s">
        <v>492</v>
      </c>
      <c r="C327" s="12" t="s">
        <v>497</v>
      </c>
      <c r="D327" s="12">
        <v>3</v>
      </c>
      <c r="E327" s="125">
        <v>74792481.680000007</v>
      </c>
      <c r="F327" s="12">
        <v>-11</v>
      </c>
      <c r="G327" s="125">
        <v>52094901.259999998</v>
      </c>
      <c r="H327" s="12" t="s">
        <v>1191</v>
      </c>
      <c r="I327" s="125">
        <v>937708.22</v>
      </c>
      <c r="J327" s="13">
        <v>42704.670561608793</v>
      </c>
      <c r="K327" s="13">
        <v>43804</v>
      </c>
      <c r="L327" s="13" t="s">
        <v>498</v>
      </c>
      <c r="M327" s="12" t="s">
        <v>499</v>
      </c>
      <c r="N327" s="12"/>
      <c r="O327" s="12"/>
      <c r="P327" s="12"/>
      <c r="Q327" s="12"/>
    </row>
    <row r="328" spans="1:17" x14ac:dyDescent="0.25">
      <c r="A328" s="11">
        <v>102964</v>
      </c>
      <c r="B328" s="12" t="s">
        <v>3562</v>
      </c>
      <c r="C328" s="12" t="s">
        <v>3571</v>
      </c>
      <c r="D328" s="12">
        <v>2</v>
      </c>
      <c r="E328" s="125">
        <v>17074438.440000001</v>
      </c>
      <c r="F328" s="12">
        <v>-7</v>
      </c>
      <c r="G328" s="125">
        <v>13115333.039999999</v>
      </c>
      <c r="H328" s="12" t="s">
        <v>2494</v>
      </c>
      <c r="I328" s="125">
        <v>384716.44</v>
      </c>
      <c r="J328" s="13">
        <v>42704.93469707176</v>
      </c>
      <c r="K328" s="13">
        <v>43435</v>
      </c>
      <c r="L328" s="13" t="s">
        <v>3572</v>
      </c>
      <c r="M328" s="12" t="s">
        <v>3573</v>
      </c>
      <c r="N328" s="12"/>
      <c r="O328" s="12"/>
      <c r="P328" s="12"/>
      <c r="Q328" s="12"/>
    </row>
    <row r="329" spans="1:17" x14ac:dyDescent="0.25">
      <c r="A329" s="11">
        <v>102965</v>
      </c>
      <c r="B329" s="12" t="s">
        <v>3557</v>
      </c>
      <c r="C329" s="12" t="s">
        <v>3574</v>
      </c>
      <c r="D329" s="12">
        <v>6</v>
      </c>
      <c r="E329" s="125">
        <v>9565814.3300000001</v>
      </c>
      <c r="F329" s="12">
        <v>-8</v>
      </c>
      <c r="G329" s="125">
        <v>7661300.5300000003</v>
      </c>
      <c r="H329" s="12" t="s">
        <v>2494</v>
      </c>
      <c r="I329" s="125">
        <v>178763.68</v>
      </c>
      <c r="J329" s="13">
        <v>42704.733085879627</v>
      </c>
      <c r="K329" s="13">
        <v>43436</v>
      </c>
      <c r="L329" s="13" t="s">
        <v>3575</v>
      </c>
      <c r="M329" s="12" t="s">
        <v>3576</v>
      </c>
      <c r="N329" s="12"/>
      <c r="O329" s="12"/>
      <c r="P329" s="12"/>
      <c r="Q329" s="12"/>
    </row>
    <row r="330" spans="1:17" x14ac:dyDescent="0.25">
      <c r="A330" s="11">
        <v>102966</v>
      </c>
      <c r="B330" s="12" t="s">
        <v>3559</v>
      </c>
      <c r="C330" s="12" t="s">
        <v>3577</v>
      </c>
      <c r="D330" s="12">
        <v>3</v>
      </c>
      <c r="E330" s="125">
        <v>34609811.600000001</v>
      </c>
      <c r="F330" s="12">
        <v>-8</v>
      </c>
      <c r="G330" s="125">
        <v>28313369.27</v>
      </c>
      <c r="H330" s="12" t="s">
        <v>90</v>
      </c>
      <c r="I330" s="125">
        <v>594580.75</v>
      </c>
      <c r="J330" s="13">
        <v>42704.840857754629</v>
      </c>
      <c r="K330" s="13">
        <v>43436</v>
      </c>
      <c r="L330" s="13" t="s">
        <v>3578</v>
      </c>
      <c r="M330" s="12" t="s">
        <v>3579</v>
      </c>
      <c r="N330" s="12"/>
      <c r="O330" s="12"/>
      <c r="P330" s="12"/>
      <c r="Q330" s="12"/>
    </row>
    <row r="331" spans="1:17" x14ac:dyDescent="0.25">
      <c r="A331" s="11">
        <v>102969</v>
      </c>
      <c r="B331" s="12" t="s">
        <v>3548</v>
      </c>
      <c r="C331" s="12" t="s">
        <v>3583</v>
      </c>
      <c r="D331" s="12">
        <v>6</v>
      </c>
      <c r="E331" s="125">
        <v>12754419.07</v>
      </c>
      <c r="F331" s="12">
        <v>-8</v>
      </c>
      <c r="G331" s="125">
        <v>10215067.34</v>
      </c>
      <c r="H331" s="12" t="s">
        <v>468</v>
      </c>
      <c r="I331" s="125">
        <v>238351.57</v>
      </c>
      <c r="J331" s="13">
        <v>42704.872326157405</v>
      </c>
      <c r="K331" s="13">
        <v>43436</v>
      </c>
      <c r="L331" s="13" t="s">
        <v>3584</v>
      </c>
      <c r="M331" s="12"/>
      <c r="N331" s="12" t="s">
        <v>3585</v>
      </c>
      <c r="O331" s="12"/>
      <c r="P331" s="12"/>
      <c r="Q331" s="12"/>
    </row>
    <row r="332" spans="1:17" x14ac:dyDescent="0.25">
      <c r="A332" s="11">
        <v>102970</v>
      </c>
      <c r="B332" s="12" t="s">
        <v>192</v>
      </c>
      <c r="C332" s="12" t="s">
        <v>193</v>
      </c>
      <c r="D332" s="12">
        <v>1</v>
      </c>
      <c r="E332" s="125">
        <v>1408085.22</v>
      </c>
      <c r="F332" s="12">
        <v>22</v>
      </c>
      <c r="G332" s="125">
        <v>1358781.2</v>
      </c>
      <c r="H332" s="12" t="s">
        <v>1191</v>
      </c>
      <c r="I332" s="125">
        <v>34512.82</v>
      </c>
      <c r="J332" s="13">
        <v>42704.926051736111</v>
      </c>
      <c r="K332" s="13">
        <v>43071</v>
      </c>
      <c r="L332" s="13" t="s">
        <v>194</v>
      </c>
      <c r="M332" s="12"/>
      <c r="N332" s="12"/>
      <c r="O332" s="12"/>
      <c r="P332" s="12"/>
      <c r="Q332" s="12"/>
    </row>
    <row r="333" spans="1:17" x14ac:dyDescent="0.25">
      <c r="A333" s="11">
        <v>102971</v>
      </c>
      <c r="B333" s="12" t="s">
        <v>3558</v>
      </c>
      <c r="C333" s="12" t="s">
        <v>3586</v>
      </c>
      <c r="D333" s="12">
        <v>6</v>
      </c>
      <c r="E333" s="125">
        <v>19907396.82</v>
      </c>
      <c r="F333" s="12">
        <v>-7</v>
      </c>
      <c r="G333" s="125">
        <v>15943917.039999999</v>
      </c>
      <c r="H333" s="12" t="s">
        <v>491</v>
      </c>
      <c r="I333" s="125">
        <v>389740.19</v>
      </c>
      <c r="J333" s="13">
        <v>42704.964472187501</v>
      </c>
      <c r="K333" s="13">
        <v>43435</v>
      </c>
      <c r="L333" s="13" t="s">
        <v>3587</v>
      </c>
      <c r="M333" s="12" t="s">
        <v>3588</v>
      </c>
      <c r="N333" s="12"/>
      <c r="O333" s="12"/>
      <c r="P333" s="12"/>
      <c r="Q333" s="12"/>
    </row>
    <row r="334" spans="1:17" x14ac:dyDescent="0.25">
      <c r="A334" s="11">
        <v>102972</v>
      </c>
      <c r="B334" s="12" t="s">
        <v>932</v>
      </c>
      <c r="C334" s="12" t="s">
        <v>954</v>
      </c>
      <c r="D334" s="12">
        <v>6</v>
      </c>
      <c r="E334" s="125">
        <v>19547333.07</v>
      </c>
      <c r="F334" s="12">
        <v>23</v>
      </c>
      <c r="G334" s="125">
        <v>14771174.380000001</v>
      </c>
      <c r="H334" s="12" t="s">
        <v>546</v>
      </c>
      <c r="I334" s="125">
        <v>321859.62</v>
      </c>
      <c r="J334" s="13">
        <v>42704.975202430556</v>
      </c>
      <c r="K334" s="13">
        <v>43617</v>
      </c>
      <c r="L334" s="13" t="s">
        <v>955</v>
      </c>
      <c r="M334" s="12"/>
      <c r="N334" s="12"/>
      <c r="O334" s="12"/>
      <c r="P334" s="12"/>
      <c r="Q334" s="12"/>
    </row>
    <row r="335" spans="1:17" x14ac:dyDescent="0.25">
      <c r="A335" s="11">
        <v>102975</v>
      </c>
      <c r="B335" s="12" t="s">
        <v>731</v>
      </c>
      <c r="C335" s="12" t="s">
        <v>735</v>
      </c>
      <c r="D335" s="12">
        <v>3</v>
      </c>
      <c r="E335" s="125">
        <v>11569304.140000001</v>
      </c>
      <c r="F335" s="12">
        <v>14</v>
      </c>
      <c r="G335" s="125">
        <v>10134166.34</v>
      </c>
      <c r="H335" s="12" t="s">
        <v>86</v>
      </c>
      <c r="I335" s="125">
        <v>150307.56</v>
      </c>
      <c r="J335" s="13">
        <v>42705.689972488428</v>
      </c>
      <c r="K335" s="13">
        <v>43261</v>
      </c>
      <c r="L335" s="13" t="s">
        <v>736</v>
      </c>
      <c r="M335" s="12" t="s">
        <v>737</v>
      </c>
      <c r="N335" s="12"/>
      <c r="O335" s="12"/>
      <c r="P335" s="12"/>
      <c r="Q335" s="12"/>
    </row>
    <row r="336" spans="1:17" x14ac:dyDescent="0.25">
      <c r="A336" s="11">
        <v>102976</v>
      </c>
      <c r="B336" s="12" t="s">
        <v>615</v>
      </c>
      <c r="C336" s="12" t="s">
        <v>619</v>
      </c>
      <c r="D336" s="12">
        <v>3</v>
      </c>
      <c r="E336" s="125">
        <v>49895066.399999999</v>
      </c>
      <c r="F336" s="12">
        <v>-7</v>
      </c>
      <c r="G336" s="125">
        <v>40817830.979999997</v>
      </c>
      <c r="H336" s="12" t="s">
        <v>468</v>
      </c>
      <c r="I336" s="125">
        <v>897992.28</v>
      </c>
      <c r="J336" s="13">
        <v>42705.631719942132</v>
      </c>
      <c r="K336" s="13">
        <v>43435</v>
      </c>
      <c r="L336" s="13" t="s">
        <v>620</v>
      </c>
      <c r="M336" s="12"/>
      <c r="N336" s="12"/>
      <c r="O336" s="12"/>
      <c r="P336" s="12"/>
      <c r="Q336" s="12"/>
    </row>
    <row r="337" spans="1:17" x14ac:dyDescent="0.25">
      <c r="A337" s="11">
        <v>102977</v>
      </c>
      <c r="B337" s="12" t="s">
        <v>3611</v>
      </c>
      <c r="C337" s="12" t="s">
        <v>3614</v>
      </c>
      <c r="D337" s="12">
        <v>6</v>
      </c>
      <c r="E337" s="125">
        <v>26112932.309999999</v>
      </c>
      <c r="F337" s="12">
        <v>53</v>
      </c>
      <c r="G337" s="125">
        <v>20686130.359999999</v>
      </c>
      <c r="H337" s="12" t="s">
        <v>1448</v>
      </c>
      <c r="I337" s="125">
        <v>1374901.62</v>
      </c>
      <c r="J337" s="13">
        <v>42706.412457141203</v>
      </c>
      <c r="K337" s="13">
        <v>43436</v>
      </c>
      <c r="L337" s="13" t="s">
        <v>3615</v>
      </c>
      <c r="M337" s="12" t="s">
        <v>3616</v>
      </c>
      <c r="N337" s="12"/>
      <c r="O337" s="12"/>
      <c r="P337" s="12"/>
      <c r="Q337" s="12"/>
    </row>
    <row r="338" spans="1:17" x14ac:dyDescent="0.25">
      <c r="A338" s="11">
        <v>102979</v>
      </c>
      <c r="B338" s="12" t="s">
        <v>3612</v>
      </c>
      <c r="C338" s="12" t="s">
        <v>3617</v>
      </c>
      <c r="D338" s="12">
        <v>8</v>
      </c>
      <c r="E338" s="125">
        <v>1936532.15</v>
      </c>
      <c r="F338" s="12">
        <v>53</v>
      </c>
      <c r="G338" s="125">
        <v>1785699.53</v>
      </c>
      <c r="H338" s="12" t="s">
        <v>468</v>
      </c>
      <c r="I338" s="125">
        <v>124185.94</v>
      </c>
      <c r="J338" s="13">
        <v>42706.578117592595</v>
      </c>
      <c r="K338" s="13">
        <v>43071</v>
      </c>
      <c r="L338" s="13" t="s">
        <v>3618</v>
      </c>
      <c r="M338" s="12" t="s">
        <v>3619</v>
      </c>
      <c r="N338" s="12"/>
      <c r="O338" s="12"/>
      <c r="P338" s="12"/>
      <c r="Q338" s="12"/>
    </row>
    <row r="339" spans="1:17" x14ac:dyDescent="0.25">
      <c r="A339" s="11">
        <v>102980</v>
      </c>
      <c r="B339" s="12" t="s">
        <v>3621</v>
      </c>
      <c r="C339" s="12" t="s">
        <v>3623</v>
      </c>
      <c r="D339" s="12">
        <v>2</v>
      </c>
      <c r="E339" s="125">
        <v>12638932.550000001</v>
      </c>
      <c r="F339" s="12">
        <v>19</v>
      </c>
      <c r="G339" s="125">
        <v>10636838.539999999</v>
      </c>
      <c r="H339" s="12" t="s">
        <v>86</v>
      </c>
      <c r="I339" s="125">
        <v>653052.23</v>
      </c>
      <c r="J339" s="13">
        <v>42709.601917326392</v>
      </c>
      <c r="K339" s="13">
        <v>43256</v>
      </c>
      <c r="L339" s="13" t="s">
        <v>3624</v>
      </c>
      <c r="M339" s="12"/>
      <c r="N339" s="12"/>
      <c r="O339" s="12"/>
      <c r="P339" s="12"/>
      <c r="Q339" s="12"/>
    </row>
    <row r="340" spans="1:17" x14ac:dyDescent="0.25">
      <c r="A340" s="11">
        <v>102981</v>
      </c>
      <c r="B340" s="12" t="s">
        <v>614</v>
      </c>
      <c r="C340" s="12" t="s">
        <v>616</v>
      </c>
      <c r="D340" s="12">
        <v>2</v>
      </c>
      <c r="E340" s="125">
        <v>5244234.13</v>
      </c>
      <c r="F340" s="12">
        <v>-11</v>
      </c>
      <c r="G340" s="125">
        <v>4815621.8499999996</v>
      </c>
      <c r="H340" s="12" t="s">
        <v>86</v>
      </c>
      <c r="I340" s="125">
        <v>101128.06</v>
      </c>
      <c r="J340" s="13">
        <v>42709.677225578707</v>
      </c>
      <c r="K340" s="13">
        <v>43164</v>
      </c>
      <c r="L340" s="13" t="s">
        <v>617</v>
      </c>
      <c r="M340" s="12" t="s">
        <v>618</v>
      </c>
      <c r="N340" s="12"/>
      <c r="O340" s="12"/>
      <c r="P340" s="12"/>
      <c r="Q340" s="12"/>
    </row>
    <row r="341" spans="1:17" x14ac:dyDescent="0.25">
      <c r="A341" s="11">
        <v>102982</v>
      </c>
      <c r="B341" s="12" t="s">
        <v>3622</v>
      </c>
      <c r="C341" s="12" t="s">
        <v>3625</v>
      </c>
      <c r="D341" s="12">
        <v>6</v>
      </c>
      <c r="E341" s="125">
        <v>506699.53</v>
      </c>
      <c r="F341" s="12">
        <v>-20</v>
      </c>
      <c r="G341" s="125">
        <v>491941.29</v>
      </c>
      <c r="H341" s="12" t="s">
        <v>546</v>
      </c>
      <c r="I341" s="125">
        <v>4427.47</v>
      </c>
      <c r="J341" s="13">
        <v>42709.676114201386</v>
      </c>
      <c r="K341" s="13">
        <v>43083</v>
      </c>
      <c r="L341" s="13" t="s">
        <v>3626</v>
      </c>
      <c r="M341" s="12" t="s">
        <v>3627</v>
      </c>
      <c r="N341" s="12"/>
      <c r="O341" s="12"/>
      <c r="P341" s="12"/>
      <c r="Q341" s="12"/>
    </row>
    <row r="342" spans="1:17" x14ac:dyDescent="0.25">
      <c r="A342" s="11">
        <v>102986</v>
      </c>
      <c r="B342" s="12" t="s">
        <v>3641</v>
      </c>
      <c r="C342" s="12" t="s">
        <v>3642</v>
      </c>
      <c r="D342" s="12">
        <v>1</v>
      </c>
      <c r="E342" s="125">
        <v>1288577.92</v>
      </c>
      <c r="F342" s="12">
        <v>16</v>
      </c>
      <c r="G342" s="125">
        <v>1232210.03</v>
      </c>
      <c r="H342" s="12" t="s">
        <v>2494</v>
      </c>
      <c r="I342" s="125">
        <v>42200.480000000003</v>
      </c>
      <c r="J342" s="13">
        <v>42712.699027083334</v>
      </c>
      <c r="K342" s="13">
        <v>43077</v>
      </c>
      <c r="L342" s="13" t="s">
        <v>3643</v>
      </c>
      <c r="M342" s="12" t="s">
        <v>3644</v>
      </c>
      <c r="N342" s="12"/>
      <c r="O342" s="12"/>
      <c r="P342" s="12"/>
      <c r="Q342" s="12"/>
    </row>
    <row r="343" spans="1:17" x14ac:dyDescent="0.25">
      <c r="A343" s="11">
        <v>102987</v>
      </c>
      <c r="B343" s="12" t="s">
        <v>3646</v>
      </c>
      <c r="C343" s="12" t="s">
        <v>3651</v>
      </c>
      <c r="D343" s="12">
        <v>1</v>
      </c>
      <c r="E343" s="125">
        <v>1074477.1100000001</v>
      </c>
      <c r="F343" s="12">
        <v>15</v>
      </c>
      <c r="G343" s="125">
        <v>1026841.7</v>
      </c>
      <c r="H343" s="12" t="s">
        <v>1448</v>
      </c>
      <c r="I343" s="125">
        <v>35042.160000000003</v>
      </c>
      <c r="J343" s="13">
        <v>42713.562692789354</v>
      </c>
      <c r="K343" s="13">
        <v>43078</v>
      </c>
      <c r="L343" s="13" t="s">
        <v>3652</v>
      </c>
      <c r="M343" s="12"/>
      <c r="N343" s="12"/>
      <c r="O343" s="12"/>
      <c r="P343" s="12"/>
      <c r="Q343" s="12"/>
    </row>
    <row r="344" spans="1:17" x14ac:dyDescent="0.25">
      <c r="A344" s="11">
        <v>102989</v>
      </c>
      <c r="B344" s="12" t="s">
        <v>934</v>
      </c>
      <c r="C344" s="12" t="s">
        <v>946</v>
      </c>
      <c r="D344" s="12">
        <v>7</v>
      </c>
      <c r="E344" s="125">
        <v>1485978.8</v>
      </c>
      <c r="F344" s="12">
        <v>46</v>
      </c>
      <c r="G344" s="125">
        <v>1425294.5</v>
      </c>
      <c r="H344" s="12" t="s">
        <v>963</v>
      </c>
      <c r="I344" s="125">
        <v>39536.75</v>
      </c>
      <c r="J344" s="13">
        <v>42713.660623761571</v>
      </c>
      <c r="K344" s="13">
        <v>43078</v>
      </c>
      <c r="L344" s="13" t="s">
        <v>947</v>
      </c>
      <c r="M344" s="12" t="s">
        <v>948</v>
      </c>
      <c r="N344" s="12"/>
      <c r="O344" s="12"/>
      <c r="P344" s="12"/>
      <c r="Q344" s="12"/>
    </row>
    <row r="345" spans="1:17" x14ac:dyDescent="0.25">
      <c r="A345" s="11">
        <v>102990</v>
      </c>
      <c r="B345" s="12" t="s">
        <v>3647</v>
      </c>
      <c r="C345" s="12" t="s">
        <v>3653</v>
      </c>
      <c r="D345" s="12">
        <v>1</v>
      </c>
      <c r="E345" s="125">
        <v>1905974.72</v>
      </c>
      <c r="F345" s="12">
        <v>15</v>
      </c>
      <c r="G345" s="125">
        <v>1864993.12</v>
      </c>
      <c r="H345" s="12" t="s">
        <v>1909</v>
      </c>
      <c r="I345" s="125">
        <v>19124.75</v>
      </c>
      <c r="J345" s="13">
        <v>42713.678413275462</v>
      </c>
      <c r="K345" s="13">
        <v>43078</v>
      </c>
      <c r="L345" s="13" t="s">
        <v>3654</v>
      </c>
      <c r="M345" s="12"/>
      <c r="N345" s="12"/>
      <c r="O345" s="12"/>
      <c r="P345" s="12"/>
      <c r="Q345" s="12"/>
    </row>
    <row r="346" spans="1:17" x14ac:dyDescent="0.25">
      <c r="A346" s="11">
        <v>102996</v>
      </c>
      <c r="B346" s="12" t="s">
        <v>765</v>
      </c>
      <c r="C346" s="12" t="s">
        <v>768</v>
      </c>
      <c r="D346" s="12">
        <v>2</v>
      </c>
      <c r="E346" s="125">
        <v>17810029.359999999</v>
      </c>
      <c r="F346" s="12">
        <v>-19</v>
      </c>
      <c r="G346" s="125">
        <v>14114775</v>
      </c>
      <c r="H346" s="12" t="s">
        <v>963</v>
      </c>
      <c r="I346" s="125">
        <v>164672.38</v>
      </c>
      <c r="J346" s="13">
        <v>42717.69995332176</v>
      </c>
      <c r="K346" s="13">
        <v>43447</v>
      </c>
      <c r="L346" s="13" t="s">
        <v>769</v>
      </c>
      <c r="M346" s="12" t="s">
        <v>770</v>
      </c>
      <c r="N346" s="12"/>
      <c r="O346" s="12"/>
      <c r="P346" s="12"/>
      <c r="Q346" s="12"/>
    </row>
    <row r="347" spans="1:17" x14ac:dyDescent="0.25">
      <c r="A347" s="11">
        <v>102997</v>
      </c>
      <c r="B347" s="12" t="s">
        <v>1411</v>
      </c>
      <c r="C347" s="12" t="s">
        <v>1412</v>
      </c>
      <c r="D347" s="12">
        <v>2</v>
      </c>
      <c r="E347" s="125">
        <v>13267947.140000001</v>
      </c>
      <c r="F347" s="12">
        <v>-19</v>
      </c>
      <c r="G347" s="125">
        <v>11589635.189999999</v>
      </c>
      <c r="H347" s="12" t="s">
        <v>1191</v>
      </c>
      <c r="I347" s="125">
        <v>135212.41</v>
      </c>
      <c r="J347" s="13">
        <v>42717.529608645833</v>
      </c>
      <c r="K347" s="13">
        <v>43264</v>
      </c>
      <c r="L347" s="13" t="s">
        <v>1413</v>
      </c>
      <c r="M347" s="12" t="s">
        <v>1414</v>
      </c>
      <c r="N347" s="12"/>
      <c r="O347" s="12"/>
      <c r="P347" s="12"/>
      <c r="Q347" s="12"/>
    </row>
    <row r="348" spans="1:17" x14ac:dyDescent="0.25">
      <c r="A348" s="11">
        <v>102998</v>
      </c>
      <c r="B348" s="12" t="s">
        <v>3695</v>
      </c>
      <c r="C348" s="12" t="s">
        <v>3697</v>
      </c>
      <c r="D348" s="12">
        <v>1</v>
      </c>
      <c r="E348" s="125">
        <v>1096661.8400000001</v>
      </c>
      <c r="F348" s="12">
        <v>-20</v>
      </c>
      <c r="G348" s="125">
        <v>1049437.17</v>
      </c>
      <c r="H348" s="12" t="s">
        <v>2494</v>
      </c>
      <c r="I348" s="125">
        <v>14167.4</v>
      </c>
      <c r="J348" s="13">
        <v>42718.660504432868</v>
      </c>
      <c r="K348" s="13">
        <v>43083</v>
      </c>
      <c r="L348" s="13" t="s">
        <v>3698</v>
      </c>
      <c r="M348" s="12"/>
      <c r="N348" s="12"/>
      <c r="O348" s="12"/>
      <c r="P348" s="12"/>
      <c r="Q348" s="12"/>
    </row>
    <row r="349" spans="1:17" x14ac:dyDescent="0.25">
      <c r="A349" s="11">
        <v>102999</v>
      </c>
      <c r="B349" s="12" t="s">
        <v>3705</v>
      </c>
      <c r="C349" s="12" t="s">
        <v>3709</v>
      </c>
      <c r="D349" s="12">
        <v>6</v>
      </c>
      <c r="E349" s="125">
        <v>77408412.280000001</v>
      </c>
      <c r="F349" s="12">
        <v>9</v>
      </c>
      <c r="G349" s="125">
        <v>53223768.729999997</v>
      </c>
      <c r="H349" s="12" t="s">
        <v>491</v>
      </c>
      <c r="I349" s="125">
        <v>2011458.94</v>
      </c>
      <c r="J349" s="13">
        <v>42719.47424841435</v>
      </c>
      <c r="K349" s="13">
        <v>43814</v>
      </c>
      <c r="L349" s="13" t="s">
        <v>3710</v>
      </c>
      <c r="M349" s="12" t="s">
        <v>3711</v>
      </c>
      <c r="N349" s="12"/>
      <c r="O349" s="12"/>
      <c r="P349" s="12"/>
      <c r="Q349" s="12"/>
    </row>
    <row r="350" spans="1:17" x14ac:dyDescent="0.25">
      <c r="A350" s="11">
        <v>103000</v>
      </c>
      <c r="B350" s="12" t="s">
        <v>3703</v>
      </c>
      <c r="C350" s="12" t="s">
        <v>3712</v>
      </c>
      <c r="D350" s="12">
        <v>6</v>
      </c>
      <c r="E350" s="125">
        <v>20024914.309999999</v>
      </c>
      <c r="F350" s="12">
        <v>4</v>
      </c>
      <c r="G350" s="125">
        <v>16044405.65</v>
      </c>
      <c r="H350" s="12" t="s">
        <v>86</v>
      </c>
      <c r="I350" s="125">
        <v>619514.63</v>
      </c>
      <c r="J350" s="13">
        <v>42719.680272303238</v>
      </c>
      <c r="K350" s="13">
        <v>43454</v>
      </c>
      <c r="L350" s="13" t="s">
        <v>3713</v>
      </c>
      <c r="M350" s="12"/>
      <c r="N350" s="12"/>
      <c r="O350" s="12"/>
      <c r="P350" s="12"/>
      <c r="Q350" s="12"/>
    </row>
    <row r="351" spans="1:17" x14ac:dyDescent="0.25">
      <c r="A351" s="11">
        <v>103001</v>
      </c>
      <c r="B351" s="12" t="s">
        <v>3706</v>
      </c>
      <c r="C351" s="12" t="s">
        <v>3714</v>
      </c>
      <c r="D351" s="12">
        <v>2</v>
      </c>
      <c r="E351" s="125">
        <v>19116385.420000002</v>
      </c>
      <c r="F351" s="12">
        <v>101</v>
      </c>
      <c r="G351" s="125">
        <v>15224422.66</v>
      </c>
      <c r="H351" s="12" t="s">
        <v>5725</v>
      </c>
      <c r="I351" s="125">
        <v>1167912.28</v>
      </c>
      <c r="J351" s="13">
        <v>42719.749187303241</v>
      </c>
      <c r="K351" s="13">
        <v>43266</v>
      </c>
      <c r="L351" s="13" t="s">
        <v>3715</v>
      </c>
      <c r="M351" s="12" t="s">
        <v>3716</v>
      </c>
      <c r="N351" s="12"/>
      <c r="O351" s="12"/>
      <c r="P351" s="12"/>
      <c r="Q351" s="12"/>
    </row>
    <row r="352" spans="1:17" x14ac:dyDescent="0.25">
      <c r="A352" s="11">
        <v>103002</v>
      </c>
      <c r="B352" s="12" t="s">
        <v>390</v>
      </c>
      <c r="C352" s="12" t="s">
        <v>393</v>
      </c>
      <c r="D352" s="12">
        <v>3</v>
      </c>
      <c r="E352" s="125">
        <v>45259081.890000001</v>
      </c>
      <c r="F352" s="12">
        <v>61</v>
      </c>
      <c r="G352" s="125">
        <v>36148514.509999998</v>
      </c>
      <c r="H352" s="12" t="s">
        <v>1447</v>
      </c>
      <c r="I352" s="125">
        <v>1099178.03</v>
      </c>
      <c r="J352" s="13">
        <v>42720.486729861113</v>
      </c>
      <c r="K352" s="13">
        <v>43458</v>
      </c>
      <c r="L352" s="13" t="s">
        <v>394</v>
      </c>
      <c r="M352" s="12"/>
      <c r="N352" s="12"/>
      <c r="O352" s="12"/>
      <c r="P352" s="12"/>
      <c r="Q352" s="12"/>
    </row>
    <row r="353" spans="1:17" x14ac:dyDescent="0.25">
      <c r="A353" s="11">
        <v>103005</v>
      </c>
      <c r="B353" s="12" t="s">
        <v>913</v>
      </c>
      <c r="C353" s="12" t="s">
        <v>2424</v>
      </c>
      <c r="D353" s="12">
        <v>5</v>
      </c>
      <c r="E353" s="125">
        <v>13578894.220000001</v>
      </c>
      <c r="F353" s="12">
        <v>-27</v>
      </c>
      <c r="G353" s="125">
        <v>9929962.5099999998</v>
      </c>
      <c r="H353" s="12" t="s">
        <v>284</v>
      </c>
      <c r="I353" s="125">
        <v>13791.61</v>
      </c>
      <c r="J353" s="13">
        <v>42723.521864155089</v>
      </c>
      <c r="K353" s="13">
        <v>44003</v>
      </c>
      <c r="L353" s="13" t="s">
        <v>2425</v>
      </c>
      <c r="M353" s="12"/>
      <c r="N353" s="12"/>
      <c r="O353" s="12"/>
      <c r="P353" s="12"/>
      <c r="Q353" s="12"/>
    </row>
    <row r="354" spans="1:17" x14ac:dyDescent="0.25">
      <c r="A354" s="11">
        <v>103007</v>
      </c>
      <c r="B354" s="12" t="s">
        <v>2925</v>
      </c>
      <c r="C354" s="12" t="s">
        <v>2926</v>
      </c>
      <c r="D354" s="12">
        <v>2</v>
      </c>
      <c r="E354" s="125">
        <v>1655743.18</v>
      </c>
      <c r="F354" s="12">
        <v>-26</v>
      </c>
      <c r="G354" s="125">
        <v>1599751.86</v>
      </c>
      <c r="H354" s="12" t="s">
        <v>1467</v>
      </c>
      <c r="I354" s="125">
        <v>5599.13</v>
      </c>
      <c r="J354" s="13">
        <v>42724.610130636574</v>
      </c>
      <c r="K354" s="13">
        <v>43089</v>
      </c>
      <c r="L354" s="13" t="s">
        <v>2927</v>
      </c>
      <c r="M354" s="12"/>
      <c r="N354" s="12"/>
      <c r="O354" s="12"/>
      <c r="P354" s="12"/>
      <c r="Q354" s="12"/>
    </row>
    <row r="355" spans="1:17" x14ac:dyDescent="0.25">
      <c r="A355" s="11">
        <v>103009</v>
      </c>
      <c r="B355" s="12" t="s">
        <v>1604</v>
      </c>
      <c r="C355" s="12" t="s">
        <v>1609</v>
      </c>
      <c r="D355" s="12">
        <v>6</v>
      </c>
      <c r="E355" s="125">
        <v>66389430.270000003</v>
      </c>
      <c r="F355" s="12">
        <v>0</v>
      </c>
      <c r="G355" s="125">
        <v>49385354.020000003</v>
      </c>
      <c r="H355" s="12" t="s">
        <v>491</v>
      </c>
      <c r="I355" s="125">
        <v>1432175.27</v>
      </c>
      <c r="J355" s="13">
        <v>42727.369213576392</v>
      </c>
      <c r="K355" s="13">
        <v>43640</v>
      </c>
      <c r="L355" s="13" t="s">
        <v>1610</v>
      </c>
      <c r="M355" s="12" t="s">
        <v>1611</v>
      </c>
      <c r="N355" s="12"/>
      <c r="O355" s="12"/>
      <c r="P355" s="12"/>
      <c r="Q355" s="12"/>
    </row>
    <row r="356" spans="1:17" x14ac:dyDescent="0.25">
      <c r="A356" s="11">
        <v>103011</v>
      </c>
      <c r="B356" s="12" t="s">
        <v>3781</v>
      </c>
      <c r="C356" s="12" t="s">
        <v>3784</v>
      </c>
      <c r="D356" s="12">
        <v>1</v>
      </c>
      <c r="E356" s="125">
        <v>1634485.72</v>
      </c>
      <c r="F356" s="12">
        <v>1</v>
      </c>
      <c r="G356" s="125">
        <v>1540262.57</v>
      </c>
      <c r="H356" s="12" t="s">
        <v>5167</v>
      </c>
      <c r="I356" s="125">
        <v>69311.820000000007</v>
      </c>
      <c r="J356" s="13">
        <v>42727.653175810185</v>
      </c>
      <c r="K356" s="13">
        <v>43092</v>
      </c>
      <c r="L356" s="13" t="s">
        <v>3785</v>
      </c>
      <c r="M356" s="12"/>
      <c r="N356" s="12"/>
      <c r="O356" s="12"/>
      <c r="P356" s="12"/>
      <c r="Q356" s="12"/>
    </row>
    <row r="357" spans="1:17" x14ac:dyDescent="0.25">
      <c r="A357" s="11">
        <v>103013</v>
      </c>
      <c r="B357" s="12" t="s">
        <v>3782</v>
      </c>
      <c r="C357" s="12" t="s">
        <v>3786</v>
      </c>
      <c r="D357" s="12">
        <v>1</v>
      </c>
      <c r="E357" s="125">
        <v>1096661.92</v>
      </c>
      <c r="F357" s="12">
        <v>0</v>
      </c>
      <c r="G357" s="125">
        <v>1026841.7</v>
      </c>
      <c r="H357" s="12" t="s">
        <v>2494</v>
      </c>
      <c r="I357" s="125">
        <v>44667.61</v>
      </c>
      <c r="J357" s="13">
        <v>42728.535344097225</v>
      </c>
      <c r="K357" s="13">
        <v>43093</v>
      </c>
      <c r="L357" s="13" t="s">
        <v>3787</v>
      </c>
      <c r="M357" s="12" t="s">
        <v>3788</v>
      </c>
      <c r="N357" s="12"/>
      <c r="O357" s="12"/>
      <c r="P357" s="12"/>
      <c r="Q357" s="12"/>
    </row>
    <row r="358" spans="1:17" x14ac:dyDescent="0.25">
      <c r="A358" s="11">
        <v>103014</v>
      </c>
      <c r="B358" s="12" t="s">
        <v>861</v>
      </c>
      <c r="C358" s="12" t="s">
        <v>865</v>
      </c>
      <c r="D358" s="12">
        <v>6</v>
      </c>
      <c r="E358" s="125">
        <v>41333191.130000003</v>
      </c>
      <c r="F358" s="12">
        <v>0</v>
      </c>
      <c r="G358" s="125">
        <v>33350196.440000001</v>
      </c>
      <c r="H358" s="12" t="s">
        <v>1039</v>
      </c>
      <c r="I358" s="125">
        <v>967155.7</v>
      </c>
      <c r="J358" s="13">
        <v>42728.544728125002</v>
      </c>
      <c r="K358" s="13">
        <v>43458</v>
      </c>
      <c r="L358" s="13" t="s">
        <v>866</v>
      </c>
      <c r="M358" s="12" t="s">
        <v>867</v>
      </c>
      <c r="N358" s="12"/>
      <c r="O358" s="12"/>
      <c r="P358" s="12"/>
      <c r="Q358" s="12"/>
    </row>
    <row r="359" spans="1:17" x14ac:dyDescent="0.25">
      <c r="A359" s="11">
        <v>103018</v>
      </c>
      <c r="B359" s="12" t="s">
        <v>3808</v>
      </c>
      <c r="C359" s="12" t="s">
        <v>3811</v>
      </c>
      <c r="D359" s="12">
        <v>7</v>
      </c>
      <c r="E359" s="125">
        <v>503149.77</v>
      </c>
      <c r="F359" s="12">
        <v>22</v>
      </c>
      <c r="G359" s="125">
        <v>475101.42</v>
      </c>
      <c r="H359" s="12" t="s">
        <v>2034</v>
      </c>
      <c r="I359" s="125">
        <v>12993.92</v>
      </c>
      <c r="J359" s="13">
        <v>42733.488834525466</v>
      </c>
      <c r="K359" s="13">
        <v>43102</v>
      </c>
      <c r="L359" s="13" t="s">
        <v>3812</v>
      </c>
      <c r="M359" s="12"/>
      <c r="N359" s="12"/>
      <c r="O359" s="12"/>
      <c r="P359" s="12"/>
      <c r="Q359" s="12"/>
    </row>
    <row r="360" spans="1:17" x14ac:dyDescent="0.25">
      <c r="A360" s="11">
        <v>103021</v>
      </c>
      <c r="B360" s="12" t="s">
        <v>709</v>
      </c>
      <c r="C360" s="12" t="s">
        <v>711</v>
      </c>
      <c r="D360" s="12">
        <v>3</v>
      </c>
      <c r="E360" s="125">
        <v>77829816.930000007</v>
      </c>
      <c r="F360" s="12">
        <v>23</v>
      </c>
      <c r="G360" s="125">
        <v>53621693.109999999</v>
      </c>
      <c r="H360" s="12" t="s">
        <v>90</v>
      </c>
      <c r="I360" s="125">
        <v>1172059.73</v>
      </c>
      <c r="J360" s="13">
        <v>42734.610254942127</v>
      </c>
      <c r="K360" s="13">
        <v>43831</v>
      </c>
      <c r="L360" s="13" t="s">
        <v>712</v>
      </c>
      <c r="M360" s="12" t="s">
        <v>713</v>
      </c>
      <c r="N360" s="12"/>
      <c r="O360" s="12"/>
      <c r="P360" s="12"/>
      <c r="Q360" s="12"/>
    </row>
    <row r="361" spans="1:17" x14ac:dyDescent="0.25">
      <c r="A361" s="11">
        <v>103022</v>
      </c>
      <c r="B361" s="12" t="s">
        <v>1491</v>
      </c>
      <c r="C361" s="12" t="s">
        <v>1492</v>
      </c>
      <c r="D361" s="12">
        <v>2</v>
      </c>
      <c r="E361" s="125">
        <v>11003770.67</v>
      </c>
      <c r="F361" s="12">
        <v>-13</v>
      </c>
      <c r="G361" s="125">
        <v>9454928.7699999996</v>
      </c>
      <c r="H361" s="12" t="s">
        <v>86</v>
      </c>
      <c r="I361" s="125">
        <v>176492</v>
      </c>
      <c r="J361" s="13">
        <v>42734.642636886572</v>
      </c>
      <c r="K361" s="13">
        <v>43288</v>
      </c>
      <c r="L361" s="13" t="s">
        <v>1493</v>
      </c>
      <c r="M361" s="12" t="s">
        <v>1494</v>
      </c>
      <c r="N361" s="12"/>
      <c r="O361" s="12"/>
      <c r="P361" s="12"/>
      <c r="Q361" s="12"/>
    </row>
    <row r="362" spans="1:17" x14ac:dyDescent="0.25">
      <c r="A362" s="11">
        <v>103024</v>
      </c>
      <c r="B362" s="12" t="s">
        <v>806</v>
      </c>
      <c r="C362" s="12" t="s">
        <v>807</v>
      </c>
      <c r="D362" s="12">
        <v>1</v>
      </c>
      <c r="E362" s="125">
        <v>5334438.88</v>
      </c>
      <c r="F362" s="12">
        <v>84</v>
      </c>
      <c r="G362" s="125">
        <v>4749594.84</v>
      </c>
      <c r="H362" s="12" t="s">
        <v>468</v>
      </c>
      <c r="I362" s="125">
        <v>347574.42</v>
      </c>
      <c r="J362" s="13">
        <v>42735.676254317128</v>
      </c>
      <c r="K362" s="13">
        <v>43101</v>
      </c>
      <c r="L362" s="13" t="s">
        <v>808</v>
      </c>
      <c r="M362" s="12"/>
      <c r="N362" s="12"/>
      <c r="O362" s="12"/>
      <c r="P362" s="12"/>
      <c r="Q362" s="12"/>
    </row>
    <row r="363" spans="1:17" x14ac:dyDescent="0.25">
      <c r="A363" s="11">
        <v>103027</v>
      </c>
      <c r="B363" s="12" t="s">
        <v>1142</v>
      </c>
      <c r="C363" s="12" t="s">
        <v>2349</v>
      </c>
      <c r="D363" s="12">
        <v>1</v>
      </c>
      <c r="E363" s="125">
        <v>3200663.35</v>
      </c>
      <c r="F363" s="12">
        <v>-7</v>
      </c>
      <c r="G363" s="125">
        <v>3018377.05</v>
      </c>
      <c r="H363" s="12" t="s">
        <v>468</v>
      </c>
      <c r="I363" s="125">
        <v>88539.06</v>
      </c>
      <c r="J363" s="13">
        <v>42735.800914467596</v>
      </c>
      <c r="K363" s="13">
        <v>43101</v>
      </c>
      <c r="L363" s="13" t="s">
        <v>2350</v>
      </c>
      <c r="M363" s="12"/>
      <c r="N363" s="12"/>
      <c r="O363" s="12"/>
      <c r="P363" s="12"/>
      <c r="Q363" s="12"/>
    </row>
    <row r="364" spans="1:17" x14ac:dyDescent="0.25">
      <c r="A364" s="11">
        <v>103032</v>
      </c>
      <c r="B364" s="12" t="s">
        <v>638</v>
      </c>
      <c r="C364" s="12" t="s">
        <v>642</v>
      </c>
      <c r="D364" s="12">
        <v>3</v>
      </c>
      <c r="E364" s="125">
        <v>63879002.189999998</v>
      </c>
      <c r="F364" s="12">
        <v>-15</v>
      </c>
      <c r="G364" s="125">
        <v>37810420.979999997</v>
      </c>
      <c r="H364" s="12" t="s">
        <v>1191</v>
      </c>
      <c r="I364" s="125">
        <v>529345.89</v>
      </c>
      <c r="J364" s="13">
        <v>42744.597391631942</v>
      </c>
      <c r="K364" s="13">
        <v>44205</v>
      </c>
      <c r="L364" s="13" t="s">
        <v>643</v>
      </c>
      <c r="M364" s="12" t="s">
        <v>644</v>
      </c>
      <c r="N364" s="12"/>
      <c r="O364" s="12"/>
      <c r="P364" s="12"/>
      <c r="Q364" s="12"/>
    </row>
    <row r="365" spans="1:17" x14ac:dyDescent="0.25">
      <c r="A365" s="11">
        <v>103033</v>
      </c>
      <c r="B365" s="12" t="s">
        <v>1443</v>
      </c>
      <c r="C365" s="12" t="s">
        <v>1451</v>
      </c>
      <c r="D365" s="12">
        <v>3</v>
      </c>
      <c r="E365" s="125">
        <v>77408412.280000001</v>
      </c>
      <c r="F365" s="12">
        <v>-15</v>
      </c>
      <c r="G365" s="125">
        <v>53223768.729999997</v>
      </c>
      <c r="H365" s="12" t="s">
        <v>86</v>
      </c>
      <c r="I365" s="125">
        <v>745132.76</v>
      </c>
      <c r="J365" s="13">
        <v>42744.666961030096</v>
      </c>
      <c r="K365" s="13">
        <v>43839</v>
      </c>
      <c r="L365" s="13" t="s">
        <v>1452</v>
      </c>
      <c r="M365" s="12" t="s">
        <v>1453</v>
      </c>
      <c r="N365" s="12"/>
      <c r="O365" s="12"/>
      <c r="P365" s="12"/>
      <c r="Q365" s="12"/>
    </row>
    <row r="366" spans="1:17" x14ac:dyDescent="0.25">
      <c r="A366" s="11">
        <v>103034</v>
      </c>
      <c r="B366" s="12" t="s">
        <v>3849</v>
      </c>
      <c r="C366" s="12" t="s">
        <v>3852</v>
      </c>
      <c r="D366" s="12">
        <v>3</v>
      </c>
      <c r="E366" s="125">
        <v>67589386.370000005</v>
      </c>
      <c r="F366" s="12">
        <v>9</v>
      </c>
      <c r="G366" s="125">
        <v>50535831.579999998</v>
      </c>
      <c r="H366" s="12" t="s">
        <v>2855</v>
      </c>
      <c r="I366" s="125">
        <v>396232.44</v>
      </c>
      <c r="J366" s="13">
        <v>42746.718805671298</v>
      </c>
      <c r="K366" s="13">
        <v>43661</v>
      </c>
      <c r="L366" s="13" t="s">
        <v>3853</v>
      </c>
      <c r="M366" s="12" t="s">
        <v>3854</v>
      </c>
      <c r="N366" s="12"/>
      <c r="O366" s="12"/>
      <c r="P366" s="12"/>
      <c r="Q366" s="12"/>
    </row>
    <row r="367" spans="1:17" x14ac:dyDescent="0.25">
      <c r="A367" s="11">
        <v>103035</v>
      </c>
      <c r="B367" s="12" t="s">
        <v>3861</v>
      </c>
      <c r="C367" s="12" t="s">
        <v>3862</v>
      </c>
      <c r="D367" s="12">
        <v>2</v>
      </c>
      <c r="E367" s="125">
        <v>6953835.1799999997</v>
      </c>
      <c r="F367" s="12">
        <v>-19</v>
      </c>
      <c r="G367" s="125">
        <v>6279386.0099999998</v>
      </c>
      <c r="H367" s="12" t="s">
        <v>468</v>
      </c>
      <c r="I367" s="125">
        <v>73259.5</v>
      </c>
      <c r="J367" s="13">
        <v>42747.567707326387</v>
      </c>
      <c r="K367" s="13">
        <v>43203</v>
      </c>
      <c r="L367" s="13" t="s">
        <v>3863</v>
      </c>
      <c r="M367" s="12" t="s">
        <v>3864</v>
      </c>
      <c r="N367" s="12"/>
      <c r="O367" s="12"/>
      <c r="P367" s="12"/>
      <c r="Q367" s="12"/>
    </row>
    <row r="368" spans="1:17" x14ac:dyDescent="0.25">
      <c r="A368" s="11">
        <v>103036</v>
      </c>
      <c r="B368" s="12" t="s">
        <v>685</v>
      </c>
      <c r="C368" s="12" t="s">
        <v>1760</v>
      </c>
      <c r="D368" s="12">
        <v>6</v>
      </c>
      <c r="E368" s="125">
        <v>4018483.4</v>
      </c>
      <c r="F368" s="12">
        <v>-18</v>
      </c>
      <c r="G368" s="125">
        <v>3844623.11</v>
      </c>
      <c r="H368" s="12" t="s">
        <v>86</v>
      </c>
      <c r="I368" s="125">
        <v>42290.85</v>
      </c>
      <c r="J368" s="13">
        <v>42747.564159062502</v>
      </c>
      <c r="K368" s="13">
        <v>43112</v>
      </c>
      <c r="L368" s="13" t="s">
        <v>1761</v>
      </c>
      <c r="M368" s="12" t="s">
        <v>1832</v>
      </c>
      <c r="N368" s="12"/>
      <c r="O368" s="12"/>
      <c r="P368" s="12"/>
      <c r="Q368" s="12"/>
    </row>
    <row r="369" spans="1:17" x14ac:dyDescent="0.25">
      <c r="A369" s="11">
        <v>103037</v>
      </c>
      <c r="B369" s="12" t="s">
        <v>1356</v>
      </c>
      <c r="C369" s="12" t="s">
        <v>1357</v>
      </c>
      <c r="D369" s="12">
        <v>6</v>
      </c>
      <c r="E369" s="125">
        <v>48714118.109999999</v>
      </c>
      <c r="F369" s="12">
        <v>1</v>
      </c>
      <c r="G369" s="125">
        <v>38769731.990000002</v>
      </c>
      <c r="H369" s="12" t="s">
        <v>90</v>
      </c>
      <c r="I369" s="125">
        <v>1163091.96</v>
      </c>
      <c r="J369" s="13">
        <v>42758.473323611113</v>
      </c>
      <c r="K369" s="13">
        <v>43488</v>
      </c>
      <c r="L369" s="13" t="s">
        <v>1358</v>
      </c>
      <c r="M369" s="12"/>
      <c r="N369" s="12"/>
      <c r="O369" s="12"/>
      <c r="P369" s="12"/>
      <c r="Q369" s="12"/>
    </row>
    <row r="370" spans="1:17" x14ac:dyDescent="0.25">
      <c r="A370" s="11">
        <v>103038</v>
      </c>
      <c r="B370" s="12" t="s">
        <v>3867</v>
      </c>
      <c r="C370" s="12" t="s">
        <v>3868</v>
      </c>
      <c r="D370" s="12">
        <v>6</v>
      </c>
      <c r="E370" s="125">
        <v>29981990.5</v>
      </c>
      <c r="F370" s="12">
        <v>-19</v>
      </c>
      <c r="G370" s="125">
        <v>23650721.469999999</v>
      </c>
      <c r="H370" s="12" t="s">
        <v>468</v>
      </c>
      <c r="I370" s="125">
        <v>262785.78999999998</v>
      </c>
      <c r="J370" s="13">
        <v>42748.569454629629</v>
      </c>
      <c r="K370" s="13">
        <v>43478</v>
      </c>
      <c r="L370" s="13" t="s">
        <v>3869</v>
      </c>
      <c r="M370" s="12" t="s">
        <v>3870</v>
      </c>
      <c r="N370" s="12"/>
      <c r="O370" s="12"/>
      <c r="P370" s="12"/>
      <c r="Q370" s="12"/>
    </row>
    <row r="371" spans="1:17" x14ac:dyDescent="0.25">
      <c r="A371" s="11">
        <v>103041</v>
      </c>
      <c r="B371" s="12" t="s">
        <v>2060</v>
      </c>
      <c r="C371" s="12" t="s">
        <v>2062</v>
      </c>
      <c r="D371" s="12">
        <v>3</v>
      </c>
      <c r="E371" s="125">
        <v>89154479.349999994</v>
      </c>
      <c r="F371" s="12">
        <v>103</v>
      </c>
      <c r="G371" s="125">
        <v>58355347.810000002</v>
      </c>
      <c r="H371" s="12" t="s">
        <v>5725</v>
      </c>
      <c r="I371" s="125">
        <v>3297698.88</v>
      </c>
      <c r="J371" s="13">
        <v>42748.729617824072</v>
      </c>
      <c r="K371" s="13">
        <v>43843</v>
      </c>
      <c r="L371" s="13" t="s">
        <v>2063</v>
      </c>
      <c r="M371" s="12"/>
      <c r="N371" s="12"/>
      <c r="O371" s="12"/>
      <c r="P371" s="12"/>
      <c r="Q371" s="12"/>
    </row>
    <row r="372" spans="1:17" x14ac:dyDescent="0.25">
      <c r="A372" s="11">
        <v>103042</v>
      </c>
      <c r="B372" s="12" t="s">
        <v>3877</v>
      </c>
      <c r="C372" s="12" t="s">
        <v>3879</v>
      </c>
      <c r="D372" s="12">
        <v>7</v>
      </c>
      <c r="E372" s="125">
        <v>1065521.78</v>
      </c>
      <c r="F372" s="12">
        <v>-20</v>
      </c>
      <c r="G372" s="125">
        <v>1004837.48</v>
      </c>
      <c r="H372" s="12" t="s">
        <v>5167</v>
      </c>
      <c r="I372" s="125">
        <v>12058.05</v>
      </c>
      <c r="J372" s="13">
        <v>42749.543612303241</v>
      </c>
      <c r="K372" s="13">
        <v>43114</v>
      </c>
      <c r="L372" s="13" t="s">
        <v>3880</v>
      </c>
      <c r="M372" s="12" t="s">
        <v>3881</v>
      </c>
      <c r="N372" s="12" t="s">
        <v>3882</v>
      </c>
      <c r="O372" s="12"/>
      <c r="P372" s="12"/>
      <c r="Q372" s="12"/>
    </row>
    <row r="373" spans="1:17" x14ac:dyDescent="0.25">
      <c r="A373" s="11">
        <v>103044</v>
      </c>
      <c r="B373" s="12" t="s">
        <v>1939</v>
      </c>
      <c r="C373" s="12" t="s">
        <v>1940</v>
      </c>
      <c r="D373" s="12">
        <v>1</v>
      </c>
      <c r="E373" s="125">
        <v>852417.39</v>
      </c>
      <c r="F373" s="12">
        <v>-20</v>
      </c>
      <c r="G373" s="125">
        <v>803869.95</v>
      </c>
      <c r="H373" s="12" t="s">
        <v>1447</v>
      </c>
      <c r="I373" s="125">
        <v>9646.44</v>
      </c>
      <c r="J373" s="13">
        <v>42749.609014085647</v>
      </c>
      <c r="K373" s="13">
        <v>43114</v>
      </c>
      <c r="L373" s="13" t="s">
        <v>1941</v>
      </c>
      <c r="M373" s="12"/>
      <c r="N373" s="12"/>
      <c r="O373" s="12"/>
      <c r="P373" s="12"/>
      <c r="Q373" s="12"/>
    </row>
    <row r="374" spans="1:17" x14ac:dyDescent="0.25">
      <c r="A374" s="11">
        <v>103045</v>
      </c>
      <c r="B374" s="12" t="s">
        <v>3888</v>
      </c>
      <c r="C374" s="12" t="s">
        <v>3889</v>
      </c>
      <c r="D374" s="12">
        <v>2</v>
      </c>
      <c r="E374" s="125">
        <v>11375039.189999999</v>
      </c>
      <c r="F374" s="12">
        <v>-22</v>
      </c>
      <c r="G374" s="125">
        <v>9573154.6099999994</v>
      </c>
      <c r="H374" s="12" t="s">
        <v>468</v>
      </c>
      <c r="I374" s="125">
        <v>89349.440000000002</v>
      </c>
      <c r="J374" s="13">
        <v>42751.566293634256</v>
      </c>
      <c r="K374" s="13">
        <v>43297</v>
      </c>
      <c r="L374" s="13" t="s">
        <v>3890</v>
      </c>
      <c r="M374" s="12" t="s">
        <v>3891</v>
      </c>
      <c r="N374" s="12"/>
      <c r="O374" s="12"/>
      <c r="P374" s="12"/>
      <c r="Q374" s="12"/>
    </row>
    <row r="375" spans="1:17" x14ac:dyDescent="0.25">
      <c r="A375" s="11">
        <v>103046</v>
      </c>
      <c r="B375" s="12" t="s">
        <v>3887</v>
      </c>
      <c r="C375" s="12" t="s">
        <v>3892</v>
      </c>
      <c r="D375" s="12">
        <v>3</v>
      </c>
      <c r="E375" s="125">
        <v>59544932.450000003</v>
      </c>
      <c r="F375" s="12">
        <v>-22</v>
      </c>
      <c r="G375" s="125">
        <v>40941360.549999997</v>
      </c>
      <c r="H375" s="12" t="s">
        <v>4684</v>
      </c>
      <c r="I375" s="125">
        <v>286589.52</v>
      </c>
      <c r="J375" s="13">
        <v>42751.604390127315</v>
      </c>
      <c r="K375" s="13">
        <v>43846</v>
      </c>
      <c r="L375" s="13" t="s">
        <v>3893</v>
      </c>
      <c r="M375" s="12"/>
      <c r="N375" s="12"/>
      <c r="O375" s="12"/>
      <c r="P375" s="12"/>
      <c r="Q375" s="12"/>
    </row>
    <row r="376" spans="1:17" x14ac:dyDescent="0.25">
      <c r="A376" s="11">
        <v>103048</v>
      </c>
      <c r="B376" s="12" t="s">
        <v>3897</v>
      </c>
      <c r="C376" s="12" t="s">
        <v>3903</v>
      </c>
      <c r="D376" s="12">
        <v>7</v>
      </c>
      <c r="E376" s="125">
        <v>1312216.31</v>
      </c>
      <c r="F376" s="12">
        <v>9</v>
      </c>
      <c r="G376" s="125">
        <v>1202411.95</v>
      </c>
      <c r="H376" s="12" t="s">
        <v>1448</v>
      </c>
      <c r="I376" s="125">
        <v>63937.919999999998</v>
      </c>
      <c r="J376" s="13">
        <v>42752.6407056713</v>
      </c>
      <c r="K376" s="13">
        <v>43115</v>
      </c>
      <c r="L376" s="13" t="s">
        <v>3904</v>
      </c>
      <c r="M376" s="12" t="s">
        <v>3905</v>
      </c>
      <c r="N376" s="12"/>
      <c r="O376" s="12"/>
      <c r="P376" s="12"/>
      <c r="Q376" s="12"/>
    </row>
    <row r="377" spans="1:17" x14ac:dyDescent="0.25">
      <c r="A377" s="11">
        <v>103049</v>
      </c>
      <c r="B377" s="12" t="s">
        <v>1605</v>
      </c>
      <c r="C377" s="12" t="s">
        <v>1617</v>
      </c>
      <c r="D377" s="12">
        <v>3</v>
      </c>
      <c r="E377" s="125">
        <v>33965521.960000001</v>
      </c>
      <c r="F377" s="12">
        <v>7</v>
      </c>
      <c r="G377" s="125">
        <v>27579126.210000001</v>
      </c>
      <c r="H377" s="12" t="s">
        <v>468</v>
      </c>
      <c r="I377" s="125">
        <v>160080.94</v>
      </c>
      <c r="J377" s="13">
        <v>42752.741705243054</v>
      </c>
      <c r="K377" s="13">
        <v>43482</v>
      </c>
      <c r="L377" s="13" t="s">
        <v>1618</v>
      </c>
      <c r="M377" s="12"/>
      <c r="N377" s="12" t="s">
        <v>1619</v>
      </c>
      <c r="O377" s="12"/>
      <c r="P377" s="12"/>
      <c r="Q377" s="12"/>
    </row>
    <row r="378" spans="1:17" x14ac:dyDescent="0.25">
      <c r="A378" s="11">
        <v>103051</v>
      </c>
      <c r="B378" s="12" t="s">
        <v>3921</v>
      </c>
      <c r="C378" s="12" t="s">
        <v>3926</v>
      </c>
      <c r="D378" s="12">
        <v>2</v>
      </c>
      <c r="E378" s="125">
        <v>7195287.9900000002</v>
      </c>
      <c r="F378" s="12">
        <v>-24</v>
      </c>
      <c r="G378" s="125">
        <v>6406428.7599999998</v>
      </c>
      <c r="H378" s="12" t="s">
        <v>2538</v>
      </c>
      <c r="I378" s="125">
        <v>42709.53</v>
      </c>
      <c r="J378" s="13">
        <v>42753.750005520837</v>
      </c>
      <c r="K378" s="13">
        <v>43208</v>
      </c>
      <c r="L378" s="13" t="s">
        <v>3927</v>
      </c>
      <c r="M378" s="12" t="s">
        <v>3928</v>
      </c>
      <c r="N378" s="12"/>
      <c r="O378" s="12"/>
      <c r="P378" s="12"/>
      <c r="Q378" s="12"/>
    </row>
    <row r="379" spans="1:17" x14ac:dyDescent="0.25">
      <c r="A379" s="11">
        <v>103052</v>
      </c>
      <c r="B379" s="12" t="s">
        <v>2758</v>
      </c>
      <c r="C379" s="12" t="s">
        <v>2761</v>
      </c>
      <c r="D379" s="12">
        <v>3</v>
      </c>
      <c r="E379" s="125">
        <v>89234676.590000004</v>
      </c>
      <c r="F379" s="12">
        <v>98</v>
      </c>
      <c r="G379" s="125">
        <v>58355347.810000002</v>
      </c>
      <c r="H379" s="12" t="s">
        <v>5724</v>
      </c>
      <c r="I379" s="125">
        <v>3377896.12</v>
      </c>
      <c r="J379" s="13">
        <v>42753.754402546299</v>
      </c>
      <c r="K379" s="13">
        <v>43848</v>
      </c>
      <c r="L379" s="13" t="s">
        <v>2762</v>
      </c>
      <c r="M379" s="12" t="s">
        <v>2763</v>
      </c>
      <c r="N379" s="12"/>
      <c r="O379" s="12"/>
      <c r="P379" s="12"/>
      <c r="Q379" s="12"/>
    </row>
    <row r="380" spans="1:17" x14ac:dyDescent="0.25">
      <c r="A380" s="11">
        <v>103054</v>
      </c>
      <c r="B380" s="12" t="s">
        <v>408</v>
      </c>
      <c r="C380" s="12" t="s">
        <v>412</v>
      </c>
      <c r="D380" s="12">
        <v>3</v>
      </c>
      <c r="E380" s="125">
        <v>25398652.219999999</v>
      </c>
      <c r="F380" s="12">
        <v>37</v>
      </c>
      <c r="G380" s="125">
        <v>21707697.300000001</v>
      </c>
      <c r="H380" s="12" t="s">
        <v>1191</v>
      </c>
      <c r="I380" s="125">
        <v>1194312.98</v>
      </c>
      <c r="J380" s="13">
        <v>42753.798224386577</v>
      </c>
      <c r="K380" s="13">
        <v>43299</v>
      </c>
      <c r="L380" s="13" t="s">
        <v>413</v>
      </c>
      <c r="M380" s="12" t="s">
        <v>414</v>
      </c>
      <c r="N380" s="12"/>
      <c r="O380" s="12"/>
      <c r="P380" s="12"/>
      <c r="Q380" s="12"/>
    </row>
    <row r="381" spans="1:17" x14ac:dyDescent="0.25">
      <c r="A381" s="11">
        <v>103057</v>
      </c>
      <c r="B381" s="12" t="s">
        <v>3941</v>
      </c>
      <c r="C381" s="12" t="s">
        <v>3945</v>
      </c>
      <c r="D381" s="12">
        <v>7</v>
      </c>
      <c r="E381" s="125">
        <v>986995.68</v>
      </c>
      <c r="F381" s="12">
        <v>-26</v>
      </c>
      <c r="G381" s="125">
        <v>924157.49</v>
      </c>
      <c r="H381" s="12" t="s">
        <v>468</v>
      </c>
      <c r="I381" s="125">
        <v>4158.71</v>
      </c>
      <c r="J381" s="13">
        <v>42755.644958530094</v>
      </c>
      <c r="K381" s="13">
        <v>43120</v>
      </c>
      <c r="L381" s="13" t="s">
        <v>3946</v>
      </c>
      <c r="M381" s="12"/>
      <c r="N381" s="12"/>
      <c r="O381" s="12"/>
      <c r="P381" s="12"/>
      <c r="Q381" s="12"/>
    </row>
    <row r="382" spans="1:17" x14ac:dyDescent="0.25">
      <c r="A382" s="11">
        <v>103059</v>
      </c>
      <c r="B382" s="12" t="s">
        <v>3964</v>
      </c>
      <c r="C382" s="12" t="s">
        <v>3968</v>
      </c>
      <c r="D382" s="12">
        <v>2</v>
      </c>
      <c r="E382" s="125">
        <v>10792931.98</v>
      </c>
      <c r="F382" s="12">
        <v>1</v>
      </c>
      <c r="G382" s="125">
        <v>9429671.0999999996</v>
      </c>
      <c r="H382" s="12" t="s">
        <v>2494</v>
      </c>
      <c r="I382" s="125">
        <v>377186.84</v>
      </c>
      <c r="J382" s="13">
        <v>42758.605742858796</v>
      </c>
      <c r="K382" s="13">
        <v>43213</v>
      </c>
      <c r="L382" s="13" t="s">
        <v>3969</v>
      </c>
      <c r="M382" s="12"/>
      <c r="N382" s="12"/>
      <c r="O382" s="12"/>
      <c r="P382" s="12"/>
      <c r="Q382" s="12"/>
    </row>
    <row r="383" spans="1:17" x14ac:dyDescent="0.25">
      <c r="A383" s="11">
        <v>103060</v>
      </c>
      <c r="B383" s="12" t="s">
        <v>732</v>
      </c>
      <c r="C383" s="12" t="s">
        <v>2069</v>
      </c>
      <c r="D383" s="12">
        <v>1</v>
      </c>
      <c r="E383" s="125">
        <v>1917939.06</v>
      </c>
      <c r="F383" s="12">
        <v>-1</v>
      </c>
      <c r="G383" s="125">
        <v>1774151.84</v>
      </c>
      <c r="H383" s="12" t="s">
        <v>2861</v>
      </c>
      <c r="I383" s="125">
        <v>66235</v>
      </c>
      <c r="J383" s="13">
        <v>42760.566499189816</v>
      </c>
      <c r="K383" s="13">
        <v>43125</v>
      </c>
      <c r="L383" s="13" t="s">
        <v>2070</v>
      </c>
      <c r="M383" s="12"/>
      <c r="N383" s="12"/>
      <c r="O383" s="12"/>
      <c r="P383" s="12"/>
      <c r="Q383" s="12"/>
    </row>
    <row r="384" spans="1:17" x14ac:dyDescent="0.25">
      <c r="A384" s="11">
        <v>103061</v>
      </c>
      <c r="B384" s="12" t="s">
        <v>3986</v>
      </c>
      <c r="C384" s="12" t="s">
        <v>3987</v>
      </c>
      <c r="D384" s="12">
        <v>3</v>
      </c>
      <c r="E384" s="125">
        <v>31519076.789999999</v>
      </c>
      <c r="F384" s="12">
        <v>23</v>
      </c>
      <c r="G384" s="125">
        <v>25166255.359999999</v>
      </c>
      <c r="H384" s="12" t="s">
        <v>963</v>
      </c>
      <c r="I384" s="125">
        <v>544884.12</v>
      </c>
      <c r="J384" s="13">
        <v>42762.731174305554</v>
      </c>
      <c r="K384" s="13">
        <v>43497</v>
      </c>
      <c r="L384" s="13" t="s">
        <v>3988</v>
      </c>
      <c r="M384" s="12"/>
      <c r="N384" s="12"/>
      <c r="O384" s="12"/>
      <c r="P384" s="12"/>
      <c r="Q384" s="12"/>
    </row>
    <row r="385" spans="1:17" x14ac:dyDescent="0.25">
      <c r="A385" s="11">
        <v>103063</v>
      </c>
      <c r="B385" s="12" t="s">
        <v>579</v>
      </c>
      <c r="C385" s="12" t="s">
        <v>584</v>
      </c>
      <c r="D385" s="12">
        <v>6</v>
      </c>
      <c r="E385" s="125">
        <v>81523180.200000003</v>
      </c>
      <c r="F385" s="12">
        <v>23</v>
      </c>
      <c r="G385" s="125">
        <v>55626405.399999999</v>
      </c>
      <c r="H385" s="12" t="s">
        <v>963</v>
      </c>
      <c r="I385" s="125">
        <v>2784766.33</v>
      </c>
      <c r="J385" s="13">
        <v>42763.488965046294</v>
      </c>
      <c r="K385" s="13">
        <v>43862</v>
      </c>
      <c r="L385" s="13" t="s">
        <v>585</v>
      </c>
      <c r="M385" s="12" t="s">
        <v>586</v>
      </c>
      <c r="N385" s="12"/>
      <c r="O385" s="12"/>
      <c r="P385" s="12"/>
      <c r="Q385" s="12"/>
    </row>
    <row r="386" spans="1:17" x14ac:dyDescent="0.25">
      <c r="A386" s="11">
        <v>103064</v>
      </c>
      <c r="B386" s="12" t="s">
        <v>3989</v>
      </c>
      <c r="C386" s="12" t="s">
        <v>3992</v>
      </c>
      <c r="D386" s="12">
        <v>2</v>
      </c>
      <c r="E386" s="125">
        <v>8524173.8399999999</v>
      </c>
      <c r="F386" s="12">
        <v>21</v>
      </c>
      <c r="G386" s="125">
        <v>7735464.4800000004</v>
      </c>
      <c r="H386" s="12" t="s">
        <v>86</v>
      </c>
      <c r="I386" s="125">
        <v>467120.97</v>
      </c>
      <c r="J386" s="13">
        <v>42763.562554895834</v>
      </c>
      <c r="K386" s="13">
        <v>43134</v>
      </c>
      <c r="L386" s="13" t="s">
        <v>3993</v>
      </c>
      <c r="M386" s="12"/>
      <c r="N386" s="12"/>
      <c r="O386" s="12"/>
      <c r="P386" s="12"/>
      <c r="Q386" s="12"/>
    </row>
    <row r="387" spans="1:17" x14ac:dyDescent="0.25">
      <c r="A387" s="11">
        <v>103065</v>
      </c>
      <c r="B387" s="12" t="s">
        <v>1124</v>
      </c>
      <c r="C387" s="12" t="s">
        <v>1127</v>
      </c>
      <c r="D387" s="12">
        <v>5</v>
      </c>
      <c r="E387" s="125">
        <v>53545379.439999998</v>
      </c>
      <c r="F387" s="12">
        <v>-27</v>
      </c>
      <c r="G387" s="125">
        <v>34861966.829999998</v>
      </c>
      <c r="H387" s="12" t="s">
        <v>284</v>
      </c>
      <c r="I387" s="125">
        <v>42609.07</v>
      </c>
      <c r="J387" s="13">
        <v>42763.603369560187</v>
      </c>
      <c r="K387" s="13">
        <v>44582</v>
      </c>
      <c r="L387" s="13" t="s">
        <v>1128</v>
      </c>
      <c r="M387" s="12"/>
      <c r="N387" s="12"/>
      <c r="O387" s="12"/>
      <c r="P387" s="12"/>
      <c r="Q387" s="12"/>
    </row>
    <row r="388" spans="1:17" x14ac:dyDescent="0.25">
      <c r="A388" s="11">
        <v>103066</v>
      </c>
      <c r="B388" s="12" t="s">
        <v>2104</v>
      </c>
      <c r="C388" s="12" t="s">
        <v>2109</v>
      </c>
      <c r="D388" s="12">
        <v>1</v>
      </c>
      <c r="E388" s="125">
        <v>7761.31</v>
      </c>
      <c r="F388" s="12">
        <v>21</v>
      </c>
      <c r="G388" s="125">
        <v>7761.31</v>
      </c>
      <c r="H388" s="12" t="s">
        <v>468</v>
      </c>
      <c r="I388" s="125">
        <v>0</v>
      </c>
      <c r="J388" s="13">
        <v>42765.530551701391</v>
      </c>
      <c r="K388" s="13">
        <v>43042</v>
      </c>
      <c r="L388" s="13" t="s">
        <v>2110</v>
      </c>
      <c r="M388" s="12"/>
      <c r="N388" s="12"/>
      <c r="O388" s="12"/>
      <c r="P388" s="12"/>
      <c r="Q388" s="12"/>
    </row>
    <row r="389" spans="1:17" x14ac:dyDescent="0.25">
      <c r="A389" s="11">
        <v>103067</v>
      </c>
      <c r="B389" s="12" t="s">
        <v>665</v>
      </c>
      <c r="C389" s="12" t="s">
        <v>666</v>
      </c>
      <c r="D389" s="12">
        <v>2</v>
      </c>
      <c r="E389" s="125">
        <v>13665836.84</v>
      </c>
      <c r="F389" s="12">
        <v>-7</v>
      </c>
      <c r="G389" s="125">
        <v>11548818.5</v>
      </c>
      <c r="H389" s="12" t="s">
        <v>86</v>
      </c>
      <c r="I389" s="125">
        <v>296419.67</v>
      </c>
      <c r="J389" s="13">
        <v>42765.62096990741</v>
      </c>
      <c r="K389" s="13">
        <v>43315</v>
      </c>
      <c r="L389" s="13" t="s">
        <v>667</v>
      </c>
      <c r="M389" s="12" t="s">
        <v>668</v>
      </c>
      <c r="N389" s="12"/>
      <c r="O389" s="12"/>
      <c r="P389" s="12"/>
      <c r="Q389" s="12"/>
    </row>
    <row r="390" spans="1:17" x14ac:dyDescent="0.25">
      <c r="A390" s="11">
        <v>103068</v>
      </c>
      <c r="B390" s="12" t="s">
        <v>811</v>
      </c>
      <c r="C390" s="12" t="s">
        <v>1894</v>
      </c>
      <c r="D390" s="12">
        <v>7</v>
      </c>
      <c r="E390" s="125">
        <v>1586362.43</v>
      </c>
      <c r="F390" s="12">
        <v>84</v>
      </c>
      <c r="G390" s="125">
        <v>1398192.91</v>
      </c>
      <c r="H390" s="12" t="s">
        <v>2538</v>
      </c>
      <c r="I390" s="125">
        <v>89757.46</v>
      </c>
      <c r="J390" s="13">
        <v>42765.675759456019</v>
      </c>
      <c r="K390" s="13">
        <v>43134</v>
      </c>
      <c r="L390" s="13" t="s">
        <v>1895</v>
      </c>
      <c r="M390" s="12"/>
      <c r="N390" s="12"/>
      <c r="O390" s="12"/>
      <c r="P390" s="12"/>
      <c r="Q390" s="12"/>
    </row>
    <row r="391" spans="1:17" x14ac:dyDescent="0.25">
      <c r="A391" s="11">
        <v>103069</v>
      </c>
      <c r="B391" s="12" t="s">
        <v>639</v>
      </c>
      <c r="C391" s="12" t="s">
        <v>640</v>
      </c>
      <c r="D391" s="12">
        <v>6</v>
      </c>
      <c r="E391" s="125">
        <v>3682351.17</v>
      </c>
      <c r="F391" s="12">
        <v>23</v>
      </c>
      <c r="G391" s="125">
        <v>3508050.77</v>
      </c>
      <c r="H391" s="12" t="s">
        <v>86</v>
      </c>
      <c r="I391" s="125">
        <v>62577.7</v>
      </c>
      <c r="J391" s="13">
        <v>42765.716487962964</v>
      </c>
      <c r="K391" s="13">
        <v>43134</v>
      </c>
      <c r="L391" s="13" t="s">
        <v>641</v>
      </c>
      <c r="M391" s="12"/>
      <c r="N391" s="12"/>
      <c r="O391" s="12"/>
      <c r="P391" s="12"/>
      <c r="Q391" s="12"/>
    </row>
    <row r="392" spans="1:17" x14ac:dyDescent="0.25">
      <c r="A392" s="11">
        <v>103070</v>
      </c>
      <c r="B392" s="12" t="s">
        <v>4012</v>
      </c>
      <c r="C392" s="12" t="s">
        <v>4017</v>
      </c>
      <c r="D392" s="12">
        <v>3</v>
      </c>
      <c r="E392" s="125">
        <v>76792747.760000005</v>
      </c>
      <c r="F392" s="12">
        <v>207</v>
      </c>
      <c r="G392" s="125">
        <v>48442901.219999999</v>
      </c>
      <c r="H392" s="12" t="s">
        <v>5725</v>
      </c>
      <c r="I392" s="125">
        <v>1722057.41</v>
      </c>
      <c r="J392" s="13">
        <v>42766.59911087963</v>
      </c>
      <c r="K392" s="13">
        <v>43864</v>
      </c>
      <c r="L392" s="13" t="s">
        <v>4018</v>
      </c>
      <c r="M392" s="12"/>
      <c r="N392" s="12"/>
      <c r="O392" s="12"/>
      <c r="P392" s="12"/>
      <c r="Q392" s="12"/>
    </row>
    <row r="393" spans="1:17" x14ac:dyDescent="0.25">
      <c r="A393" s="11">
        <v>103071</v>
      </c>
      <c r="B393" s="12" t="s">
        <v>93</v>
      </c>
      <c r="C393" s="12" t="s">
        <v>255</v>
      </c>
      <c r="D393" s="12">
        <v>8</v>
      </c>
      <c r="E393" s="125">
        <v>2921629.31</v>
      </c>
      <c r="F393" s="12">
        <v>23</v>
      </c>
      <c r="G393" s="125">
        <v>2679456.13</v>
      </c>
      <c r="H393" s="12" t="s">
        <v>1447</v>
      </c>
      <c r="I393" s="125">
        <v>143652.04999999999</v>
      </c>
      <c r="J393" s="13">
        <v>42766.770023611112</v>
      </c>
      <c r="K393" s="13">
        <v>43134</v>
      </c>
      <c r="L393" s="13" t="s">
        <v>256</v>
      </c>
      <c r="M393" s="12" t="s">
        <v>257</v>
      </c>
      <c r="N393" s="12"/>
      <c r="O393" s="12"/>
      <c r="P393" s="12"/>
      <c r="Q393" s="12"/>
    </row>
    <row r="394" spans="1:17" x14ac:dyDescent="0.25">
      <c r="A394" s="11">
        <v>103072</v>
      </c>
      <c r="B394" s="12" t="s">
        <v>4015</v>
      </c>
      <c r="C394" s="12" t="s">
        <v>4019</v>
      </c>
      <c r="D394" s="12">
        <v>7</v>
      </c>
      <c r="E394" s="125">
        <v>1708114.7</v>
      </c>
      <c r="F394" s="12">
        <v>23</v>
      </c>
      <c r="G394" s="125">
        <v>1549076.36</v>
      </c>
      <c r="H394" s="12" t="s">
        <v>963</v>
      </c>
      <c r="I394" s="125">
        <v>96702.06</v>
      </c>
      <c r="J394" s="13">
        <v>42766.783886226855</v>
      </c>
      <c r="K394" s="13">
        <v>43134</v>
      </c>
      <c r="L394" s="13" t="s">
        <v>4020</v>
      </c>
      <c r="M394" s="12" t="s">
        <v>4021</v>
      </c>
      <c r="N394" s="12"/>
      <c r="O394" s="12"/>
      <c r="P394" s="12"/>
      <c r="Q394" s="12"/>
    </row>
    <row r="395" spans="1:17" x14ac:dyDescent="0.25">
      <c r="A395" s="11">
        <v>103073</v>
      </c>
      <c r="B395" s="12" t="s">
        <v>1899</v>
      </c>
      <c r="C395" s="12" t="s">
        <v>1901</v>
      </c>
      <c r="D395" s="12">
        <v>3</v>
      </c>
      <c r="E395" s="125">
        <v>63648206.280000001</v>
      </c>
      <c r="F395" s="12">
        <v>50</v>
      </c>
      <c r="G395" s="125">
        <v>50377873.240000002</v>
      </c>
      <c r="H395" s="12" t="s">
        <v>1447</v>
      </c>
      <c r="I395" s="125">
        <v>1450933.78</v>
      </c>
      <c r="J395" s="13">
        <v>42766.845477395836</v>
      </c>
      <c r="K395" s="13">
        <v>43503</v>
      </c>
      <c r="L395" s="13" t="s">
        <v>1902</v>
      </c>
      <c r="M395" s="12"/>
      <c r="N395" s="12" t="s">
        <v>1903</v>
      </c>
      <c r="O395" s="12"/>
      <c r="P395" s="12"/>
      <c r="Q395" s="12"/>
    </row>
    <row r="396" spans="1:17" x14ac:dyDescent="0.25">
      <c r="A396" s="11">
        <v>103074</v>
      </c>
      <c r="B396" s="12" t="s">
        <v>130</v>
      </c>
      <c r="C396" s="12" t="s">
        <v>131</v>
      </c>
      <c r="D396" s="12">
        <v>3</v>
      </c>
      <c r="E396" s="125">
        <v>69715347.370000005</v>
      </c>
      <c r="F396" s="12">
        <v>-7</v>
      </c>
      <c r="G396" s="125">
        <v>51169733.530000001</v>
      </c>
      <c r="H396" s="12" t="s">
        <v>90</v>
      </c>
      <c r="I396" s="125">
        <v>1125734.1399999999</v>
      </c>
      <c r="J396" s="13">
        <v>42766.894392326387</v>
      </c>
      <c r="K396" s="13">
        <v>43680</v>
      </c>
      <c r="L396" s="13" t="s">
        <v>132</v>
      </c>
      <c r="M396" s="12" t="s">
        <v>133</v>
      </c>
      <c r="N396" s="12"/>
      <c r="O396" s="12"/>
      <c r="P396" s="12"/>
      <c r="Q396" s="12"/>
    </row>
    <row r="397" spans="1:17" x14ac:dyDescent="0.25">
      <c r="A397" s="11">
        <v>103075</v>
      </c>
      <c r="B397" s="12" t="s">
        <v>4010</v>
      </c>
      <c r="C397" s="12" t="s">
        <v>4022</v>
      </c>
      <c r="D397" s="12">
        <v>1</v>
      </c>
      <c r="E397" s="125">
        <v>1085126.2</v>
      </c>
      <c r="F397" s="12">
        <v>23</v>
      </c>
      <c r="G397" s="125">
        <v>984987.52</v>
      </c>
      <c r="H397" s="12" t="s">
        <v>2494</v>
      </c>
      <c r="I397" s="125">
        <v>55333.23</v>
      </c>
      <c r="J397" s="13">
        <v>42766.930841747686</v>
      </c>
      <c r="K397" s="13">
        <v>43134</v>
      </c>
      <c r="L397" s="13" t="s">
        <v>4023</v>
      </c>
      <c r="M397" s="12" t="s">
        <v>4024</v>
      </c>
      <c r="N397" s="12"/>
      <c r="O397" s="12"/>
      <c r="P397" s="12"/>
      <c r="Q397" s="12"/>
    </row>
    <row r="398" spans="1:17" x14ac:dyDescent="0.25">
      <c r="A398" s="11">
        <v>103076</v>
      </c>
      <c r="B398" s="12" t="s">
        <v>4041</v>
      </c>
      <c r="C398" s="12" t="s">
        <v>4043</v>
      </c>
      <c r="D398" s="12">
        <v>1</v>
      </c>
      <c r="E398" s="125">
        <v>739745.61</v>
      </c>
      <c r="F398" s="12">
        <v>-8</v>
      </c>
      <c r="G398" s="125">
        <v>711293.86</v>
      </c>
      <c r="H398" s="12" t="s">
        <v>5725</v>
      </c>
      <c r="I398" s="125">
        <v>19916.23</v>
      </c>
      <c r="J398" s="13">
        <v>42768.689616203701</v>
      </c>
      <c r="K398" s="13">
        <v>43071</v>
      </c>
      <c r="L398" s="13" t="s">
        <v>4044</v>
      </c>
      <c r="M398" s="12"/>
      <c r="N398" s="12"/>
      <c r="O398" s="12"/>
      <c r="P398" s="12"/>
      <c r="Q398" s="12"/>
    </row>
    <row r="399" spans="1:17" x14ac:dyDescent="0.25">
      <c r="A399" s="11">
        <v>103077</v>
      </c>
      <c r="B399" s="12" t="s">
        <v>1015</v>
      </c>
      <c r="C399" s="12" t="s">
        <v>1019</v>
      </c>
      <c r="D399" s="12">
        <v>3</v>
      </c>
      <c r="E399" s="125">
        <v>12055450.25</v>
      </c>
      <c r="F399" s="12">
        <v>-9</v>
      </c>
      <c r="G399" s="125">
        <v>11366727.82</v>
      </c>
      <c r="H399" s="12" t="s">
        <v>2855</v>
      </c>
      <c r="I399" s="125">
        <v>227334.56</v>
      </c>
      <c r="J399" s="13">
        <v>42769.700199687497</v>
      </c>
      <c r="K399" s="13">
        <v>43134</v>
      </c>
      <c r="L399" s="13" t="s">
        <v>1020</v>
      </c>
      <c r="M399" s="12" t="s">
        <v>1021</v>
      </c>
      <c r="N399" s="12"/>
      <c r="O399" s="12"/>
      <c r="P399" s="12"/>
      <c r="Q399" s="12"/>
    </row>
    <row r="400" spans="1:17" x14ac:dyDescent="0.25">
      <c r="A400" s="11">
        <v>103078</v>
      </c>
      <c r="B400" s="12" t="s">
        <v>1947</v>
      </c>
      <c r="C400" s="12" t="s">
        <v>1949</v>
      </c>
      <c r="D400" s="12">
        <v>2</v>
      </c>
      <c r="E400" s="125">
        <v>13647031.289999999</v>
      </c>
      <c r="F400" s="12">
        <v>-9</v>
      </c>
      <c r="G400" s="125">
        <v>11535815.109999999</v>
      </c>
      <c r="H400" s="12" t="s">
        <v>4684</v>
      </c>
      <c r="I400" s="125">
        <v>269169.02</v>
      </c>
      <c r="J400" s="13">
        <v>42769.714571296296</v>
      </c>
      <c r="K400" s="13">
        <v>43315</v>
      </c>
      <c r="L400" s="13" t="s">
        <v>1950</v>
      </c>
      <c r="M400" s="12" t="s">
        <v>1951</v>
      </c>
      <c r="N400" s="12"/>
      <c r="O400" s="12"/>
      <c r="P400" s="12"/>
      <c r="Q400" s="12"/>
    </row>
    <row r="401" spans="1:17" x14ac:dyDescent="0.25">
      <c r="A401" s="11">
        <v>103079</v>
      </c>
      <c r="B401" s="12" t="s">
        <v>4046</v>
      </c>
      <c r="C401" s="12" t="s">
        <v>4047</v>
      </c>
      <c r="D401" s="12">
        <v>2</v>
      </c>
      <c r="E401" s="125">
        <v>4967229.5599999996</v>
      </c>
      <c r="F401" s="12">
        <v>-9</v>
      </c>
      <c r="G401" s="125">
        <v>4638791.34</v>
      </c>
      <c r="H401" s="12" t="s">
        <v>5167</v>
      </c>
      <c r="I401" s="125">
        <v>108238.46</v>
      </c>
      <c r="J401" s="13">
        <v>42769.727911192131</v>
      </c>
      <c r="K401" s="13">
        <v>43134</v>
      </c>
      <c r="L401" s="13" t="s">
        <v>4048</v>
      </c>
      <c r="M401" s="12"/>
      <c r="N401" s="12"/>
      <c r="O401" s="12"/>
      <c r="P401" s="12"/>
      <c r="Q401" s="12"/>
    </row>
    <row r="402" spans="1:17" x14ac:dyDescent="0.25">
      <c r="A402" s="11">
        <v>103081</v>
      </c>
      <c r="B402" s="12" t="s">
        <v>4056</v>
      </c>
      <c r="C402" s="12" t="s">
        <v>4057</v>
      </c>
      <c r="D402" s="12">
        <v>1</v>
      </c>
      <c r="E402" s="125">
        <v>3196565.15</v>
      </c>
      <c r="F402" s="12">
        <v>-13</v>
      </c>
      <c r="G402" s="125">
        <v>2956919.77</v>
      </c>
      <c r="H402" s="12" t="s">
        <v>2494</v>
      </c>
      <c r="I402" s="125">
        <v>63080.959999999999</v>
      </c>
      <c r="J402" s="13">
        <v>42773.480308715276</v>
      </c>
      <c r="K402" s="13">
        <v>43138</v>
      </c>
      <c r="L402" s="13" t="s">
        <v>4058</v>
      </c>
      <c r="M402" s="12" t="s">
        <v>4059</v>
      </c>
      <c r="N402" s="12"/>
      <c r="O402" s="12"/>
      <c r="P402" s="12"/>
      <c r="Q402" s="12"/>
    </row>
    <row r="403" spans="1:17" x14ac:dyDescent="0.25">
      <c r="A403" s="11">
        <v>103082</v>
      </c>
      <c r="B403" s="12" t="s">
        <v>478</v>
      </c>
      <c r="C403" s="12" t="s">
        <v>479</v>
      </c>
      <c r="D403" s="12">
        <v>6</v>
      </c>
      <c r="E403" s="125">
        <v>17714224.760000002</v>
      </c>
      <c r="F403" s="12">
        <v>-13</v>
      </c>
      <c r="G403" s="125">
        <v>14098084.359999999</v>
      </c>
      <c r="H403" s="12" t="s">
        <v>86</v>
      </c>
      <c r="I403" s="125">
        <v>225569.35</v>
      </c>
      <c r="J403" s="13">
        <v>42773.655355821757</v>
      </c>
      <c r="K403" s="13">
        <v>43503</v>
      </c>
      <c r="L403" s="13" t="s">
        <v>480</v>
      </c>
      <c r="M403" s="12"/>
      <c r="N403" s="12"/>
      <c r="O403" s="12"/>
      <c r="P403" s="12"/>
      <c r="Q403" s="12"/>
    </row>
    <row r="404" spans="1:17" x14ac:dyDescent="0.25">
      <c r="A404" s="11">
        <v>103083</v>
      </c>
      <c r="B404" s="12" t="s">
        <v>4060</v>
      </c>
      <c r="C404" s="12" t="s">
        <v>4062</v>
      </c>
      <c r="D404" s="12">
        <v>1</v>
      </c>
      <c r="E404" s="125">
        <v>413059.12</v>
      </c>
      <c r="F404" s="12">
        <v>16</v>
      </c>
      <c r="G404" s="125">
        <v>413059.12</v>
      </c>
      <c r="H404" s="12" t="s">
        <v>2855</v>
      </c>
      <c r="I404" s="125">
        <v>0</v>
      </c>
      <c r="J404" s="13">
        <v>42774.582986076392</v>
      </c>
      <c r="K404" s="13">
        <v>43047</v>
      </c>
      <c r="L404" s="13" t="s">
        <v>4063</v>
      </c>
      <c r="M404" s="12" t="s">
        <v>4064</v>
      </c>
      <c r="N404" s="12"/>
      <c r="O404" s="12"/>
      <c r="P404" s="12"/>
      <c r="Q404" s="12"/>
    </row>
    <row r="405" spans="1:17" x14ac:dyDescent="0.25">
      <c r="A405" s="11">
        <v>103085</v>
      </c>
      <c r="B405" s="12" t="s">
        <v>1542</v>
      </c>
      <c r="C405" s="12" t="s">
        <v>1544</v>
      </c>
      <c r="D405" s="12">
        <v>2</v>
      </c>
      <c r="E405" s="125">
        <v>12021913.77</v>
      </c>
      <c r="F405" s="12">
        <v>-21</v>
      </c>
      <c r="G405" s="125">
        <v>10162105.699999999</v>
      </c>
      <c r="H405" s="12" t="s">
        <v>1191</v>
      </c>
      <c r="I405" s="125">
        <v>94846.32</v>
      </c>
      <c r="J405" s="13">
        <v>42775.669208182873</v>
      </c>
      <c r="K405" s="13">
        <v>43327</v>
      </c>
      <c r="L405" s="13" t="s">
        <v>1545</v>
      </c>
      <c r="M405" s="12" t="s">
        <v>1546</v>
      </c>
      <c r="N405" s="12"/>
      <c r="O405" s="12"/>
      <c r="P405" s="12"/>
      <c r="Q405" s="12"/>
    </row>
    <row r="406" spans="1:17" x14ac:dyDescent="0.25">
      <c r="A406" s="11">
        <v>103086</v>
      </c>
      <c r="B406" s="12" t="s">
        <v>1028</v>
      </c>
      <c r="C406" s="12" t="s">
        <v>1029</v>
      </c>
      <c r="D406" s="12">
        <v>6</v>
      </c>
      <c r="E406" s="125">
        <v>10797241.390000001</v>
      </c>
      <c r="F406" s="12">
        <v>-16</v>
      </c>
      <c r="G406" s="125">
        <v>9340944.1600000001</v>
      </c>
      <c r="H406" s="12" t="s">
        <v>963</v>
      </c>
      <c r="I406" s="125">
        <v>121432.27</v>
      </c>
      <c r="J406" s="13">
        <v>42776.647220682869</v>
      </c>
      <c r="K406" s="13">
        <v>43322</v>
      </c>
      <c r="L406" s="13" t="s">
        <v>1030</v>
      </c>
      <c r="M406" s="12" t="s">
        <v>1031</v>
      </c>
      <c r="N406" s="12"/>
      <c r="O406" s="12"/>
      <c r="P406" s="12"/>
      <c r="Q406" s="12"/>
    </row>
    <row r="407" spans="1:17" x14ac:dyDescent="0.25">
      <c r="A407" s="11">
        <v>103088</v>
      </c>
      <c r="B407" s="12" t="s">
        <v>2124</v>
      </c>
      <c r="C407" s="12" t="s">
        <v>2126</v>
      </c>
      <c r="D407" s="12">
        <v>3</v>
      </c>
      <c r="E407" s="125">
        <v>29287518.390000001</v>
      </c>
      <c r="F407" s="12">
        <v>11</v>
      </c>
      <c r="G407" s="125">
        <v>22992719.140000001</v>
      </c>
      <c r="H407" s="12" t="s">
        <v>1447</v>
      </c>
      <c r="I407" s="125">
        <v>908301.88</v>
      </c>
      <c r="J407" s="13">
        <v>42779.397830173613</v>
      </c>
      <c r="K407" s="13">
        <v>43509</v>
      </c>
      <c r="L407" s="13" t="s">
        <v>2127</v>
      </c>
      <c r="M407" s="12"/>
      <c r="N407" s="12"/>
      <c r="O407" s="12"/>
      <c r="P407" s="12"/>
      <c r="Q407" s="12"/>
    </row>
    <row r="408" spans="1:17" x14ac:dyDescent="0.25">
      <c r="A408" s="11">
        <v>103089</v>
      </c>
      <c r="B408" s="12" t="s">
        <v>4104</v>
      </c>
      <c r="C408" s="12" t="s">
        <v>4105</v>
      </c>
      <c r="D408" s="12">
        <v>1</v>
      </c>
      <c r="E408" s="125">
        <v>2302989.98</v>
      </c>
      <c r="F408" s="12">
        <v>-20</v>
      </c>
      <c r="G408" s="125">
        <v>2110279.12</v>
      </c>
      <c r="H408" s="12" t="s">
        <v>5167</v>
      </c>
      <c r="I408" s="125">
        <v>28488.77</v>
      </c>
      <c r="J408" s="13">
        <v>42780.510733530093</v>
      </c>
      <c r="K408" s="13">
        <v>43145</v>
      </c>
      <c r="L408" s="13" t="s">
        <v>4106</v>
      </c>
      <c r="M408" s="12" t="s">
        <v>4107</v>
      </c>
      <c r="N408" s="12"/>
      <c r="O408" s="12"/>
      <c r="P408" s="12"/>
      <c r="Q408" s="12"/>
    </row>
    <row r="409" spans="1:17" x14ac:dyDescent="0.25">
      <c r="A409" s="11">
        <v>103091</v>
      </c>
      <c r="B409" s="12" t="s">
        <v>841</v>
      </c>
      <c r="C409" s="12" t="s">
        <v>842</v>
      </c>
      <c r="D409" s="12">
        <v>3</v>
      </c>
      <c r="E409" s="125">
        <v>46383320.100000001</v>
      </c>
      <c r="F409" s="12">
        <v>10</v>
      </c>
      <c r="G409" s="125">
        <v>37944964.439999998</v>
      </c>
      <c r="H409" s="12" t="s">
        <v>86</v>
      </c>
      <c r="I409" s="125">
        <v>1457987.22</v>
      </c>
      <c r="J409" s="13">
        <v>42780.685994212959</v>
      </c>
      <c r="K409" s="13">
        <v>43418</v>
      </c>
      <c r="L409" s="13" t="s">
        <v>843</v>
      </c>
      <c r="M409" s="12"/>
      <c r="N409" s="12"/>
      <c r="O409" s="12"/>
      <c r="P409" s="12"/>
      <c r="Q409" s="12"/>
    </row>
    <row r="410" spans="1:17" x14ac:dyDescent="0.25">
      <c r="A410" s="11">
        <v>103092</v>
      </c>
      <c r="B410" s="12" t="s">
        <v>1529</v>
      </c>
      <c r="C410" s="12" t="s">
        <v>1538</v>
      </c>
      <c r="D410" s="12">
        <v>3</v>
      </c>
      <c r="E410" s="125">
        <v>26175130.48</v>
      </c>
      <c r="F410" s="12">
        <v>-20</v>
      </c>
      <c r="G410" s="125">
        <v>22644713</v>
      </c>
      <c r="H410" s="12" t="s">
        <v>90</v>
      </c>
      <c r="I410" s="125">
        <v>203802.42</v>
      </c>
      <c r="J410" s="13">
        <v>42780.734529895832</v>
      </c>
      <c r="K410" s="13">
        <v>43326</v>
      </c>
      <c r="L410" s="13" t="s">
        <v>1539</v>
      </c>
      <c r="M410" s="12"/>
      <c r="N410" s="12"/>
      <c r="O410" s="12"/>
      <c r="P410" s="12"/>
      <c r="Q410" s="12"/>
    </row>
    <row r="411" spans="1:17" x14ac:dyDescent="0.25">
      <c r="A411" s="11">
        <v>103093</v>
      </c>
      <c r="B411" s="12" t="s">
        <v>174</v>
      </c>
      <c r="C411" s="12" t="s">
        <v>175</v>
      </c>
      <c r="D411" s="12">
        <v>7</v>
      </c>
      <c r="E411" s="125">
        <v>1121537.3899999999</v>
      </c>
      <c r="F411" s="12">
        <v>9</v>
      </c>
      <c r="G411" s="125">
        <v>1049643.77</v>
      </c>
      <c r="H411" s="12" t="s">
        <v>90</v>
      </c>
      <c r="I411" s="125">
        <v>9462.14</v>
      </c>
      <c r="J411" s="13">
        <v>42781.736808333335</v>
      </c>
      <c r="K411" s="13">
        <v>43146</v>
      </c>
      <c r="L411" s="13" t="s">
        <v>176</v>
      </c>
      <c r="M411" s="12"/>
      <c r="N411" s="12"/>
      <c r="O411" s="12"/>
      <c r="P411" s="12"/>
      <c r="Q411" s="12"/>
    </row>
    <row r="412" spans="1:17" x14ac:dyDescent="0.25">
      <c r="A412" s="11">
        <v>103094</v>
      </c>
      <c r="B412" s="12" t="s">
        <v>4110</v>
      </c>
      <c r="C412" s="12" t="s">
        <v>4112</v>
      </c>
      <c r="D412" s="12">
        <v>3</v>
      </c>
      <c r="E412" s="125">
        <v>10548518.99</v>
      </c>
      <c r="F412" s="12">
        <v>-21</v>
      </c>
      <c r="G412" s="125">
        <v>9945886.8599999994</v>
      </c>
      <c r="H412" s="12" t="s">
        <v>468</v>
      </c>
      <c r="I412" s="125">
        <v>79567.09</v>
      </c>
      <c r="J412" s="13">
        <v>42781.798640624998</v>
      </c>
      <c r="K412" s="13">
        <v>43146</v>
      </c>
      <c r="L412" s="13" t="s">
        <v>4113</v>
      </c>
      <c r="M412" s="12" t="s">
        <v>4114</v>
      </c>
      <c r="N412" s="12"/>
      <c r="O412" s="12"/>
      <c r="P412" s="12"/>
      <c r="Q412" s="12"/>
    </row>
    <row r="413" spans="1:17" x14ac:dyDescent="0.25">
      <c r="A413" s="11">
        <v>103095</v>
      </c>
      <c r="B413" s="12" t="s">
        <v>415</v>
      </c>
      <c r="C413" s="12" t="s">
        <v>417</v>
      </c>
      <c r="D413" s="12">
        <v>3</v>
      </c>
      <c r="E413" s="125">
        <v>48213200.039999999</v>
      </c>
      <c r="F413" s="12">
        <v>-23</v>
      </c>
      <c r="G413" s="125">
        <v>35390840.109999999</v>
      </c>
      <c r="H413" s="12" t="s">
        <v>1925</v>
      </c>
      <c r="I413" s="125">
        <v>212345.04</v>
      </c>
      <c r="J413" s="13">
        <v>42783.688062303241</v>
      </c>
      <c r="K413" s="13">
        <v>43694</v>
      </c>
      <c r="L413" s="13" t="s">
        <v>418</v>
      </c>
      <c r="M413" s="12" t="s">
        <v>419</v>
      </c>
      <c r="N413" s="12"/>
      <c r="O413" s="12"/>
      <c r="P413" s="12"/>
      <c r="Q413" s="12"/>
    </row>
    <row r="414" spans="1:17" x14ac:dyDescent="0.25">
      <c r="A414" s="11">
        <v>103096</v>
      </c>
      <c r="B414" s="12" t="s">
        <v>230</v>
      </c>
      <c r="C414" s="12" t="s">
        <v>231</v>
      </c>
      <c r="D414" s="12">
        <v>3</v>
      </c>
      <c r="E414" s="125">
        <v>48714118.109999999</v>
      </c>
      <c r="F414" s="12">
        <v>-26</v>
      </c>
      <c r="G414" s="125">
        <v>38769731.990000002</v>
      </c>
      <c r="H414" s="12" t="s">
        <v>86</v>
      </c>
      <c r="I414" s="125">
        <v>116309.2</v>
      </c>
      <c r="J414" s="13">
        <v>42786.551654629628</v>
      </c>
      <c r="K414" s="13">
        <v>43516</v>
      </c>
      <c r="L414" s="13" t="s">
        <v>232</v>
      </c>
      <c r="M414" s="12"/>
      <c r="N414" s="12"/>
      <c r="O414" s="12"/>
      <c r="P414" s="12"/>
      <c r="Q414" s="12"/>
    </row>
    <row r="415" spans="1:17" x14ac:dyDescent="0.25">
      <c r="A415" s="11">
        <v>103097</v>
      </c>
      <c r="B415" s="12" t="s">
        <v>4128</v>
      </c>
      <c r="C415" s="12" t="s">
        <v>4131</v>
      </c>
      <c r="D415" s="12">
        <v>3</v>
      </c>
      <c r="E415" s="125">
        <v>53845207.32</v>
      </c>
      <c r="F415" s="12">
        <v>4</v>
      </c>
      <c r="G415" s="125">
        <v>41214800.259999998</v>
      </c>
      <c r="H415" s="12" t="s">
        <v>4684</v>
      </c>
      <c r="I415" s="125">
        <v>1371613.9</v>
      </c>
      <c r="J415" s="13">
        <v>42786.513189849538</v>
      </c>
      <c r="K415" s="13">
        <v>43516</v>
      </c>
      <c r="L415" s="13" t="s">
        <v>4132</v>
      </c>
      <c r="M415" s="12" t="s">
        <v>4133</v>
      </c>
      <c r="N415" s="12"/>
      <c r="O415" s="12"/>
      <c r="P415" s="12"/>
      <c r="Q415" s="12"/>
    </row>
    <row r="416" spans="1:17" x14ac:dyDescent="0.25">
      <c r="A416" s="11">
        <v>103098</v>
      </c>
      <c r="B416" s="12" t="s">
        <v>1116</v>
      </c>
      <c r="C416" s="12" t="s">
        <v>1117</v>
      </c>
      <c r="D416" s="12">
        <v>1</v>
      </c>
      <c r="E416" s="125">
        <v>10730675.199999999</v>
      </c>
      <c r="F416" s="12">
        <v>4</v>
      </c>
      <c r="G416" s="125">
        <v>8876699.7300000004</v>
      </c>
      <c r="H416" s="12" t="s">
        <v>1447</v>
      </c>
      <c r="I416" s="125">
        <v>35240.5</v>
      </c>
      <c r="J416" s="13">
        <v>42786.562125231481</v>
      </c>
      <c r="K416" s="13">
        <v>43332</v>
      </c>
      <c r="L416" s="13" t="s">
        <v>1118</v>
      </c>
      <c r="M416" s="12"/>
      <c r="N416" s="12"/>
      <c r="O416" s="12"/>
      <c r="P416" s="12"/>
      <c r="Q416" s="12"/>
    </row>
    <row r="417" spans="1:17" x14ac:dyDescent="0.25">
      <c r="A417" s="11">
        <v>103099</v>
      </c>
      <c r="B417" s="12" t="s">
        <v>4352</v>
      </c>
      <c r="C417" s="12" t="s">
        <v>4353</v>
      </c>
      <c r="D417" s="12">
        <v>3</v>
      </c>
      <c r="E417" s="125">
        <v>62954148.380000003</v>
      </c>
      <c r="F417" s="12">
        <v>54</v>
      </c>
      <c r="G417" s="125">
        <v>47114080.979999997</v>
      </c>
      <c r="H417" s="12" t="s">
        <v>1039</v>
      </c>
      <c r="I417" s="125">
        <v>1678741.75</v>
      </c>
      <c r="J417" s="13">
        <v>42819.574463344907</v>
      </c>
      <c r="K417" s="13">
        <v>43556</v>
      </c>
      <c r="L417" s="13" t="s">
        <v>4354</v>
      </c>
      <c r="M417" s="12" t="s">
        <v>4355</v>
      </c>
      <c r="N417" s="12"/>
      <c r="O417" s="12"/>
      <c r="P417" s="12"/>
      <c r="Q417" s="12"/>
    </row>
    <row r="418" spans="1:17" x14ac:dyDescent="0.25">
      <c r="A418" s="11">
        <v>103100</v>
      </c>
      <c r="B418" s="12" t="s">
        <v>1024</v>
      </c>
      <c r="C418" s="12" t="s">
        <v>2332</v>
      </c>
      <c r="D418" s="12">
        <v>3</v>
      </c>
      <c r="E418" s="125">
        <v>16355866.380000001</v>
      </c>
      <c r="F418" s="12">
        <v>35</v>
      </c>
      <c r="G418" s="125">
        <v>15219031</v>
      </c>
      <c r="H418" s="12" t="s">
        <v>86</v>
      </c>
      <c r="I418" s="125">
        <v>444542.57</v>
      </c>
      <c r="J418" s="13">
        <v>42786.588575462963</v>
      </c>
      <c r="K418" s="13">
        <v>43151</v>
      </c>
      <c r="L418" s="13" t="s">
        <v>2333</v>
      </c>
      <c r="M418" s="12" t="s">
        <v>2334</v>
      </c>
      <c r="N418" s="12"/>
      <c r="O418" s="12"/>
      <c r="P418" s="12"/>
      <c r="Q418" s="12"/>
    </row>
    <row r="419" spans="1:17" x14ac:dyDescent="0.25">
      <c r="A419" s="11">
        <v>103101</v>
      </c>
      <c r="B419" s="12" t="s">
        <v>4122</v>
      </c>
      <c r="C419" s="12" t="s">
        <v>4134</v>
      </c>
      <c r="D419" s="12">
        <v>1</v>
      </c>
      <c r="E419" s="125">
        <v>909657.94</v>
      </c>
      <c r="F419" s="12">
        <v>65</v>
      </c>
      <c r="G419" s="125">
        <v>851743.54</v>
      </c>
      <c r="H419" s="12" t="s">
        <v>4684</v>
      </c>
      <c r="I419" s="125">
        <v>57914.400000000001</v>
      </c>
      <c r="J419" s="13">
        <v>42786.700476157406</v>
      </c>
      <c r="K419" s="13">
        <v>43028</v>
      </c>
      <c r="L419" s="13" t="s">
        <v>4135</v>
      </c>
      <c r="M419" s="12" t="s">
        <v>4136</v>
      </c>
      <c r="N419" s="12"/>
      <c r="O419" s="12"/>
      <c r="P419" s="12"/>
      <c r="Q419" s="12"/>
    </row>
    <row r="420" spans="1:17" x14ac:dyDescent="0.25">
      <c r="A420" s="11">
        <v>103102</v>
      </c>
      <c r="B420" s="12" t="s">
        <v>4123</v>
      </c>
      <c r="C420" s="12" t="s">
        <v>4137</v>
      </c>
      <c r="D420" s="12">
        <v>1</v>
      </c>
      <c r="E420" s="125">
        <v>2193323.7999999998</v>
      </c>
      <c r="F420" s="12">
        <v>4</v>
      </c>
      <c r="G420" s="125">
        <v>1967151.37</v>
      </c>
      <c r="H420" s="12" t="s">
        <v>2494</v>
      </c>
      <c r="I420" s="125">
        <v>95304.85</v>
      </c>
      <c r="J420" s="13">
        <v>42786.695248414355</v>
      </c>
      <c r="K420" s="13">
        <v>43151</v>
      </c>
      <c r="L420" s="13" t="s">
        <v>4138</v>
      </c>
      <c r="M420" s="12" t="s">
        <v>4139</v>
      </c>
      <c r="N420" s="12"/>
      <c r="O420" s="12"/>
      <c r="P420" s="12"/>
      <c r="Q420" s="12"/>
    </row>
    <row r="421" spans="1:17" x14ac:dyDescent="0.25">
      <c r="A421" s="11">
        <v>103103</v>
      </c>
      <c r="B421" s="12" t="s">
        <v>4126</v>
      </c>
      <c r="C421" s="12" t="s">
        <v>4140</v>
      </c>
      <c r="D421" s="12">
        <v>7</v>
      </c>
      <c r="E421" s="125">
        <v>2193323.7999999998</v>
      </c>
      <c r="F421" s="12">
        <v>4</v>
      </c>
      <c r="G421" s="125">
        <v>1967151.37</v>
      </c>
      <c r="H421" s="12" t="s">
        <v>4684</v>
      </c>
      <c r="I421" s="125">
        <v>95304.85</v>
      </c>
      <c r="J421" s="13">
        <v>42786.698819942132</v>
      </c>
      <c r="K421" s="13">
        <v>43151</v>
      </c>
      <c r="L421" s="13" t="s">
        <v>4141</v>
      </c>
      <c r="M421" s="12" t="s">
        <v>4142</v>
      </c>
      <c r="N421" s="12"/>
      <c r="O421" s="12"/>
      <c r="P421" s="12"/>
      <c r="Q421" s="12"/>
    </row>
    <row r="422" spans="1:17" x14ac:dyDescent="0.25">
      <c r="A422" s="11">
        <v>103104</v>
      </c>
      <c r="B422" s="12" t="s">
        <v>4161</v>
      </c>
      <c r="C422" s="12" t="s">
        <v>4162</v>
      </c>
      <c r="D422" s="12">
        <v>7</v>
      </c>
      <c r="E422" s="125">
        <v>1081827.3600000001</v>
      </c>
      <c r="F422" s="12">
        <v>3</v>
      </c>
      <c r="G422" s="125">
        <v>983575.67</v>
      </c>
      <c r="H422" s="12" t="s">
        <v>1191</v>
      </c>
      <c r="I422" s="125">
        <v>31687.39</v>
      </c>
      <c r="J422" s="13">
        <v>42787.723566932873</v>
      </c>
      <c r="K422" s="13">
        <v>43152</v>
      </c>
      <c r="L422" s="13" t="s">
        <v>4163</v>
      </c>
      <c r="M422" s="12"/>
      <c r="N422" s="12"/>
      <c r="O422" s="12"/>
      <c r="P422" s="12"/>
      <c r="Q422" s="12"/>
    </row>
    <row r="423" spans="1:17" x14ac:dyDescent="0.25">
      <c r="A423" s="11">
        <v>103105</v>
      </c>
      <c r="B423" s="12" t="s">
        <v>1135</v>
      </c>
      <c r="C423" s="12" t="s">
        <v>1136</v>
      </c>
      <c r="D423" s="12">
        <v>1</v>
      </c>
      <c r="E423" s="125">
        <v>11079363.800000001</v>
      </c>
      <c r="F423" s="12">
        <v>23</v>
      </c>
      <c r="G423" s="125">
        <v>8698654.6600000001</v>
      </c>
      <c r="H423" s="12" t="s">
        <v>468</v>
      </c>
      <c r="I423" s="125">
        <v>570834.76</v>
      </c>
      <c r="J423" s="13">
        <v>42787.705114351855</v>
      </c>
      <c r="K423" s="13">
        <v>43344</v>
      </c>
      <c r="L423" s="13" t="s">
        <v>1137</v>
      </c>
      <c r="M423" s="12" t="s">
        <v>1138</v>
      </c>
      <c r="N423" s="12"/>
      <c r="O423" s="12"/>
      <c r="P423" s="12"/>
      <c r="Q423" s="12"/>
    </row>
    <row r="424" spans="1:17" x14ac:dyDescent="0.25">
      <c r="A424" s="11">
        <v>103106</v>
      </c>
      <c r="B424" s="12" t="s">
        <v>2189</v>
      </c>
      <c r="C424" s="12" t="s">
        <v>2196</v>
      </c>
      <c r="D424" s="12">
        <v>3</v>
      </c>
      <c r="E424" s="125">
        <v>29083478.32</v>
      </c>
      <c r="F424" s="12">
        <v>3</v>
      </c>
      <c r="G424" s="125">
        <v>24808796.93</v>
      </c>
      <c r="H424" s="12" t="s">
        <v>468</v>
      </c>
      <c r="I424" s="125">
        <v>789553.34</v>
      </c>
      <c r="J424" s="13">
        <v>42787.732135335646</v>
      </c>
      <c r="K424" s="13">
        <v>43333</v>
      </c>
      <c r="L424" s="13" t="s">
        <v>2197</v>
      </c>
      <c r="M424" s="12"/>
      <c r="N424" s="12"/>
      <c r="O424" s="12"/>
      <c r="P424" s="12"/>
      <c r="Q424" s="12"/>
    </row>
    <row r="425" spans="1:17" x14ac:dyDescent="0.25">
      <c r="A425" s="11">
        <v>103108</v>
      </c>
      <c r="B425" s="12" t="s">
        <v>4183</v>
      </c>
      <c r="C425" s="12" t="s">
        <v>4185</v>
      </c>
      <c r="D425" s="12">
        <v>3</v>
      </c>
      <c r="E425" s="125">
        <v>12309203.210000001</v>
      </c>
      <c r="F425" s="12">
        <v>31</v>
      </c>
      <c r="G425" s="125">
        <v>11605983.99</v>
      </c>
      <c r="H425" s="12" t="s">
        <v>1447</v>
      </c>
      <c r="I425" s="125">
        <v>575861.30000000005</v>
      </c>
      <c r="J425" s="13">
        <v>42790.731250810182</v>
      </c>
      <c r="K425" s="13">
        <v>43093</v>
      </c>
      <c r="L425" s="13" t="s">
        <v>4186</v>
      </c>
      <c r="M425" s="12"/>
      <c r="N425" s="12"/>
      <c r="O425" s="12"/>
      <c r="P425" s="12"/>
      <c r="Q425" s="12"/>
    </row>
    <row r="426" spans="1:17" x14ac:dyDescent="0.25">
      <c r="A426" s="11">
        <v>103109</v>
      </c>
      <c r="B426" s="12" t="s">
        <v>173</v>
      </c>
      <c r="C426" s="12" t="s">
        <v>1989</v>
      </c>
      <c r="D426" s="12">
        <v>1</v>
      </c>
      <c r="E426" s="125">
        <v>2998760.63</v>
      </c>
      <c r="F426" s="12">
        <v>-7</v>
      </c>
      <c r="G426" s="125">
        <v>2721296.72</v>
      </c>
      <c r="H426" s="12" t="s">
        <v>5167</v>
      </c>
      <c r="I426" s="125">
        <v>79824.7</v>
      </c>
      <c r="J426" s="13">
        <v>42793.752921446758</v>
      </c>
      <c r="K426" s="13">
        <v>43160</v>
      </c>
      <c r="L426" s="13" t="s">
        <v>1990</v>
      </c>
      <c r="M426" s="12" t="s">
        <v>1991</v>
      </c>
      <c r="N426" s="12"/>
      <c r="O426" s="12"/>
      <c r="P426" s="12"/>
      <c r="Q426" s="12"/>
    </row>
    <row r="427" spans="1:17" x14ac:dyDescent="0.25">
      <c r="A427" s="11">
        <v>103110</v>
      </c>
      <c r="B427" s="12" t="s">
        <v>366</v>
      </c>
      <c r="C427" s="12" t="s">
        <v>387</v>
      </c>
      <c r="D427" s="12">
        <v>2</v>
      </c>
      <c r="E427" s="125">
        <v>26109904.77</v>
      </c>
      <c r="F427" s="12">
        <v>-11</v>
      </c>
      <c r="G427" s="125">
        <v>19736014.850000001</v>
      </c>
      <c r="H427" s="12" t="s">
        <v>2538</v>
      </c>
      <c r="I427" s="125">
        <v>414456.31</v>
      </c>
      <c r="J427" s="13">
        <v>42794.581930787041</v>
      </c>
      <c r="K427" s="13">
        <v>43529</v>
      </c>
      <c r="L427" s="13" t="s">
        <v>388</v>
      </c>
      <c r="M427" s="12" t="s">
        <v>389</v>
      </c>
      <c r="N427" s="12"/>
      <c r="O427" s="12"/>
      <c r="P427" s="12"/>
      <c r="Q427" s="12"/>
    </row>
    <row r="428" spans="1:17" x14ac:dyDescent="0.25">
      <c r="A428" s="11">
        <v>103112</v>
      </c>
      <c r="B428" s="12" t="s">
        <v>4209</v>
      </c>
      <c r="C428" s="12" t="s">
        <v>4210</v>
      </c>
      <c r="D428" s="12">
        <v>6</v>
      </c>
      <c r="E428" s="125">
        <v>8060375.4699999997</v>
      </c>
      <c r="F428" s="12">
        <v>-7</v>
      </c>
      <c r="G428" s="125">
        <v>7490302.2000000002</v>
      </c>
      <c r="H428" s="12" t="s">
        <v>4684</v>
      </c>
      <c r="I428" s="125">
        <v>164786.65</v>
      </c>
      <c r="J428" s="13">
        <v>42794.806688159719</v>
      </c>
      <c r="K428" s="13">
        <v>43160</v>
      </c>
      <c r="L428" s="13" t="s">
        <v>4211</v>
      </c>
      <c r="M428" s="12" t="s">
        <v>4212</v>
      </c>
      <c r="N428" s="12"/>
      <c r="O428" s="12"/>
      <c r="P428" s="12"/>
      <c r="Q428" s="12"/>
    </row>
    <row r="429" spans="1:17" x14ac:dyDescent="0.25">
      <c r="A429" s="11">
        <v>103113</v>
      </c>
      <c r="B429" s="12" t="s">
        <v>2337</v>
      </c>
      <c r="C429" s="12" t="s">
        <v>2339</v>
      </c>
      <c r="D429" s="12">
        <v>1</v>
      </c>
      <c r="E429" s="125">
        <v>2304366.73</v>
      </c>
      <c r="F429" s="12">
        <v>23</v>
      </c>
      <c r="G429" s="125">
        <v>2106431.0099999998</v>
      </c>
      <c r="H429" s="12" t="s">
        <v>1447</v>
      </c>
      <c r="I429" s="125">
        <v>56944.92</v>
      </c>
      <c r="J429" s="13">
        <v>42794.808092974534</v>
      </c>
      <c r="K429" s="13">
        <v>43160</v>
      </c>
      <c r="L429" s="13" t="s">
        <v>2340</v>
      </c>
      <c r="M429" s="12"/>
      <c r="N429" s="12"/>
      <c r="O429" s="12"/>
      <c r="P429" s="12"/>
      <c r="Q429" s="12"/>
    </row>
    <row r="430" spans="1:17" x14ac:dyDescent="0.25">
      <c r="A430" s="11">
        <v>103114</v>
      </c>
      <c r="B430" s="12" t="s">
        <v>432</v>
      </c>
      <c r="C430" s="12" t="s">
        <v>433</v>
      </c>
      <c r="D430" s="12">
        <v>3</v>
      </c>
      <c r="E430" s="125">
        <v>62453770.420000002</v>
      </c>
      <c r="F430" s="12">
        <v>23</v>
      </c>
      <c r="G430" s="125">
        <v>45390845.670000002</v>
      </c>
      <c r="H430" s="12" t="s">
        <v>468</v>
      </c>
      <c r="I430" s="125">
        <v>986704.06</v>
      </c>
      <c r="J430" s="13">
        <v>42794.908129085648</v>
      </c>
      <c r="K430" s="13">
        <v>43709</v>
      </c>
      <c r="L430" s="13" t="s">
        <v>434</v>
      </c>
      <c r="M430" s="12" t="s">
        <v>435</v>
      </c>
      <c r="N430" s="12"/>
      <c r="O430" s="12"/>
      <c r="P430" s="12"/>
      <c r="Q430" s="12"/>
    </row>
    <row r="431" spans="1:17" x14ac:dyDescent="0.25">
      <c r="A431" s="11">
        <v>103117</v>
      </c>
      <c r="B431" s="12" t="s">
        <v>4206</v>
      </c>
      <c r="C431" s="12" t="s">
        <v>4213</v>
      </c>
      <c r="D431" s="12">
        <v>1</v>
      </c>
      <c r="E431" s="125">
        <v>2122535.12</v>
      </c>
      <c r="F431" s="12">
        <v>114</v>
      </c>
      <c r="G431" s="125">
        <v>1903662.33</v>
      </c>
      <c r="H431" s="12" t="s">
        <v>1448</v>
      </c>
      <c r="I431" s="125">
        <v>149117.96</v>
      </c>
      <c r="J431" s="13">
        <v>42796.546903969909</v>
      </c>
      <c r="K431" s="13">
        <v>43041</v>
      </c>
      <c r="L431" s="13" t="s">
        <v>5833</v>
      </c>
      <c r="M431" s="12"/>
      <c r="N431" s="12"/>
      <c r="O431" s="12"/>
      <c r="P431" s="12"/>
      <c r="Q431" s="12"/>
    </row>
    <row r="432" spans="1:17" x14ac:dyDescent="0.25">
      <c r="A432" s="11">
        <v>103119</v>
      </c>
      <c r="B432" s="12" t="s">
        <v>2269</v>
      </c>
      <c r="C432" s="12" t="s">
        <v>2271</v>
      </c>
      <c r="D432" s="12">
        <v>7</v>
      </c>
      <c r="E432" s="125">
        <v>1508257.05</v>
      </c>
      <c r="F432" s="12">
        <v>17</v>
      </c>
      <c r="G432" s="125">
        <v>1370232.91</v>
      </c>
      <c r="H432" s="12" t="s">
        <v>1447</v>
      </c>
      <c r="I432" s="125">
        <v>28879.07</v>
      </c>
      <c r="J432" s="13">
        <v>42801.556260300924</v>
      </c>
      <c r="K432" s="13">
        <v>43166</v>
      </c>
      <c r="L432" s="13" t="s">
        <v>2272</v>
      </c>
      <c r="M432" s="12"/>
      <c r="N432" s="12"/>
      <c r="O432" s="12"/>
      <c r="P432" s="12"/>
      <c r="Q432" s="12"/>
    </row>
    <row r="433" spans="1:17" x14ac:dyDescent="0.25">
      <c r="A433" s="11">
        <v>103122</v>
      </c>
      <c r="B433" s="12" t="s">
        <v>4240</v>
      </c>
      <c r="C433" s="12" t="s">
        <v>4241</v>
      </c>
      <c r="D433" s="12">
        <v>1</v>
      </c>
      <c r="E433" s="125">
        <v>2628210.5699999998</v>
      </c>
      <c r="F433" s="12">
        <v>45</v>
      </c>
      <c r="G433" s="125">
        <v>2259329.16</v>
      </c>
      <c r="H433" s="12" t="s">
        <v>963</v>
      </c>
      <c r="I433" s="125">
        <v>187675.93</v>
      </c>
      <c r="J433" s="13">
        <v>42805.452683599535</v>
      </c>
      <c r="K433" s="13">
        <v>43169</v>
      </c>
      <c r="L433" s="13" t="s">
        <v>4242</v>
      </c>
      <c r="M433" s="12"/>
      <c r="N433" s="12"/>
      <c r="O433" s="12"/>
      <c r="P433" s="12"/>
      <c r="Q433" s="12"/>
    </row>
    <row r="434" spans="1:17" x14ac:dyDescent="0.25">
      <c r="A434" s="11">
        <v>103123</v>
      </c>
      <c r="B434" s="12" t="s">
        <v>1488</v>
      </c>
      <c r="C434" s="12" t="s">
        <v>1489</v>
      </c>
      <c r="D434" s="12">
        <v>6</v>
      </c>
      <c r="E434" s="125">
        <v>16934853.5</v>
      </c>
      <c r="F434" s="12">
        <v>13</v>
      </c>
      <c r="G434" s="125">
        <v>15791541.779999999</v>
      </c>
      <c r="H434" s="12" t="s">
        <v>546</v>
      </c>
      <c r="I434" s="125">
        <v>180266.31</v>
      </c>
      <c r="J434" s="13">
        <v>42805.507712268518</v>
      </c>
      <c r="K434" s="13">
        <v>43170</v>
      </c>
      <c r="L434" s="13" t="s">
        <v>1490</v>
      </c>
      <c r="M434" s="12"/>
      <c r="N434" s="12"/>
      <c r="O434" s="12"/>
      <c r="P434" s="12"/>
      <c r="Q434" s="12"/>
    </row>
    <row r="435" spans="1:17" x14ac:dyDescent="0.25">
      <c r="A435" s="11">
        <v>103125</v>
      </c>
      <c r="B435" s="12" t="s">
        <v>2442</v>
      </c>
      <c r="C435" s="12" t="s">
        <v>2443</v>
      </c>
      <c r="D435" s="12">
        <v>8</v>
      </c>
      <c r="E435" s="125">
        <v>3344050.08</v>
      </c>
      <c r="F435" s="12">
        <v>-22</v>
      </c>
      <c r="G435" s="125">
        <v>3058629.38</v>
      </c>
      <c r="H435" s="12" t="s">
        <v>1925</v>
      </c>
      <c r="I435" s="125">
        <v>26168.27</v>
      </c>
      <c r="J435" s="13">
        <v>42810.643248958331</v>
      </c>
      <c r="K435" s="13">
        <v>43175</v>
      </c>
      <c r="L435" s="13" t="s">
        <v>2444</v>
      </c>
      <c r="M435" s="12" t="s">
        <v>2445</v>
      </c>
      <c r="N435" s="12"/>
      <c r="O435" s="12"/>
      <c r="P435" s="12"/>
      <c r="Q435" s="12"/>
    </row>
    <row r="436" spans="1:17" x14ac:dyDescent="0.25">
      <c r="A436" s="11">
        <v>103126</v>
      </c>
      <c r="B436" s="12" t="s">
        <v>1608</v>
      </c>
      <c r="C436" s="12" t="s">
        <v>1628</v>
      </c>
      <c r="D436" s="12">
        <v>6</v>
      </c>
      <c r="E436" s="125">
        <v>5023104.32</v>
      </c>
      <c r="F436" s="12">
        <v>7</v>
      </c>
      <c r="G436" s="125">
        <v>4600869.3899999997</v>
      </c>
      <c r="H436" s="12" t="s">
        <v>1467</v>
      </c>
      <c r="I436" s="125">
        <v>160431.73000000001</v>
      </c>
      <c r="J436" s="13">
        <v>42811.458580868057</v>
      </c>
      <c r="K436" s="13">
        <v>43176</v>
      </c>
      <c r="L436" s="13" t="s">
        <v>1629</v>
      </c>
      <c r="M436" s="12"/>
      <c r="N436" s="12" t="s">
        <v>1630</v>
      </c>
      <c r="O436" s="12"/>
      <c r="P436" s="12"/>
      <c r="Q436" s="12"/>
    </row>
    <row r="437" spans="1:17" x14ac:dyDescent="0.25">
      <c r="A437" s="11">
        <v>103129</v>
      </c>
      <c r="B437" s="12" t="s">
        <v>4271</v>
      </c>
      <c r="C437" s="12" t="s">
        <v>4275</v>
      </c>
      <c r="D437" s="12">
        <v>7</v>
      </c>
      <c r="E437" s="125">
        <v>758272.97</v>
      </c>
      <c r="F437" s="12">
        <v>4</v>
      </c>
      <c r="G437" s="125">
        <v>694821.79</v>
      </c>
      <c r="H437" s="12" t="s">
        <v>963</v>
      </c>
      <c r="I437" s="125">
        <v>33396.97</v>
      </c>
      <c r="J437" s="13">
        <v>42814.751309525462</v>
      </c>
      <c r="K437" s="13">
        <v>43120</v>
      </c>
      <c r="L437" s="13" t="s">
        <v>4276</v>
      </c>
      <c r="M437" s="12"/>
      <c r="N437" s="12"/>
      <c r="O437" s="12"/>
      <c r="P437" s="12"/>
      <c r="Q437" s="12"/>
    </row>
    <row r="438" spans="1:17" x14ac:dyDescent="0.25">
      <c r="A438" s="11">
        <v>103130</v>
      </c>
      <c r="B438" s="12" t="s">
        <v>4307</v>
      </c>
      <c r="C438" s="12" t="s">
        <v>4310</v>
      </c>
      <c r="D438" s="12">
        <v>7</v>
      </c>
      <c r="E438" s="125">
        <v>784840.74</v>
      </c>
      <c r="F438" s="12">
        <v>62</v>
      </c>
      <c r="G438" s="125">
        <v>746175.73</v>
      </c>
      <c r="H438" s="12" t="s">
        <v>1039</v>
      </c>
      <c r="I438" s="125">
        <v>26024.85</v>
      </c>
      <c r="J438" s="13">
        <v>42816.715197534722</v>
      </c>
      <c r="K438" s="13">
        <v>43062</v>
      </c>
      <c r="L438" s="13" t="s">
        <v>4311</v>
      </c>
      <c r="M438" s="12"/>
      <c r="N438" s="12"/>
      <c r="O438" s="12"/>
      <c r="P438" s="12"/>
      <c r="Q438" s="12"/>
    </row>
    <row r="439" spans="1:17" x14ac:dyDescent="0.25">
      <c r="A439" s="11">
        <v>103131</v>
      </c>
      <c r="B439" s="12" t="s">
        <v>4278</v>
      </c>
      <c r="C439" s="12" t="s">
        <v>4285</v>
      </c>
      <c r="D439" s="12">
        <v>1</v>
      </c>
      <c r="E439" s="125">
        <v>2096427.82</v>
      </c>
      <c r="F439" s="12">
        <v>64</v>
      </c>
      <c r="G439" s="125">
        <v>1913905.56</v>
      </c>
      <c r="H439" s="12" t="s">
        <v>1467</v>
      </c>
      <c r="I439" s="125">
        <v>72845.52</v>
      </c>
      <c r="J439" s="13">
        <v>42815.560575694442</v>
      </c>
      <c r="K439" s="13">
        <v>43121</v>
      </c>
      <c r="L439" s="13" t="s">
        <v>4286</v>
      </c>
      <c r="M439" s="12" t="s">
        <v>4287</v>
      </c>
      <c r="N439" s="12"/>
      <c r="O439" s="12"/>
      <c r="P439" s="12"/>
      <c r="Q439" s="12"/>
    </row>
    <row r="440" spans="1:17" x14ac:dyDescent="0.25">
      <c r="A440" s="11">
        <v>103134</v>
      </c>
      <c r="B440" s="12" t="s">
        <v>4331</v>
      </c>
      <c r="C440" s="12" t="s">
        <v>4333</v>
      </c>
      <c r="D440" s="12">
        <v>3</v>
      </c>
      <c r="E440" s="125">
        <v>17932509.489999998</v>
      </c>
      <c r="F440" s="12">
        <v>0</v>
      </c>
      <c r="G440" s="125">
        <v>16269963.73</v>
      </c>
      <c r="H440" s="12" t="s">
        <v>1448</v>
      </c>
      <c r="I440" s="125">
        <v>524254.39</v>
      </c>
      <c r="J440" s="13">
        <v>42818.553093368057</v>
      </c>
      <c r="K440" s="13">
        <v>43183</v>
      </c>
      <c r="L440" s="13" t="s">
        <v>4334</v>
      </c>
      <c r="M440" s="12" t="s">
        <v>4335</v>
      </c>
      <c r="N440" s="12"/>
      <c r="O440" s="12"/>
      <c r="P440" s="12"/>
      <c r="Q440" s="12"/>
    </row>
    <row r="441" spans="1:17" x14ac:dyDescent="0.25">
      <c r="A441" s="11">
        <v>103135</v>
      </c>
      <c r="B441" s="12" t="s">
        <v>4326</v>
      </c>
      <c r="C441" s="12" t="s">
        <v>4336</v>
      </c>
      <c r="D441" s="12">
        <v>1</v>
      </c>
      <c r="E441" s="125">
        <v>4212915.82</v>
      </c>
      <c r="F441" s="12">
        <v>153</v>
      </c>
      <c r="G441" s="125">
        <v>3750488.76</v>
      </c>
      <c r="H441" s="12" t="s">
        <v>546</v>
      </c>
      <c r="I441" s="125">
        <v>150839.75</v>
      </c>
      <c r="J441" s="13">
        <v>42818.509962847224</v>
      </c>
      <c r="K441" s="13">
        <v>43063</v>
      </c>
      <c r="L441" s="13" t="s">
        <v>4337</v>
      </c>
      <c r="M441" s="12" t="s">
        <v>4338</v>
      </c>
      <c r="N441" s="12"/>
      <c r="O441" s="12"/>
      <c r="P441" s="12"/>
      <c r="Q441" s="12"/>
    </row>
    <row r="442" spans="1:17" x14ac:dyDescent="0.25">
      <c r="A442" s="11">
        <v>103136</v>
      </c>
      <c r="B442" s="12" t="s">
        <v>853</v>
      </c>
      <c r="C442" s="12" t="s">
        <v>858</v>
      </c>
      <c r="D442" s="12">
        <v>1</v>
      </c>
      <c r="E442" s="125">
        <v>4262086.91</v>
      </c>
      <c r="F442" s="12">
        <v>0</v>
      </c>
      <c r="G442" s="125">
        <v>3794810.74</v>
      </c>
      <c r="H442" s="12" t="s">
        <v>90</v>
      </c>
      <c r="I442" s="125">
        <v>146732.68</v>
      </c>
      <c r="J442" s="13">
        <v>42818.624222951388</v>
      </c>
      <c r="K442" s="13">
        <v>43183</v>
      </c>
      <c r="L442" s="13" t="s">
        <v>859</v>
      </c>
      <c r="M442" s="12"/>
      <c r="N442" s="12"/>
      <c r="O442" s="12"/>
      <c r="P442" s="12"/>
      <c r="Q442" s="12"/>
    </row>
    <row r="443" spans="1:17" x14ac:dyDescent="0.25">
      <c r="A443" s="11">
        <v>103137</v>
      </c>
      <c r="B443" s="12" t="s">
        <v>1011</v>
      </c>
      <c r="C443" s="12" t="s">
        <v>1012</v>
      </c>
      <c r="D443" s="12">
        <v>1</v>
      </c>
      <c r="E443" s="125">
        <v>3729326.04</v>
      </c>
      <c r="F443" s="12">
        <v>0</v>
      </c>
      <c r="G443" s="125">
        <v>3320459.39</v>
      </c>
      <c r="H443" s="12" t="s">
        <v>468</v>
      </c>
      <c r="I443" s="125">
        <v>128391.1</v>
      </c>
      <c r="J443" s="13">
        <v>42818.652881828704</v>
      </c>
      <c r="K443" s="13">
        <v>43183</v>
      </c>
      <c r="L443" s="13" t="s">
        <v>1013</v>
      </c>
      <c r="M443" s="12" t="s">
        <v>1014</v>
      </c>
      <c r="N443" s="12"/>
      <c r="O443" s="12"/>
      <c r="P443" s="12"/>
      <c r="Q443" s="12"/>
    </row>
    <row r="444" spans="1:17" x14ac:dyDescent="0.25">
      <c r="A444" s="11">
        <v>103138</v>
      </c>
      <c r="B444" s="12" t="s">
        <v>4330</v>
      </c>
      <c r="C444" s="12" t="s">
        <v>4339</v>
      </c>
      <c r="D444" s="12">
        <v>8</v>
      </c>
      <c r="E444" s="125">
        <v>3356532.03</v>
      </c>
      <c r="F444" s="12">
        <v>0</v>
      </c>
      <c r="G444" s="125">
        <v>3095098.46</v>
      </c>
      <c r="H444" s="12" t="s">
        <v>468</v>
      </c>
      <c r="I444" s="125">
        <v>124663.69</v>
      </c>
      <c r="J444" s="13">
        <v>42818.790010416669</v>
      </c>
      <c r="K444" s="13">
        <v>43124</v>
      </c>
      <c r="L444" s="13" t="s">
        <v>4340</v>
      </c>
      <c r="M444" s="12" t="s">
        <v>4341</v>
      </c>
      <c r="N444" s="12"/>
      <c r="O444" s="12"/>
      <c r="P444" s="12"/>
      <c r="Q444" s="12"/>
    </row>
    <row r="445" spans="1:17" x14ac:dyDescent="0.25">
      <c r="A445" s="11">
        <v>103139</v>
      </c>
      <c r="B445" s="12" t="s">
        <v>2921</v>
      </c>
      <c r="C445" s="12" t="s">
        <v>2922</v>
      </c>
      <c r="D445" s="12">
        <v>1</v>
      </c>
      <c r="E445" s="125">
        <v>2958982.71</v>
      </c>
      <c r="F445" s="12">
        <v>0</v>
      </c>
      <c r="G445" s="125">
        <v>2737148.79</v>
      </c>
      <c r="H445" s="12" t="s">
        <v>90</v>
      </c>
      <c r="I445" s="125">
        <v>105836.42</v>
      </c>
      <c r="J445" s="13">
        <v>42818.802715590275</v>
      </c>
      <c r="K445" s="13">
        <v>43124</v>
      </c>
      <c r="L445" s="13" t="s">
        <v>2923</v>
      </c>
      <c r="M445" s="12" t="s">
        <v>2924</v>
      </c>
      <c r="N445" s="12"/>
      <c r="O445" s="12"/>
      <c r="P445" s="12"/>
      <c r="Q445" s="12"/>
    </row>
    <row r="446" spans="1:17" x14ac:dyDescent="0.25">
      <c r="A446" s="11">
        <v>103141</v>
      </c>
      <c r="B446" s="12" t="s">
        <v>4356</v>
      </c>
      <c r="C446" s="12" t="s">
        <v>4361</v>
      </c>
      <c r="D446" s="12">
        <v>3</v>
      </c>
      <c r="E446" s="125">
        <v>25213057.41</v>
      </c>
      <c r="F446" s="12">
        <v>-7</v>
      </c>
      <c r="G446" s="125">
        <v>23093684.050000001</v>
      </c>
      <c r="H446" s="12" t="s">
        <v>86</v>
      </c>
      <c r="I446" s="125">
        <v>508061.05</v>
      </c>
      <c r="J446" s="13">
        <v>42821.535370682868</v>
      </c>
      <c r="K446" s="13">
        <v>43191</v>
      </c>
      <c r="L446" s="13" t="s">
        <v>4362</v>
      </c>
      <c r="M446" s="12"/>
      <c r="N446" s="12"/>
      <c r="O446" s="12"/>
      <c r="P446" s="12"/>
      <c r="Q446" s="12"/>
    </row>
    <row r="447" spans="1:17" x14ac:dyDescent="0.25">
      <c r="A447" s="11">
        <v>103142</v>
      </c>
      <c r="B447" s="12" t="s">
        <v>4360</v>
      </c>
      <c r="C447" s="12" t="s">
        <v>4363</v>
      </c>
      <c r="D447" s="12">
        <v>7</v>
      </c>
      <c r="E447" s="125">
        <v>282163.63</v>
      </c>
      <c r="F447" s="12">
        <v>23</v>
      </c>
      <c r="G447" s="125">
        <v>272314.43</v>
      </c>
      <c r="H447" s="12" t="s">
        <v>2494</v>
      </c>
      <c r="I447" s="125">
        <v>7222.74</v>
      </c>
      <c r="J447" s="13">
        <v>42821.547604201391</v>
      </c>
      <c r="K447" s="13">
        <v>43070</v>
      </c>
      <c r="L447" s="13" t="s">
        <v>4364</v>
      </c>
      <c r="M447" s="12"/>
      <c r="N447" s="12"/>
      <c r="O447" s="12"/>
      <c r="P447" s="12"/>
      <c r="Q447" s="12"/>
    </row>
    <row r="448" spans="1:17" x14ac:dyDescent="0.25">
      <c r="A448" s="11">
        <v>103143</v>
      </c>
      <c r="B448" s="12" t="s">
        <v>4358</v>
      </c>
      <c r="C448" s="12" t="s">
        <v>4365</v>
      </c>
      <c r="D448" s="12">
        <v>1</v>
      </c>
      <c r="E448" s="125">
        <v>3275818.28</v>
      </c>
      <c r="F448" s="12">
        <v>0</v>
      </c>
      <c r="G448" s="125">
        <v>2876153.22</v>
      </c>
      <c r="H448" s="12" t="s">
        <v>2175</v>
      </c>
      <c r="I448" s="125">
        <v>125112.67</v>
      </c>
      <c r="J448" s="13">
        <v>42821.581233136574</v>
      </c>
      <c r="K448" s="13">
        <v>43183</v>
      </c>
      <c r="L448" s="13" t="s">
        <v>4366</v>
      </c>
      <c r="M448" s="12" t="s">
        <v>4367</v>
      </c>
      <c r="N448" s="12"/>
      <c r="O448" s="12"/>
      <c r="P448" s="12"/>
      <c r="Q448" s="12"/>
    </row>
    <row r="449" spans="1:17" x14ac:dyDescent="0.25">
      <c r="A449" s="11">
        <v>103144</v>
      </c>
      <c r="B449" s="12" t="s">
        <v>2931</v>
      </c>
      <c r="C449" s="12" t="s">
        <v>2932</v>
      </c>
      <c r="D449" s="12">
        <v>7</v>
      </c>
      <c r="E449" s="125">
        <v>1854106.16</v>
      </c>
      <c r="F449" s="12">
        <v>-7</v>
      </c>
      <c r="G449" s="125">
        <v>1715104.46</v>
      </c>
      <c r="H449" s="12" t="s">
        <v>2494</v>
      </c>
      <c r="I449" s="125">
        <v>50309.73</v>
      </c>
      <c r="J449" s="13">
        <v>42823.50057758102</v>
      </c>
      <c r="K449" s="13">
        <v>43132</v>
      </c>
      <c r="L449" s="13" t="s">
        <v>2933</v>
      </c>
      <c r="M449" s="12" t="s">
        <v>2934</v>
      </c>
      <c r="N449" s="12"/>
      <c r="O449" s="12"/>
      <c r="P449" s="12"/>
      <c r="Q449" s="12"/>
    </row>
    <row r="450" spans="1:17" x14ac:dyDescent="0.25">
      <c r="A450" s="11">
        <v>103145</v>
      </c>
      <c r="B450" s="12" t="s">
        <v>4375</v>
      </c>
      <c r="C450" s="12" t="s">
        <v>4376</v>
      </c>
      <c r="D450" s="12">
        <v>8</v>
      </c>
      <c r="E450" s="125">
        <v>5243559.3</v>
      </c>
      <c r="F450" s="12">
        <v>-7</v>
      </c>
      <c r="G450" s="125">
        <v>4712721.71</v>
      </c>
      <c r="H450" s="12" t="s">
        <v>4684</v>
      </c>
      <c r="I450" s="125">
        <v>126719.85</v>
      </c>
      <c r="J450" s="13">
        <v>42822.714810034726</v>
      </c>
      <c r="K450" s="13">
        <v>43191</v>
      </c>
      <c r="L450" s="13" t="s">
        <v>4377</v>
      </c>
      <c r="M450" s="12"/>
      <c r="N450" s="12"/>
      <c r="O450" s="12"/>
      <c r="P450" s="12"/>
      <c r="Q450" s="12"/>
    </row>
    <row r="451" spans="1:17" x14ac:dyDescent="0.25">
      <c r="A451" s="11">
        <v>103146</v>
      </c>
      <c r="B451" s="12" t="s">
        <v>4374</v>
      </c>
      <c r="C451" s="12" t="s">
        <v>4378</v>
      </c>
      <c r="D451" s="12">
        <v>7</v>
      </c>
      <c r="E451" s="125">
        <v>486783.15</v>
      </c>
      <c r="F451" s="12">
        <v>54</v>
      </c>
      <c r="G451" s="125">
        <v>465821.2</v>
      </c>
      <c r="H451" s="12" t="s">
        <v>90</v>
      </c>
      <c r="I451" s="125">
        <v>20961.95</v>
      </c>
      <c r="J451" s="13">
        <v>42822.749953356484</v>
      </c>
      <c r="K451" s="13">
        <v>43009</v>
      </c>
      <c r="L451" s="13" t="s">
        <v>4379</v>
      </c>
      <c r="M451" s="12"/>
      <c r="N451" s="12"/>
      <c r="O451" s="12"/>
      <c r="P451" s="12"/>
      <c r="Q451" s="12"/>
    </row>
    <row r="452" spans="1:17" x14ac:dyDescent="0.25">
      <c r="A452" s="11">
        <v>103147</v>
      </c>
      <c r="B452" s="12" t="s">
        <v>1520</v>
      </c>
      <c r="C452" s="12" t="s">
        <v>1524</v>
      </c>
      <c r="D452" s="12">
        <v>3</v>
      </c>
      <c r="E452" s="125">
        <v>55316536.509999998</v>
      </c>
      <c r="F452" s="12">
        <v>-7</v>
      </c>
      <c r="G452" s="125">
        <v>42841416.07</v>
      </c>
      <c r="H452" s="12" t="s">
        <v>1925</v>
      </c>
      <c r="I452" s="125">
        <v>942511.15</v>
      </c>
      <c r="J452" s="13">
        <v>42823.728314814813</v>
      </c>
      <c r="K452" s="13">
        <v>43556</v>
      </c>
      <c r="L452" s="13" t="s">
        <v>1525</v>
      </c>
      <c r="M452" s="12" t="s">
        <v>1526</v>
      </c>
      <c r="N452" s="12"/>
      <c r="O452" s="12"/>
      <c r="P452" s="12"/>
      <c r="Q452" s="12"/>
    </row>
    <row r="453" spans="1:17" x14ac:dyDescent="0.25">
      <c r="A453" s="11">
        <v>103148</v>
      </c>
      <c r="B453" s="12" t="s">
        <v>634</v>
      </c>
      <c r="C453" s="12" t="s">
        <v>635</v>
      </c>
      <c r="D453" s="12">
        <v>3</v>
      </c>
      <c r="E453" s="125">
        <v>36988287.609999999</v>
      </c>
      <c r="F453" s="12">
        <v>23</v>
      </c>
      <c r="G453" s="125">
        <v>28451425.239999998</v>
      </c>
      <c r="H453" s="12" t="s">
        <v>86</v>
      </c>
      <c r="I453" s="125">
        <v>1205040.52</v>
      </c>
      <c r="J453" s="13">
        <v>42824.69433283565</v>
      </c>
      <c r="K453" s="13">
        <v>43556</v>
      </c>
      <c r="L453" s="13" t="s">
        <v>636</v>
      </c>
      <c r="M453" s="12" t="s">
        <v>637</v>
      </c>
      <c r="N453" s="12"/>
      <c r="O453" s="12"/>
      <c r="P453" s="12"/>
      <c r="Q453" s="12"/>
    </row>
    <row r="454" spans="1:17" x14ac:dyDescent="0.25">
      <c r="A454" s="11">
        <v>103149</v>
      </c>
      <c r="B454" s="12" t="s">
        <v>4420</v>
      </c>
      <c r="C454" s="12" t="s">
        <v>4424</v>
      </c>
      <c r="D454" s="12">
        <v>2</v>
      </c>
      <c r="E454" s="125">
        <v>14939164.550000001</v>
      </c>
      <c r="F454" s="12">
        <v>54</v>
      </c>
      <c r="G454" s="125">
        <v>12807037.58</v>
      </c>
      <c r="H454" s="12" t="s">
        <v>2861</v>
      </c>
      <c r="I454" s="125">
        <v>957454.77</v>
      </c>
      <c r="J454" s="13">
        <v>42825.540685879627</v>
      </c>
      <c r="K454" s="13">
        <v>43192</v>
      </c>
      <c r="L454" s="13" t="s">
        <v>4425</v>
      </c>
      <c r="M454" s="12"/>
      <c r="N454" s="12"/>
      <c r="O454" s="12"/>
      <c r="P454" s="12"/>
      <c r="Q454" s="12"/>
    </row>
    <row r="455" spans="1:17" x14ac:dyDescent="0.25">
      <c r="A455" s="11">
        <v>103151</v>
      </c>
      <c r="B455" s="12" t="s">
        <v>1143</v>
      </c>
      <c r="C455" s="12" t="s">
        <v>2351</v>
      </c>
      <c r="D455" s="12">
        <v>1</v>
      </c>
      <c r="E455" s="125">
        <v>2670634.56</v>
      </c>
      <c r="F455" s="12">
        <v>-7</v>
      </c>
      <c r="G455" s="125">
        <v>2377838.12</v>
      </c>
      <c r="H455" s="12" t="s">
        <v>1909</v>
      </c>
      <c r="I455" s="125">
        <v>69749.919999999998</v>
      </c>
      <c r="J455" s="13">
        <v>42823.699560844907</v>
      </c>
      <c r="K455" s="13">
        <v>43191</v>
      </c>
      <c r="L455" s="13" t="s">
        <v>2352</v>
      </c>
      <c r="M455" s="12" t="s">
        <v>2353</v>
      </c>
      <c r="N455" s="12"/>
      <c r="O455" s="12"/>
      <c r="P455" s="12"/>
      <c r="Q455" s="12"/>
    </row>
    <row r="456" spans="1:17" x14ac:dyDescent="0.25">
      <c r="A456" s="11">
        <v>103152</v>
      </c>
      <c r="B456" s="12" t="s">
        <v>4417</v>
      </c>
      <c r="C456" s="12" t="s">
        <v>4426</v>
      </c>
      <c r="D456" s="12">
        <v>1</v>
      </c>
      <c r="E456" s="125">
        <v>3294708.09</v>
      </c>
      <c r="F456" s="12">
        <v>-7</v>
      </c>
      <c r="G456" s="125">
        <v>2892738.38</v>
      </c>
      <c r="H456" s="12" t="s">
        <v>1039</v>
      </c>
      <c r="I456" s="125">
        <v>95460.37</v>
      </c>
      <c r="J456" s="13">
        <v>42825.540231712963</v>
      </c>
      <c r="K456" s="13">
        <v>43191</v>
      </c>
      <c r="L456" s="13" t="s">
        <v>4427</v>
      </c>
      <c r="M456" s="12"/>
      <c r="N456" s="12"/>
      <c r="O456" s="12"/>
      <c r="P456" s="12"/>
      <c r="Q456" s="12"/>
    </row>
    <row r="457" spans="1:17" x14ac:dyDescent="0.25">
      <c r="A457" s="11">
        <v>103155</v>
      </c>
      <c r="B457" s="12" t="s">
        <v>211</v>
      </c>
      <c r="C457" s="12" t="s">
        <v>212</v>
      </c>
      <c r="D457" s="12">
        <v>7</v>
      </c>
      <c r="E457" s="125">
        <v>1423333.8</v>
      </c>
      <c r="F457" s="12">
        <v>23</v>
      </c>
      <c r="G457" s="125">
        <v>1277122.79</v>
      </c>
      <c r="H457" s="12" t="s">
        <v>1448</v>
      </c>
      <c r="I457" s="125">
        <v>34830.36</v>
      </c>
      <c r="J457" s="13">
        <v>42825.804170289353</v>
      </c>
      <c r="K457" s="13">
        <v>43191</v>
      </c>
      <c r="L457" s="13" t="s">
        <v>213</v>
      </c>
      <c r="M457" s="12" t="s">
        <v>214</v>
      </c>
      <c r="N457" s="12"/>
      <c r="O457" s="12"/>
      <c r="P457" s="12"/>
      <c r="Q457" s="12"/>
    </row>
    <row r="458" spans="1:17" x14ac:dyDescent="0.25">
      <c r="A458" s="11">
        <v>103158</v>
      </c>
      <c r="B458" s="12" t="s">
        <v>102</v>
      </c>
      <c r="C458" s="12" t="s">
        <v>261</v>
      </c>
      <c r="D458" s="12">
        <v>8</v>
      </c>
      <c r="E458" s="125">
        <v>5225078.34</v>
      </c>
      <c r="F458" s="12">
        <v>-9</v>
      </c>
      <c r="G458" s="125">
        <v>4696111.6900000004</v>
      </c>
      <c r="H458" s="12" t="s">
        <v>90</v>
      </c>
      <c r="I458" s="125">
        <v>114793.84</v>
      </c>
      <c r="J458" s="13">
        <v>42828.694925266202</v>
      </c>
      <c r="K458" s="13">
        <v>43193</v>
      </c>
      <c r="L458" s="13" t="s">
        <v>262</v>
      </c>
      <c r="M458" s="12" t="s">
        <v>263</v>
      </c>
      <c r="N458" s="12"/>
      <c r="O458" s="12"/>
      <c r="P458" s="12"/>
      <c r="Q458" s="12"/>
    </row>
    <row r="459" spans="1:17" x14ac:dyDescent="0.25">
      <c r="A459" s="11">
        <v>103160</v>
      </c>
      <c r="B459" s="12" t="s">
        <v>4471</v>
      </c>
      <c r="C459" s="12" t="s">
        <v>4472</v>
      </c>
      <c r="D459" s="12">
        <v>6</v>
      </c>
      <c r="E459" s="125">
        <v>45237748.920000002</v>
      </c>
      <c r="F459" s="12">
        <v>-13</v>
      </c>
      <c r="G459" s="125">
        <v>37358593.020000003</v>
      </c>
      <c r="H459" s="12" t="s">
        <v>2175</v>
      </c>
      <c r="I459" s="125">
        <v>664152.76</v>
      </c>
      <c r="J459" s="13">
        <v>42832.668168750002</v>
      </c>
      <c r="K459" s="13">
        <v>43380</v>
      </c>
      <c r="L459" s="13" t="s">
        <v>4473</v>
      </c>
      <c r="M459" s="12"/>
      <c r="N459" s="12"/>
      <c r="O459" s="12"/>
      <c r="P459" s="12"/>
      <c r="Q459" s="12"/>
    </row>
    <row r="460" spans="1:17" x14ac:dyDescent="0.25">
      <c r="A460" s="11">
        <v>103161</v>
      </c>
      <c r="B460" s="12" t="s">
        <v>4486</v>
      </c>
      <c r="C460" s="12" t="s">
        <v>4487</v>
      </c>
      <c r="D460" s="12">
        <v>7</v>
      </c>
      <c r="E460" s="125">
        <v>606438.64</v>
      </c>
      <c r="F460" s="12">
        <v>-16</v>
      </c>
      <c r="G460" s="125">
        <v>580324.06000000006</v>
      </c>
      <c r="H460" s="12" t="s">
        <v>2494</v>
      </c>
      <c r="I460" s="125">
        <v>11316.32</v>
      </c>
      <c r="J460" s="13">
        <v>42835.743929548611</v>
      </c>
      <c r="K460" s="13">
        <v>43079</v>
      </c>
      <c r="L460" s="13" t="s">
        <v>4488</v>
      </c>
      <c r="M460" s="12" t="s">
        <v>4489</v>
      </c>
      <c r="N460" s="12"/>
      <c r="O460" s="12"/>
      <c r="P460" s="12"/>
      <c r="Q460" s="12"/>
    </row>
    <row r="461" spans="1:17" x14ac:dyDescent="0.25">
      <c r="A461" s="11">
        <v>103162</v>
      </c>
      <c r="B461" s="12" t="s">
        <v>2035</v>
      </c>
      <c r="C461" s="12" t="s">
        <v>2039</v>
      </c>
      <c r="D461" s="12">
        <v>3</v>
      </c>
      <c r="E461" s="125">
        <v>42534369.700000003</v>
      </c>
      <c r="F461" s="12">
        <v>44</v>
      </c>
      <c r="G461" s="125">
        <v>34796417.969999999</v>
      </c>
      <c r="H461" s="12" t="s">
        <v>5725</v>
      </c>
      <c r="I461" s="125">
        <v>2018432.93</v>
      </c>
      <c r="J461" s="13">
        <v>42836.656538773146</v>
      </c>
      <c r="K461" s="13">
        <v>43384</v>
      </c>
      <c r="L461" s="13" t="s">
        <v>2040</v>
      </c>
      <c r="M461" s="12" t="s">
        <v>2041</v>
      </c>
      <c r="N461" s="12"/>
      <c r="O461" s="12"/>
      <c r="P461" s="12"/>
      <c r="Q461" s="12"/>
    </row>
    <row r="462" spans="1:17" x14ac:dyDescent="0.25">
      <c r="A462" s="11">
        <v>103163</v>
      </c>
      <c r="B462" s="12" t="s">
        <v>845</v>
      </c>
      <c r="C462" s="12" t="s">
        <v>850</v>
      </c>
      <c r="D462" s="12">
        <v>3</v>
      </c>
      <c r="E462" s="125">
        <v>53142674.329999998</v>
      </c>
      <c r="F462" s="12">
        <v>13</v>
      </c>
      <c r="G462" s="125">
        <v>40605470.369999997</v>
      </c>
      <c r="H462" s="12" t="s">
        <v>86</v>
      </c>
      <c r="I462" s="125">
        <v>1684619.27</v>
      </c>
      <c r="J462" s="13">
        <v>42836.70204290509</v>
      </c>
      <c r="K462" s="13">
        <v>43566</v>
      </c>
      <c r="L462" s="13" t="s">
        <v>851</v>
      </c>
      <c r="M462" s="12" t="s">
        <v>852</v>
      </c>
      <c r="N462" s="12"/>
      <c r="O462" s="12"/>
      <c r="P462" s="12"/>
      <c r="Q462" s="12"/>
    </row>
    <row r="463" spans="1:17" x14ac:dyDescent="0.25">
      <c r="A463" s="11">
        <v>103164</v>
      </c>
      <c r="B463" s="12" t="s">
        <v>747</v>
      </c>
      <c r="C463" s="12" t="s">
        <v>751</v>
      </c>
      <c r="D463" s="12">
        <v>3</v>
      </c>
      <c r="E463" s="125">
        <v>45370309.490000002</v>
      </c>
      <c r="F463" s="12">
        <v>44</v>
      </c>
      <c r="G463" s="125">
        <v>36108753.939999998</v>
      </c>
      <c r="H463" s="12" t="s">
        <v>1191</v>
      </c>
      <c r="I463" s="125">
        <v>2105989.0699999998</v>
      </c>
      <c r="J463" s="13">
        <v>42836.730920254631</v>
      </c>
      <c r="K463" s="13">
        <v>43445</v>
      </c>
      <c r="L463" s="13" t="s">
        <v>752</v>
      </c>
      <c r="M463" s="12"/>
      <c r="N463" s="12"/>
      <c r="O463" s="12"/>
      <c r="P463" s="12"/>
      <c r="Q463" s="12"/>
    </row>
    <row r="464" spans="1:17" x14ac:dyDescent="0.25">
      <c r="A464" s="11">
        <v>103167</v>
      </c>
      <c r="B464" s="12" t="s">
        <v>2716</v>
      </c>
      <c r="C464" s="12" t="s">
        <v>2717</v>
      </c>
      <c r="D464" s="12">
        <v>1</v>
      </c>
      <c r="E464" s="125">
        <v>1864663.06</v>
      </c>
      <c r="F464" s="12">
        <v>-18</v>
      </c>
      <c r="G464" s="125">
        <v>1660229.73</v>
      </c>
      <c r="H464" s="12" t="s">
        <v>2494</v>
      </c>
      <c r="I464" s="125">
        <v>24350.04</v>
      </c>
      <c r="J464" s="13">
        <v>42837.703277581022</v>
      </c>
      <c r="K464" s="13">
        <v>43202</v>
      </c>
      <c r="L464" s="13" t="s">
        <v>2718</v>
      </c>
      <c r="M464" s="12" t="s">
        <v>2719</v>
      </c>
      <c r="N464" s="12"/>
      <c r="O464" s="12"/>
      <c r="P464" s="12"/>
      <c r="Q464" s="12"/>
    </row>
    <row r="465" spans="1:17" x14ac:dyDescent="0.25">
      <c r="A465" s="11">
        <v>103168</v>
      </c>
      <c r="B465" s="12" t="s">
        <v>4502</v>
      </c>
      <c r="C465" s="12" t="s">
        <v>4505</v>
      </c>
      <c r="D465" s="12">
        <v>1</v>
      </c>
      <c r="E465" s="125">
        <v>669048.28</v>
      </c>
      <c r="F465" s="12">
        <v>9</v>
      </c>
      <c r="G465" s="125">
        <v>652726.67000000004</v>
      </c>
      <c r="H465" s="12" t="s">
        <v>468</v>
      </c>
      <c r="I465" s="125">
        <v>4352.43</v>
      </c>
      <c r="J465" s="13">
        <v>42840.496137534719</v>
      </c>
      <c r="K465" s="13">
        <v>43084</v>
      </c>
      <c r="L465" s="13" t="s">
        <v>4506</v>
      </c>
      <c r="M465" s="12"/>
      <c r="N465" s="12"/>
      <c r="O465" s="12"/>
      <c r="P465" s="12"/>
      <c r="Q465" s="12"/>
    </row>
    <row r="466" spans="1:17" x14ac:dyDescent="0.25">
      <c r="A466" s="11">
        <v>103169</v>
      </c>
      <c r="B466" s="12" t="s">
        <v>4503</v>
      </c>
      <c r="C466" s="12" t="s">
        <v>4507</v>
      </c>
      <c r="D466" s="12">
        <v>6</v>
      </c>
      <c r="E466" s="125">
        <v>26004787.559999999</v>
      </c>
      <c r="F466" s="12">
        <v>-19</v>
      </c>
      <c r="G466" s="125">
        <v>19610025.949999999</v>
      </c>
      <c r="H466" s="12" t="s">
        <v>1925</v>
      </c>
      <c r="I466" s="125">
        <v>217889.18</v>
      </c>
      <c r="J466" s="13">
        <v>42838.697300960652</v>
      </c>
      <c r="K466" s="13">
        <v>43568</v>
      </c>
      <c r="L466" s="13" t="s">
        <v>4508</v>
      </c>
      <c r="M466" s="12" t="s">
        <v>4509</v>
      </c>
      <c r="N466" s="12"/>
      <c r="O466" s="12"/>
      <c r="P466" s="12"/>
      <c r="Q466" s="12"/>
    </row>
    <row r="467" spans="1:17" x14ac:dyDescent="0.25">
      <c r="A467" s="11">
        <v>103170</v>
      </c>
      <c r="B467" s="12" t="s">
        <v>4501</v>
      </c>
      <c r="C467" s="12" t="s">
        <v>4510</v>
      </c>
      <c r="D467" s="12">
        <v>6</v>
      </c>
      <c r="E467" s="125">
        <v>48831803.18</v>
      </c>
      <c r="F467" s="12">
        <v>-19</v>
      </c>
      <c r="G467" s="125">
        <v>30996850.809999999</v>
      </c>
      <c r="H467" s="12" t="s">
        <v>468</v>
      </c>
      <c r="I467" s="125">
        <v>344409.45</v>
      </c>
      <c r="J467" s="13">
        <v>42838.715688738426</v>
      </c>
      <c r="K467" s="13">
        <v>43934</v>
      </c>
      <c r="L467" s="13" t="s">
        <v>4511</v>
      </c>
      <c r="M467" s="12" t="s">
        <v>4512</v>
      </c>
      <c r="N467" s="12"/>
      <c r="O467" s="12"/>
      <c r="P467" s="12"/>
      <c r="Q467" s="12"/>
    </row>
    <row r="468" spans="1:17" x14ac:dyDescent="0.25">
      <c r="A468" s="11">
        <v>103171</v>
      </c>
      <c r="B468" s="12" t="s">
        <v>611</v>
      </c>
      <c r="C468" s="12" t="s">
        <v>612</v>
      </c>
      <c r="D468" s="12">
        <v>3</v>
      </c>
      <c r="E468" s="125">
        <v>46747164.659999996</v>
      </c>
      <c r="F468" s="12">
        <v>5</v>
      </c>
      <c r="G468" s="125">
        <v>36544923.329999998</v>
      </c>
      <c r="H468" s="12" t="s">
        <v>1925</v>
      </c>
      <c r="I468" s="125">
        <v>1215496.8400000001</v>
      </c>
      <c r="J468" s="13">
        <v>42844.408231597219</v>
      </c>
      <c r="K468" s="13">
        <v>43574</v>
      </c>
      <c r="L468" s="13" t="s">
        <v>613</v>
      </c>
      <c r="M468" s="12"/>
      <c r="N468" s="12"/>
      <c r="O468" s="12"/>
      <c r="P468" s="12"/>
      <c r="Q468" s="12"/>
    </row>
    <row r="469" spans="1:17" x14ac:dyDescent="0.25">
      <c r="A469" s="11">
        <v>103172</v>
      </c>
      <c r="B469" s="12" t="s">
        <v>4524</v>
      </c>
      <c r="C469" s="12" t="s">
        <v>4525</v>
      </c>
      <c r="D469" s="12">
        <v>1</v>
      </c>
      <c r="E469" s="125">
        <v>4605979.9400000004</v>
      </c>
      <c r="F469" s="12">
        <v>37</v>
      </c>
      <c r="G469" s="125">
        <v>3877380.33</v>
      </c>
      <c r="H469" s="12" t="s">
        <v>1039</v>
      </c>
      <c r="I469" s="125">
        <v>326448.14</v>
      </c>
      <c r="J469" s="13">
        <v>42843.689945798615</v>
      </c>
      <c r="K469" s="13">
        <v>43208</v>
      </c>
      <c r="L469" s="13" t="s">
        <v>4526</v>
      </c>
      <c r="M469" s="12" t="s">
        <v>4527</v>
      </c>
      <c r="N469" s="12"/>
      <c r="O469" s="12"/>
      <c r="P469" s="12"/>
      <c r="Q469" s="12"/>
    </row>
    <row r="470" spans="1:17" x14ac:dyDescent="0.25">
      <c r="A470" s="11">
        <v>103173</v>
      </c>
      <c r="B470" s="12" t="s">
        <v>4523</v>
      </c>
      <c r="C470" s="12" t="s">
        <v>4528</v>
      </c>
      <c r="D470" s="12">
        <v>3</v>
      </c>
      <c r="E470" s="125">
        <v>21110011.390000001</v>
      </c>
      <c r="F470" s="12">
        <v>6</v>
      </c>
      <c r="G470" s="125">
        <v>19215934.48</v>
      </c>
      <c r="H470" s="12" t="s">
        <v>1191</v>
      </c>
      <c r="I470" s="125">
        <v>321919.84000000003</v>
      </c>
      <c r="J470" s="13">
        <v>42843.712621377315</v>
      </c>
      <c r="K470" s="13">
        <v>43208</v>
      </c>
      <c r="L470" s="13" t="s">
        <v>4529</v>
      </c>
      <c r="M470" s="12" t="s">
        <v>4530</v>
      </c>
      <c r="N470" s="12"/>
      <c r="O470" s="12"/>
      <c r="P470" s="12"/>
      <c r="Q470" s="12"/>
    </row>
    <row r="471" spans="1:17" x14ac:dyDescent="0.25">
      <c r="A471" s="11">
        <v>103175</v>
      </c>
      <c r="B471" s="12" t="s">
        <v>4531</v>
      </c>
      <c r="C471" s="12" t="s">
        <v>4532</v>
      </c>
      <c r="D471" s="12">
        <v>2</v>
      </c>
      <c r="E471" s="125">
        <v>18567208.460000001</v>
      </c>
      <c r="F471" s="12">
        <v>4</v>
      </c>
      <c r="G471" s="125">
        <v>16561238.32</v>
      </c>
      <c r="H471" s="12" t="s">
        <v>546</v>
      </c>
      <c r="I471" s="125">
        <v>547859.26</v>
      </c>
      <c r="J471" s="13">
        <v>42844.763246956019</v>
      </c>
      <c r="K471" s="13">
        <v>43210</v>
      </c>
      <c r="L471" s="13" t="s">
        <v>4533</v>
      </c>
      <c r="M471" s="12"/>
      <c r="N471" s="12" t="s">
        <v>4534</v>
      </c>
      <c r="O471" s="12"/>
      <c r="P471" s="12"/>
      <c r="Q471" s="12"/>
    </row>
    <row r="472" spans="1:17" x14ac:dyDescent="0.25">
      <c r="A472" s="11">
        <v>103176</v>
      </c>
      <c r="B472" s="12" t="s">
        <v>4536</v>
      </c>
      <c r="C472" s="12" t="s">
        <v>4538</v>
      </c>
      <c r="D472" s="12">
        <v>7</v>
      </c>
      <c r="E472" s="125">
        <v>2631988.56</v>
      </c>
      <c r="F472" s="12">
        <v>4</v>
      </c>
      <c r="G472" s="125">
        <v>2262576.9</v>
      </c>
      <c r="H472" s="12" t="s">
        <v>2034</v>
      </c>
      <c r="I472" s="125">
        <v>110481.74</v>
      </c>
      <c r="J472" s="13">
        <v>42845.790484872683</v>
      </c>
      <c r="K472" s="13">
        <v>43210</v>
      </c>
      <c r="L472" s="13" t="s">
        <v>4539</v>
      </c>
      <c r="M472" s="12" t="s">
        <v>4540</v>
      </c>
      <c r="N472" s="12"/>
      <c r="O472" s="12"/>
      <c r="P472" s="12"/>
      <c r="Q472" s="12"/>
    </row>
    <row r="473" spans="1:17" x14ac:dyDescent="0.25">
      <c r="A473" s="11">
        <v>103177</v>
      </c>
      <c r="B473" s="12" t="s">
        <v>4535</v>
      </c>
      <c r="C473" s="12" t="s">
        <v>4541</v>
      </c>
      <c r="D473" s="12">
        <v>1</v>
      </c>
      <c r="E473" s="125">
        <v>4595479.9400000004</v>
      </c>
      <c r="F473" s="12">
        <v>4</v>
      </c>
      <c r="G473" s="125">
        <v>3959509.52</v>
      </c>
      <c r="H473" s="12" t="s">
        <v>5167</v>
      </c>
      <c r="I473" s="125">
        <v>182843.04</v>
      </c>
      <c r="J473" s="13">
        <v>42845.712040509257</v>
      </c>
      <c r="K473" s="13">
        <v>43210</v>
      </c>
      <c r="L473" s="13" t="s">
        <v>4542</v>
      </c>
      <c r="M473" s="12" t="s">
        <v>4543</v>
      </c>
      <c r="N473" s="12"/>
      <c r="O473" s="12"/>
      <c r="P473" s="12"/>
      <c r="Q473" s="12"/>
    </row>
    <row r="474" spans="1:17" x14ac:dyDescent="0.25">
      <c r="A474" s="11">
        <v>103178</v>
      </c>
      <c r="B474" s="12" t="s">
        <v>601</v>
      </c>
      <c r="C474" s="12" t="s">
        <v>1914</v>
      </c>
      <c r="D474" s="12">
        <v>2</v>
      </c>
      <c r="E474" s="125">
        <v>10358200.83</v>
      </c>
      <c r="F474" s="12">
        <v>4</v>
      </c>
      <c r="G474" s="125">
        <v>9354514.9399999995</v>
      </c>
      <c r="H474" s="12" t="s">
        <v>2855</v>
      </c>
      <c r="I474" s="125">
        <v>32706.48</v>
      </c>
      <c r="J474" s="13">
        <v>42845.736991701386</v>
      </c>
      <c r="K474" s="13">
        <v>43210</v>
      </c>
      <c r="L474" s="13" t="s">
        <v>1915</v>
      </c>
      <c r="M474" s="12" t="s">
        <v>1916</v>
      </c>
      <c r="N474" s="12"/>
      <c r="O474" s="12"/>
      <c r="P474" s="12"/>
      <c r="Q474" s="12"/>
    </row>
    <row r="475" spans="1:17" x14ac:dyDescent="0.25">
      <c r="A475" s="11">
        <v>103180</v>
      </c>
      <c r="B475" s="12" t="s">
        <v>1641</v>
      </c>
      <c r="C475" s="12" t="s">
        <v>1643</v>
      </c>
      <c r="D475" s="12">
        <v>5</v>
      </c>
      <c r="E475" s="125">
        <v>4423406.88</v>
      </c>
      <c r="F475" s="12">
        <v>-27</v>
      </c>
      <c r="G475" s="125">
        <v>3973137.41</v>
      </c>
      <c r="H475" s="12" t="s">
        <v>284</v>
      </c>
      <c r="I475" s="125">
        <v>4856.0600000000004</v>
      </c>
      <c r="J475" s="13">
        <v>42846.412896608796</v>
      </c>
      <c r="K475" s="13">
        <v>43394</v>
      </c>
      <c r="L475" s="13" t="s">
        <v>1644</v>
      </c>
      <c r="M475" s="12"/>
      <c r="N475" s="12"/>
      <c r="O475" s="12"/>
      <c r="P475" s="12"/>
      <c r="Q475" s="12"/>
    </row>
    <row r="476" spans="1:17" x14ac:dyDescent="0.25">
      <c r="A476" s="11">
        <v>103181</v>
      </c>
      <c r="B476" s="12" t="s">
        <v>4565</v>
      </c>
      <c r="C476" s="12" t="s">
        <v>4568</v>
      </c>
      <c r="D476" s="12">
        <v>7</v>
      </c>
      <c r="E476" s="125">
        <v>303219.34000000003</v>
      </c>
      <c r="F476" s="12">
        <v>0</v>
      </c>
      <c r="G476" s="125">
        <v>283914.53999999998</v>
      </c>
      <c r="H476" s="12" t="s">
        <v>2494</v>
      </c>
      <c r="I476" s="125">
        <v>12350.28</v>
      </c>
      <c r="J476" s="13">
        <v>42849.712158020833</v>
      </c>
      <c r="K476" s="13">
        <v>43093</v>
      </c>
      <c r="L476" s="13" t="s">
        <v>4569</v>
      </c>
      <c r="M476" s="12"/>
      <c r="N476" s="12"/>
      <c r="O476" s="12"/>
      <c r="P476" s="12"/>
      <c r="Q476" s="12"/>
    </row>
    <row r="477" spans="1:17" x14ac:dyDescent="0.25">
      <c r="A477" s="11">
        <v>103182</v>
      </c>
      <c r="B477" s="12" t="s">
        <v>4577</v>
      </c>
      <c r="C477" s="12" t="s">
        <v>4578</v>
      </c>
      <c r="D477" s="12">
        <v>6</v>
      </c>
      <c r="E477" s="125">
        <v>34900174</v>
      </c>
      <c r="F477" s="12">
        <v>-1</v>
      </c>
      <c r="G477" s="125">
        <v>28949705.949999999</v>
      </c>
      <c r="H477" s="12" t="s">
        <v>5167</v>
      </c>
      <c r="I477" s="125">
        <v>810591.77</v>
      </c>
      <c r="J477" s="13">
        <v>42850.729542013891</v>
      </c>
      <c r="K477" s="13">
        <v>43398</v>
      </c>
      <c r="L477" s="13" t="s">
        <v>4579</v>
      </c>
      <c r="M477" s="12" t="s">
        <v>4580</v>
      </c>
      <c r="N477" s="12"/>
      <c r="O477" s="12"/>
      <c r="P477" s="12"/>
      <c r="Q477" s="12"/>
    </row>
    <row r="478" spans="1:17" x14ac:dyDescent="0.25">
      <c r="A478" s="11">
        <v>103183</v>
      </c>
      <c r="B478" s="12" t="s">
        <v>4576</v>
      </c>
      <c r="C478" s="12" t="s">
        <v>4581</v>
      </c>
      <c r="D478" s="12">
        <v>1</v>
      </c>
      <c r="E478" s="125">
        <v>917492.28</v>
      </c>
      <c r="F478" s="12">
        <v>-7</v>
      </c>
      <c r="G478" s="125">
        <v>859079.1</v>
      </c>
      <c r="H478" s="12" t="s">
        <v>2175</v>
      </c>
      <c r="I478" s="125">
        <v>28349.61</v>
      </c>
      <c r="J478" s="13">
        <v>42850.732010648149</v>
      </c>
      <c r="K478" s="13">
        <v>43101</v>
      </c>
      <c r="L478" s="13" t="s">
        <v>4582</v>
      </c>
      <c r="M478" s="12"/>
      <c r="N478" s="12"/>
      <c r="O478" s="12"/>
      <c r="P478" s="12"/>
      <c r="Q478" s="12"/>
    </row>
    <row r="479" spans="1:17" x14ac:dyDescent="0.25">
      <c r="A479" s="11">
        <v>103185</v>
      </c>
      <c r="B479" s="12" t="s">
        <v>4596</v>
      </c>
      <c r="C479" s="12" t="s">
        <v>4597</v>
      </c>
      <c r="D479" s="12">
        <v>3</v>
      </c>
      <c r="E479" s="125">
        <v>79808532.450000003</v>
      </c>
      <c r="F479" s="12">
        <v>-7</v>
      </c>
      <c r="G479" s="125">
        <v>49965967.280000001</v>
      </c>
      <c r="H479" s="12" t="s">
        <v>468</v>
      </c>
      <c r="I479" s="125">
        <v>1221390.31</v>
      </c>
      <c r="J479" s="13">
        <v>42851.579203969908</v>
      </c>
      <c r="K479" s="13">
        <v>43952</v>
      </c>
      <c r="L479" s="13" t="s">
        <v>4598</v>
      </c>
      <c r="M479" s="12" t="s">
        <v>4599</v>
      </c>
      <c r="N479" s="12"/>
      <c r="O479" s="12"/>
      <c r="P479" s="12"/>
      <c r="Q479" s="12"/>
    </row>
    <row r="480" spans="1:17" x14ac:dyDescent="0.25">
      <c r="A480" s="11">
        <v>103187</v>
      </c>
      <c r="B480" s="12" t="s">
        <v>4620</v>
      </c>
      <c r="C480" s="12" t="s">
        <v>4624</v>
      </c>
      <c r="D480" s="12">
        <v>1</v>
      </c>
      <c r="E480" s="125">
        <v>5489285.0300000003</v>
      </c>
      <c r="F480" s="12">
        <v>23</v>
      </c>
      <c r="G480" s="125">
        <v>5029949.62</v>
      </c>
      <c r="H480" s="12" t="s">
        <v>90</v>
      </c>
      <c r="I480" s="125">
        <v>339423.41</v>
      </c>
      <c r="J480" s="13">
        <v>42852.668469062497</v>
      </c>
      <c r="K480" s="13">
        <v>43101</v>
      </c>
      <c r="L480" s="13" t="s">
        <v>4625</v>
      </c>
      <c r="M480" s="12" t="s">
        <v>4626</v>
      </c>
      <c r="N480" s="12" t="s">
        <v>4627</v>
      </c>
      <c r="O480" s="12"/>
      <c r="P480" s="12"/>
      <c r="Q480" s="12"/>
    </row>
    <row r="481" spans="1:17" x14ac:dyDescent="0.25">
      <c r="A481" s="11">
        <v>103189</v>
      </c>
      <c r="B481" s="12" t="s">
        <v>1606</v>
      </c>
      <c r="C481" s="12" t="s">
        <v>1612</v>
      </c>
      <c r="D481" s="12">
        <v>6</v>
      </c>
      <c r="E481" s="125">
        <v>21555602.260000002</v>
      </c>
      <c r="F481" s="12">
        <v>7</v>
      </c>
      <c r="G481" s="125">
        <v>16540720.689999999</v>
      </c>
      <c r="H481" s="12" t="s">
        <v>86</v>
      </c>
      <c r="I481" s="125">
        <v>97453.13</v>
      </c>
      <c r="J481" s="13">
        <v>42872.613226273148</v>
      </c>
      <c r="K481" s="13">
        <v>43602</v>
      </c>
      <c r="L481" s="13" t="s">
        <v>1613</v>
      </c>
      <c r="M481" s="12"/>
      <c r="N481" s="12"/>
      <c r="O481" s="12"/>
      <c r="P481" s="12"/>
      <c r="Q481" s="12"/>
    </row>
    <row r="482" spans="1:17" x14ac:dyDescent="0.25">
      <c r="A482" s="11">
        <v>103190</v>
      </c>
      <c r="B482" s="12" t="s">
        <v>1528</v>
      </c>
      <c r="C482" s="12" t="s">
        <v>1531</v>
      </c>
      <c r="D482" s="12">
        <v>3</v>
      </c>
      <c r="E482" s="125">
        <v>39342116.82</v>
      </c>
      <c r="F482" s="12">
        <v>-7</v>
      </c>
      <c r="G482" s="125">
        <v>32631658.890000001</v>
      </c>
      <c r="H482" s="12" t="s">
        <v>963</v>
      </c>
      <c r="I482" s="125">
        <v>717896.5</v>
      </c>
      <c r="J482" s="13">
        <v>42854.553883449073</v>
      </c>
      <c r="K482" s="13">
        <v>43406</v>
      </c>
      <c r="L482" s="13" t="s">
        <v>1532</v>
      </c>
      <c r="M482" s="12"/>
      <c r="N482" s="12"/>
      <c r="O482" s="12"/>
      <c r="P482" s="12"/>
      <c r="Q482" s="12"/>
    </row>
    <row r="483" spans="1:17" x14ac:dyDescent="0.25">
      <c r="A483" s="11">
        <v>103192</v>
      </c>
      <c r="B483" s="12" t="s">
        <v>4650</v>
      </c>
      <c r="C483" s="12" t="s">
        <v>4653</v>
      </c>
      <c r="D483" s="12">
        <v>2</v>
      </c>
      <c r="E483" s="125">
        <v>19232677.690000001</v>
      </c>
      <c r="F483" s="12">
        <v>-7</v>
      </c>
      <c r="G483" s="125">
        <v>16799798.390000001</v>
      </c>
      <c r="H483" s="12" t="s">
        <v>86</v>
      </c>
      <c r="I483" s="125">
        <v>492794.09</v>
      </c>
      <c r="J483" s="13">
        <v>42854.47204980324</v>
      </c>
      <c r="K483" s="13">
        <v>43222</v>
      </c>
      <c r="L483" s="13" t="s">
        <v>4654</v>
      </c>
      <c r="M483" s="12"/>
      <c r="N483" s="12"/>
      <c r="O483" s="12"/>
      <c r="P483" s="12"/>
      <c r="Q483" s="12"/>
    </row>
    <row r="484" spans="1:17" x14ac:dyDescent="0.25">
      <c r="A484" s="11">
        <v>103193</v>
      </c>
      <c r="B484" s="12" t="s">
        <v>4632</v>
      </c>
      <c r="C484" s="12" t="s">
        <v>4637</v>
      </c>
      <c r="D484" s="12">
        <v>7</v>
      </c>
      <c r="E484" s="125">
        <v>6090500.7199999997</v>
      </c>
      <c r="F484" s="12">
        <v>176</v>
      </c>
      <c r="G484" s="125">
        <v>5000000</v>
      </c>
      <c r="H484" s="12" t="s">
        <v>2494</v>
      </c>
      <c r="I484" s="125">
        <v>451516.96</v>
      </c>
      <c r="J484" s="13">
        <v>42853.803187233796</v>
      </c>
      <c r="K484" s="13">
        <v>43101</v>
      </c>
      <c r="L484" s="13" t="s">
        <v>4638</v>
      </c>
      <c r="M484" s="12"/>
      <c r="N484" s="12"/>
      <c r="O484" s="12"/>
      <c r="P484" s="12"/>
      <c r="Q484" s="12"/>
    </row>
    <row r="485" spans="1:17" x14ac:dyDescent="0.25">
      <c r="A485" s="11">
        <v>103195</v>
      </c>
      <c r="B485" s="12" t="s">
        <v>4648</v>
      </c>
      <c r="C485" s="12" t="s">
        <v>4655</v>
      </c>
      <c r="D485" s="12">
        <v>1</v>
      </c>
      <c r="E485" s="125">
        <v>3204761.48</v>
      </c>
      <c r="F485" s="12">
        <v>-7</v>
      </c>
      <c r="G485" s="125">
        <v>2799966.38</v>
      </c>
      <c r="H485" s="12" t="s">
        <v>2861</v>
      </c>
      <c r="I485" s="125">
        <v>82132.350000000006</v>
      </c>
      <c r="J485" s="13">
        <v>42854.724098032406</v>
      </c>
      <c r="K485" s="13">
        <v>43221</v>
      </c>
      <c r="L485" s="13" t="s">
        <v>4656</v>
      </c>
      <c r="M485" s="12"/>
      <c r="N485" s="12"/>
      <c r="O485" s="12"/>
      <c r="P485" s="12"/>
      <c r="Q485" s="12"/>
    </row>
    <row r="486" spans="1:17" x14ac:dyDescent="0.25">
      <c r="A486" s="11">
        <v>103196</v>
      </c>
      <c r="B486" s="12" t="s">
        <v>1338</v>
      </c>
      <c r="C486" s="12" t="s">
        <v>1339</v>
      </c>
      <c r="D486" s="12">
        <v>3</v>
      </c>
      <c r="E486" s="125">
        <v>35231950.189999998</v>
      </c>
      <c r="F486" s="12">
        <v>23</v>
      </c>
      <c r="G486" s="125">
        <v>32005438.300000001</v>
      </c>
      <c r="H486" s="12" t="s">
        <v>2494</v>
      </c>
      <c r="I486" s="125">
        <v>659787.69999999995</v>
      </c>
      <c r="J486" s="13">
        <v>42854.692172997682</v>
      </c>
      <c r="K486" s="13">
        <v>43221</v>
      </c>
      <c r="L486" s="13" t="s">
        <v>1340</v>
      </c>
      <c r="M486" s="12"/>
      <c r="N486" s="12" t="s">
        <v>1341</v>
      </c>
      <c r="O486" s="12"/>
      <c r="P486" s="12"/>
      <c r="Q486" s="12"/>
    </row>
    <row r="487" spans="1:17" x14ac:dyDescent="0.25">
      <c r="A487" s="11">
        <v>103197</v>
      </c>
      <c r="B487" s="12" t="s">
        <v>4647</v>
      </c>
      <c r="C487" s="12" t="s">
        <v>4657</v>
      </c>
      <c r="D487" s="12">
        <v>6</v>
      </c>
      <c r="E487" s="125">
        <v>17984145.920000002</v>
      </c>
      <c r="F487" s="12">
        <v>-7</v>
      </c>
      <c r="G487" s="125">
        <v>14625325.84</v>
      </c>
      <c r="H487" s="12" t="s">
        <v>468</v>
      </c>
      <c r="I487" s="125">
        <v>357507.96</v>
      </c>
      <c r="J487" s="13">
        <v>42854.752476076392</v>
      </c>
      <c r="K487" s="13">
        <v>43405</v>
      </c>
      <c r="L487" s="13" t="s">
        <v>4658</v>
      </c>
      <c r="M487" s="12"/>
      <c r="N487" s="12"/>
      <c r="O487" s="12"/>
      <c r="P487" s="12"/>
      <c r="Q487" s="12"/>
    </row>
    <row r="488" spans="1:17" x14ac:dyDescent="0.25">
      <c r="A488" s="11">
        <v>103199</v>
      </c>
      <c r="B488" s="12" t="s">
        <v>764</v>
      </c>
      <c r="C488" s="12" t="s">
        <v>773</v>
      </c>
      <c r="D488" s="12">
        <v>1</v>
      </c>
      <c r="E488" s="125">
        <v>7671756.4400000004</v>
      </c>
      <c r="F488" s="12">
        <v>-9</v>
      </c>
      <c r="G488" s="125">
        <v>6702732.8700000001</v>
      </c>
      <c r="H488" s="12" t="s">
        <v>963</v>
      </c>
      <c r="I488" s="125">
        <v>178739.54</v>
      </c>
      <c r="J488" s="13">
        <v>42858.693313425923</v>
      </c>
      <c r="K488" s="13">
        <v>43223</v>
      </c>
      <c r="L488" s="13" t="s">
        <v>774</v>
      </c>
      <c r="M488" s="12" t="s">
        <v>775</v>
      </c>
      <c r="N488" s="12"/>
      <c r="O488" s="12"/>
      <c r="P488" s="12"/>
      <c r="Q488" s="12"/>
    </row>
    <row r="489" spans="1:17" x14ac:dyDescent="0.25">
      <c r="A489" s="11">
        <v>103200</v>
      </c>
      <c r="B489" s="12" t="s">
        <v>4677</v>
      </c>
      <c r="C489" s="12" t="s">
        <v>4678</v>
      </c>
      <c r="D489" s="12">
        <v>2</v>
      </c>
      <c r="E489" s="125">
        <v>16824343.640000001</v>
      </c>
      <c r="F489" s="12">
        <v>20</v>
      </c>
      <c r="G489" s="125">
        <v>14805544.539999999</v>
      </c>
      <c r="H489" s="12" t="s">
        <v>2494</v>
      </c>
      <c r="I489" s="125">
        <v>353755.35</v>
      </c>
      <c r="J489" s="13">
        <v>42859.722962268519</v>
      </c>
      <c r="K489" s="13">
        <v>43224</v>
      </c>
      <c r="L489" s="13" t="s">
        <v>4679</v>
      </c>
      <c r="M489" s="12" t="s">
        <v>4680</v>
      </c>
      <c r="N489" s="12"/>
      <c r="O489" s="12"/>
      <c r="P489" s="12"/>
      <c r="Q489" s="12"/>
    </row>
    <row r="490" spans="1:17" x14ac:dyDescent="0.25">
      <c r="A490" s="11">
        <v>103204</v>
      </c>
      <c r="B490" s="12" t="s">
        <v>4694</v>
      </c>
      <c r="C490" s="12" t="s">
        <v>4699</v>
      </c>
      <c r="D490" s="12">
        <v>7</v>
      </c>
      <c r="E490" s="125">
        <v>208229.72</v>
      </c>
      <c r="F490" s="12">
        <v>47</v>
      </c>
      <c r="G490" s="125">
        <v>199880.89</v>
      </c>
      <c r="H490" s="12" t="s">
        <v>3074</v>
      </c>
      <c r="I490" s="125">
        <v>8070.53</v>
      </c>
      <c r="J490" s="13">
        <v>42863.729602083331</v>
      </c>
      <c r="K490" s="13">
        <v>43047</v>
      </c>
      <c r="L490" s="13" t="s">
        <v>4700</v>
      </c>
      <c r="M490" s="12"/>
      <c r="N490" s="12"/>
      <c r="O490" s="12"/>
      <c r="P490" s="12"/>
      <c r="Q490" s="12"/>
    </row>
    <row r="491" spans="1:17" x14ac:dyDescent="0.25">
      <c r="A491" s="11">
        <v>103206</v>
      </c>
      <c r="B491" s="12" t="s">
        <v>4723</v>
      </c>
      <c r="C491" s="12" t="s">
        <v>4725</v>
      </c>
      <c r="D491" s="12">
        <v>5</v>
      </c>
      <c r="E491" s="125">
        <v>16155499.310000001</v>
      </c>
      <c r="F491" s="12">
        <v>-27</v>
      </c>
      <c r="G491" s="125">
        <v>12341899.75</v>
      </c>
      <c r="H491" s="12" t="s">
        <v>284</v>
      </c>
      <c r="I491" s="125">
        <v>15084.54</v>
      </c>
      <c r="J491" s="13">
        <v>42864.697911261574</v>
      </c>
      <c r="K491" s="13">
        <v>43972</v>
      </c>
      <c r="L491" s="13" t="s">
        <v>4726</v>
      </c>
      <c r="M491" s="12"/>
      <c r="N491" s="12"/>
      <c r="O491" s="12"/>
      <c r="P491" s="12"/>
      <c r="Q491" s="12"/>
    </row>
    <row r="492" spans="1:17" x14ac:dyDescent="0.25">
      <c r="A492" s="11">
        <v>103207</v>
      </c>
      <c r="B492" s="12" t="s">
        <v>4730</v>
      </c>
      <c r="C492" s="12" t="s">
        <v>4732</v>
      </c>
      <c r="D492" s="12">
        <v>1</v>
      </c>
      <c r="E492" s="125">
        <v>3028271.58</v>
      </c>
      <c r="F492" s="12">
        <v>45</v>
      </c>
      <c r="G492" s="125">
        <v>2607383.38</v>
      </c>
      <c r="H492" s="12" t="s">
        <v>2175</v>
      </c>
      <c r="I492" s="125">
        <v>211767.65</v>
      </c>
      <c r="J492" s="13">
        <v>42865.59297716435</v>
      </c>
      <c r="K492" s="13">
        <v>43169</v>
      </c>
      <c r="L492" s="13" t="s">
        <v>4733</v>
      </c>
      <c r="M492" s="12"/>
      <c r="N492" s="12"/>
      <c r="O492" s="12"/>
      <c r="P492" s="12"/>
      <c r="Q492" s="12"/>
    </row>
    <row r="493" spans="1:17" x14ac:dyDescent="0.25">
      <c r="A493" s="11">
        <v>103209</v>
      </c>
      <c r="B493" s="12" t="s">
        <v>4737</v>
      </c>
      <c r="C493" s="12" t="s">
        <v>4741</v>
      </c>
      <c r="D493" s="12">
        <v>3</v>
      </c>
      <c r="E493" s="125">
        <v>24593155.920000002</v>
      </c>
      <c r="F493" s="12">
        <v>-17</v>
      </c>
      <c r="G493" s="125">
        <v>21961068.010000002</v>
      </c>
      <c r="H493" s="12" t="s">
        <v>468</v>
      </c>
      <c r="I493" s="125">
        <v>292814.24</v>
      </c>
      <c r="J493" s="13">
        <v>42866.529079629632</v>
      </c>
      <c r="K493" s="13">
        <v>43231</v>
      </c>
      <c r="L493" s="13" t="s">
        <v>4742</v>
      </c>
      <c r="M493" s="12"/>
      <c r="N493" s="12"/>
      <c r="O493" s="12"/>
      <c r="P493" s="12"/>
      <c r="Q493" s="12"/>
    </row>
    <row r="494" spans="1:17" x14ac:dyDescent="0.25">
      <c r="A494" s="11">
        <v>103210</v>
      </c>
      <c r="B494" s="12" t="s">
        <v>4738</v>
      </c>
      <c r="C494" s="12" t="s">
        <v>4743</v>
      </c>
      <c r="D494" s="12">
        <v>1</v>
      </c>
      <c r="E494" s="125">
        <v>5116630.75</v>
      </c>
      <c r="F494" s="12">
        <v>13</v>
      </c>
      <c r="G494" s="125">
        <v>4470160.33</v>
      </c>
      <c r="H494" s="12" t="s">
        <v>5167</v>
      </c>
      <c r="I494" s="125">
        <v>71271.17</v>
      </c>
      <c r="J494" s="13">
        <v>42866.691571412041</v>
      </c>
      <c r="K494" s="13">
        <v>43231</v>
      </c>
      <c r="L494" s="13" t="s">
        <v>4744</v>
      </c>
      <c r="M494" s="12"/>
      <c r="N494" s="12"/>
      <c r="O494" s="12"/>
      <c r="P494" s="12"/>
      <c r="Q494" s="12"/>
    </row>
    <row r="495" spans="1:17" x14ac:dyDescent="0.25">
      <c r="A495" s="11">
        <v>103211</v>
      </c>
      <c r="B495" s="12" t="s">
        <v>4751</v>
      </c>
      <c r="C495" s="12" t="s">
        <v>4752</v>
      </c>
      <c r="D495" s="12">
        <v>6</v>
      </c>
      <c r="E495" s="125">
        <v>3418953.3</v>
      </c>
      <c r="F495" s="12">
        <v>-18</v>
      </c>
      <c r="G495" s="125">
        <v>3271031.77</v>
      </c>
      <c r="H495" s="12" t="s">
        <v>86</v>
      </c>
      <c r="I495" s="125">
        <v>35981.35</v>
      </c>
      <c r="J495" s="13">
        <v>42867.662933217594</v>
      </c>
      <c r="K495" s="13">
        <v>43112</v>
      </c>
      <c r="L495" s="13" t="s">
        <v>4753</v>
      </c>
      <c r="M495" s="12"/>
      <c r="N495" s="12"/>
      <c r="O495" s="12"/>
      <c r="P495" s="12"/>
      <c r="Q495" s="12"/>
    </row>
    <row r="496" spans="1:17" x14ac:dyDescent="0.25">
      <c r="A496" s="11">
        <v>103212</v>
      </c>
      <c r="B496" s="12" t="s">
        <v>4754</v>
      </c>
      <c r="C496" s="12" t="s">
        <v>4756</v>
      </c>
      <c r="D496" s="12">
        <v>1</v>
      </c>
      <c r="E496" s="125">
        <v>3819283.24</v>
      </c>
      <c r="F496" s="12">
        <v>11</v>
      </c>
      <c r="G496" s="125">
        <v>3231150.28</v>
      </c>
      <c r="H496" s="12" t="s">
        <v>2494</v>
      </c>
      <c r="I496" s="125">
        <v>168791.7</v>
      </c>
      <c r="J496" s="13">
        <v>42868.464225613425</v>
      </c>
      <c r="K496" s="13">
        <v>43233</v>
      </c>
      <c r="L496" s="13" t="s">
        <v>4757</v>
      </c>
      <c r="M496" s="12" t="s">
        <v>4758</v>
      </c>
      <c r="N496" s="12"/>
      <c r="O496" s="12"/>
      <c r="P496" s="12"/>
      <c r="Q496" s="12"/>
    </row>
    <row r="497" spans="1:17" x14ac:dyDescent="0.25">
      <c r="A497" s="11">
        <v>103213</v>
      </c>
      <c r="B497" s="12" t="s">
        <v>440</v>
      </c>
      <c r="C497" s="12" t="s">
        <v>448</v>
      </c>
      <c r="D497" s="12">
        <v>2</v>
      </c>
      <c r="E497" s="125">
        <v>12418073.869999999</v>
      </c>
      <c r="F497" s="12">
        <v>-21</v>
      </c>
      <c r="G497" s="125">
        <v>11028394.18</v>
      </c>
      <c r="H497" s="12" t="s">
        <v>1667</v>
      </c>
      <c r="I497" s="125">
        <v>102931.68</v>
      </c>
      <c r="J497" s="13">
        <v>42870.572094293981</v>
      </c>
      <c r="K497" s="13">
        <v>43235</v>
      </c>
      <c r="L497" s="13" t="s">
        <v>449</v>
      </c>
      <c r="M497" s="12" t="s">
        <v>450</v>
      </c>
      <c r="N497" s="12"/>
      <c r="O497" s="12"/>
      <c r="P497" s="12"/>
      <c r="Q497" s="12"/>
    </row>
    <row r="498" spans="1:17" x14ac:dyDescent="0.25">
      <c r="A498" s="11">
        <v>103216</v>
      </c>
      <c r="B498" s="12" t="s">
        <v>3296</v>
      </c>
      <c r="C498" s="12" t="s">
        <v>3297</v>
      </c>
      <c r="D498" s="12">
        <v>8</v>
      </c>
      <c r="E498" s="125">
        <v>3662406.1</v>
      </c>
      <c r="F498" s="12">
        <v>39</v>
      </c>
      <c r="G498" s="125">
        <v>3449876.28</v>
      </c>
      <c r="H498" s="12" t="s">
        <v>2538</v>
      </c>
      <c r="I498" s="125">
        <v>103879.79</v>
      </c>
      <c r="J498" s="13">
        <v>42871.590581400465</v>
      </c>
      <c r="K498" s="13">
        <v>43116</v>
      </c>
      <c r="L498" s="13" t="s">
        <v>3298</v>
      </c>
      <c r="M498" s="12" t="s">
        <v>3299</v>
      </c>
      <c r="N498" s="12"/>
      <c r="O498" s="12"/>
      <c r="P498" s="12"/>
      <c r="Q498" s="12"/>
    </row>
    <row r="499" spans="1:17" x14ac:dyDescent="0.25">
      <c r="A499" s="11">
        <v>103219</v>
      </c>
      <c r="B499" s="12" t="s">
        <v>4778</v>
      </c>
      <c r="C499" s="12" t="s">
        <v>4781</v>
      </c>
      <c r="D499" s="12">
        <v>1</v>
      </c>
      <c r="E499" s="125">
        <v>8772956.9600000009</v>
      </c>
      <c r="F499" s="12">
        <v>38</v>
      </c>
      <c r="G499" s="125">
        <v>7233456.8399999999</v>
      </c>
      <c r="H499" s="12" t="s">
        <v>1039</v>
      </c>
      <c r="I499" s="125">
        <v>614762.18000000005</v>
      </c>
      <c r="J499" s="13">
        <v>42872.656395949074</v>
      </c>
      <c r="K499" s="13">
        <v>43237</v>
      </c>
      <c r="L499" s="13" t="s">
        <v>4782</v>
      </c>
      <c r="M499" s="12" t="s">
        <v>4783</v>
      </c>
      <c r="N499" s="12"/>
      <c r="O499" s="12"/>
      <c r="P499" s="12"/>
      <c r="Q499" s="12"/>
    </row>
    <row r="500" spans="1:17" x14ac:dyDescent="0.25">
      <c r="A500" s="11">
        <v>103220</v>
      </c>
      <c r="B500" s="12" t="s">
        <v>4798</v>
      </c>
      <c r="C500" s="12" t="s">
        <v>4802</v>
      </c>
      <c r="D500" s="12">
        <v>1</v>
      </c>
      <c r="E500" s="125">
        <v>3947982.81</v>
      </c>
      <c r="F500" s="12">
        <v>67</v>
      </c>
      <c r="G500" s="125">
        <v>3188562.22</v>
      </c>
      <c r="H500" s="12" t="s">
        <v>2034</v>
      </c>
      <c r="I500" s="125">
        <v>277081.39</v>
      </c>
      <c r="J500" s="13">
        <v>42873.577588541666</v>
      </c>
      <c r="K500" s="13">
        <v>43238</v>
      </c>
      <c r="L500" s="13" t="s">
        <v>4803</v>
      </c>
      <c r="M500" s="12" t="s">
        <v>4804</v>
      </c>
      <c r="N500" s="12"/>
      <c r="O500" s="12"/>
      <c r="P500" s="12"/>
      <c r="Q500" s="12"/>
    </row>
    <row r="501" spans="1:17" x14ac:dyDescent="0.25">
      <c r="A501" s="11">
        <v>103221</v>
      </c>
      <c r="B501" s="12" t="s">
        <v>911</v>
      </c>
      <c r="C501" s="12" t="s">
        <v>2217</v>
      </c>
      <c r="D501" s="12">
        <v>8</v>
      </c>
      <c r="E501" s="125">
        <v>4362253.59</v>
      </c>
      <c r="F501" s="12">
        <v>6</v>
      </c>
      <c r="G501" s="125">
        <v>3810143.15</v>
      </c>
      <c r="H501" s="12" t="s">
        <v>963</v>
      </c>
      <c r="I501" s="125">
        <v>133199.26</v>
      </c>
      <c r="J501" s="13">
        <v>42873.523146331019</v>
      </c>
      <c r="K501" s="13">
        <v>43238</v>
      </c>
      <c r="L501" s="13" t="s">
        <v>2218</v>
      </c>
      <c r="M501" s="12" t="s">
        <v>2219</v>
      </c>
      <c r="N501" s="12"/>
      <c r="O501" s="12"/>
      <c r="P501" s="12"/>
      <c r="Q501" s="12"/>
    </row>
    <row r="502" spans="1:17" x14ac:dyDescent="0.25">
      <c r="A502" s="11">
        <v>103223</v>
      </c>
      <c r="B502" s="12" t="s">
        <v>462</v>
      </c>
      <c r="C502" s="12" t="s">
        <v>465</v>
      </c>
      <c r="D502" s="12">
        <v>2</v>
      </c>
      <c r="E502" s="125">
        <v>24594279.809999999</v>
      </c>
      <c r="F502" s="12">
        <v>5</v>
      </c>
      <c r="G502" s="125">
        <v>19528027.09</v>
      </c>
      <c r="H502" s="12" t="s">
        <v>1447</v>
      </c>
      <c r="I502" s="125">
        <v>722762.57</v>
      </c>
      <c r="J502" s="13">
        <v>42874.675922800925</v>
      </c>
      <c r="K502" s="13">
        <v>43423</v>
      </c>
      <c r="L502" s="13" t="s">
        <v>466</v>
      </c>
      <c r="M502" s="12" t="s">
        <v>467</v>
      </c>
      <c r="N502" s="12"/>
      <c r="O502" s="12"/>
      <c r="P502" s="12"/>
      <c r="Q502" s="12"/>
    </row>
    <row r="503" spans="1:17" x14ac:dyDescent="0.25">
      <c r="A503" s="11">
        <v>103224</v>
      </c>
      <c r="B503" s="12" t="s">
        <v>113</v>
      </c>
      <c r="C503" s="12" t="s">
        <v>273</v>
      </c>
      <c r="D503" s="12">
        <v>6</v>
      </c>
      <c r="E503" s="125">
        <v>42514139.460000001</v>
      </c>
      <c r="F503" s="12">
        <v>-26</v>
      </c>
      <c r="G503" s="125">
        <v>32484376.289999999</v>
      </c>
      <c r="H503" s="12" t="s">
        <v>1039</v>
      </c>
      <c r="I503" s="125">
        <v>97453.13</v>
      </c>
      <c r="J503" s="13">
        <v>42875.655063391205</v>
      </c>
      <c r="K503" s="13">
        <v>43605</v>
      </c>
      <c r="L503" s="13" t="s">
        <v>274</v>
      </c>
      <c r="M503" s="12" t="s">
        <v>275</v>
      </c>
      <c r="N503" s="12"/>
      <c r="O503" s="12"/>
      <c r="P503" s="12"/>
      <c r="Q503" s="12"/>
    </row>
    <row r="504" spans="1:17" x14ac:dyDescent="0.25">
      <c r="A504" s="11">
        <v>103226</v>
      </c>
      <c r="B504" s="12" t="s">
        <v>3286</v>
      </c>
      <c r="C504" s="12" t="s">
        <v>3287</v>
      </c>
      <c r="D504" s="12">
        <v>6</v>
      </c>
      <c r="E504" s="125">
        <v>17450086.98</v>
      </c>
      <c r="F504" s="12">
        <v>-28</v>
      </c>
      <c r="G504" s="125">
        <v>14474852.970000001</v>
      </c>
      <c r="H504" s="12" t="s">
        <v>491</v>
      </c>
      <c r="I504" s="125">
        <v>14474.85</v>
      </c>
      <c r="J504" s="13">
        <v>42877.711354976855</v>
      </c>
      <c r="K504" s="13">
        <v>43426</v>
      </c>
      <c r="L504" s="13" t="s">
        <v>3288</v>
      </c>
      <c r="M504" s="12"/>
      <c r="N504" s="12"/>
      <c r="O504" s="12"/>
      <c r="P504" s="12"/>
      <c r="Q504" s="12"/>
    </row>
    <row r="505" spans="1:17" x14ac:dyDescent="0.25">
      <c r="A505" s="11">
        <v>103228</v>
      </c>
      <c r="B505" s="12" t="s">
        <v>4832</v>
      </c>
      <c r="C505" s="12" t="s">
        <v>4835</v>
      </c>
      <c r="D505" s="12">
        <v>1</v>
      </c>
      <c r="E505" s="125">
        <v>6883783.4400000004</v>
      </c>
      <c r="F505" s="12">
        <v>1</v>
      </c>
      <c r="G505" s="125">
        <v>6076263.7999999998</v>
      </c>
      <c r="H505" s="12" t="s">
        <v>2538</v>
      </c>
      <c r="I505" s="125">
        <v>255812.79</v>
      </c>
      <c r="J505" s="13">
        <v>42878.671710416667</v>
      </c>
      <c r="K505" s="13">
        <v>43243</v>
      </c>
      <c r="L505" s="13" t="s">
        <v>4836</v>
      </c>
      <c r="M505" s="12"/>
      <c r="N505" s="12"/>
      <c r="O505" s="12"/>
      <c r="P505" s="12"/>
      <c r="Q505" s="12"/>
    </row>
    <row r="506" spans="1:17" x14ac:dyDescent="0.25">
      <c r="A506" s="11">
        <v>103229</v>
      </c>
      <c r="B506" s="12" t="s">
        <v>2938</v>
      </c>
      <c r="C506" s="12" t="s">
        <v>2939</v>
      </c>
      <c r="D506" s="12">
        <v>8</v>
      </c>
      <c r="E506" s="125">
        <v>3856112.54</v>
      </c>
      <c r="F506" s="12">
        <v>2</v>
      </c>
      <c r="G506" s="125">
        <v>3416895.12</v>
      </c>
      <c r="H506" s="12" t="s">
        <v>2494</v>
      </c>
      <c r="I506" s="125">
        <v>4061.25</v>
      </c>
      <c r="J506" s="13">
        <v>42877.588088622688</v>
      </c>
      <c r="K506" s="13">
        <v>43242</v>
      </c>
      <c r="L506" s="13" t="s">
        <v>2940</v>
      </c>
      <c r="M506" s="12" t="s">
        <v>2941</v>
      </c>
      <c r="N506" s="12"/>
      <c r="O506" s="12"/>
      <c r="P506" s="12"/>
      <c r="Q506" s="12"/>
    </row>
    <row r="507" spans="1:17" x14ac:dyDescent="0.25">
      <c r="A507" s="11">
        <v>103230</v>
      </c>
      <c r="B507" s="12" t="s">
        <v>4831</v>
      </c>
      <c r="C507" s="12" t="s">
        <v>4837</v>
      </c>
      <c r="D507" s="12">
        <v>1</v>
      </c>
      <c r="E507" s="125">
        <v>2352207.4700000002</v>
      </c>
      <c r="F507" s="12">
        <v>1</v>
      </c>
      <c r="G507" s="125">
        <v>2179526.98</v>
      </c>
      <c r="H507" s="12" t="s">
        <v>1467</v>
      </c>
      <c r="I507" s="125">
        <v>111049.19</v>
      </c>
      <c r="J507" s="13">
        <v>42878.627374571763</v>
      </c>
      <c r="K507" s="13">
        <v>43154</v>
      </c>
      <c r="L507" s="13" t="s">
        <v>4838</v>
      </c>
      <c r="M507" s="12"/>
      <c r="N507" s="12"/>
      <c r="O507" s="12"/>
      <c r="P507" s="12"/>
      <c r="Q507" s="12"/>
    </row>
    <row r="508" spans="1:17" x14ac:dyDescent="0.25">
      <c r="A508" s="11">
        <v>103231</v>
      </c>
      <c r="B508" s="12" t="s">
        <v>436</v>
      </c>
      <c r="C508" s="12" t="s">
        <v>1921</v>
      </c>
      <c r="D508" s="12">
        <v>1</v>
      </c>
      <c r="E508" s="125">
        <v>12338901.609999999</v>
      </c>
      <c r="F508" s="12">
        <v>23</v>
      </c>
      <c r="G508" s="125">
        <v>9477873.8399999999</v>
      </c>
      <c r="H508" s="12" t="s">
        <v>90</v>
      </c>
      <c r="I508" s="125">
        <v>278013.42</v>
      </c>
      <c r="J508" s="13">
        <v>42885.689436111112</v>
      </c>
      <c r="K508" s="13">
        <v>43435</v>
      </c>
      <c r="L508" s="13" t="s">
        <v>1922</v>
      </c>
      <c r="M508" s="12"/>
      <c r="N508" s="12"/>
      <c r="O508" s="12"/>
      <c r="P508" s="12"/>
      <c r="Q508" s="12"/>
    </row>
    <row r="509" spans="1:17" x14ac:dyDescent="0.25">
      <c r="A509" s="11">
        <v>103233</v>
      </c>
      <c r="B509" s="12" t="s">
        <v>778</v>
      </c>
      <c r="C509" s="12" t="s">
        <v>780</v>
      </c>
      <c r="D509" s="12">
        <v>8</v>
      </c>
      <c r="E509" s="125">
        <v>5120576.78</v>
      </c>
      <c r="F509" s="12">
        <v>-7</v>
      </c>
      <c r="G509" s="125">
        <v>4445166.99</v>
      </c>
      <c r="H509" s="12" t="s">
        <v>1448</v>
      </c>
      <c r="I509" s="125">
        <v>119525.6</v>
      </c>
      <c r="J509" s="13">
        <v>42887.506757442126</v>
      </c>
      <c r="K509" s="13">
        <v>43252</v>
      </c>
      <c r="L509" s="13" t="s">
        <v>781</v>
      </c>
      <c r="M509" s="12" t="s">
        <v>782</v>
      </c>
      <c r="N509" s="12"/>
      <c r="O509" s="12"/>
      <c r="P509" s="12"/>
      <c r="Q509" s="12"/>
    </row>
    <row r="510" spans="1:17" x14ac:dyDescent="0.25">
      <c r="A510" s="11">
        <v>103234</v>
      </c>
      <c r="B510" s="12" t="s">
        <v>4877</v>
      </c>
      <c r="C510" s="12" t="s">
        <v>4878</v>
      </c>
      <c r="D510" s="12">
        <v>1</v>
      </c>
      <c r="E510" s="125">
        <v>13967071.24</v>
      </c>
      <c r="F510" s="12">
        <v>-8</v>
      </c>
      <c r="G510" s="125">
        <v>11051749.84</v>
      </c>
      <c r="H510" s="12" t="s">
        <v>546</v>
      </c>
      <c r="I510" s="125">
        <v>348130.12</v>
      </c>
      <c r="J510" s="13">
        <v>42888.546742592589</v>
      </c>
      <c r="K510" s="13">
        <v>43345</v>
      </c>
      <c r="L510" s="13" t="s">
        <v>4879</v>
      </c>
      <c r="M510" s="12" t="s">
        <v>4880</v>
      </c>
      <c r="N510" s="12"/>
      <c r="O510" s="12"/>
      <c r="P510" s="12"/>
      <c r="Q510" s="12"/>
    </row>
    <row r="511" spans="1:17" x14ac:dyDescent="0.25">
      <c r="A511" s="11">
        <v>103236</v>
      </c>
      <c r="B511" s="12" t="s">
        <v>2946</v>
      </c>
      <c r="C511" s="12" t="s">
        <v>2947</v>
      </c>
      <c r="D511" s="12">
        <v>2</v>
      </c>
      <c r="E511" s="125">
        <v>21566064.629999999</v>
      </c>
      <c r="F511" s="12">
        <v>48</v>
      </c>
      <c r="G511" s="125">
        <v>16896536.18</v>
      </c>
      <c r="H511" s="12" t="s">
        <v>1447</v>
      </c>
      <c r="I511" s="125">
        <v>578478.65</v>
      </c>
      <c r="J511" s="13">
        <v>42893.679667048615</v>
      </c>
      <c r="K511" s="13">
        <v>43441</v>
      </c>
      <c r="L511" s="13" t="s">
        <v>2948</v>
      </c>
      <c r="M511" s="12" t="s">
        <v>2949</v>
      </c>
      <c r="N511" s="12"/>
      <c r="O511" s="12"/>
      <c r="P511" s="12"/>
      <c r="Q511" s="12"/>
    </row>
    <row r="512" spans="1:17" x14ac:dyDescent="0.25">
      <c r="A512" s="11">
        <v>103237</v>
      </c>
      <c r="B512" s="12" t="s">
        <v>931</v>
      </c>
      <c r="C512" s="12" t="s">
        <v>939</v>
      </c>
      <c r="D512" s="12">
        <v>8</v>
      </c>
      <c r="E512" s="125">
        <v>4416000.66</v>
      </c>
      <c r="F512" s="12">
        <v>14</v>
      </c>
      <c r="G512" s="125">
        <v>3837077.99</v>
      </c>
      <c r="H512" s="12" t="s">
        <v>86</v>
      </c>
      <c r="I512" s="125">
        <v>60538.94</v>
      </c>
      <c r="J512" s="13">
        <v>42896.482501967592</v>
      </c>
      <c r="K512" s="13">
        <v>43261</v>
      </c>
      <c r="L512" s="13" t="s">
        <v>940</v>
      </c>
      <c r="M512" s="12" t="s">
        <v>941</v>
      </c>
      <c r="N512" s="12"/>
      <c r="O512" s="12"/>
      <c r="P512" s="12"/>
      <c r="Q512" s="12"/>
    </row>
    <row r="513" spans="1:17" x14ac:dyDescent="0.25">
      <c r="A513" s="11">
        <v>103238</v>
      </c>
      <c r="B513" s="12" t="s">
        <v>4887</v>
      </c>
      <c r="C513" s="12" t="s">
        <v>4888</v>
      </c>
      <c r="D513" s="12">
        <v>7</v>
      </c>
      <c r="E513" s="125">
        <v>1849364.2</v>
      </c>
      <c r="F513" s="12">
        <v>-18</v>
      </c>
      <c r="G513" s="125">
        <v>1646608.16</v>
      </c>
      <c r="H513" s="12" t="s">
        <v>86</v>
      </c>
      <c r="I513" s="125">
        <v>24150.25</v>
      </c>
      <c r="J513" s="13">
        <v>42898.650460185185</v>
      </c>
      <c r="K513" s="13">
        <v>43202</v>
      </c>
      <c r="L513" s="13" t="s">
        <v>4889</v>
      </c>
      <c r="M513" s="12" t="s">
        <v>4890</v>
      </c>
      <c r="N513" s="12"/>
      <c r="O513" s="12"/>
      <c r="P513" s="12"/>
      <c r="Q513" s="12"/>
    </row>
    <row r="514" spans="1:17" x14ac:dyDescent="0.25">
      <c r="A514" s="11">
        <v>103240</v>
      </c>
      <c r="B514" s="12" t="s">
        <v>787</v>
      </c>
      <c r="C514" s="12" t="s">
        <v>790</v>
      </c>
      <c r="D514" s="12">
        <v>3</v>
      </c>
      <c r="E514" s="125">
        <v>34900174.009999998</v>
      </c>
      <c r="F514" s="12">
        <v>40</v>
      </c>
      <c r="G514" s="125">
        <v>27775734.129999999</v>
      </c>
      <c r="H514" s="12" t="s">
        <v>1447</v>
      </c>
      <c r="I514" s="125">
        <v>1620203.65</v>
      </c>
      <c r="J514" s="13">
        <v>42901.710854594909</v>
      </c>
      <c r="K514" s="13">
        <v>43449</v>
      </c>
      <c r="L514" s="13" t="s">
        <v>791</v>
      </c>
      <c r="M514" s="12"/>
      <c r="N514" s="12"/>
      <c r="O514" s="12"/>
      <c r="P514" s="12"/>
      <c r="Q514" s="12"/>
    </row>
    <row r="515" spans="1:17" x14ac:dyDescent="0.25">
      <c r="A515" s="11">
        <v>103242</v>
      </c>
      <c r="B515" s="12" t="s">
        <v>2530</v>
      </c>
      <c r="C515" s="12" t="s">
        <v>2532</v>
      </c>
      <c r="D515" s="12">
        <v>3</v>
      </c>
      <c r="E515" s="125">
        <v>47210432.700000003</v>
      </c>
      <c r="F515" s="12">
        <v>8</v>
      </c>
      <c r="G515" s="125">
        <v>35139057.840000004</v>
      </c>
      <c r="H515" s="12" t="s">
        <v>468</v>
      </c>
      <c r="I515" s="125">
        <v>1263491.03</v>
      </c>
      <c r="J515" s="13">
        <v>42902.657832442128</v>
      </c>
      <c r="K515" s="13">
        <v>43632</v>
      </c>
      <c r="L515" s="13" t="s">
        <v>2533</v>
      </c>
      <c r="M515" s="12"/>
      <c r="N515" s="12"/>
      <c r="O515" s="12"/>
      <c r="P515" s="12"/>
      <c r="Q515" s="12"/>
    </row>
    <row r="516" spans="1:17" x14ac:dyDescent="0.25">
      <c r="A516" s="11">
        <v>103243</v>
      </c>
      <c r="B516" s="12" t="s">
        <v>1725</v>
      </c>
      <c r="C516" s="12" t="s">
        <v>1726</v>
      </c>
      <c r="D516" s="12">
        <v>6</v>
      </c>
      <c r="E516" s="125">
        <v>39419023.009999998</v>
      </c>
      <c r="F516" s="12">
        <v>-26</v>
      </c>
      <c r="G516" s="125">
        <v>29717377.190000001</v>
      </c>
      <c r="H516" s="12" t="s">
        <v>86</v>
      </c>
      <c r="I516" s="125">
        <v>89152.13</v>
      </c>
      <c r="J516" s="13">
        <v>42902.556814467593</v>
      </c>
      <c r="K516" s="13">
        <v>43636</v>
      </c>
      <c r="L516" s="13" t="s">
        <v>1727</v>
      </c>
      <c r="M516" s="12"/>
      <c r="N516" s="12"/>
      <c r="O516" s="12"/>
      <c r="P516" s="12"/>
      <c r="Q516" s="12"/>
    </row>
    <row r="517" spans="1:17" x14ac:dyDescent="0.25">
      <c r="A517" s="11">
        <v>103244</v>
      </c>
      <c r="B517" s="12" t="s">
        <v>4903</v>
      </c>
      <c r="C517" s="12" t="s">
        <v>4905</v>
      </c>
      <c r="D517" s="12">
        <v>6</v>
      </c>
      <c r="E517" s="125">
        <v>15531243.33</v>
      </c>
      <c r="F517" s="12">
        <v>-26</v>
      </c>
      <c r="G517" s="125">
        <v>13823434.369999999</v>
      </c>
      <c r="H517" s="12" t="s">
        <v>2494</v>
      </c>
      <c r="I517" s="125">
        <v>41470.300000000003</v>
      </c>
      <c r="J517" s="13">
        <v>42902.535563807869</v>
      </c>
      <c r="K517" s="13">
        <v>43271</v>
      </c>
      <c r="L517" s="13" t="s">
        <v>4906</v>
      </c>
      <c r="M517" s="12"/>
      <c r="N517" s="12"/>
      <c r="O517" s="12"/>
      <c r="P517" s="12"/>
      <c r="Q517" s="12"/>
    </row>
    <row r="518" spans="1:17" x14ac:dyDescent="0.25">
      <c r="A518" s="11">
        <v>103245</v>
      </c>
      <c r="B518" s="12" t="s">
        <v>3822</v>
      </c>
      <c r="C518" s="12" t="s">
        <v>3823</v>
      </c>
      <c r="D518" s="12">
        <v>1</v>
      </c>
      <c r="E518" s="125">
        <v>3827227.2</v>
      </c>
      <c r="F518" s="12">
        <v>36</v>
      </c>
      <c r="G518" s="125">
        <v>3169002.95</v>
      </c>
      <c r="H518" s="12" t="s">
        <v>468</v>
      </c>
      <c r="I518" s="125">
        <v>232476.04</v>
      </c>
      <c r="J518" s="13">
        <v>42905.720340162035</v>
      </c>
      <c r="K518" s="13">
        <v>43270</v>
      </c>
      <c r="L518" s="13" t="s">
        <v>3824</v>
      </c>
      <c r="M518" s="12" t="s">
        <v>3825</v>
      </c>
      <c r="N518" s="12"/>
      <c r="O518" s="12"/>
      <c r="P518" s="12"/>
      <c r="Q518" s="12"/>
    </row>
    <row r="519" spans="1:17" x14ac:dyDescent="0.25">
      <c r="A519" s="11">
        <v>103246</v>
      </c>
      <c r="B519" s="12" t="s">
        <v>4927</v>
      </c>
      <c r="C519" s="12" t="s">
        <v>4930</v>
      </c>
      <c r="D519" s="12">
        <v>1</v>
      </c>
      <c r="E519" s="125">
        <v>2070989.86</v>
      </c>
      <c r="F519" s="12">
        <v>3</v>
      </c>
      <c r="G519" s="125">
        <v>1839707.8</v>
      </c>
      <c r="H519" s="12" t="s">
        <v>2538</v>
      </c>
      <c r="I519" s="125">
        <v>4993.2</v>
      </c>
      <c r="J519" s="13">
        <v>42907.661151273147</v>
      </c>
      <c r="K519" s="13">
        <v>43211</v>
      </c>
      <c r="L519" s="13" t="s">
        <v>4931</v>
      </c>
      <c r="M519" s="12"/>
      <c r="N519" s="12"/>
      <c r="O519" s="12"/>
      <c r="P519" s="12"/>
      <c r="Q519" s="12"/>
    </row>
    <row r="520" spans="1:17" x14ac:dyDescent="0.25">
      <c r="A520" s="11">
        <v>103247</v>
      </c>
      <c r="B520" s="12" t="s">
        <v>3157</v>
      </c>
      <c r="C520" s="12" t="s">
        <v>3158</v>
      </c>
      <c r="D520" s="12">
        <v>1</v>
      </c>
      <c r="E520" s="125">
        <v>11602085.439999999</v>
      </c>
      <c r="F520" s="12">
        <v>4</v>
      </c>
      <c r="G520" s="125">
        <v>10007086.789999999</v>
      </c>
      <c r="H520" s="12" t="s">
        <v>2175</v>
      </c>
      <c r="I520" s="125">
        <v>38371.919999999998</v>
      </c>
      <c r="J520" s="13">
        <v>42906.645920254632</v>
      </c>
      <c r="K520" s="13">
        <v>43271</v>
      </c>
      <c r="L520" s="13" t="s">
        <v>3159</v>
      </c>
      <c r="M520" s="12"/>
      <c r="N520" s="12"/>
      <c r="O520" s="12"/>
      <c r="P520" s="12"/>
      <c r="Q520" s="12"/>
    </row>
    <row r="521" spans="1:17" x14ac:dyDescent="0.25">
      <c r="A521" s="11">
        <v>103249</v>
      </c>
      <c r="B521" s="12" t="s">
        <v>4928</v>
      </c>
      <c r="C521" s="12" t="s">
        <v>4932</v>
      </c>
      <c r="D521" s="12">
        <v>7</v>
      </c>
      <c r="E521" s="125">
        <v>2992689.74</v>
      </c>
      <c r="F521" s="12">
        <v>3</v>
      </c>
      <c r="G521" s="125">
        <v>2531709.91</v>
      </c>
      <c r="H521" s="12" t="s">
        <v>1191</v>
      </c>
      <c r="I521" s="125">
        <v>42748.82</v>
      </c>
      <c r="J521" s="13">
        <v>42907.708400844909</v>
      </c>
      <c r="K521" s="13">
        <v>43272</v>
      </c>
      <c r="L521" s="13" t="s">
        <v>4933</v>
      </c>
      <c r="M521" s="12" t="s">
        <v>4934</v>
      </c>
      <c r="N521" s="12"/>
      <c r="O521" s="12"/>
      <c r="P521" s="12"/>
      <c r="Q521" s="12"/>
    </row>
    <row r="522" spans="1:17" x14ac:dyDescent="0.25">
      <c r="A522" s="11">
        <v>103252</v>
      </c>
      <c r="B522" s="12" t="s">
        <v>1380</v>
      </c>
      <c r="C522" s="12" t="s">
        <v>1381</v>
      </c>
      <c r="D522" s="12">
        <v>6</v>
      </c>
      <c r="E522" s="125">
        <v>18904260.899999999</v>
      </c>
      <c r="F522" s="12">
        <v>-29</v>
      </c>
      <c r="G522" s="125">
        <v>15465074.65</v>
      </c>
      <c r="H522" s="12" t="s">
        <v>963</v>
      </c>
      <c r="I522" s="125">
        <v>492793.65</v>
      </c>
      <c r="J522" s="13">
        <v>42909.574963113424</v>
      </c>
      <c r="K522" s="13">
        <v>43457</v>
      </c>
      <c r="L522" s="13" t="s">
        <v>1382</v>
      </c>
      <c r="M522" s="12"/>
      <c r="N522" s="12" t="s">
        <v>1383</v>
      </c>
      <c r="O522" s="12"/>
      <c r="P522" s="12"/>
      <c r="Q522" s="12"/>
    </row>
    <row r="523" spans="1:17" x14ac:dyDescent="0.25">
      <c r="A523" s="11">
        <v>103253</v>
      </c>
      <c r="B523" s="12" t="s">
        <v>4954</v>
      </c>
      <c r="C523" s="12" t="s">
        <v>4956</v>
      </c>
      <c r="D523" s="12">
        <v>7</v>
      </c>
      <c r="E523" s="125">
        <v>2989598.65</v>
      </c>
      <c r="F523" s="12">
        <v>-7</v>
      </c>
      <c r="G523" s="125">
        <v>2712982.47</v>
      </c>
      <c r="H523" s="12" t="s">
        <v>1448</v>
      </c>
      <c r="I523" s="125">
        <v>79580.820000000007</v>
      </c>
      <c r="J523" s="13">
        <v>42912.611653206019</v>
      </c>
      <c r="K523" s="13">
        <v>43160</v>
      </c>
      <c r="L523" s="13" t="s">
        <v>4957</v>
      </c>
      <c r="M523" s="12" t="s">
        <v>4958</v>
      </c>
      <c r="N523" s="12"/>
      <c r="O523" s="12"/>
      <c r="P523" s="12"/>
      <c r="Q523" s="12"/>
    </row>
    <row r="524" spans="1:17" x14ac:dyDescent="0.25">
      <c r="A524" s="11">
        <v>103254</v>
      </c>
      <c r="B524" s="12" t="s">
        <v>365</v>
      </c>
      <c r="C524" s="12" t="s">
        <v>373</v>
      </c>
      <c r="D524" s="12">
        <v>7</v>
      </c>
      <c r="E524" s="125">
        <v>3855549.38</v>
      </c>
      <c r="F524" s="12">
        <v>23</v>
      </c>
      <c r="G524" s="125">
        <v>3185254.24</v>
      </c>
      <c r="H524" s="12" t="s">
        <v>1448</v>
      </c>
      <c r="I524" s="125">
        <v>212015.42</v>
      </c>
      <c r="J524" s="13">
        <v>42913.651675497684</v>
      </c>
      <c r="K524" s="13">
        <v>43282</v>
      </c>
      <c r="L524" s="13" t="s">
        <v>374</v>
      </c>
      <c r="M524" s="12"/>
      <c r="N524" s="12"/>
      <c r="O524" s="12"/>
      <c r="P524" s="12"/>
      <c r="Q524" s="12"/>
    </row>
    <row r="525" spans="1:17" x14ac:dyDescent="0.25">
      <c r="A525" s="11">
        <v>103255</v>
      </c>
      <c r="B525" s="12" t="s">
        <v>83</v>
      </c>
      <c r="C525" s="12" t="s">
        <v>2426</v>
      </c>
      <c r="D525" s="12">
        <v>1</v>
      </c>
      <c r="E525" s="125">
        <v>4301767.0999999996</v>
      </c>
      <c r="F525" s="12">
        <v>23</v>
      </c>
      <c r="G525" s="125">
        <v>3622295.32</v>
      </c>
      <c r="H525" s="12" t="s">
        <v>1447</v>
      </c>
      <c r="I525" s="125">
        <v>105891.46</v>
      </c>
      <c r="J525" s="13">
        <v>42912.638030983799</v>
      </c>
      <c r="K525" s="13">
        <v>43282</v>
      </c>
      <c r="L525" s="13" t="s">
        <v>2427</v>
      </c>
      <c r="M525" s="12" t="s">
        <v>2428</v>
      </c>
      <c r="N525" s="12"/>
      <c r="O525" s="12"/>
      <c r="P525" s="12"/>
      <c r="Q525" s="12"/>
    </row>
    <row r="526" spans="1:17" x14ac:dyDescent="0.25">
      <c r="A526" s="11">
        <v>103256</v>
      </c>
      <c r="B526" s="12" t="s">
        <v>4982</v>
      </c>
      <c r="C526" s="12" t="s">
        <v>4983</v>
      </c>
      <c r="D526" s="12">
        <v>1</v>
      </c>
      <c r="E526" s="125">
        <v>9884124.4000000004</v>
      </c>
      <c r="F526" s="12">
        <v>23</v>
      </c>
      <c r="G526" s="125">
        <v>7982847.71</v>
      </c>
      <c r="H526" s="12" t="s">
        <v>1191</v>
      </c>
      <c r="I526" s="125">
        <v>598274.86</v>
      </c>
      <c r="J526" s="13">
        <v>42916.532879861108</v>
      </c>
      <c r="K526" s="13">
        <v>43282</v>
      </c>
      <c r="L526" s="13" t="s">
        <v>4984</v>
      </c>
      <c r="M526" s="12"/>
      <c r="N526" s="12"/>
      <c r="O526" s="12"/>
      <c r="P526" s="12"/>
      <c r="Q526" s="12"/>
    </row>
    <row r="527" spans="1:17" x14ac:dyDescent="0.25">
      <c r="A527" s="11">
        <v>103257</v>
      </c>
      <c r="B527" s="12" t="s">
        <v>3196</v>
      </c>
      <c r="C527" s="12" t="s">
        <v>3197</v>
      </c>
      <c r="D527" s="12">
        <v>1</v>
      </c>
      <c r="E527" s="125">
        <v>4016550.28</v>
      </c>
      <c r="F527" s="12">
        <v>19</v>
      </c>
      <c r="G527" s="125">
        <v>3547750.49</v>
      </c>
      <c r="H527" s="12" t="s">
        <v>491</v>
      </c>
      <c r="I527" s="125">
        <v>170115.75</v>
      </c>
      <c r="J527" s="13">
        <v>42916.649968831021</v>
      </c>
      <c r="K527" s="13">
        <v>43195</v>
      </c>
      <c r="L527" s="13" t="s">
        <v>3198</v>
      </c>
      <c r="M527" s="12"/>
      <c r="N527" s="12"/>
      <c r="O527" s="12"/>
      <c r="P527" s="12"/>
      <c r="Q527" s="12"/>
    </row>
    <row r="528" spans="1:17" x14ac:dyDescent="0.25">
      <c r="A528" s="11">
        <v>103258</v>
      </c>
      <c r="B528" s="12" t="s">
        <v>4994</v>
      </c>
      <c r="C528" s="12" t="s">
        <v>4995</v>
      </c>
      <c r="D528" s="12">
        <v>4</v>
      </c>
      <c r="E528" s="125">
        <v>354646.36</v>
      </c>
      <c r="F528" s="12">
        <v>-27</v>
      </c>
      <c r="G528" s="125">
        <v>347408.68</v>
      </c>
      <c r="H528" s="12" t="s">
        <v>284</v>
      </c>
      <c r="I528" s="125">
        <v>482.51</v>
      </c>
      <c r="J528" s="13">
        <v>42921.436926539354</v>
      </c>
      <c r="K528" s="13">
        <v>43090</v>
      </c>
      <c r="L528" s="13" t="s">
        <v>4996</v>
      </c>
      <c r="M528" s="12"/>
      <c r="N528" s="12"/>
      <c r="O528" s="12"/>
      <c r="P528" s="12"/>
      <c r="Q528" s="12"/>
    </row>
    <row r="529" spans="1:17" x14ac:dyDescent="0.25">
      <c r="A529" s="11">
        <v>103259</v>
      </c>
      <c r="B529" s="12" t="s">
        <v>3550</v>
      </c>
      <c r="C529" s="12" t="s">
        <v>3580</v>
      </c>
      <c r="D529" s="12">
        <v>8</v>
      </c>
      <c r="E529" s="125">
        <v>5016075.22</v>
      </c>
      <c r="F529" s="12">
        <v>-17</v>
      </c>
      <c r="G529" s="125">
        <v>4280211.46</v>
      </c>
      <c r="H529" s="12" t="s">
        <v>2034</v>
      </c>
      <c r="I529" s="125">
        <v>62776.43</v>
      </c>
      <c r="J529" s="13">
        <v>42927.551533831022</v>
      </c>
      <c r="K529" s="13">
        <v>43292</v>
      </c>
      <c r="L529" s="13" t="s">
        <v>3581</v>
      </c>
      <c r="M529" s="12" t="s">
        <v>3582</v>
      </c>
      <c r="N529" s="12"/>
      <c r="O529" s="12"/>
      <c r="P529" s="12"/>
      <c r="Q529" s="12"/>
    </row>
    <row r="530" spans="1:17" x14ac:dyDescent="0.25">
      <c r="A530" s="11">
        <v>103260</v>
      </c>
      <c r="B530" s="12" t="s">
        <v>5024</v>
      </c>
      <c r="C530" s="12" t="s">
        <v>5027</v>
      </c>
      <c r="D530" s="12">
        <v>1</v>
      </c>
      <c r="E530" s="125">
        <v>4549637.58</v>
      </c>
      <c r="F530" s="12">
        <v>-18</v>
      </c>
      <c r="G530" s="125">
        <v>3911075.08</v>
      </c>
      <c r="H530" s="12" t="s">
        <v>491</v>
      </c>
      <c r="I530" s="125">
        <v>64532.74</v>
      </c>
      <c r="J530" s="13">
        <v>42928.569796956021</v>
      </c>
      <c r="K530" s="13">
        <v>43232</v>
      </c>
      <c r="L530" s="13" t="s">
        <v>5028</v>
      </c>
      <c r="M530" s="12"/>
      <c r="N530" s="12"/>
      <c r="O530" s="12"/>
      <c r="P530" s="12"/>
      <c r="Q530" s="12"/>
    </row>
    <row r="531" spans="1:17" x14ac:dyDescent="0.25">
      <c r="A531" s="11">
        <v>103261</v>
      </c>
      <c r="B531" s="12" t="s">
        <v>5026</v>
      </c>
      <c r="C531" s="12" t="s">
        <v>5029</v>
      </c>
      <c r="D531" s="12">
        <v>6</v>
      </c>
      <c r="E531" s="125">
        <v>8197718.5999999996</v>
      </c>
      <c r="F531" s="12">
        <v>-18</v>
      </c>
      <c r="G531" s="125">
        <v>7093099.29</v>
      </c>
      <c r="H531" s="12" t="s">
        <v>1191</v>
      </c>
      <c r="I531" s="125">
        <v>86693.440000000002</v>
      </c>
      <c r="J531" s="13">
        <v>42928.637483252314</v>
      </c>
      <c r="K531" s="13">
        <v>43293</v>
      </c>
      <c r="L531" s="13" t="s">
        <v>5030</v>
      </c>
      <c r="M531" s="12" t="s">
        <v>5031</v>
      </c>
      <c r="N531" s="12"/>
      <c r="O531" s="12"/>
      <c r="P531" s="12"/>
      <c r="Q531" s="12"/>
    </row>
    <row r="532" spans="1:17" x14ac:dyDescent="0.25">
      <c r="A532" s="11">
        <v>103262</v>
      </c>
      <c r="B532" s="12" t="s">
        <v>3682</v>
      </c>
      <c r="C532" s="12" t="s">
        <v>3686</v>
      </c>
      <c r="D532" s="12">
        <v>1</v>
      </c>
      <c r="E532" s="125">
        <v>2983460.86</v>
      </c>
      <c r="F532" s="12">
        <v>-20</v>
      </c>
      <c r="G532" s="125">
        <v>2510860.1</v>
      </c>
      <c r="H532" s="12" t="s">
        <v>86</v>
      </c>
      <c r="I532" s="125">
        <v>30130.32</v>
      </c>
      <c r="J532" s="13">
        <v>42930.724245289355</v>
      </c>
      <c r="K532" s="13">
        <v>43295</v>
      </c>
      <c r="L532" s="13" t="s">
        <v>3687</v>
      </c>
      <c r="M532" s="12"/>
      <c r="N532" s="12"/>
      <c r="O532" s="12"/>
      <c r="P532" s="12"/>
      <c r="Q532" s="12"/>
    </row>
    <row r="533" spans="1:17" x14ac:dyDescent="0.25">
      <c r="A533" s="11">
        <v>103263</v>
      </c>
      <c r="B533" s="12" t="s">
        <v>5042</v>
      </c>
      <c r="C533" s="12" t="s">
        <v>5044</v>
      </c>
      <c r="D533" s="12">
        <v>1</v>
      </c>
      <c r="E533" s="125">
        <v>6908969.9000000004</v>
      </c>
      <c r="F533" s="12">
        <v>7</v>
      </c>
      <c r="G533" s="125">
        <v>5579983.8499999996</v>
      </c>
      <c r="H533" s="12" t="s">
        <v>1039</v>
      </c>
      <c r="I533" s="125">
        <v>296670.05</v>
      </c>
      <c r="J533" s="13">
        <v>42933.649654201392</v>
      </c>
      <c r="K533" s="13">
        <v>43298</v>
      </c>
      <c r="L533" s="13" t="s">
        <v>5045</v>
      </c>
      <c r="M533" s="12"/>
      <c r="N533" s="12"/>
      <c r="O533" s="12"/>
      <c r="P533" s="12"/>
      <c r="Q533" s="12"/>
    </row>
    <row r="534" spans="1:17" x14ac:dyDescent="0.25">
      <c r="A534" s="11">
        <v>103264</v>
      </c>
      <c r="B534" s="12" t="s">
        <v>901</v>
      </c>
      <c r="C534" s="12" t="s">
        <v>2436</v>
      </c>
      <c r="D534" s="12">
        <v>8</v>
      </c>
      <c r="E534" s="125">
        <v>5016075.22</v>
      </c>
      <c r="F534" s="12">
        <v>-21</v>
      </c>
      <c r="G534" s="125">
        <v>4280211.46</v>
      </c>
      <c r="H534" s="12" t="s">
        <v>86</v>
      </c>
      <c r="I534" s="125">
        <v>41850.959999999999</v>
      </c>
      <c r="J534" s="13">
        <v>42931.511849884257</v>
      </c>
      <c r="K534" s="13">
        <v>43296</v>
      </c>
      <c r="L534" s="13" t="s">
        <v>2437</v>
      </c>
      <c r="M534" s="12" t="s">
        <v>2438</v>
      </c>
      <c r="N534" s="12"/>
      <c r="O534" s="12"/>
      <c r="P534" s="12"/>
      <c r="Q534" s="12"/>
    </row>
    <row r="535" spans="1:17" x14ac:dyDescent="0.25">
      <c r="A535" s="11">
        <v>103265</v>
      </c>
      <c r="B535" s="12" t="s">
        <v>1600</v>
      </c>
      <c r="C535" s="12" t="s">
        <v>1923</v>
      </c>
      <c r="D535" s="12">
        <v>5</v>
      </c>
      <c r="E535" s="125">
        <v>12542030.369999999</v>
      </c>
      <c r="F535" s="12">
        <v>-27</v>
      </c>
      <c r="G535" s="125">
        <v>9905521.0899999999</v>
      </c>
      <c r="H535" s="12" t="s">
        <v>284</v>
      </c>
      <c r="I535" s="125">
        <v>12106.75</v>
      </c>
      <c r="J535" s="13">
        <v>42933.644140509263</v>
      </c>
      <c r="K535" s="13">
        <v>43851</v>
      </c>
      <c r="L535" s="13" t="s">
        <v>1924</v>
      </c>
      <c r="M535" s="12"/>
      <c r="N535" s="12"/>
      <c r="O535" s="12"/>
      <c r="P535" s="12"/>
      <c r="Q535" s="12"/>
    </row>
    <row r="536" spans="1:17" x14ac:dyDescent="0.25">
      <c r="A536" s="11">
        <v>103266</v>
      </c>
      <c r="B536" s="12" t="s">
        <v>3180</v>
      </c>
      <c r="C536" s="12" t="s">
        <v>3181</v>
      </c>
      <c r="D536" s="12">
        <v>8</v>
      </c>
      <c r="E536" s="125">
        <v>8360125.3499999996</v>
      </c>
      <c r="F536" s="12">
        <v>-24</v>
      </c>
      <c r="G536" s="125">
        <v>7133685.7599999998</v>
      </c>
      <c r="H536" s="12" t="s">
        <v>2855</v>
      </c>
      <c r="I536" s="125">
        <v>43594.75</v>
      </c>
      <c r="J536" s="13">
        <v>42934.646169641201</v>
      </c>
      <c r="K536" s="13">
        <v>43299</v>
      </c>
      <c r="L536" s="13" t="s">
        <v>3182</v>
      </c>
      <c r="M536" s="12"/>
      <c r="N536" s="12"/>
      <c r="O536" s="12"/>
      <c r="P536" s="12"/>
      <c r="Q536" s="12"/>
    </row>
    <row r="537" spans="1:17" x14ac:dyDescent="0.25">
      <c r="A537" s="11">
        <v>103267</v>
      </c>
      <c r="B537" s="12" t="s">
        <v>5051</v>
      </c>
      <c r="C537" s="12" t="s">
        <v>5054</v>
      </c>
      <c r="D537" s="12">
        <v>1</v>
      </c>
      <c r="E537" s="125">
        <v>9663522.1999999993</v>
      </c>
      <c r="F537" s="12">
        <v>4</v>
      </c>
      <c r="G537" s="125">
        <v>7971405.4800000004</v>
      </c>
      <c r="H537" s="12" t="s">
        <v>1191</v>
      </c>
      <c r="I537" s="125">
        <v>184829.05</v>
      </c>
      <c r="J537" s="13">
        <v>42936.509644131947</v>
      </c>
      <c r="K537" s="13">
        <v>43301</v>
      </c>
      <c r="L537" s="13" t="s">
        <v>5055</v>
      </c>
      <c r="M537" s="12" t="s">
        <v>5056</v>
      </c>
      <c r="N537" s="12"/>
      <c r="O537" s="12"/>
      <c r="P537" s="12"/>
      <c r="Q537" s="12"/>
    </row>
    <row r="538" spans="1:17" x14ac:dyDescent="0.25">
      <c r="A538" s="11">
        <v>103268</v>
      </c>
      <c r="B538" s="12" t="s">
        <v>5052</v>
      </c>
      <c r="C538" s="12" t="s">
        <v>5057</v>
      </c>
      <c r="D538" s="12">
        <v>8</v>
      </c>
      <c r="E538" s="125">
        <v>8606809.4800000004</v>
      </c>
      <c r="F538" s="12">
        <v>-26</v>
      </c>
      <c r="G538" s="125">
        <v>7193840.4400000004</v>
      </c>
      <c r="H538" s="12" t="s">
        <v>2175</v>
      </c>
      <c r="I538" s="125">
        <v>29974.34</v>
      </c>
      <c r="J538" s="13">
        <v>42936.650801469907</v>
      </c>
      <c r="K538" s="13">
        <v>43301</v>
      </c>
      <c r="L538" s="13" t="s">
        <v>5058</v>
      </c>
      <c r="M538" s="12" t="s">
        <v>5059</v>
      </c>
      <c r="N538" s="12"/>
      <c r="O538" s="12"/>
      <c r="P538" s="12"/>
      <c r="Q538" s="12"/>
    </row>
    <row r="539" spans="1:17" x14ac:dyDescent="0.25">
      <c r="A539" s="11">
        <v>103269</v>
      </c>
      <c r="B539" s="12" t="s">
        <v>5102</v>
      </c>
      <c r="C539" s="12" t="s">
        <v>5103</v>
      </c>
      <c r="D539" s="12">
        <v>2</v>
      </c>
      <c r="E539" s="125">
        <v>18732094.629999999</v>
      </c>
      <c r="F539" s="12">
        <v>-7</v>
      </c>
      <c r="G539" s="125">
        <v>15834211.49</v>
      </c>
      <c r="H539" s="12" t="s">
        <v>963</v>
      </c>
      <c r="I539" s="125">
        <v>406411.43</v>
      </c>
      <c r="J539" s="13">
        <v>42942.4851346875</v>
      </c>
      <c r="K539" s="13">
        <v>43313</v>
      </c>
      <c r="L539" s="13" t="s">
        <v>5104</v>
      </c>
      <c r="M539" s="12" t="s">
        <v>5105</v>
      </c>
      <c r="N539" s="12"/>
      <c r="O539" s="12"/>
      <c r="P539" s="12"/>
      <c r="Q539" s="12"/>
    </row>
    <row r="540" spans="1:17" x14ac:dyDescent="0.25">
      <c r="A540" s="11">
        <v>103270</v>
      </c>
      <c r="B540" s="12" t="s">
        <v>935</v>
      </c>
      <c r="C540" s="12" t="s">
        <v>1336</v>
      </c>
      <c r="D540" s="12">
        <v>1</v>
      </c>
      <c r="E540" s="125">
        <v>18101965.350000001</v>
      </c>
      <c r="F540" s="12">
        <v>64</v>
      </c>
      <c r="G540" s="125">
        <v>11692958.02</v>
      </c>
      <c r="H540" s="12" t="s">
        <v>1191</v>
      </c>
      <c r="I540" s="125">
        <v>936925.24</v>
      </c>
      <c r="J540" s="13">
        <v>42937.715785185188</v>
      </c>
      <c r="K540" s="13">
        <v>43667</v>
      </c>
      <c r="L540" s="13" t="s">
        <v>1337</v>
      </c>
      <c r="M540" s="12"/>
      <c r="N540" s="12"/>
      <c r="O540" s="12"/>
      <c r="P540" s="12"/>
      <c r="Q540" s="12"/>
    </row>
    <row r="541" spans="1:17" x14ac:dyDescent="0.25">
      <c r="A541" s="11">
        <v>103271</v>
      </c>
      <c r="B541" s="12" t="s">
        <v>5063</v>
      </c>
      <c r="C541" s="12" t="s">
        <v>5067</v>
      </c>
      <c r="D541" s="12">
        <v>1</v>
      </c>
      <c r="E541" s="125">
        <v>7580482.6799999997</v>
      </c>
      <c r="F541" s="12">
        <v>3</v>
      </c>
      <c r="G541" s="125">
        <v>6655628.54</v>
      </c>
      <c r="H541" s="12" t="s">
        <v>1667</v>
      </c>
      <c r="I541" s="125">
        <v>315820.39</v>
      </c>
      <c r="J541" s="13">
        <v>42937.581503587964</v>
      </c>
      <c r="K541" s="13">
        <v>43180</v>
      </c>
      <c r="L541" s="13" t="s">
        <v>5068</v>
      </c>
      <c r="M541" s="12"/>
      <c r="N541" s="12"/>
      <c r="O541" s="12"/>
      <c r="P541" s="12"/>
      <c r="Q541" s="12"/>
    </row>
    <row r="542" spans="1:17" x14ac:dyDescent="0.25">
      <c r="A542" s="11">
        <v>103272</v>
      </c>
      <c r="B542" s="12" t="s">
        <v>5064</v>
      </c>
      <c r="C542" s="12" t="s">
        <v>5069</v>
      </c>
      <c r="D542" s="12">
        <v>1</v>
      </c>
      <c r="E542" s="125">
        <v>7018636.0800000001</v>
      </c>
      <c r="F542" s="12">
        <v>-27</v>
      </c>
      <c r="G542" s="125">
        <v>5786765.4800000004</v>
      </c>
      <c r="H542" s="12" t="s">
        <v>491</v>
      </c>
      <c r="I542" s="125">
        <v>17360.3</v>
      </c>
      <c r="J542" s="13">
        <v>42937.69081940972</v>
      </c>
      <c r="K542" s="13">
        <v>43302</v>
      </c>
      <c r="L542" s="13" t="s">
        <v>5070</v>
      </c>
      <c r="M542" s="12" t="s">
        <v>5071</v>
      </c>
      <c r="N542" s="12"/>
      <c r="O542" s="12"/>
      <c r="P542" s="12"/>
      <c r="Q542" s="12"/>
    </row>
    <row r="543" spans="1:17" x14ac:dyDescent="0.25">
      <c r="A543" s="11">
        <v>103273</v>
      </c>
      <c r="B543" s="12" t="s">
        <v>562</v>
      </c>
      <c r="C543" s="12" t="s">
        <v>563</v>
      </c>
      <c r="D543" s="12">
        <v>1</v>
      </c>
      <c r="E543" s="125">
        <v>12466604.23</v>
      </c>
      <c r="F543" s="12">
        <v>0</v>
      </c>
      <c r="G543" s="125">
        <v>10299259.609999999</v>
      </c>
      <c r="H543" s="12" t="s">
        <v>4684</v>
      </c>
      <c r="I543" s="125">
        <v>398238.04</v>
      </c>
      <c r="J543" s="13">
        <v>42940.558297488424</v>
      </c>
      <c r="K543" s="13">
        <v>43305</v>
      </c>
      <c r="L543" s="13" t="s">
        <v>564</v>
      </c>
      <c r="M543" s="12" t="s">
        <v>565</v>
      </c>
      <c r="N543" s="12"/>
      <c r="O543" s="12"/>
      <c r="P543" s="12"/>
      <c r="Q543" s="12"/>
    </row>
    <row r="544" spans="1:17" x14ac:dyDescent="0.25">
      <c r="A544" s="11">
        <v>103274</v>
      </c>
      <c r="B544" s="12" t="s">
        <v>5117</v>
      </c>
      <c r="C544" s="12" t="s">
        <v>5118</v>
      </c>
      <c r="D544" s="12">
        <v>7</v>
      </c>
      <c r="E544" s="125">
        <v>778853.08</v>
      </c>
      <c r="F544" s="12">
        <v>23</v>
      </c>
      <c r="G544" s="125">
        <v>698538.86</v>
      </c>
      <c r="H544" s="12" t="s">
        <v>1191</v>
      </c>
      <c r="I544" s="125">
        <v>49097.82</v>
      </c>
      <c r="J544" s="13">
        <v>42944.603416516205</v>
      </c>
      <c r="K544" s="13">
        <v>43132</v>
      </c>
      <c r="L544" s="13" t="s">
        <v>5119</v>
      </c>
      <c r="M544" s="12"/>
      <c r="N544" s="12"/>
      <c r="O544" s="12"/>
      <c r="P544" s="12"/>
      <c r="Q544" s="12"/>
    </row>
    <row r="545" spans="1:17" x14ac:dyDescent="0.25">
      <c r="A545" s="11">
        <v>103275</v>
      </c>
      <c r="B545" s="12" t="s">
        <v>2770</v>
      </c>
      <c r="C545" s="12" t="s">
        <v>2772</v>
      </c>
      <c r="D545" s="12">
        <v>1</v>
      </c>
      <c r="E545" s="125">
        <v>14458310.210000001</v>
      </c>
      <c r="F545" s="12">
        <v>-7</v>
      </c>
      <c r="G545" s="125">
        <v>11944703.43</v>
      </c>
      <c r="H545" s="12" t="s">
        <v>1191</v>
      </c>
      <c r="I545" s="125">
        <v>350377.97</v>
      </c>
      <c r="J545" s="13">
        <v>42943.421116435187</v>
      </c>
      <c r="K545" s="13">
        <v>43313</v>
      </c>
      <c r="L545" s="13" t="s">
        <v>2773</v>
      </c>
      <c r="M545" s="12"/>
      <c r="N545" s="12"/>
      <c r="O545" s="12"/>
      <c r="P545" s="12"/>
      <c r="Q545" s="12"/>
    </row>
    <row r="546" spans="1:17" x14ac:dyDescent="0.25">
      <c r="A546" s="11">
        <v>103276</v>
      </c>
      <c r="B546" s="12" t="s">
        <v>5110</v>
      </c>
      <c r="C546" s="12" t="s">
        <v>5111</v>
      </c>
      <c r="D546" s="12">
        <v>8</v>
      </c>
      <c r="E546" s="125">
        <v>5249118.8899999997</v>
      </c>
      <c r="F546" s="12">
        <v>-7</v>
      </c>
      <c r="G546" s="125">
        <v>4473194.5199999996</v>
      </c>
      <c r="H546" s="12" t="s">
        <v>5124</v>
      </c>
      <c r="I546" s="125">
        <v>136680.94</v>
      </c>
      <c r="J546" s="13">
        <v>42943.604014502314</v>
      </c>
      <c r="K546" s="13">
        <v>43252</v>
      </c>
      <c r="L546" s="13" t="s">
        <v>5112</v>
      </c>
      <c r="M546" s="12"/>
      <c r="N546" s="12"/>
      <c r="O546" s="12"/>
      <c r="P546" s="12"/>
      <c r="Q546" s="12"/>
    </row>
    <row r="547" spans="1:17" x14ac:dyDescent="0.25">
      <c r="A547" s="11">
        <v>103277</v>
      </c>
      <c r="B547" s="12" t="s">
        <v>1541</v>
      </c>
      <c r="C547" s="12" t="s">
        <v>1551</v>
      </c>
      <c r="D547" s="12">
        <v>2</v>
      </c>
      <c r="E547" s="125">
        <v>23310134.489999998</v>
      </c>
      <c r="F547" s="12">
        <v>-7</v>
      </c>
      <c r="G547" s="125">
        <v>19704021.75</v>
      </c>
      <c r="H547" s="12" t="s">
        <v>5167</v>
      </c>
      <c r="I547" s="125">
        <v>505736.56</v>
      </c>
      <c r="J547" s="13">
        <v>42947.694353125</v>
      </c>
      <c r="K547" s="13">
        <v>43313</v>
      </c>
      <c r="L547" s="13" t="s">
        <v>1552</v>
      </c>
      <c r="M547" s="12"/>
      <c r="N547" s="12"/>
      <c r="O547" s="12"/>
      <c r="P547" s="12"/>
      <c r="Q547" s="12"/>
    </row>
    <row r="548" spans="1:17" x14ac:dyDescent="0.25">
      <c r="A548" s="11">
        <v>103278</v>
      </c>
      <c r="B548" s="12" t="s">
        <v>5123</v>
      </c>
      <c r="C548" s="12" t="s">
        <v>5128</v>
      </c>
      <c r="D548" s="12">
        <v>7</v>
      </c>
      <c r="E548" s="125">
        <v>1149495.46</v>
      </c>
      <c r="F548" s="12">
        <v>23</v>
      </c>
      <c r="G548" s="125">
        <v>1010568.19</v>
      </c>
      <c r="H548" s="12" t="s">
        <v>5124</v>
      </c>
      <c r="I548" s="125">
        <v>32992.65</v>
      </c>
      <c r="J548" s="13">
        <v>42947.548754085648</v>
      </c>
      <c r="K548" s="13">
        <v>43191</v>
      </c>
      <c r="L548" s="13" t="s">
        <v>5129</v>
      </c>
      <c r="M548" s="12"/>
      <c r="N548" s="12"/>
      <c r="O548" s="12"/>
      <c r="P548" s="12"/>
      <c r="Q548" s="12"/>
    </row>
    <row r="549" spans="1:17" x14ac:dyDescent="0.25">
      <c r="A549" s="11">
        <v>103279</v>
      </c>
      <c r="B549" s="12" t="s">
        <v>5122</v>
      </c>
      <c r="C549" s="12" t="s">
        <v>5130</v>
      </c>
      <c r="D549" s="12">
        <v>1</v>
      </c>
      <c r="E549" s="125">
        <v>4942062.1900000004</v>
      </c>
      <c r="F549" s="12">
        <v>-7</v>
      </c>
      <c r="G549" s="125">
        <v>3991423.86</v>
      </c>
      <c r="H549" s="12" t="s">
        <v>4683</v>
      </c>
      <c r="I549" s="125">
        <v>131716.99</v>
      </c>
      <c r="J549" s="13">
        <v>42947.689028935187</v>
      </c>
      <c r="K549" s="13">
        <v>43313</v>
      </c>
      <c r="L549" s="13" t="s">
        <v>5131</v>
      </c>
      <c r="M549" s="12"/>
      <c r="N549" s="12"/>
      <c r="O549" s="12"/>
      <c r="P549" s="12"/>
      <c r="Q549" s="12"/>
    </row>
    <row r="550" spans="1:17" x14ac:dyDescent="0.25">
      <c r="A550" s="11">
        <v>103280</v>
      </c>
      <c r="B550" s="12" t="s">
        <v>5125</v>
      </c>
      <c r="C550" s="12" t="s">
        <v>5132</v>
      </c>
      <c r="D550" s="12">
        <v>2</v>
      </c>
      <c r="E550" s="125">
        <v>28650970.359999999</v>
      </c>
      <c r="F550" s="12">
        <v>54</v>
      </c>
      <c r="G550" s="125">
        <v>25509805.93</v>
      </c>
      <c r="H550" s="12" t="s">
        <v>2175</v>
      </c>
      <c r="I550" s="125">
        <v>1845861.48</v>
      </c>
      <c r="J550" s="13">
        <v>42947.675540972225</v>
      </c>
      <c r="K550" s="13">
        <v>43132</v>
      </c>
      <c r="L550" s="13" t="s">
        <v>5133</v>
      </c>
      <c r="M550" s="12" t="s">
        <v>5134</v>
      </c>
      <c r="N550" s="12"/>
      <c r="O550" s="12"/>
      <c r="P550" s="12"/>
      <c r="Q550" s="12"/>
    </row>
    <row r="551" spans="1:17" x14ac:dyDescent="0.25">
      <c r="A551" s="11">
        <v>103281</v>
      </c>
      <c r="B551" s="12" t="s">
        <v>5142</v>
      </c>
      <c r="C551" s="12" t="s">
        <v>5144</v>
      </c>
      <c r="D551" s="12">
        <v>1</v>
      </c>
      <c r="E551" s="125">
        <v>4423258.78</v>
      </c>
      <c r="F551" s="12">
        <v>-9</v>
      </c>
      <c r="G551" s="125">
        <v>3723563.01</v>
      </c>
      <c r="H551" s="12" t="s">
        <v>2175</v>
      </c>
      <c r="I551" s="125">
        <v>111706.89</v>
      </c>
      <c r="J551" s="13">
        <v>42950.703443483799</v>
      </c>
      <c r="K551" s="13">
        <v>43254</v>
      </c>
      <c r="L551" s="13" t="s">
        <v>5145</v>
      </c>
      <c r="M551" s="12"/>
      <c r="N551" s="12"/>
      <c r="O551" s="12"/>
      <c r="P551" s="12"/>
      <c r="Q551" s="12"/>
    </row>
    <row r="552" spans="1:17" x14ac:dyDescent="0.25">
      <c r="A552" s="11">
        <v>103282</v>
      </c>
      <c r="B552" s="12" t="s">
        <v>2789</v>
      </c>
      <c r="C552" s="12" t="s">
        <v>2793</v>
      </c>
      <c r="D552" s="12">
        <v>7</v>
      </c>
      <c r="E552" s="125">
        <v>1800030.68</v>
      </c>
      <c r="F552" s="12">
        <v>20</v>
      </c>
      <c r="G552" s="125">
        <v>1671318.49</v>
      </c>
      <c r="H552" s="12" t="s">
        <v>2538</v>
      </c>
      <c r="I552" s="125">
        <v>40233</v>
      </c>
      <c r="J552" s="13">
        <v>42951.56538148148</v>
      </c>
      <c r="K552" s="13">
        <v>43135</v>
      </c>
      <c r="L552" s="13" t="s">
        <v>2794</v>
      </c>
      <c r="M552" s="12"/>
      <c r="N552" s="12"/>
      <c r="O552" s="12"/>
      <c r="P552" s="12"/>
      <c r="Q552" s="12"/>
    </row>
    <row r="553" spans="1:17" x14ac:dyDescent="0.25">
      <c r="A553" s="11">
        <v>103283</v>
      </c>
      <c r="B553" s="12" t="s">
        <v>5141</v>
      </c>
      <c r="C553" s="12" t="s">
        <v>5146</v>
      </c>
      <c r="D553" s="12">
        <v>1</v>
      </c>
      <c r="E553" s="125">
        <v>3454484.95</v>
      </c>
      <c r="F553" s="12">
        <v>-9</v>
      </c>
      <c r="G553" s="125">
        <v>2789991.93</v>
      </c>
      <c r="H553" s="12" t="s">
        <v>1039</v>
      </c>
      <c r="I553" s="125">
        <v>83699.759999999995</v>
      </c>
      <c r="J553" s="13">
        <v>42950.647246643515</v>
      </c>
      <c r="K553" s="13">
        <v>43315</v>
      </c>
      <c r="L553" s="13" t="s">
        <v>5147</v>
      </c>
      <c r="M553" s="12"/>
      <c r="N553" s="12"/>
      <c r="O553" s="12"/>
      <c r="P553" s="12"/>
      <c r="Q553" s="12"/>
    </row>
    <row r="554" spans="1:17" x14ac:dyDescent="0.25">
      <c r="A554" s="11">
        <v>103284</v>
      </c>
      <c r="B554" s="12" t="s">
        <v>5151</v>
      </c>
      <c r="C554" s="12" t="s">
        <v>5153</v>
      </c>
      <c r="D554" s="12">
        <v>4</v>
      </c>
      <c r="E554" s="125">
        <v>814566.18</v>
      </c>
      <c r="F554" s="12">
        <v>-27</v>
      </c>
      <c r="G554" s="125">
        <v>789800.11</v>
      </c>
      <c r="H554" s="12" t="s">
        <v>284</v>
      </c>
      <c r="I554" s="125">
        <v>1096.94</v>
      </c>
      <c r="J554" s="13">
        <v>42954.633464432867</v>
      </c>
      <c r="K554" s="13">
        <v>43121</v>
      </c>
      <c r="L554" s="13" t="s">
        <v>5154</v>
      </c>
      <c r="M554" s="12"/>
      <c r="N554" s="12"/>
      <c r="O554" s="12"/>
      <c r="P554" s="12"/>
      <c r="Q554" s="12"/>
    </row>
    <row r="555" spans="1:17" x14ac:dyDescent="0.25">
      <c r="A555" s="11">
        <v>103286</v>
      </c>
      <c r="B555" s="12" t="s">
        <v>5161</v>
      </c>
      <c r="C555" s="12" t="s">
        <v>5162</v>
      </c>
      <c r="D555" s="12">
        <v>7</v>
      </c>
      <c r="E555" s="125">
        <v>2035723.04</v>
      </c>
      <c r="F555" s="12">
        <v>-14</v>
      </c>
      <c r="G555" s="125">
        <v>1865376.7</v>
      </c>
      <c r="H555" s="12" t="s">
        <v>5124</v>
      </c>
      <c r="I555" s="125">
        <v>41970.98</v>
      </c>
      <c r="J555" s="13">
        <v>42955.56868434028</v>
      </c>
      <c r="K555" s="13">
        <v>43139</v>
      </c>
      <c r="L555" s="13" t="s">
        <v>5163</v>
      </c>
      <c r="M555" s="12"/>
      <c r="N555" s="12"/>
      <c r="O555" s="12"/>
      <c r="P555" s="12"/>
      <c r="Q555" s="12"/>
    </row>
    <row r="556" spans="1:17" x14ac:dyDescent="0.25">
      <c r="A556" s="11">
        <v>103287</v>
      </c>
      <c r="B556" s="12" t="s">
        <v>5164</v>
      </c>
      <c r="C556" s="12" t="s">
        <v>5168</v>
      </c>
      <c r="D556" s="12">
        <v>1</v>
      </c>
      <c r="E556" s="125">
        <v>2274144.8199999998</v>
      </c>
      <c r="F556" s="12">
        <v>-15</v>
      </c>
      <c r="G556" s="125">
        <v>1996688.56</v>
      </c>
      <c r="H556" s="12" t="s">
        <v>1925</v>
      </c>
      <c r="I556" s="125">
        <v>41930.46</v>
      </c>
      <c r="J556" s="13">
        <v>42956.540528437501</v>
      </c>
      <c r="K556" s="13">
        <v>43199</v>
      </c>
      <c r="L556" s="13" t="s">
        <v>5169</v>
      </c>
      <c r="M556" s="12" t="s">
        <v>5170</v>
      </c>
      <c r="N556" s="12"/>
      <c r="O556" s="12"/>
      <c r="P556" s="12"/>
      <c r="Q556" s="12"/>
    </row>
    <row r="557" spans="1:17" x14ac:dyDescent="0.25">
      <c r="A557" s="11">
        <v>103288</v>
      </c>
      <c r="B557" s="12" t="s">
        <v>1565</v>
      </c>
      <c r="C557" s="12" t="s">
        <v>1594</v>
      </c>
      <c r="D557" s="12">
        <v>9</v>
      </c>
      <c r="E557" s="125">
        <v>11830140.449999999</v>
      </c>
      <c r="F557" s="12">
        <v>-15</v>
      </c>
      <c r="G557" s="125">
        <v>10506255.109999999</v>
      </c>
      <c r="H557" s="12" t="s">
        <v>963</v>
      </c>
      <c r="I557" s="125">
        <v>171602.17</v>
      </c>
      <c r="J557" s="13">
        <v>42956.716109641202</v>
      </c>
      <c r="K557" s="13">
        <v>43229</v>
      </c>
      <c r="L557" s="13" t="s">
        <v>1595</v>
      </c>
      <c r="M557" s="12" t="s">
        <v>1596</v>
      </c>
      <c r="N557" s="12"/>
      <c r="O557" s="12"/>
      <c r="P557" s="12"/>
      <c r="Q557" s="12"/>
    </row>
    <row r="558" spans="1:17" x14ac:dyDescent="0.25">
      <c r="A558" s="11">
        <v>103289</v>
      </c>
      <c r="B558" s="12" t="s">
        <v>547</v>
      </c>
      <c r="C558" s="12" t="s">
        <v>548</v>
      </c>
      <c r="D558" s="12">
        <v>2</v>
      </c>
      <c r="E558" s="125">
        <v>34431646.640000001</v>
      </c>
      <c r="F558" s="12">
        <v>-20</v>
      </c>
      <c r="G558" s="125">
        <v>26383875.649999999</v>
      </c>
      <c r="H558" s="12" t="s">
        <v>1448</v>
      </c>
      <c r="I558" s="125">
        <v>277030.69</v>
      </c>
      <c r="J558" s="13">
        <v>42956.687870405091</v>
      </c>
      <c r="K558" s="13">
        <v>43510</v>
      </c>
      <c r="L558" s="13" t="s">
        <v>549</v>
      </c>
      <c r="M558" s="12" t="s">
        <v>550</v>
      </c>
      <c r="N558" s="12"/>
      <c r="O558" s="12"/>
      <c r="P558" s="12"/>
      <c r="Q558" s="12"/>
    </row>
    <row r="559" spans="1:17" x14ac:dyDescent="0.25">
      <c r="A559" s="11">
        <v>103290</v>
      </c>
      <c r="B559" s="12" t="s">
        <v>1384</v>
      </c>
      <c r="C559" s="12" t="s">
        <v>1385</v>
      </c>
      <c r="D559" s="12">
        <v>2</v>
      </c>
      <c r="E559" s="125">
        <v>22921818.300000001</v>
      </c>
      <c r="F559" s="12">
        <v>-17</v>
      </c>
      <c r="G559" s="125">
        <v>18458432.82</v>
      </c>
      <c r="H559" s="12" t="s">
        <v>963</v>
      </c>
      <c r="I559" s="125">
        <v>258418.06</v>
      </c>
      <c r="J559" s="13">
        <v>42958.6777147338</v>
      </c>
      <c r="K559" s="13">
        <v>43415</v>
      </c>
      <c r="L559" s="13" t="s">
        <v>1386</v>
      </c>
      <c r="M559" s="12" t="s">
        <v>1387</v>
      </c>
      <c r="N559" s="12"/>
      <c r="O559" s="12"/>
      <c r="P559" s="12"/>
      <c r="Q559" s="12"/>
    </row>
    <row r="560" spans="1:17" x14ac:dyDescent="0.25">
      <c r="A560" s="11">
        <v>103291</v>
      </c>
      <c r="B560" s="12" t="s">
        <v>5183</v>
      </c>
      <c r="C560" s="12" t="s">
        <v>5184</v>
      </c>
      <c r="D560" s="12">
        <v>3</v>
      </c>
      <c r="E560" s="125">
        <v>31645556.93</v>
      </c>
      <c r="F560" s="12">
        <v>-18</v>
      </c>
      <c r="G560" s="125">
        <v>27377305.899999999</v>
      </c>
      <c r="H560" s="12" t="s">
        <v>1467</v>
      </c>
      <c r="I560" s="125">
        <v>301150.36</v>
      </c>
      <c r="J560" s="13">
        <v>42959.445603969907</v>
      </c>
      <c r="K560" s="13">
        <v>43324</v>
      </c>
      <c r="L560" s="13" t="s">
        <v>5185</v>
      </c>
      <c r="M560" s="12" t="s">
        <v>5186</v>
      </c>
      <c r="N560" s="12"/>
      <c r="O560" s="12"/>
      <c r="P560" s="12"/>
      <c r="Q560" s="12"/>
    </row>
    <row r="561" spans="1:17" x14ac:dyDescent="0.25">
      <c r="A561" s="11">
        <v>103292</v>
      </c>
      <c r="B561" s="12" t="s">
        <v>2234</v>
      </c>
      <c r="C561" s="12" t="s">
        <v>2240</v>
      </c>
      <c r="D561" s="12">
        <v>2</v>
      </c>
      <c r="E561" s="125">
        <v>18627110.84</v>
      </c>
      <c r="F561" s="12">
        <v>-20</v>
      </c>
      <c r="G561" s="125">
        <v>15745468.880000001</v>
      </c>
      <c r="H561" s="12" t="s">
        <v>90</v>
      </c>
      <c r="I561" s="125">
        <v>165327.42000000001</v>
      </c>
      <c r="J561" s="13">
        <v>42961.548503900463</v>
      </c>
      <c r="K561" s="13">
        <v>43326</v>
      </c>
      <c r="L561" s="13" t="s">
        <v>2241</v>
      </c>
      <c r="M561" s="12" t="s">
        <v>2242</v>
      </c>
      <c r="N561" s="12"/>
      <c r="O561" s="12"/>
      <c r="P561" s="12"/>
      <c r="Q561" s="12"/>
    </row>
    <row r="562" spans="1:17" x14ac:dyDescent="0.25">
      <c r="A562" s="11">
        <v>103293</v>
      </c>
      <c r="B562" s="12" t="s">
        <v>5191</v>
      </c>
      <c r="C562" s="12" t="s">
        <v>5194</v>
      </c>
      <c r="D562" s="12">
        <v>1</v>
      </c>
      <c r="E562" s="125">
        <v>14804935.470000001</v>
      </c>
      <c r="F562" s="12">
        <v>-20</v>
      </c>
      <c r="G562" s="125">
        <v>11957108.24</v>
      </c>
      <c r="H562" s="12" t="s">
        <v>4683</v>
      </c>
      <c r="I562" s="125">
        <v>161420.96</v>
      </c>
      <c r="J562" s="13">
        <v>42961.705719097219</v>
      </c>
      <c r="K562" s="13">
        <v>43326</v>
      </c>
      <c r="L562" s="13" t="s">
        <v>5195</v>
      </c>
      <c r="M562" s="12" t="s">
        <v>5196</v>
      </c>
      <c r="N562" s="12"/>
      <c r="O562" s="12"/>
      <c r="P562" s="12"/>
      <c r="Q562" s="12"/>
    </row>
    <row r="563" spans="1:17" x14ac:dyDescent="0.25">
      <c r="A563" s="11">
        <v>103294</v>
      </c>
      <c r="B563" s="12" t="s">
        <v>305</v>
      </c>
      <c r="C563" s="12" t="s">
        <v>306</v>
      </c>
      <c r="D563" s="12">
        <v>1</v>
      </c>
      <c r="E563" s="125">
        <v>5178219.63</v>
      </c>
      <c r="F563" s="12">
        <v>-21</v>
      </c>
      <c r="G563" s="125">
        <v>4439993.91</v>
      </c>
      <c r="H563" s="12" t="s">
        <v>468</v>
      </c>
      <c r="I563" s="125">
        <v>47359.94</v>
      </c>
      <c r="J563" s="13">
        <v>42962.466988194443</v>
      </c>
      <c r="K563" s="13">
        <v>43266</v>
      </c>
      <c r="L563" s="13" t="s">
        <v>307</v>
      </c>
      <c r="M563" s="12"/>
      <c r="N563" s="12"/>
      <c r="O563" s="12"/>
      <c r="P563" s="12"/>
      <c r="Q563" s="12"/>
    </row>
    <row r="564" spans="1:17" x14ac:dyDescent="0.25">
      <c r="A564" s="11">
        <v>103295</v>
      </c>
      <c r="B564" s="12" t="s">
        <v>5190</v>
      </c>
      <c r="C564" s="12" t="s">
        <v>5197</v>
      </c>
      <c r="D564" s="12">
        <v>7</v>
      </c>
      <c r="E564" s="125">
        <v>699649.95</v>
      </c>
      <c r="F564" s="12">
        <v>10</v>
      </c>
      <c r="G564" s="125">
        <v>641245.48</v>
      </c>
      <c r="H564" s="12" t="s">
        <v>5124</v>
      </c>
      <c r="I564" s="125">
        <v>8634.0300000000007</v>
      </c>
      <c r="J564" s="13">
        <v>42961.61328391204</v>
      </c>
      <c r="K564" s="13">
        <v>43145</v>
      </c>
      <c r="L564" s="13" t="s">
        <v>5198</v>
      </c>
      <c r="M564" s="12" t="s">
        <v>5199</v>
      </c>
      <c r="N564" s="12"/>
      <c r="O564" s="12"/>
      <c r="P564" s="12"/>
      <c r="Q564" s="12"/>
    </row>
    <row r="565" spans="1:17" x14ac:dyDescent="0.25">
      <c r="A565" s="11">
        <v>103296</v>
      </c>
      <c r="B565" s="12" t="s">
        <v>5193</v>
      </c>
      <c r="C565" s="12" t="s">
        <v>5200</v>
      </c>
      <c r="D565" s="12">
        <v>2</v>
      </c>
      <c r="E565" s="125">
        <v>20696789.829999998</v>
      </c>
      <c r="F565" s="12">
        <v>10</v>
      </c>
      <c r="G565" s="125">
        <v>17212703.260000002</v>
      </c>
      <c r="H565" s="12" t="s">
        <v>1909</v>
      </c>
      <c r="I565" s="125">
        <v>767772.03</v>
      </c>
      <c r="J565" s="13">
        <v>42961.64805625</v>
      </c>
      <c r="K565" s="13">
        <v>43326</v>
      </c>
      <c r="L565" s="13" t="s">
        <v>5201</v>
      </c>
      <c r="M565" s="12" t="s">
        <v>5202</v>
      </c>
      <c r="N565" s="12" t="s">
        <v>5203</v>
      </c>
      <c r="O565" s="12"/>
      <c r="P565" s="12"/>
      <c r="Q565" s="12"/>
    </row>
    <row r="566" spans="1:17" x14ac:dyDescent="0.25">
      <c r="A566" s="11">
        <v>103297</v>
      </c>
      <c r="B566" s="12" t="s">
        <v>5189</v>
      </c>
      <c r="C566" s="12" t="s">
        <v>5204</v>
      </c>
      <c r="D566" s="12">
        <v>1</v>
      </c>
      <c r="E566" s="125">
        <v>4465549.92</v>
      </c>
      <c r="F566" s="12">
        <v>10</v>
      </c>
      <c r="G566" s="125">
        <v>3765854.15</v>
      </c>
      <c r="H566" s="12" t="s">
        <v>3074</v>
      </c>
      <c r="I566" s="125">
        <v>50268.1</v>
      </c>
      <c r="J566" s="13">
        <v>42961.702593136572</v>
      </c>
      <c r="K566" s="13">
        <v>43265</v>
      </c>
      <c r="L566" s="13" t="s">
        <v>5205</v>
      </c>
      <c r="M566" s="12" t="s">
        <v>5206</v>
      </c>
      <c r="N566" s="12"/>
      <c r="O566" s="12"/>
      <c r="P566" s="12"/>
      <c r="Q566" s="12"/>
    </row>
    <row r="567" spans="1:17" x14ac:dyDescent="0.25">
      <c r="A567" s="11">
        <v>103298</v>
      </c>
      <c r="B567" s="12" t="s">
        <v>5209</v>
      </c>
      <c r="C567" s="12" t="s">
        <v>5212</v>
      </c>
      <c r="D567" s="12">
        <v>1</v>
      </c>
      <c r="E567" s="125">
        <v>3947982.81</v>
      </c>
      <c r="F567" s="12">
        <v>-21</v>
      </c>
      <c r="G567" s="125">
        <v>3188562.22</v>
      </c>
      <c r="H567" s="12" t="s">
        <v>5352</v>
      </c>
      <c r="I567" s="125">
        <v>38262.75</v>
      </c>
      <c r="J567" s="13">
        <v>42962.635241203701</v>
      </c>
      <c r="K567" s="13">
        <v>43327</v>
      </c>
      <c r="L567" s="13" t="s">
        <v>5213</v>
      </c>
      <c r="M567" s="12" t="s">
        <v>5214</v>
      </c>
      <c r="N567" s="12"/>
      <c r="O567" s="12"/>
      <c r="P567" s="12"/>
      <c r="Q567" s="12"/>
    </row>
    <row r="568" spans="1:17" x14ac:dyDescent="0.25">
      <c r="A568" s="11">
        <v>103299</v>
      </c>
      <c r="B568" s="12" t="s">
        <v>5211</v>
      </c>
      <c r="C568" s="12" t="s">
        <v>5215</v>
      </c>
      <c r="D568" s="12">
        <v>7</v>
      </c>
      <c r="E568" s="125">
        <v>2960987.06</v>
      </c>
      <c r="F568" s="12">
        <v>-21</v>
      </c>
      <c r="G568" s="125">
        <v>2391421.63</v>
      </c>
      <c r="H568" s="12" t="s">
        <v>546</v>
      </c>
      <c r="I568" s="125">
        <v>28697.06</v>
      </c>
      <c r="J568" s="13">
        <v>42962.688732025461</v>
      </c>
      <c r="K568" s="13">
        <v>43327</v>
      </c>
      <c r="L568" s="13" t="s">
        <v>5216</v>
      </c>
      <c r="M568" s="12" t="s">
        <v>5217</v>
      </c>
      <c r="N568" s="12"/>
      <c r="O568" s="12"/>
      <c r="P568" s="12"/>
      <c r="Q568" s="12"/>
    </row>
    <row r="569" spans="1:17" x14ac:dyDescent="0.25">
      <c r="A569" s="11">
        <v>103300</v>
      </c>
      <c r="B569" s="12" t="s">
        <v>1040</v>
      </c>
      <c r="C569" s="12" t="s">
        <v>1041</v>
      </c>
      <c r="D569" s="12">
        <v>6</v>
      </c>
      <c r="E569" s="125">
        <v>12062387.57</v>
      </c>
      <c r="F569" s="12">
        <v>-21</v>
      </c>
      <c r="G569" s="125">
        <v>10005754.5</v>
      </c>
      <c r="H569" s="12" t="s">
        <v>963</v>
      </c>
      <c r="I569" s="125">
        <v>80046.039999999994</v>
      </c>
      <c r="J569" s="13">
        <v>42962.698615740737</v>
      </c>
      <c r="K569" s="13">
        <v>43419</v>
      </c>
      <c r="L569" s="13" t="s">
        <v>1042</v>
      </c>
      <c r="M569" s="12" t="s">
        <v>1043</v>
      </c>
      <c r="N569" s="12"/>
      <c r="O569" s="12"/>
      <c r="P569" s="12"/>
      <c r="Q569" s="12"/>
    </row>
    <row r="570" spans="1:17" x14ac:dyDescent="0.25">
      <c r="A570" s="11">
        <v>103302</v>
      </c>
      <c r="B570" s="12" t="s">
        <v>4263</v>
      </c>
      <c r="C570" s="12" t="s">
        <v>4265</v>
      </c>
      <c r="D570" s="12">
        <v>1</v>
      </c>
      <c r="E570" s="125">
        <v>3945310.21</v>
      </c>
      <c r="F570" s="12">
        <v>8</v>
      </c>
      <c r="G570" s="125">
        <v>3320345.89</v>
      </c>
      <c r="H570" s="12" t="s">
        <v>2538</v>
      </c>
      <c r="I570" s="125">
        <v>160440.47</v>
      </c>
      <c r="J570" s="13">
        <v>42963.622981099536</v>
      </c>
      <c r="K570" s="13">
        <v>43267</v>
      </c>
      <c r="L570" s="13" t="s">
        <v>4266</v>
      </c>
      <c r="M570" s="12" t="s">
        <v>4267</v>
      </c>
      <c r="N570" s="12"/>
      <c r="O570" s="12"/>
      <c r="P570" s="12"/>
      <c r="Q570" s="12"/>
    </row>
    <row r="571" spans="1:17" x14ac:dyDescent="0.25">
      <c r="A571" s="11">
        <v>103303</v>
      </c>
      <c r="B571" s="12" t="s">
        <v>5243</v>
      </c>
      <c r="C571" s="12" t="s">
        <v>5245</v>
      </c>
      <c r="D571" s="12">
        <v>1</v>
      </c>
      <c r="E571" s="125">
        <v>2908175.8</v>
      </c>
      <c r="F571" s="12">
        <v>-25</v>
      </c>
      <c r="G571" s="125">
        <v>2664823.87</v>
      </c>
      <c r="H571" s="12" t="s">
        <v>1925</v>
      </c>
      <c r="I571" s="125">
        <v>114117.11</v>
      </c>
      <c r="J571" s="13">
        <v>42966.501115196763</v>
      </c>
      <c r="K571" s="13">
        <v>43150</v>
      </c>
      <c r="L571" s="13" t="s">
        <v>5246</v>
      </c>
      <c r="M571" s="12"/>
      <c r="N571" s="12"/>
      <c r="O571" s="12"/>
      <c r="P571" s="12"/>
      <c r="Q571" s="12"/>
    </row>
    <row r="572" spans="1:17" x14ac:dyDescent="0.25">
      <c r="A572" s="11">
        <v>103304</v>
      </c>
      <c r="B572" s="12" t="s">
        <v>85</v>
      </c>
      <c r="C572" s="12" t="s">
        <v>246</v>
      </c>
      <c r="D572" s="12">
        <v>1</v>
      </c>
      <c r="E572" s="125">
        <v>6713581.3399999999</v>
      </c>
      <c r="F572" s="12">
        <v>5</v>
      </c>
      <c r="G572" s="125">
        <v>5546549.6200000001</v>
      </c>
      <c r="H572" s="12" t="s">
        <v>86</v>
      </c>
      <c r="I572" s="125">
        <v>29577.360000000001</v>
      </c>
      <c r="J572" s="13">
        <v>42966.547201238427</v>
      </c>
      <c r="K572" s="13">
        <v>43331</v>
      </c>
      <c r="L572" s="13" t="s">
        <v>247</v>
      </c>
      <c r="M572" s="12" t="s">
        <v>248</v>
      </c>
      <c r="N572" s="12"/>
      <c r="O572" s="12"/>
      <c r="P572" s="12"/>
      <c r="Q572" s="12"/>
    </row>
    <row r="573" spans="1:17" x14ac:dyDescent="0.25">
      <c r="A573" s="11">
        <v>103305</v>
      </c>
      <c r="B573" s="12" t="s">
        <v>5252</v>
      </c>
      <c r="C573" s="12" t="s">
        <v>5258</v>
      </c>
      <c r="D573" s="12">
        <v>1</v>
      </c>
      <c r="E573" s="125">
        <v>2274144.8199999998</v>
      </c>
      <c r="F573" s="12">
        <v>-27</v>
      </c>
      <c r="G573" s="125">
        <v>1996688.56</v>
      </c>
      <c r="H573" s="12" t="s">
        <v>546</v>
      </c>
      <c r="I573" s="125">
        <v>5990.07</v>
      </c>
      <c r="J573" s="13">
        <v>42968.717358368056</v>
      </c>
      <c r="K573" s="13">
        <v>43211</v>
      </c>
      <c r="L573" s="13" t="s">
        <v>5259</v>
      </c>
      <c r="M573" s="12" t="s">
        <v>5260</v>
      </c>
      <c r="N573" s="12"/>
      <c r="O573" s="12"/>
      <c r="P573" s="12"/>
      <c r="Q573" s="12"/>
    </row>
    <row r="574" spans="1:17" x14ac:dyDescent="0.25">
      <c r="A574" s="11">
        <v>103306</v>
      </c>
      <c r="B574" s="12" t="s">
        <v>5254</v>
      </c>
      <c r="C574" s="12" t="s">
        <v>5261</v>
      </c>
      <c r="D574" s="12">
        <v>1</v>
      </c>
      <c r="E574" s="125">
        <v>7519539.9199999999</v>
      </c>
      <c r="F574" s="12">
        <v>-27</v>
      </c>
      <c r="G574" s="125">
        <v>6330057.1299999999</v>
      </c>
      <c r="H574" s="12" t="s">
        <v>1039</v>
      </c>
      <c r="I574" s="125">
        <v>18990.169999999998</v>
      </c>
      <c r="J574" s="13">
        <v>42968.609788622685</v>
      </c>
      <c r="K574" s="13">
        <v>43272</v>
      </c>
      <c r="L574" s="13" t="s">
        <v>5262</v>
      </c>
      <c r="M574" s="12"/>
      <c r="N574" s="12"/>
      <c r="O574" s="12"/>
      <c r="P574" s="12"/>
      <c r="Q574" s="12"/>
    </row>
    <row r="575" spans="1:17" x14ac:dyDescent="0.25">
      <c r="A575" s="11">
        <v>103307</v>
      </c>
      <c r="B575" s="12" t="s">
        <v>5256</v>
      </c>
      <c r="C575" s="12" t="s">
        <v>5263</v>
      </c>
      <c r="D575" s="12">
        <v>1</v>
      </c>
      <c r="E575" s="125">
        <v>2908175.8</v>
      </c>
      <c r="F575" s="12">
        <v>-27</v>
      </c>
      <c r="G575" s="125">
        <v>2664823.87</v>
      </c>
      <c r="H575" s="12" t="s">
        <v>1039</v>
      </c>
      <c r="I575" s="125">
        <v>150729.60000000001</v>
      </c>
      <c r="J575" s="13">
        <v>42968.741020104164</v>
      </c>
      <c r="K575" s="13">
        <v>43152</v>
      </c>
      <c r="L575" s="13" t="s">
        <v>5264</v>
      </c>
      <c r="M575" s="12"/>
      <c r="N575" s="12"/>
      <c r="O575" s="12"/>
      <c r="P575" s="12"/>
      <c r="Q575" s="12"/>
    </row>
    <row r="576" spans="1:17" x14ac:dyDescent="0.25">
      <c r="A576" s="11">
        <v>103308</v>
      </c>
      <c r="B576" s="12" t="s">
        <v>1314</v>
      </c>
      <c r="C576" s="12" t="s">
        <v>1315</v>
      </c>
      <c r="D576" s="12">
        <v>1</v>
      </c>
      <c r="E576" s="125">
        <v>8467101.6199999992</v>
      </c>
      <c r="F576" s="12">
        <v>2</v>
      </c>
      <c r="G576" s="125">
        <v>6913868.54</v>
      </c>
      <c r="H576" s="12" t="s">
        <v>963</v>
      </c>
      <c r="I576" s="125">
        <v>227933.22</v>
      </c>
      <c r="J576" s="13">
        <v>42969.451779976851</v>
      </c>
      <c r="K576" s="13">
        <v>43334</v>
      </c>
      <c r="L576" s="13" t="s">
        <v>1316</v>
      </c>
      <c r="M576" s="12"/>
      <c r="N576" s="12"/>
      <c r="O576" s="12"/>
      <c r="P576" s="12"/>
      <c r="Q576" s="12"/>
    </row>
    <row r="577" spans="1:17" x14ac:dyDescent="0.25">
      <c r="A577" s="11">
        <v>103310</v>
      </c>
      <c r="B577" s="12" t="s">
        <v>5283</v>
      </c>
      <c r="C577" s="12" t="s">
        <v>5286</v>
      </c>
      <c r="D577" s="12">
        <v>1</v>
      </c>
      <c r="E577" s="125">
        <v>2684632.66</v>
      </c>
      <c r="F577" s="12">
        <v>1</v>
      </c>
      <c r="G577" s="125">
        <v>2169394.11</v>
      </c>
      <c r="H577" s="12" t="s">
        <v>4684</v>
      </c>
      <c r="I577" s="125">
        <v>97622.73</v>
      </c>
      <c r="J577" s="13">
        <v>42970.699644444445</v>
      </c>
      <c r="K577" s="13">
        <v>43335</v>
      </c>
      <c r="L577" s="13" t="s">
        <v>5287</v>
      </c>
      <c r="M577" s="12"/>
      <c r="N577" s="12"/>
      <c r="O577" s="12"/>
      <c r="P577" s="12"/>
      <c r="Q577" s="12"/>
    </row>
    <row r="578" spans="1:17" x14ac:dyDescent="0.25">
      <c r="A578" s="11">
        <v>103311</v>
      </c>
      <c r="B578" s="12" t="s">
        <v>5293</v>
      </c>
      <c r="C578" s="12" t="s">
        <v>5296</v>
      </c>
      <c r="D578" s="12">
        <v>8</v>
      </c>
      <c r="E578" s="125">
        <v>9945280.1600000001</v>
      </c>
      <c r="F578" s="12">
        <v>0</v>
      </c>
      <c r="G578" s="125">
        <v>8312576.0700000003</v>
      </c>
      <c r="H578" s="12" t="s">
        <v>5124</v>
      </c>
      <c r="I578" s="125">
        <v>334812.09000000003</v>
      </c>
      <c r="J578" s="13">
        <v>42971.706171412035</v>
      </c>
      <c r="K578" s="13">
        <v>43275</v>
      </c>
      <c r="L578" s="13" t="s">
        <v>5297</v>
      </c>
      <c r="M578" s="12" t="s">
        <v>5298</v>
      </c>
      <c r="N578" s="12"/>
      <c r="O578" s="12"/>
      <c r="P578" s="12"/>
      <c r="Q578" s="12"/>
    </row>
    <row r="579" spans="1:17" x14ac:dyDescent="0.25">
      <c r="A579" s="11">
        <v>103312</v>
      </c>
      <c r="B579" s="12" t="s">
        <v>5304</v>
      </c>
      <c r="C579" s="12" t="s">
        <v>5308</v>
      </c>
      <c r="D579" s="12">
        <v>2</v>
      </c>
      <c r="E579" s="125">
        <v>26185796.370000001</v>
      </c>
      <c r="F579" s="12">
        <v>-1</v>
      </c>
      <c r="G579" s="125">
        <v>23255400.719999999</v>
      </c>
      <c r="H579" s="12" t="s">
        <v>2175</v>
      </c>
      <c r="I579" s="125">
        <v>759676.42</v>
      </c>
      <c r="J579" s="13">
        <v>42972.434798379632</v>
      </c>
      <c r="K579" s="13">
        <v>43215</v>
      </c>
      <c r="L579" s="13" t="s">
        <v>5309</v>
      </c>
      <c r="M579" s="12" t="s">
        <v>5310</v>
      </c>
      <c r="N579" s="12"/>
      <c r="O579" s="12"/>
      <c r="P579" s="12"/>
      <c r="Q579" s="12"/>
    </row>
    <row r="580" spans="1:17" x14ac:dyDescent="0.25">
      <c r="A580" s="11">
        <v>103313</v>
      </c>
      <c r="B580" s="12" t="s">
        <v>5307</v>
      </c>
      <c r="C580" s="12" t="s">
        <v>5311</v>
      </c>
      <c r="D580" s="12">
        <v>1</v>
      </c>
      <c r="E580" s="125">
        <v>7129335.9299999997</v>
      </c>
      <c r="F580" s="12">
        <v>-1</v>
      </c>
      <c r="G580" s="125">
        <v>6228825.7699999996</v>
      </c>
      <c r="H580" s="12" t="s">
        <v>2855</v>
      </c>
      <c r="I580" s="125">
        <v>232542.83</v>
      </c>
      <c r="J580" s="13">
        <v>42972.497745833331</v>
      </c>
      <c r="K580" s="13">
        <v>43215</v>
      </c>
      <c r="L580" s="13" t="s">
        <v>5312</v>
      </c>
      <c r="M580" s="12" t="s">
        <v>5313</v>
      </c>
      <c r="N580" s="12"/>
      <c r="O580" s="12"/>
      <c r="P580" s="12"/>
      <c r="Q580" s="12"/>
    </row>
    <row r="581" spans="1:17" x14ac:dyDescent="0.25">
      <c r="A581" s="11">
        <v>103314</v>
      </c>
      <c r="B581" s="12" t="s">
        <v>5306</v>
      </c>
      <c r="C581" s="12" t="s">
        <v>5314</v>
      </c>
      <c r="D581" s="12">
        <v>1</v>
      </c>
      <c r="E581" s="125">
        <v>4829252.8899999997</v>
      </c>
      <c r="F581" s="12">
        <v>-7</v>
      </c>
      <c r="G581" s="125">
        <v>4311644.3</v>
      </c>
      <c r="H581" s="12" t="s">
        <v>1191</v>
      </c>
      <c r="I581" s="125">
        <v>142284.26</v>
      </c>
      <c r="J581" s="13">
        <v>42972.678314583332</v>
      </c>
      <c r="K581" s="13">
        <v>43160</v>
      </c>
      <c r="L581" s="13" t="s">
        <v>5315</v>
      </c>
      <c r="M581" s="12" t="s">
        <v>5316</v>
      </c>
      <c r="N581" s="12"/>
      <c r="O581" s="12"/>
      <c r="P581" s="12"/>
      <c r="Q581" s="12"/>
    </row>
    <row r="582" spans="1:17" x14ac:dyDescent="0.25">
      <c r="A582" s="11">
        <v>103315</v>
      </c>
      <c r="B582" s="12" t="s">
        <v>114</v>
      </c>
      <c r="C582" s="12" t="s">
        <v>276</v>
      </c>
      <c r="D582" s="12">
        <v>1</v>
      </c>
      <c r="E582" s="125">
        <v>11765818.75</v>
      </c>
      <c r="F582" s="12">
        <v>-7</v>
      </c>
      <c r="G582" s="125">
        <v>9543132.9600000009</v>
      </c>
      <c r="H582" s="12" t="s">
        <v>90</v>
      </c>
      <c r="I582" s="125">
        <v>279931.90000000002</v>
      </c>
      <c r="J582" s="13">
        <v>42975.555813460647</v>
      </c>
      <c r="K582" s="13">
        <v>43344</v>
      </c>
      <c r="L582" s="13" t="s">
        <v>277</v>
      </c>
      <c r="M582" s="12" t="s">
        <v>278</v>
      </c>
      <c r="N582" s="12"/>
      <c r="O582" s="12"/>
      <c r="P582" s="12"/>
      <c r="Q582" s="12"/>
    </row>
    <row r="583" spans="1:17" x14ac:dyDescent="0.25">
      <c r="A583" s="11">
        <v>103316</v>
      </c>
      <c r="B583" s="12" t="s">
        <v>5330</v>
      </c>
      <c r="C583" s="12" t="s">
        <v>5336</v>
      </c>
      <c r="D583" s="12">
        <v>8</v>
      </c>
      <c r="E583" s="125">
        <v>4621569.6100000003</v>
      </c>
      <c r="F583" s="12">
        <v>-7</v>
      </c>
      <c r="G583" s="125">
        <v>4177532.16</v>
      </c>
      <c r="H583" s="12" t="s">
        <v>5124</v>
      </c>
      <c r="I583" s="125">
        <v>127646.82</v>
      </c>
      <c r="J583" s="13">
        <v>42975.539610914355</v>
      </c>
      <c r="K583" s="13">
        <v>43160</v>
      </c>
      <c r="L583" s="13" t="s">
        <v>5337</v>
      </c>
      <c r="M583" s="12" t="s">
        <v>5338</v>
      </c>
      <c r="N583" s="12"/>
      <c r="O583" s="12"/>
      <c r="P583" s="12"/>
      <c r="Q583" s="12"/>
    </row>
    <row r="584" spans="1:17" x14ac:dyDescent="0.25">
      <c r="A584" s="11">
        <v>103317</v>
      </c>
      <c r="B584" s="12" t="s">
        <v>5332</v>
      </c>
      <c r="C584" s="12" t="s">
        <v>5339</v>
      </c>
      <c r="D584" s="12">
        <v>1</v>
      </c>
      <c r="E584" s="125">
        <v>7010893.6699999999</v>
      </c>
      <c r="F584" s="12">
        <v>54</v>
      </c>
      <c r="G584" s="125">
        <v>5692511.4699999997</v>
      </c>
      <c r="H584" s="12" t="s">
        <v>3074</v>
      </c>
      <c r="I584" s="125">
        <v>248327.12</v>
      </c>
      <c r="J584" s="13">
        <v>42975.650625347225</v>
      </c>
      <c r="K584" s="13">
        <v>43282</v>
      </c>
      <c r="L584" s="13" t="s">
        <v>5340</v>
      </c>
      <c r="M584" s="12" t="s">
        <v>5341</v>
      </c>
      <c r="N584" s="12"/>
      <c r="O584" s="12"/>
      <c r="P584" s="12"/>
      <c r="Q584" s="12"/>
    </row>
    <row r="585" spans="1:17" x14ac:dyDescent="0.25">
      <c r="A585" s="11">
        <v>103318</v>
      </c>
      <c r="B585" s="12" t="s">
        <v>5331</v>
      </c>
      <c r="C585" s="12" t="s">
        <v>5342</v>
      </c>
      <c r="D585" s="12">
        <v>7</v>
      </c>
      <c r="E585" s="125">
        <v>934623.71</v>
      </c>
      <c r="F585" s="12">
        <v>-7</v>
      </c>
      <c r="G585" s="125">
        <v>838246.64</v>
      </c>
      <c r="H585" s="12" t="s">
        <v>4844</v>
      </c>
      <c r="I585" s="125">
        <v>27662.14</v>
      </c>
      <c r="J585" s="13">
        <v>42975.660906168981</v>
      </c>
      <c r="K585" s="13">
        <v>43160</v>
      </c>
      <c r="L585" s="13" t="s">
        <v>5343</v>
      </c>
      <c r="M585" s="12"/>
      <c r="N585" s="12"/>
      <c r="O585" s="12"/>
      <c r="P585" s="12"/>
      <c r="Q585" s="12"/>
    </row>
    <row r="586" spans="1:17" x14ac:dyDescent="0.25">
      <c r="A586" s="11">
        <v>103319</v>
      </c>
      <c r="B586" s="12" t="s">
        <v>5333</v>
      </c>
      <c r="C586" s="12" t="s">
        <v>5344</v>
      </c>
      <c r="D586" s="12">
        <v>1</v>
      </c>
      <c r="E586" s="125">
        <v>14215380.130000001</v>
      </c>
      <c r="F586" s="12">
        <v>-7</v>
      </c>
      <c r="G586" s="125">
        <v>11720378.470000001</v>
      </c>
      <c r="H586" s="12" t="s">
        <v>1191</v>
      </c>
      <c r="I586" s="125">
        <v>386772.49</v>
      </c>
      <c r="J586" s="13">
        <v>42975.715995138889</v>
      </c>
      <c r="K586" s="13">
        <v>43282</v>
      </c>
      <c r="L586" s="13" t="s">
        <v>5345</v>
      </c>
      <c r="M586" s="12" t="s">
        <v>5346</v>
      </c>
      <c r="N586" s="12"/>
      <c r="O586" s="12"/>
      <c r="P586" s="12"/>
      <c r="Q586" s="12"/>
    </row>
    <row r="587" spans="1:17" x14ac:dyDescent="0.25">
      <c r="A587" s="11">
        <v>103320</v>
      </c>
      <c r="B587" s="12" t="s">
        <v>5353</v>
      </c>
      <c r="C587" s="12" t="s">
        <v>5356</v>
      </c>
      <c r="D587" s="12">
        <v>1</v>
      </c>
      <c r="E587" s="125">
        <v>5499050.9800000004</v>
      </c>
      <c r="F587" s="12">
        <v>-7</v>
      </c>
      <c r="G587" s="125">
        <v>4351244.07</v>
      </c>
      <c r="H587" s="12" t="s">
        <v>4844</v>
      </c>
      <c r="I587" s="125">
        <v>143591.04999999999</v>
      </c>
      <c r="J587" s="13">
        <v>42976.521201967589</v>
      </c>
      <c r="K587" s="13">
        <v>43344</v>
      </c>
      <c r="L587" s="13" t="s">
        <v>5357</v>
      </c>
      <c r="M587" s="12"/>
      <c r="N587" s="12"/>
      <c r="O587" s="12"/>
      <c r="P587" s="12"/>
      <c r="Q587" s="12"/>
    </row>
    <row r="588" spans="1:17" x14ac:dyDescent="0.25">
      <c r="A588" s="11">
        <v>103321</v>
      </c>
      <c r="B588" s="12" t="s">
        <v>5351</v>
      </c>
      <c r="C588" s="12" t="s">
        <v>5358</v>
      </c>
      <c r="D588" s="12">
        <v>1</v>
      </c>
      <c r="E588" s="125">
        <v>2333219.7000000002</v>
      </c>
      <c r="F588" s="12">
        <v>-7</v>
      </c>
      <c r="G588" s="125">
        <v>2092621.42</v>
      </c>
      <c r="H588" s="12" t="s">
        <v>5352</v>
      </c>
      <c r="I588" s="125">
        <v>69056.509999999995</v>
      </c>
      <c r="J588" s="13">
        <v>42976.540823842595</v>
      </c>
      <c r="K588" s="13">
        <v>43160</v>
      </c>
      <c r="L588" s="13" t="s">
        <v>5359</v>
      </c>
      <c r="M588" s="12" t="s">
        <v>5360</v>
      </c>
      <c r="N588" s="12"/>
      <c r="O588" s="12"/>
      <c r="P588" s="12"/>
      <c r="Q588" s="12"/>
    </row>
    <row r="589" spans="1:17" x14ac:dyDescent="0.25">
      <c r="A589" s="11">
        <v>103322</v>
      </c>
      <c r="B589" s="12" t="s">
        <v>5367</v>
      </c>
      <c r="C589" s="12" t="s">
        <v>5368</v>
      </c>
      <c r="D589" s="12">
        <v>8</v>
      </c>
      <c r="E589" s="125">
        <v>5392238.29</v>
      </c>
      <c r="F589" s="12">
        <v>-7</v>
      </c>
      <c r="G589" s="125">
        <v>4684646.0199999996</v>
      </c>
      <c r="H589" s="12" t="s">
        <v>5124</v>
      </c>
      <c r="I589" s="125">
        <v>143141.96</v>
      </c>
      <c r="J589" s="13">
        <v>42977.493870914353</v>
      </c>
      <c r="K589" s="13">
        <v>43222</v>
      </c>
      <c r="L589" s="13" t="s">
        <v>5369</v>
      </c>
      <c r="M589" s="12"/>
      <c r="N589" s="12"/>
      <c r="O589" s="12"/>
      <c r="P589" s="12"/>
      <c r="Q589" s="12"/>
    </row>
    <row r="590" spans="1:17" x14ac:dyDescent="0.25">
      <c r="A590" s="11">
        <v>103323</v>
      </c>
      <c r="B590" s="12" t="s">
        <v>4083</v>
      </c>
      <c r="C590" s="12" t="s">
        <v>4085</v>
      </c>
      <c r="D590" s="12">
        <v>2</v>
      </c>
      <c r="E590" s="125">
        <v>16576095.66</v>
      </c>
      <c r="F590" s="12">
        <v>-7</v>
      </c>
      <c r="G590" s="125">
        <v>13785684.529999999</v>
      </c>
      <c r="H590" s="12" t="s">
        <v>491</v>
      </c>
      <c r="I590" s="125">
        <v>353832.57</v>
      </c>
      <c r="J590" s="13">
        <v>42977.530860300925</v>
      </c>
      <c r="K590" s="13">
        <v>43344</v>
      </c>
      <c r="L590" s="13" t="s">
        <v>4086</v>
      </c>
      <c r="M590" s="12" t="s">
        <v>4087</v>
      </c>
      <c r="N590" s="12"/>
      <c r="O590" s="12"/>
      <c r="P590" s="12"/>
      <c r="Q590" s="12"/>
    </row>
    <row r="591" spans="1:17" x14ac:dyDescent="0.25">
      <c r="A591" s="11">
        <v>103324</v>
      </c>
      <c r="B591" s="12" t="s">
        <v>3185</v>
      </c>
      <c r="C591" s="12" t="s">
        <v>3188</v>
      </c>
      <c r="D591" s="12">
        <v>1</v>
      </c>
      <c r="E591" s="125">
        <v>6397871.0700000003</v>
      </c>
      <c r="F591" s="12">
        <v>23</v>
      </c>
      <c r="G591" s="125">
        <v>5140545.05</v>
      </c>
      <c r="H591" s="12" t="s">
        <v>1039</v>
      </c>
      <c r="I591" s="125">
        <v>288430.24</v>
      </c>
      <c r="J591" s="13">
        <v>42977.704196030092</v>
      </c>
      <c r="K591" s="13">
        <v>43344</v>
      </c>
      <c r="L591" s="13" t="s">
        <v>3189</v>
      </c>
      <c r="M591" s="12"/>
      <c r="N591" s="12"/>
      <c r="O591" s="12"/>
      <c r="P591" s="12"/>
      <c r="Q591" s="12"/>
    </row>
    <row r="592" spans="1:17" x14ac:dyDescent="0.25">
      <c r="A592" s="11">
        <v>103325</v>
      </c>
      <c r="B592" s="12" t="s">
        <v>868</v>
      </c>
      <c r="C592" s="12" t="s">
        <v>869</v>
      </c>
      <c r="D592" s="12">
        <v>6</v>
      </c>
      <c r="E592" s="125">
        <v>33098533.329999998</v>
      </c>
      <c r="F592" s="12">
        <v>23</v>
      </c>
      <c r="G592" s="125">
        <v>25871959.25</v>
      </c>
      <c r="H592" s="12" t="s">
        <v>86</v>
      </c>
      <c r="I592" s="125">
        <v>1012027.18</v>
      </c>
      <c r="J592" s="13">
        <v>42978.51465853009</v>
      </c>
      <c r="K592" s="13">
        <v>43525</v>
      </c>
      <c r="L592" s="13" t="s">
        <v>870</v>
      </c>
      <c r="M592" s="12" t="s">
        <v>871</v>
      </c>
      <c r="N592" s="12"/>
      <c r="O592" s="12"/>
      <c r="P592" s="12"/>
      <c r="Q592" s="12"/>
    </row>
    <row r="593" spans="1:17" x14ac:dyDescent="0.25">
      <c r="A593" s="11">
        <v>103326</v>
      </c>
      <c r="B593" s="12" t="s">
        <v>5370</v>
      </c>
      <c r="C593" s="12" t="s">
        <v>5374</v>
      </c>
      <c r="D593" s="12">
        <v>1</v>
      </c>
      <c r="E593" s="125">
        <v>5695210.21</v>
      </c>
      <c r="F593" s="12">
        <v>23</v>
      </c>
      <c r="G593" s="125">
        <v>4599698.87</v>
      </c>
      <c r="H593" s="12" t="s">
        <v>1191</v>
      </c>
      <c r="I593" s="125">
        <v>344724.63</v>
      </c>
      <c r="J593" s="13">
        <v>42978.663012650461</v>
      </c>
      <c r="K593" s="13">
        <v>43282</v>
      </c>
      <c r="L593" s="13" t="s">
        <v>5375</v>
      </c>
      <c r="M593" s="12"/>
      <c r="N593" s="12"/>
      <c r="O593" s="12"/>
      <c r="P593" s="12"/>
      <c r="Q593" s="12"/>
    </row>
    <row r="594" spans="1:17" x14ac:dyDescent="0.25">
      <c r="A594" s="11">
        <v>103327</v>
      </c>
      <c r="B594" s="12" t="s">
        <v>5373</v>
      </c>
      <c r="C594" s="12" t="s">
        <v>5376</v>
      </c>
      <c r="D594" s="12">
        <v>1</v>
      </c>
      <c r="E594" s="125">
        <v>5062409.08</v>
      </c>
      <c r="F594" s="12">
        <v>-7</v>
      </c>
      <c r="G594" s="125">
        <v>4173884.19</v>
      </c>
      <c r="H594" s="12" t="s">
        <v>5352</v>
      </c>
      <c r="I594" s="125">
        <v>137738.18</v>
      </c>
      <c r="J594" s="13">
        <v>42978.741225428239</v>
      </c>
      <c r="K594" s="13">
        <v>43282</v>
      </c>
      <c r="L594" s="13" t="s">
        <v>5377</v>
      </c>
      <c r="M594" s="12" t="s">
        <v>5378</v>
      </c>
      <c r="N594" s="12"/>
      <c r="O594" s="12"/>
      <c r="P594" s="12"/>
      <c r="Q594" s="12"/>
    </row>
    <row r="595" spans="1:17" x14ac:dyDescent="0.25">
      <c r="A595" s="11">
        <v>103328</v>
      </c>
      <c r="B595" s="12" t="s">
        <v>5372</v>
      </c>
      <c r="C595" s="12" t="s">
        <v>5379</v>
      </c>
      <c r="D595" s="12">
        <v>1</v>
      </c>
      <c r="E595" s="125">
        <v>10096147.460000001</v>
      </c>
      <c r="F595" s="12">
        <v>-7</v>
      </c>
      <c r="G595" s="125">
        <v>9055047.1199999992</v>
      </c>
      <c r="H595" s="12" t="s">
        <v>2175</v>
      </c>
      <c r="I595" s="125">
        <v>298816.55</v>
      </c>
      <c r="J595" s="13">
        <v>42978.731462037038</v>
      </c>
      <c r="K595" s="13">
        <v>43160</v>
      </c>
      <c r="L595" s="13" t="s">
        <v>5380</v>
      </c>
      <c r="M595" s="12" t="s">
        <v>5381</v>
      </c>
      <c r="N595" s="12"/>
      <c r="O595" s="12"/>
      <c r="P595" s="12"/>
      <c r="Q595" s="12"/>
    </row>
    <row r="596" spans="1:17" x14ac:dyDescent="0.25">
      <c r="A596" s="11">
        <v>103329</v>
      </c>
      <c r="B596" s="12" t="s">
        <v>5388</v>
      </c>
      <c r="C596" s="12" t="s">
        <v>5392</v>
      </c>
      <c r="D596" s="12">
        <v>2</v>
      </c>
      <c r="E596" s="125">
        <v>16767568.43</v>
      </c>
      <c r="F596" s="12">
        <v>-10</v>
      </c>
      <c r="G596" s="125">
        <v>14111470.060000001</v>
      </c>
      <c r="H596" s="12" t="s">
        <v>2175</v>
      </c>
      <c r="I596" s="125">
        <v>357490.57</v>
      </c>
      <c r="J596" s="13">
        <v>42982.679339236114</v>
      </c>
      <c r="K596" s="13">
        <v>43285</v>
      </c>
      <c r="L596" s="13" t="s">
        <v>5393</v>
      </c>
      <c r="M596" s="12" t="s">
        <v>5394</v>
      </c>
      <c r="N596" s="12"/>
      <c r="O596" s="12"/>
      <c r="P596" s="12"/>
      <c r="Q596" s="12"/>
    </row>
    <row r="597" spans="1:17" x14ac:dyDescent="0.25">
      <c r="A597" s="11">
        <v>103330</v>
      </c>
      <c r="B597" s="12" t="s">
        <v>5400</v>
      </c>
      <c r="C597" s="12" t="s">
        <v>5402</v>
      </c>
      <c r="D597" s="12">
        <v>6</v>
      </c>
      <c r="E597" s="125">
        <v>40716869.659999996</v>
      </c>
      <c r="F597" s="12">
        <v>-12</v>
      </c>
      <c r="G597" s="125">
        <v>31965547.149999999</v>
      </c>
      <c r="H597" s="12" t="s">
        <v>2855</v>
      </c>
      <c r="I597" s="125">
        <v>543414.30000000005</v>
      </c>
      <c r="J597" s="13">
        <v>42984.636498807871</v>
      </c>
      <c r="K597" s="13">
        <v>43530</v>
      </c>
      <c r="L597" s="13" t="s">
        <v>5403</v>
      </c>
      <c r="M597" s="12" t="s">
        <v>5404</v>
      </c>
      <c r="N597" s="12"/>
      <c r="O597" s="12"/>
      <c r="P597" s="12"/>
      <c r="Q597" s="12"/>
    </row>
    <row r="598" spans="1:17" x14ac:dyDescent="0.25">
      <c r="A598" s="11">
        <v>103331</v>
      </c>
      <c r="B598" s="12" t="s">
        <v>3386</v>
      </c>
      <c r="C598" s="12" t="s">
        <v>3387</v>
      </c>
      <c r="D598" s="12">
        <v>8</v>
      </c>
      <c r="E598" s="125">
        <v>12005447.34</v>
      </c>
      <c r="F598" s="12">
        <v>44</v>
      </c>
      <c r="G598" s="125">
        <v>9831925.9800000004</v>
      </c>
      <c r="H598" s="12" t="s">
        <v>1191</v>
      </c>
      <c r="I598" s="125">
        <v>340934.38</v>
      </c>
      <c r="J598" s="13">
        <v>42989.615845219909</v>
      </c>
      <c r="K598" s="13">
        <v>43354</v>
      </c>
      <c r="L598" s="13" t="s">
        <v>3388</v>
      </c>
      <c r="M598" s="12" t="s">
        <v>3389</v>
      </c>
      <c r="N598" s="12"/>
      <c r="O598" s="12"/>
      <c r="P598" s="12"/>
      <c r="Q598" s="12"/>
    </row>
    <row r="599" spans="1:17" x14ac:dyDescent="0.25">
      <c r="A599" s="11">
        <v>103332</v>
      </c>
      <c r="B599" s="12" t="s">
        <v>5542</v>
      </c>
      <c r="C599" s="12" t="s">
        <v>5544</v>
      </c>
      <c r="D599" s="12">
        <v>6</v>
      </c>
      <c r="E599" s="125">
        <v>24010334.09</v>
      </c>
      <c r="F599" s="12">
        <v>2</v>
      </c>
      <c r="G599" s="125">
        <v>18950683.91</v>
      </c>
      <c r="H599" s="12" t="s">
        <v>2494</v>
      </c>
      <c r="I599" s="125">
        <v>638116.49</v>
      </c>
      <c r="J599" s="13">
        <v>43000.551402893521</v>
      </c>
      <c r="K599" s="13">
        <v>43456</v>
      </c>
      <c r="L599" s="13" t="s">
        <v>5545</v>
      </c>
      <c r="M599" s="12"/>
      <c r="N599" s="12"/>
      <c r="O599" s="12"/>
      <c r="P599" s="12"/>
      <c r="Q599" s="12"/>
    </row>
    <row r="600" spans="1:17" x14ac:dyDescent="0.25">
      <c r="A600" s="11">
        <v>103333</v>
      </c>
      <c r="B600" s="12" t="s">
        <v>5431</v>
      </c>
      <c r="C600" s="12" t="s">
        <v>5434</v>
      </c>
      <c r="D600" s="12">
        <v>1</v>
      </c>
      <c r="E600" s="125">
        <v>2527576.4700000002</v>
      </c>
      <c r="F600" s="12">
        <v>-18</v>
      </c>
      <c r="G600" s="125">
        <v>2083950.78</v>
      </c>
      <c r="H600" s="12" t="s">
        <v>2175</v>
      </c>
      <c r="I600" s="125">
        <v>34385.19</v>
      </c>
      <c r="J600" s="13">
        <v>42990.502439895834</v>
      </c>
      <c r="K600" s="13">
        <v>43293</v>
      </c>
      <c r="L600" s="13" t="s">
        <v>5435</v>
      </c>
      <c r="M600" s="12" t="s">
        <v>5436</v>
      </c>
      <c r="N600" s="12"/>
      <c r="O600" s="12"/>
      <c r="P600" s="12"/>
      <c r="Q600" s="12"/>
    </row>
    <row r="601" spans="1:17" x14ac:dyDescent="0.25">
      <c r="A601" s="11">
        <v>103334</v>
      </c>
      <c r="B601" s="12" t="s">
        <v>5432</v>
      </c>
      <c r="C601" s="12" t="s">
        <v>5437</v>
      </c>
      <c r="D601" s="12">
        <v>1</v>
      </c>
      <c r="E601" s="125">
        <v>6066183.4400000004</v>
      </c>
      <c r="F601" s="12">
        <v>-18</v>
      </c>
      <c r="G601" s="125">
        <v>5001481.8600000003</v>
      </c>
      <c r="H601" s="12" t="s">
        <v>5124</v>
      </c>
      <c r="I601" s="125">
        <v>82524.45</v>
      </c>
      <c r="J601" s="13">
        <v>42990.598106481484</v>
      </c>
      <c r="K601" s="13">
        <v>43293</v>
      </c>
      <c r="L601" s="13" t="s">
        <v>5438</v>
      </c>
      <c r="M601" s="12" t="s">
        <v>5439</v>
      </c>
      <c r="N601" s="12"/>
      <c r="O601" s="12"/>
      <c r="P601" s="12"/>
      <c r="Q601" s="12"/>
    </row>
    <row r="602" spans="1:17" x14ac:dyDescent="0.25">
      <c r="A602" s="11">
        <v>103335</v>
      </c>
      <c r="B602" s="12" t="s">
        <v>5443</v>
      </c>
      <c r="C602" s="12" t="s">
        <v>5446</v>
      </c>
      <c r="D602" s="12">
        <v>2</v>
      </c>
      <c r="E602" s="125">
        <v>33861777.060000002</v>
      </c>
      <c r="F602" s="12">
        <v>-19</v>
      </c>
      <c r="G602" s="125">
        <v>26836079.52</v>
      </c>
      <c r="H602" s="12" t="s">
        <v>90</v>
      </c>
      <c r="I602" s="125">
        <v>313087.59000000003</v>
      </c>
      <c r="J602" s="13">
        <v>42991.676158298615</v>
      </c>
      <c r="K602" s="13">
        <v>43447</v>
      </c>
      <c r="L602" s="13" t="s">
        <v>5447</v>
      </c>
      <c r="M602" s="12"/>
      <c r="N602" s="12"/>
      <c r="O602" s="12"/>
      <c r="P602" s="12"/>
      <c r="Q602" s="12"/>
    </row>
    <row r="603" spans="1:17" x14ac:dyDescent="0.25">
      <c r="A603" s="11">
        <v>103336</v>
      </c>
      <c r="B603" s="12" t="s">
        <v>5445</v>
      </c>
      <c r="C603" s="12" t="s">
        <v>5448</v>
      </c>
      <c r="D603" s="12">
        <v>8</v>
      </c>
      <c r="E603" s="125">
        <v>7956224.0999999996</v>
      </c>
      <c r="F603" s="12">
        <v>-19</v>
      </c>
      <c r="G603" s="125">
        <v>6650060.8399999999</v>
      </c>
      <c r="H603" s="12" t="s">
        <v>5124</v>
      </c>
      <c r="I603" s="125">
        <v>92361.96</v>
      </c>
      <c r="J603" s="13">
        <v>42991.640739548609</v>
      </c>
      <c r="K603" s="13">
        <v>43294</v>
      </c>
      <c r="L603" s="13" t="s">
        <v>5449</v>
      </c>
      <c r="M603" s="12" t="s">
        <v>5450</v>
      </c>
      <c r="N603" s="12"/>
      <c r="O603" s="12"/>
      <c r="P603" s="12"/>
      <c r="Q603" s="12"/>
    </row>
    <row r="604" spans="1:17" x14ac:dyDescent="0.25">
      <c r="A604" s="11">
        <v>103337</v>
      </c>
      <c r="B604" s="12" t="s">
        <v>1437</v>
      </c>
      <c r="C604" s="12" t="s">
        <v>1438</v>
      </c>
      <c r="D604" s="12">
        <v>2</v>
      </c>
      <c r="E604" s="125">
        <v>25268988.66</v>
      </c>
      <c r="F604" s="12">
        <v>9</v>
      </c>
      <c r="G604" s="125">
        <v>19183663.18</v>
      </c>
      <c r="H604" s="12" t="s">
        <v>963</v>
      </c>
      <c r="I604" s="125">
        <v>333852.73</v>
      </c>
      <c r="J604" s="13">
        <v>42993.718332986115</v>
      </c>
      <c r="K604" s="13">
        <v>43539</v>
      </c>
      <c r="L604" s="13" t="s">
        <v>1439</v>
      </c>
      <c r="M604" s="12"/>
      <c r="N604" s="12" t="s">
        <v>1440</v>
      </c>
      <c r="O604" s="12"/>
      <c r="P604" s="12"/>
      <c r="Q604" s="12"/>
    </row>
    <row r="605" spans="1:17" x14ac:dyDescent="0.25">
      <c r="A605" s="11">
        <v>103338</v>
      </c>
      <c r="B605" s="12" t="s">
        <v>3397</v>
      </c>
      <c r="C605" s="12" t="s">
        <v>3403</v>
      </c>
      <c r="D605" s="12">
        <v>1</v>
      </c>
      <c r="E605" s="125">
        <v>4931637.78</v>
      </c>
      <c r="F605" s="12">
        <v>-20</v>
      </c>
      <c r="G605" s="125">
        <v>4150432.37</v>
      </c>
      <c r="H605" s="12" t="s">
        <v>1447</v>
      </c>
      <c r="I605" s="125">
        <v>49805.19</v>
      </c>
      <c r="J605" s="13">
        <v>42992.475522997687</v>
      </c>
      <c r="K605" s="13">
        <v>43295</v>
      </c>
      <c r="L605" s="13" t="s">
        <v>3404</v>
      </c>
      <c r="M605" s="12" t="s">
        <v>3405</v>
      </c>
      <c r="N605" s="12"/>
      <c r="O605" s="12"/>
      <c r="P605" s="12"/>
      <c r="Q605" s="12"/>
    </row>
    <row r="606" spans="1:17" x14ac:dyDescent="0.25">
      <c r="A606" s="11">
        <v>103339</v>
      </c>
      <c r="B606" s="12" t="s">
        <v>5453</v>
      </c>
      <c r="C606" s="12" t="s">
        <v>5459</v>
      </c>
      <c r="D606" s="12">
        <v>2</v>
      </c>
      <c r="E606" s="125">
        <v>18627110.850000001</v>
      </c>
      <c r="F606" s="12">
        <v>-20</v>
      </c>
      <c r="G606" s="125">
        <v>15491432.93</v>
      </c>
      <c r="H606" s="12" t="s">
        <v>2855</v>
      </c>
      <c r="I606" s="125">
        <v>162660.04999999999</v>
      </c>
      <c r="J606" s="13">
        <v>42992.532625196756</v>
      </c>
      <c r="K606" s="13">
        <v>43357</v>
      </c>
      <c r="L606" s="13" t="s">
        <v>5460</v>
      </c>
      <c r="M606" s="12"/>
      <c r="N606" s="12" t="s">
        <v>5461</v>
      </c>
      <c r="O606" s="12"/>
      <c r="P606" s="12"/>
      <c r="Q606" s="12"/>
    </row>
    <row r="607" spans="1:17" x14ac:dyDescent="0.25">
      <c r="A607" s="11">
        <v>103340</v>
      </c>
      <c r="B607" s="12" t="s">
        <v>5458</v>
      </c>
      <c r="C607" s="12" t="s">
        <v>576</v>
      </c>
      <c r="D607" s="12">
        <v>6</v>
      </c>
      <c r="E607" s="125">
        <v>13486932.970000001</v>
      </c>
      <c r="F607" s="12">
        <v>10</v>
      </c>
      <c r="G607" s="125">
        <v>11170342.210000001</v>
      </c>
      <c r="H607" s="12" t="s">
        <v>491</v>
      </c>
      <c r="I607" s="125">
        <v>436172.25</v>
      </c>
      <c r="J607" s="13">
        <v>42992.651779201391</v>
      </c>
      <c r="K607" s="13">
        <v>43357</v>
      </c>
      <c r="L607" s="13" t="s">
        <v>5462</v>
      </c>
      <c r="M607" s="12" t="s">
        <v>5463</v>
      </c>
      <c r="N607" s="12"/>
      <c r="O607" s="12"/>
      <c r="P607" s="12"/>
      <c r="Q607" s="12"/>
    </row>
    <row r="608" spans="1:17" x14ac:dyDescent="0.25">
      <c r="A608" s="11">
        <v>103341</v>
      </c>
      <c r="B608" s="12" t="s">
        <v>4049</v>
      </c>
      <c r="C608" s="12" t="s">
        <v>4050</v>
      </c>
      <c r="D608" s="12">
        <v>9</v>
      </c>
      <c r="E608" s="125">
        <v>11279841.460000001</v>
      </c>
      <c r="F608" s="12">
        <v>10</v>
      </c>
      <c r="G608" s="125">
        <v>10359551.869999999</v>
      </c>
      <c r="H608" s="12" t="s">
        <v>90</v>
      </c>
      <c r="I608" s="125">
        <v>108567.93</v>
      </c>
      <c r="J608" s="13">
        <v>42992.725817858794</v>
      </c>
      <c r="K608" s="13">
        <v>43173</v>
      </c>
      <c r="L608" s="13" t="s">
        <v>4051</v>
      </c>
      <c r="M608" s="12"/>
      <c r="N608" s="12"/>
      <c r="O608" s="12"/>
      <c r="P608" s="12"/>
      <c r="Q608" s="12"/>
    </row>
    <row r="609" spans="1:17" x14ac:dyDescent="0.25">
      <c r="A609" s="11">
        <v>103342</v>
      </c>
      <c r="B609" s="12" t="s">
        <v>5473</v>
      </c>
      <c r="C609" s="12" t="s">
        <v>5476</v>
      </c>
      <c r="D609" s="12">
        <v>9</v>
      </c>
      <c r="E609" s="125">
        <v>15982825.91</v>
      </c>
      <c r="F609" s="12">
        <v>-21</v>
      </c>
      <c r="G609" s="125">
        <v>12963503.52</v>
      </c>
      <c r="H609" s="12" t="s">
        <v>1039</v>
      </c>
      <c r="I609" s="125">
        <v>138277.37</v>
      </c>
      <c r="J609" s="13">
        <v>42993.698568599539</v>
      </c>
      <c r="K609" s="13">
        <v>43358</v>
      </c>
      <c r="L609" s="13" t="s">
        <v>5477</v>
      </c>
      <c r="M609" s="12" t="s">
        <v>5478</v>
      </c>
      <c r="N609" s="12"/>
      <c r="O609" s="12"/>
      <c r="P609" s="12"/>
      <c r="Q609" s="12"/>
    </row>
    <row r="610" spans="1:17" x14ac:dyDescent="0.25">
      <c r="A610" s="11">
        <v>103343</v>
      </c>
      <c r="B610" s="12" t="s">
        <v>5474</v>
      </c>
      <c r="C610" s="12" t="s">
        <v>5479</v>
      </c>
      <c r="D610" s="12">
        <v>2</v>
      </c>
      <c r="E610" s="125">
        <v>19179391.09</v>
      </c>
      <c r="F610" s="12">
        <v>-21</v>
      </c>
      <c r="G610" s="125">
        <v>15556204.220000001</v>
      </c>
      <c r="H610" s="12" t="s">
        <v>2175</v>
      </c>
      <c r="I610" s="125">
        <v>165932.85</v>
      </c>
      <c r="J610" s="13">
        <v>42993.773849502315</v>
      </c>
      <c r="K610" s="13">
        <v>43358</v>
      </c>
      <c r="L610" s="13" t="s">
        <v>5480</v>
      </c>
      <c r="M610" s="12"/>
      <c r="N610" s="12"/>
      <c r="O610" s="12"/>
      <c r="P610" s="12"/>
      <c r="Q610" s="12"/>
    </row>
    <row r="611" spans="1:17" x14ac:dyDescent="0.25">
      <c r="A611" s="11">
        <v>103344</v>
      </c>
      <c r="B611" s="12" t="s">
        <v>2128</v>
      </c>
      <c r="C611" s="12" t="s">
        <v>2139</v>
      </c>
      <c r="D611" s="12">
        <v>3</v>
      </c>
      <c r="E611" s="125">
        <v>31645556.940000001</v>
      </c>
      <c r="F611" s="12">
        <v>-21</v>
      </c>
      <c r="G611" s="125">
        <v>26994301.949999999</v>
      </c>
      <c r="H611" s="12" t="s">
        <v>1467</v>
      </c>
      <c r="I611" s="125">
        <v>215954.42</v>
      </c>
      <c r="J611" s="13">
        <v>42993.785429317133</v>
      </c>
      <c r="K611" s="13">
        <v>43358</v>
      </c>
      <c r="L611" s="13" t="s">
        <v>2140</v>
      </c>
      <c r="M611" s="12"/>
      <c r="N611" s="12" t="s">
        <v>2141</v>
      </c>
      <c r="O611" s="12"/>
      <c r="P611" s="12"/>
      <c r="Q611" s="12"/>
    </row>
    <row r="612" spans="1:17" x14ac:dyDescent="0.25">
      <c r="A612" s="11">
        <v>103345</v>
      </c>
      <c r="B612" s="12" t="s">
        <v>5490</v>
      </c>
      <c r="C612" s="12" t="s">
        <v>5492</v>
      </c>
      <c r="D612" s="12">
        <v>1</v>
      </c>
      <c r="E612" s="125">
        <v>5483309.4400000004</v>
      </c>
      <c r="F612" s="12">
        <v>-22</v>
      </c>
      <c r="G612" s="125">
        <v>4338788.2300000004</v>
      </c>
      <c r="H612" s="12" t="s">
        <v>5491</v>
      </c>
      <c r="I612" s="125">
        <v>45557.279999999999</v>
      </c>
      <c r="J612" s="13">
        <v>42994.53301929398</v>
      </c>
      <c r="K612" s="13">
        <v>43359</v>
      </c>
      <c r="L612" s="13" t="s">
        <v>5493</v>
      </c>
      <c r="M612" s="12" t="s">
        <v>5494</v>
      </c>
      <c r="N612" s="12"/>
      <c r="O612" s="12"/>
      <c r="P612" s="12"/>
      <c r="Q612" s="12"/>
    </row>
    <row r="613" spans="1:17" x14ac:dyDescent="0.25">
      <c r="A613" s="11">
        <v>103346</v>
      </c>
      <c r="B613" s="12" t="s">
        <v>5497</v>
      </c>
      <c r="C613" s="12" t="s">
        <v>5498</v>
      </c>
      <c r="D613" s="12">
        <v>6</v>
      </c>
      <c r="E613" s="125">
        <v>23266782.66</v>
      </c>
      <c r="F613" s="12">
        <v>-24</v>
      </c>
      <c r="G613" s="125">
        <v>18266026.940000001</v>
      </c>
      <c r="H613" s="12" t="s">
        <v>2855</v>
      </c>
      <c r="I613" s="125">
        <v>91330.13</v>
      </c>
      <c r="J613" s="13">
        <v>42996.512122650463</v>
      </c>
      <c r="K613" s="13">
        <v>43542</v>
      </c>
      <c r="L613" s="13" t="s">
        <v>5499</v>
      </c>
      <c r="M613" s="12" t="s">
        <v>5500</v>
      </c>
      <c r="N613" s="12"/>
      <c r="O613" s="12"/>
      <c r="P613" s="12"/>
      <c r="Q613" s="12"/>
    </row>
    <row r="614" spans="1:17" x14ac:dyDescent="0.25">
      <c r="A614" s="11">
        <v>103347</v>
      </c>
      <c r="B614" s="12" t="s">
        <v>5495</v>
      </c>
      <c r="C614" s="12" t="s">
        <v>5501</v>
      </c>
      <c r="D614" s="12">
        <v>1</v>
      </c>
      <c r="E614" s="125">
        <v>2527576.4700000002</v>
      </c>
      <c r="F614" s="12">
        <v>-24</v>
      </c>
      <c r="G614" s="125">
        <v>2083950.78</v>
      </c>
      <c r="H614" s="12" t="s">
        <v>4684</v>
      </c>
      <c r="I614" s="125">
        <v>15629.63</v>
      </c>
      <c r="J614" s="13">
        <v>42996.667852777777</v>
      </c>
      <c r="K614" s="13">
        <v>43299</v>
      </c>
      <c r="L614" s="13" t="s">
        <v>5502</v>
      </c>
      <c r="M614" s="12" t="s">
        <v>5503</v>
      </c>
      <c r="N614" s="12"/>
      <c r="O614" s="12"/>
      <c r="P614" s="12"/>
      <c r="Q614" s="12"/>
    </row>
    <row r="615" spans="1:17" x14ac:dyDescent="0.25">
      <c r="A615" s="11">
        <v>103348</v>
      </c>
      <c r="B615" s="12" t="s">
        <v>493</v>
      </c>
      <c r="C615" s="12" t="s">
        <v>494</v>
      </c>
      <c r="D615" s="12">
        <v>2</v>
      </c>
      <c r="E615" s="125">
        <v>23731909.440000001</v>
      </c>
      <c r="F615" s="12">
        <v>4</v>
      </c>
      <c r="G615" s="125">
        <v>18963498.609999999</v>
      </c>
      <c r="H615" s="12" t="s">
        <v>2175</v>
      </c>
      <c r="I615" s="125">
        <v>147230</v>
      </c>
      <c r="J615" s="13">
        <v>42998.502675231481</v>
      </c>
      <c r="K615" s="13">
        <v>43454</v>
      </c>
      <c r="L615" s="13" t="s">
        <v>495</v>
      </c>
      <c r="M615" s="12" t="s">
        <v>496</v>
      </c>
      <c r="N615" s="12"/>
      <c r="O615" s="12"/>
      <c r="P615" s="12"/>
      <c r="Q615" s="12"/>
    </row>
    <row r="616" spans="1:17" x14ac:dyDescent="0.25">
      <c r="A616" s="11">
        <v>103349</v>
      </c>
      <c r="B616" s="12" t="s">
        <v>3053</v>
      </c>
      <c r="C616" s="12" t="s">
        <v>3059</v>
      </c>
      <c r="D616" s="12">
        <v>6</v>
      </c>
      <c r="E616" s="125">
        <v>20092417.079999998</v>
      </c>
      <c r="F616" s="12">
        <v>-26</v>
      </c>
      <c r="G616" s="125">
        <v>17139239.329999998</v>
      </c>
      <c r="H616" s="12" t="s">
        <v>491</v>
      </c>
      <c r="I616" s="125">
        <v>51417.72</v>
      </c>
      <c r="J616" s="13">
        <v>42998.574405590276</v>
      </c>
      <c r="K616" s="13">
        <v>43363</v>
      </c>
      <c r="L616" s="13" t="s">
        <v>3060</v>
      </c>
      <c r="M616" s="12" t="s">
        <v>3061</v>
      </c>
      <c r="N616" s="12"/>
      <c r="O616" s="12"/>
      <c r="P616" s="12"/>
      <c r="Q616" s="12"/>
    </row>
    <row r="617" spans="1:17" x14ac:dyDescent="0.25">
      <c r="A617" s="11">
        <v>103350</v>
      </c>
      <c r="B617" s="12" t="s">
        <v>5506</v>
      </c>
      <c r="C617" s="12" t="s">
        <v>5510</v>
      </c>
      <c r="D617" s="12">
        <v>7</v>
      </c>
      <c r="E617" s="125">
        <v>2527576.4700000002</v>
      </c>
      <c r="F617" s="12">
        <v>-25</v>
      </c>
      <c r="G617" s="125">
        <v>2083950.78</v>
      </c>
      <c r="H617" s="12" t="s">
        <v>963</v>
      </c>
      <c r="I617" s="125">
        <v>12503.7</v>
      </c>
      <c r="J617" s="13">
        <v>42997.547181909722</v>
      </c>
      <c r="K617" s="13">
        <v>43300</v>
      </c>
      <c r="L617" s="13" t="s">
        <v>5511</v>
      </c>
      <c r="M617" s="12"/>
      <c r="N617" s="12"/>
      <c r="O617" s="12"/>
      <c r="P617" s="12"/>
      <c r="Q617" s="12"/>
    </row>
    <row r="618" spans="1:17" x14ac:dyDescent="0.25">
      <c r="A618" s="11">
        <v>103351</v>
      </c>
      <c r="B618" s="12" t="s">
        <v>5484</v>
      </c>
      <c r="C618" s="12" t="s">
        <v>5485</v>
      </c>
      <c r="D618" s="12">
        <v>1</v>
      </c>
      <c r="E618" s="125">
        <v>11715738.92</v>
      </c>
      <c r="F618" s="12">
        <v>5</v>
      </c>
      <c r="G618" s="125">
        <v>9334478.2699999996</v>
      </c>
      <c r="H618" s="12" t="s">
        <v>2034</v>
      </c>
      <c r="I618" s="125">
        <v>414471.52</v>
      </c>
      <c r="J618" s="13">
        <v>42997.603942627313</v>
      </c>
      <c r="K618" s="13">
        <v>43362</v>
      </c>
      <c r="L618" s="13" t="s">
        <v>5486</v>
      </c>
      <c r="M618" s="12"/>
      <c r="N618" s="12"/>
      <c r="O618" s="12"/>
      <c r="P618" s="12"/>
      <c r="Q618" s="12"/>
    </row>
    <row r="619" spans="1:17" x14ac:dyDescent="0.25">
      <c r="A619" s="11">
        <v>103352</v>
      </c>
      <c r="B619" s="12" t="s">
        <v>1366</v>
      </c>
      <c r="C619" s="12" t="s">
        <v>1367</v>
      </c>
      <c r="D619" s="12">
        <v>6</v>
      </c>
      <c r="E619" s="125">
        <v>16204466.439999999</v>
      </c>
      <c r="F619" s="12">
        <v>5</v>
      </c>
      <c r="G619" s="125">
        <v>12828956.289999999</v>
      </c>
      <c r="H619" s="12" t="s">
        <v>2494</v>
      </c>
      <c r="I619" s="125">
        <v>144506.17000000001</v>
      </c>
      <c r="J619" s="13">
        <v>42997.615128321762</v>
      </c>
      <c r="K619" s="13">
        <v>43543</v>
      </c>
      <c r="L619" s="13" t="s">
        <v>1368</v>
      </c>
      <c r="M619" s="12" t="s">
        <v>1369</v>
      </c>
      <c r="N619" s="12"/>
      <c r="O619" s="12"/>
      <c r="P619" s="12"/>
      <c r="Q619" s="12"/>
    </row>
    <row r="620" spans="1:17" x14ac:dyDescent="0.25">
      <c r="A620" s="11">
        <v>103353</v>
      </c>
      <c r="B620" s="12" t="s">
        <v>5508</v>
      </c>
      <c r="C620" s="12" t="s">
        <v>5512</v>
      </c>
      <c r="D620" s="12">
        <v>1</v>
      </c>
      <c r="E620" s="125">
        <v>2728973.78</v>
      </c>
      <c r="F620" s="12">
        <v>-25</v>
      </c>
      <c r="G620" s="125">
        <v>2345949.7799999998</v>
      </c>
      <c r="H620" s="12" t="s">
        <v>2175</v>
      </c>
      <c r="I620" s="125">
        <v>14075.7</v>
      </c>
      <c r="J620" s="13">
        <v>42997.658450381947</v>
      </c>
      <c r="K620" s="13">
        <v>43239</v>
      </c>
      <c r="L620" s="13" t="s">
        <v>5513</v>
      </c>
      <c r="M620" s="12"/>
      <c r="N620" s="12"/>
      <c r="O620" s="12"/>
      <c r="P620" s="12"/>
      <c r="Q620" s="12"/>
    </row>
    <row r="621" spans="1:17" x14ac:dyDescent="0.25">
      <c r="A621" s="11">
        <v>103354</v>
      </c>
      <c r="B621" s="12" t="s">
        <v>2785</v>
      </c>
      <c r="C621" s="12" t="s">
        <v>2791</v>
      </c>
      <c r="D621" s="12">
        <v>7</v>
      </c>
      <c r="E621" s="125">
        <v>1791445.32</v>
      </c>
      <c r="F621" s="12">
        <v>4</v>
      </c>
      <c r="G621" s="125">
        <v>1566317.77</v>
      </c>
      <c r="H621" s="12" t="s">
        <v>2538</v>
      </c>
      <c r="I621" s="125">
        <v>6228.83</v>
      </c>
      <c r="J621" s="13">
        <v>42998.67493429398</v>
      </c>
      <c r="K621" s="13">
        <v>43240</v>
      </c>
      <c r="L621" s="13" t="s">
        <v>2792</v>
      </c>
      <c r="M621" s="12"/>
      <c r="N621" s="12"/>
      <c r="O621" s="12"/>
      <c r="P621" s="12"/>
      <c r="Q621" s="12"/>
    </row>
    <row r="622" spans="1:17" x14ac:dyDescent="0.25">
      <c r="A622" s="11">
        <v>103355</v>
      </c>
      <c r="B622" s="12" t="s">
        <v>5519</v>
      </c>
      <c r="C622" s="12" t="s">
        <v>5520</v>
      </c>
      <c r="D622" s="12">
        <v>7</v>
      </c>
      <c r="E622" s="125">
        <v>4223549.4400000004</v>
      </c>
      <c r="F622" s="12">
        <v>35</v>
      </c>
      <c r="G622" s="125">
        <v>3457790.7</v>
      </c>
      <c r="H622" s="12" t="s">
        <v>546</v>
      </c>
      <c r="I622" s="125">
        <v>144236.37</v>
      </c>
      <c r="J622" s="13">
        <v>42998.555043865737</v>
      </c>
      <c r="K622" s="13">
        <v>43301</v>
      </c>
      <c r="L622" s="13" t="s">
        <v>5521</v>
      </c>
      <c r="M622" s="12"/>
      <c r="N622" s="12"/>
      <c r="O622" s="12"/>
      <c r="P622" s="12"/>
      <c r="Q622" s="12"/>
    </row>
    <row r="623" spans="1:17" x14ac:dyDescent="0.25">
      <c r="A623" s="11">
        <v>103356</v>
      </c>
      <c r="B623" s="12" t="s">
        <v>4400</v>
      </c>
      <c r="C623" s="12" t="s">
        <v>4402</v>
      </c>
      <c r="D623" s="12">
        <v>2</v>
      </c>
      <c r="E623" s="125">
        <v>27165332.25</v>
      </c>
      <c r="F623" s="12">
        <v>4</v>
      </c>
      <c r="G623" s="125">
        <v>20650434.34</v>
      </c>
      <c r="H623" s="12" t="s">
        <v>1039</v>
      </c>
      <c r="I623" s="125">
        <v>104558.74</v>
      </c>
      <c r="J623" s="13">
        <v>42998.62777835648</v>
      </c>
      <c r="K623" s="13">
        <v>43544</v>
      </c>
      <c r="L623" s="13" t="s">
        <v>4403</v>
      </c>
      <c r="M623" s="12"/>
      <c r="N623" s="12"/>
      <c r="O623" s="12"/>
      <c r="P623" s="12"/>
      <c r="Q623" s="12"/>
    </row>
    <row r="624" spans="1:17" x14ac:dyDescent="0.25">
      <c r="A624" s="11">
        <v>103357</v>
      </c>
      <c r="B624" s="12" t="s">
        <v>2935</v>
      </c>
      <c r="C624" s="12" t="s">
        <v>2936</v>
      </c>
      <c r="D624" s="12">
        <v>1</v>
      </c>
      <c r="E624" s="125">
        <v>11628561.710000001</v>
      </c>
      <c r="F624" s="12">
        <v>4</v>
      </c>
      <c r="G624" s="125">
        <v>9334478.2699999996</v>
      </c>
      <c r="H624" s="12" t="s">
        <v>2538</v>
      </c>
      <c r="I624" s="125">
        <v>315771.19</v>
      </c>
      <c r="J624" s="13">
        <v>42998.699082951389</v>
      </c>
      <c r="K624" s="13">
        <v>43363</v>
      </c>
      <c r="L624" s="13" t="s">
        <v>2937</v>
      </c>
      <c r="M624" s="12"/>
      <c r="N624" s="12"/>
      <c r="O624" s="12"/>
      <c r="P624" s="12"/>
      <c r="Q624" s="12"/>
    </row>
    <row r="625" spans="1:17" x14ac:dyDescent="0.25">
      <c r="A625" s="11">
        <v>103358</v>
      </c>
      <c r="B625" s="12" t="s">
        <v>5530</v>
      </c>
      <c r="C625" s="12" t="s">
        <v>5533</v>
      </c>
      <c r="D625" s="12">
        <v>7</v>
      </c>
      <c r="E625" s="125">
        <v>3710570.28</v>
      </c>
      <c r="F625" s="12">
        <v>3</v>
      </c>
      <c r="G625" s="125">
        <v>3126866.21</v>
      </c>
      <c r="H625" s="12" t="s">
        <v>5385</v>
      </c>
      <c r="I625" s="125">
        <v>145053.59</v>
      </c>
      <c r="J625" s="13">
        <v>42999.724034340281</v>
      </c>
      <c r="K625" s="13">
        <v>43241</v>
      </c>
      <c r="L625" s="13" t="s">
        <v>5534</v>
      </c>
      <c r="M625" s="12"/>
      <c r="N625" s="12"/>
      <c r="O625" s="12"/>
      <c r="P625" s="12"/>
      <c r="Q625" s="12"/>
    </row>
    <row r="626" spans="1:17" x14ac:dyDescent="0.25">
      <c r="A626" s="11">
        <v>103359</v>
      </c>
      <c r="B626" s="12" t="s">
        <v>5539</v>
      </c>
      <c r="C626" s="12" t="s">
        <v>5546</v>
      </c>
      <c r="D626" s="12">
        <v>1</v>
      </c>
      <c r="E626" s="125">
        <v>3412228.18</v>
      </c>
      <c r="F626" s="12">
        <v>2</v>
      </c>
      <c r="G626" s="125">
        <v>2755863.53</v>
      </c>
      <c r="H626" s="12" t="s">
        <v>4684</v>
      </c>
      <c r="I626" s="125">
        <v>127764.97</v>
      </c>
      <c r="J626" s="13">
        <v>43000.423390821757</v>
      </c>
      <c r="K626" s="13">
        <v>43303</v>
      </c>
      <c r="L626" s="13" t="s">
        <v>5547</v>
      </c>
      <c r="M626" s="12" t="s">
        <v>5548</v>
      </c>
      <c r="N626" s="12"/>
      <c r="O626" s="12"/>
      <c r="P626" s="12"/>
      <c r="Q626" s="12"/>
    </row>
    <row r="627" spans="1:17" x14ac:dyDescent="0.25">
      <c r="A627" s="11">
        <v>103360</v>
      </c>
      <c r="B627" s="12" t="s">
        <v>2913</v>
      </c>
      <c r="C627" s="12" t="s">
        <v>2914</v>
      </c>
      <c r="D627" s="12">
        <v>1</v>
      </c>
      <c r="E627" s="125">
        <v>5273633.46</v>
      </c>
      <c r="F627" s="12">
        <v>2</v>
      </c>
      <c r="G627" s="125">
        <v>4200515.22</v>
      </c>
      <c r="H627" s="12" t="s">
        <v>963</v>
      </c>
      <c r="I627" s="125">
        <v>172506.94</v>
      </c>
      <c r="J627" s="13">
        <v>43000.569336574074</v>
      </c>
      <c r="K627" s="13">
        <v>43365</v>
      </c>
      <c r="L627" s="13" t="s">
        <v>2915</v>
      </c>
      <c r="M627" s="12" t="s">
        <v>2916</v>
      </c>
      <c r="N627" s="12"/>
      <c r="O627" s="12"/>
      <c r="P627" s="12"/>
      <c r="Q627" s="12"/>
    </row>
    <row r="628" spans="1:17" x14ac:dyDescent="0.25">
      <c r="A628" s="11">
        <v>103361</v>
      </c>
      <c r="B628" s="12" t="s">
        <v>1144</v>
      </c>
      <c r="C628" s="12" t="s">
        <v>1318</v>
      </c>
      <c r="D628" s="12">
        <v>5</v>
      </c>
      <c r="E628" s="125">
        <v>10510273.24</v>
      </c>
      <c r="F628" s="12">
        <v>-27</v>
      </c>
      <c r="G628" s="125">
        <v>9037977.4499999993</v>
      </c>
      <c r="H628" s="12" t="s">
        <v>284</v>
      </c>
      <c r="I628" s="125">
        <v>11046.42</v>
      </c>
      <c r="J628" s="13">
        <v>43000.651462499998</v>
      </c>
      <c r="K628" s="13">
        <v>43545</v>
      </c>
      <c r="L628" s="13" t="s">
        <v>1319</v>
      </c>
      <c r="M628" s="12"/>
      <c r="N628" s="12"/>
      <c r="O628" s="12"/>
      <c r="P628" s="12"/>
      <c r="Q628" s="12"/>
    </row>
    <row r="629" spans="1:17" x14ac:dyDescent="0.25">
      <c r="A629" s="11">
        <v>103363</v>
      </c>
      <c r="B629" s="12" t="s">
        <v>5540</v>
      </c>
      <c r="C629" s="12" t="s">
        <v>5549</v>
      </c>
      <c r="D629" s="12">
        <v>7</v>
      </c>
      <c r="E629" s="125">
        <v>1699730.19</v>
      </c>
      <c r="F629" s="12">
        <v>2</v>
      </c>
      <c r="G629" s="125">
        <v>1377931.77</v>
      </c>
      <c r="H629" s="12" t="s">
        <v>5124</v>
      </c>
      <c r="I629" s="125">
        <v>57498.559999999998</v>
      </c>
      <c r="J629" s="13">
        <v>43000.727458530091</v>
      </c>
      <c r="K629" s="13">
        <v>43303</v>
      </c>
      <c r="L629" s="13" t="s">
        <v>5550</v>
      </c>
      <c r="M629" s="12"/>
      <c r="N629" s="12"/>
      <c r="O629" s="12"/>
      <c r="P629" s="12"/>
      <c r="Q629" s="12"/>
    </row>
    <row r="630" spans="1:17" x14ac:dyDescent="0.25">
      <c r="A630" s="11">
        <v>103364</v>
      </c>
      <c r="B630" s="12" t="s">
        <v>5556</v>
      </c>
      <c r="C630" s="12" t="s">
        <v>5557</v>
      </c>
      <c r="D630" s="12">
        <v>1</v>
      </c>
      <c r="E630" s="125">
        <v>15347753.27</v>
      </c>
      <c r="F630" s="12">
        <v>1</v>
      </c>
      <c r="G630" s="125">
        <v>12685999.300000001</v>
      </c>
      <c r="H630" s="12" t="s">
        <v>5382</v>
      </c>
      <c r="I630" s="125">
        <v>620069.30000000005</v>
      </c>
      <c r="J630" s="13">
        <v>43001.43780659722</v>
      </c>
      <c r="K630" s="13">
        <v>43304</v>
      </c>
      <c r="L630" s="13" t="s">
        <v>5558</v>
      </c>
      <c r="M630" s="12" t="s">
        <v>5559</v>
      </c>
      <c r="N630" s="12"/>
      <c r="O630" s="12"/>
      <c r="P630" s="12"/>
      <c r="Q630" s="12"/>
    </row>
    <row r="631" spans="1:17" x14ac:dyDescent="0.25">
      <c r="A631" s="11">
        <v>103365</v>
      </c>
      <c r="B631" s="12" t="s">
        <v>4327</v>
      </c>
      <c r="C631" s="12" t="s">
        <v>1357</v>
      </c>
      <c r="D631" s="12">
        <v>1</v>
      </c>
      <c r="E631" s="125">
        <v>14661120.689999999</v>
      </c>
      <c r="F631" s="12">
        <v>1</v>
      </c>
      <c r="G631" s="125">
        <v>12044374.609999999</v>
      </c>
      <c r="H631" s="12" t="s">
        <v>2175</v>
      </c>
      <c r="I631" s="125">
        <v>485392.87</v>
      </c>
      <c r="J631" s="13">
        <v>43001.462453125001</v>
      </c>
      <c r="K631" s="13">
        <v>43366</v>
      </c>
      <c r="L631" s="13" t="s">
        <v>4342</v>
      </c>
      <c r="M631" s="12"/>
      <c r="N631" s="12"/>
      <c r="O631" s="12"/>
      <c r="P631" s="12"/>
      <c r="Q631" s="12"/>
    </row>
    <row r="632" spans="1:17" x14ac:dyDescent="0.25">
      <c r="A632" s="11">
        <v>103366</v>
      </c>
      <c r="B632" s="12" t="s">
        <v>5564</v>
      </c>
      <c r="C632" s="12" t="s">
        <v>5568</v>
      </c>
      <c r="D632" s="12">
        <v>1</v>
      </c>
      <c r="E632" s="125">
        <v>12063280.74</v>
      </c>
      <c r="F632" s="12">
        <v>-1</v>
      </c>
      <c r="G632" s="125">
        <v>9353338.1099999994</v>
      </c>
      <c r="H632" s="12" t="s">
        <v>5382</v>
      </c>
      <c r="I632" s="125">
        <v>392840.2</v>
      </c>
      <c r="J632" s="13">
        <v>43003.566039664351</v>
      </c>
      <c r="K632" s="13">
        <v>43368</v>
      </c>
      <c r="L632" s="13" t="s">
        <v>5569</v>
      </c>
      <c r="M632" s="12" t="s">
        <v>5570</v>
      </c>
      <c r="N632" s="12"/>
      <c r="O632" s="12"/>
      <c r="P632" s="12"/>
      <c r="Q632" s="12"/>
    </row>
    <row r="633" spans="1:17" x14ac:dyDescent="0.25">
      <c r="A633" s="11">
        <v>103367</v>
      </c>
      <c r="B633" s="12" t="s">
        <v>5565</v>
      </c>
      <c r="C633" s="12" t="s">
        <v>5571</v>
      </c>
      <c r="D633" s="12">
        <v>1</v>
      </c>
      <c r="E633" s="125">
        <v>7237968.46</v>
      </c>
      <c r="F633" s="12">
        <v>-1</v>
      </c>
      <c r="G633" s="125">
        <v>5612002.8700000001</v>
      </c>
      <c r="H633" s="12" t="s">
        <v>1039</v>
      </c>
      <c r="I633" s="125">
        <v>235704.12</v>
      </c>
      <c r="J633" s="13">
        <v>43003.651829629627</v>
      </c>
      <c r="K633" s="13">
        <v>43368</v>
      </c>
      <c r="L633" s="13" t="s">
        <v>5572</v>
      </c>
      <c r="M633" s="12" t="s">
        <v>5573</v>
      </c>
      <c r="N633" s="12"/>
      <c r="O633" s="12"/>
      <c r="P633" s="12"/>
      <c r="Q633" s="12"/>
    </row>
    <row r="634" spans="1:17" x14ac:dyDescent="0.25">
      <c r="A634" s="11">
        <v>103368</v>
      </c>
      <c r="B634" s="12" t="s">
        <v>438</v>
      </c>
      <c r="C634" s="12" t="s">
        <v>1228</v>
      </c>
      <c r="D634" s="12">
        <v>1</v>
      </c>
      <c r="E634" s="125">
        <v>11720738.99</v>
      </c>
      <c r="F634" s="12">
        <v>-1</v>
      </c>
      <c r="G634" s="125">
        <v>9334478.2699999996</v>
      </c>
      <c r="H634" s="12" t="s">
        <v>1191</v>
      </c>
      <c r="I634" s="125">
        <v>348487.19</v>
      </c>
      <c r="J634" s="13">
        <v>43003.6607721412</v>
      </c>
      <c r="K634" s="13">
        <v>43368</v>
      </c>
      <c r="L634" s="13" t="s">
        <v>1229</v>
      </c>
      <c r="M634" s="12" t="s">
        <v>1230</v>
      </c>
      <c r="N634" s="12"/>
      <c r="O634" s="12"/>
      <c r="P634" s="12"/>
      <c r="Q634" s="12"/>
    </row>
    <row r="635" spans="1:17" x14ac:dyDescent="0.25">
      <c r="A635" s="11">
        <v>103369</v>
      </c>
      <c r="B635" s="12" t="s">
        <v>423</v>
      </c>
      <c r="C635" s="12" t="s">
        <v>424</v>
      </c>
      <c r="D635" s="12">
        <v>1</v>
      </c>
      <c r="E635" s="125">
        <v>6199444.8600000003</v>
      </c>
      <c r="F635" s="12">
        <v>22</v>
      </c>
      <c r="G635" s="125">
        <v>5000000</v>
      </c>
      <c r="H635" s="12" t="s">
        <v>1191</v>
      </c>
      <c r="I635" s="125">
        <v>357876.6</v>
      </c>
      <c r="J635" s="13">
        <v>43005.528888460649</v>
      </c>
      <c r="K635" s="13">
        <v>43314</v>
      </c>
      <c r="L635" s="13" t="s">
        <v>425</v>
      </c>
      <c r="M635" s="12" t="s">
        <v>426</v>
      </c>
      <c r="N635" s="12"/>
      <c r="O635" s="12"/>
      <c r="P635" s="12"/>
      <c r="Q635" s="12"/>
    </row>
    <row r="636" spans="1:17" x14ac:dyDescent="0.25">
      <c r="A636" s="11">
        <v>103370</v>
      </c>
      <c r="B636" s="12" t="s">
        <v>5579</v>
      </c>
      <c r="C636" s="12" t="s">
        <v>5583</v>
      </c>
      <c r="D636" s="12">
        <v>7</v>
      </c>
      <c r="E636" s="125">
        <v>1147205.26</v>
      </c>
      <c r="F636" s="12">
        <v>-8</v>
      </c>
      <c r="G636" s="125">
        <v>926532.75</v>
      </c>
      <c r="H636" s="12" t="s">
        <v>5385</v>
      </c>
      <c r="I636" s="125">
        <v>29185.78</v>
      </c>
      <c r="J636" s="13">
        <v>43004.608470254629</v>
      </c>
      <c r="K636" s="13">
        <v>43314</v>
      </c>
      <c r="L636" s="13" t="s">
        <v>5584</v>
      </c>
      <c r="M636" s="12" t="s">
        <v>5585</v>
      </c>
      <c r="N636" s="12"/>
      <c r="O636" s="12"/>
      <c r="P636" s="12"/>
      <c r="Q636" s="12"/>
    </row>
    <row r="637" spans="1:17" x14ac:dyDescent="0.25">
      <c r="A637" s="11">
        <v>103371</v>
      </c>
      <c r="B637" s="12" t="s">
        <v>4305</v>
      </c>
      <c r="C637" s="12" t="s">
        <v>4312</v>
      </c>
      <c r="D637" s="12">
        <v>7</v>
      </c>
      <c r="E637" s="125">
        <v>5905449.2800000003</v>
      </c>
      <c r="F637" s="12">
        <v>-8</v>
      </c>
      <c r="G637" s="125">
        <v>4703140.9800000004</v>
      </c>
      <c r="H637" s="12" t="s">
        <v>4684</v>
      </c>
      <c r="I637" s="125">
        <v>131687.95000000001</v>
      </c>
      <c r="J637" s="13">
        <v>43004.666905243059</v>
      </c>
      <c r="K637" s="13">
        <v>43375</v>
      </c>
      <c r="L637" s="13" t="s">
        <v>4313</v>
      </c>
      <c r="M637" s="12"/>
      <c r="N637" s="12"/>
      <c r="O637" s="12"/>
      <c r="P637" s="12"/>
      <c r="Q637" s="12"/>
    </row>
    <row r="638" spans="1:17" x14ac:dyDescent="0.25">
      <c r="A638" s="11">
        <v>103372</v>
      </c>
      <c r="B638" s="12" t="s">
        <v>5595</v>
      </c>
      <c r="C638" s="12" t="s">
        <v>5597</v>
      </c>
      <c r="D638" s="12">
        <v>7</v>
      </c>
      <c r="E638" s="125">
        <v>4582290.4800000004</v>
      </c>
      <c r="F638" s="12">
        <v>-8</v>
      </c>
      <c r="G638" s="125">
        <v>3700856.61</v>
      </c>
      <c r="H638" s="12" t="s">
        <v>5124</v>
      </c>
      <c r="I638" s="125">
        <v>116576.98</v>
      </c>
      <c r="J638" s="13">
        <v>43005.701929594907</v>
      </c>
      <c r="K638" s="13">
        <v>43314</v>
      </c>
      <c r="L638" s="13" t="s">
        <v>5598</v>
      </c>
      <c r="M638" s="12"/>
      <c r="N638" s="12"/>
      <c r="O638" s="12"/>
      <c r="P638" s="12"/>
      <c r="Q638" s="12"/>
    </row>
    <row r="639" spans="1:17" x14ac:dyDescent="0.25">
      <c r="A639" s="11">
        <v>103373</v>
      </c>
      <c r="B639" s="12" t="s">
        <v>5592</v>
      </c>
      <c r="C639" s="12" t="s">
        <v>5599</v>
      </c>
      <c r="D639" s="12">
        <v>7</v>
      </c>
      <c r="E639" s="125">
        <v>4582290.4800000004</v>
      </c>
      <c r="F639" s="12">
        <v>-8</v>
      </c>
      <c r="G639" s="125">
        <v>3700856.61</v>
      </c>
      <c r="H639" s="12" t="s">
        <v>5352</v>
      </c>
      <c r="I639" s="125">
        <v>116576.98</v>
      </c>
      <c r="J639" s="13">
        <v>43005.713250196757</v>
      </c>
      <c r="K639" s="13">
        <v>43314</v>
      </c>
      <c r="L639" s="13" t="s">
        <v>5600</v>
      </c>
      <c r="M639" s="12" t="s">
        <v>5601</v>
      </c>
      <c r="N639" s="12"/>
      <c r="O639" s="12"/>
      <c r="P639" s="12"/>
      <c r="Q639" s="12"/>
    </row>
    <row r="640" spans="1:17" x14ac:dyDescent="0.25">
      <c r="A640" s="11">
        <v>103374</v>
      </c>
      <c r="B640" s="12" t="s">
        <v>3667</v>
      </c>
      <c r="C640" s="12" t="s">
        <v>3671</v>
      </c>
      <c r="D640" s="12">
        <v>7</v>
      </c>
      <c r="E640" s="125">
        <v>4493770.38</v>
      </c>
      <c r="F640" s="12">
        <v>22</v>
      </c>
      <c r="G640" s="125">
        <v>3500000</v>
      </c>
      <c r="H640" s="12" t="s">
        <v>1039</v>
      </c>
      <c r="I640" s="125">
        <v>246243.1</v>
      </c>
      <c r="J640" s="13">
        <v>43006.684353240744</v>
      </c>
      <c r="K640" s="13">
        <v>43375</v>
      </c>
      <c r="L640" s="13" t="s">
        <v>3672</v>
      </c>
      <c r="M640" s="12" t="s">
        <v>3673</v>
      </c>
      <c r="N640" s="12"/>
      <c r="O640" s="12"/>
      <c r="P640" s="12"/>
      <c r="Q640" s="12"/>
    </row>
    <row r="641" spans="1:17" x14ac:dyDescent="0.25">
      <c r="A641" s="11">
        <v>103375</v>
      </c>
      <c r="B641" s="12" t="s">
        <v>3866</v>
      </c>
      <c r="C641" s="12" t="s">
        <v>3871</v>
      </c>
      <c r="D641" s="12">
        <v>6</v>
      </c>
      <c r="E641" s="125">
        <v>27734363.109999999</v>
      </c>
      <c r="F641" s="12">
        <v>-8</v>
      </c>
      <c r="G641" s="125">
        <v>23328694.260000002</v>
      </c>
      <c r="H641" s="12" t="s">
        <v>2861</v>
      </c>
      <c r="I641" s="125">
        <v>489902.58</v>
      </c>
      <c r="J641" s="13">
        <v>43006.724725729167</v>
      </c>
      <c r="K641" s="13">
        <v>43375</v>
      </c>
      <c r="L641" s="13" t="s">
        <v>3872</v>
      </c>
      <c r="M641" s="12" t="s">
        <v>3873</v>
      </c>
      <c r="N641" s="12"/>
      <c r="O641" s="12"/>
      <c r="P641" s="12"/>
      <c r="Q641" s="12"/>
    </row>
    <row r="642" spans="1:17" x14ac:dyDescent="0.25">
      <c r="A642" s="11">
        <v>103376</v>
      </c>
      <c r="B642" s="12" t="s">
        <v>5608</v>
      </c>
      <c r="C642" s="12" t="s">
        <v>5615</v>
      </c>
      <c r="D642" s="12">
        <v>1</v>
      </c>
      <c r="E642" s="125">
        <v>3431819.92</v>
      </c>
      <c r="F642" s="12">
        <v>-8</v>
      </c>
      <c r="G642" s="125">
        <v>2771686.67</v>
      </c>
      <c r="H642" s="12" t="s">
        <v>5124</v>
      </c>
      <c r="I642" s="125">
        <v>87308.13</v>
      </c>
      <c r="J642" s="13">
        <v>43006.714477974536</v>
      </c>
      <c r="K642" s="13">
        <v>43314</v>
      </c>
      <c r="L642" s="13" t="s">
        <v>5616</v>
      </c>
      <c r="M642" s="12" t="s">
        <v>5617</v>
      </c>
      <c r="N642" s="12"/>
      <c r="O642" s="12"/>
      <c r="P642" s="12"/>
      <c r="Q642" s="12"/>
    </row>
    <row r="643" spans="1:17" x14ac:dyDescent="0.25">
      <c r="A643" s="11">
        <v>103377</v>
      </c>
      <c r="B643" s="12" t="s">
        <v>5610</v>
      </c>
      <c r="C643" s="12" t="s">
        <v>5618</v>
      </c>
      <c r="D643" s="12">
        <v>7</v>
      </c>
      <c r="E643" s="125">
        <v>6066271.8300000001</v>
      </c>
      <c r="F643" s="12">
        <v>-8</v>
      </c>
      <c r="G643" s="125">
        <v>4703520.75</v>
      </c>
      <c r="H643" s="12" t="s">
        <v>468</v>
      </c>
      <c r="I643" s="125">
        <v>148160.9</v>
      </c>
      <c r="J643" s="13">
        <v>43006.690618981484</v>
      </c>
      <c r="K643" s="13">
        <v>43375</v>
      </c>
      <c r="L643" s="13" t="s">
        <v>5619</v>
      </c>
      <c r="M643" s="12" t="s">
        <v>5620</v>
      </c>
      <c r="N643" s="12"/>
      <c r="O643" s="12"/>
      <c r="P643" s="12"/>
      <c r="Q643" s="12"/>
    </row>
    <row r="644" spans="1:17" x14ac:dyDescent="0.25">
      <c r="A644" s="11">
        <v>103378</v>
      </c>
      <c r="B644" s="12" t="s">
        <v>5613</v>
      </c>
      <c r="C644" s="12" t="s">
        <v>5621</v>
      </c>
      <c r="D644" s="12">
        <v>1</v>
      </c>
      <c r="E644" s="125">
        <v>3639763.08</v>
      </c>
      <c r="F644" s="12">
        <v>-8</v>
      </c>
      <c r="G644" s="125">
        <v>2822112.45</v>
      </c>
      <c r="H644" s="12" t="s">
        <v>4684</v>
      </c>
      <c r="I644" s="125">
        <v>88896.54</v>
      </c>
      <c r="J644" s="13">
        <v>43006.734178472223</v>
      </c>
      <c r="K644" s="13">
        <v>43375</v>
      </c>
      <c r="L644" s="13" t="s">
        <v>5622</v>
      </c>
      <c r="M644" s="12"/>
      <c r="N644" s="12"/>
      <c r="O644" s="12"/>
      <c r="P644" s="12"/>
      <c r="Q644" s="12"/>
    </row>
    <row r="645" spans="1:17" x14ac:dyDescent="0.25">
      <c r="A645" s="11">
        <v>103379</v>
      </c>
      <c r="B645" s="12" t="s">
        <v>5673</v>
      </c>
      <c r="C645" s="12" t="s">
        <v>5676</v>
      </c>
      <c r="D645" s="12">
        <v>1</v>
      </c>
      <c r="E645" s="125">
        <v>16937077.02</v>
      </c>
      <c r="F645" s="12">
        <v>-8</v>
      </c>
      <c r="G645" s="125">
        <v>13132265.720000001</v>
      </c>
      <c r="H645" s="12" t="s">
        <v>4844</v>
      </c>
      <c r="I645" s="125">
        <v>413666.37</v>
      </c>
      <c r="J645" s="13">
        <v>43008.50186921296</v>
      </c>
      <c r="K645" s="13">
        <v>43375</v>
      </c>
      <c r="L645" s="13" t="s">
        <v>5677</v>
      </c>
      <c r="M645" s="12" t="s">
        <v>5678</v>
      </c>
      <c r="N645" s="12"/>
      <c r="O645" s="12"/>
      <c r="P645" s="12"/>
      <c r="Q645" s="12"/>
    </row>
    <row r="646" spans="1:17" x14ac:dyDescent="0.25">
      <c r="A646" s="11">
        <v>103380</v>
      </c>
      <c r="B646" s="12" t="s">
        <v>4001</v>
      </c>
      <c r="C646" s="12" t="s">
        <v>4002</v>
      </c>
      <c r="D646" s="12">
        <v>1</v>
      </c>
      <c r="E646" s="125">
        <v>11825925.119999999</v>
      </c>
      <c r="F646" s="12">
        <v>-12</v>
      </c>
      <c r="G646" s="125">
        <v>9418249.2300000004</v>
      </c>
      <c r="H646" s="12" t="s">
        <v>90</v>
      </c>
      <c r="I646" s="125">
        <v>213480.32000000001</v>
      </c>
      <c r="J646" s="13">
        <v>43007.603788738423</v>
      </c>
      <c r="K646" s="13">
        <v>43379</v>
      </c>
      <c r="L646" s="13" t="s">
        <v>4003</v>
      </c>
      <c r="M646" s="12" t="s">
        <v>4004</v>
      </c>
      <c r="N646" s="12" t="s">
        <v>4005</v>
      </c>
      <c r="O646" s="12"/>
      <c r="P646" s="12"/>
      <c r="Q646" s="12"/>
    </row>
    <row r="647" spans="1:17" x14ac:dyDescent="0.25">
      <c r="A647" s="11">
        <v>103381</v>
      </c>
      <c r="B647" s="12" t="s">
        <v>5636</v>
      </c>
      <c r="C647" s="12" t="s">
        <v>5643</v>
      </c>
      <c r="D647" s="12">
        <v>1</v>
      </c>
      <c r="E647" s="125">
        <v>9138458.6799999997</v>
      </c>
      <c r="F647" s="12">
        <v>-8</v>
      </c>
      <c r="G647" s="125">
        <v>7380615.71</v>
      </c>
      <c r="H647" s="12" t="s">
        <v>2034</v>
      </c>
      <c r="I647" s="125">
        <v>232489.39</v>
      </c>
      <c r="J647" s="13">
        <v>43007.669438854165</v>
      </c>
      <c r="K647" s="13">
        <v>43314</v>
      </c>
      <c r="L647" s="13" t="s">
        <v>5644</v>
      </c>
      <c r="M647" s="12"/>
      <c r="N647" s="12"/>
      <c r="O647" s="12"/>
      <c r="P647" s="12"/>
      <c r="Q647" s="12"/>
    </row>
    <row r="648" spans="1:17" x14ac:dyDescent="0.25">
      <c r="A648" s="11">
        <v>103382</v>
      </c>
      <c r="B648" s="12" t="s">
        <v>369</v>
      </c>
      <c r="C648" s="12" t="s">
        <v>381</v>
      </c>
      <c r="D648" s="12">
        <v>2</v>
      </c>
      <c r="E648" s="125">
        <v>23278407.260000002</v>
      </c>
      <c r="F648" s="12">
        <v>-8</v>
      </c>
      <c r="G648" s="125">
        <v>17323681.93</v>
      </c>
      <c r="H648" s="12" t="s">
        <v>1191</v>
      </c>
      <c r="I648" s="125">
        <v>424430.21</v>
      </c>
      <c r="J648" s="13">
        <v>43007.60738105324</v>
      </c>
      <c r="K648" s="13">
        <v>43557</v>
      </c>
      <c r="L648" s="13" t="s">
        <v>382</v>
      </c>
      <c r="M648" s="12" t="s">
        <v>383</v>
      </c>
      <c r="N648" s="12"/>
      <c r="O648" s="12"/>
      <c r="P648" s="12"/>
      <c r="Q648" s="12"/>
    </row>
    <row r="649" spans="1:17" x14ac:dyDescent="0.25">
      <c r="A649" s="11">
        <v>103383</v>
      </c>
      <c r="B649" s="12" t="s">
        <v>5635</v>
      </c>
      <c r="C649" s="12" t="s">
        <v>5645</v>
      </c>
      <c r="D649" s="12">
        <v>7</v>
      </c>
      <c r="E649" s="125">
        <v>4846091.1500000004</v>
      </c>
      <c r="F649" s="12">
        <v>-8</v>
      </c>
      <c r="G649" s="125">
        <v>3757446.26</v>
      </c>
      <c r="H649" s="12" t="s">
        <v>5385</v>
      </c>
      <c r="I649" s="125">
        <v>118359.56</v>
      </c>
      <c r="J649" s="13">
        <v>43007.676541053239</v>
      </c>
      <c r="K649" s="13">
        <v>43375</v>
      </c>
      <c r="L649" s="13" t="s">
        <v>5646</v>
      </c>
      <c r="M649" s="12" t="s">
        <v>5647</v>
      </c>
      <c r="N649" s="12"/>
      <c r="O649" s="12"/>
      <c r="P649" s="12"/>
      <c r="Q649" s="12"/>
    </row>
    <row r="650" spans="1:17" x14ac:dyDescent="0.25">
      <c r="A650" s="11">
        <v>103384</v>
      </c>
      <c r="B650" s="12" t="s">
        <v>5675</v>
      </c>
      <c r="C650" s="12" t="s">
        <v>5679</v>
      </c>
      <c r="D650" s="12">
        <v>2</v>
      </c>
      <c r="E650" s="125">
        <v>29376980.449999999</v>
      </c>
      <c r="F650" s="12">
        <v>-8</v>
      </c>
      <c r="G650" s="125">
        <v>23396032.09</v>
      </c>
      <c r="H650" s="12" t="s">
        <v>1039</v>
      </c>
      <c r="I650" s="125">
        <v>655088.9</v>
      </c>
      <c r="J650" s="13">
        <v>43008.542422685183</v>
      </c>
      <c r="K650" s="13">
        <v>43375</v>
      </c>
      <c r="L650" s="13" t="s">
        <v>5680</v>
      </c>
      <c r="M650" s="12" t="s">
        <v>5681</v>
      </c>
      <c r="N650" s="12"/>
      <c r="O650" s="12"/>
      <c r="P650" s="12"/>
      <c r="Q650" s="12"/>
    </row>
    <row r="651" spans="1:17" x14ac:dyDescent="0.25">
      <c r="A651" s="11">
        <v>103385</v>
      </c>
      <c r="B651" s="12" t="s">
        <v>5639</v>
      </c>
      <c r="C651" s="12" t="s">
        <v>5648</v>
      </c>
      <c r="D651" s="12">
        <v>7</v>
      </c>
      <c r="E651" s="125">
        <v>4575451.2</v>
      </c>
      <c r="F651" s="12">
        <v>-8</v>
      </c>
      <c r="G651" s="125">
        <v>4103637.2</v>
      </c>
      <c r="H651" s="12" t="s">
        <v>1039</v>
      </c>
      <c r="I651" s="125">
        <v>129264.57</v>
      </c>
      <c r="J651" s="13">
        <v>43007.794188391206</v>
      </c>
      <c r="K651" s="13">
        <v>43161</v>
      </c>
      <c r="L651" s="13" t="s">
        <v>5649</v>
      </c>
      <c r="M651" s="12" t="s">
        <v>5650</v>
      </c>
      <c r="N651" s="12"/>
      <c r="O651" s="12"/>
      <c r="P651" s="12"/>
      <c r="Q651" s="12"/>
    </row>
    <row r="652" spans="1:17" x14ac:dyDescent="0.25">
      <c r="A652" s="11">
        <v>103386</v>
      </c>
      <c r="B652" s="12" t="s">
        <v>5633</v>
      </c>
      <c r="C652" s="12" t="s">
        <v>5651</v>
      </c>
      <c r="D652" s="12">
        <v>1</v>
      </c>
      <c r="E652" s="125">
        <v>5711536.6799999997</v>
      </c>
      <c r="F652" s="12">
        <v>-8</v>
      </c>
      <c r="G652" s="125">
        <v>4612884.82</v>
      </c>
      <c r="H652" s="12" t="s">
        <v>5385</v>
      </c>
      <c r="I652" s="125">
        <v>145305.87</v>
      </c>
      <c r="J652" s="13">
        <v>43007.759531284719</v>
      </c>
      <c r="K652" s="13">
        <v>43314</v>
      </c>
      <c r="L652" s="13" t="s">
        <v>5652</v>
      </c>
      <c r="M652" s="12" t="s">
        <v>5653</v>
      </c>
      <c r="N652" s="12"/>
      <c r="O652" s="12"/>
      <c r="P652" s="12"/>
      <c r="Q652" s="12"/>
    </row>
    <row r="653" spans="1:17" x14ac:dyDescent="0.25">
      <c r="A653" s="11">
        <v>103387</v>
      </c>
      <c r="B653" s="12" t="s">
        <v>5641</v>
      </c>
      <c r="C653" s="12" t="s">
        <v>5654</v>
      </c>
      <c r="D653" s="12">
        <v>2</v>
      </c>
      <c r="E653" s="125">
        <v>28237965.030000001</v>
      </c>
      <c r="F653" s="12">
        <v>-8</v>
      </c>
      <c r="G653" s="125">
        <v>22488912.27</v>
      </c>
      <c r="H653" s="12" t="s">
        <v>5124</v>
      </c>
      <c r="I653" s="125">
        <v>629689.54</v>
      </c>
      <c r="J653" s="13">
        <v>43007.720409988426</v>
      </c>
      <c r="K653" s="13">
        <v>43375</v>
      </c>
      <c r="L653" s="13" t="s">
        <v>5655</v>
      </c>
      <c r="M653" s="12"/>
      <c r="N653" s="12"/>
      <c r="O653" s="12"/>
      <c r="P653" s="12"/>
      <c r="Q653" s="12"/>
    </row>
    <row r="654" spans="1:17" x14ac:dyDescent="0.25">
      <c r="A654" s="11">
        <v>103388</v>
      </c>
      <c r="B654" s="12" t="s">
        <v>5637</v>
      </c>
      <c r="C654" s="12" t="s">
        <v>5656</v>
      </c>
      <c r="D654" s="12">
        <v>1</v>
      </c>
      <c r="E654" s="125">
        <v>4569229.3099999996</v>
      </c>
      <c r="F654" s="12">
        <v>-8</v>
      </c>
      <c r="G654" s="125">
        <v>3690307.85</v>
      </c>
      <c r="H654" s="12" t="s">
        <v>1039</v>
      </c>
      <c r="I654" s="125">
        <v>116244.7</v>
      </c>
      <c r="J654" s="13">
        <v>43007.829713657404</v>
      </c>
      <c r="K654" s="13">
        <v>43314</v>
      </c>
      <c r="L654" s="13" t="s">
        <v>5657</v>
      </c>
      <c r="M654" s="12" t="s">
        <v>5658</v>
      </c>
      <c r="N654" s="12"/>
      <c r="O654" s="12"/>
      <c r="P654" s="12"/>
      <c r="Q654" s="12"/>
    </row>
    <row r="655" spans="1:17" x14ac:dyDescent="0.25">
      <c r="A655" s="11">
        <v>103389</v>
      </c>
      <c r="B655" s="12" t="s">
        <v>1274</v>
      </c>
      <c r="C655" s="12" t="s">
        <v>1275</v>
      </c>
      <c r="D655" s="12">
        <v>1</v>
      </c>
      <c r="E655" s="125">
        <v>9424309.0999999996</v>
      </c>
      <c r="F655" s="12">
        <v>-8</v>
      </c>
      <c r="G655" s="125">
        <v>6744295.54</v>
      </c>
      <c r="H655" s="12" t="s">
        <v>5167</v>
      </c>
      <c r="I655" s="125">
        <v>188840.28</v>
      </c>
      <c r="J655" s="13">
        <v>43008.509689120372</v>
      </c>
      <c r="K655" s="13">
        <v>43557</v>
      </c>
      <c r="L655" s="13" t="s">
        <v>1276</v>
      </c>
      <c r="M655" s="12"/>
      <c r="N655" s="12"/>
      <c r="O655" s="12"/>
      <c r="P655" s="12"/>
      <c r="Q655" s="12"/>
    </row>
    <row r="656" spans="1:17" x14ac:dyDescent="0.25">
      <c r="A656" s="11">
        <v>103390</v>
      </c>
      <c r="B656" s="12" t="s">
        <v>5666</v>
      </c>
      <c r="C656" s="12" t="s">
        <v>5682</v>
      </c>
      <c r="D656" s="12">
        <v>6</v>
      </c>
      <c r="E656" s="125">
        <v>6643372.4100000001</v>
      </c>
      <c r="F656" s="12">
        <v>-8</v>
      </c>
      <c r="G656" s="125">
        <v>5588057.0599999996</v>
      </c>
      <c r="H656" s="12" t="s">
        <v>1467</v>
      </c>
      <c r="I656" s="125">
        <v>117349.2</v>
      </c>
      <c r="J656" s="13">
        <v>43008.53713290509</v>
      </c>
      <c r="K656" s="13">
        <v>43375</v>
      </c>
      <c r="L656" s="13" t="s">
        <v>5683</v>
      </c>
      <c r="M656" s="12"/>
      <c r="N656" s="12" t="s">
        <v>5684</v>
      </c>
      <c r="O656" s="12"/>
      <c r="P656" s="12"/>
      <c r="Q656" s="12"/>
    </row>
    <row r="657" spans="1:17" x14ac:dyDescent="0.25">
      <c r="A657" s="11">
        <v>103391</v>
      </c>
      <c r="B657" s="12" t="s">
        <v>5671</v>
      </c>
      <c r="C657" s="12" t="s">
        <v>5685</v>
      </c>
      <c r="D657" s="12">
        <v>7</v>
      </c>
      <c r="E657" s="125">
        <v>4234269.2699999996</v>
      </c>
      <c r="F657" s="12">
        <v>-8</v>
      </c>
      <c r="G657" s="125">
        <v>3283066.43</v>
      </c>
      <c r="H657" s="12" t="s">
        <v>5352</v>
      </c>
      <c r="I657" s="125">
        <v>103416.59</v>
      </c>
      <c r="J657" s="13">
        <v>43008.581624189814</v>
      </c>
      <c r="K657" s="13">
        <v>43375</v>
      </c>
      <c r="L657" s="13" t="s">
        <v>5686</v>
      </c>
      <c r="M657" s="12" t="s">
        <v>5687</v>
      </c>
      <c r="N657" s="12"/>
      <c r="O657" s="12"/>
      <c r="P657" s="12"/>
      <c r="Q657" s="12"/>
    </row>
    <row r="658" spans="1:17" x14ac:dyDescent="0.25">
      <c r="A658" s="11">
        <v>103392</v>
      </c>
      <c r="B658" s="12" t="s">
        <v>5669</v>
      </c>
      <c r="C658" s="12" t="s">
        <v>5688</v>
      </c>
      <c r="D658" s="12">
        <v>8</v>
      </c>
      <c r="E658" s="125">
        <v>6297921.8700000001</v>
      </c>
      <c r="F658" s="12">
        <v>-8</v>
      </c>
      <c r="G658" s="125">
        <v>5366963.54</v>
      </c>
      <c r="H658" s="12" t="s">
        <v>5352</v>
      </c>
      <c r="I658" s="125">
        <v>156536.44</v>
      </c>
      <c r="J658" s="13">
        <v>43008.621397766205</v>
      </c>
      <c r="K658" s="13">
        <v>43253</v>
      </c>
      <c r="L658" s="13" t="s">
        <v>5689</v>
      </c>
      <c r="M658" s="12"/>
      <c r="N658" s="12"/>
      <c r="O658" s="12"/>
      <c r="P658" s="12"/>
      <c r="Q658" s="12"/>
    </row>
    <row r="659" spans="1:17" x14ac:dyDescent="0.25">
      <c r="A659" s="11">
        <v>103393</v>
      </c>
      <c r="B659" s="12" t="s">
        <v>5670</v>
      </c>
      <c r="C659" s="12" t="s">
        <v>5690</v>
      </c>
      <c r="D659" s="12">
        <v>7</v>
      </c>
      <c r="E659" s="125">
        <v>2053214.43</v>
      </c>
      <c r="F659" s="12">
        <v>-8</v>
      </c>
      <c r="G659" s="125">
        <v>1658265.06</v>
      </c>
      <c r="H659" s="12" t="s">
        <v>4683</v>
      </c>
      <c r="I659" s="125">
        <v>52235.35</v>
      </c>
      <c r="J659" s="13">
        <v>43008.724388310184</v>
      </c>
      <c r="K659" s="13">
        <v>43314</v>
      </c>
      <c r="L659" s="13" t="s">
        <v>5691</v>
      </c>
      <c r="M659" s="12"/>
      <c r="N659" s="12"/>
      <c r="O659" s="12"/>
      <c r="P659" s="12"/>
      <c r="Q659" s="12"/>
    </row>
    <row r="660" spans="1:17" x14ac:dyDescent="0.25">
      <c r="A660" s="11">
        <v>103394</v>
      </c>
      <c r="B660" s="12" t="s">
        <v>405</v>
      </c>
      <c r="C660" s="12" t="s">
        <v>406</v>
      </c>
      <c r="D660" s="12">
        <v>8</v>
      </c>
      <c r="E660" s="125">
        <v>8119766.5800000001</v>
      </c>
      <c r="F660" s="12">
        <v>22</v>
      </c>
      <c r="G660" s="125">
        <v>6594714.0300000003</v>
      </c>
      <c r="H660" s="12" t="s">
        <v>90</v>
      </c>
      <c r="I660" s="125">
        <v>167873.91</v>
      </c>
      <c r="J660" s="13">
        <v>43008.719984108793</v>
      </c>
      <c r="K660" s="13">
        <v>43375</v>
      </c>
      <c r="L660" s="13" t="s">
        <v>407</v>
      </c>
      <c r="M660" s="12"/>
      <c r="N660" s="12"/>
      <c r="O660" s="12"/>
      <c r="P660" s="12"/>
      <c r="Q660" s="12"/>
    </row>
    <row r="661" spans="1:17" x14ac:dyDescent="0.25">
      <c r="A661" s="11">
        <v>103395</v>
      </c>
      <c r="B661" s="12" t="s">
        <v>5665</v>
      </c>
      <c r="C661" s="12" t="s">
        <v>5692</v>
      </c>
      <c r="D661" s="12">
        <v>8</v>
      </c>
      <c r="E661" s="125">
        <v>8974620.8300000001</v>
      </c>
      <c r="F661" s="12">
        <v>-8</v>
      </c>
      <c r="G661" s="125">
        <v>7358375.4699999997</v>
      </c>
      <c r="H661" s="12" t="s">
        <v>5382</v>
      </c>
      <c r="I661" s="125">
        <v>214619.28</v>
      </c>
      <c r="J661" s="13">
        <v>43008.778982094911</v>
      </c>
      <c r="K661" s="13">
        <v>43314</v>
      </c>
      <c r="L661" s="13" t="s">
        <v>5693</v>
      </c>
      <c r="M661" s="12"/>
      <c r="N661" s="12"/>
      <c r="O661" s="12"/>
      <c r="P661" s="12"/>
      <c r="Q661" s="12"/>
    </row>
    <row r="662" spans="1:17" x14ac:dyDescent="0.25">
      <c r="A662" s="11">
        <v>103396</v>
      </c>
      <c r="B662" s="12" t="s">
        <v>5706</v>
      </c>
      <c r="C662" s="12" t="s">
        <v>5707</v>
      </c>
      <c r="D662" s="12">
        <v>7</v>
      </c>
      <c r="E662" s="125">
        <v>3980932.86</v>
      </c>
      <c r="F662" s="12">
        <v>-8</v>
      </c>
      <c r="G662" s="125">
        <v>3215174.12</v>
      </c>
      <c r="H662" s="12" t="s">
        <v>5491</v>
      </c>
      <c r="I662" s="125">
        <v>101277.98</v>
      </c>
      <c r="J662" s="13">
        <v>43010.702141516202</v>
      </c>
      <c r="K662" s="13">
        <v>43314</v>
      </c>
      <c r="L662" s="13" t="s">
        <v>5708</v>
      </c>
      <c r="M662" s="12"/>
      <c r="N662" s="12"/>
      <c r="O662" s="12"/>
      <c r="P662" s="12"/>
      <c r="Q662" s="12"/>
    </row>
    <row r="663" spans="1:17" x14ac:dyDescent="0.25">
      <c r="A663" s="11">
        <v>103397</v>
      </c>
      <c r="B663" s="12" t="s">
        <v>5714</v>
      </c>
      <c r="C663" s="12" t="s">
        <v>5715</v>
      </c>
      <c r="D663" s="12">
        <v>6</v>
      </c>
      <c r="E663" s="125">
        <v>30029698.27</v>
      </c>
      <c r="F663" s="12">
        <v>-10</v>
      </c>
      <c r="G663" s="125">
        <v>23688354.879999999</v>
      </c>
      <c r="H663" s="12" t="s">
        <v>546</v>
      </c>
      <c r="I663" s="125">
        <v>500087.49</v>
      </c>
      <c r="J663" s="13">
        <v>43012.753689618054</v>
      </c>
      <c r="K663" s="13">
        <v>43469</v>
      </c>
      <c r="L663" s="13" t="s">
        <v>5716</v>
      </c>
      <c r="M663" s="12" t="s">
        <v>5717</v>
      </c>
      <c r="N663" s="12"/>
      <c r="O663" s="12"/>
      <c r="P663" s="12"/>
      <c r="Q663" s="12"/>
    </row>
    <row r="664" spans="1:17" x14ac:dyDescent="0.25">
      <c r="A664" s="11">
        <v>103398</v>
      </c>
      <c r="B664" s="12" t="s">
        <v>5729</v>
      </c>
      <c r="C664" s="12" t="s">
        <v>5734</v>
      </c>
      <c r="D664" s="12">
        <v>1</v>
      </c>
      <c r="E664" s="125">
        <v>10548665.109999999</v>
      </c>
      <c r="F664" s="12">
        <v>-12</v>
      </c>
      <c r="G664" s="125">
        <v>8401030.4499999993</v>
      </c>
      <c r="H664" s="12" t="s">
        <v>86</v>
      </c>
      <c r="I664" s="125">
        <v>190423.36</v>
      </c>
      <c r="J664" s="13">
        <v>43014.58796099537</v>
      </c>
      <c r="K664" s="13">
        <v>43379</v>
      </c>
      <c r="L664" s="13" t="s">
        <v>5735</v>
      </c>
      <c r="M664" s="12"/>
      <c r="N664" s="12"/>
      <c r="O664" s="12"/>
      <c r="P664" s="12"/>
      <c r="Q664" s="12"/>
    </row>
    <row r="665" spans="1:17" x14ac:dyDescent="0.25">
      <c r="A665" s="11">
        <v>103399</v>
      </c>
      <c r="B665" s="12" t="s">
        <v>5733</v>
      </c>
      <c r="C665" s="12" t="s">
        <v>5736</v>
      </c>
      <c r="D665" s="12">
        <v>8</v>
      </c>
      <c r="E665" s="125">
        <v>7100617.8300000001</v>
      </c>
      <c r="F665" s="12">
        <v>-12</v>
      </c>
      <c r="G665" s="125">
        <v>5604489.29</v>
      </c>
      <c r="H665" s="12" t="s">
        <v>3074</v>
      </c>
      <c r="I665" s="125">
        <v>132328.22</v>
      </c>
      <c r="J665" s="13">
        <v>43014.588256481482</v>
      </c>
      <c r="K665" s="13">
        <v>43379</v>
      </c>
      <c r="L665" s="13" t="s">
        <v>5737</v>
      </c>
      <c r="M665" s="12"/>
      <c r="N665" s="12"/>
      <c r="O665" s="12"/>
      <c r="P665" s="12"/>
      <c r="Q665" s="12"/>
    </row>
    <row r="666" spans="1:17" x14ac:dyDescent="0.25">
      <c r="A666" s="11">
        <v>103400</v>
      </c>
      <c r="B666" s="12" t="s">
        <v>5747</v>
      </c>
      <c r="C666" s="12" t="s">
        <v>5752</v>
      </c>
      <c r="D666" s="12">
        <v>1</v>
      </c>
      <c r="E666" s="125">
        <v>6367605.4299999997</v>
      </c>
      <c r="F666" s="12">
        <v>-16</v>
      </c>
      <c r="G666" s="125">
        <v>5360342.08</v>
      </c>
      <c r="H666" s="12" t="s">
        <v>5385</v>
      </c>
      <c r="I666" s="125">
        <v>104526.67</v>
      </c>
      <c r="J666" s="13">
        <v>43018.732764780092</v>
      </c>
      <c r="K666" s="13">
        <v>43261</v>
      </c>
      <c r="L666" s="13" t="s">
        <v>5753</v>
      </c>
      <c r="M666" s="12"/>
      <c r="N666" s="12"/>
      <c r="O666" s="12"/>
      <c r="P666" s="12"/>
      <c r="Q666" s="12"/>
    </row>
    <row r="667" spans="1:17" x14ac:dyDescent="0.25">
      <c r="A667" s="11">
        <v>103401</v>
      </c>
      <c r="B667" s="12" t="s">
        <v>5730</v>
      </c>
      <c r="C667" s="12" t="s">
        <v>5738</v>
      </c>
      <c r="D667" s="12">
        <v>2</v>
      </c>
      <c r="E667" s="125">
        <v>29301847.48</v>
      </c>
      <c r="F667" s="12">
        <v>-12</v>
      </c>
      <c r="G667" s="125">
        <v>23336195.68</v>
      </c>
      <c r="H667" s="12" t="s">
        <v>5167</v>
      </c>
      <c r="I667" s="125">
        <v>528953.77</v>
      </c>
      <c r="J667" s="13">
        <v>43014.726949652781</v>
      </c>
      <c r="K667" s="13">
        <v>43379</v>
      </c>
      <c r="L667" s="13" t="s">
        <v>5739</v>
      </c>
      <c r="M667" s="12" t="s">
        <v>5740</v>
      </c>
      <c r="N667" s="12"/>
      <c r="O667" s="12"/>
      <c r="P667" s="12"/>
      <c r="Q667" s="12"/>
    </row>
    <row r="668" spans="1:17" x14ac:dyDescent="0.25">
      <c r="A668" s="11">
        <v>103403</v>
      </c>
      <c r="B668" s="12" t="s">
        <v>3553</v>
      </c>
      <c r="C668" s="12" t="s">
        <v>3563</v>
      </c>
      <c r="D668" s="12">
        <v>1</v>
      </c>
      <c r="E668" s="125">
        <v>5274332.53</v>
      </c>
      <c r="F668" s="12">
        <v>-16</v>
      </c>
      <c r="G668" s="125">
        <v>4200515.22</v>
      </c>
      <c r="H668" s="12" t="s">
        <v>1039</v>
      </c>
      <c r="I668" s="125">
        <v>72808.929999999993</v>
      </c>
      <c r="J668" s="13">
        <v>43018.615223726854</v>
      </c>
      <c r="K668" s="13">
        <v>43383</v>
      </c>
      <c r="L668" s="13" t="s">
        <v>3564</v>
      </c>
      <c r="M668" s="12"/>
      <c r="N668" s="12" t="s">
        <v>3565</v>
      </c>
      <c r="O668" s="12"/>
      <c r="P668" s="12"/>
      <c r="Q668" s="12"/>
    </row>
    <row r="669" spans="1:17" x14ac:dyDescent="0.25">
      <c r="A669" s="11">
        <v>103404</v>
      </c>
      <c r="B669" s="12" t="s">
        <v>5751</v>
      </c>
      <c r="C669" s="12" t="s">
        <v>5754</v>
      </c>
      <c r="D669" s="12">
        <v>8</v>
      </c>
      <c r="E669" s="125">
        <v>7064122.3499999996</v>
      </c>
      <c r="F669" s="12">
        <v>14</v>
      </c>
      <c r="G669" s="125">
        <v>6000000</v>
      </c>
      <c r="H669" s="12" t="s">
        <v>468</v>
      </c>
      <c r="I669" s="125">
        <v>96175.02</v>
      </c>
      <c r="J669" s="13">
        <v>43018.723705902776</v>
      </c>
      <c r="K669" s="13">
        <v>43322</v>
      </c>
      <c r="L669" s="13" t="s">
        <v>5755</v>
      </c>
      <c r="M669" s="12"/>
      <c r="N669" s="12"/>
      <c r="O669" s="12"/>
      <c r="P669" s="12"/>
      <c r="Q669" s="12"/>
    </row>
    <row r="670" spans="1:17" x14ac:dyDescent="0.25">
      <c r="A670" s="11">
        <v>103405</v>
      </c>
      <c r="B670" s="12" t="s">
        <v>5766</v>
      </c>
      <c r="C670" s="12" t="s">
        <v>5767</v>
      </c>
      <c r="D670" s="12">
        <v>7</v>
      </c>
      <c r="E670" s="125">
        <v>5076250.3</v>
      </c>
      <c r="F670" s="12">
        <v>13</v>
      </c>
      <c r="G670" s="125">
        <v>3992273.24</v>
      </c>
      <c r="H670" s="12" t="s">
        <v>1039</v>
      </c>
      <c r="I670" s="125">
        <v>67344.03</v>
      </c>
      <c r="J670" s="13">
        <v>43019.550980555556</v>
      </c>
      <c r="K670" s="13">
        <v>43384</v>
      </c>
      <c r="L670" s="13" t="s">
        <v>5768</v>
      </c>
      <c r="M670" s="12"/>
      <c r="N670" s="12"/>
      <c r="O670" s="12"/>
      <c r="P670" s="12"/>
      <c r="Q670" s="12"/>
    </row>
    <row r="671" spans="1:17" x14ac:dyDescent="0.25">
      <c r="A671" s="11">
        <v>103406</v>
      </c>
      <c r="B671" s="12" t="s">
        <v>5765</v>
      </c>
      <c r="C671" s="12" t="s">
        <v>5769</v>
      </c>
      <c r="D671" s="12">
        <v>1</v>
      </c>
      <c r="E671" s="125">
        <v>13648912.76</v>
      </c>
      <c r="F671" s="12">
        <v>-17</v>
      </c>
      <c r="G671" s="125">
        <v>11023454.140000001</v>
      </c>
      <c r="H671" s="12" t="s">
        <v>468</v>
      </c>
      <c r="I671" s="125">
        <v>198422.17</v>
      </c>
      <c r="J671" s="13">
        <v>43019.650154016206</v>
      </c>
      <c r="K671" s="13">
        <v>43323</v>
      </c>
      <c r="L671" s="13" t="s">
        <v>5770</v>
      </c>
      <c r="M671" s="12" t="s">
        <v>5771</v>
      </c>
      <c r="N671" s="12"/>
      <c r="O671" s="12"/>
      <c r="P671" s="12"/>
      <c r="Q671" s="12"/>
    </row>
    <row r="672" spans="1:17" x14ac:dyDescent="0.25">
      <c r="A672" s="11">
        <v>103407</v>
      </c>
      <c r="B672" s="12" t="s">
        <v>5764</v>
      </c>
      <c r="C672" s="12" t="s">
        <v>5772</v>
      </c>
      <c r="D672" s="12">
        <v>1</v>
      </c>
      <c r="E672" s="125">
        <v>2274818.81</v>
      </c>
      <c r="F672" s="12">
        <v>-17</v>
      </c>
      <c r="G672" s="125">
        <v>1837242.36</v>
      </c>
      <c r="H672" s="12" t="s">
        <v>5124</v>
      </c>
      <c r="I672" s="125">
        <v>33070.36</v>
      </c>
      <c r="J672" s="13">
        <v>43019.696723148147</v>
      </c>
      <c r="K672" s="13">
        <v>43323</v>
      </c>
      <c r="L672" s="13" t="s">
        <v>5773</v>
      </c>
      <c r="M672" s="12"/>
      <c r="N672" s="12"/>
      <c r="O672" s="12"/>
      <c r="P672" s="12"/>
      <c r="Q672" s="12"/>
    </row>
    <row r="673" spans="1:17" x14ac:dyDescent="0.25">
      <c r="A673" s="11">
        <v>103409</v>
      </c>
      <c r="B673" s="12" t="s">
        <v>5774</v>
      </c>
      <c r="C673" s="12" t="s">
        <v>5782</v>
      </c>
      <c r="D673" s="12">
        <v>1</v>
      </c>
      <c r="E673" s="125">
        <v>6031640.3799999999</v>
      </c>
      <c r="F673" s="12">
        <v>-18</v>
      </c>
      <c r="G673" s="125">
        <v>4676669.0599999996</v>
      </c>
      <c r="H673" s="12" t="s">
        <v>5124</v>
      </c>
      <c r="I673" s="125">
        <v>77165.039999999994</v>
      </c>
      <c r="J673" s="13">
        <v>43020.53792318287</v>
      </c>
      <c r="K673" s="13">
        <v>43385</v>
      </c>
      <c r="L673" s="13" t="s">
        <v>5783</v>
      </c>
      <c r="M673" s="12"/>
      <c r="N673" s="12"/>
      <c r="O673" s="12"/>
      <c r="P673" s="12"/>
      <c r="Q673" s="12"/>
    </row>
    <row r="674" spans="1:17" x14ac:dyDescent="0.25">
      <c r="A674" s="11">
        <v>103410</v>
      </c>
      <c r="B674" s="12" t="s">
        <v>5776</v>
      </c>
      <c r="C674" s="12" t="s">
        <v>5784</v>
      </c>
      <c r="D674" s="12">
        <v>1</v>
      </c>
      <c r="E674" s="125">
        <v>6367605.4299999997</v>
      </c>
      <c r="F674" s="12">
        <v>-18</v>
      </c>
      <c r="G674" s="125">
        <v>5360342.08</v>
      </c>
      <c r="H674" s="12" t="s">
        <v>1039</v>
      </c>
      <c r="I674" s="125">
        <v>88445.64</v>
      </c>
      <c r="J674" s="13">
        <v>43020.652944756941</v>
      </c>
      <c r="K674" s="13">
        <v>43263</v>
      </c>
      <c r="L674" s="13" t="s">
        <v>5785</v>
      </c>
      <c r="M674" s="12" t="s">
        <v>5786</v>
      </c>
      <c r="N674" s="12"/>
      <c r="O674" s="12"/>
      <c r="P674" s="12"/>
      <c r="Q674" s="12"/>
    </row>
    <row r="675" spans="1:17" x14ac:dyDescent="0.25">
      <c r="A675" s="11">
        <v>103411</v>
      </c>
      <c r="B675" s="12" t="s">
        <v>5804</v>
      </c>
      <c r="C675" s="12" t="s">
        <v>5807</v>
      </c>
      <c r="D675" s="12">
        <v>1</v>
      </c>
      <c r="E675" s="125">
        <v>7961865.7800000003</v>
      </c>
      <c r="F675" s="12">
        <v>-19</v>
      </c>
      <c r="G675" s="125">
        <v>6430348.25</v>
      </c>
      <c r="H675" s="12" t="s">
        <v>5382</v>
      </c>
      <c r="I675" s="125">
        <v>96455.22</v>
      </c>
      <c r="J675" s="13">
        <v>43021.708743553238</v>
      </c>
      <c r="K675" s="13">
        <v>43325</v>
      </c>
      <c r="L675" s="13" t="s">
        <v>5808</v>
      </c>
      <c r="M675" s="12"/>
      <c r="N675" s="12"/>
      <c r="O675" s="12"/>
      <c r="P675" s="12"/>
      <c r="Q675" s="12"/>
    </row>
    <row r="676" spans="1:17" x14ac:dyDescent="0.25">
      <c r="A676" s="11">
        <v>103412</v>
      </c>
      <c r="B676" s="12" t="s">
        <v>5805</v>
      </c>
      <c r="C676" s="12" t="s">
        <v>5809</v>
      </c>
      <c r="D676" s="12">
        <v>9</v>
      </c>
      <c r="E676" s="125">
        <v>14064886.789999999</v>
      </c>
      <c r="F676" s="12">
        <v>-19</v>
      </c>
      <c r="G676" s="125">
        <v>11201373.93</v>
      </c>
      <c r="H676" s="12" t="s">
        <v>2175</v>
      </c>
      <c r="I676" s="125">
        <v>149351.65</v>
      </c>
      <c r="J676" s="13">
        <v>43021.701740509263</v>
      </c>
      <c r="K676" s="13">
        <v>43386</v>
      </c>
      <c r="L676" s="13" t="s">
        <v>5810</v>
      </c>
      <c r="M676" s="12" t="s">
        <v>5811</v>
      </c>
      <c r="N676" s="12"/>
      <c r="O676" s="12"/>
      <c r="P676" s="12"/>
      <c r="Q676" s="12"/>
    </row>
    <row r="677" spans="1:17" x14ac:dyDescent="0.25">
      <c r="A677" s="11">
        <v>103413</v>
      </c>
      <c r="B677" s="12" t="s">
        <v>5803</v>
      </c>
      <c r="C677" s="12" t="s">
        <v>5812</v>
      </c>
      <c r="D677" s="12">
        <v>1</v>
      </c>
      <c r="E677" s="125">
        <v>3183802.74</v>
      </c>
      <c r="F677" s="12">
        <v>-20</v>
      </c>
      <c r="G677" s="125">
        <v>2680171.04</v>
      </c>
      <c r="H677" s="12" t="s">
        <v>5385</v>
      </c>
      <c r="I677" s="125">
        <v>36182.31</v>
      </c>
      <c r="J677" s="13">
        <v>43022.524741319445</v>
      </c>
      <c r="K677" s="13">
        <v>43265</v>
      </c>
      <c r="L677" s="13" t="s">
        <v>5813</v>
      </c>
      <c r="M677" s="12" t="s">
        <v>5814</v>
      </c>
      <c r="N677" s="12"/>
      <c r="O677" s="12"/>
      <c r="P677" s="12"/>
      <c r="Q677" s="12"/>
    </row>
    <row r="678" spans="1:17" x14ac:dyDescent="0.25">
      <c r="A678" s="11">
        <v>103414</v>
      </c>
      <c r="B678" s="12" t="s">
        <v>189</v>
      </c>
      <c r="C678" s="12" t="s">
        <v>190</v>
      </c>
      <c r="D678" s="12">
        <v>1</v>
      </c>
      <c r="E678" s="125">
        <v>18887631.050000001</v>
      </c>
      <c r="F678" s="12">
        <v>-23</v>
      </c>
      <c r="G678" s="125">
        <v>14250883.49</v>
      </c>
      <c r="H678" s="12" t="s">
        <v>90</v>
      </c>
      <c r="I678" s="125">
        <v>114007.07</v>
      </c>
      <c r="J678" s="13">
        <v>43025.674368483793</v>
      </c>
      <c r="K678" s="13">
        <v>43482</v>
      </c>
      <c r="L678" s="13" t="s">
        <v>191</v>
      </c>
      <c r="M678" s="12"/>
      <c r="N678" s="12"/>
      <c r="O678" s="12"/>
      <c r="P678" s="12"/>
      <c r="Q678" s="12"/>
    </row>
    <row r="679" spans="1:17" x14ac:dyDescent="0.25">
      <c r="A679" s="11">
        <v>103416</v>
      </c>
      <c r="B679" s="12" t="s">
        <v>792</v>
      </c>
      <c r="C679" s="12" t="s">
        <v>793</v>
      </c>
      <c r="D679" s="12">
        <v>8</v>
      </c>
      <c r="E679" s="125">
        <v>10345655.109999999</v>
      </c>
      <c r="F679" s="12">
        <v>-22</v>
      </c>
      <c r="G679" s="125">
        <v>8389485.9000000004</v>
      </c>
      <c r="H679" s="12" t="s">
        <v>2855</v>
      </c>
      <c r="I679" s="125">
        <v>71776.710000000006</v>
      </c>
      <c r="J679" s="13">
        <v>43024.674112997687</v>
      </c>
      <c r="K679" s="13">
        <v>43389</v>
      </c>
      <c r="L679" s="13" t="s">
        <v>794</v>
      </c>
      <c r="M679" s="12"/>
      <c r="N679" s="12"/>
      <c r="O679" s="12"/>
      <c r="P679" s="12"/>
      <c r="Q679" s="12"/>
    </row>
    <row r="680" spans="1:17" x14ac:dyDescent="0.25">
      <c r="A680" s="11">
        <v>103417</v>
      </c>
      <c r="B680" s="12" t="s">
        <v>5820</v>
      </c>
      <c r="C680" s="12" t="s">
        <v>5823</v>
      </c>
      <c r="D680" s="12">
        <v>1</v>
      </c>
      <c r="E680" s="125">
        <v>8463787.0800000001</v>
      </c>
      <c r="F680" s="12">
        <v>8</v>
      </c>
      <c r="G680" s="125">
        <v>6932269.5499999998</v>
      </c>
      <c r="H680" s="12" t="s">
        <v>2034</v>
      </c>
      <c r="I680" s="125">
        <v>67518.66</v>
      </c>
      <c r="J680" s="13">
        <v>43024.682983877312</v>
      </c>
      <c r="K680" s="13">
        <v>43328</v>
      </c>
      <c r="L680" s="13" t="s">
        <v>5824</v>
      </c>
      <c r="M680" s="12"/>
      <c r="N680" s="12"/>
      <c r="O680" s="12"/>
      <c r="P680" s="12"/>
      <c r="Q680" s="12"/>
    </row>
    <row r="681" spans="1:17" x14ac:dyDescent="0.25">
      <c r="A681" s="11">
        <v>103418</v>
      </c>
      <c r="B681" s="12" t="s">
        <v>4270</v>
      </c>
      <c r="C681" s="12" t="s">
        <v>4272</v>
      </c>
      <c r="D681" s="12">
        <v>1</v>
      </c>
      <c r="E681" s="125">
        <v>8204517.2999999998</v>
      </c>
      <c r="F681" s="12">
        <v>-22</v>
      </c>
      <c r="G681" s="125">
        <v>6534134.79</v>
      </c>
      <c r="H681" s="12" t="s">
        <v>546</v>
      </c>
      <c r="I681" s="125">
        <v>60985.26</v>
      </c>
      <c r="J681" s="13">
        <v>43024.724898379631</v>
      </c>
      <c r="K681" s="13">
        <v>43389</v>
      </c>
      <c r="L681" s="13" t="s">
        <v>4273</v>
      </c>
      <c r="M681" s="12" t="s">
        <v>4274</v>
      </c>
      <c r="N681" s="12"/>
      <c r="O681" s="12"/>
      <c r="P681" s="12"/>
      <c r="Q681" s="12"/>
    </row>
    <row r="682" spans="1:17" x14ac:dyDescent="0.25">
      <c r="A682" s="11">
        <v>103419</v>
      </c>
      <c r="B682" s="12" t="s">
        <v>5832</v>
      </c>
      <c r="C682" s="12" t="s">
        <v>5834</v>
      </c>
      <c r="D682" s="12">
        <v>6</v>
      </c>
      <c r="E682" s="125">
        <v>34320870.619999997</v>
      </c>
      <c r="F682" s="12">
        <v>-23</v>
      </c>
      <c r="G682" s="125">
        <v>25881125.25</v>
      </c>
      <c r="H682" s="12" t="s">
        <v>1039</v>
      </c>
      <c r="I682" s="125">
        <v>172540.84</v>
      </c>
      <c r="J682" s="13">
        <v>43025.590373692132</v>
      </c>
      <c r="K682" s="13">
        <v>43572</v>
      </c>
      <c r="L682" s="13" t="s">
        <v>5835</v>
      </c>
      <c r="M682" s="12" t="s">
        <v>5836</v>
      </c>
      <c r="N682" s="12"/>
      <c r="O682" s="12"/>
      <c r="P682" s="12"/>
      <c r="Q682" s="12"/>
    </row>
    <row r="683" spans="1:17" x14ac:dyDescent="0.25">
      <c r="A683" s="11">
        <v>103420</v>
      </c>
      <c r="B683" s="12" t="s">
        <v>5830</v>
      </c>
      <c r="C683" s="12" t="s">
        <v>5837</v>
      </c>
      <c r="D683" s="12">
        <v>6</v>
      </c>
      <c r="E683" s="125">
        <v>24023758.609999999</v>
      </c>
      <c r="F683" s="12">
        <v>-23</v>
      </c>
      <c r="G683" s="125">
        <v>18950683.91</v>
      </c>
      <c r="H683" s="12" t="s">
        <v>86</v>
      </c>
      <c r="I683" s="125">
        <v>126337.89</v>
      </c>
      <c r="J683" s="13">
        <v>43025.550861076386</v>
      </c>
      <c r="K683" s="13">
        <v>43482</v>
      </c>
      <c r="L683" s="13" t="s">
        <v>5838</v>
      </c>
      <c r="M683" s="12"/>
      <c r="N683" s="12"/>
      <c r="O683" s="12"/>
      <c r="P683" s="12"/>
      <c r="Q683" s="12"/>
    </row>
    <row r="684" spans="1:17" x14ac:dyDescent="0.25">
      <c r="A684" s="11">
        <v>103421</v>
      </c>
      <c r="B684" s="12" t="s">
        <v>5955</v>
      </c>
      <c r="C684" s="12" t="s">
        <v>5958</v>
      </c>
      <c r="D684" s="12">
        <v>9</v>
      </c>
      <c r="E684" s="125">
        <v>1613056.52</v>
      </c>
      <c r="F684" s="12">
        <v>-8</v>
      </c>
      <c r="G684" s="125">
        <v>13000000</v>
      </c>
      <c r="H684" s="12" t="s">
        <v>491</v>
      </c>
      <c r="I684" s="125">
        <v>450666.67</v>
      </c>
      <c r="J684" s="13">
        <v>43035.645899965275</v>
      </c>
      <c r="K684" s="13">
        <v>43345</v>
      </c>
      <c r="L684" s="13" t="s">
        <v>5959</v>
      </c>
      <c r="M684" s="12"/>
      <c r="N684" s="12"/>
      <c r="O684" s="12"/>
      <c r="P684" s="12"/>
      <c r="Q684" s="12"/>
    </row>
    <row r="685" spans="1:17" x14ac:dyDescent="0.25">
      <c r="A685" s="11">
        <v>103422</v>
      </c>
      <c r="B685" s="12" t="s">
        <v>5842</v>
      </c>
      <c r="C685" s="12" t="s">
        <v>5843</v>
      </c>
      <c r="D685" s="12">
        <v>1</v>
      </c>
      <c r="E685" s="125">
        <v>3618984.2</v>
      </c>
      <c r="F685" s="12">
        <v>-24</v>
      </c>
      <c r="G685" s="125">
        <v>2806001.43</v>
      </c>
      <c r="H685" s="12" t="s">
        <v>2034</v>
      </c>
      <c r="I685" s="125">
        <v>21045.01</v>
      </c>
      <c r="J685" s="13">
        <v>43026.725895567128</v>
      </c>
      <c r="K685" s="13">
        <v>43391</v>
      </c>
      <c r="L685" s="13" t="s">
        <v>5844</v>
      </c>
      <c r="M685" s="12" t="s">
        <v>5845</v>
      </c>
      <c r="N685" s="12"/>
      <c r="O685" s="12"/>
      <c r="P685" s="12"/>
      <c r="Q685" s="12"/>
    </row>
    <row r="686" spans="1:17" x14ac:dyDescent="0.25">
      <c r="A686" s="11">
        <v>103423</v>
      </c>
      <c r="B686" s="12" t="s">
        <v>4691</v>
      </c>
      <c r="C686" s="12" t="s">
        <v>4697</v>
      </c>
      <c r="D686" s="12">
        <v>1</v>
      </c>
      <c r="E686" s="125">
        <v>5860369.5199999996</v>
      </c>
      <c r="F686" s="12">
        <v>-25</v>
      </c>
      <c r="G686" s="125">
        <v>4667239.1399999997</v>
      </c>
      <c r="H686" s="12" t="s">
        <v>546</v>
      </c>
      <c r="I686" s="125">
        <v>24891.94</v>
      </c>
      <c r="J686" s="13">
        <v>43027.536510995371</v>
      </c>
      <c r="K686" s="13">
        <v>43392</v>
      </c>
      <c r="L686" s="13" t="s">
        <v>4698</v>
      </c>
      <c r="M686" s="12"/>
      <c r="N686" s="12"/>
      <c r="O686" s="12"/>
      <c r="P686" s="12"/>
      <c r="Q686" s="12"/>
    </row>
    <row r="687" spans="1:17" x14ac:dyDescent="0.25">
      <c r="A687" s="11">
        <v>103424</v>
      </c>
      <c r="B687" s="12" t="s">
        <v>5847</v>
      </c>
      <c r="C687" s="12" t="s">
        <v>5852</v>
      </c>
      <c r="D687" s="12">
        <v>7</v>
      </c>
      <c r="E687" s="125">
        <v>4245070.3</v>
      </c>
      <c r="F687" s="12">
        <v>-25</v>
      </c>
      <c r="G687" s="125">
        <v>3573561.39</v>
      </c>
      <c r="H687" s="12" t="s">
        <v>5352</v>
      </c>
      <c r="I687" s="125">
        <v>21441.37</v>
      </c>
      <c r="J687" s="13">
        <v>43027.549113078705</v>
      </c>
      <c r="K687" s="13">
        <v>43270</v>
      </c>
      <c r="L687" s="13" t="s">
        <v>5853</v>
      </c>
      <c r="M687" s="12" t="s">
        <v>5854</v>
      </c>
      <c r="N687" s="12"/>
      <c r="O687" s="12"/>
      <c r="P687" s="12"/>
      <c r="Q687" s="12"/>
    </row>
    <row r="688" spans="1:17" x14ac:dyDescent="0.25">
      <c r="A688" s="11">
        <v>103425</v>
      </c>
      <c r="B688" s="12" t="s">
        <v>3119</v>
      </c>
      <c r="C688" s="12" t="s">
        <v>3120</v>
      </c>
      <c r="D688" s="12">
        <v>8</v>
      </c>
      <c r="E688" s="125">
        <v>8046620.6600000001</v>
      </c>
      <c r="F688" s="12">
        <v>-26</v>
      </c>
      <c r="G688" s="125">
        <v>6525155.7000000002</v>
      </c>
      <c r="H688" s="12" t="s">
        <v>2494</v>
      </c>
      <c r="I688" s="125">
        <v>23925.57</v>
      </c>
      <c r="J688" s="13">
        <v>43028.727197488428</v>
      </c>
      <c r="K688" s="13">
        <v>43393</v>
      </c>
      <c r="L688" s="13" t="s">
        <v>3121</v>
      </c>
      <c r="M688" s="12" t="s">
        <v>3122</v>
      </c>
      <c r="N688" s="12"/>
      <c r="O688" s="12"/>
      <c r="P688" s="12"/>
      <c r="Q688" s="12"/>
    </row>
    <row r="689" spans="1:17" x14ac:dyDescent="0.25">
      <c r="A689" s="11">
        <v>103426</v>
      </c>
      <c r="B689" s="12" t="s">
        <v>914</v>
      </c>
      <c r="C689" s="12" t="s">
        <v>1307</v>
      </c>
      <c r="D689" s="12">
        <v>5</v>
      </c>
      <c r="E689" s="125">
        <v>6973891.6200000001</v>
      </c>
      <c r="F689" s="12">
        <v>-27</v>
      </c>
      <c r="G689" s="125">
        <v>5945443.5300000003</v>
      </c>
      <c r="H689" s="12" t="s">
        <v>284</v>
      </c>
      <c r="I689" s="125">
        <v>7266.65</v>
      </c>
      <c r="J689" s="13">
        <v>43027.722257789355</v>
      </c>
      <c r="K689" s="13">
        <v>43576</v>
      </c>
      <c r="L689" s="13" t="s">
        <v>1308</v>
      </c>
      <c r="M689" s="12"/>
      <c r="N689" s="12"/>
      <c r="O689" s="12"/>
      <c r="P689" s="12"/>
      <c r="Q689" s="12"/>
    </row>
    <row r="690" spans="1:17" x14ac:dyDescent="0.25">
      <c r="A690" s="11">
        <v>103427</v>
      </c>
      <c r="B690" s="12" t="s">
        <v>4761</v>
      </c>
      <c r="C690" s="12" t="s">
        <v>4763</v>
      </c>
      <c r="D690" s="12">
        <v>7</v>
      </c>
      <c r="E690" s="125">
        <v>2196836.73</v>
      </c>
      <c r="F690" s="12">
        <v>4</v>
      </c>
      <c r="G690" s="125">
        <v>1900391.41</v>
      </c>
      <c r="H690" s="12" t="s">
        <v>1039</v>
      </c>
      <c r="I690" s="125">
        <v>7131.78</v>
      </c>
      <c r="J690" s="13">
        <v>43028.644662500003</v>
      </c>
      <c r="K690" s="13">
        <v>43271</v>
      </c>
      <c r="L690" s="13" t="s">
        <v>4764</v>
      </c>
      <c r="M690" s="12"/>
      <c r="N690" s="12"/>
      <c r="O690" s="12"/>
      <c r="P690" s="12"/>
      <c r="Q690" s="12"/>
    </row>
    <row r="691" spans="1:17" x14ac:dyDescent="0.25">
      <c r="A691" s="11">
        <v>103428</v>
      </c>
      <c r="B691" s="12" t="s">
        <v>5869</v>
      </c>
      <c r="C691" s="12" t="s">
        <v>5873</v>
      </c>
      <c r="D691" s="12">
        <v>7</v>
      </c>
      <c r="E691" s="125">
        <v>3412228.18</v>
      </c>
      <c r="F691" s="12">
        <v>-26</v>
      </c>
      <c r="G691" s="125">
        <v>2755863.53</v>
      </c>
      <c r="H691" s="12" t="s">
        <v>5385</v>
      </c>
      <c r="I691" s="125">
        <v>12401.39</v>
      </c>
      <c r="J691" s="13">
        <v>43028.627366469904</v>
      </c>
      <c r="K691" s="13">
        <v>43332</v>
      </c>
      <c r="L691" s="13" t="s">
        <v>5874</v>
      </c>
      <c r="M691" s="12"/>
      <c r="N691" s="12"/>
      <c r="O691" s="12"/>
      <c r="P691" s="12"/>
      <c r="Q691" s="12"/>
    </row>
    <row r="692" spans="1:17" x14ac:dyDescent="0.25">
      <c r="A692" s="11">
        <v>103429</v>
      </c>
      <c r="B692" s="12" t="s">
        <v>3925</v>
      </c>
      <c r="C692" s="12" t="s">
        <v>3929</v>
      </c>
      <c r="D692" s="12">
        <v>1</v>
      </c>
      <c r="E692" s="125">
        <v>11436643.07</v>
      </c>
      <c r="F692" s="12">
        <v>-26</v>
      </c>
      <c r="G692" s="125">
        <v>9806193.8499999996</v>
      </c>
      <c r="H692" s="12" t="s">
        <v>2855</v>
      </c>
      <c r="I692" s="125">
        <v>39224.78</v>
      </c>
      <c r="J692" s="13">
        <v>43028.712508252313</v>
      </c>
      <c r="K692" s="13">
        <v>43271</v>
      </c>
      <c r="L692" s="13" t="s">
        <v>3930</v>
      </c>
      <c r="M692" s="12" t="s">
        <v>3931</v>
      </c>
      <c r="N692" s="12" t="s">
        <v>3932</v>
      </c>
      <c r="O692" s="12"/>
      <c r="P692" s="12"/>
      <c r="Q692" s="12"/>
    </row>
    <row r="693" spans="1:17" x14ac:dyDescent="0.25">
      <c r="A693" s="11">
        <v>103430</v>
      </c>
      <c r="B693" s="12" t="s">
        <v>4618</v>
      </c>
      <c r="C693" s="12" t="s">
        <v>4621</v>
      </c>
      <c r="D693" s="12">
        <v>1</v>
      </c>
      <c r="E693" s="125">
        <v>8301955.4500000002</v>
      </c>
      <c r="F693" s="12">
        <v>3</v>
      </c>
      <c r="G693" s="125">
        <v>6500000</v>
      </c>
      <c r="H693" s="12" t="s">
        <v>2494</v>
      </c>
      <c r="I693" s="125">
        <v>267065.71000000002</v>
      </c>
      <c r="J693" s="13">
        <v>43029.572978738426</v>
      </c>
      <c r="K693" s="13">
        <v>43394</v>
      </c>
      <c r="L693" s="13" t="s">
        <v>4622</v>
      </c>
      <c r="M693" s="12" t="s">
        <v>4623</v>
      </c>
      <c r="N693" s="12"/>
      <c r="O693" s="12"/>
      <c r="P693" s="12"/>
      <c r="Q693" s="12"/>
    </row>
    <row r="694" spans="1:17" x14ac:dyDescent="0.25">
      <c r="A694" s="11">
        <v>103431</v>
      </c>
      <c r="B694" s="12" t="s">
        <v>4687</v>
      </c>
      <c r="C694" s="12" t="s">
        <v>4688</v>
      </c>
      <c r="D694" s="12">
        <v>1</v>
      </c>
      <c r="E694" s="125">
        <v>4466180.84</v>
      </c>
      <c r="F694" s="12">
        <v>3</v>
      </c>
      <c r="G694" s="125">
        <v>3500000</v>
      </c>
      <c r="H694" s="12" t="s">
        <v>1191</v>
      </c>
      <c r="I694" s="125">
        <v>139701.76000000001</v>
      </c>
      <c r="J694" s="13">
        <v>43029.566491585647</v>
      </c>
      <c r="K694" s="13">
        <v>43394</v>
      </c>
      <c r="L694" s="13" t="s">
        <v>4689</v>
      </c>
      <c r="M694" s="12" t="s">
        <v>4690</v>
      </c>
      <c r="N694" s="12"/>
      <c r="O694" s="12"/>
      <c r="P694" s="12"/>
      <c r="Q694" s="12"/>
    </row>
    <row r="695" spans="1:17" x14ac:dyDescent="0.25">
      <c r="A695" s="11">
        <v>103432</v>
      </c>
      <c r="B695" s="12" t="s">
        <v>5896</v>
      </c>
      <c r="C695" s="12" t="s">
        <v>5897</v>
      </c>
      <c r="D695" s="12">
        <v>1</v>
      </c>
      <c r="E695" s="125">
        <v>2843523.52</v>
      </c>
      <c r="F695" s="12">
        <v>-29</v>
      </c>
      <c r="G695" s="125">
        <v>2296552.9500000002</v>
      </c>
      <c r="H695" s="12" t="s">
        <v>3074</v>
      </c>
      <c r="I695" s="125">
        <v>112500</v>
      </c>
      <c r="J695" s="13">
        <v>43031.460546030095</v>
      </c>
      <c r="K695" s="13">
        <v>43335</v>
      </c>
      <c r="L695" s="13" t="s">
        <v>5898</v>
      </c>
      <c r="M695" s="12" t="s">
        <v>5899</v>
      </c>
      <c r="N695" s="12"/>
      <c r="O695" s="12"/>
      <c r="P695" s="12"/>
      <c r="Q695" s="12"/>
    </row>
    <row r="696" spans="1:17" x14ac:dyDescent="0.25">
      <c r="A696" s="11">
        <v>103433</v>
      </c>
      <c r="B696" s="12" t="s">
        <v>5890</v>
      </c>
      <c r="C696" s="12" t="s">
        <v>5900</v>
      </c>
      <c r="D696" s="12">
        <v>1</v>
      </c>
      <c r="E696" s="125">
        <v>3159470.57</v>
      </c>
      <c r="F696" s="12">
        <v>1</v>
      </c>
      <c r="G696" s="125">
        <v>2500000</v>
      </c>
      <c r="H696" s="12" t="s">
        <v>5124</v>
      </c>
      <c r="I696" s="125">
        <v>112500</v>
      </c>
      <c r="J696" s="13">
        <v>43031.583880555554</v>
      </c>
      <c r="K696" s="13">
        <v>43335</v>
      </c>
      <c r="L696" s="13" t="s">
        <v>5901</v>
      </c>
      <c r="M696" s="12"/>
      <c r="N696" s="12"/>
      <c r="O696" s="12"/>
      <c r="P696" s="12"/>
      <c r="Q696" s="12"/>
    </row>
    <row r="697" spans="1:17" x14ac:dyDescent="0.25">
      <c r="A697" s="11">
        <v>103434</v>
      </c>
      <c r="B697" s="12" t="s">
        <v>5891</v>
      </c>
      <c r="C697" s="12" t="s">
        <v>5902</v>
      </c>
      <c r="D697" s="12">
        <v>8</v>
      </c>
      <c r="E697" s="125">
        <v>7692335.9699999997</v>
      </c>
      <c r="F697" s="12">
        <v>-29</v>
      </c>
      <c r="G697" s="125">
        <v>6071530.0599999996</v>
      </c>
      <c r="H697" s="12" t="s">
        <v>2494</v>
      </c>
      <c r="I697" s="125">
        <v>270833.33</v>
      </c>
      <c r="J697" s="13">
        <v>43031.636988541664</v>
      </c>
      <c r="K697" s="13">
        <v>43396</v>
      </c>
      <c r="L697" s="13" t="s">
        <v>5903</v>
      </c>
      <c r="M697" s="12"/>
      <c r="N697" s="12"/>
      <c r="O697" s="12"/>
      <c r="P697" s="12"/>
      <c r="Q697" s="12"/>
    </row>
    <row r="698" spans="1:17" x14ac:dyDescent="0.25">
      <c r="A698" s="11">
        <v>103435</v>
      </c>
      <c r="B698" s="12" t="s">
        <v>5892</v>
      </c>
      <c r="C698" s="12" t="s">
        <v>5904</v>
      </c>
      <c r="D698" s="12">
        <v>2</v>
      </c>
      <c r="E698" s="125">
        <v>26706666.359999999</v>
      </c>
      <c r="F698" s="12">
        <v>-29</v>
      </c>
      <c r="G698" s="125">
        <v>23778666.73</v>
      </c>
      <c r="H698" s="12" t="s">
        <v>2861</v>
      </c>
      <c r="I698" s="125">
        <v>1120000</v>
      </c>
      <c r="J698" s="13">
        <v>43031.669717395831</v>
      </c>
      <c r="K698" s="13">
        <v>43213</v>
      </c>
      <c r="L698" s="13" t="s">
        <v>5905</v>
      </c>
      <c r="M698" s="12"/>
      <c r="N698" s="12"/>
      <c r="O698" s="12"/>
      <c r="P698" s="12"/>
      <c r="Q698" s="12"/>
    </row>
    <row r="699" spans="1:17" x14ac:dyDescent="0.25">
      <c r="A699" s="11">
        <v>103436</v>
      </c>
      <c r="B699" s="12" t="s">
        <v>5889</v>
      </c>
      <c r="C699" s="12" t="s">
        <v>5906</v>
      </c>
      <c r="D699" s="12">
        <v>2</v>
      </c>
      <c r="E699" s="125">
        <v>22343001.030000001</v>
      </c>
      <c r="F699" s="12">
        <v>1</v>
      </c>
      <c r="G699" s="125">
        <v>18000000</v>
      </c>
      <c r="H699" s="12" t="s">
        <v>468</v>
      </c>
      <c r="I699" s="125">
        <v>630000</v>
      </c>
      <c r="J699" s="13">
        <v>43031.534003009256</v>
      </c>
      <c r="K699" s="13">
        <v>43396</v>
      </c>
      <c r="L699" s="13" t="s">
        <v>5907</v>
      </c>
      <c r="M699" s="12" t="s">
        <v>5908</v>
      </c>
      <c r="N699" s="12"/>
      <c r="O699" s="12"/>
      <c r="P699" s="12"/>
      <c r="Q699" s="12"/>
    </row>
    <row r="700" spans="1:17" x14ac:dyDescent="0.25">
      <c r="A700" s="11">
        <v>103437</v>
      </c>
      <c r="B700" s="12" t="s">
        <v>5921</v>
      </c>
      <c r="C700" s="12" t="s">
        <v>5923</v>
      </c>
      <c r="D700" s="12">
        <v>7</v>
      </c>
      <c r="E700" s="125">
        <v>493163.78</v>
      </c>
      <c r="F700" s="12">
        <v>0</v>
      </c>
      <c r="G700" s="125">
        <v>4000000</v>
      </c>
      <c r="H700" s="12" t="s">
        <v>86</v>
      </c>
      <c r="I700" s="125">
        <v>154666.67000000001</v>
      </c>
      <c r="J700" s="13">
        <v>43032.714318715276</v>
      </c>
      <c r="K700" s="13">
        <v>43336</v>
      </c>
      <c r="L700" s="13" t="s">
        <v>5924</v>
      </c>
      <c r="M700" s="12" t="s">
        <v>5925</v>
      </c>
      <c r="N700" s="12"/>
      <c r="O700" s="12"/>
      <c r="P700" s="12"/>
      <c r="Q700" s="12"/>
    </row>
    <row r="701" spans="1:17" x14ac:dyDescent="0.25">
      <c r="A701" s="11">
        <v>103438</v>
      </c>
      <c r="B701" s="12" t="s">
        <v>2083</v>
      </c>
      <c r="C701" s="12" t="s">
        <v>2086</v>
      </c>
      <c r="D701" s="12">
        <v>6</v>
      </c>
      <c r="E701" s="125">
        <v>12055450.27</v>
      </c>
      <c r="F701" s="12">
        <v>1</v>
      </c>
      <c r="G701" s="125">
        <v>10000000</v>
      </c>
      <c r="H701" s="12" t="s">
        <v>86</v>
      </c>
      <c r="I701" s="125">
        <v>300000</v>
      </c>
      <c r="J701" s="13">
        <v>43031.701143020837</v>
      </c>
      <c r="K701" s="13">
        <v>43396</v>
      </c>
      <c r="L701" s="13" t="s">
        <v>2087</v>
      </c>
      <c r="M701" s="12" t="s">
        <v>2088</v>
      </c>
      <c r="N701" s="12"/>
      <c r="O701" s="12"/>
      <c r="P701" s="12"/>
      <c r="Q701" s="12"/>
    </row>
    <row r="702" spans="1:17" x14ac:dyDescent="0.25">
      <c r="A702" s="11">
        <v>103439</v>
      </c>
      <c r="B702" s="12" t="s">
        <v>972</v>
      </c>
      <c r="C702" s="12" t="s">
        <v>2167</v>
      </c>
      <c r="D702" s="12">
        <v>1</v>
      </c>
      <c r="E702" s="125">
        <v>268088</v>
      </c>
      <c r="F702" s="12">
        <v>-8</v>
      </c>
      <c r="G702" s="125">
        <v>2500000</v>
      </c>
      <c r="H702" s="12" t="s">
        <v>1191</v>
      </c>
      <c r="I702" s="125">
        <v>86666.67</v>
      </c>
      <c r="J702" s="13">
        <v>43035.715470289353</v>
      </c>
      <c r="K702" s="13">
        <v>43406</v>
      </c>
      <c r="L702" s="13" t="s">
        <v>2168</v>
      </c>
      <c r="M702" s="12"/>
      <c r="N702" s="12"/>
      <c r="O702" s="12"/>
      <c r="P702" s="12"/>
      <c r="Q702" s="12"/>
    </row>
    <row r="703" spans="1:17" x14ac:dyDescent="0.25">
      <c r="A703" s="11">
        <v>103440</v>
      </c>
      <c r="B703" s="12" t="s">
        <v>5918</v>
      </c>
      <c r="C703" s="12" t="s">
        <v>5926</v>
      </c>
      <c r="D703" s="12">
        <v>1</v>
      </c>
      <c r="E703" s="125">
        <v>530633.79</v>
      </c>
      <c r="F703" s="12">
        <v>0</v>
      </c>
      <c r="G703" s="125">
        <v>3500000</v>
      </c>
      <c r="H703" s="12" t="s">
        <v>468</v>
      </c>
      <c r="I703" s="125">
        <v>152250</v>
      </c>
      <c r="J703" s="13">
        <v>43032.635776354167</v>
      </c>
      <c r="K703" s="13">
        <v>43275</v>
      </c>
      <c r="L703" s="13" t="s">
        <v>5927</v>
      </c>
      <c r="M703" s="12" t="s">
        <v>5928</v>
      </c>
      <c r="N703" s="12"/>
      <c r="O703" s="12"/>
      <c r="P703" s="12"/>
      <c r="Q703" s="12"/>
    </row>
    <row r="704" spans="1:17" x14ac:dyDescent="0.25">
      <c r="A704" s="11">
        <v>103441</v>
      </c>
      <c r="B704" s="12" t="s">
        <v>5917</v>
      </c>
      <c r="C704" s="12" t="s">
        <v>5929</v>
      </c>
      <c r="D704" s="12">
        <v>7</v>
      </c>
      <c r="E704" s="125">
        <v>272897.38</v>
      </c>
      <c r="F704" s="12">
        <v>0</v>
      </c>
      <c r="G704" s="125">
        <v>1800000</v>
      </c>
      <c r="H704" s="12" t="s">
        <v>5385</v>
      </c>
      <c r="I704" s="125">
        <v>78300</v>
      </c>
      <c r="J704" s="13">
        <v>43032.747680057873</v>
      </c>
      <c r="K704" s="13">
        <v>43275</v>
      </c>
      <c r="L704" s="13" t="s">
        <v>5930</v>
      </c>
      <c r="M704" s="12"/>
      <c r="N704" s="12"/>
      <c r="O704" s="12"/>
      <c r="P704" s="12"/>
      <c r="Q704" s="12"/>
    </row>
    <row r="705" spans="1:17" x14ac:dyDescent="0.25">
      <c r="A705" s="11">
        <v>103442</v>
      </c>
      <c r="B705" s="12" t="s">
        <v>5943</v>
      </c>
      <c r="C705" s="12" t="s">
        <v>5945</v>
      </c>
      <c r="D705" s="12">
        <v>2</v>
      </c>
      <c r="E705" s="125">
        <v>1923861.89</v>
      </c>
      <c r="F705" s="12">
        <v>-1</v>
      </c>
      <c r="G705" s="125">
        <v>16000000</v>
      </c>
      <c r="H705" s="12" t="s">
        <v>1039</v>
      </c>
      <c r="I705" s="125">
        <v>522666.67</v>
      </c>
      <c r="J705" s="13">
        <v>43033.586344363423</v>
      </c>
      <c r="K705" s="13">
        <v>43337</v>
      </c>
      <c r="L705" s="13" t="s">
        <v>5946</v>
      </c>
      <c r="M705" s="12" t="s">
        <v>5947</v>
      </c>
      <c r="N705" s="12"/>
      <c r="O705" s="12"/>
      <c r="P705" s="12"/>
      <c r="Q705" s="12"/>
    </row>
    <row r="706" spans="1:17" x14ac:dyDescent="0.25">
      <c r="A706" s="11">
        <v>103443</v>
      </c>
      <c r="B706" s="12" t="s">
        <v>4565</v>
      </c>
      <c r="C706" s="12" t="s">
        <v>4568</v>
      </c>
      <c r="D706" s="12">
        <v>7</v>
      </c>
      <c r="E706" s="125">
        <v>285776</v>
      </c>
      <c r="F706" s="12">
        <v>-1</v>
      </c>
      <c r="G706" s="125">
        <v>1500000</v>
      </c>
      <c r="H706" s="12" t="s">
        <v>2494</v>
      </c>
      <c r="I706" s="125">
        <v>54000</v>
      </c>
      <c r="J706" s="13">
        <v>43034.504942395833</v>
      </c>
      <c r="K706" s="13">
        <v>43215</v>
      </c>
      <c r="L706" s="13" t="s">
        <v>4569</v>
      </c>
      <c r="M706" s="12"/>
      <c r="N706" s="12"/>
      <c r="O706" s="12"/>
      <c r="P706" s="12"/>
      <c r="Q706" s="12"/>
    </row>
    <row r="707" spans="1:17" x14ac:dyDescent="0.25">
      <c r="A707" s="11">
        <v>103444</v>
      </c>
      <c r="B707" s="12" t="s">
        <v>1747</v>
      </c>
      <c r="C707" s="12" t="s">
        <v>1958</v>
      </c>
      <c r="D707" s="12">
        <v>4</v>
      </c>
      <c r="E707" s="125">
        <v>3570821.13</v>
      </c>
      <c r="F707" s="12">
        <v>-27</v>
      </c>
      <c r="G707" s="125">
        <v>3358058</v>
      </c>
      <c r="H707" s="12" t="s">
        <v>284</v>
      </c>
      <c r="I707" s="125">
        <v>4663.97</v>
      </c>
      <c r="J707" s="13">
        <v>43033.706176122687</v>
      </c>
      <c r="K707" s="13">
        <v>43211</v>
      </c>
      <c r="L707" s="13" t="s">
        <v>1959</v>
      </c>
      <c r="M707" s="12"/>
      <c r="N707" s="12"/>
      <c r="O707" s="12"/>
      <c r="P707" s="12"/>
      <c r="Q707" s="12"/>
    </row>
    <row r="708" spans="1:17" x14ac:dyDescent="0.25">
      <c r="A708" s="11">
        <v>103445</v>
      </c>
      <c r="B708" s="12" t="s">
        <v>5957</v>
      </c>
      <c r="C708" s="12" t="s">
        <v>5960</v>
      </c>
      <c r="D708" s="12">
        <v>1</v>
      </c>
      <c r="E708" s="125">
        <v>994079.4</v>
      </c>
      <c r="F708" s="12">
        <v>-8</v>
      </c>
      <c r="G708" s="125">
        <v>9000000</v>
      </c>
      <c r="H708" s="12" t="s">
        <v>468</v>
      </c>
      <c r="I708" s="125">
        <v>351000</v>
      </c>
      <c r="J708" s="13">
        <v>43035.561631793978</v>
      </c>
      <c r="K708" s="13">
        <v>43406</v>
      </c>
      <c r="L708" s="13" t="s">
        <v>5961</v>
      </c>
      <c r="M708" s="12" t="s">
        <v>5962</v>
      </c>
      <c r="N708" s="12"/>
      <c r="O708" s="12"/>
      <c r="P708" s="12"/>
      <c r="Q708" s="12"/>
    </row>
    <row r="709" spans="1:17" x14ac:dyDescent="0.25">
      <c r="A709" s="11">
        <v>103446</v>
      </c>
      <c r="B709" s="12" t="s">
        <v>5956</v>
      </c>
      <c r="C709" s="12" t="s">
        <v>5963</v>
      </c>
      <c r="D709" s="12">
        <v>1</v>
      </c>
      <c r="E709" s="125">
        <v>381857.54</v>
      </c>
      <c r="F709" s="12">
        <v>-8</v>
      </c>
      <c r="G709" s="125">
        <v>3000000</v>
      </c>
      <c r="H709" s="12" t="s">
        <v>5491</v>
      </c>
      <c r="I709" s="125">
        <v>117000</v>
      </c>
      <c r="J709" s="13">
        <v>43035.696272719906</v>
      </c>
      <c r="K709" s="13">
        <v>43345</v>
      </c>
      <c r="L709" s="13" t="s">
        <v>5964</v>
      </c>
      <c r="M709" s="12"/>
      <c r="N709" s="12"/>
      <c r="O709" s="12"/>
      <c r="P709" s="12"/>
      <c r="Q709" s="12"/>
    </row>
    <row r="710" spans="1:17" x14ac:dyDescent="0.25">
      <c r="A710" s="11">
        <v>103447</v>
      </c>
      <c r="B710" s="12" t="s">
        <v>5972</v>
      </c>
      <c r="C710" s="12" t="s">
        <v>5975</v>
      </c>
      <c r="D710" s="12">
        <v>1</v>
      </c>
      <c r="E710" s="125">
        <v>760449.79</v>
      </c>
      <c r="F710" s="12">
        <v>-8</v>
      </c>
      <c r="G710" s="125">
        <v>6000000</v>
      </c>
      <c r="H710" s="12" t="s">
        <v>5352</v>
      </c>
      <c r="I710" s="125">
        <v>207000</v>
      </c>
      <c r="J710" s="13">
        <v>43039.617964895835</v>
      </c>
      <c r="K710" s="13">
        <v>43345</v>
      </c>
      <c r="L710" s="13" t="s">
        <v>5976</v>
      </c>
      <c r="M710" s="12"/>
      <c r="N710" s="12"/>
      <c r="O710" s="12"/>
      <c r="P710" s="12"/>
      <c r="Q710" s="12"/>
    </row>
    <row r="711" spans="1:17" x14ac:dyDescent="0.25">
      <c r="A711" s="11">
        <v>103449</v>
      </c>
      <c r="B711" s="12" t="s">
        <v>4465</v>
      </c>
      <c r="C711" s="12" t="s">
        <v>4466</v>
      </c>
      <c r="D711" s="12">
        <v>7</v>
      </c>
      <c r="E711" s="125">
        <v>247214.15</v>
      </c>
      <c r="F711" s="12">
        <v>-8</v>
      </c>
      <c r="G711" s="125">
        <v>2000000</v>
      </c>
      <c r="H711" s="12" t="s">
        <v>5124</v>
      </c>
      <c r="I711" s="125">
        <v>61333.33</v>
      </c>
      <c r="J711" s="13">
        <v>43039.540177314811</v>
      </c>
      <c r="K711" s="13">
        <v>43345</v>
      </c>
      <c r="L711" s="13" t="s">
        <v>4467</v>
      </c>
      <c r="M711" s="12"/>
      <c r="N711" s="12"/>
      <c r="O711" s="12"/>
      <c r="P711" s="12"/>
      <c r="Q711" s="12"/>
    </row>
    <row r="712" spans="1:17" x14ac:dyDescent="0.25">
      <c r="A712" s="11">
        <v>103450</v>
      </c>
      <c r="B712" s="12" t="s">
        <v>5968</v>
      </c>
      <c r="C712" s="12" t="s">
        <v>5977</v>
      </c>
      <c r="D712" s="12">
        <v>1</v>
      </c>
      <c r="E712" s="125">
        <v>233321.97</v>
      </c>
      <c r="F712" s="12">
        <v>-8</v>
      </c>
      <c r="G712" s="125">
        <v>1200000</v>
      </c>
      <c r="H712" s="12" t="s">
        <v>5124</v>
      </c>
      <c r="I712" s="125">
        <v>41400</v>
      </c>
      <c r="J712" s="13">
        <v>43039.546280127317</v>
      </c>
      <c r="K712" s="13">
        <v>43222</v>
      </c>
      <c r="L712" s="13" t="s">
        <v>5978</v>
      </c>
      <c r="M712" s="12" t="s">
        <v>5979</v>
      </c>
      <c r="N712" s="12"/>
      <c r="O712" s="12"/>
      <c r="P712" s="12"/>
      <c r="Q712" s="12"/>
    </row>
    <row r="713" spans="1:17" x14ac:dyDescent="0.25">
      <c r="A713" s="11">
        <v>103451</v>
      </c>
      <c r="B713" s="12" t="s">
        <v>5974</v>
      </c>
      <c r="C713" s="12" t="s">
        <v>5980</v>
      </c>
      <c r="D713" s="12">
        <v>4</v>
      </c>
      <c r="E713" s="125">
        <v>784631.71</v>
      </c>
      <c r="F713" s="12">
        <v>-27</v>
      </c>
      <c r="G713" s="125">
        <v>753039.43</v>
      </c>
      <c r="H713" s="12" t="s">
        <v>284</v>
      </c>
      <c r="I713" s="125">
        <v>1045.8900000000001</v>
      </c>
      <c r="J713" s="13">
        <v>43039.655609571761</v>
      </c>
      <c r="K713" s="13">
        <v>43152</v>
      </c>
      <c r="L713" s="13" t="s">
        <v>5981</v>
      </c>
      <c r="M713" s="12" t="s">
        <v>5982</v>
      </c>
      <c r="N713" s="12"/>
      <c r="O713" s="12"/>
      <c r="P713" s="12"/>
      <c r="Q713" s="12"/>
    </row>
    <row r="714" spans="1:17" x14ac:dyDescent="0.25">
      <c r="A714" s="11">
        <v>103452</v>
      </c>
      <c r="B714" s="12" t="s">
        <v>3939</v>
      </c>
      <c r="C714" s="12" t="s">
        <v>3947</v>
      </c>
      <c r="D714" s="12">
        <v>1</v>
      </c>
      <c r="E714" s="125">
        <v>724554.77</v>
      </c>
      <c r="F714" s="12">
        <v>-8</v>
      </c>
      <c r="G714" s="125">
        <v>6800000</v>
      </c>
      <c r="H714" s="12" t="s">
        <v>5167</v>
      </c>
      <c r="I714" s="125">
        <v>190400</v>
      </c>
      <c r="J714" s="13">
        <v>43041.432835914355</v>
      </c>
      <c r="K714" s="13">
        <v>43406</v>
      </c>
      <c r="L714" s="13" t="s">
        <v>3948</v>
      </c>
      <c r="M714" s="12" t="s">
        <v>3949</v>
      </c>
      <c r="N714" s="12"/>
      <c r="O714" s="12"/>
      <c r="P714" s="12"/>
      <c r="Q714" s="12"/>
    </row>
    <row r="715" spans="1:17" x14ac:dyDescent="0.25">
      <c r="A715" s="11">
        <v>103453</v>
      </c>
      <c r="B715" s="12" t="s">
        <v>5995</v>
      </c>
      <c r="C715" s="12" t="s">
        <v>5996</v>
      </c>
      <c r="D715" s="12">
        <v>1</v>
      </c>
      <c r="E715" s="125">
        <v>852417.38</v>
      </c>
      <c r="F715" s="12">
        <v>-8</v>
      </c>
      <c r="G715" s="125">
        <v>8000000</v>
      </c>
      <c r="H715" s="12" t="s">
        <v>2855</v>
      </c>
      <c r="I715" s="125">
        <v>224000</v>
      </c>
      <c r="J715" s="13">
        <v>43041.585350231479</v>
      </c>
      <c r="K715" s="13">
        <v>43406</v>
      </c>
      <c r="L715" s="13" t="s">
        <v>5997</v>
      </c>
      <c r="M715" s="12" t="s">
        <v>5998</v>
      </c>
      <c r="N715" s="12"/>
      <c r="O715" s="12"/>
      <c r="P715" s="12"/>
      <c r="Q715" s="12"/>
    </row>
    <row r="716" spans="1:17" x14ac:dyDescent="0.25">
      <c r="A716" s="11">
        <v>103454</v>
      </c>
      <c r="B716" s="12" t="s">
        <v>3807</v>
      </c>
      <c r="C716" s="12" t="s">
        <v>3813</v>
      </c>
      <c r="D716" s="12">
        <v>1</v>
      </c>
      <c r="E716" s="125">
        <v>532760.86</v>
      </c>
      <c r="F716" s="12">
        <v>-8</v>
      </c>
      <c r="G716" s="125">
        <v>5000000</v>
      </c>
      <c r="H716" s="12" t="s">
        <v>468</v>
      </c>
      <c r="I716" s="125">
        <v>140000</v>
      </c>
      <c r="J716" s="13">
        <v>43041.721432754632</v>
      </c>
      <c r="K716" s="13">
        <v>43406</v>
      </c>
      <c r="L716" s="13" t="s">
        <v>3814</v>
      </c>
      <c r="M716" s="12" t="s">
        <v>3815</v>
      </c>
      <c r="N716" s="12"/>
      <c r="O716" s="12"/>
      <c r="P716" s="12"/>
      <c r="Q716" s="12"/>
    </row>
    <row r="717" spans="1:17" x14ac:dyDescent="0.25">
      <c r="A717" s="11">
        <v>103455</v>
      </c>
      <c r="B717" s="12" t="s">
        <v>1184</v>
      </c>
      <c r="C717" s="12" t="s">
        <v>1185</v>
      </c>
      <c r="D717" s="12">
        <v>2</v>
      </c>
      <c r="E717" s="125">
        <v>1288886.29</v>
      </c>
      <c r="F717" s="12">
        <v>-12</v>
      </c>
      <c r="G717" s="125">
        <v>17000000</v>
      </c>
      <c r="H717" s="12" t="s">
        <v>963</v>
      </c>
      <c r="I717" s="125">
        <v>337166.67</v>
      </c>
      <c r="J717" s="13">
        <v>43045.488874224538</v>
      </c>
      <c r="K717" s="13">
        <v>43591</v>
      </c>
      <c r="L717" s="13" t="s">
        <v>1186</v>
      </c>
      <c r="M717" s="12" t="s">
        <v>1187</v>
      </c>
      <c r="N717" s="12"/>
      <c r="O717" s="12"/>
      <c r="P717" s="12"/>
      <c r="Q717" s="12"/>
    </row>
    <row r="718" spans="1:17" x14ac:dyDescent="0.25">
      <c r="A718" s="11">
        <v>103456</v>
      </c>
      <c r="B718" s="12" t="s">
        <v>1064</v>
      </c>
      <c r="C718" s="12" t="s">
        <v>1065</v>
      </c>
      <c r="D718" s="12">
        <v>6</v>
      </c>
      <c r="E718" s="125">
        <v>1358090.57</v>
      </c>
      <c r="F718" s="12">
        <v>-9</v>
      </c>
      <c r="G718" s="125">
        <v>23000000</v>
      </c>
      <c r="H718" s="12" t="s">
        <v>1039</v>
      </c>
      <c r="I718" s="125">
        <v>460000</v>
      </c>
      <c r="J718" s="13">
        <v>43042.562480243054</v>
      </c>
      <c r="K718" s="13">
        <v>43772</v>
      </c>
      <c r="L718" s="13" t="s">
        <v>1066</v>
      </c>
      <c r="M718" s="12"/>
      <c r="N718" s="12"/>
      <c r="O718" s="12"/>
      <c r="P718" s="12"/>
      <c r="Q718" s="12"/>
    </row>
    <row r="719" spans="1:17" x14ac:dyDescent="0.25">
      <c r="A719" s="11">
        <v>103457</v>
      </c>
      <c r="B719" s="12" t="s">
        <v>6016</v>
      </c>
      <c r="C719" s="12" t="s">
        <v>6020</v>
      </c>
      <c r="D719" s="12">
        <v>1</v>
      </c>
      <c r="E719" s="125">
        <v>505515.29</v>
      </c>
      <c r="F719" s="12">
        <v>-15</v>
      </c>
      <c r="G719" s="125">
        <v>4000000</v>
      </c>
      <c r="H719" s="12" t="s">
        <v>4684</v>
      </c>
      <c r="I719" s="125">
        <v>84000</v>
      </c>
      <c r="J719" s="13">
        <v>43048.461907210651</v>
      </c>
      <c r="K719" s="13">
        <v>43352</v>
      </c>
      <c r="L719" s="13" t="s">
        <v>6021</v>
      </c>
      <c r="M719" s="12"/>
      <c r="N719" s="12" t="s">
        <v>6022</v>
      </c>
      <c r="O719" s="12"/>
      <c r="P719" s="12"/>
      <c r="Q719" s="12"/>
    </row>
    <row r="720" spans="1:17" x14ac:dyDescent="0.25">
      <c r="A720" s="11">
        <v>200008</v>
      </c>
      <c r="B720" s="12" t="s">
        <v>1680</v>
      </c>
      <c r="C720" s="12" t="s">
        <v>1682</v>
      </c>
      <c r="D720" s="12">
        <v>1</v>
      </c>
      <c r="E720" s="125">
        <v>2934046.37</v>
      </c>
      <c r="F720" s="12">
        <v>33</v>
      </c>
      <c r="G720" s="125">
        <v>2751142.53</v>
      </c>
      <c r="H720" s="12" t="s">
        <v>963</v>
      </c>
      <c r="I720" s="125">
        <v>143552.12</v>
      </c>
      <c r="J720" s="13">
        <v>42354.515555821759</v>
      </c>
      <c r="K720" s="13">
        <v>43091</v>
      </c>
      <c r="L720" s="13" t="s">
        <v>1683</v>
      </c>
      <c r="M720" s="12" t="s">
        <v>1684</v>
      </c>
      <c r="N720" s="12"/>
      <c r="O720" s="12"/>
      <c r="P720" s="12"/>
      <c r="Q720" s="12"/>
    </row>
    <row r="721" spans="1:17" x14ac:dyDescent="0.25">
      <c r="A721" s="11">
        <v>200035</v>
      </c>
      <c r="B721" s="12" t="s">
        <v>1698</v>
      </c>
      <c r="C721" s="12" t="s">
        <v>1699</v>
      </c>
      <c r="D721" s="12">
        <v>6</v>
      </c>
      <c r="E721" s="125">
        <v>13745172.08</v>
      </c>
      <c r="F721" s="12">
        <v>19</v>
      </c>
      <c r="G721" s="125">
        <v>10950711.75</v>
      </c>
      <c r="H721" s="12" t="s">
        <v>1467</v>
      </c>
      <c r="I721" s="125">
        <v>196103.46</v>
      </c>
      <c r="J721" s="13">
        <v>42397.512360763889</v>
      </c>
      <c r="K721" s="13">
        <v>43501</v>
      </c>
      <c r="L721" s="13" t="s">
        <v>1700</v>
      </c>
      <c r="M721" s="12" t="s">
        <v>1701</v>
      </c>
      <c r="N721" s="12"/>
      <c r="O721" s="12"/>
      <c r="P721" s="12"/>
      <c r="Q721" s="12"/>
    </row>
    <row r="722" spans="1:17" x14ac:dyDescent="0.25">
      <c r="A722" s="11">
        <v>200058</v>
      </c>
      <c r="B722" s="12" t="s">
        <v>1843</v>
      </c>
      <c r="C722" s="12" t="s">
        <v>1844</v>
      </c>
      <c r="D722" s="12">
        <v>3</v>
      </c>
      <c r="E722" s="125">
        <v>25650124.579999998</v>
      </c>
      <c r="F722" s="12">
        <v>-1</v>
      </c>
      <c r="G722" s="125">
        <v>20137114.530000001</v>
      </c>
      <c r="H722" s="12" t="s">
        <v>2855</v>
      </c>
      <c r="I722" s="125">
        <v>563839.21</v>
      </c>
      <c r="J722" s="13">
        <v>42425.682359340281</v>
      </c>
      <c r="K722" s="13">
        <v>43521</v>
      </c>
      <c r="L722" s="13" t="s">
        <v>1845</v>
      </c>
      <c r="M722" s="12"/>
      <c r="N722" s="12"/>
      <c r="O722" s="12"/>
      <c r="P722" s="12"/>
      <c r="Q722" s="12"/>
    </row>
    <row r="723" spans="1:17" x14ac:dyDescent="0.25">
      <c r="A723" s="11">
        <v>200071</v>
      </c>
      <c r="B723" s="12" t="s">
        <v>1863</v>
      </c>
      <c r="C723" s="12" t="s">
        <v>1864</v>
      </c>
      <c r="D723" s="12">
        <v>6</v>
      </c>
      <c r="E723" s="125">
        <v>17130619.140000001</v>
      </c>
      <c r="F723" s="12">
        <v>12</v>
      </c>
      <c r="G723" s="125">
        <v>13267280.039999999</v>
      </c>
      <c r="H723" s="12" t="s">
        <v>491</v>
      </c>
      <c r="I723" s="125">
        <v>537252.16</v>
      </c>
      <c r="J723" s="13">
        <v>42441.469613194444</v>
      </c>
      <c r="K723" s="13">
        <v>43536</v>
      </c>
      <c r="L723" s="13" t="s">
        <v>1865</v>
      </c>
      <c r="M723" s="12"/>
      <c r="N723" s="12"/>
      <c r="O723" s="12"/>
      <c r="P723" s="12"/>
      <c r="Q723" s="12"/>
    </row>
    <row r="724" spans="1:17" x14ac:dyDescent="0.25">
      <c r="A724" s="11">
        <v>200081</v>
      </c>
      <c r="B724" s="12" t="s">
        <v>1896</v>
      </c>
      <c r="C724" s="12" t="s">
        <v>1897</v>
      </c>
      <c r="D724" s="12">
        <v>6</v>
      </c>
      <c r="E724" s="125">
        <v>38481344.130000003</v>
      </c>
      <c r="F724" s="12">
        <v>-7</v>
      </c>
      <c r="G724" s="125">
        <v>29018508.73</v>
      </c>
      <c r="H724" s="12" t="s">
        <v>546</v>
      </c>
      <c r="I724" s="125">
        <v>709341.32</v>
      </c>
      <c r="J724" s="13">
        <v>42459.710820219909</v>
      </c>
      <c r="K724" s="13">
        <v>43556</v>
      </c>
      <c r="L724" s="13" t="s">
        <v>1898</v>
      </c>
      <c r="M724" s="12"/>
      <c r="N724" s="12"/>
      <c r="O724" s="12"/>
      <c r="P724" s="12"/>
      <c r="Q724" s="12"/>
    </row>
    <row r="725" spans="1:17" x14ac:dyDescent="0.25">
      <c r="A725" s="11">
        <v>200089</v>
      </c>
      <c r="B725" s="12" t="s">
        <v>1910</v>
      </c>
      <c r="C725" s="12" t="s">
        <v>1911</v>
      </c>
      <c r="D725" s="12">
        <v>6</v>
      </c>
      <c r="E725" s="125">
        <v>3671264.03</v>
      </c>
      <c r="F725" s="12">
        <v>-11</v>
      </c>
      <c r="G725" s="125">
        <v>3330896.48</v>
      </c>
      <c r="H725" s="12" t="s">
        <v>1467</v>
      </c>
      <c r="I725" s="125">
        <v>66617.929999999993</v>
      </c>
      <c r="J725" s="13">
        <v>42465.41413449074</v>
      </c>
      <c r="K725" s="13">
        <v>43195</v>
      </c>
      <c r="L725" s="13" t="s">
        <v>1912</v>
      </c>
      <c r="M725" s="12"/>
      <c r="N725" s="12"/>
      <c r="O725" s="12"/>
      <c r="P725" s="12"/>
      <c r="Q725" s="12"/>
    </row>
    <row r="726" spans="1:17" x14ac:dyDescent="0.25">
      <c r="A726" s="11">
        <v>200091</v>
      </c>
      <c r="B726" s="12" t="s">
        <v>1917</v>
      </c>
      <c r="C726" s="12" t="s">
        <v>1918</v>
      </c>
      <c r="D726" s="12">
        <v>2</v>
      </c>
      <c r="E726" s="125">
        <v>5373302.0499999998</v>
      </c>
      <c r="F726" s="12">
        <v>16</v>
      </c>
      <c r="G726" s="125">
        <v>4816026.9000000004</v>
      </c>
      <c r="H726" s="12" t="s">
        <v>1925</v>
      </c>
      <c r="I726" s="125">
        <v>90514.08</v>
      </c>
      <c r="J726" s="13">
        <v>42468.666712418984</v>
      </c>
      <c r="K726" s="13">
        <v>43198</v>
      </c>
      <c r="L726" s="13" t="s">
        <v>1919</v>
      </c>
      <c r="M726" s="12"/>
      <c r="N726" s="12" t="s">
        <v>1920</v>
      </c>
      <c r="O726" s="12"/>
      <c r="P726" s="12"/>
      <c r="Q726" s="12"/>
    </row>
    <row r="727" spans="1:17" x14ac:dyDescent="0.25">
      <c r="A727" s="11">
        <v>200098</v>
      </c>
      <c r="B727" s="12" t="s">
        <v>1934</v>
      </c>
      <c r="C727" s="12" t="s">
        <v>1935</v>
      </c>
      <c r="D727" s="12">
        <v>2</v>
      </c>
      <c r="E727" s="125">
        <v>23951653.420000002</v>
      </c>
      <c r="F727" s="12">
        <v>-1</v>
      </c>
      <c r="G727" s="125">
        <v>16845060.75</v>
      </c>
      <c r="H727" s="12" t="s">
        <v>90</v>
      </c>
      <c r="I727" s="125">
        <v>628882.27</v>
      </c>
      <c r="J727" s="13">
        <v>42480.684143020837</v>
      </c>
      <c r="K727" s="13">
        <v>43580</v>
      </c>
      <c r="L727" s="13" t="s">
        <v>1936</v>
      </c>
      <c r="M727" s="12"/>
      <c r="N727" s="12"/>
      <c r="O727" s="12"/>
      <c r="P727" s="12"/>
      <c r="Q727" s="12"/>
    </row>
    <row r="728" spans="1:17" x14ac:dyDescent="0.25">
      <c r="A728" s="11">
        <v>200099</v>
      </c>
      <c r="B728" s="12" t="s">
        <v>1938</v>
      </c>
      <c r="C728" s="12" t="s">
        <v>1942</v>
      </c>
      <c r="D728" s="12">
        <v>6</v>
      </c>
      <c r="E728" s="125">
        <v>17375524.010000002</v>
      </c>
      <c r="F728" s="12">
        <v>0</v>
      </c>
      <c r="G728" s="125">
        <v>12909808.369999999</v>
      </c>
      <c r="H728" s="12" t="s">
        <v>2861</v>
      </c>
      <c r="I728" s="125">
        <v>415982.71</v>
      </c>
      <c r="J728" s="13">
        <v>42481.548824652775</v>
      </c>
      <c r="K728" s="13">
        <v>43579</v>
      </c>
      <c r="L728" s="13" t="s">
        <v>1943</v>
      </c>
      <c r="M728" s="12"/>
      <c r="N728" s="12"/>
      <c r="O728" s="12"/>
      <c r="P728" s="12"/>
      <c r="Q728" s="12"/>
    </row>
    <row r="729" spans="1:17" x14ac:dyDescent="0.25">
      <c r="A729" s="11">
        <v>200105</v>
      </c>
      <c r="B729" s="12" t="s">
        <v>1995</v>
      </c>
      <c r="C729" s="12" t="s">
        <v>1996</v>
      </c>
      <c r="D729" s="12">
        <v>2</v>
      </c>
      <c r="E729" s="125">
        <v>23799094.969999999</v>
      </c>
      <c r="F729" s="12">
        <v>-1</v>
      </c>
      <c r="G729" s="125">
        <v>16737767.310000001</v>
      </c>
      <c r="H729" s="12" t="s">
        <v>4684</v>
      </c>
      <c r="I729" s="125">
        <v>624876.65</v>
      </c>
      <c r="J729" s="13">
        <v>42485.720724270832</v>
      </c>
      <c r="K729" s="13">
        <v>43580</v>
      </c>
      <c r="L729" s="13" t="s">
        <v>1997</v>
      </c>
      <c r="M729" s="12"/>
      <c r="N729" s="12" t="s">
        <v>1998</v>
      </c>
      <c r="O729" s="12"/>
      <c r="P729" s="12"/>
      <c r="Q729" s="12"/>
    </row>
    <row r="730" spans="1:17" x14ac:dyDescent="0.25">
      <c r="A730" s="11">
        <v>200107</v>
      </c>
      <c r="B730" s="12" t="s">
        <v>1705</v>
      </c>
      <c r="C730" s="12" t="s">
        <v>1906</v>
      </c>
      <c r="D730" s="12">
        <v>5</v>
      </c>
      <c r="E730" s="125">
        <v>5321582.1500000004</v>
      </c>
      <c r="F730" s="12">
        <v>-27</v>
      </c>
      <c r="G730" s="125">
        <v>4442839.51</v>
      </c>
      <c r="H730" s="12" t="s">
        <v>284</v>
      </c>
      <c r="I730" s="125">
        <v>6170.61</v>
      </c>
      <c r="J730" s="13">
        <v>42486.63441712963</v>
      </c>
      <c r="K730" s="13">
        <v>43576</v>
      </c>
      <c r="L730" s="13" t="s">
        <v>1907</v>
      </c>
      <c r="M730" s="12"/>
      <c r="N730" s="12" t="s">
        <v>1908</v>
      </c>
      <c r="O730" s="12"/>
      <c r="P730" s="12"/>
      <c r="Q730" s="12"/>
    </row>
    <row r="731" spans="1:17" x14ac:dyDescent="0.25">
      <c r="A731" s="11">
        <v>200111</v>
      </c>
      <c r="B731" s="12" t="s">
        <v>2005</v>
      </c>
      <c r="C731" s="12" t="s">
        <v>2006</v>
      </c>
      <c r="D731" s="12">
        <v>3</v>
      </c>
      <c r="E731" s="125">
        <v>20807048.27</v>
      </c>
      <c r="F731" s="12">
        <v>19</v>
      </c>
      <c r="G731" s="125">
        <v>18519114.02</v>
      </c>
      <c r="H731" s="12" t="s">
        <v>2855</v>
      </c>
      <c r="I731" s="125">
        <v>845413.96</v>
      </c>
      <c r="J731" s="13">
        <v>42488.544714965275</v>
      </c>
      <c r="K731" s="13">
        <v>43225</v>
      </c>
      <c r="L731" s="13" t="s">
        <v>1570</v>
      </c>
      <c r="M731" s="12"/>
      <c r="N731" s="12"/>
      <c r="O731" s="12"/>
      <c r="P731" s="12"/>
      <c r="Q731" s="12"/>
    </row>
    <row r="732" spans="1:17" x14ac:dyDescent="0.25">
      <c r="A732" s="11">
        <v>200119</v>
      </c>
      <c r="B732" s="12" t="s">
        <v>2017</v>
      </c>
      <c r="C732" s="12" t="s">
        <v>2018</v>
      </c>
      <c r="D732" s="12">
        <v>3</v>
      </c>
      <c r="E732" s="125">
        <v>54370912.640000001</v>
      </c>
      <c r="F732" s="12">
        <v>146</v>
      </c>
      <c r="G732" s="125">
        <v>38300691.909999996</v>
      </c>
      <c r="H732" s="12" t="s">
        <v>1909</v>
      </c>
      <c r="I732" s="125">
        <v>1435362.7</v>
      </c>
      <c r="J732" s="13">
        <v>42489.806193321761</v>
      </c>
      <c r="K732" s="13">
        <v>43586</v>
      </c>
      <c r="L732" s="13" t="s">
        <v>2019</v>
      </c>
      <c r="M732" s="12"/>
      <c r="N732" s="12"/>
      <c r="O732" s="12"/>
      <c r="P732" s="12"/>
      <c r="Q732" s="12"/>
    </row>
    <row r="733" spans="1:17" x14ac:dyDescent="0.25">
      <c r="A733" s="11">
        <v>200122</v>
      </c>
      <c r="B733" s="12" t="s">
        <v>2020</v>
      </c>
      <c r="C733" s="12" t="s">
        <v>2021</v>
      </c>
      <c r="D733" s="12">
        <v>3</v>
      </c>
      <c r="E733" s="125">
        <v>60312323.920000002</v>
      </c>
      <c r="F733" s="12">
        <v>-26</v>
      </c>
      <c r="G733" s="125">
        <v>38284314.530000001</v>
      </c>
      <c r="H733" s="12" t="s">
        <v>1447</v>
      </c>
      <c r="I733" s="125">
        <v>127614.38</v>
      </c>
      <c r="J733" s="13">
        <v>42490.746087997686</v>
      </c>
      <c r="K733" s="13">
        <v>43941</v>
      </c>
      <c r="L733" s="13" t="s">
        <v>2022</v>
      </c>
      <c r="M733" s="12"/>
      <c r="N733" s="12"/>
      <c r="O733" s="12"/>
      <c r="P733" s="12"/>
      <c r="Q733" s="12"/>
    </row>
    <row r="734" spans="1:17" x14ac:dyDescent="0.25">
      <c r="A734" s="11">
        <v>200123</v>
      </c>
      <c r="B734" s="12" t="s">
        <v>2023</v>
      </c>
      <c r="C734" s="12" t="s">
        <v>2024</v>
      </c>
      <c r="D734" s="12">
        <v>1</v>
      </c>
      <c r="E734" s="125">
        <v>6462756.4299999997</v>
      </c>
      <c r="F734" s="12">
        <v>111</v>
      </c>
      <c r="G734" s="125">
        <v>5259874.79</v>
      </c>
      <c r="H734" s="12" t="s">
        <v>5724</v>
      </c>
      <c r="I734" s="125">
        <v>225072.98</v>
      </c>
      <c r="J734" s="13">
        <v>42490.775684641201</v>
      </c>
      <c r="K734" s="13">
        <v>43225</v>
      </c>
      <c r="L734" s="13" t="s">
        <v>2025</v>
      </c>
      <c r="M734" s="12"/>
      <c r="N734" s="12"/>
      <c r="O734" s="12"/>
      <c r="P734" s="12"/>
      <c r="Q734" s="12"/>
    </row>
    <row r="735" spans="1:17" x14ac:dyDescent="0.25">
      <c r="A735" s="11">
        <v>200126</v>
      </c>
      <c r="B735" s="12" t="s">
        <v>1702</v>
      </c>
      <c r="C735" s="12" t="s">
        <v>1703</v>
      </c>
      <c r="D735" s="12">
        <v>6</v>
      </c>
      <c r="E735" s="125">
        <v>50206903.479999997</v>
      </c>
      <c r="F735" s="12">
        <v>-16</v>
      </c>
      <c r="G735" s="125">
        <v>32802582.32</v>
      </c>
      <c r="H735" s="12" t="s">
        <v>546</v>
      </c>
      <c r="I735" s="125">
        <v>426433.57</v>
      </c>
      <c r="J735" s="13">
        <v>42493.687899502314</v>
      </c>
      <c r="K735" s="13">
        <v>43961</v>
      </c>
      <c r="L735" s="13" t="s">
        <v>1704</v>
      </c>
      <c r="M735" s="12"/>
      <c r="N735" s="12"/>
      <c r="O735" s="12"/>
      <c r="P735" s="12"/>
      <c r="Q735" s="12"/>
    </row>
    <row r="736" spans="1:17" x14ac:dyDescent="0.25">
      <c r="A736" s="11">
        <v>200130</v>
      </c>
      <c r="B736" s="12" t="s">
        <v>1954</v>
      </c>
      <c r="C736" s="12" t="s">
        <v>2028</v>
      </c>
      <c r="D736" s="12">
        <v>2</v>
      </c>
      <c r="E736" s="125">
        <v>24062130.149999999</v>
      </c>
      <c r="F736" s="12">
        <v>-15</v>
      </c>
      <c r="G736" s="125">
        <v>13869438.57</v>
      </c>
      <c r="H736" s="12" t="s">
        <v>1909</v>
      </c>
      <c r="I736" s="125">
        <v>258896.19</v>
      </c>
      <c r="J736" s="13">
        <v>42499.721652546294</v>
      </c>
      <c r="K736" s="13">
        <v>43960</v>
      </c>
      <c r="L736" s="13" t="s">
        <v>2029</v>
      </c>
      <c r="M736" s="12"/>
      <c r="N736" s="12"/>
      <c r="O736" s="12"/>
      <c r="P736" s="12"/>
      <c r="Q736" s="12"/>
    </row>
    <row r="737" spans="1:17" x14ac:dyDescent="0.25">
      <c r="A737" s="11">
        <v>200137</v>
      </c>
      <c r="B737" s="12" t="s">
        <v>2048</v>
      </c>
      <c r="C737" s="12" t="s">
        <v>2054</v>
      </c>
      <c r="D737" s="12">
        <v>6</v>
      </c>
      <c r="E737" s="125">
        <v>19917558.93</v>
      </c>
      <c r="F737" s="12">
        <v>9</v>
      </c>
      <c r="G737" s="125">
        <v>17944519.829999998</v>
      </c>
      <c r="H737" s="12" t="s">
        <v>1467</v>
      </c>
      <c r="I737" s="125">
        <v>146330.96</v>
      </c>
      <c r="J737" s="13">
        <v>42501.640024386572</v>
      </c>
      <c r="K737" s="13">
        <v>43235</v>
      </c>
      <c r="L737" s="13" t="s">
        <v>2055</v>
      </c>
      <c r="M737" s="12"/>
      <c r="N737" s="12"/>
      <c r="O737" s="12"/>
      <c r="P737" s="12"/>
      <c r="Q737" s="12"/>
    </row>
    <row r="738" spans="1:17" x14ac:dyDescent="0.25">
      <c r="A738" s="11">
        <v>200138</v>
      </c>
      <c r="B738" s="12" t="s">
        <v>2049</v>
      </c>
      <c r="C738" s="12" t="s">
        <v>2056</v>
      </c>
      <c r="D738" s="12">
        <v>2</v>
      </c>
      <c r="E738" s="125">
        <v>9743292.7799999993</v>
      </c>
      <c r="F738" s="12">
        <v>40</v>
      </c>
      <c r="G738" s="125">
        <v>8427538.2899999991</v>
      </c>
      <c r="H738" s="12" t="s">
        <v>90</v>
      </c>
      <c r="I738" s="125">
        <v>315203.7</v>
      </c>
      <c r="J738" s="13">
        <v>42501.670679166666</v>
      </c>
      <c r="K738" s="13">
        <v>43235</v>
      </c>
      <c r="L738" s="13" t="s">
        <v>2057</v>
      </c>
      <c r="M738" s="12"/>
      <c r="N738" s="12" t="s">
        <v>2058</v>
      </c>
      <c r="O738" s="12"/>
      <c r="P738" s="12"/>
      <c r="Q738" s="12"/>
    </row>
    <row r="739" spans="1:17" x14ac:dyDescent="0.25">
      <c r="A739" s="11">
        <v>200140</v>
      </c>
      <c r="B739" s="12" t="s">
        <v>2059</v>
      </c>
      <c r="C739" s="12" t="s">
        <v>2066</v>
      </c>
      <c r="D739" s="12">
        <v>6</v>
      </c>
      <c r="E739" s="125">
        <v>11558851.560000001</v>
      </c>
      <c r="F739" s="12">
        <v>41</v>
      </c>
      <c r="G739" s="125">
        <v>8339217.0599999996</v>
      </c>
      <c r="H739" s="12" t="s">
        <v>1039</v>
      </c>
      <c r="I739" s="125">
        <v>545604.43999999994</v>
      </c>
      <c r="J739" s="13">
        <v>42503.7178915162</v>
      </c>
      <c r="K739" s="13">
        <v>43599</v>
      </c>
      <c r="L739" s="13" t="s">
        <v>2067</v>
      </c>
      <c r="M739" s="12"/>
      <c r="N739" s="12"/>
      <c r="O739" s="12"/>
      <c r="P739" s="12"/>
      <c r="Q739" s="12"/>
    </row>
    <row r="740" spans="1:17" x14ac:dyDescent="0.25">
      <c r="A740" s="11">
        <v>200141</v>
      </c>
      <c r="B740" s="12" t="s">
        <v>2068</v>
      </c>
      <c r="C740" s="12" t="s">
        <v>2071</v>
      </c>
      <c r="D740" s="12">
        <v>6</v>
      </c>
      <c r="E740" s="125">
        <v>32253180.84</v>
      </c>
      <c r="F740" s="12">
        <v>1</v>
      </c>
      <c r="G740" s="125">
        <v>23649292.989999998</v>
      </c>
      <c r="H740" s="12" t="s">
        <v>546</v>
      </c>
      <c r="I740" s="125">
        <v>788309.77</v>
      </c>
      <c r="J740" s="13">
        <v>42504.434353321762</v>
      </c>
      <c r="K740" s="13">
        <v>43608</v>
      </c>
      <c r="L740" s="13" t="s">
        <v>2072</v>
      </c>
      <c r="M740" s="12"/>
      <c r="N740" s="12"/>
      <c r="O740" s="12"/>
      <c r="P740" s="12"/>
      <c r="Q740" s="12"/>
    </row>
    <row r="741" spans="1:17" x14ac:dyDescent="0.25">
      <c r="A741" s="11">
        <v>200142</v>
      </c>
      <c r="B741" s="12" t="s">
        <v>2074</v>
      </c>
      <c r="C741" s="12" t="s">
        <v>2077</v>
      </c>
      <c r="D741" s="12">
        <v>2</v>
      </c>
      <c r="E741" s="125">
        <v>16002496.02</v>
      </c>
      <c r="F741" s="12">
        <v>8</v>
      </c>
      <c r="G741" s="125">
        <v>11113808.76</v>
      </c>
      <c r="H741" s="12" t="s">
        <v>1448</v>
      </c>
      <c r="I741" s="125">
        <v>469417.86</v>
      </c>
      <c r="J741" s="13">
        <v>42506.736059606483</v>
      </c>
      <c r="K741" s="13">
        <v>43601</v>
      </c>
      <c r="L741" s="13" t="s">
        <v>2078</v>
      </c>
      <c r="M741" s="12"/>
      <c r="N741" s="12"/>
      <c r="O741" s="12"/>
      <c r="P741" s="12"/>
      <c r="Q741" s="12"/>
    </row>
    <row r="742" spans="1:17" x14ac:dyDescent="0.25">
      <c r="A742" s="11">
        <v>200149</v>
      </c>
      <c r="B742" s="12" t="s">
        <v>2082</v>
      </c>
      <c r="C742" s="12" t="s">
        <v>2093</v>
      </c>
      <c r="D742" s="12">
        <v>3</v>
      </c>
      <c r="E742" s="125">
        <v>28089680.829999998</v>
      </c>
      <c r="F742" s="12">
        <v>-1</v>
      </c>
      <c r="G742" s="125">
        <v>20564774.699999999</v>
      </c>
      <c r="H742" s="12" t="s">
        <v>2034</v>
      </c>
      <c r="I742" s="125">
        <v>639792.99</v>
      </c>
      <c r="J742" s="13">
        <v>42508.715886377315</v>
      </c>
      <c r="K742" s="13">
        <v>43610</v>
      </c>
      <c r="L742" s="13" t="s">
        <v>2094</v>
      </c>
      <c r="M742" s="12"/>
      <c r="N742" s="12"/>
      <c r="O742" s="12"/>
      <c r="P742" s="12"/>
      <c r="Q742" s="12"/>
    </row>
    <row r="743" spans="1:17" x14ac:dyDescent="0.25">
      <c r="A743" s="11">
        <v>200154</v>
      </c>
      <c r="B743" s="12" t="s">
        <v>1746</v>
      </c>
      <c r="C743" s="12" t="s">
        <v>403</v>
      </c>
      <c r="D743" s="12">
        <v>2</v>
      </c>
      <c r="E743" s="125">
        <v>31465315.210000001</v>
      </c>
      <c r="F743" s="12">
        <v>-27</v>
      </c>
      <c r="G743" s="125">
        <v>23223436.140000001</v>
      </c>
      <c r="H743" s="12" t="s">
        <v>284</v>
      </c>
      <c r="I743" s="125">
        <v>32254.77</v>
      </c>
      <c r="J743" s="13">
        <v>42510.554343206015</v>
      </c>
      <c r="K743" s="13">
        <v>43972</v>
      </c>
      <c r="L743" s="13" t="s">
        <v>404</v>
      </c>
      <c r="M743" s="12"/>
      <c r="N743" s="12"/>
      <c r="O743" s="12"/>
      <c r="P743" s="12"/>
      <c r="Q743" s="12"/>
    </row>
    <row r="744" spans="1:17" x14ac:dyDescent="0.25">
      <c r="A744" s="11">
        <v>200156</v>
      </c>
      <c r="B744" s="12" t="s">
        <v>2105</v>
      </c>
      <c r="C744" s="12" t="s">
        <v>2115</v>
      </c>
      <c r="D744" s="12">
        <v>2</v>
      </c>
      <c r="E744" s="125">
        <v>1153762.44</v>
      </c>
      <c r="F744" s="12">
        <v>4</v>
      </c>
      <c r="G744" s="125">
        <v>1153762.44</v>
      </c>
      <c r="H744" s="12" t="s">
        <v>1448</v>
      </c>
      <c r="I744" s="125">
        <v>47092.17</v>
      </c>
      <c r="J744" s="13">
        <v>42510.632320370372</v>
      </c>
      <c r="K744" s="13">
        <v>43059</v>
      </c>
      <c r="L744" s="13" t="s">
        <v>2116</v>
      </c>
      <c r="M744" s="12" t="s">
        <v>5711</v>
      </c>
      <c r="N744" s="12"/>
      <c r="O744" s="12"/>
      <c r="P744" s="12"/>
      <c r="Q744" s="12"/>
    </row>
    <row r="745" spans="1:17" x14ac:dyDescent="0.25">
      <c r="A745" s="11">
        <v>200158</v>
      </c>
      <c r="B745" s="12" t="s">
        <v>2103</v>
      </c>
      <c r="C745" s="12" t="s">
        <v>2120</v>
      </c>
      <c r="D745" s="12">
        <v>3</v>
      </c>
      <c r="E745" s="125">
        <v>38979875.920000002</v>
      </c>
      <c r="F745" s="12">
        <v>4</v>
      </c>
      <c r="G745" s="125">
        <v>28964323.84</v>
      </c>
      <c r="H745" s="12" t="s">
        <v>1448</v>
      </c>
      <c r="I745" s="125">
        <v>1100338.8999999999</v>
      </c>
      <c r="J745" s="13">
        <v>42510.694846643521</v>
      </c>
      <c r="K745" s="13">
        <v>43605</v>
      </c>
      <c r="L745" s="13" t="s">
        <v>2121</v>
      </c>
      <c r="M745" s="12"/>
      <c r="N745" s="12"/>
      <c r="O745" s="12"/>
      <c r="P745" s="12"/>
      <c r="Q745" s="12"/>
    </row>
    <row r="746" spans="1:17" x14ac:dyDescent="0.25">
      <c r="A746" s="11">
        <v>200160</v>
      </c>
      <c r="B746" s="12" t="s">
        <v>2036</v>
      </c>
      <c r="C746" s="12" t="s">
        <v>2047</v>
      </c>
      <c r="D746" s="12">
        <v>6</v>
      </c>
      <c r="E746" s="125">
        <v>57589302.270000003</v>
      </c>
      <c r="F746" s="12">
        <v>9</v>
      </c>
      <c r="G746" s="125">
        <v>35619244.359999999</v>
      </c>
      <c r="H746" s="12" t="s">
        <v>546</v>
      </c>
      <c r="I746" s="125">
        <v>1408938.92</v>
      </c>
      <c r="J746" s="13">
        <v>42511.461811539353</v>
      </c>
      <c r="K746" s="13">
        <v>43966</v>
      </c>
      <c r="L746" s="13" t="s">
        <v>1278</v>
      </c>
      <c r="M746" s="12" t="s">
        <v>1704</v>
      </c>
      <c r="N746" s="12"/>
      <c r="O746" s="12"/>
      <c r="P746" s="12"/>
      <c r="Q746" s="12"/>
    </row>
    <row r="747" spans="1:17" x14ac:dyDescent="0.25">
      <c r="A747" s="11">
        <v>200166</v>
      </c>
      <c r="B747" s="12" t="s">
        <v>2138</v>
      </c>
      <c r="C747" s="12" t="s">
        <v>2156</v>
      </c>
      <c r="D747" s="12">
        <v>2</v>
      </c>
      <c r="E747" s="125">
        <v>18507819.920000002</v>
      </c>
      <c r="F747" s="12">
        <v>91</v>
      </c>
      <c r="G747" s="125">
        <v>13494346.41</v>
      </c>
      <c r="H747" s="12" t="s">
        <v>1925</v>
      </c>
      <c r="I747" s="125">
        <v>1031529.39</v>
      </c>
      <c r="J747" s="13">
        <v>42514.770124456016</v>
      </c>
      <c r="K747" s="13">
        <v>43429</v>
      </c>
      <c r="L747" s="13" t="s">
        <v>2157</v>
      </c>
      <c r="M747" s="12"/>
      <c r="N747" s="12"/>
      <c r="O747" s="12"/>
      <c r="P747" s="12"/>
      <c r="Q747" s="12"/>
    </row>
    <row r="748" spans="1:17" x14ac:dyDescent="0.25">
      <c r="A748" s="11">
        <v>200168</v>
      </c>
      <c r="B748" s="12" t="s">
        <v>2129</v>
      </c>
      <c r="C748" s="12" t="s">
        <v>2160</v>
      </c>
      <c r="D748" s="12">
        <v>2</v>
      </c>
      <c r="E748" s="125">
        <v>20326576.129999999</v>
      </c>
      <c r="F748" s="12">
        <v>23</v>
      </c>
      <c r="G748" s="125">
        <v>15389135.51</v>
      </c>
      <c r="H748" s="12" t="s">
        <v>1925</v>
      </c>
      <c r="I748" s="125">
        <v>972646.62</v>
      </c>
      <c r="J748" s="13">
        <v>42515.69282207176</v>
      </c>
      <c r="K748" s="13">
        <v>43435</v>
      </c>
      <c r="L748" s="13" t="s">
        <v>2161</v>
      </c>
      <c r="M748" s="12" t="s">
        <v>4143</v>
      </c>
      <c r="N748" s="12"/>
      <c r="O748" s="12"/>
      <c r="P748" s="12"/>
      <c r="Q748" s="12"/>
    </row>
    <row r="749" spans="1:17" x14ac:dyDescent="0.25">
      <c r="A749" s="11">
        <v>200172</v>
      </c>
      <c r="B749" s="12" t="s">
        <v>2166</v>
      </c>
      <c r="C749" s="12" t="s">
        <v>2172</v>
      </c>
      <c r="D749" s="12">
        <v>3</v>
      </c>
      <c r="E749" s="125">
        <v>48318022.259999998</v>
      </c>
      <c r="F749" s="12">
        <v>21</v>
      </c>
      <c r="G749" s="125">
        <v>34933347.789999999</v>
      </c>
      <c r="H749" s="12" t="s">
        <v>1909</v>
      </c>
      <c r="I749" s="125">
        <v>1810300.91</v>
      </c>
      <c r="J749" s="13">
        <v>42517.76865690972</v>
      </c>
      <c r="K749" s="13">
        <v>43619</v>
      </c>
      <c r="L749" s="13" t="s">
        <v>2173</v>
      </c>
      <c r="M749" s="12"/>
      <c r="N749" s="12"/>
      <c r="O749" s="12"/>
      <c r="P749" s="12"/>
      <c r="Q749" s="12"/>
    </row>
    <row r="750" spans="1:17" x14ac:dyDescent="0.25">
      <c r="A750" s="11">
        <v>200174</v>
      </c>
      <c r="B750" s="12" t="s">
        <v>2174</v>
      </c>
      <c r="C750" s="12" t="s">
        <v>2180</v>
      </c>
      <c r="D750" s="12">
        <v>6</v>
      </c>
      <c r="E750" s="125">
        <v>4287746.95</v>
      </c>
      <c r="F750" s="12">
        <v>-7</v>
      </c>
      <c r="G750" s="125">
        <v>3768780.6</v>
      </c>
      <c r="H750" s="12" t="s">
        <v>2175</v>
      </c>
      <c r="I750" s="125">
        <v>92125.75</v>
      </c>
      <c r="J750" s="13">
        <v>42520.713327662037</v>
      </c>
      <c r="K750" s="13">
        <v>43252</v>
      </c>
      <c r="L750" s="13" t="s">
        <v>2181</v>
      </c>
      <c r="M750" s="12"/>
      <c r="N750" s="12"/>
      <c r="O750" s="12"/>
      <c r="P750" s="12"/>
      <c r="Q750" s="12"/>
    </row>
    <row r="751" spans="1:17" x14ac:dyDescent="0.25">
      <c r="A751" s="11">
        <v>200177</v>
      </c>
      <c r="B751" s="12" t="s">
        <v>2194</v>
      </c>
      <c r="C751" s="12" t="s">
        <v>2203</v>
      </c>
      <c r="D751" s="12">
        <v>6</v>
      </c>
      <c r="E751" s="125">
        <v>47620307.869999997</v>
      </c>
      <c r="F751" s="12">
        <v>23</v>
      </c>
      <c r="G751" s="125">
        <v>32219659.550000001</v>
      </c>
      <c r="H751" s="12" t="s">
        <v>491</v>
      </c>
      <c r="I751" s="125">
        <v>769005.89</v>
      </c>
      <c r="J751" s="13">
        <v>42521.653327465276</v>
      </c>
      <c r="K751" s="13">
        <v>43800</v>
      </c>
      <c r="L751" s="13" t="s">
        <v>2204</v>
      </c>
      <c r="M751" s="12"/>
      <c r="N751" s="12"/>
      <c r="O751" s="12"/>
      <c r="P751" s="12"/>
      <c r="Q751" s="12"/>
    </row>
    <row r="752" spans="1:17" x14ac:dyDescent="0.25">
      <c r="A752" s="11">
        <v>200178</v>
      </c>
      <c r="B752" s="12" t="s">
        <v>2190</v>
      </c>
      <c r="C752" s="12" t="s">
        <v>2205</v>
      </c>
      <c r="D752" s="12">
        <v>2</v>
      </c>
      <c r="E752" s="125">
        <v>2388657.08</v>
      </c>
      <c r="F752" s="12">
        <v>23</v>
      </c>
      <c r="G752" s="125">
        <v>2252616.69</v>
      </c>
      <c r="H752" s="12" t="s">
        <v>2034</v>
      </c>
      <c r="I752" s="125">
        <v>123790.86</v>
      </c>
      <c r="J752" s="13">
        <v>42521.717520486112</v>
      </c>
      <c r="K752" s="13">
        <v>43070</v>
      </c>
      <c r="L752" s="13" t="s">
        <v>2206</v>
      </c>
      <c r="M752" s="12"/>
      <c r="N752" s="12"/>
      <c r="O752" s="12"/>
      <c r="P752" s="12"/>
      <c r="Q752" s="12"/>
    </row>
    <row r="753" spans="1:17" x14ac:dyDescent="0.25">
      <c r="A753" s="11">
        <v>200180</v>
      </c>
      <c r="B753" s="12" t="s">
        <v>2187</v>
      </c>
      <c r="C753" s="12" t="s">
        <v>2207</v>
      </c>
      <c r="D753" s="12">
        <v>3</v>
      </c>
      <c r="E753" s="125">
        <v>13420510.109999999</v>
      </c>
      <c r="F753" s="12">
        <v>-16</v>
      </c>
      <c r="G753" s="125">
        <v>11796162.1</v>
      </c>
      <c r="H753" s="12" t="s">
        <v>1191</v>
      </c>
      <c r="I753" s="125">
        <v>170389.01</v>
      </c>
      <c r="J753" s="13">
        <v>42521.676000694446</v>
      </c>
      <c r="K753" s="13">
        <v>43261</v>
      </c>
      <c r="L753" s="13" t="s">
        <v>2208</v>
      </c>
      <c r="M753" s="12"/>
      <c r="N753" s="12" t="s">
        <v>2209</v>
      </c>
      <c r="O753" s="12"/>
      <c r="P753" s="12"/>
      <c r="Q753" s="12"/>
    </row>
    <row r="754" spans="1:17" x14ac:dyDescent="0.25">
      <c r="A754" s="11">
        <v>200187</v>
      </c>
      <c r="B754" s="12" t="s">
        <v>2216</v>
      </c>
      <c r="C754" s="12" t="s">
        <v>2220</v>
      </c>
      <c r="D754" s="12">
        <v>7</v>
      </c>
      <c r="E754" s="125">
        <v>558171.25</v>
      </c>
      <c r="F754" s="12">
        <v>202</v>
      </c>
      <c r="G754" s="125">
        <v>544003.85</v>
      </c>
      <c r="H754" s="12" t="s">
        <v>1925</v>
      </c>
      <c r="I754" s="125">
        <v>13695.15</v>
      </c>
      <c r="J754" s="13">
        <v>42527.615072256944</v>
      </c>
      <c r="K754" s="13">
        <v>42892</v>
      </c>
      <c r="L754" s="13" t="s">
        <v>2221</v>
      </c>
      <c r="M754" s="12"/>
      <c r="N754" s="12"/>
      <c r="O754" s="12"/>
      <c r="P754" s="12"/>
      <c r="Q754" s="12"/>
    </row>
    <row r="755" spans="1:17" x14ac:dyDescent="0.25">
      <c r="A755" s="11">
        <v>200189</v>
      </c>
      <c r="B755" s="12" t="s">
        <v>2227</v>
      </c>
      <c r="C755" s="12" t="s">
        <v>2228</v>
      </c>
      <c r="D755" s="12">
        <v>8</v>
      </c>
      <c r="E755" s="125">
        <v>648953.38</v>
      </c>
      <c r="F755" s="12">
        <v>165</v>
      </c>
      <c r="G755" s="125">
        <v>622995.24</v>
      </c>
      <c r="H755" s="12" t="s">
        <v>1667</v>
      </c>
      <c r="I755" s="125">
        <v>25958.14</v>
      </c>
      <c r="J755" s="13">
        <v>42529.505429247685</v>
      </c>
      <c r="K755" s="13">
        <v>42898</v>
      </c>
      <c r="L755" s="13" t="s">
        <v>2229</v>
      </c>
      <c r="M755" s="12"/>
      <c r="N755" s="12"/>
      <c r="O755" s="12"/>
      <c r="P755" s="12"/>
      <c r="Q755" s="12"/>
    </row>
    <row r="756" spans="1:17" x14ac:dyDescent="0.25">
      <c r="A756" s="11">
        <v>200190</v>
      </c>
      <c r="B756" s="12" t="s">
        <v>2226</v>
      </c>
      <c r="C756" s="12" t="s">
        <v>2230</v>
      </c>
      <c r="D756" s="12">
        <v>3</v>
      </c>
      <c r="E756" s="125">
        <v>3746697.02</v>
      </c>
      <c r="F756" s="12">
        <v>-16</v>
      </c>
      <c r="G756" s="125">
        <v>3625835.83</v>
      </c>
      <c r="H756" s="12" t="s">
        <v>1925</v>
      </c>
      <c r="I756" s="125">
        <v>52373.18</v>
      </c>
      <c r="J756" s="13">
        <v>42529.687446875003</v>
      </c>
      <c r="K756" s="13">
        <v>43079</v>
      </c>
      <c r="L756" s="13" t="s">
        <v>2231</v>
      </c>
      <c r="M756" s="12"/>
      <c r="N756" s="12"/>
      <c r="O756" s="12"/>
      <c r="P756" s="12"/>
      <c r="Q756" s="12"/>
    </row>
    <row r="757" spans="1:17" x14ac:dyDescent="0.25">
      <c r="A757" s="11">
        <v>200194</v>
      </c>
      <c r="B757" s="12" t="s">
        <v>2247</v>
      </c>
      <c r="C757" s="12" t="s">
        <v>2252</v>
      </c>
      <c r="D757" s="12">
        <v>3</v>
      </c>
      <c r="E757" s="125">
        <v>46310461.18</v>
      </c>
      <c r="F757" s="12">
        <v>44</v>
      </c>
      <c r="G757" s="125">
        <v>33044254.620000001</v>
      </c>
      <c r="H757" s="12" t="s">
        <v>1925</v>
      </c>
      <c r="I757" s="125">
        <v>2000676.4</v>
      </c>
      <c r="J757" s="13">
        <v>42532.504003240741</v>
      </c>
      <c r="K757" s="13">
        <v>43627</v>
      </c>
      <c r="L757" s="13" t="s">
        <v>2253</v>
      </c>
      <c r="M757" s="12"/>
      <c r="N757" s="12"/>
      <c r="O757" s="12"/>
      <c r="P757" s="12"/>
      <c r="Q757" s="12"/>
    </row>
    <row r="758" spans="1:17" x14ac:dyDescent="0.25">
      <c r="A758" s="11">
        <v>200199</v>
      </c>
      <c r="B758" s="12" t="s">
        <v>2259</v>
      </c>
      <c r="C758" s="12" t="s">
        <v>2262</v>
      </c>
      <c r="D758" s="12">
        <v>1</v>
      </c>
      <c r="E758" s="125">
        <v>3863273.66</v>
      </c>
      <c r="F758" s="12">
        <v>-21</v>
      </c>
      <c r="G758" s="125">
        <v>3252159.47</v>
      </c>
      <c r="H758" s="12" t="s">
        <v>1909</v>
      </c>
      <c r="I758" s="125">
        <v>39025.910000000003</v>
      </c>
      <c r="J758" s="13">
        <v>42536.539414733794</v>
      </c>
      <c r="K758" s="13">
        <v>43266</v>
      </c>
      <c r="L758" s="13" t="s">
        <v>2263</v>
      </c>
      <c r="M758" s="12"/>
      <c r="N758" s="12"/>
      <c r="O758" s="12"/>
      <c r="P758" s="12"/>
      <c r="Q758" s="12"/>
    </row>
    <row r="759" spans="1:17" x14ac:dyDescent="0.25">
      <c r="A759" s="11">
        <v>200201</v>
      </c>
      <c r="B759" s="12" t="s">
        <v>2256</v>
      </c>
      <c r="C759" s="12" t="s">
        <v>2264</v>
      </c>
      <c r="D759" s="12">
        <v>3</v>
      </c>
      <c r="E759" s="125">
        <v>25331722.579999998</v>
      </c>
      <c r="F759" s="12">
        <v>40</v>
      </c>
      <c r="G759" s="125">
        <v>21578331.32</v>
      </c>
      <c r="H759" s="12" t="s">
        <v>963</v>
      </c>
      <c r="I759" s="125">
        <v>1366304.36</v>
      </c>
      <c r="J759" s="13">
        <v>42536.680900578707</v>
      </c>
      <c r="K759" s="13">
        <v>43266</v>
      </c>
      <c r="L759" s="13" t="s">
        <v>2265</v>
      </c>
      <c r="M759" s="12"/>
      <c r="N759" s="12"/>
      <c r="O759" s="12"/>
      <c r="P759" s="12"/>
      <c r="Q759" s="12"/>
    </row>
    <row r="760" spans="1:17" x14ac:dyDescent="0.25">
      <c r="A760" s="11">
        <v>200202</v>
      </c>
      <c r="B760" s="12" t="s">
        <v>2257</v>
      </c>
      <c r="C760" s="12" t="s">
        <v>2266</v>
      </c>
      <c r="D760" s="12">
        <v>2</v>
      </c>
      <c r="E760" s="125">
        <v>2385598.65</v>
      </c>
      <c r="F760" s="12">
        <v>9</v>
      </c>
      <c r="G760" s="125">
        <v>2249732.4500000002</v>
      </c>
      <c r="H760" s="12" t="s">
        <v>1191</v>
      </c>
      <c r="I760" s="125">
        <v>102223.14</v>
      </c>
      <c r="J760" s="13">
        <v>42536.693507407406</v>
      </c>
      <c r="K760" s="13">
        <v>43084</v>
      </c>
      <c r="L760" s="13" t="s">
        <v>2267</v>
      </c>
      <c r="M760" s="12"/>
      <c r="N760" s="12"/>
      <c r="O760" s="12"/>
      <c r="P760" s="12"/>
      <c r="Q760" s="12"/>
    </row>
    <row r="761" spans="1:17" x14ac:dyDescent="0.25">
      <c r="A761" s="11">
        <v>200223</v>
      </c>
      <c r="B761" s="12" t="s">
        <v>2338</v>
      </c>
      <c r="C761" s="12" t="s">
        <v>2341</v>
      </c>
      <c r="D761" s="12">
        <v>7</v>
      </c>
      <c r="E761" s="125">
        <v>860680.92</v>
      </c>
      <c r="F761" s="12">
        <v>153</v>
      </c>
      <c r="G761" s="125">
        <v>826253.68</v>
      </c>
      <c r="H761" s="12" t="s">
        <v>5724</v>
      </c>
      <c r="I761" s="125">
        <v>34427.24</v>
      </c>
      <c r="J761" s="13">
        <v>42545.78184560185</v>
      </c>
      <c r="K761" s="13">
        <v>42910</v>
      </c>
      <c r="L761" s="13" t="s">
        <v>2342</v>
      </c>
      <c r="M761" s="12"/>
      <c r="N761" s="12"/>
      <c r="O761" s="12"/>
      <c r="P761" s="12"/>
      <c r="Q761" s="12"/>
    </row>
    <row r="762" spans="1:17" x14ac:dyDescent="0.25">
      <c r="A762" s="11">
        <v>200225</v>
      </c>
      <c r="B762" s="12" t="s">
        <v>2343</v>
      </c>
      <c r="C762" s="12" t="s">
        <v>2344</v>
      </c>
      <c r="D762" s="12">
        <v>3</v>
      </c>
      <c r="E762" s="125">
        <v>39526470.899999999</v>
      </c>
      <c r="F762" s="12">
        <v>23</v>
      </c>
      <c r="G762" s="125">
        <v>28736718.07</v>
      </c>
      <c r="H762" s="12" t="s">
        <v>1925</v>
      </c>
      <c r="I762" s="125">
        <v>683141.02</v>
      </c>
      <c r="J762" s="13">
        <v>42546.556387418983</v>
      </c>
      <c r="K762" s="13">
        <v>43647</v>
      </c>
      <c r="L762" s="13" t="s">
        <v>2345</v>
      </c>
      <c r="M762" s="12" t="s">
        <v>2346</v>
      </c>
      <c r="N762" s="12"/>
      <c r="O762" s="12"/>
      <c r="P762" s="12"/>
      <c r="Q762" s="12"/>
    </row>
    <row r="763" spans="1:17" x14ac:dyDescent="0.25">
      <c r="A763" s="11">
        <v>200226</v>
      </c>
      <c r="B763" s="12" t="s">
        <v>2347</v>
      </c>
      <c r="C763" s="12" t="s">
        <v>2354</v>
      </c>
      <c r="D763" s="12">
        <v>3</v>
      </c>
      <c r="E763" s="125">
        <v>46440442.189999998</v>
      </c>
      <c r="F763" s="12">
        <v>22</v>
      </c>
      <c r="G763" s="125">
        <v>33221911.890000001</v>
      </c>
      <c r="H763" s="12" t="s">
        <v>491</v>
      </c>
      <c r="I763" s="125">
        <v>1572672.49</v>
      </c>
      <c r="J763" s="13">
        <v>42548.554626041667</v>
      </c>
      <c r="K763" s="13">
        <v>43648</v>
      </c>
      <c r="L763" s="13" t="s">
        <v>2355</v>
      </c>
      <c r="M763" s="12"/>
      <c r="N763" s="12" t="s">
        <v>2356</v>
      </c>
      <c r="O763" s="12"/>
      <c r="P763" s="12"/>
      <c r="Q763" s="12"/>
    </row>
    <row r="764" spans="1:17" x14ac:dyDescent="0.25">
      <c r="A764" s="11">
        <v>200228</v>
      </c>
      <c r="B764" s="12" t="s">
        <v>2348</v>
      </c>
      <c r="C764" s="12" t="s">
        <v>2357</v>
      </c>
      <c r="D764" s="12">
        <v>1</v>
      </c>
      <c r="E764" s="125">
        <v>2495437.35</v>
      </c>
      <c r="F764" s="12">
        <v>-11</v>
      </c>
      <c r="G764" s="125">
        <v>2336562.5299999998</v>
      </c>
      <c r="H764" s="12" t="s">
        <v>90</v>
      </c>
      <c r="I764" s="125">
        <v>63087.19</v>
      </c>
      <c r="J764" s="13">
        <v>42548.781287534723</v>
      </c>
      <c r="K764" s="13">
        <v>43105</v>
      </c>
      <c r="L764" s="13" t="s">
        <v>2358</v>
      </c>
      <c r="M764" s="12"/>
      <c r="N764" s="12"/>
      <c r="O764" s="12"/>
      <c r="P764" s="12"/>
      <c r="Q764" s="12"/>
    </row>
    <row r="765" spans="1:17" x14ac:dyDescent="0.25">
      <c r="A765" s="11">
        <v>200230</v>
      </c>
      <c r="B765" s="12" t="s">
        <v>2360</v>
      </c>
      <c r="C765" s="12" t="s">
        <v>2365</v>
      </c>
      <c r="D765" s="12">
        <v>3</v>
      </c>
      <c r="E765" s="125">
        <v>17402826.129999999</v>
      </c>
      <c r="F765" s="12">
        <v>19</v>
      </c>
      <c r="G765" s="125">
        <v>15076885.18</v>
      </c>
      <c r="H765" s="12" t="s">
        <v>1448</v>
      </c>
      <c r="I765" s="125">
        <v>298711.59999999998</v>
      </c>
      <c r="J765" s="13">
        <v>42549.590748263887</v>
      </c>
      <c r="K765" s="13">
        <v>43286</v>
      </c>
      <c r="L765" s="13" t="s">
        <v>2366</v>
      </c>
      <c r="M765" s="12"/>
      <c r="N765" s="12" t="s">
        <v>2367</v>
      </c>
      <c r="O765" s="12"/>
      <c r="P765" s="12"/>
      <c r="Q765" s="12"/>
    </row>
    <row r="766" spans="1:17" x14ac:dyDescent="0.25">
      <c r="A766" s="11">
        <v>200245</v>
      </c>
      <c r="B766" s="12" t="s">
        <v>2388</v>
      </c>
      <c r="C766" s="12" t="s">
        <v>2403</v>
      </c>
      <c r="D766" s="12">
        <v>1</v>
      </c>
      <c r="E766" s="125">
        <v>6670286.5</v>
      </c>
      <c r="F766" s="12">
        <v>-11</v>
      </c>
      <c r="G766" s="125">
        <v>5499556.2400000002</v>
      </c>
      <c r="H766" s="12" t="s">
        <v>1447</v>
      </c>
      <c r="I766" s="125">
        <v>148488.01999999999</v>
      </c>
      <c r="J766" s="13">
        <v>42551.709169907408</v>
      </c>
      <c r="K766" s="13">
        <v>43286</v>
      </c>
      <c r="L766" s="13" t="s">
        <v>2404</v>
      </c>
      <c r="M766" s="12"/>
      <c r="N766" s="12"/>
      <c r="O766" s="12"/>
      <c r="P766" s="12"/>
      <c r="Q766" s="12"/>
    </row>
    <row r="767" spans="1:17" x14ac:dyDescent="0.25">
      <c r="A767" s="11">
        <v>200246</v>
      </c>
      <c r="B767" s="12" t="s">
        <v>2384</v>
      </c>
      <c r="C767" s="12" t="s">
        <v>2405</v>
      </c>
      <c r="D767" s="12">
        <v>3</v>
      </c>
      <c r="E767" s="125">
        <v>16593580.869999999</v>
      </c>
      <c r="F767" s="12">
        <v>23</v>
      </c>
      <c r="G767" s="125">
        <v>14134916.619999999</v>
      </c>
      <c r="H767" s="12" t="s">
        <v>2855</v>
      </c>
      <c r="I767" s="125">
        <v>783132.43</v>
      </c>
      <c r="J767" s="13">
        <v>42551.717535648146</v>
      </c>
      <c r="K767" s="13">
        <v>43282</v>
      </c>
      <c r="L767" s="13" t="s">
        <v>2406</v>
      </c>
      <c r="M767" s="12"/>
      <c r="N767" s="12"/>
      <c r="O767" s="12"/>
      <c r="P767" s="12"/>
      <c r="Q767" s="12"/>
    </row>
    <row r="768" spans="1:17" x14ac:dyDescent="0.25">
      <c r="A768" s="11">
        <v>200261</v>
      </c>
      <c r="B768" s="12" t="s">
        <v>2456</v>
      </c>
      <c r="C768" s="12" t="s">
        <v>2457</v>
      </c>
      <c r="D768" s="12">
        <v>6</v>
      </c>
      <c r="E768" s="125">
        <v>9178160.4000000004</v>
      </c>
      <c r="F768" s="12">
        <v>44</v>
      </c>
      <c r="G768" s="125">
        <v>7697640.4299999997</v>
      </c>
      <c r="H768" s="12" t="s">
        <v>2855</v>
      </c>
      <c r="I768" s="125">
        <v>490375.9</v>
      </c>
      <c r="J768" s="13">
        <v>42562.47607207176</v>
      </c>
      <c r="K768" s="13">
        <v>43292</v>
      </c>
      <c r="L768" s="13" t="s">
        <v>2458</v>
      </c>
      <c r="M768" s="12"/>
      <c r="N768" s="12"/>
      <c r="O768" s="12"/>
      <c r="P768" s="12"/>
      <c r="Q768" s="12"/>
    </row>
    <row r="769" spans="1:17" x14ac:dyDescent="0.25">
      <c r="A769" s="11">
        <v>200263</v>
      </c>
      <c r="B769" s="12" t="s">
        <v>2462</v>
      </c>
      <c r="C769" s="12" t="s">
        <v>2463</v>
      </c>
      <c r="D769" s="12">
        <v>2</v>
      </c>
      <c r="E769" s="125">
        <v>17898761.219999999</v>
      </c>
      <c r="F769" s="12">
        <v>44</v>
      </c>
      <c r="G769" s="125">
        <v>13409280.34</v>
      </c>
      <c r="H769" s="12" t="s">
        <v>2861</v>
      </c>
      <c r="I769" s="125">
        <v>513525.67</v>
      </c>
      <c r="J769" s="13">
        <v>42562.642518287037</v>
      </c>
      <c r="K769" s="13">
        <v>43476</v>
      </c>
      <c r="L769" s="13" t="s">
        <v>2464</v>
      </c>
      <c r="M769" s="12"/>
      <c r="N769" s="12"/>
      <c r="O769" s="12"/>
      <c r="P769" s="12"/>
      <c r="Q769" s="12"/>
    </row>
    <row r="770" spans="1:17" x14ac:dyDescent="0.25">
      <c r="A770" s="11">
        <v>200266</v>
      </c>
      <c r="B770" s="12" t="s">
        <v>2465</v>
      </c>
      <c r="C770" s="12" t="s">
        <v>2466</v>
      </c>
      <c r="D770" s="12">
        <v>2</v>
      </c>
      <c r="E770" s="125">
        <v>19747703.68</v>
      </c>
      <c r="F770" s="12">
        <v>100</v>
      </c>
      <c r="G770" s="125">
        <v>15447617.51</v>
      </c>
      <c r="H770" s="12" t="s">
        <v>2861</v>
      </c>
      <c r="I770" s="125">
        <v>1186213.57</v>
      </c>
      <c r="J770" s="13">
        <v>42564.411534606479</v>
      </c>
      <c r="K770" s="13">
        <v>43297</v>
      </c>
      <c r="L770" s="13" t="s">
        <v>2467</v>
      </c>
      <c r="M770" s="12"/>
      <c r="N770" s="12" t="s">
        <v>2468</v>
      </c>
      <c r="O770" s="12"/>
      <c r="P770" s="12"/>
      <c r="Q770" s="12"/>
    </row>
    <row r="771" spans="1:17" x14ac:dyDescent="0.25">
      <c r="A771" s="11">
        <v>200271</v>
      </c>
      <c r="B771" s="12" t="s">
        <v>2477</v>
      </c>
      <c r="C771" s="12" t="s">
        <v>2478</v>
      </c>
      <c r="D771" s="12">
        <v>1</v>
      </c>
      <c r="E771" s="125">
        <v>5453613.9400000004</v>
      </c>
      <c r="F771" s="12">
        <v>71</v>
      </c>
      <c r="G771" s="125">
        <v>4944804.82</v>
      </c>
      <c r="H771" s="12" t="s">
        <v>90</v>
      </c>
      <c r="I771" s="125">
        <v>202608.27</v>
      </c>
      <c r="J771" s="13">
        <v>42565.47078773148</v>
      </c>
      <c r="K771" s="13">
        <v>43114</v>
      </c>
      <c r="L771" s="13" t="s">
        <v>2479</v>
      </c>
      <c r="M771" s="12"/>
      <c r="N771" s="12"/>
      <c r="O771" s="12"/>
      <c r="P771" s="12"/>
      <c r="Q771" s="12"/>
    </row>
    <row r="772" spans="1:17" x14ac:dyDescent="0.25">
      <c r="A772" s="11">
        <v>200276</v>
      </c>
      <c r="B772" s="12" t="s">
        <v>2483</v>
      </c>
      <c r="C772" s="12" t="s">
        <v>2484</v>
      </c>
      <c r="D772" s="12">
        <v>5</v>
      </c>
      <c r="E772" s="125">
        <v>1356919.91</v>
      </c>
      <c r="F772" s="12">
        <v>-27</v>
      </c>
      <c r="G772" s="125">
        <v>1201566.93</v>
      </c>
      <c r="H772" s="12" t="s">
        <v>284</v>
      </c>
      <c r="I772" s="125">
        <v>1668.84</v>
      </c>
      <c r="J772" s="13">
        <v>42567.557909340278</v>
      </c>
      <c r="K772" s="13">
        <v>43394</v>
      </c>
      <c r="L772" s="13" t="s">
        <v>2485</v>
      </c>
      <c r="M772" s="12"/>
      <c r="N772" s="12"/>
      <c r="O772" s="12"/>
      <c r="P772" s="12"/>
      <c r="Q772" s="12"/>
    </row>
    <row r="773" spans="1:17" x14ac:dyDescent="0.25">
      <c r="A773" s="11">
        <v>200284</v>
      </c>
      <c r="B773" s="12" t="s">
        <v>2492</v>
      </c>
      <c r="C773" s="12" t="s">
        <v>2499</v>
      </c>
      <c r="D773" s="12">
        <v>1</v>
      </c>
      <c r="E773" s="125">
        <v>1332915.3400000001</v>
      </c>
      <c r="F773" s="12">
        <v>5</v>
      </c>
      <c r="G773" s="125">
        <v>1249144.06</v>
      </c>
      <c r="H773" s="12" t="s">
        <v>1447</v>
      </c>
      <c r="I773" s="125">
        <v>88775.98</v>
      </c>
      <c r="J773" s="13">
        <v>42570.665408020832</v>
      </c>
      <c r="K773" s="13">
        <v>43119</v>
      </c>
      <c r="L773" s="13" t="s">
        <v>2500</v>
      </c>
      <c r="M773" s="12"/>
      <c r="N773" s="12"/>
      <c r="O773" s="12"/>
      <c r="P773" s="12"/>
      <c r="Q773" s="12"/>
    </row>
    <row r="774" spans="1:17" x14ac:dyDescent="0.25">
      <c r="A774" s="11">
        <v>200290</v>
      </c>
      <c r="B774" s="12" t="s">
        <v>2518</v>
      </c>
      <c r="C774" s="12" t="s">
        <v>2519</v>
      </c>
      <c r="D774" s="12">
        <v>1</v>
      </c>
      <c r="E774" s="125">
        <v>1644737.84</v>
      </c>
      <c r="F774" s="12">
        <v>-28</v>
      </c>
      <c r="G774" s="125">
        <v>1540023.76</v>
      </c>
      <c r="H774" s="12" t="s">
        <v>1667</v>
      </c>
      <c r="I774" s="125">
        <v>2310.04</v>
      </c>
      <c r="J774" s="13">
        <v>42573.54057109954</v>
      </c>
      <c r="K774" s="13">
        <v>43122</v>
      </c>
      <c r="L774" s="13" t="s">
        <v>2520</v>
      </c>
      <c r="M774" s="12"/>
      <c r="N774" s="12" t="s">
        <v>2521</v>
      </c>
      <c r="O774" s="12"/>
      <c r="P774" s="12"/>
      <c r="Q774" s="12"/>
    </row>
    <row r="775" spans="1:17" x14ac:dyDescent="0.25">
      <c r="A775" s="11">
        <v>200295</v>
      </c>
      <c r="B775" s="12" t="s">
        <v>2527</v>
      </c>
      <c r="C775" s="12" t="s">
        <v>2528</v>
      </c>
      <c r="D775" s="12">
        <v>1</v>
      </c>
      <c r="E775" s="125">
        <v>1335149.8700000001</v>
      </c>
      <c r="F775" s="12">
        <v>185</v>
      </c>
      <c r="G775" s="125">
        <v>1265329.6499999999</v>
      </c>
      <c r="H775" s="12" t="s">
        <v>2175</v>
      </c>
      <c r="I775" s="125">
        <v>44667.61</v>
      </c>
      <c r="J775" s="13">
        <v>42574.554366087963</v>
      </c>
      <c r="K775" s="13">
        <v>42939</v>
      </c>
      <c r="L775" s="13" t="s">
        <v>2529</v>
      </c>
      <c r="M775" s="12"/>
      <c r="N775" s="12"/>
      <c r="O775" s="12"/>
      <c r="P775" s="12"/>
      <c r="Q775" s="12"/>
    </row>
    <row r="776" spans="1:17" x14ac:dyDescent="0.25">
      <c r="A776" s="11">
        <v>200299</v>
      </c>
      <c r="B776" s="12" t="s">
        <v>2541</v>
      </c>
      <c r="C776" s="12" t="s">
        <v>2548</v>
      </c>
      <c r="D776" s="12">
        <v>2</v>
      </c>
      <c r="E776" s="125">
        <v>10561161.43</v>
      </c>
      <c r="F776" s="12">
        <v>23</v>
      </c>
      <c r="G776" s="125">
        <v>8566048</v>
      </c>
      <c r="H776" s="12" t="s">
        <v>1667</v>
      </c>
      <c r="I776" s="125">
        <v>572984.07999999996</v>
      </c>
      <c r="J776" s="13">
        <v>42577.563691782409</v>
      </c>
      <c r="K776" s="13">
        <v>43313</v>
      </c>
      <c r="L776" s="13" t="s">
        <v>2549</v>
      </c>
      <c r="M776" s="12"/>
      <c r="N776" s="12"/>
      <c r="O776" s="12"/>
      <c r="P776" s="12"/>
      <c r="Q776" s="12"/>
    </row>
    <row r="777" spans="1:17" x14ac:dyDescent="0.25">
      <c r="A777" s="11">
        <v>200300</v>
      </c>
      <c r="B777" s="12" t="s">
        <v>2553</v>
      </c>
      <c r="C777" s="12" t="s">
        <v>2562</v>
      </c>
      <c r="D777" s="12">
        <v>2</v>
      </c>
      <c r="E777" s="125">
        <v>20763290.43</v>
      </c>
      <c r="F777" s="12">
        <v>54</v>
      </c>
      <c r="G777" s="125">
        <v>17027218.030000001</v>
      </c>
      <c r="H777" s="12" t="s">
        <v>5167</v>
      </c>
      <c r="I777" s="125">
        <v>639853.77</v>
      </c>
      <c r="J777" s="13">
        <v>42578.591155208334</v>
      </c>
      <c r="K777" s="13">
        <v>43313</v>
      </c>
      <c r="L777" s="13" t="s">
        <v>2563</v>
      </c>
      <c r="M777" s="12" t="s">
        <v>2564</v>
      </c>
      <c r="N777" s="12"/>
      <c r="O777" s="12"/>
      <c r="P777" s="12"/>
      <c r="Q777" s="12"/>
    </row>
    <row r="778" spans="1:17" x14ac:dyDescent="0.25">
      <c r="A778" s="11">
        <v>200303</v>
      </c>
      <c r="B778" s="12" t="s">
        <v>2554</v>
      </c>
      <c r="C778" s="12" t="s">
        <v>2565</v>
      </c>
      <c r="D778" s="12">
        <v>2</v>
      </c>
      <c r="E778" s="125">
        <v>22783191.969999999</v>
      </c>
      <c r="F778" s="12">
        <v>23</v>
      </c>
      <c r="G778" s="125">
        <v>15363874.67</v>
      </c>
      <c r="H778" s="12" t="s">
        <v>1448</v>
      </c>
      <c r="I778" s="125">
        <v>445700.42</v>
      </c>
      <c r="J778" s="13">
        <v>42578.467473032404</v>
      </c>
      <c r="K778" s="13">
        <v>43678</v>
      </c>
      <c r="L778" s="13" t="s">
        <v>2566</v>
      </c>
      <c r="M778" s="12" t="s">
        <v>2567</v>
      </c>
      <c r="N778" s="12"/>
      <c r="O778" s="12"/>
      <c r="P778" s="12"/>
      <c r="Q778" s="12"/>
    </row>
    <row r="779" spans="1:17" x14ac:dyDescent="0.25">
      <c r="A779" s="11">
        <v>200309</v>
      </c>
      <c r="B779" s="12" t="s">
        <v>2574</v>
      </c>
      <c r="C779" s="12" t="s">
        <v>2583</v>
      </c>
      <c r="D779" s="12">
        <v>2</v>
      </c>
      <c r="E779" s="125">
        <v>6343771.9699999997</v>
      </c>
      <c r="F779" s="12">
        <v>23</v>
      </c>
      <c r="G779" s="125">
        <v>5756806.8799999999</v>
      </c>
      <c r="H779" s="12" t="s">
        <v>2494</v>
      </c>
      <c r="I779" s="125">
        <v>359372.27</v>
      </c>
      <c r="J779" s="13">
        <v>42579.655403969904</v>
      </c>
      <c r="K779" s="13">
        <v>43132</v>
      </c>
      <c r="L779" s="13" t="s">
        <v>2584</v>
      </c>
      <c r="M779" s="12"/>
      <c r="N779" s="12"/>
      <c r="O779" s="12"/>
      <c r="P779" s="12"/>
      <c r="Q779" s="12"/>
    </row>
    <row r="780" spans="1:17" x14ac:dyDescent="0.25">
      <c r="A780" s="11">
        <v>200310</v>
      </c>
      <c r="B780" s="12" t="s">
        <v>2591</v>
      </c>
      <c r="C780" s="12" t="s">
        <v>2597</v>
      </c>
      <c r="D780" s="12">
        <v>3</v>
      </c>
      <c r="E780" s="125">
        <v>7817411.1399999997</v>
      </c>
      <c r="F780" s="12">
        <v>-1</v>
      </c>
      <c r="G780" s="125">
        <v>7323820.7699999996</v>
      </c>
      <c r="H780" s="12" t="s">
        <v>1191</v>
      </c>
      <c r="I780" s="125">
        <v>227852.2</v>
      </c>
      <c r="J780" s="13">
        <v>42580.434455358794</v>
      </c>
      <c r="K780" s="13">
        <v>43125</v>
      </c>
      <c r="L780" s="13" t="s">
        <v>2598</v>
      </c>
      <c r="M780" s="12"/>
      <c r="N780" s="12"/>
      <c r="O780" s="12"/>
      <c r="P780" s="12"/>
      <c r="Q780" s="12"/>
    </row>
    <row r="781" spans="1:17" x14ac:dyDescent="0.25">
      <c r="A781" s="11">
        <v>200313</v>
      </c>
      <c r="B781" s="12" t="s">
        <v>2585</v>
      </c>
      <c r="C781" s="12" t="s">
        <v>2601</v>
      </c>
      <c r="D781" s="12">
        <v>2</v>
      </c>
      <c r="E781" s="125">
        <v>18119849.739999998</v>
      </c>
      <c r="F781" s="12">
        <v>51</v>
      </c>
      <c r="G781" s="125">
        <v>14456376.6</v>
      </c>
      <c r="H781" s="12" t="s">
        <v>963</v>
      </c>
      <c r="I781" s="125">
        <v>1079999.8799999999</v>
      </c>
      <c r="J781" s="13">
        <v>42580.507581331018</v>
      </c>
      <c r="K781" s="13">
        <v>43316</v>
      </c>
      <c r="L781" s="13" t="s">
        <v>2602</v>
      </c>
      <c r="M781" s="12"/>
      <c r="N781" s="12"/>
      <c r="O781" s="12"/>
      <c r="P781" s="12"/>
      <c r="Q781" s="12"/>
    </row>
    <row r="782" spans="1:17" x14ac:dyDescent="0.25">
      <c r="A782" s="11">
        <v>200315</v>
      </c>
      <c r="B782" s="12" t="s">
        <v>2590</v>
      </c>
      <c r="C782" s="12" t="s">
        <v>2603</v>
      </c>
      <c r="D782" s="12">
        <v>6</v>
      </c>
      <c r="E782" s="125">
        <v>1041388.39</v>
      </c>
      <c r="F782" s="12">
        <v>145</v>
      </c>
      <c r="G782" s="125">
        <v>1016516.93</v>
      </c>
      <c r="H782" s="12" t="s">
        <v>2175</v>
      </c>
      <c r="I782" s="125">
        <v>24042.41</v>
      </c>
      <c r="J782" s="13">
        <v>42580.643223148145</v>
      </c>
      <c r="K782" s="13">
        <v>42949</v>
      </c>
      <c r="L782" s="13" t="s">
        <v>2604</v>
      </c>
      <c r="M782" s="12"/>
      <c r="N782" s="12"/>
      <c r="O782" s="12"/>
      <c r="P782" s="12"/>
      <c r="Q782" s="12"/>
    </row>
    <row r="783" spans="1:17" x14ac:dyDescent="0.25">
      <c r="A783" s="11">
        <v>200318</v>
      </c>
      <c r="B783" s="12" t="s">
        <v>2589</v>
      </c>
      <c r="C783" s="12" t="s">
        <v>2607</v>
      </c>
      <c r="D783" s="12">
        <v>2</v>
      </c>
      <c r="E783" s="125">
        <v>15781200.74</v>
      </c>
      <c r="F783" s="12">
        <v>84</v>
      </c>
      <c r="G783" s="125">
        <v>12342311.060000001</v>
      </c>
      <c r="H783" s="12" t="s">
        <v>5725</v>
      </c>
      <c r="I783" s="125">
        <v>967566.19</v>
      </c>
      <c r="J783" s="13">
        <v>42580.683190312498</v>
      </c>
      <c r="K783" s="13">
        <v>43313</v>
      </c>
      <c r="L783" s="13" t="s">
        <v>2608</v>
      </c>
      <c r="M783" s="12"/>
      <c r="N783" s="12"/>
      <c r="O783" s="12"/>
      <c r="P783" s="12"/>
      <c r="Q783" s="12"/>
    </row>
    <row r="784" spans="1:17" x14ac:dyDescent="0.25">
      <c r="A784" s="11">
        <v>200319</v>
      </c>
      <c r="B784" s="12" t="s">
        <v>2587</v>
      </c>
      <c r="C784" s="12" t="s">
        <v>2609</v>
      </c>
      <c r="D784" s="12">
        <v>2</v>
      </c>
      <c r="E784" s="125">
        <v>11104174.09</v>
      </c>
      <c r="F784" s="12">
        <v>54</v>
      </c>
      <c r="G784" s="125">
        <v>9116685.1999999993</v>
      </c>
      <c r="H784" s="12" t="s">
        <v>2861</v>
      </c>
      <c r="I784" s="125">
        <v>340384.81</v>
      </c>
      <c r="J784" s="13">
        <v>42580.722208831015</v>
      </c>
      <c r="K784" s="13">
        <v>43313</v>
      </c>
      <c r="L784" s="13" t="s">
        <v>2610</v>
      </c>
      <c r="M784" s="12"/>
      <c r="N784" s="12"/>
      <c r="O784" s="12"/>
      <c r="P784" s="12"/>
      <c r="Q784" s="12"/>
    </row>
    <row r="785" spans="1:17" x14ac:dyDescent="0.25">
      <c r="A785" s="11">
        <v>200322</v>
      </c>
      <c r="B785" s="12" t="s">
        <v>2612</v>
      </c>
      <c r="C785" s="12" t="s">
        <v>2621</v>
      </c>
      <c r="D785" s="12">
        <v>2</v>
      </c>
      <c r="E785" s="125">
        <v>3796540.79</v>
      </c>
      <c r="F785" s="12">
        <v>-7</v>
      </c>
      <c r="G785" s="125">
        <v>3511915.43</v>
      </c>
      <c r="H785" s="12" t="s">
        <v>1925</v>
      </c>
      <c r="I785" s="125">
        <v>103016.19</v>
      </c>
      <c r="J785" s="13">
        <v>42581.528302743056</v>
      </c>
      <c r="K785" s="13">
        <v>43132</v>
      </c>
      <c r="L785" s="13" t="s">
        <v>2622</v>
      </c>
      <c r="M785" s="12"/>
      <c r="N785" s="12"/>
      <c r="O785" s="12"/>
      <c r="P785" s="12"/>
      <c r="Q785" s="12"/>
    </row>
    <row r="786" spans="1:17" x14ac:dyDescent="0.25">
      <c r="A786" s="11">
        <v>200331</v>
      </c>
      <c r="B786" s="12" t="s">
        <v>2611</v>
      </c>
      <c r="C786" s="12" t="s">
        <v>2631</v>
      </c>
      <c r="D786" s="12">
        <v>2</v>
      </c>
      <c r="E786" s="125">
        <v>18059502.079999998</v>
      </c>
      <c r="F786" s="12">
        <v>54</v>
      </c>
      <c r="G786" s="125">
        <v>14382713.42</v>
      </c>
      <c r="H786" s="12" t="s">
        <v>5725</v>
      </c>
      <c r="I786" s="125">
        <v>1106479.67</v>
      </c>
      <c r="J786" s="13">
        <v>42581.561680173611</v>
      </c>
      <c r="K786" s="13">
        <v>43313</v>
      </c>
      <c r="L786" s="13" t="s">
        <v>2632</v>
      </c>
      <c r="M786" s="12"/>
      <c r="N786" s="12"/>
      <c r="O786" s="12"/>
      <c r="P786" s="12"/>
      <c r="Q786" s="12"/>
    </row>
    <row r="787" spans="1:17" x14ac:dyDescent="0.25">
      <c r="A787" s="11">
        <v>200334</v>
      </c>
      <c r="B787" s="12" t="s">
        <v>1775</v>
      </c>
      <c r="C787" s="12" t="s">
        <v>1776</v>
      </c>
      <c r="D787" s="12">
        <v>2</v>
      </c>
      <c r="E787" s="125">
        <v>5284433.72</v>
      </c>
      <c r="F787" s="12">
        <v>-15</v>
      </c>
      <c r="G787" s="125">
        <v>4935021.6500000004</v>
      </c>
      <c r="H787" s="12" t="s">
        <v>1667</v>
      </c>
      <c r="I787" s="125">
        <v>80605.350000000006</v>
      </c>
      <c r="J787" s="13">
        <v>42581.669069097225</v>
      </c>
      <c r="K787" s="13">
        <v>43140</v>
      </c>
      <c r="L787" s="13" t="s">
        <v>1777</v>
      </c>
      <c r="M787" s="12"/>
      <c r="N787" s="12" t="s">
        <v>1837</v>
      </c>
      <c r="O787" s="12"/>
      <c r="P787" s="12"/>
      <c r="Q787" s="12"/>
    </row>
    <row r="788" spans="1:17" x14ac:dyDescent="0.25">
      <c r="A788" s="11">
        <v>200335</v>
      </c>
      <c r="B788" s="12" t="s">
        <v>2633</v>
      </c>
      <c r="C788" s="12" t="s">
        <v>2641</v>
      </c>
      <c r="D788" s="12">
        <v>2</v>
      </c>
      <c r="E788" s="125">
        <v>10491621.65</v>
      </c>
      <c r="F788" s="12">
        <v>22</v>
      </c>
      <c r="G788" s="125">
        <v>8511487.2599999998</v>
      </c>
      <c r="H788" s="12" t="s">
        <v>1925</v>
      </c>
      <c r="I788" s="125">
        <v>556659.73</v>
      </c>
      <c r="J788" s="13">
        <v>42584.353854085646</v>
      </c>
      <c r="K788" s="13">
        <v>43314</v>
      </c>
      <c r="L788" s="13" t="s">
        <v>2642</v>
      </c>
      <c r="M788" s="12"/>
      <c r="N788" s="12"/>
      <c r="O788" s="12"/>
      <c r="P788" s="12"/>
      <c r="Q788" s="12"/>
    </row>
    <row r="789" spans="1:17" x14ac:dyDescent="0.25">
      <c r="A789" s="11">
        <v>200337</v>
      </c>
      <c r="B789" s="12" t="s">
        <v>2614</v>
      </c>
      <c r="C789" s="12" t="s">
        <v>2628</v>
      </c>
      <c r="D789" s="12">
        <v>3</v>
      </c>
      <c r="E789" s="125">
        <v>34387583.670000002</v>
      </c>
      <c r="F789" s="12">
        <v>-9</v>
      </c>
      <c r="G789" s="125">
        <v>24450276.539999999</v>
      </c>
      <c r="H789" s="12" t="s">
        <v>546</v>
      </c>
      <c r="I789" s="125">
        <v>543339.48</v>
      </c>
      <c r="J789" s="13">
        <v>42584.692311574072</v>
      </c>
      <c r="K789" s="13">
        <v>43680</v>
      </c>
      <c r="L789" s="13" t="s">
        <v>2629</v>
      </c>
      <c r="M789" s="12"/>
      <c r="N789" s="12" t="s">
        <v>2630</v>
      </c>
      <c r="O789" s="12"/>
      <c r="P789" s="12"/>
      <c r="Q789" s="12"/>
    </row>
    <row r="790" spans="1:17" x14ac:dyDescent="0.25">
      <c r="A790" s="11">
        <v>200339</v>
      </c>
      <c r="B790" s="12" t="s">
        <v>2645</v>
      </c>
      <c r="C790" s="12" t="s">
        <v>2646</v>
      </c>
      <c r="D790" s="12">
        <v>8</v>
      </c>
      <c r="E790" s="125">
        <v>2613027.35</v>
      </c>
      <c r="F790" s="12">
        <v>196</v>
      </c>
      <c r="G790" s="125">
        <v>2361969.35</v>
      </c>
      <c r="H790" s="12" t="s">
        <v>2538</v>
      </c>
      <c r="I790" s="125">
        <v>171202.49</v>
      </c>
      <c r="J790" s="13">
        <v>42585.71644236111</v>
      </c>
      <c r="K790" s="13">
        <v>42959</v>
      </c>
      <c r="L790" s="13" t="s">
        <v>2647</v>
      </c>
      <c r="M790" s="12"/>
      <c r="N790" s="12"/>
      <c r="O790" s="12"/>
      <c r="P790" s="12"/>
      <c r="Q790" s="12"/>
    </row>
    <row r="791" spans="1:17" x14ac:dyDescent="0.25">
      <c r="A791" s="11">
        <v>200342</v>
      </c>
      <c r="B791" s="12" t="s">
        <v>2505</v>
      </c>
      <c r="C791" s="12" t="s">
        <v>2511</v>
      </c>
      <c r="D791" s="12">
        <v>1</v>
      </c>
      <c r="E791" s="125">
        <v>5151028.08</v>
      </c>
      <c r="F791" s="12">
        <v>45</v>
      </c>
      <c r="G791" s="125">
        <v>4638567.24</v>
      </c>
      <c r="H791" s="12" t="s">
        <v>1447</v>
      </c>
      <c r="I791" s="125">
        <v>199009.72</v>
      </c>
      <c r="J791" s="13">
        <v>42587.656656979168</v>
      </c>
      <c r="K791" s="13">
        <v>43141</v>
      </c>
      <c r="L791" s="13" t="s">
        <v>2512</v>
      </c>
      <c r="M791" s="12"/>
      <c r="N791" s="12"/>
      <c r="O791" s="12"/>
      <c r="P791" s="12"/>
      <c r="Q791" s="12"/>
    </row>
    <row r="792" spans="1:17" x14ac:dyDescent="0.25">
      <c r="A792" s="11">
        <v>200343</v>
      </c>
      <c r="B792" s="12" t="s">
        <v>2655</v>
      </c>
      <c r="C792" s="12" t="s">
        <v>2656</v>
      </c>
      <c r="D792" s="12">
        <v>2</v>
      </c>
      <c r="E792" s="125">
        <v>16738234.949999999</v>
      </c>
      <c r="F792" s="12">
        <v>141</v>
      </c>
      <c r="G792" s="125">
        <v>14359731.98</v>
      </c>
      <c r="H792" s="12" t="s">
        <v>963</v>
      </c>
      <c r="I792" s="125">
        <v>752940.7</v>
      </c>
      <c r="J792" s="13">
        <v>42588.5351872338</v>
      </c>
      <c r="K792" s="13">
        <v>43137</v>
      </c>
      <c r="L792" s="13" t="s">
        <v>2657</v>
      </c>
      <c r="M792" s="12" t="s">
        <v>2658</v>
      </c>
      <c r="N792" s="12"/>
      <c r="O792" s="12"/>
      <c r="P792" s="12"/>
      <c r="Q792" s="12"/>
    </row>
    <row r="793" spans="1:17" x14ac:dyDescent="0.25">
      <c r="A793" s="11">
        <v>200345</v>
      </c>
      <c r="B793" s="12" t="s">
        <v>2662</v>
      </c>
      <c r="C793" s="12" t="s">
        <v>2663</v>
      </c>
      <c r="D793" s="12">
        <v>6</v>
      </c>
      <c r="E793" s="125">
        <v>21463449.129999999</v>
      </c>
      <c r="F793" s="12">
        <v>-25</v>
      </c>
      <c r="G793" s="125">
        <v>18568528.07</v>
      </c>
      <c r="H793" s="12" t="s">
        <v>1467</v>
      </c>
      <c r="I793" s="125">
        <v>74274.11</v>
      </c>
      <c r="J793" s="13">
        <v>42591.682169097221</v>
      </c>
      <c r="K793" s="13">
        <v>43331</v>
      </c>
      <c r="L793" s="13" t="s">
        <v>2664</v>
      </c>
      <c r="M793" s="12"/>
      <c r="N793" s="12"/>
      <c r="O793" s="12"/>
      <c r="P793" s="12"/>
      <c r="Q793" s="12"/>
    </row>
    <row r="794" spans="1:17" x14ac:dyDescent="0.25">
      <c r="A794" s="11">
        <v>200346</v>
      </c>
      <c r="B794" s="12" t="s">
        <v>2665</v>
      </c>
      <c r="C794" s="12" t="s">
        <v>2670</v>
      </c>
      <c r="D794" s="12">
        <v>1</v>
      </c>
      <c r="E794" s="125">
        <v>3211842.75</v>
      </c>
      <c r="F794" s="12">
        <v>-18</v>
      </c>
      <c r="G794" s="125">
        <v>2943080.4</v>
      </c>
      <c r="H794" s="12" t="s">
        <v>1447</v>
      </c>
      <c r="I794" s="125">
        <v>48560.83</v>
      </c>
      <c r="J794" s="13">
        <v>42593.547827812501</v>
      </c>
      <c r="K794" s="13">
        <v>43143</v>
      </c>
      <c r="L794" s="13" t="s">
        <v>2671</v>
      </c>
      <c r="M794" s="12"/>
      <c r="N794" s="12" t="s">
        <v>2672</v>
      </c>
      <c r="O794" s="12"/>
      <c r="P794" s="12"/>
      <c r="Q794" s="12"/>
    </row>
    <row r="795" spans="1:17" x14ac:dyDescent="0.25">
      <c r="A795" s="11">
        <v>200348</v>
      </c>
      <c r="B795" s="12" t="s">
        <v>2675</v>
      </c>
      <c r="C795" s="12" t="s">
        <v>2682</v>
      </c>
      <c r="D795" s="12">
        <v>1</v>
      </c>
      <c r="E795" s="125">
        <v>284904.05</v>
      </c>
      <c r="F795" s="12">
        <v>104</v>
      </c>
      <c r="G795" s="125">
        <v>284904.05</v>
      </c>
      <c r="H795" s="12" t="s">
        <v>2175</v>
      </c>
      <c r="I795" s="125">
        <v>0</v>
      </c>
      <c r="J795" s="13">
        <v>42594.579996064815</v>
      </c>
      <c r="K795" s="13">
        <v>42959</v>
      </c>
      <c r="L795" s="13" t="s">
        <v>2683</v>
      </c>
      <c r="M795" s="12" t="s">
        <v>2684</v>
      </c>
      <c r="N795" s="12"/>
      <c r="O795" s="12"/>
      <c r="P795" s="12"/>
      <c r="Q795" s="12"/>
    </row>
    <row r="796" spans="1:17" x14ac:dyDescent="0.25">
      <c r="A796" s="11">
        <v>200352</v>
      </c>
      <c r="B796" s="12" t="s">
        <v>2673</v>
      </c>
      <c r="C796" s="12" t="s">
        <v>2691</v>
      </c>
      <c r="D796" s="12">
        <v>6</v>
      </c>
      <c r="E796" s="125">
        <v>21476895.030000001</v>
      </c>
      <c r="F796" s="12">
        <v>-18</v>
      </c>
      <c r="G796" s="125">
        <v>18294672.07</v>
      </c>
      <c r="H796" s="12" t="s">
        <v>491</v>
      </c>
      <c r="I796" s="125">
        <v>223601.55</v>
      </c>
      <c r="J796" s="13">
        <v>42594.713174965276</v>
      </c>
      <c r="K796" s="13">
        <v>43324</v>
      </c>
      <c r="L796" s="13" t="s">
        <v>2692</v>
      </c>
      <c r="M796" s="12"/>
      <c r="N796" s="12"/>
      <c r="O796" s="12"/>
      <c r="P796" s="12"/>
      <c r="Q796" s="12"/>
    </row>
    <row r="797" spans="1:17" x14ac:dyDescent="0.25">
      <c r="A797" s="11">
        <v>200374</v>
      </c>
      <c r="B797" s="12" t="s">
        <v>2739</v>
      </c>
      <c r="C797" s="12" t="s">
        <v>2743</v>
      </c>
      <c r="D797" s="12">
        <v>2</v>
      </c>
      <c r="E797" s="125">
        <v>1956822.75</v>
      </c>
      <c r="F797" s="12">
        <v>94</v>
      </c>
      <c r="G797" s="125">
        <v>1956822.75</v>
      </c>
      <c r="H797" s="12" t="s">
        <v>1925</v>
      </c>
      <c r="I797" s="125">
        <v>0</v>
      </c>
      <c r="J797" s="13">
        <v>42604.67937395833</v>
      </c>
      <c r="K797" s="13">
        <v>42969</v>
      </c>
      <c r="L797" s="13" t="s">
        <v>2744</v>
      </c>
      <c r="M797" s="12" t="s">
        <v>2745</v>
      </c>
      <c r="N797" s="12"/>
      <c r="O797" s="12"/>
      <c r="P797" s="12"/>
      <c r="Q797" s="12"/>
    </row>
    <row r="798" spans="1:17" x14ac:dyDescent="0.25">
      <c r="A798" s="11">
        <v>200389</v>
      </c>
      <c r="B798" s="12" t="s">
        <v>2760</v>
      </c>
      <c r="C798" s="12" t="s">
        <v>2766</v>
      </c>
      <c r="D798" s="12">
        <v>7</v>
      </c>
      <c r="E798" s="125">
        <v>1920309.56</v>
      </c>
      <c r="F798" s="12">
        <v>184</v>
      </c>
      <c r="G798" s="125">
        <v>1782658.94</v>
      </c>
      <c r="H798" s="12" t="s">
        <v>2175</v>
      </c>
      <c r="I798" s="125">
        <v>65569.39</v>
      </c>
      <c r="J798" s="13">
        <v>42606.538440625001</v>
      </c>
      <c r="K798" s="13">
        <v>42971</v>
      </c>
      <c r="L798" s="13" t="s">
        <v>2767</v>
      </c>
      <c r="M798" s="12" t="s">
        <v>2768</v>
      </c>
      <c r="N798" s="12"/>
      <c r="O798" s="12"/>
      <c r="P798" s="12"/>
      <c r="Q798" s="12"/>
    </row>
    <row r="799" spans="1:17" x14ac:dyDescent="0.25">
      <c r="A799" s="11">
        <v>200390</v>
      </c>
      <c r="B799" s="12" t="s">
        <v>2769</v>
      </c>
      <c r="C799" s="12" t="s">
        <v>2774</v>
      </c>
      <c r="D799" s="12">
        <v>2</v>
      </c>
      <c r="E799" s="125">
        <v>5113906.5999999996</v>
      </c>
      <c r="F799" s="12">
        <v>-10</v>
      </c>
      <c r="G799" s="125">
        <v>4640736.29</v>
      </c>
      <c r="H799" s="12" t="s">
        <v>1925</v>
      </c>
      <c r="I799" s="125">
        <v>117565.32</v>
      </c>
      <c r="J799" s="13">
        <v>42607.591887615738</v>
      </c>
      <c r="K799" s="13">
        <v>43163</v>
      </c>
      <c r="L799" s="13" t="s">
        <v>2775</v>
      </c>
      <c r="M799" s="12" t="s">
        <v>2776</v>
      </c>
      <c r="N799" s="12"/>
      <c r="O799" s="12"/>
      <c r="P799" s="12"/>
      <c r="Q799" s="12"/>
    </row>
    <row r="800" spans="1:17" x14ac:dyDescent="0.25">
      <c r="A800" s="11">
        <v>200392</v>
      </c>
      <c r="B800" s="12" t="s">
        <v>2779</v>
      </c>
      <c r="C800" s="12" t="s">
        <v>2783</v>
      </c>
      <c r="D800" s="12">
        <v>1</v>
      </c>
      <c r="E800" s="125">
        <v>2816121.93</v>
      </c>
      <c r="F800" s="12">
        <v>-7</v>
      </c>
      <c r="G800" s="125">
        <v>2525727.4500000002</v>
      </c>
      <c r="H800" s="12" t="s">
        <v>1447</v>
      </c>
      <c r="I800" s="125">
        <v>83349.009999999995</v>
      </c>
      <c r="J800" s="13">
        <v>42608.458013113428</v>
      </c>
      <c r="K800" s="13">
        <v>43160</v>
      </c>
      <c r="L800" s="13" t="s">
        <v>2784</v>
      </c>
      <c r="M800" s="12"/>
      <c r="N800" s="12"/>
      <c r="O800" s="12"/>
      <c r="P800" s="12"/>
      <c r="Q800" s="12"/>
    </row>
    <row r="801" spans="1:17" x14ac:dyDescent="0.25">
      <c r="A801" s="11">
        <v>200398</v>
      </c>
      <c r="B801" s="12" t="s">
        <v>2802</v>
      </c>
      <c r="C801" s="12" t="s">
        <v>2803</v>
      </c>
      <c r="D801" s="12">
        <v>8</v>
      </c>
      <c r="E801" s="125">
        <v>2700985.94</v>
      </c>
      <c r="F801" s="12">
        <v>82</v>
      </c>
      <c r="G801" s="125">
        <v>2480657.65</v>
      </c>
      <c r="H801" s="12" t="s">
        <v>963</v>
      </c>
      <c r="I801" s="125">
        <v>140010.87</v>
      </c>
      <c r="J801" s="13">
        <v>42611.685413923609</v>
      </c>
      <c r="K801" s="13">
        <v>43072</v>
      </c>
      <c r="L801" s="13" t="s">
        <v>2804</v>
      </c>
      <c r="M801" s="12"/>
      <c r="N801" s="12" t="s">
        <v>2805</v>
      </c>
      <c r="O801" s="12"/>
      <c r="P801" s="12"/>
      <c r="Q801" s="12"/>
    </row>
    <row r="802" spans="1:17" x14ac:dyDescent="0.25">
      <c r="A802" s="11">
        <v>200400</v>
      </c>
      <c r="B802" s="12" t="s">
        <v>2786</v>
      </c>
      <c r="C802" s="12" t="s">
        <v>2795</v>
      </c>
      <c r="D802" s="12">
        <v>2</v>
      </c>
      <c r="E802" s="125">
        <v>6354714.9400000004</v>
      </c>
      <c r="F802" s="12">
        <v>21</v>
      </c>
      <c r="G802" s="125">
        <v>5767749.8499999996</v>
      </c>
      <c r="H802" s="12" t="s">
        <v>1447</v>
      </c>
      <c r="I802" s="125">
        <v>153514.85</v>
      </c>
      <c r="J802" s="13">
        <v>42612.4035883912</v>
      </c>
      <c r="K802" s="13">
        <v>43162</v>
      </c>
      <c r="L802" s="13" t="s">
        <v>2796</v>
      </c>
      <c r="M802" s="12"/>
      <c r="N802" s="12"/>
      <c r="O802" s="12"/>
      <c r="P802" s="12"/>
      <c r="Q802" s="12"/>
    </row>
    <row r="803" spans="1:17" x14ac:dyDescent="0.25">
      <c r="A803" s="11">
        <v>200401</v>
      </c>
      <c r="B803" s="12" t="s">
        <v>2811</v>
      </c>
      <c r="C803" s="12" t="s">
        <v>2818</v>
      </c>
      <c r="D803" s="12">
        <v>6</v>
      </c>
      <c r="E803" s="125">
        <v>13842343.619999999</v>
      </c>
      <c r="F803" s="12">
        <v>21</v>
      </c>
      <c r="G803" s="125">
        <v>11431392.869999999</v>
      </c>
      <c r="H803" s="12" t="s">
        <v>1447</v>
      </c>
      <c r="I803" s="125">
        <v>615580.75</v>
      </c>
      <c r="J803" s="13">
        <v>42612.53626828704</v>
      </c>
      <c r="K803" s="13">
        <v>43346</v>
      </c>
      <c r="L803" s="13" t="s">
        <v>2819</v>
      </c>
      <c r="M803" s="12"/>
      <c r="N803" s="12"/>
      <c r="O803" s="12"/>
      <c r="P803" s="12"/>
      <c r="Q803" s="12"/>
    </row>
    <row r="804" spans="1:17" x14ac:dyDescent="0.25">
      <c r="A804" s="11">
        <v>200408</v>
      </c>
      <c r="B804" s="12" t="s">
        <v>2828</v>
      </c>
      <c r="C804" s="12" t="s">
        <v>2845</v>
      </c>
      <c r="D804" s="12">
        <v>1</v>
      </c>
      <c r="E804" s="125">
        <v>392896.1</v>
      </c>
      <c r="F804" s="12">
        <v>82</v>
      </c>
      <c r="G804" s="125">
        <v>392896.1</v>
      </c>
      <c r="H804" s="12" t="s">
        <v>3074</v>
      </c>
      <c r="I804" s="125">
        <v>0</v>
      </c>
      <c r="J804" s="13">
        <v>42613.727876701392</v>
      </c>
      <c r="K804" s="13">
        <v>42981</v>
      </c>
      <c r="L804" s="13" t="s">
        <v>2846</v>
      </c>
      <c r="M804" s="12"/>
      <c r="N804" s="12"/>
      <c r="O804" s="12"/>
      <c r="P804" s="12"/>
      <c r="Q804" s="12"/>
    </row>
    <row r="805" spans="1:17" x14ac:dyDescent="0.25">
      <c r="A805" s="11">
        <v>200410</v>
      </c>
      <c r="B805" s="12" t="s">
        <v>2827</v>
      </c>
      <c r="C805" s="12" t="s">
        <v>2850</v>
      </c>
      <c r="D805" s="12">
        <v>1</v>
      </c>
      <c r="E805" s="125">
        <v>1191474.8999999999</v>
      </c>
      <c r="F805" s="12">
        <v>174</v>
      </c>
      <c r="G805" s="125">
        <v>1108528.8899999999</v>
      </c>
      <c r="H805" s="12" t="s">
        <v>5725</v>
      </c>
      <c r="I805" s="125">
        <v>40873.49</v>
      </c>
      <c r="J805" s="13">
        <v>42613.80719699074</v>
      </c>
      <c r="K805" s="13">
        <v>42981</v>
      </c>
      <c r="L805" s="13" t="s">
        <v>2851</v>
      </c>
      <c r="M805" s="12"/>
      <c r="N805" s="12"/>
      <c r="O805" s="12"/>
      <c r="P805" s="12"/>
      <c r="Q805" s="12"/>
    </row>
    <row r="806" spans="1:17" x14ac:dyDescent="0.25">
      <c r="A806" s="11">
        <v>200415</v>
      </c>
      <c r="B806" s="12" t="s">
        <v>2862</v>
      </c>
      <c r="C806" s="12" t="s">
        <v>2863</v>
      </c>
      <c r="D806" s="12">
        <v>2</v>
      </c>
      <c r="E806" s="125">
        <v>6645734.6299999999</v>
      </c>
      <c r="F806" s="12">
        <v>18</v>
      </c>
      <c r="G806" s="125">
        <v>5978292.4400000004</v>
      </c>
      <c r="H806" s="12" t="s">
        <v>1448</v>
      </c>
      <c r="I806" s="125">
        <v>280922.98</v>
      </c>
      <c r="J806" s="13">
        <v>42619.509713310188</v>
      </c>
      <c r="K806" s="13">
        <v>43165</v>
      </c>
      <c r="L806" s="13" t="s">
        <v>2864</v>
      </c>
      <c r="M806" s="12" t="s">
        <v>2865</v>
      </c>
      <c r="N806" s="12"/>
      <c r="O806" s="12"/>
      <c r="P806" s="12"/>
      <c r="Q806" s="12"/>
    </row>
    <row r="807" spans="1:17" x14ac:dyDescent="0.25">
      <c r="A807" s="11">
        <v>200418</v>
      </c>
      <c r="B807" s="12" t="s">
        <v>2867</v>
      </c>
      <c r="C807" s="12" t="s">
        <v>2870</v>
      </c>
      <c r="D807" s="12">
        <v>2</v>
      </c>
      <c r="E807" s="125">
        <v>4081990.05</v>
      </c>
      <c r="F807" s="12">
        <v>40</v>
      </c>
      <c r="G807" s="125">
        <v>3807535.71</v>
      </c>
      <c r="H807" s="12" t="s">
        <v>1448</v>
      </c>
      <c r="I807" s="125">
        <v>219992.2</v>
      </c>
      <c r="J807" s="13">
        <v>42620.741342280089</v>
      </c>
      <c r="K807" s="13">
        <v>43084</v>
      </c>
      <c r="L807" s="13" t="s">
        <v>2871</v>
      </c>
      <c r="M807" s="12"/>
      <c r="N807" s="12"/>
      <c r="O807" s="12"/>
      <c r="P807" s="12"/>
      <c r="Q807" s="12"/>
    </row>
    <row r="808" spans="1:17" x14ac:dyDescent="0.25">
      <c r="A808" s="11">
        <v>200424</v>
      </c>
      <c r="B808" s="12" t="s">
        <v>2885</v>
      </c>
      <c r="C808" s="12" t="s">
        <v>2886</v>
      </c>
      <c r="D808" s="12">
        <v>6</v>
      </c>
      <c r="E808" s="125">
        <v>40220086.299999997</v>
      </c>
      <c r="F808" s="12">
        <v>-16</v>
      </c>
      <c r="G808" s="125">
        <v>28186077.59</v>
      </c>
      <c r="H808" s="12" t="s">
        <v>1467</v>
      </c>
      <c r="I808" s="125">
        <v>407132.23</v>
      </c>
      <c r="J808" s="13">
        <v>42623.473717824076</v>
      </c>
      <c r="K808" s="13">
        <v>43718</v>
      </c>
      <c r="L808" s="13" t="s">
        <v>2887</v>
      </c>
      <c r="M808" s="12"/>
      <c r="N808" s="12"/>
      <c r="O808" s="12"/>
      <c r="P808" s="12"/>
      <c r="Q808" s="12"/>
    </row>
    <row r="809" spans="1:17" x14ac:dyDescent="0.25">
      <c r="A809" s="11">
        <v>200427</v>
      </c>
      <c r="B809" s="12" t="s">
        <v>2884</v>
      </c>
      <c r="C809" s="12" t="s">
        <v>2888</v>
      </c>
      <c r="D809" s="12">
        <v>6</v>
      </c>
      <c r="E809" s="125">
        <v>12778062.49</v>
      </c>
      <c r="F809" s="12">
        <v>-16</v>
      </c>
      <c r="G809" s="125">
        <v>9780727.4199999999</v>
      </c>
      <c r="H809" s="12" t="s">
        <v>1925</v>
      </c>
      <c r="I809" s="125">
        <v>141277.17000000001</v>
      </c>
      <c r="J809" s="13">
        <v>42623.58788240741</v>
      </c>
      <c r="K809" s="13">
        <v>43534</v>
      </c>
      <c r="L809" s="13" t="s">
        <v>2889</v>
      </c>
      <c r="M809" s="12"/>
      <c r="N809" s="12"/>
      <c r="O809" s="12"/>
      <c r="P809" s="12"/>
      <c r="Q809" s="12"/>
    </row>
    <row r="810" spans="1:17" x14ac:dyDescent="0.25">
      <c r="A810" s="11">
        <v>200428</v>
      </c>
      <c r="B810" s="12" t="s">
        <v>2890</v>
      </c>
      <c r="C810" s="12" t="s">
        <v>2891</v>
      </c>
      <c r="D810" s="12">
        <v>6</v>
      </c>
      <c r="E810" s="125">
        <v>32087611.550000001</v>
      </c>
      <c r="F810" s="12">
        <v>11</v>
      </c>
      <c r="G810" s="125">
        <v>22587078.539999999</v>
      </c>
      <c r="H810" s="12" t="s">
        <v>1448</v>
      </c>
      <c r="I810" s="125">
        <v>247246.29</v>
      </c>
      <c r="J810" s="13">
        <v>42626.532485185184</v>
      </c>
      <c r="K810" s="13">
        <v>43721</v>
      </c>
      <c r="L810" s="13" t="s">
        <v>2892</v>
      </c>
      <c r="M810" s="12" t="s">
        <v>2893</v>
      </c>
      <c r="N810" s="12"/>
      <c r="O810" s="12"/>
      <c r="P810" s="12"/>
      <c r="Q810" s="12"/>
    </row>
    <row r="811" spans="1:17" x14ac:dyDescent="0.25">
      <c r="A811" s="11">
        <v>200430</v>
      </c>
      <c r="B811" s="12" t="s">
        <v>2894</v>
      </c>
      <c r="C811" s="12" t="s">
        <v>2896</v>
      </c>
      <c r="D811" s="12">
        <v>6</v>
      </c>
      <c r="E811" s="125">
        <v>20110042.940000001</v>
      </c>
      <c r="F811" s="12">
        <v>-20</v>
      </c>
      <c r="G811" s="125">
        <v>14093038.710000001</v>
      </c>
      <c r="H811" s="12" t="s">
        <v>491</v>
      </c>
      <c r="I811" s="125">
        <v>140930.39000000001</v>
      </c>
      <c r="J811" s="13">
        <v>42627.728360532405</v>
      </c>
      <c r="K811" s="13">
        <v>43722</v>
      </c>
      <c r="L811" s="13" t="s">
        <v>2897</v>
      </c>
      <c r="M811" s="12"/>
      <c r="N811" s="12"/>
      <c r="O811" s="12"/>
      <c r="P811" s="12"/>
      <c r="Q811" s="12"/>
    </row>
    <row r="812" spans="1:17" x14ac:dyDescent="0.25">
      <c r="A812" s="11">
        <v>200431</v>
      </c>
      <c r="B812" s="12" t="s">
        <v>2895</v>
      </c>
      <c r="C812" s="12" t="s">
        <v>2898</v>
      </c>
      <c r="D812" s="12">
        <v>1</v>
      </c>
      <c r="E812" s="125">
        <v>3316130.55</v>
      </c>
      <c r="F812" s="12">
        <v>40</v>
      </c>
      <c r="G812" s="125">
        <v>2519867.0299999998</v>
      </c>
      <c r="H812" s="12" t="s">
        <v>2538</v>
      </c>
      <c r="I812" s="125">
        <v>219199.85</v>
      </c>
      <c r="J812" s="13">
        <v>42627.75354853009</v>
      </c>
      <c r="K812" s="13">
        <v>43358</v>
      </c>
      <c r="L812" s="13" t="s">
        <v>2899</v>
      </c>
      <c r="M812" s="12"/>
      <c r="N812" s="12"/>
      <c r="O812" s="12"/>
      <c r="P812" s="12"/>
      <c r="Q812" s="12"/>
    </row>
    <row r="813" spans="1:17" x14ac:dyDescent="0.25">
      <c r="A813" s="11">
        <v>200435</v>
      </c>
      <c r="B813" s="12" t="s">
        <v>2957</v>
      </c>
      <c r="C813" s="12" t="s">
        <v>2958</v>
      </c>
      <c r="D813" s="12">
        <v>6</v>
      </c>
      <c r="E813" s="125">
        <v>25576251.32</v>
      </c>
      <c r="F813" s="12">
        <v>8</v>
      </c>
      <c r="G813" s="125">
        <v>21121764.120000001</v>
      </c>
      <c r="H813" s="12" t="s">
        <v>1925</v>
      </c>
      <c r="I813" s="125">
        <v>855508.71</v>
      </c>
      <c r="J813" s="13">
        <v>42629.342043055556</v>
      </c>
      <c r="K813" s="13">
        <v>43359</v>
      </c>
      <c r="L813" s="13" t="s">
        <v>2959</v>
      </c>
      <c r="M813" s="12"/>
      <c r="N813" s="12"/>
      <c r="O813" s="12"/>
      <c r="P813" s="12"/>
      <c r="Q813" s="12"/>
    </row>
    <row r="814" spans="1:17" x14ac:dyDescent="0.25">
      <c r="A814" s="11">
        <v>200436</v>
      </c>
      <c r="B814" s="12" t="s">
        <v>2960</v>
      </c>
      <c r="C814" s="12" t="s">
        <v>2961</v>
      </c>
      <c r="D814" s="12">
        <v>6</v>
      </c>
      <c r="E814" s="125">
        <v>39281778.450000003</v>
      </c>
      <c r="F814" s="12">
        <v>0</v>
      </c>
      <c r="G814" s="125">
        <v>28084094.899999999</v>
      </c>
      <c r="H814" s="12" t="s">
        <v>963</v>
      </c>
      <c r="I814" s="125">
        <v>814438.75</v>
      </c>
      <c r="J814" s="13">
        <v>42629.674353240742</v>
      </c>
      <c r="K814" s="13">
        <v>43732</v>
      </c>
      <c r="L814" s="13" t="s">
        <v>2962</v>
      </c>
      <c r="M814" s="12" t="s">
        <v>2963</v>
      </c>
      <c r="N814" s="12"/>
      <c r="O814" s="12"/>
      <c r="P814" s="12"/>
      <c r="Q814" s="12"/>
    </row>
    <row r="815" spans="1:17" x14ac:dyDescent="0.25">
      <c r="A815" s="11">
        <v>200439</v>
      </c>
      <c r="B815" s="12" t="s">
        <v>2964</v>
      </c>
      <c r="C815" s="12" t="s">
        <v>2965</v>
      </c>
      <c r="D815" s="12">
        <v>6</v>
      </c>
      <c r="E815" s="125">
        <v>21168466.27</v>
      </c>
      <c r="F815" s="12">
        <v>-25</v>
      </c>
      <c r="G815" s="125">
        <v>14834777.609999999</v>
      </c>
      <c r="H815" s="12" t="s">
        <v>1448</v>
      </c>
      <c r="I815" s="125">
        <v>65932.34</v>
      </c>
      <c r="J815" s="13">
        <v>42632.70225991898</v>
      </c>
      <c r="K815" s="13">
        <v>43727</v>
      </c>
      <c r="L815" s="13" t="s">
        <v>2966</v>
      </c>
      <c r="M815" s="12" t="s">
        <v>2967</v>
      </c>
      <c r="N815" s="12"/>
      <c r="O815" s="12"/>
      <c r="P815" s="12"/>
      <c r="Q815" s="12"/>
    </row>
    <row r="816" spans="1:17" x14ac:dyDescent="0.25">
      <c r="A816" s="11">
        <v>200444</v>
      </c>
      <c r="B816" s="12" t="s">
        <v>2974</v>
      </c>
      <c r="C816" s="12" t="s">
        <v>2975</v>
      </c>
      <c r="D816" s="12">
        <v>1</v>
      </c>
      <c r="E816" s="125">
        <v>1831988.55</v>
      </c>
      <c r="F816" s="12">
        <v>125</v>
      </c>
      <c r="G816" s="125">
        <v>1748204.29</v>
      </c>
      <c r="H816" s="12" t="s">
        <v>5725</v>
      </c>
      <c r="I816" s="125">
        <v>53601.13</v>
      </c>
      <c r="J816" s="13">
        <v>42635.476807754632</v>
      </c>
      <c r="K816" s="13">
        <v>43000</v>
      </c>
      <c r="L816" s="13" t="s">
        <v>2976</v>
      </c>
      <c r="M816" s="12"/>
      <c r="N816" s="12"/>
      <c r="O816" s="12"/>
      <c r="P816" s="12"/>
      <c r="Q816" s="12"/>
    </row>
    <row r="817" spans="1:17" x14ac:dyDescent="0.25">
      <c r="A817" s="11">
        <v>200446</v>
      </c>
      <c r="B817" s="12" t="s">
        <v>2977</v>
      </c>
      <c r="C817" s="12" t="s">
        <v>2978</v>
      </c>
      <c r="D817" s="12">
        <v>7</v>
      </c>
      <c r="E817" s="125">
        <v>328998.5</v>
      </c>
      <c r="F817" s="12">
        <v>62</v>
      </c>
      <c r="G817" s="125">
        <v>314831.09999999998</v>
      </c>
      <c r="H817" s="12" t="s">
        <v>1925</v>
      </c>
      <c r="I817" s="125">
        <v>14167.4</v>
      </c>
      <c r="J817" s="13">
        <v>42636.700270023146</v>
      </c>
      <c r="K817" s="13">
        <v>43001</v>
      </c>
      <c r="L817" s="13" t="s">
        <v>2979</v>
      </c>
      <c r="M817" s="12"/>
      <c r="N817" s="12"/>
      <c r="O817" s="12"/>
      <c r="P817" s="12"/>
      <c r="Q817" s="12"/>
    </row>
    <row r="818" spans="1:17" x14ac:dyDescent="0.25">
      <c r="A818" s="11">
        <v>200453</v>
      </c>
      <c r="B818" s="12" t="s">
        <v>2992</v>
      </c>
      <c r="C818" s="12" t="s">
        <v>2993</v>
      </c>
      <c r="D818" s="12">
        <v>6</v>
      </c>
      <c r="E818" s="125">
        <v>6766837.1699999999</v>
      </c>
      <c r="F818" s="12">
        <v>-7</v>
      </c>
      <c r="G818" s="125">
        <v>5588242.6100000003</v>
      </c>
      <c r="H818" s="12" t="s">
        <v>2175</v>
      </c>
      <c r="I818" s="125">
        <v>136601.49</v>
      </c>
      <c r="J818" s="13">
        <v>42639.671695717596</v>
      </c>
      <c r="K818" s="13">
        <v>43374</v>
      </c>
      <c r="L818" s="13" t="s">
        <v>2994</v>
      </c>
      <c r="M818" s="12" t="s">
        <v>2995</v>
      </c>
      <c r="N818" s="12"/>
      <c r="O818" s="12"/>
      <c r="P818" s="12"/>
      <c r="Q818" s="12"/>
    </row>
    <row r="819" spans="1:17" x14ac:dyDescent="0.25">
      <c r="A819" s="11">
        <v>200456</v>
      </c>
      <c r="B819" s="12" t="s">
        <v>3020</v>
      </c>
      <c r="C819" s="12" t="s">
        <v>3029</v>
      </c>
      <c r="D819" s="12">
        <v>6</v>
      </c>
      <c r="E819" s="125">
        <v>20580927.629999999</v>
      </c>
      <c r="F819" s="12">
        <v>-9</v>
      </c>
      <c r="G819" s="125">
        <v>14216871.66</v>
      </c>
      <c r="H819" s="12" t="s">
        <v>2557</v>
      </c>
      <c r="I819" s="125">
        <v>315930.48</v>
      </c>
      <c r="J819" s="13">
        <v>42641.552462118052</v>
      </c>
      <c r="K819" s="13">
        <v>43741</v>
      </c>
      <c r="L819" s="13" t="s">
        <v>3030</v>
      </c>
      <c r="M819" s="12"/>
      <c r="N819" s="12"/>
      <c r="O819" s="12"/>
      <c r="P819" s="12"/>
      <c r="Q819" s="12"/>
    </row>
    <row r="820" spans="1:17" x14ac:dyDescent="0.25">
      <c r="A820" s="11">
        <v>200458</v>
      </c>
      <c r="B820" s="12" t="s">
        <v>3037</v>
      </c>
      <c r="C820" s="12" t="s">
        <v>3041</v>
      </c>
      <c r="D820" s="12">
        <v>1</v>
      </c>
      <c r="E820" s="125">
        <v>985466.04</v>
      </c>
      <c r="F820" s="12">
        <v>146</v>
      </c>
      <c r="G820" s="125">
        <v>916443.16</v>
      </c>
      <c r="H820" s="12" t="s">
        <v>5725</v>
      </c>
      <c r="I820" s="125">
        <v>32878.81</v>
      </c>
      <c r="J820" s="13">
        <v>42642.377497800924</v>
      </c>
      <c r="K820" s="13">
        <v>43009</v>
      </c>
      <c r="L820" s="13" t="s">
        <v>3042</v>
      </c>
      <c r="M820" s="12"/>
      <c r="N820" s="12"/>
      <c r="O820" s="12"/>
      <c r="P820" s="12"/>
      <c r="Q820" s="12"/>
    </row>
    <row r="821" spans="1:17" x14ac:dyDescent="0.25">
      <c r="A821" s="11">
        <v>200465</v>
      </c>
      <c r="B821" s="12" t="s">
        <v>3048</v>
      </c>
      <c r="C821" s="12" t="s">
        <v>3064</v>
      </c>
      <c r="D821" s="12">
        <v>1</v>
      </c>
      <c r="E821" s="125">
        <v>621979.89</v>
      </c>
      <c r="F821" s="12">
        <v>82</v>
      </c>
      <c r="G821" s="125">
        <v>603008.68000000005</v>
      </c>
      <c r="H821" s="12" t="s">
        <v>2557</v>
      </c>
      <c r="I821" s="125">
        <v>18971.21</v>
      </c>
      <c r="J821" s="13">
        <v>42643.727883333333</v>
      </c>
      <c r="K821" s="13">
        <v>43011</v>
      </c>
      <c r="L821" s="13" t="s">
        <v>3065</v>
      </c>
      <c r="M821" s="12"/>
      <c r="N821" s="12"/>
      <c r="O821" s="12"/>
      <c r="P821" s="12"/>
      <c r="Q821" s="12"/>
    </row>
    <row r="822" spans="1:17" x14ac:dyDescent="0.25">
      <c r="A822" s="11">
        <v>200470</v>
      </c>
      <c r="B822" s="12" t="s">
        <v>3046</v>
      </c>
      <c r="C822" s="12" t="s">
        <v>3070</v>
      </c>
      <c r="D822" s="12">
        <v>6</v>
      </c>
      <c r="E822" s="125">
        <v>25603975.140000001</v>
      </c>
      <c r="F822" s="12">
        <v>-7</v>
      </c>
      <c r="G822" s="125">
        <v>21144475.760000002</v>
      </c>
      <c r="H822" s="12" t="s">
        <v>1467</v>
      </c>
      <c r="I822" s="125">
        <v>516864.96</v>
      </c>
      <c r="J822" s="13">
        <v>42643.531673611113</v>
      </c>
      <c r="K822" s="13">
        <v>43374</v>
      </c>
      <c r="L822" s="13" t="s">
        <v>3071</v>
      </c>
      <c r="M822" s="12"/>
      <c r="N822" s="12"/>
      <c r="O822" s="12"/>
      <c r="P822" s="12"/>
      <c r="Q822" s="12"/>
    </row>
    <row r="823" spans="1:17" x14ac:dyDescent="0.25">
      <c r="A823" s="11">
        <v>200473</v>
      </c>
      <c r="B823" s="12" t="s">
        <v>3075</v>
      </c>
      <c r="C823" s="12" t="s">
        <v>3076</v>
      </c>
      <c r="D823" s="12">
        <v>2</v>
      </c>
      <c r="E823" s="125">
        <v>27711846.82</v>
      </c>
      <c r="F823" s="12">
        <v>20</v>
      </c>
      <c r="G823" s="125">
        <v>17762757.68</v>
      </c>
      <c r="H823" s="12" t="s">
        <v>468</v>
      </c>
      <c r="I823" s="125">
        <v>900761.47</v>
      </c>
      <c r="J823" s="13">
        <v>42646.655643090278</v>
      </c>
      <c r="K823" s="13">
        <v>43742</v>
      </c>
      <c r="L823" s="13" t="s">
        <v>3077</v>
      </c>
      <c r="M823" s="12"/>
      <c r="N823" s="12" t="s">
        <v>3078</v>
      </c>
      <c r="O823" s="12"/>
      <c r="P823" s="12"/>
      <c r="Q823" s="12"/>
    </row>
    <row r="824" spans="1:17" x14ac:dyDescent="0.25">
      <c r="A824" s="11">
        <v>200474</v>
      </c>
      <c r="B824" s="12" t="s">
        <v>3089</v>
      </c>
      <c r="C824" s="12" t="s">
        <v>3090</v>
      </c>
      <c r="D824" s="12">
        <v>3</v>
      </c>
      <c r="E824" s="125">
        <v>25603975.140000001</v>
      </c>
      <c r="F824" s="12">
        <v>-11</v>
      </c>
      <c r="G824" s="125">
        <v>21144475.760000002</v>
      </c>
      <c r="H824" s="12" t="s">
        <v>2861</v>
      </c>
      <c r="I824" s="125">
        <v>422889.52</v>
      </c>
      <c r="J824" s="13">
        <v>42647.721488310184</v>
      </c>
      <c r="K824" s="13">
        <v>43378</v>
      </c>
      <c r="L824" s="13" t="s">
        <v>3091</v>
      </c>
      <c r="M824" s="12"/>
      <c r="N824" s="12" t="s">
        <v>3092</v>
      </c>
      <c r="O824" s="12"/>
      <c r="P824" s="12"/>
      <c r="Q824" s="12"/>
    </row>
    <row r="825" spans="1:17" x14ac:dyDescent="0.25">
      <c r="A825" s="11">
        <v>200475</v>
      </c>
      <c r="B825" s="12" t="s">
        <v>3093</v>
      </c>
      <c r="C825" s="12" t="s">
        <v>3094</v>
      </c>
      <c r="D825" s="12">
        <v>2</v>
      </c>
      <c r="E825" s="125">
        <v>10468062.91</v>
      </c>
      <c r="F825" s="12">
        <v>49</v>
      </c>
      <c r="G825" s="125">
        <v>9269205.2300000004</v>
      </c>
      <c r="H825" s="12" t="s">
        <v>2538</v>
      </c>
      <c r="I825" s="125">
        <v>330032.86</v>
      </c>
      <c r="J825" s="13">
        <v>42648.621059293982</v>
      </c>
      <c r="K825" s="13">
        <v>43196</v>
      </c>
      <c r="L825" s="13" t="s">
        <v>3095</v>
      </c>
      <c r="M825" s="12"/>
      <c r="N825" s="12"/>
      <c r="O825" s="12"/>
      <c r="P825" s="12"/>
      <c r="Q825" s="12"/>
    </row>
    <row r="826" spans="1:17" x14ac:dyDescent="0.25">
      <c r="A826" s="11">
        <v>200477</v>
      </c>
      <c r="B826" s="12" t="s">
        <v>2877</v>
      </c>
      <c r="C826" s="12" t="s">
        <v>2881</v>
      </c>
      <c r="D826" s="12">
        <v>3</v>
      </c>
      <c r="E826" s="125">
        <v>43749230.869999997</v>
      </c>
      <c r="F826" s="12">
        <v>-12</v>
      </c>
      <c r="G826" s="125">
        <v>36129333.369999997</v>
      </c>
      <c r="H826" s="12" t="s">
        <v>2861</v>
      </c>
      <c r="I826" s="125">
        <v>682442.96</v>
      </c>
      <c r="J826" s="13">
        <v>42649.566965127313</v>
      </c>
      <c r="K826" s="13">
        <v>43379</v>
      </c>
      <c r="L826" s="13" t="s">
        <v>2882</v>
      </c>
      <c r="M826" s="12" t="s">
        <v>2883</v>
      </c>
      <c r="N826" s="12"/>
      <c r="O826" s="12"/>
      <c r="P826" s="12"/>
      <c r="Q826" s="12"/>
    </row>
    <row r="827" spans="1:17" x14ac:dyDescent="0.25">
      <c r="A827" s="11">
        <v>200478</v>
      </c>
      <c r="B827" s="12" t="s">
        <v>3096</v>
      </c>
      <c r="C827" s="12" t="s">
        <v>3100</v>
      </c>
      <c r="D827" s="12">
        <v>1</v>
      </c>
      <c r="E827" s="125">
        <v>4111844.78</v>
      </c>
      <c r="F827" s="12">
        <v>-12</v>
      </c>
      <c r="G827" s="125">
        <v>3610180.6</v>
      </c>
      <c r="H827" s="12" t="s">
        <v>2557</v>
      </c>
      <c r="I827" s="125">
        <v>92059.61</v>
      </c>
      <c r="J827" s="13">
        <v>42649.751360069444</v>
      </c>
      <c r="K827" s="13">
        <v>43196</v>
      </c>
      <c r="L827" s="13" t="s">
        <v>3101</v>
      </c>
      <c r="M827" s="12"/>
      <c r="N827" s="12"/>
      <c r="O827" s="12"/>
      <c r="P827" s="12"/>
      <c r="Q827" s="12"/>
    </row>
    <row r="828" spans="1:17" x14ac:dyDescent="0.25">
      <c r="A828" s="11">
        <v>200481</v>
      </c>
      <c r="B828" s="12" t="s">
        <v>2416</v>
      </c>
      <c r="C828" s="12" t="s">
        <v>2417</v>
      </c>
      <c r="D828" s="12">
        <v>3</v>
      </c>
      <c r="E828" s="125">
        <v>70217440.069999993</v>
      </c>
      <c r="F828" s="12">
        <v>14</v>
      </c>
      <c r="G828" s="125">
        <v>50421285.609999999</v>
      </c>
      <c r="H828" s="12" t="s">
        <v>546</v>
      </c>
      <c r="I828" s="125">
        <v>2149075.38</v>
      </c>
      <c r="J828" s="13">
        <v>42653.598869525464</v>
      </c>
      <c r="K828" s="13">
        <v>43748</v>
      </c>
      <c r="L828" s="13" t="s">
        <v>1378</v>
      </c>
      <c r="M828" s="12" t="s">
        <v>2418</v>
      </c>
      <c r="N828" s="12" t="s">
        <v>1379</v>
      </c>
      <c r="O828" s="12"/>
      <c r="P828" s="12"/>
      <c r="Q828" s="12"/>
    </row>
    <row r="829" spans="1:17" x14ac:dyDescent="0.25">
      <c r="A829" s="11">
        <v>200482</v>
      </c>
      <c r="B829" s="12" t="s">
        <v>3113</v>
      </c>
      <c r="C829" s="12" t="s">
        <v>3117</v>
      </c>
      <c r="D829" s="12">
        <v>1</v>
      </c>
      <c r="E829" s="125">
        <v>1233553.5</v>
      </c>
      <c r="F829" s="12">
        <v>-16</v>
      </c>
      <c r="G829" s="125">
        <v>1083054.24</v>
      </c>
      <c r="H829" s="12" t="s">
        <v>1447</v>
      </c>
      <c r="I829" s="125">
        <v>21119.56</v>
      </c>
      <c r="J829" s="13">
        <v>42653.61320709491</v>
      </c>
      <c r="K829" s="13">
        <v>43200</v>
      </c>
      <c r="L829" s="13" t="s">
        <v>3118</v>
      </c>
      <c r="M829" s="12"/>
      <c r="N829" s="12"/>
      <c r="O829" s="12"/>
      <c r="P829" s="12"/>
      <c r="Q829" s="12"/>
    </row>
    <row r="830" spans="1:17" x14ac:dyDescent="0.25">
      <c r="A830" s="11">
        <v>200491</v>
      </c>
      <c r="B830" s="12" t="s">
        <v>1781</v>
      </c>
      <c r="C830" s="12" t="s">
        <v>1782</v>
      </c>
      <c r="D830" s="12">
        <v>2</v>
      </c>
      <c r="E830" s="125">
        <v>23308104.09</v>
      </c>
      <c r="F830" s="12">
        <v>-8</v>
      </c>
      <c r="G830" s="125">
        <v>15829658.77</v>
      </c>
      <c r="H830" s="12" t="s">
        <v>468</v>
      </c>
      <c r="I830" s="125">
        <v>387826.64</v>
      </c>
      <c r="J830" s="13">
        <v>42656.495706400463</v>
      </c>
      <c r="K830" s="13">
        <v>43740</v>
      </c>
      <c r="L830" s="13" t="s">
        <v>1783</v>
      </c>
      <c r="M830" s="12"/>
      <c r="N830" s="12"/>
      <c r="O830" s="12"/>
      <c r="P830" s="12"/>
      <c r="Q830" s="12"/>
    </row>
    <row r="831" spans="1:17" x14ac:dyDescent="0.25">
      <c r="A831" s="11">
        <v>200493</v>
      </c>
      <c r="B831" s="12" t="s">
        <v>3130</v>
      </c>
      <c r="C831" s="12" t="s">
        <v>3131</v>
      </c>
      <c r="D831" s="12">
        <v>6</v>
      </c>
      <c r="E831" s="125">
        <v>4711455.58</v>
      </c>
      <c r="F831" s="12">
        <v>-20</v>
      </c>
      <c r="G831" s="125">
        <v>3890851.26</v>
      </c>
      <c r="H831" s="12" t="s">
        <v>491</v>
      </c>
      <c r="I831" s="125">
        <v>38908.51</v>
      </c>
      <c r="J831" s="13">
        <v>42657.4193065625</v>
      </c>
      <c r="K831" s="13">
        <v>43387</v>
      </c>
      <c r="L831" s="13" t="s">
        <v>3132</v>
      </c>
      <c r="M831" s="12" t="s">
        <v>3133</v>
      </c>
      <c r="N831" s="12"/>
      <c r="O831" s="12"/>
      <c r="P831" s="12"/>
      <c r="Q831" s="12"/>
    </row>
    <row r="832" spans="1:17" x14ac:dyDescent="0.25">
      <c r="A832" s="11">
        <v>200496</v>
      </c>
      <c r="B832" s="12" t="s">
        <v>3137</v>
      </c>
      <c r="C832" s="12" t="s">
        <v>3141</v>
      </c>
      <c r="D832" s="12">
        <v>1</v>
      </c>
      <c r="E832" s="125">
        <v>5518962.4199999999</v>
      </c>
      <c r="F832" s="12">
        <v>132</v>
      </c>
      <c r="G832" s="125">
        <v>3875006.66</v>
      </c>
      <c r="H832" s="12" t="s">
        <v>2034</v>
      </c>
      <c r="I832" s="125">
        <v>339931.63</v>
      </c>
      <c r="J832" s="13">
        <v>42658.597886655094</v>
      </c>
      <c r="K832" s="13">
        <v>43388</v>
      </c>
      <c r="L832" s="13" t="s">
        <v>3142</v>
      </c>
      <c r="M832" s="12" t="s">
        <v>3143</v>
      </c>
      <c r="N832" s="12"/>
      <c r="O832" s="12"/>
      <c r="P832" s="12"/>
      <c r="Q832" s="12"/>
    </row>
    <row r="833" spans="1:17" x14ac:dyDescent="0.25">
      <c r="A833" s="11">
        <v>200497</v>
      </c>
      <c r="B833" s="12" t="s">
        <v>3136</v>
      </c>
      <c r="C833" s="12" t="s">
        <v>3144</v>
      </c>
      <c r="D833" s="12">
        <v>3</v>
      </c>
      <c r="E833" s="125">
        <v>33653254.409999996</v>
      </c>
      <c r="F833" s="12">
        <v>-21</v>
      </c>
      <c r="G833" s="125">
        <v>27791794.84</v>
      </c>
      <c r="H833" s="12" t="s">
        <v>1448</v>
      </c>
      <c r="I833" s="125">
        <v>247038.18</v>
      </c>
      <c r="J833" s="13">
        <v>42658.590081249997</v>
      </c>
      <c r="K833" s="13">
        <v>43388</v>
      </c>
      <c r="L833" s="13" t="s">
        <v>3145</v>
      </c>
      <c r="M833" s="12"/>
      <c r="N833" s="12"/>
      <c r="O833" s="12"/>
      <c r="P833" s="12"/>
      <c r="Q833" s="12"/>
    </row>
    <row r="834" spans="1:17" x14ac:dyDescent="0.25">
      <c r="A834" s="11">
        <v>200500</v>
      </c>
      <c r="B834" s="12" t="s">
        <v>3146</v>
      </c>
      <c r="C834" s="12" t="s">
        <v>3151</v>
      </c>
      <c r="D834" s="12">
        <v>1</v>
      </c>
      <c r="E834" s="125">
        <v>873573.85</v>
      </c>
      <c r="F834" s="12">
        <v>68</v>
      </c>
      <c r="G834" s="125">
        <v>849961.51</v>
      </c>
      <c r="H834" s="12" t="s">
        <v>5725</v>
      </c>
      <c r="I834" s="125">
        <v>23612.34</v>
      </c>
      <c r="J834" s="13">
        <v>42660.71446427083</v>
      </c>
      <c r="K834" s="13">
        <v>43025</v>
      </c>
      <c r="L834" s="13" t="s">
        <v>3152</v>
      </c>
      <c r="M834" s="12"/>
      <c r="N834" s="12"/>
      <c r="O834" s="12"/>
      <c r="P834" s="12"/>
      <c r="Q834" s="12"/>
    </row>
    <row r="835" spans="1:17" x14ac:dyDescent="0.25">
      <c r="A835" s="11">
        <v>200501</v>
      </c>
      <c r="B835" s="12" t="s">
        <v>3153</v>
      </c>
      <c r="C835" s="12" t="s">
        <v>3154</v>
      </c>
      <c r="D835" s="12">
        <v>6</v>
      </c>
      <c r="E835" s="125">
        <v>25576473.440000001</v>
      </c>
      <c r="F835" s="12">
        <v>-24</v>
      </c>
      <c r="G835" s="125">
        <v>21121764.120000001</v>
      </c>
      <c r="H835" s="12" t="s">
        <v>1447</v>
      </c>
      <c r="I835" s="125">
        <v>117343.13</v>
      </c>
      <c r="J835" s="13">
        <v>42661.501257835647</v>
      </c>
      <c r="K835" s="13">
        <v>43391</v>
      </c>
      <c r="L835" s="13" t="s">
        <v>3155</v>
      </c>
      <c r="M835" s="12" t="s">
        <v>3156</v>
      </c>
      <c r="N835" s="12"/>
      <c r="O835" s="12"/>
      <c r="P835" s="12"/>
      <c r="Q835" s="12"/>
    </row>
    <row r="836" spans="1:17" x14ac:dyDescent="0.25">
      <c r="A836" s="11">
        <v>200502</v>
      </c>
      <c r="B836" s="12" t="s">
        <v>2953</v>
      </c>
      <c r="C836" s="12" t="s">
        <v>2954</v>
      </c>
      <c r="D836" s="12">
        <v>6</v>
      </c>
      <c r="E836" s="125">
        <v>60041468.060000002</v>
      </c>
      <c r="F836" s="12">
        <v>5</v>
      </c>
      <c r="G836" s="125">
        <v>40886099.460000001</v>
      </c>
      <c r="H836" s="12" t="s">
        <v>491</v>
      </c>
      <c r="I836" s="125">
        <v>1539524.39</v>
      </c>
      <c r="J836" s="13">
        <v>42662.698448263887</v>
      </c>
      <c r="K836" s="13">
        <v>43757</v>
      </c>
      <c r="L836" s="13" t="s">
        <v>2955</v>
      </c>
      <c r="M836" s="12" t="s">
        <v>2956</v>
      </c>
      <c r="N836" s="12"/>
      <c r="O836" s="12"/>
      <c r="P836" s="12"/>
      <c r="Q836" s="12"/>
    </row>
    <row r="837" spans="1:17" x14ac:dyDescent="0.25">
      <c r="A837" s="11">
        <v>200503</v>
      </c>
      <c r="B837" s="12" t="s">
        <v>3161</v>
      </c>
      <c r="C837" s="12" t="s">
        <v>3165</v>
      </c>
      <c r="D837" s="12">
        <v>3</v>
      </c>
      <c r="E837" s="125">
        <v>49794006.090000004</v>
      </c>
      <c r="F837" s="12">
        <v>-26</v>
      </c>
      <c r="G837" s="125">
        <v>34396651.450000003</v>
      </c>
      <c r="H837" s="12" t="s">
        <v>1448</v>
      </c>
      <c r="I837" s="125">
        <v>114655.5</v>
      </c>
      <c r="J837" s="13">
        <v>42663.50077885417</v>
      </c>
      <c r="K837" s="13">
        <v>43758</v>
      </c>
      <c r="L837" s="13" t="s">
        <v>3166</v>
      </c>
      <c r="M837" s="12"/>
      <c r="N837" s="12" t="s">
        <v>3167</v>
      </c>
      <c r="O837" s="12"/>
      <c r="P837" s="12"/>
      <c r="Q837" s="12"/>
    </row>
    <row r="838" spans="1:17" x14ac:dyDescent="0.25">
      <c r="A838" s="11">
        <v>200506</v>
      </c>
      <c r="B838" s="12" t="s">
        <v>3168</v>
      </c>
      <c r="C838" s="12" t="s">
        <v>3170</v>
      </c>
      <c r="D838" s="12">
        <v>7</v>
      </c>
      <c r="E838" s="125">
        <v>462601.87</v>
      </c>
      <c r="F838" s="12">
        <v>64</v>
      </c>
      <c r="G838" s="125">
        <v>450795.7</v>
      </c>
      <c r="H838" s="12" t="s">
        <v>2861</v>
      </c>
      <c r="I838" s="125">
        <v>11806.17</v>
      </c>
      <c r="J838" s="13">
        <v>42664.51456369213</v>
      </c>
      <c r="K838" s="13">
        <v>43029</v>
      </c>
      <c r="L838" s="13" t="s">
        <v>3171</v>
      </c>
      <c r="M838" s="12"/>
      <c r="N838" s="12" t="s">
        <v>3172</v>
      </c>
      <c r="O838" s="12"/>
      <c r="P838" s="12"/>
      <c r="Q838" s="12"/>
    </row>
    <row r="839" spans="1:17" x14ac:dyDescent="0.25">
      <c r="A839" s="11">
        <v>200512</v>
      </c>
      <c r="B839" s="12" t="s">
        <v>1728</v>
      </c>
      <c r="C839" s="12" t="s">
        <v>1729</v>
      </c>
      <c r="D839" s="12">
        <v>6</v>
      </c>
      <c r="E839" s="125">
        <v>73852909.420000002</v>
      </c>
      <c r="F839" s="12">
        <v>30</v>
      </c>
      <c r="G839" s="125">
        <v>51893568.420000002</v>
      </c>
      <c r="H839" s="12" t="s">
        <v>5725</v>
      </c>
      <c r="I839" s="125">
        <v>2574883.85</v>
      </c>
      <c r="J839" s="13">
        <v>42667.573399224537</v>
      </c>
      <c r="K839" s="13">
        <v>43763</v>
      </c>
      <c r="L839" s="13" t="s">
        <v>1730</v>
      </c>
      <c r="M839" s="12"/>
      <c r="N839" s="12"/>
      <c r="O839" s="12"/>
      <c r="P839" s="12"/>
      <c r="Q839" s="12"/>
    </row>
    <row r="840" spans="1:17" x14ac:dyDescent="0.25">
      <c r="A840" s="11">
        <v>200513</v>
      </c>
      <c r="B840" s="12" t="s">
        <v>3175</v>
      </c>
      <c r="C840" s="12" t="s">
        <v>3176</v>
      </c>
      <c r="D840" s="12">
        <v>7</v>
      </c>
      <c r="E840" s="125">
        <v>438664.73</v>
      </c>
      <c r="F840" s="12">
        <v>123</v>
      </c>
      <c r="G840" s="125">
        <v>393430.25</v>
      </c>
      <c r="H840" s="12" t="s">
        <v>3074</v>
      </c>
      <c r="I840" s="125">
        <v>30818.240000000002</v>
      </c>
      <c r="J840" s="13">
        <v>42667.644321180553</v>
      </c>
      <c r="K840" s="13">
        <v>43032</v>
      </c>
      <c r="L840" s="13" t="s">
        <v>3177</v>
      </c>
      <c r="M840" s="12"/>
      <c r="N840" s="12" t="s">
        <v>3178</v>
      </c>
      <c r="O840" s="12"/>
      <c r="P840" s="12"/>
      <c r="Q840" s="12"/>
    </row>
    <row r="841" spans="1:17" x14ac:dyDescent="0.25">
      <c r="A841" s="11">
        <v>200521</v>
      </c>
      <c r="B841" s="12" t="s">
        <v>3187</v>
      </c>
      <c r="C841" s="12" t="s">
        <v>3190</v>
      </c>
      <c r="D841" s="12">
        <v>6</v>
      </c>
      <c r="E841" s="125">
        <v>13535418.6</v>
      </c>
      <c r="F841" s="12">
        <v>84</v>
      </c>
      <c r="G841" s="125">
        <v>10754776.17</v>
      </c>
      <c r="H841" s="12" t="s">
        <v>1039</v>
      </c>
      <c r="I841" s="125">
        <v>402342.74</v>
      </c>
      <c r="J841" s="13">
        <v>42669.510123495369</v>
      </c>
      <c r="K841" s="13">
        <v>43405</v>
      </c>
      <c r="L841" s="13" t="s">
        <v>3191</v>
      </c>
      <c r="M841" s="12"/>
      <c r="N841" s="12" t="s">
        <v>3192</v>
      </c>
      <c r="O841" s="12"/>
      <c r="P841" s="12"/>
      <c r="Q841" s="12"/>
    </row>
    <row r="842" spans="1:17" x14ac:dyDescent="0.25">
      <c r="A842" s="11">
        <v>200527</v>
      </c>
      <c r="B842" s="12" t="s">
        <v>3195</v>
      </c>
      <c r="C842" s="12" t="s">
        <v>3199</v>
      </c>
      <c r="D842" s="12">
        <v>8</v>
      </c>
      <c r="E842" s="125">
        <v>3844655.68</v>
      </c>
      <c r="F842" s="12">
        <v>23</v>
      </c>
      <c r="G842" s="125">
        <v>3361180.19</v>
      </c>
      <c r="H842" s="12" t="s">
        <v>4684</v>
      </c>
      <c r="I842" s="125">
        <v>130256.5</v>
      </c>
      <c r="J842" s="13">
        <v>42670.688696377314</v>
      </c>
      <c r="K842" s="13">
        <v>43221</v>
      </c>
      <c r="L842" s="13" t="s">
        <v>3200</v>
      </c>
      <c r="M842" s="12"/>
      <c r="N842" s="12" t="s">
        <v>3201</v>
      </c>
      <c r="O842" s="12"/>
      <c r="P842" s="12"/>
      <c r="Q842" s="12"/>
    </row>
    <row r="843" spans="1:17" x14ac:dyDescent="0.25">
      <c r="A843" s="11">
        <v>200532</v>
      </c>
      <c r="B843" s="12" t="s">
        <v>3205</v>
      </c>
      <c r="C843" s="12" t="s">
        <v>3215</v>
      </c>
      <c r="D843" s="12">
        <v>7</v>
      </c>
      <c r="E843" s="125">
        <v>147614.32</v>
      </c>
      <c r="F843" s="12">
        <v>23</v>
      </c>
      <c r="G843" s="125">
        <v>147614.32</v>
      </c>
      <c r="H843" s="12" t="s">
        <v>963</v>
      </c>
      <c r="I843" s="125">
        <v>0</v>
      </c>
      <c r="J843" s="13">
        <v>42671.680053935183</v>
      </c>
      <c r="K843" s="13">
        <v>43040</v>
      </c>
      <c r="L843" s="13" t="s">
        <v>3216</v>
      </c>
      <c r="M843" s="12"/>
      <c r="N843" s="12"/>
      <c r="O843" s="12"/>
      <c r="P843" s="12"/>
      <c r="Q843" s="12"/>
    </row>
    <row r="844" spans="1:17" x14ac:dyDescent="0.25">
      <c r="A844" s="11">
        <v>200535</v>
      </c>
      <c r="B844" s="12" t="s">
        <v>3224</v>
      </c>
      <c r="C844" s="12" t="s">
        <v>3237</v>
      </c>
      <c r="D844" s="12">
        <v>1</v>
      </c>
      <c r="E844" s="125">
        <v>138423.26</v>
      </c>
      <c r="F844" s="12">
        <v>23</v>
      </c>
      <c r="G844" s="125">
        <v>138423.26</v>
      </c>
      <c r="H844" s="12" t="s">
        <v>1447</v>
      </c>
      <c r="I844" s="125">
        <v>0</v>
      </c>
      <c r="J844" s="13">
        <v>42674.474566400466</v>
      </c>
      <c r="K844" s="13">
        <v>43040</v>
      </c>
      <c r="L844" s="13" t="s">
        <v>3238</v>
      </c>
      <c r="M844" s="12"/>
      <c r="N844" s="12" t="s">
        <v>3239</v>
      </c>
      <c r="O844" s="12"/>
      <c r="P844" s="12"/>
      <c r="Q844" s="12"/>
    </row>
    <row r="845" spans="1:17" x14ac:dyDescent="0.25">
      <c r="A845" s="11">
        <v>200541</v>
      </c>
      <c r="B845" s="12" t="s">
        <v>3232</v>
      </c>
      <c r="C845" s="12" t="s">
        <v>3247</v>
      </c>
      <c r="D845" s="12">
        <v>6</v>
      </c>
      <c r="E845" s="125">
        <v>13776551.07</v>
      </c>
      <c r="F845" s="12">
        <v>84</v>
      </c>
      <c r="G845" s="125">
        <v>10708766.49</v>
      </c>
      <c r="H845" s="12" t="s">
        <v>1467</v>
      </c>
      <c r="I845" s="125">
        <v>699659.36</v>
      </c>
      <c r="J845" s="13">
        <v>42674.88020378472</v>
      </c>
      <c r="K845" s="13">
        <v>43405</v>
      </c>
      <c r="L845" s="13" t="s">
        <v>4108</v>
      </c>
      <c r="M845" s="12"/>
      <c r="N845" s="12"/>
      <c r="O845" s="12"/>
      <c r="P845" s="12"/>
      <c r="Q845" s="12"/>
    </row>
    <row r="846" spans="1:17" x14ac:dyDescent="0.25">
      <c r="A846" s="11">
        <v>200545</v>
      </c>
      <c r="B846" s="12" t="s">
        <v>3229</v>
      </c>
      <c r="C846" s="12" t="s">
        <v>3251</v>
      </c>
      <c r="D846" s="12">
        <v>1</v>
      </c>
      <c r="E846" s="125">
        <v>659208.30000000005</v>
      </c>
      <c r="F846" s="12">
        <v>54</v>
      </c>
      <c r="G846" s="125">
        <v>635562.06999999995</v>
      </c>
      <c r="H846" s="12" t="s">
        <v>90</v>
      </c>
      <c r="I846" s="125">
        <v>22858.02</v>
      </c>
      <c r="J846" s="13">
        <v>42674.934417789351</v>
      </c>
      <c r="K846" s="13">
        <v>43040</v>
      </c>
      <c r="L846" s="13" t="s">
        <v>3252</v>
      </c>
      <c r="M846" s="12"/>
      <c r="N846" s="12" t="s">
        <v>3253</v>
      </c>
      <c r="O846" s="12"/>
      <c r="P846" s="12"/>
      <c r="Q846" s="12"/>
    </row>
    <row r="847" spans="1:17" x14ac:dyDescent="0.25">
      <c r="A847" s="11">
        <v>200551</v>
      </c>
      <c r="B847" s="12" t="s">
        <v>3261</v>
      </c>
      <c r="C847" s="12" t="s">
        <v>3265</v>
      </c>
      <c r="D847" s="12">
        <v>1</v>
      </c>
      <c r="E847" s="125">
        <v>1346912.58</v>
      </c>
      <c r="F847" s="12">
        <v>206</v>
      </c>
      <c r="G847" s="125">
        <v>1250308.6100000001</v>
      </c>
      <c r="H847" s="12" t="s">
        <v>3074</v>
      </c>
      <c r="I847" s="125">
        <v>75740.41</v>
      </c>
      <c r="J847" s="13">
        <v>42676.657568483795</v>
      </c>
      <c r="K847" s="13">
        <v>42918</v>
      </c>
      <c r="L847" s="13" t="s">
        <v>3266</v>
      </c>
      <c r="M847" s="12"/>
      <c r="N847" s="12" t="s">
        <v>3267</v>
      </c>
      <c r="O847" s="12"/>
      <c r="P847" s="12"/>
      <c r="Q847" s="12"/>
    </row>
    <row r="848" spans="1:17" x14ac:dyDescent="0.25">
      <c r="A848" s="11">
        <v>200553</v>
      </c>
      <c r="B848" s="12" t="s">
        <v>3269</v>
      </c>
      <c r="C848" s="12" t="s">
        <v>3280</v>
      </c>
      <c r="D848" s="12">
        <v>1</v>
      </c>
      <c r="E848" s="125">
        <v>1490362.83</v>
      </c>
      <c r="F848" s="12">
        <v>21</v>
      </c>
      <c r="G848" s="125">
        <v>1490362.83</v>
      </c>
      <c r="H848" s="12" t="s">
        <v>1448</v>
      </c>
      <c r="I848" s="125">
        <v>0</v>
      </c>
      <c r="J848" s="13">
        <v>42677.678876076388</v>
      </c>
      <c r="K848" s="13">
        <v>43042</v>
      </c>
      <c r="L848" s="13" t="s">
        <v>3281</v>
      </c>
      <c r="M848" s="12"/>
      <c r="N848" s="12" t="s">
        <v>3282</v>
      </c>
      <c r="O848" s="12"/>
      <c r="P848" s="12"/>
      <c r="Q848" s="12"/>
    </row>
    <row r="849" spans="1:17" x14ac:dyDescent="0.25">
      <c r="A849" s="11">
        <v>200555</v>
      </c>
      <c r="B849" s="12" t="s">
        <v>3271</v>
      </c>
      <c r="C849" s="12" t="s">
        <v>3283</v>
      </c>
      <c r="D849" s="12">
        <v>7</v>
      </c>
      <c r="E849" s="125">
        <v>1924667.85</v>
      </c>
      <c r="F849" s="12">
        <v>142</v>
      </c>
      <c r="G849" s="125">
        <v>1689849.42</v>
      </c>
      <c r="H849" s="12" t="s">
        <v>1467</v>
      </c>
      <c r="I849" s="125">
        <v>136114.94</v>
      </c>
      <c r="J849" s="13">
        <v>42677.750233449071</v>
      </c>
      <c r="K849" s="13">
        <v>43044</v>
      </c>
      <c r="L849" s="13" t="s">
        <v>3284</v>
      </c>
      <c r="M849" s="12"/>
      <c r="N849" s="12" t="s">
        <v>3285</v>
      </c>
      <c r="O849" s="12"/>
      <c r="P849" s="12"/>
      <c r="Q849" s="12"/>
    </row>
    <row r="850" spans="1:17" x14ac:dyDescent="0.25">
      <c r="A850" s="11">
        <v>200557</v>
      </c>
      <c r="B850" s="12" t="s">
        <v>3289</v>
      </c>
      <c r="C850" s="12" t="s">
        <v>3291</v>
      </c>
      <c r="D850" s="12">
        <v>1</v>
      </c>
      <c r="E850" s="125">
        <v>1644992.78</v>
      </c>
      <c r="F850" s="12">
        <v>142</v>
      </c>
      <c r="G850" s="125">
        <v>1444296.02</v>
      </c>
      <c r="H850" s="12" t="s">
        <v>1039</v>
      </c>
      <c r="I850" s="125">
        <v>116335.97</v>
      </c>
      <c r="J850" s="13">
        <v>42679.429257060183</v>
      </c>
      <c r="K850" s="13">
        <v>43044</v>
      </c>
      <c r="L850" s="13" t="s">
        <v>3292</v>
      </c>
      <c r="M850" s="12"/>
      <c r="N850" s="12"/>
      <c r="O850" s="12"/>
      <c r="P850" s="12"/>
      <c r="Q850" s="12"/>
    </row>
    <row r="851" spans="1:17" x14ac:dyDescent="0.25">
      <c r="A851" s="11">
        <v>200563</v>
      </c>
      <c r="B851" s="12" t="s">
        <v>3036</v>
      </c>
      <c r="C851" s="12" t="s">
        <v>3043</v>
      </c>
      <c r="D851" s="12">
        <v>6</v>
      </c>
      <c r="E851" s="125">
        <v>71453919.040000007</v>
      </c>
      <c r="F851" s="12">
        <v>-16</v>
      </c>
      <c r="G851" s="125">
        <v>50421285.609999999</v>
      </c>
      <c r="H851" s="12" t="s">
        <v>546</v>
      </c>
      <c r="I851" s="125">
        <v>655476.71</v>
      </c>
      <c r="J851" s="13">
        <v>42684.534706018516</v>
      </c>
      <c r="K851" s="13">
        <v>43779</v>
      </c>
      <c r="L851" s="13" t="s">
        <v>3044</v>
      </c>
      <c r="M851" s="12"/>
      <c r="N851" s="12"/>
      <c r="O851" s="12"/>
      <c r="P851" s="12"/>
      <c r="Q851" s="12"/>
    </row>
    <row r="852" spans="1:17" x14ac:dyDescent="0.25">
      <c r="A852" s="11">
        <v>200564</v>
      </c>
      <c r="B852" s="12" t="s">
        <v>2084</v>
      </c>
      <c r="C852" s="12" t="s">
        <v>2091</v>
      </c>
      <c r="D852" s="12">
        <v>6</v>
      </c>
      <c r="E852" s="125">
        <v>24799914.670000002</v>
      </c>
      <c r="F852" s="12">
        <v>-16</v>
      </c>
      <c r="G852" s="125">
        <v>20571537.48</v>
      </c>
      <c r="H852" s="12" t="s">
        <v>1667</v>
      </c>
      <c r="I852" s="125">
        <v>267429.99</v>
      </c>
      <c r="J852" s="13">
        <v>42684.633021678237</v>
      </c>
      <c r="K852" s="13">
        <v>43414</v>
      </c>
      <c r="L852" s="13" t="s">
        <v>2092</v>
      </c>
      <c r="M852" s="12"/>
      <c r="N852" s="12"/>
      <c r="O852" s="12"/>
      <c r="P852" s="12"/>
      <c r="Q852" s="12"/>
    </row>
    <row r="853" spans="1:17" x14ac:dyDescent="0.25">
      <c r="A853" s="11">
        <v>200567</v>
      </c>
      <c r="B853" s="12" t="s">
        <v>3314</v>
      </c>
      <c r="C853" s="12" t="s">
        <v>3321</v>
      </c>
      <c r="D853" s="12">
        <v>2</v>
      </c>
      <c r="E853" s="125">
        <v>14218799.130000001</v>
      </c>
      <c r="F853" s="12">
        <v>-16</v>
      </c>
      <c r="G853" s="125">
        <v>12422815.15</v>
      </c>
      <c r="H853" s="12" t="s">
        <v>468</v>
      </c>
      <c r="I853" s="125">
        <v>215328.8</v>
      </c>
      <c r="J853" s="13">
        <v>42684.672505821756</v>
      </c>
      <c r="K853" s="13">
        <v>43230</v>
      </c>
      <c r="L853" s="13" t="s">
        <v>3322</v>
      </c>
      <c r="M853" s="12"/>
      <c r="N853" s="12" t="s">
        <v>3323</v>
      </c>
      <c r="O853" s="12"/>
      <c r="P853" s="12"/>
      <c r="Q853" s="12"/>
    </row>
    <row r="854" spans="1:17" x14ac:dyDescent="0.25">
      <c r="A854" s="11">
        <v>200570</v>
      </c>
      <c r="B854" s="12" t="s">
        <v>3327</v>
      </c>
      <c r="C854" s="12" t="s">
        <v>3340</v>
      </c>
      <c r="D854" s="12">
        <v>8</v>
      </c>
      <c r="E854" s="125">
        <v>691035.23</v>
      </c>
      <c r="F854" s="12">
        <v>13</v>
      </c>
      <c r="G854" s="125">
        <v>691035.23</v>
      </c>
      <c r="H854" s="12" t="s">
        <v>1925</v>
      </c>
      <c r="I854" s="125">
        <v>0</v>
      </c>
      <c r="J854" s="13">
        <v>42685.629395173608</v>
      </c>
      <c r="K854" s="13">
        <v>43050</v>
      </c>
      <c r="L854" s="13" t="s">
        <v>3341</v>
      </c>
      <c r="M854" s="12"/>
      <c r="N854" s="12" t="s">
        <v>3342</v>
      </c>
      <c r="O854" s="12"/>
      <c r="P854" s="12"/>
      <c r="Q854" s="12"/>
    </row>
    <row r="855" spans="1:17" x14ac:dyDescent="0.25">
      <c r="A855" s="11">
        <v>200572</v>
      </c>
      <c r="B855" s="12" t="s">
        <v>3349</v>
      </c>
      <c r="C855" s="12" t="s">
        <v>3355</v>
      </c>
      <c r="D855" s="12">
        <v>6</v>
      </c>
      <c r="E855" s="125">
        <v>8479221.2599999998</v>
      </c>
      <c r="F855" s="12">
        <v>165</v>
      </c>
      <c r="G855" s="125">
        <v>6432897.4900000002</v>
      </c>
      <c r="H855" s="12" t="s">
        <v>3074</v>
      </c>
      <c r="I855" s="125">
        <v>214481.34</v>
      </c>
      <c r="J855" s="13">
        <v>42686.51169861111</v>
      </c>
      <c r="K855" s="13">
        <v>43416</v>
      </c>
      <c r="L855" s="13" t="s">
        <v>3356</v>
      </c>
      <c r="M855" s="12"/>
      <c r="N855" s="12" t="s">
        <v>3357</v>
      </c>
      <c r="O855" s="12"/>
      <c r="P855" s="12"/>
      <c r="Q855" s="12"/>
    </row>
    <row r="856" spans="1:17" x14ac:dyDescent="0.25">
      <c r="A856" s="11">
        <v>200573</v>
      </c>
      <c r="B856" s="12" t="s">
        <v>1762</v>
      </c>
      <c r="C856" s="12" t="s">
        <v>1763</v>
      </c>
      <c r="D856" s="12">
        <v>2</v>
      </c>
      <c r="E856" s="125">
        <v>7278416.7999999998</v>
      </c>
      <c r="F856" s="12">
        <v>-18</v>
      </c>
      <c r="G856" s="125">
        <v>6463904.96</v>
      </c>
      <c r="H856" s="12" t="s">
        <v>1667</v>
      </c>
      <c r="I856" s="125">
        <v>82953.45</v>
      </c>
      <c r="J856" s="13">
        <v>42686.532003125001</v>
      </c>
      <c r="K856" s="13">
        <v>43232</v>
      </c>
      <c r="L856" s="13" t="s">
        <v>1764</v>
      </c>
      <c r="M856" s="12" t="s">
        <v>1836</v>
      </c>
      <c r="N856" s="12"/>
      <c r="O856" s="12"/>
      <c r="P856" s="12"/>
      <c r="Q856" s="12"/>
    </row>
    <row r="857" spans="1:17" x14ac:dyDescent="0.25">
      <c r="A857" s="11">
        <v>200574</v>
      </c>
      <c r="B857" s="12" t="s">
        <v>3348</v>
      </c>
      <c r="C857" s="12" t="s">
        <v>3358</v>
      </c>
      <c r="D857" s="12">
        <v>6</v>
      </c>
      <c r="E857" s="125">
        <v>7666837.6299999999</v>
      </c>
      <c r="F857" s="12">
        <v>-18</v>
      </c>
      <c r="G857" s="125">
        <v>5696369.46</v>
      </c>
      <c r="H857" s="12" t="s">
        <v>2175</v>
      </c>
      <c r="I857" s="125">
        <v>69622.289999999994</v>
      </c>
      <c r="J857" s="13">
        <v>42686.558729282406</v>
      </c>
      <c r="K857" s="13">
        <v>43597</v>
      </c>
      <c r="L857" s="13" t="s">
        <v>3359</v>
      </c>
      <c r="M857" s="12"/>
      <c r="N857" s="12" t="s">
        <v>3360</v>
      </c>
      <c r="O857" s="12"/>
      <c r="P857" s="12"/>
      <c r="Q857" s="12"/>
    </row>
    <row r="858" spans="1:17" x14ac:dyDescent="0.25">
      <c r="A858" s="11">
        <v>200576</v>
      </c>
      <c r="B858" s="12" t="s">
        <v>3346</v>
      </c>
      <c r="C858" s="12" t="s">
        <v>3361</v>
      </c>
      <c r="D858" s="12">
        <v>7</v>
      </c>
      <c r="E858" s="125">
        <v>615028.22</v>
      </c>
      <c r="F858" s="12">
        <v>43</v>
      </c>
      <c r="G858" s="125">
        <v>591415.88</v>
      </c>
      <c r="H858" s="12" t="s">
        <v>2861</v>
      </c>
      <c r="I858" s="125">
        <v>22825.26</v>
      </c>
      <c r="J858" s="13">
        <v>42686.587221296293</v>
      </c>
      <c r="K858" s="13">
        <v>43051</v>
      </c>
      <c r="L858" s="13" t="s">
        <v>3362</v>
      </c>
      <c r="M858" s="12"/>
      <c r="N858" s="12" t="s">
        <v>3363</v>
      </c>
      <c r="O858" s="12"/>
      <c r="P858" s="12"/>
      <c r="Q858" s="12"/>
    </row>
    <row r="859" spans="1:17" x14ac:dyDescent="0.25">
      <c r="A859" s="11">
        <v>200584</v>
      </c>
      <c r="B859" s="12" t="s">
        <v>3394</v>
      </c>
      <c r="C859" s="12" t="s">
        <v>3409</v>
      </c>
      <c r="D859" s="12">
        <v>6</v>
      </c>
      <c r="E859" s="125">
        <v>78178995.060000002</v>
      </c>
      <c r="F859" s="12">
        <v>7</v>
      </c>
      <c r="G859" s="125">
        <v>52485275.039999999</v>
      </c>
      <c r="H859" s="12" t="s">
        <v>4684</v>
      </c>
      <c r="I859" s="125">
        <v>2090226.67</v>
      </c>
      <c r="J859" s="13">
        <v>42691.642452662039</v>
      </c>
      <c r="K859" s="13">
        <v>43786</v>
      </c>
      <c r="L859" s="13" t="s">
        <v>3410</v>
      </c>
      <c r="M859" s="12"/>
      <c r="N859" s="12" t="s">
        <v>3411</v>
      </c>
      <c r="O859" s="12"/>
      <c r="P859" s="12"/>
      <c r="Q859" s="12"/>
    </row>
    <row r="860" spans="1:17" x14ac:dyDescent="0.25">
      <c r="A860" s="11">
        <v>200585</v>
      </c>
      <c r="B860" s="12" t="s">
        <v>3396</v>
      </c>
      <c r="C860" s="12" t="s">
        <v>3412</v>
      </c>
      <c r="D860" s="12">
        <v>7</v>
      </c>
      <c r="E860" s="125">
        <v>410311.89</v>
      </c>
      <c r="F860" s="12">
        <v>191</v>
      </c>
      <c r="G860" s="125">
        <v>391007.09</v>
      </c>
      <c r="H860" s="12" t="s">
        <v>963</v>
      </c>
      <c r="I860" s="125">
        <v>12350.28</v>
      </c>
      <c r="J860" s="13">
        <v>42691.705971793985</v>
      </c>
      <c r="K860" s="13">
        <v>42933</v>
      </c>
      <c r="L860" s="13" t="s">
        <v>3413</v>
      </c>
      <c r="M860" s="12"/>
      <c r="N860" s="12"/>
      <c r="O860" s="12"/>
      <c r="P860" s="12"/>
      <c r="Q860" s="12"/>
    </row>
    <row r="861" spans="1:17" x14ac:dyDescent="0.25">
      <c r="A861" s="11">
        <v>200589</v>
      </c>
      <c r="B861" s="12" t="s">
        <v>3402</v>
      </c>
      <c r="C861" s="12" t="s">
        <v>3421</v>
      </c>
      <c r="D861" s="12">
        <v>1</v>
      </c>
      <c r="E861" s="125">
        <v>635847.16</v>
      </c>
      <c r="F861" s="12">
        <v>7</v>
      </c>
      <c r="G861" s="125">
        <v>629662.35</v>
      </c>
      <c r="H861" s="12" t="s">
        <v>2861</v>
      </c>
      <c r="I861" s="125">
        <v>6184.81</v>
      </c>
      <c r="J861" s="13">
        <v>42691.700877280091</v>
      </c>
      <c r="K861" s="13">
        <v>43056</v>
      </c>
      <c r="L861" s="13" t="s">
        <v>3422</v>
      </c>
      <c r="M861" s="12"/>
      <c r="N861" s="12"/>
      <c r="O861" s="12"/>
      <c r="P861" s="12"/>
      <c r="Q861" s="12"/>
    </row>
    <row r="862" spans="1:17" x14ac:dyDescent="0.25">
      <c r="A862" s="11">
        <v>200593</v>
      </c>
      <c r="B862" s="12" t="s">
        <v>3425</v>
      </c>
      <c r="C862" s="12" t="s">
        <v>3430</v>
      </c>
      <c r="D862" s="12">
        <v>2</v>
      </c>
      <c r="E862" s="125">
        <v>12592671.619999999</v>
      </c>
      <c r="F862" s="12">
        <v>-24</v>
      </c>
      <c r="G862" s="125">
        <v>9848596</v>
      </c>
      <c r="H862" s="12" t="s">
        <v>2538</v>
      </c>
      <c r="I862" s="125">
        <v>65657.31</v>
      </c>
      <c r="J862" s="13">
        <v>42692.404183483799</v>
      </c>
      <c r="K862" s="13">
        <v>43422</v>
      </c>
      <c r="L862" s="13" t="s">
        <v>3431</v>
      </c>
      <c r="M862" s="12"/>
      <c r="N862" s="12"/>
      <c r="O862" s="12"/>
      <c r="P862" s="12"/>
      <c r="Q862" s="12"/>
    </row>
    <row r="863" spans="1:17" x14ac:dyDescent="0.25">
      <c r="A863" s="11">
        <v>200598</v>
      </c>
      <c r="B863" s="12" t="s">
        <v>3428</v>
      </c>
      <c r="C863" s="12" t="s">
        <v>3438</v>
      </c>
      <c r="D863" s="12">
        <v>3</v>
      </c>
      <c r="E863" s="125">
        <v>44055169.630000003</v>
      </c>
      <c r="F863" s="12">
        <v>-25</v>
      </c>
      <c r="G863" s="125">
        <v>35827178.759999998</v>
      </c>
      <c r="H863" s="12" t="s">
        <v>1448</v>
      </c>
      <c r="I863" s="125">
        <v>159231.91</v>
      </c>
      <c r="J863" s="13">
        <v>42693.53923159722</v>
      </c>
      <c r="K863" s="13">
        <v>43423</v>
      </c>
      <c r="L863" s="13" t="s">
        <v>3439</v>
      </c>
      <c r="M863" s="12"/>
      <c r="N863" s="12" t="s">
        <v>3440</v>
      </c>
      <c r="O863" s="12"/>
      <c r="P863" s="12"/>
      <c r="Q863" s="12"/>
    </row>
    <row r="864" spans="1:17" x14ac:dyDescent="0.25">
      <c r="A864" s="11">
        <v>200601</v>
      </c>
      <c r="B864" s="12" t="s">
        <v>2007</v>
      </c>
      <c r="C864" s="12" t="s">
        <v>2008</v>
      </c>
      <c r="D864" s="12">
        <v>8</v>
      </c>
      <c r="E864" s="125">
        <v>653787.15</v>
      </c>
      <c r="F864" s="12">
        <v>3</v>
      </c>
      <c r="G864" s="125">
        <v>653787.15</v>
      </c>
      <c r="H864" s="12" t="s">
        <v>1667</v>
      </c>
      <c r="I864" s="125">
        <v>0</v>
      </c>
      <c r="J864" s="13">
        <v>42695.688144560183</v>
      </c>
      <c r="K864" s="13">
        <v>43060</v>
      </c>
      <c r="L864" s="13" t="s">
        <v>2009</v>
      </c>
      <c r="M864" s="12"/>
      <c r="N864" s="12"/>
      <c r="O864" s="12"/>
      <c r="P864" s="12"/>
      <c r="Q864" s="12"/>
    </row>
    <row r="865" spans="1:17" x14ac:dyDescent="0.25">
      <c r="A865" s="11">
        <v>200603</v>
      </c>
      <c r="B865" s="12" t="s">
        <v>3451</v>
      </c>
      <c r="C865" s="12" t="s">
        <v>3453</v>
      </c>
      <c r="D865" s="12">
        <v>1</v>
      </c>
      <c r="E865" s="125">
        <v>3833504.23</v>
      </c>
      <c r="F865" s="12">
        <v>185</v>
      </c>
      <c r="G865" s="125">
        <v>3231150.28</v>
      </c>
      <c r="H865" s="12" t="s">
        <v>1467</v>
      </c>
      <c r="I865" s="125">
        <v>264404.07</v>
      </c>
      <c r="J865" s="13">
        <v>42697.471511377313</v>
      </c>
      <c r="K865" s="13">
        <v>43062</v>
      </c>
      <c r="L865" s="13" t="s">
        <v>3454</v>
      </c>
      <c r="M865" s="12"/>
      <c r="N865" s="12"/>
      <c r="O865" s="12"/>
      <c r="P865" s="12"/>
      <c r="Q865" s="12"/>
    </row>
    <row r="866" spans="1:17" x14ac:dyDescent="0.25">
      <c r="A866" s="11">
        <v>200607</v>
      </c>
      <c r="B866" s="12" t="s">
        <v>3450</v>
      </c>
      <c r="C866" s="12" t="s">
        <v>3458</v>
      </c>
      <c r="D866" s="12">
        <v>7</v>
      </c>
      <c r="E866" s="125">
        <v>274952.53999999998</v>
      </c>
      <c r="F866" s="12">
        <v>-1</v>
      </c>
      <c r="G866" s="125">
        <v>263112.48</v>
      </c>
      <c r="H866" s="12" t="s">
        <v>2034</v>
      </c>
      <c r="I866" s="125">
        <v>11050.72</v>
      </c>
      <c r="J866" s="13">
        <v>42697.708770254627</v>
      </c>
      <c r="K866" s="13">
        <v>43064</v>
      </c>
      <c r="L866" s="13" t="s">
        <v>3459</v>
      </c>
      <c r="M866" s="12"/>
      <c r="N866" s="12"/>
      <c r="O866" s="12"/>
      <c r="P866" s="12"/>
      <c r="Q866" s="12"/>
    </row>
    <row r="867" spans="1:17" x14ac:dyDescent="0.25">
      <c r="A867" s="11">
        <v>200611</v>
      </c>
      <c r="B867" s="12" t="s">
        <v>3467</v>
      </c>
      <c r="C867" s="12" t="s">
        <v>3469</v>
      </c>
      <c r="D867" s="12">
        <v>7</v>
      </c>
      <c r="E867" s="125">
        <v>328998.5</v>
      </c>
      <c r="F867" s="12">
        <v>0</v>
      </c>
      <c r="G867" s="125">
        <v>314831.09999999998</v>
      </c>
      <c r="H867" s="12" t="s">
        <v>2861</v>
      </c>
      <c r="I867" s="125">
        <v>13695.15</v>
      </c>
      <c r="J867" s="13">
        <v>42698.678439814816</v>
      </c>
      <c r="K867" s="13">
        <v>43063</v>
      </c>
      <c r="L867" s="13" t="s">
        <v>3470</v>
      </c>
      <c r="M867" s="12"/>
      <c r="N867" s="12" t="s">
        <v>3471</v>
      </c>
      <c r="O867" s="12"/>
      <c r="P867" s="12"/>
      <c r="Q867" s="12"/>
    </row>
    <row r="868" spans="1:17" x14ac:dyDescent="0.25">
      <c r="A868" s="11">
        <v>200612</v>
      </c>
      <c r="B868" s="12" t="s">
        <v>1655</v>
      </c>
      <c r="C868" s="12" t="s">
        <v>1069</v>
      </c>
      <c r="D868" s="12">
        <v>5</v>
      </c>
      <c r="E868" s="125">
        <v>45157077.799999997</v>
      </c>
      <c r="F868" s="12">
        <v>-27</v>
      </c>
      <c r="G868" s="125">
        <v>31593451.030000001</v>
      </c>
      <c r="H868" s="12" t="s">
        <v>284</v>
      </c>
      <c r="I868" s="125">
        <v>43879.79</v>
      </c>
      <c r="J868" s="13">
        <v>42698.689469363424</v>
      </c>
      <c r="K868" s="13">
        <v>44156</v>
      </c>
      <c r="L868" s="13" t="s">
        <v>1070</v>
      </c>
      <c r="M868" s="12"/>
      <c r="N868" s="12"/>
      <c r="O868" s="12"/>
      <c r="P868" s="12"/>
      <c r="Q868" s="12"/>
    </row>
    <row r="869" spans="1:17" x14ac:dyDescent="0.25">
      <c r="A869" s="11">
        <v>200613</v>
      </c>
      <c r="B869" s="12" t="s">
        <v>3468</v>
      </c>
      <c r="C869" s="12" t="s">
        <v>3472</v>
      </c>
      <c r="D869" s="12">
        <v>1</v>
      </c>
      <c r="E869" s="125">
        <v>549118.03</v>
      </c>
      <c r="F869" s="12">
        <v>-1</v>
      </c>
      <c r="G869" s="125">
        <v>525471.80000000005</v>
      </c>
      <c r="H869" s="12" t="s">
        <v>2034</v>
      </c>
      <c r="I869" s="125">
        <v>22069.82</v>
      </c>
      <c r="J869" s="13">
        <v>42698.514199421297</v>
      </c>
      <c r="K869" s="13">
        <v>43064</v>
      </c>
      <c r="L869" s="13" t="s">
        <v>3473</v>
      </c>
      <c r="M869" s="12"/>
      <c r="N869" s="12"/>
      <c r="O869" s="12"/>
      <c r="P869" s="12"/>
      <c r="Q869" s="12"/>
    </row>
    <row r="870" spans="1:17" x14ac:dyDescent="0.25">
      <c r="A870" s="11">
        <v>200616</v>
      </c>
      <c r="B870" s="12" t="s">
        <v>3460</v>
      </c>
      <c r="C870" s="12" t="s">
        <v>3477</v>
      </c>
      <c r="D870" s="12">
        <v>1</v>
      </c>
      <c r="E870" s="125">
        <v>3580817.98</v>
      </c>
      <c r="F870" s="12">
        <v>54</v>
      </c>
      <c r="G870" s="125">
        <v>3411565.76</v>
      </c>
      <c r="H870" s="12" t="s">
        <v>1039</v>
      </c>
      <c r="I870" s="125">
        <v>110187.39</v>
      </c>
      <c r="J870" s="13">
        <v>42698.689138923612</v>
      </c>
      <c r="K870" s="13">
        <v>43070</v>
      </c>
      <c r="L870" s="13" t="s">
        <v>3478</v>
      </c>
      <c r="M870" s="12"/>
      <c r="N870" s="12" t="s">
        <v>3479</v>
      </c>
      <c r="O870" s="12"/>
      <c r="P870" s="12"/>
      <c r="Q870" s="12"/>
    </row>
    <row r="871" spans="1:17" x14ac:dyDescent="0.25">
      <c r="A871" s="11">
        <v>200618</v>
      </c>
      <c r="B871" s="12" t="s">
        <v>3465</v>
      </c>
      <c r="C871" s="12" t="s">
        <v>3482</v>
      </c>
      <c r="D871" s="12">
        <v>6</v>
      </c>
      <c r="E871" s="125">
        <v>1548641.65</v>
      </c>
      <c r="F871" s="12">
        <v>-7</v>
      </c>
      <c r="G871" s="125">
        <v>1498685.47</v>
      </c>
      <c r="H871" s="12" t="s">
        <v>2034</v>
      </c>
      <c r="I871" s="125">
        <v>36634.53</v>
      </c>
      <c r="J871" s="13">
        <v>42698.749268321757</v>
      </c>
      <c r="K871" s="13">
        <v>43070</v>
      </c>
      <c r="L871" s="13" t="s">
        <v>3483</v>
      </c>
      <c r="M871" s="12"/>
      <c r="N871" s="12" t="s">
        <v>3484</v>
      </c>
      <c r="O871" s="12"/>
      <c r="P871" s="12"/>
      <c r="Q871" s="12"/>
    </row>
    <row r="872" spans="1:17" x14ac:dyDescent="0.25">
      <c r="A872" s="11">
        <v>200624</v>
      </c>
      <c r="B872" s="12" t="s">
        <v>3489</v>
      </c>
      <c r="C872" s="12" t="s">
        <v>3499</v>
      </c>
      <c r="D872" s="12">
        <v>6</v>
      </c>
      <c r="E872" s="125">
        <v>21533956.289999999</v>
      </c>
      <c r="F872" s="12">
        <v>20</v>
      </c>
      <c r="G872" s="125">
        <v>17056856.73</v>
      </c>
      <c r="H872" s="12" t="s">
        <v>1925</v>
      </c>
      <c r="I872" s="125">
        <v>819048.02</v>
      </c>
      <c r="J872" s="13">
        <v>42699.717979398149</v>
      </c>
      <c r="K872" s="13">
        <v>43438</v>
      </c>
      <c r="L872" s="13" t="s">
        <v>3500</v>
      </c>
      <c r="M872" s="12"/>
      <c r="N872" s="12" t="s">
        <v>3501</v>
      </c>
      <c r="O872" s="12"/>
      <c r="P872" s="12"/>
      <c r="Q872" s="12"/>
    </row>
    <row r="873" spans="1:17" x14ac:dyDescent="0.25">
      <c r="A873" s="11">
        <v>200625</v>
      </c>
      <c r="B873" s="12" t="s">
        <v>3503</v>
      </c>
      <c r="C873" s="12" t="s">
        <v>3504</v>
      </c>
      <c r="D873" s="12">
        <v>6</v>
      </c>
      <c r="E873" s="125">
        <v>1118604.8500000001</v>
      </c>
      <c r="F873" s="12">
        <v>53</v>
      </c>
      <c r="G873" s="125">
        <v>1069238.57</v>
      </c>
      <c r="H873" s="12" t="s">
        <v>2538</v>
      </c>
      <c r="I873" s="125">
        <v>32195.4</v>
      </c>
      <c r="J873" s="13">
        <v>42700.540309756943</v>
      </c>
      <c r="K873" s="13">
        <v>43071</v>
      </c>
      <c r="L873" s="13" t="s">
        <v>3505</v>
      </c>
      <c r="M873" s="12"/>
      <c r="N873" s="12" t="s">
        <v>3506</v>
      </c>
      <c r="O873" s="12"/>
      <c r="P873" s="12"/>
      <c r="Q873" s="12"/>
    </row>
    <row r="874" spans="1:17" x14ac:dyDescent="0.25">
      <c r="A874" s="11">
        <v>200627</v>
      </c>
      <c r="B874" s="12" t="s">
        <v>3502</v>
      </c>
      <c r="C874" s="12" t="s">
        <v>3507</v>
      </c>
      <c r="D874" s="12">
        <v>1</v>
      </c>
      <c r="E874" s="125">
        <v>3865864.36</v>
      </c>
      <c r="F874" s="12">
        <v>176</v>
      </c>
      <c r="G874" s="125">
        <v>3254340.35</v>
      </c>
      <c r="H874" s="12" t="s">
        <v>1039</v>
      </c>
      <c r="I874" s="125">
        <v>275421.42</v>
      </c>
      <c r="J874" s="13">
        <v>42700.50767673611</v>
      </c>
      <c r="K874" s="13">
        <v>43070</v>
      </c>
      <c r="L874" s="13" t="s">
        <v>3508</v>
      </c>
      <c r="M874" s="12"/>
      <c r="N874" s="12" t="s">
        <v>3509</v>
      </c>
      <c r="O874" s="12"/>
      <c r="P874" s="12"/>
      <c r="Q874" s="12"/>
    </row>
    <row r="875" spans="1:17" x14ac:dyDescent="0.25">
      <c r="A875" s="11">
        <v>200630</v>
      </c>
      <c r="B875" s="12" t="s">
        <v>3513</v>
      </c>
      <c r="C875" s="12" t="s">
        <v>3519</v>
      </c>
      <c r="D875" s="12">
        <v>6</v>
      </c>
      <c r="E875" s="125">
        <v>24158538.390000001</v>
      </c>
      <c r="F875" s="12">
        <v>-8</v>
      </c>
      <c r="G875" s="125">
        <v>16218774.91</v>
      </c>
      <c r="H875" s="12" t="s">
        <v>4684</v>
      </c>
      <c r="I875" s="125">
        <v>378438.08</v>
      </c>
      <c r="J875" s="13">
        <v>42702.629713541668</v>
      </c>
      <c r="K875" s="13">
        <v>43801</v>
      </c>
      <c r="L875" s="13" t="s">
        <v>3520</v>
      </c>
      <c r="M875" s="12"/>
      <c r="N875" s="12"/>
      <c r="O875" s="12"/>
      <c r="P875" s="12"/>
      <c r="Q875" s="12"/>
    </row>
    <row r="876" spans="1:17" x14ac:dyDescent="0.25">
      <c r="A876" s="11">
        <v>200633</v>
      </c>
      <c r="B876" s="12" t="s">
        <v>1740</v>
      </c>
      <c r="C876" s="12" t="s">
        <v>1741</v>
      </c>
      <c r="D876" s="12">
        <v>1</v>
      </c>
      <c r="E876" s="125">
        <v>534810</v>
      </c>
      <c r="F876" s="12">
        <v>-7</v>
      </c>
      <c r="G876" s="125">
        <v>514240.38</v>
      </c>
      <c r="H876" s="12" t="s">
        <v>1667</v>
      </c>
      <c r="I876" s="125">
        <v>15084.38</v>
      </c>
      <c r="J876" s="13">
        <v>42702.681502002313</v>
      </c>
      <c r="K876" s="13">
        <v>43070</v>
      </c>
      <c r="L876" s="13" t="s">
        <v>1742</v>
      </c>
      <c r="M876" s="12" t="s">
        <v>1840</v>
      </c>
      <c r="N876" s="12"/>
      <c r="O876" s="12"/>
      <c r="P876" s="12"/>
      <c r="Q876" s="12"/>
    </row>
    <row r="877" spans="1:17" x14ac:dyDescent="0.25">
      <c r="A877" s="11">
        <v>200635</v>
      </c>
      <c r="B877" s="12" t="s">
        <v>3527</v>
      </c>
      <c r="C877" s="12" t="s">
        <v>3535</v>
      </c>
      <c r="D877" s="12">
        <v>8</v>
      </c>
      <c r="E877" s="125">
        <v>3295967.16</v>
      </c>
      <c r="F877" s="12">
        <v>145</v>
      </c>
      <c r="G877" s="125">
        <v>2927238.19</v>
      </c>
      <c r="H877" s="12" t="s">
        <v>2175</v>
      </c>
      <c r="I877" s="125">
        <v>116531.22</v>
      </c>
      <c r="J877" s="13">
        <v>42703.705507673614</v>
      </c>
      <c r="K877" s="13">
        <v>43071</v>
      </c>
      <c r="L877" s="13" t="s">
        <v>3536</v>
      </c>
      <c r="M877" s="12"/>
      <c r="N877" s="12"/>
      <c r="O877" s="12"/>
      <c r="P877" s="12"/>
      <c r="Q877" s="12"/>
    </row>
    <row r="878" spans="1:17" x14ac:dyDescent="0.25">
      <c r="A878" s="11">
        <v>200636</v>
      </c>
      <c r="B878" s="12" t="s">
        <v>3528</v>
      </c>
      <c r="C878" s="12" t="s">
        <v>3537</v>
      </c>
      <c r="D878" s="12">
        <v>3</v>
      </c>
      <c r="E878" s="125">
        <v>34713282.649999999</v>
      </c>
      <c r="F878" s="12">
        <v>-8</v>
      </c>
      <c r="G878" s="125">
        <v>27802012.670000002</v>
      </c>
      <c r="H878" s="12" t="s">
        <v>1191</v>
      </c>
      <c r="I878" s="125">
        <v>648713.63</v>
      </c>
      <c r="J878" s="13">
        <v>42703.623028935188</v>
      </c>
      <c r="K878" s="13">
        <v>43436</v>
      </c>
      <c r="L878" s="13" t="s">
        <v>3538</v>
      </c>
      <c r="M878" s="12"/>
      <c r="N878" s="12" t="s">
        <v>3539</v>
      </c>
      <c r="O878" s="12"/>
      <c r="P878" s="12"/>
      <c r="Q878" s="12"/>
    </row>
    <row r="879" spans="1:17" x14ac:dyDescent="0.25">
      <c r="A879" s="11">
        <v>200638</v>
      </c>
      <c r="B879" s="12" t="s">
        <v>3524</v>
      </c>
      <c r="C879" s="12" t="s">
        <v>3543</v>
      </c>
      <c r="D879" s="12">
        <v>3</v>
      </c>
      <c r="E879" s="125">
        <v>51870422.369999997</v>
      </c>
      <c r="F879" s="12">
        <v>-8</v>
      </c>
      <c r="G879" s="125">
        <v>41543237.329999998</v>
      </c>
      <c r="H879" s="12" t="s">
        <v>2538</v>
      </c>
      <c r="I879" s="125">
        <v>969342.2</v>
      </c>
      <c r="J879" s="13">
        <v>42703.767264085647</v>
      </c>
      <c r="K879" s="13">
        <v>43436</v>
      </c>
      <c r="L879" s="13" t="s">
        <v>3544</v>
      </c>
      <c r="M879" s="12"/>
      <c r="N879" s="12" t="s">
        <v>3545</v>
      </c>
      <c r="O879" s="12"/>
      <c r="P879" s="12"/>
      <c r="Q879" s="12"/>
    </row>
    <row r="880" spans="1:17" x14ac:dyDescent="0.25">
      <c r="A880" s="11">
        <v>200640</v>
      </c>
      <c r="B880" s="12" t="s">
        <v>3551</v>
      </c>
      <c r="C880" s="12" t="s">
        <v>3592</v>
      </c>
      <c r="D880" s="12">
        <v>1</v>
      </c>
      <c r="E880" s="125">
        <v>274952.53999999998</v>
      </c>
      <c r="F880" s="12">
        <v>-8</v>
      </c>
      <c r="G880" s="125">
        <v>263112.48</v>
      </c>
      <c r="H880" s="12" t="s">
        <v>1447</v>
      </c>
      <c r="I880" s="125">
        <v>8288.0400000000009</v>
      </c>
      <c r="J880" s="13">
        <v>42704.536556863422</v>
      </c>
      <c r="K880" s="13">
        <v>43071</v>
      </c>
      <c r="L880" s="13" t="s">
        <v>3593</v>
      </c>
      <c r="M880" s="12"/>
      <c r="N880" s="12" t="s">
        <v>3594</v>
      </c>
      <c r="O880" s="12"/>
      <c r="P880" s="12"/>
      <c r="Q880" s="12"/>
    </row>
    <row r="881" spans="1:17" x14ac:dyDescent="0.25">
      <c r="A881" s="11">
        <v>200641</v>
      </c>
      <c r="B881" s="12" t="s">
        <v>1885</v>
      </c>
      <c r="C881" s="12" t="s">
        <v>1887</v>
      </c>
      <c r="D881" s="12">
        <v>3</v>
      </c>
      <c r="E881" s="125">
        <v>45743975.899999999</v>
      </c>
      <c r="F881" s="12">
        <v>-29</v>
      </c>
      <c r="G881" s="125">
        <v>37944643.210000001</v>
      </c>
      <c r="H881" s="12" t="s">
        <v>90</v>
      </c>
      <c r="I881" s="125">
        <v>1216212.8500000001</v>
      </c>
      <c r="J881" s="13">
        <v>42704.649020405093</v>
      </c>
      <c r="K881" s="13">
        <v>43427</v>
      </c>
      <c r="L881" s="13" t="s">
        <v>1888</v>
      </c>
      <c r="M881" s="12"/>
      <c r="N881" s="12"/>
      <c r="O881" s="12"/>
      <c r="P881" s="12"/>
      <c r="Q881" s="12"/>
    </row>
    <row r="882" spans="1:17" x14ac:dyDescent="0.25">
      <c r="A882" s="11">
        <v>200644</v>
      </c>
      <c r="B882" s="12" t="s">
        <v>3546</v>
      </c>
      <c r="C882" s="12" t="s">
        <v>3597</v>
      </c>
      <c r="D882" s="12">
        <v>7</v>
      </c>
      <c r="E882" s="125">
        <v>549905.07999999996</v>
      </c>
      <c r="F882" s="12">
        <v>-8</v>
      </c>
      <c r="G882" s="125">
        <v>526224.96</v>
      </c>
      <c r="H882" s="12" t="s">
        <v>2861</v>
      </c>
      <c r="I882" s="125">
        <v>16576.09</v>
      </c>
      <c r="J882" s="13">
        <v>42704.782254594909</v>
      </c>
      <c r="K882" s="13">
        <v>43071</v>
      </c>
      <c r="L882" s="13" t="s">
        <v>3598</v>
      </c>
      <c r="M882" s="12"/>
      <c r="N882" s="12"/>
      <c r="O882" s="12"/>
      <c r="P882" s="12"/>
      <c r="Q882" s="12"/>
    </row>
    <row r="883" spans="1:17" x14ac:dyDescent="0.25">
      <c r="A883" s="11">
        <v>200645</v>
      </c>
      <c r="B883" s="12" t="s">
        <v>3556</v>
      </c>
      <c r="C883" s="12" t="s">
        <v>3599</v>
      </c>
      <c r="D883" s="12">
        <v>6</v>
      </c>
      <c r="E883" s="125">
        <v>13796847.49</v>
      </c>
      <c r="F883" s="12">
        <v>53</v>
      </c>
      <c r="G883" s="125">
        <v>10720268.91</v>
      </c>
      <c r="H883" s="12" t="s">
        <v>1467</v>
      </c>
      <c r="I883" s="125">
        <v>695290.58</v>
      </c>
      <c r="J883" s="13">
        <v>42704.812343321762</v>
      </c>
      <c r="K883" s="13">
        <v>43436</v>
      </c>
      <c r="L883" s="13" t="s">
        <v>3600</v>
      </c>
      <c r="M883" s="12"/>
      <c r="N883" s="12" t="s">
        <v>3601</v>
      </c>
      <c r="O883" s="12"/>
      <c r="P883" s="12"/>
      <c r="Q883" s="12"/>
    </row>
    <row r="884" spans="1:17" x14ac:dyDescent="0.25">
      <c r="A884" s="11">
        <v>200646</v>
      </c>
      <c r="B884" s="12" t="s">
        <v>3552</v>
      </c>
      <c r="C884" s="12" t="s">
        <v>3602</v>
      </c>
      <c r="D884" s="12">
        <v>2</v>
      </c>
      <c r="E884" s="125">
        <v>18111803.539999999</v>
      </c>
      <c r="F884" s="12">
        <v>-15</v>
      </c>
      <c r="G884" s="125">
        <v>13912160.91</v>
      </c>
      <c r="H884" s="12" t="s">
        <v>1925</v>
      </c>
      <c r="I884" s="125">
        <v>259693.67</v>
      </c>
      <c r="J884" s="13">
        <v>42704.839833414349</v>
      </c>
      <c r="K884" s="13">
        <v>43443</v>
      </c>
      <c r="L884" s="13" t="s">
        <v>3603</v>
      </c>
      <c r="M884" s="12"/>
      <c r="N884" s="12"/>
      <c r="O884" s="12"/>
      <c r="P884" s="12"/>
      <c r="Q884" s="12"/>
    </row>
    <row r="885" spans="1:17" x14ac:dyDescent="0.25">
      <c r="A885" s="11">
        <v>200647</v>
      </c>
      <c r="B885" s="12" t="s">
        <v>3555</v>
      </c>
      <c r="C885" s="12" t="s">
        <v>3604</v>
      </c>
      <c r="D885" s="12">
        <v>6</v>
      </c>
      <c r="E885" s="125">
        <v>81743284.939999998</v>
      </c>
      <c r="F885" s="12">
        <v>19</v>
      </c>
      <c r="G885" s="125">
        <v>54107832.090000004</v>
      </c>
      <c r="H885" s="12" t="s">
        <v>90</v>
      </c>
      <c r="I885" s="125">
        <v>2858943.48</v>
      </c>
      <c r="J885" s="13">
        <v>42704.835258217594</v>
      </c>
      <c r="K885" s="13">
        <v>43804</v>
      </c>
      <c r="L885" s="13" t="s">
        <v>3605</v>
      </c>
      <c r="M885" s="12"/>
      <c r="N885" s="12"/>
      <c r="O885" s="12"/>
      <c r="P885" s="12"/>
      <c r="Q885" s="12"/>
    </row>
    <row r="886" spans="1:17" x14ac:dyDescent="0.25">
      <c r="A886" s="11">
        <v>200648</v>
      </c>
      <c r="B886" s="12" t="s">
        <v>3560</v>
      </c>
      <c r="C886" s="12" t="s">
        <v>3606</v>
      </c>
      <c r="D886" s="12">
        <v>3</v>
      </c>
      <c r="E886" s="125">
        <v>65895186.659999996</v>
      </c>
      <c r="F886" s="12">
        <v>-8</v>
      </c>
      <c r="G886" s="125">
        <v>48242615.479999997</v>
      </c>
      <c r="H886" s="12" t="s">
        <v>90</v>
      </c>
      <c r="I886" s="125">
        <v>1125661.03</v>
      </c>
      <c r="J886" s="13">
        <v>42704.907638888886</v>
      </c>
      <c r="K886" s="13">
        <v>43618</v>
      </c>
      <c r="L886" s="13" t="s">
        <v>3607</v>
      </c>
      <c r="M886" s="12"/>
      <c r="N886" s="12"/>
      <c r="O886" s="12"/>
      <c r="P886" s="12"/>
      <c r="Q886" s="12"/>
    </row>
    <row r="887" spans="1:17" x14ac:dyDescent="0.25">
      <c r="A887" s="11">
        <v>200650</v>
      </c>
      <c r="B887" s="12" t="s">
        <v>2635</v>
      </c>
      <c r="C887" s="12" t="s">
        <v>2643</v>
      </c>
      <c r="D887" s="12">
        <v>6</v>
      </c>
      <c r="E887" s="125">
        <v>74575692.25</v>
      </c>
      <c r="F887" s="12">
        <v>-8</v>
      </c>
      <c r="G887" s="125">
        <v>51943901.670000002</v>
      </c>
      <c r="H887" s="12" t="s">
        <v>491</v>
      </c>
      <c r="I887" s="125">
        <v>1090821.94</v>
      </c>
      <c r="J887" s="13">
        <v>42704.924095486109</v>
      </c>
      <c r="K887" s="13">
        <v>43801</v>
      </c>
      <c r="L887" s="13" t="s">
        <v>2644</v>
      </c>
      <c r="M887" s="12"/>
      <c r="N887" s="12"/>
      <c r="O887" s="12"/>
      <c r="P887" s="12"/>
      <c r="Q887" s="12"/>
    </row>
    <row r="888" spans="1:17" x14ac:dyDescent="0.25">
      <c r="A888" s="11">
        <v>200653</v>
      </c>
      <c r="B888" s="12" t="s">
        <v>3186</v>
      </c>
      <c r="C888" s="12" t="s">
        <v>3193</v>
      </c>
      <c r="D888" s="12">
        <v>2</v>
      </c>
      <c r="E888" s="125">
        <v>31602762.460000001</v>
      </c>
      <c r="F888" s="12">
        <v>80</v>
      </c>
      <c r="G888" s="125">
        <v>23015295.629999999</v>
      </c>
      <c r="H888" s="12" t="s">
        <v>1447</v>
      </c>
      <c r="I888" s="125">
        <v>1825339.06</v>
      </c>
      <c r="J888" s="13">
        <v>42706.578693634263</v>
      </c>
      <c r="K888" s="13">
        <v>43439</v>
      </c>
      <c r="L888" s="13" t="s">
        <v>3194</v>
      </c>
      <c r="M888" s="12"/>
      <c r="N888" s="12"/>
      <c r="O888" s="12"/>
      <c r="P888" s="12"/>
      <c r="Q888" s="12"/>
    </row>
    <row r="889" spans="1:17" x14ac:dyDescent="0.25">
      <c r="A889" s="11">
        <v>200654</v>
      </c>
      <c r="B889" s="12" t="s">
        <v>3620</v>
      </c>
      <c r="C889" s="12" t="s">
        <v>3629</v>
      </c>
      <c r="D889" s="12">
        <v>1</v>
      </c>
      <c r="E889" s="125">
        <v>820975.63</v>
      </c>
      <c r="F889" s="12">
        <v>19</v>
      </c>
      <c r="G889" s="125">
        <v>797363.29</v>
      </c>
      <c r="H889" s="12" t="s">
        <v>1667</v>
      </c>
      <c r="I889" s="125">
        <v>14167.4</v>
      </c>
      <c r="J889" s="13">
        <v>42709.63500130787</v>
      </c>
      <c r="K889" s="13">
        <v>43074</v>
      </c>
      <c r="L889" s="13" t="s">
        <v>3630</v>
      </c>
      <c r="M889" s="12"/>
      <c r="N889" s="12" t="s">
        <v>3631</v>
      </c>
      <c r="O889" s="12"/>
      <c r="P889" s="12"/>
      <c r="Q889" s="12"/>
    </row>
    <row r="890" spans="1:17" x14ac:dyDescent="0.25">
      <c r="A890" s="11">
        <v>200655</v>
      </c>
      <c r="B890" s="12" t="s">
        <v>2699</v>
      </c>
      <c r="C890" s="12" t="s">
        <v>2704</v>
      </c>
      <c r="D890" s="12">
        <v>3</v>
      </c>
      <c r="E890" s="125">
        <v>49895066.399999999</v>
      </c>
      <c r="F890" s="12">
        <v>-11</v>
      </c>
      <c r="G890" s="125">
        <v>40817830.979999997</v>
      </c>
      <c r="H890" s="12" t="s">
        <v>1925</v>
      </c>
      <c r="I890" s="125">
        <v>734720.96</v>
      </c>
      <c r="J890" s="13">
        <v>42709.701757407405</v>
      </c>
      <c r="K890" s="13">
        <v>43439</v>
      </c>
      <c r="L890" s="13" t="s">
        <v>2705</v>
      </c>
      <c r="M890" s="12" t="s">
        <v>2706</v>
      </c>
      <c r="N890" s="12"/>
      <c r="O890" s="12"/>
      <c r="P890" s="12"/>
      <c r="Q890" s="12"/>
    </row>
    <row r="891" spans="1:17" x14ac:dyDescent="0.25">
      <c r="A891" s="11">
        <v>200659</v>
      </c>
      <c r="B891" s="12" t="s">
        <v>3632</v>
      </c>
      <c r="C891" s="12" t="s">
        <v>3634</v>
      </c>
      <c r="D891" s="12">
        <v>1</v>
      </c>
      <c r="E891" s="125">
        <v>2590583.73</v>
      </c>
      <c r="F891" s="12">
        <v>141</v>
      </c>
      <c r="G891" s="125">
        <v>2262576.9</v>
      </c>
      <c r="H891" s="12" t="s">
        <v>2034</v>
      </c>
      <c r="I891" s="125">
        <v>144809.96</v>
      </c>
      <c r="J891" s="13">
        <v>42710.542109606482</v>
      </c>
      <c r="K891" s="13">
        <v>43075</v>
      </c>
      <c r="L891" s="13" t="s">
        <v>3635</v>
      </c>
      <c r="M891" s="12"/>
      <c r="N891" s="12" t="s">
        <v>3636</v>
      </c>
      <c r="O891" s="12"/>
      <c r="P891" s="12"/>
      <c r="Q891" s="12"/>
    </row>
    <row r="892" spans="1:17" x14ac:dyDescent="0.25">
      <c r="A892" s="11">
        <v>200660</v>
      </c>
      <c r="B892" s="12" t="s">
        <v>3633</v>
      </c>
      <c r="C892" s="12" t="s">
        <v>3637</v>
      </c>
      <c r="D892" s="12">
        <v>1</v>
      </c>
      <c r="E892" s="125">
        <v>438664.81</v>
      </c>
      <c r="F892" s="12">
        <v>-12</v>
      </c>
      <c r="G892" s="125">
        <v>419774.94</v>
      </c>
      <c r="H892" s="12" t="s">
        <v>2034</v>
      </c>
      <c r="I892" s="125">
        <v>10704.26</v>
      </c>
      <c r="J892" s="13">
        <v>42710.572149733795</v>
      </c>
      <c r="K892" s="13">
        <v>43075</v>
      </c>
      <c r="L892" s="13" t="s">
        <v>3638</v>
      </c>
      <c r="M892" s="12"/>
      <c r="N892" s="12"/>
      <c r="O892" s="12"/>
      <c r="P892" s="12"/>
      <c r="Q892" s="12"/>
    </row>
    <row r="893" spans="1:17" x14ac:dyDescent="0.25">
      <c r="A893" s="11">
        <v>200663</v>
      </c>
      <c r="B893" s="12" t="s">
        <v>3639</v>
      </c>
      <c r="C893" s="12" t="s">
        <v>212</v>
      </c>
      <c r="D893" s="12">
        <v>7</v>
      </c>
      <c r="E893" s="125">
        <v>1299159.6599999999</v>
      </c>
      <c r="F893" s="12">
        <v>47</v>
      </c>
      <c r="G893" s="125">
        <v>1229239.23</v>
      </c>
      <c r="H893" s="12" t="s">
        <v>2861</v>
      </c>
      <c r="I893" s="125">
        <v>45519.94</v>
      </c>
      <c r="J893" s="13">
        <v>42711.700587037034</v>
      </c>
      <c r="K893" s="13">
        <v>43077</v>
      </c>
      <c r="L893" s="13" t="s">
        <v>3640</v>
      </c>
      <c r="M893" s="12"/>
      <c r="N893" s="12"/>
      <c r="O893" s="12"/>
      <c r="P893" s="12"/>
      <c r="Q893" s="12"/>
    </row>
    <row r="894" spans="1:17" x14ac:dyDescent="0.25">
      <c r="A894" s="11">
        <v>200665</v>
      </c>
      <c r="B894" s="12" t="s">
        <v>3650</v>
      </c>
      <c r="C894" s="12" t="s">
        <v>3655</v>
      </c>
      <c r="D894" s="12">
        <v>2</v>
      </c>
      <c r="E894" s="125">
        <v>11059065.99</v>
      </c>
      <c r="F894" s="12">
        <v>-15</v>
      </c>
      <c r="G894" s="125">
        <v>9482445.5199999996</v>
      </c>
      <c r="H894" s="12" t="s">
        <v>1447</v>
      </c>
      <c r="I894" s="125">
        <v>177005.65</v>
      </c>
      <c r="J894" s="13">
        <v>42713.68491311343</v>
      </c>
      <c r="K894" s="13">
        <v>43260</v>
      </c>
      <c r="L894" s="13" t="s">
        <v>3656</v>
      </c>
      <c r="M894" s="12"/>
      <c r="N894" s="12" t="s">
        <v>3657</v>
      </c>
      <c r="O894" s="12"/>
      <c r="P894" s="12"/>
      <c r="Q894" s="12"/>
    </row>
    <row r="895" spans="1:17" x14ac:dyDescent="0.25">
      <c r="A895" s="11">
        <v>200666</v>
      </c>
      <c r="B895" s="12" t="s">
        <v>3645</v>
      </c>
      <c r="C895" s="12" t="s">
        <v>3658</v>
      </c>
      <c r="D895" s="12">
        <v>2</v>
      </c>
      <c r="E895" s="125">
        <v>11059065.99</v>
      </c>
      <c r="F895" s="12">
        <v>-15</v>
      </c>
      <c r="G895" s="125">
        <v>9482445.5199999996</v>
      </c>
      <c r="H895" s="12" t="s">
        <v>1447</v>
      </c>
      <c r="I895" s="125">
        <v>177005.65</v>
      </c>
      <c r="J895" s="13">
        <v>42713.640433912034</v>
      </c>
      <c r="K895" s="13">
        <v>43260</v>
      </c>
      <c r="L895" s="13" t="s">
        <v>3659</v>
      </c>
      <c r="M895" s="12"/>
      <c r="N895" s="12" t="s">
        <v>3660</v>
      </c>
      <c r="O895" s="12"/>
      <c r="P895" s="12"/>
      <c r="Q895" s="12"/>
    </row>
    <row r="896" spans="1:17" x14ac:dyDescent="0.25">
      <c r="A896" s="11">
        <v>200668</v>
      </c>
      <c r="B896" s="12" t="s">
        <v>3648</v>
      </c>
      <c r="C896" s="12" t="s">
        <v>3661</v>
      </c>
      <c r="D896" s="12">
        <v>7</v>
      </c>
      <c r="E896" s="125">
        <v>274165.48</v>
      </c>
      <c r="F896" s="12">
        <v>-16</v>
      </c>
      <c r="G896" s="125">
        <v>262359.31</v>
      </c>
      <c r="H896" s="12" t="s">
        <v>3074</v>
      </c>
      <c r="I896" s="125">
        <v>5116.01</v>
      </c>
      <c r="J896" s="13">
        <v>42714.481875775462</v>
      </c>
      <c r="K896" s="13">
        <v>43079</v>
      </c>
      <c r="L896" s="13" t="s">
        <v>3662</v>
      </c>
      <c r="M896" s="12"/>
      <c r="N896" s="12" t="s">
        <v>3663</v>
      </c>
      <c r="O896" s="12"/>
      <c r="P896" s="12"/>
      <c r="Q896" s="12"/>
    </row>
    <row r="897" spans="1:17" x14ac:dyDescent="0.25">
      <c r="A897" s="11">
        <v>200669</v>
      </c>
      <c r="B897" s="12" t="s">
        <v>3649</v>
      </c>
      <c r="C897" s="12" t="s">
        <v>3664</v>
      </c>
      <c r="D897" s="12">
        <v>2</v>
      </c>
      <c r="E897" s="125">
        <v>12638932.550000001</v>
      </c>
      <c r="F897" s="12">
        <v>14</v>
      </c>
      <c r="G897" s="125">
        <v>10636838.539999999</v>
      </c>
      <c r="H897" s="12" t="s">
        <v>1448</v>
      </c>
      <c r="I897" s="125">
        <v>589835.93000000005</v>
      </c>
      <c r="J897" s="13">
        <v>42714.545201967594</v>
      </c>
      <c r="K897" s="13">
        <v>43261</v>
      </c>
      <c r="L897" s="13" t="s">
        <v>3665</v>
      </c>
      <c r="M897" s="12"/>
      <c r="N897" s="12" t="s">
        <v>3666</v>
      </c>
      <c r="O897" s="12"/>
      <c r="P897" s="12"/>
      <c r="Q897" s="12"/>
    </row>
    <row r="898" spans="1:17" x14ac:dyDescent="0.25">
      <c r="A898" s="11">
        <v>200671</v>
      </c>
      <c r="B898" s="12" t="s">
        <v>3729</v>
      </c>
      <c r="C898" s="12" t="s">
        <v>3730</v>
      </c>
      <c r="D898" s="12">
        <v>1</v>
      </c>
      <c r="E898" s="125">
        <v>2467489.23</v>
      </c>
      <c r="F898" s="12">
        <v>100</v>
      </c>
      <c r="G898" s="125">
        <v>2166444.0699999998</v>
      </c>
      <c r="H898" s="12" t="s">
        <v>1467</v>
      </c>
      <c r="I898" s="125">
        <v>175212.32</v>
      </c>
      <c r="J898" s="13">
        <v>42720.639203356484</v>
      </c>
      <c r="K898" s="13">
        <v>43085</v>
      </c>
      <c r="L898" s="13" t="s">
        <v>3731</v>
      </c>
      <c r="M898" s="12"/>
      <c r="N898" s="12"/>
      <c r="O898" s="12"/>
      <c r="P898" s="12"/>
      <c r="Q898" s="12"/>
    </row>
    <row r="899" spans="1:17" x14ac:dyDescent="0.25">
      <c r="A899" s="11">
        <v>200672</v>
      </c>
      <c r="B899" s="12" t="s">
        <v>3670</v>
      </c>
      <c r="C899" s="12" t="s">
        <v>3676</v>
      </c>
      <c r="D899" s="12">
        <v>8</v>
      </c>
      <c r="E899" s="125">
        <v>1510395.9</v>
      </c>
      <c r="F899" s="12">
        <v>43</v>
      </c>
      <c r="G899" s="125">
        <v>1433967.43</v>
      </c>
      <c r="H899" s="12" t="s">
        <v>963</v>
      </c>
      <c r="I899" s="125">
        <v>49781.79</v>
      </c>
      <c r="J899" s="13">
        <v>42716.489123576386</v>
      </c>
      <c r="K899" s="13">
        <v>43081</v>
      </c>
      <c r="L899" s="13" t="s">
        <v>3677</v>
      </c>
      <c r="M899" s="12"/>
      <c r="N899" s="12"/>
      <c r="O899" s="12"/>
      <c r="P899" s="12"/>
      <c r="Q899" s="12"/>
    </row>
    <row r="900" spans="1:17" x14ac:dyDescent="0.25">
      <c r="A900" s="11">
        <v>200673</v>
      </c>
      <c r="B900" s="12" t="s">
        <v>3669</v>
      </c>
      <c r="C900" s="12" t="s">
        <v>3678</v>
      </c>
      <c r="D900" s="12">
        <v>7</v>
      </c>
      <c r="E900" s="125">
        <v>387756.76</v>
      </c>
      <c r="F900" s="12">
        <v>196</v>
      </c>
      <c r="G900" s="125">
        <v>363069.79</v>
      </c>
      <c r="H900" s="12" t="s">
        <v>2855</v>
      </c>
      <c r="I900" s="125">
        <v>24408.67</v>
      </c>
      <c r="J900" s="13">
        <v>42716.516254942129</v>
      </c>
      <c r="K900" s="13">
        <v>42898</v>
      </c>
      <c r="L900" s="13" t="s">
        <v>3679</v>
      </c>
      <c r="M900" s="12"/>
      <c r="N900" s="12" t="s">
        <v>3680</v>
      </c>
      <c r="O900" s="12"/>
      <c r="P900" s="12"/>
      <c r="Q900" s="12"/>
    </row>
    <row r="901" spans="1:17" x14ac:dyDescent="0.25">
      <c r="A901" s="11">
        <v>200675</v>
      </c>
      <c r="B901" s="12" t="s">
        <v>3683</v>
      </c>
      <c r="C901" s="12" t="s">
        <v>3688</v>
      </c>
      <c r="D901" s="12">
        <v>8</v>
      </c>
      <c r="E901" s="125">
        <v>3639696.68</v>
      </c>
      <c r="F901" s="12">
        <v>-19</v>
      </c>
      <c r="G901" s="125">
        <v>3289996.94</v>
      </c>
      <c r="H901" s="12" t="s">
        <v>1467</v>
      </c>
      <c r="I901" s="125">
        <v>45694.400000000001</v>
      </c>
      <c r="J901" s="13">
        <v>42717.589245914351</v>
      </c>
      <c r="K901" s="13">
        <v>43172</v>
      </c>
      <c r="L901" s="13" t="s">
        <v>3689</v>
      </c>
      <c r="M901" s="12"/>
      <c r="N901" s="12"/>
      <c r="O901" s="12"/>
      <c r="P901" s="12"/>
      <c r="Q901" s="12"/>
    </row>
    <row r="902" spans="1:17" x14ac:dyDescent="0.25">
      <c r="A902" s="11">
        <v>200676</v>
      </c>
      <c r="B902" s="12" t="s">
        <v>2292</v>
      </c>
      <c r="C902" s="12" t="s">
        <v>2304</v>
      </c>
      <c r="D902" s="12">
        <v>6</v>
      </c>
      <c r="E902" s="125">
        <v>32999482.09</v>
      </c>
      <c r="F902" s="12">
        <v>8</v>
      </c>
      <c r="G902" s="125">
        <v>26680157.149999999</v>
      </c>
      <c r="H902" s="12" t="s">
        <v>2175</v>
      </c>
      <c r="I902" s="125">
        <v>909164.56</v>
      </c>
      <c r="J902" s="13">
        <v>42720.740306678243</v>
      </c>
      <c r="K902" s="13">
        <v>43450</v>
      </c>
      <c r="L902" s="13" t="s">
        <v>2305</v>
      </c>
      <c r="M902" s="12"/>
      <c r="N902" s="12" t="s">
        <v>2306</v>
      </c>
      <c r="O902" s="12"/>
      <c r="P902" s="12"/>
      <c r="Q902" s="12"/>
    </row>
    <row r="903" spans="1:17" x14ac:dyDescent="0.25">
      <c r="A903" s="11">
        <v>200681</v>
      </c>
      <c r="B903" s="12" t="s">
        <v>3696</v>
      </c>
      <c r="C903" s="12" t="s">
        <v>3699</v>
      </c>
      <c r="D903" s="12">
        <v>6</v>
      </c>
      <c r="E903" s="125">
        <v>51703636.490000002</v>
      </c>
      <c r="F903" s="12">
        <v>-20</v>
      </c>
      <c r="G903" s="125">
        <v>41409657.829999998</v>
      </c>
      <c r="H903" s="12" t="s">
        <v>491</v>
      </c>
      <c r="I903" s="125">
        <v>414096.58</v>
      </c>
      <c r="J903" s="13">
        <v>42718.605861145836</v>
      </c>
      <c r="K903" s="13">
        <v>43448</v>
      </c>
      <c r="L903" s="13" t="s">
        <v>3700</v>
      </c>
      <c r="M903" s="12"/>
      <c r="N903" s="12" t="s">
        <v>3701</v>
      </c>
      <c r="O903" s="12"/>
      <c r="P903" s="12"/>
      <c r="Q903" s="12"/>
    </row>
    <row r="904" spans="1:17" x14ac:dyDescent="0.25">
      <c r="A904" s="11">
        <v>200689</v>
      </c>
      <c r="B904" s="12" t="s">
        <v>1687</v>
      </c>
      <c r="C904" s="12" t="s">
        <v>1694</v>
      </c>
      <c r="D904" s="12">
        <v>2</v>
      </c>
      <c r="E904" s="125">
        <v>31759143.420000002</v>
      </c>
      <c r="F904" s="12">
        <v>101</v>
      </c>
      <c r="G904" s="125">
        <v>23635006.18</v>
      </c>
      <c r="H904" s="12" t="s">
        <v>5724</v>
      </c>
      <c r="I904" s="125">
        <v>1614112.45</v>
      </c>
      <c r="J904" s="13">
        <v>42719.7642991088</v>
      </c>
      <c r="K904" s="13">
        <v>43449</v>
      </c>
      <c r="L904" s="13" t="s">
        <v>1695</v>
      </c>
      <c r="M904" s="12"/>
      <c r="N904" s="12" t="s">
        <v>1696</v>
      </c>
      <c r="O904" s="12"/>
      <c r="P904" s="12"/>
      <c r="Q904" s="12"/>
    </row>
    <row r="905" spans="1:17" x14ac:dyDescent="0.25">
      <c r="A905" s="11">
        <v>200692</v>
      </c>
      <c r="B905" s="12" t="s">
        <v>3728</v>
      </c>
      <c r="C905" s="12" t="s">
        <v>3735</v>
      </c>
      <c r="D905" s="12">
        <v>1</v>
      </c>
      <c r="E905" s="125">
        <v>548330.98</v>
      </c>
      <c r="F905" s="12">
        <v>-22</v>
      </c>
      <c r="G905" s="125">
        <v>524718.64</v>
      </c>
      <c r="H905" s="12" t="s">
        <v>2557</v>
      </c>
      <c r="I905" s="125">
        <v>5509.55</v>
      </c>
      <c r="J905" s="13">
        <v>42720.726447488429</v>
      </c>
      <c r="K905" s="13">
        <v>43085</v>
      </c>
      <c r="L905" s="13" t="s">
        <v>3736</v>
      </c>
      <c r="M905" s="12"/>
      <c r="N905" s="12"/>
      <c r="O905" s="12"/>
      <c r="P905" s="12"/>
      <c r="Q905" s="12"/>
    </row>
    <row r="906" spans="1:17" x14ac:dyDescent="0.25">
      <c r="A906" s="11">
        <v>200694</v>
      </c>
      <c r="B906" s="12" t="s">
        <v>3725</v>
      </c>
      <c r="C906" s="12" t="s">
        <v>3737</v>
      </c>
      <c r="D906" s="12">
        <v>1</v>
      </c>
      <c r="E906" s="125">
        <v>1121939.24</v>
      </c>
      <c r="F906" s="12">
        <v>8</v>
      </c>
      <c r="G906" s="125">
        <v>1086520.73</v>
      </c>
      <c r="H906" s="12" t="s">
        <v>1448</v>
      </c>
      <c r="I906" s="125">
        <v>8264.32</v>
      </c>
      <c r="J906" s="13">
        <v>42720.640963078702</v>
      </c>
      <c r="K906" s="13">
        <v>43085</v>
      </c>
      <c r="L906" s="13" t="s">
        <v>3738</v>
      </c>
      <c r="M906" s="12"/>
      <c r="N906" s="12" t="s">
        <v>3739</v>
      </c>
      <c r="O906" s="12"/>
      <c r="P906" s="12"/>
      <c r="Q906" s="12"/>
    </row>
    <row r="907" spans="1:17" x14ac:dyDescent="0.25">
      <c r="A907" s="11">
        <v>200695</v>
      </c>
      <c r="B907" s="12" t="s">
        <v>3727</v>
      </c>
      <c r="C907" s="12" t="s">
        <v>3740</v>
      </c>
      <c r="D907" s="12">
        <v>1</v>
      </c>
      <c r="E907" s="125">
        <v>1099937.83</v>
      </c>
      <c r="F907" s="12">
        <v>4</v>
      </c>
      <c r="G907" s="125">
        <v>1032737.48</v>
      </c>
      <c r="H907" s="12" t="s">
        <v>963</v>
      </c>
      <c r="I907" s="125">
        <v>45827.23</v>
      </c>
      <c r="J907" s="13">
        <v>42720.736038773146</v>
      </c>
      <c r="K907" s="13">
        <v>43089</v>
      </c>
      <c r="L907" s="13" t="s">
        <v>3741</v>
      </c>
      <c r="M907" s="12"/>
      <c r="N907" s="12" t="s">
        <v>3742</v>
      </c>
      <c r="O907" s="12"/>
      <c r="P907" s="12"/>
      <c r="Q907" s="12"/>
    </row>
    <row r="908" spans="1:17" x14ac:dyDescent="0.25">
      <c r="A908" s="11">
        <v>200698</v>
      </c>
      <c r="B908" s="12" t="s">
        <v>3743</v>
      </c>
      <c r="C908" s="12" t="s">
        <v>3744</v>
      </c>
      <c r="D908" s="12">
        <v>2</v>
      </c>
      <c r="E908" s="125">
        <v>2432803.5099999998</v>
      </c>
      <c r="F908" s="12">
        <v>5</v>
      </c>
      <c r="G908" s="125">
        <v>2342643.98</v>
      </c>
      <c r="H908" s="12" t="s">
        <v>963</v>
      </c>
      <c r="I908" s="125">
        <v>12021.27</v>
      </c>
      <c r="J908" s="13">
        <v>42723.661676504627</v>
      </c>
      <c r="K908" s="13">
        <v>43088</v>
      </c>
      <c r="L908" s="13" t="s">
        <v>3745</v>
      </c>
      <c r="M908" s="12"/>
      <c r="N908" s="12" t="s">
        <v>3746</v>
      </c>
      <c r="O908" s="12"/>
      <c r="P908" s="12"/>
      <c r="Q908" s="12"/>
    </row>
    <row r="909" spans="1:17" x14ac:dyDescent="0.25">
      <c r="A909" s="11">
        <v>200701</v>
      </c>
      <c r="B909" s="12" t="s">
        <v>3747</v>
      </c>
      <c r="C909" s="12" t="s">
        <v>3748</v>
      </c>
      <c r="D909" s="12">
        <v>3</v>
      </c>
      <c r="E909" s="125">
        <v>34265131.899999999</v>
      </c>
      <c r="F909" s="12">
        <v>4</v>
      </c>
      <c r="G909" s="125">
        <v>27029395.91</v>
      </c>
      <c r="H909" s="12" t="s">
        <v>2861</v>
      </c>
      <c r="I909" s="125">
        <v>985922.75</v>
      </c>
      <c r="J909" s="13">
        <v>42724.647730590281</v>
      </c>
      <c r="K909" s="13">
        <v>43454</v>
      </c>
      <c r="L909" s="13" t="s">
        <v>3749</v>
      </c>
      <c r="M909" s="12"/>
      <c r="N909" s="12" t="s">
        <v>3750</v>
      </c>
      <c r="O909" s="12"/>
      <c r="P909" s="12"/>
      <c r="Q909" s="12"/>
    </row>
    <row r="910" spans="1:17" x14ac:dyDescent="0.25">
      <c r="A910" s="11">
        <v>200706</v>
      </c>
      <c r="B910" s="12" t="s">
        <v>3757</v>
      </c>
      <c r="C910" s="12" t="s">
        <v>3761</v>
      </c>
      <c r="D910" s="12">
        <v>6</v>
      </c>
      <c r="E910" s="125">
        <v>6863931.0099999998</v>
      </c>
      <c r="F910" s="12">
        <v>-27</v>
      </c>
      <c r="G910" s="125">
        <v>6327958.2699999996</v>
      </c>
      <c r="H910" s="12" t="s">
        <v>2538</v>
      </c>
      <c r="I910" s="125">
        <v>14062.13</v>
      </c>
      <c r="J910" s="13">
        <v>42725.698631446758</v>
      </c>
      <c r="K910" s="13">
        <v>43180</v>
      </c>
      <c r="L910" s="13" t="s">
        <v>3762</v>
      </c>
      <c r="M910" s="12"/>
      <c r="N910" s="12" t="s">
        <v>3763</v>
      </c>
      <c r="O910" s="12"/>
      <c r="P910" s="12"/>
      <c r="Q910" s="12"/>
    </row>
    <row r="911" spans="1:17" x14ac:dyDescent="0.25">
      <c r="A911" s="11">
        <v>200708</v>
      </c>
      <c r="B911" s="12" t="s">
        <v>2537</v>
      </c>
      <c r="C911" s="12" t="s">
        <v>2550</v>
      </c>
      <c r="D911" s="12">
        <v>3</v>
      </c>
      <c r="E911" s="125">
        <v>38380820.329999998</v>
      </c>
      <c r="F911" s="12">
        <v>-27</v>
      </c>
      <c r="G911" s="125">
        <v>31398331.530000001</v>
      </c>
      <c r="H911" s="12" t="s">
        <v>2538</v>
      </c>
      <c r="I911" s="125">
        <v>62796.66</v>
      </c>
      <c r="J911" s="13">
        <v>42725.658498414348</v>
      </c>
      <c r="K911" s="13">
        <v>43455</v>
      </c>
      <c r="L911" s="13" t="s">
        <v>2551</v>
      </c>
      <c r="M911" s="12" t="s">
        <v>2552</v>
      </c>
      <c r="N911" s="12"/>
      <c r="O911" s="12"/>
      <c r="P911" s="12"/>
      <c r="Q911" s="12"/>
    </row>
    <row r="912" spans="1:17" x14ac:dyDescent="0.25">
      <c r="A912" s="11">
        <v>200711</v>
      </c>
      <c r="B912" s="12" t="s">
        <v>3752</v>
      </c>
      <c r="C912" s="12" t="s">
        <v>3764</v>
      </c>
      <c r="D912" s="12">
        <v>6</v>
      </c>
      <c r="E912" s="125">
        <v>4098859.28</v>
      </c>
      <c r="F912" s="12">
        <v>3</v>
      </c>
      <c r="G912" s="125">
        <v>3902659.98</v>
      </c>
      <c r="H912" s="12" t="s">
        <v>1467</v>
      </c>
      <c r="I912" s="125">
        <v>134496.04999999999</v>
      </c>
      <c r="J912" s="13">
        <v>42725.689662731478</v>
      </c>
      <c r="K912" s="13">
        <v>43090</v>
      </c>
      <c r="L912" s="13" t="s">
        <v>3765</v>
      </c>
      <c r="M912" s="12"/>
      <c r="N912" s="12" t="s">
        <v>3766</v>
      </c>
      <c r="O912" s="12"/>
      <c r="P912" s="12"/>
      <c r="Q912" s="12"/>
    </row>
    <row r="913" spans="1:17" x14ac:dyDescent="0.25">
      <c r="A913" s="11">
        <v>200712</v>
      </c>
      <c r="B913" s="12" t="s">
        <v>3753</v>
      </c>
      <c r="C913" s="12" t="s">
        <v>3767</v>
      </c>
      <c r="D913" s="12">
        <v>7</v>
      </c>
      <c r="E913" s="125">
        <v>1163545.19</v>
      </c>
      <c r="F913" s="12">
        <v>126</v>
      </c>
      <c r="G913" s="125">
        <v>1130901.96</v>
      </c>
      <c r="H913" s="12" t="s">
        <v>2538</v>
      </c>
      <c r="I913" s="125">
        <v>31555.119999999999</v>
      </c>
      <c r="J913" s="13">
        <v>42725.702797951388</v>
      </c>
      <c r="K913" s="13">
        <v>42968</v>
      </c>
      <c r="L913" s="13" t="s">
        <v>3768</v>
      </c>
      <c r="M913" s="12"/>
      <c r="N913" s="12"/>
      <c r="O913" s="12"/>
      <c r="P913" s="12"/>
      <c r="Q913" s="12"/>
    </row>
    <row r="914" spans="1:17" x14ac:dyDescent="0.25">
      <c r="A914" s="11">
        <v>200715</v>
      </c>
      <c r="B914" s="12" t="s">
        <v>3754</v>
      </c>
      <c r="C914" s="12" t="s">
        <v>3772</v>
      </c>
      <c r="D914" s="12">
        <v>2</v>
      </c>
      <c r="E914" s="125">
        <v>16189398.01</v>
      </c>
      <c r="F914" s="12">
        <v>126</v>
      </c>
      <c r="G914" s="125">
        <v>13374838.109999999</v>
      </c>
      <c r="H914" s="12" t="s">
        <v>2034</v>
      </c>
      <c r="I914" s="125">
        <v>1011991.93</v>
      </c>
      <c r="J914" s="13">
        <v>42725.761977974536</v>
      </c>
      <c r="K914" s="13">
        <v>43180</v>
      </c>
      <c r="L914" s="13" t="s">
        <v>3773</v>
      </c>
      <c r="M914" s="12"/>
      <c r="N914" s="12"/>
      <c r="O914" s="12"/>
      <c r="P914" s="12"/>
      <c r="Q914" s="12"/>
    </row>
    <row r="915" spans="1:17" x14ac:dyDescent="0.25">
      <c r="A915" s="11">
        <v>200716</v>
      </c>
      <c r="B915" s="12" t="s">
        <v>3751</v>
      </c>
      <c r="C915" s="12" t="s">
        <v>3774</v>
      </c>
      <c r="D915" s="12">
        <v>1</v>
      </c>
      <c r="E915" s="125">
        <v>2868921.65</v>
      </c>
      <c r="F915" s="12">
        <v>33</v>
      </c>
      <c r="G915" s="125">
        <v>2701112.61</v>
      </c>
      <c r="H915" s="12" t="s">
        <v>1448</v>
      </c>
      <c r="I915" s="125">
        <v>272274.48</v>
      </c>
      <c r="J915" s="13">
        <v>42725.767250266203</v>
      </c>
      <c r="K915" s="13">
        <v>43091</v>
      </c>
      <c r="L915" s="13" t="s">
        <v>3775</v>
      </c>
      <c r="M915" s="12"/>
      <c r="N915" s="12" t="s">
        <v>3776</v>
      </c>
      <c r="O915" s="12"/>
      <c r="P915" s="12"/>
      <c r="Q915" s="12"/>
    </row>
    <row r="916" spans="1:17" x14ac:dyDescent="0.25">
      <c r="A916" s="11">
        <v>200719</v>
      </c>
      <c r="B916" s="12" t="s">
        <v>1765</v>
      </c>
      <c r="C916" s="12" t="s">
        <v>1766</v>
      </c>
      <c r="D916" s="12">
        <v>6</v>
      </c>
      <c r="E916" s="125">
        <v>16549328.17</v>
      </c>
      <c r="F916" s="12">
        <v>0</v>
      </c>
      <c r="G916" s="125">
        <v>13353030.109999999</v>
      </c>
      <c r="H916" s="12" t="s">
        <v>2861</v>
      </c>
      <c r="I916" s="125">
        <v>387237.87</v>
      </c>
      <c r="J916" s="13">
        <v>42727.67158440972</v>
      </c>
      <c r="K916" s="13">
        <v>43458</v>
      </c>
      <c r="L916" s="13" t="s">
        <v>1767</v>
      </c>
      <c r="M916" s="12"/>
      <c r="N916" s="12" t="s">
        <v>1839</v>
      </c>
      <c r="O916" s="12"/>
      <c r="P916" s="12"/>
      <c r="Q916" s="12"/>
    </row>
    <row r="917" spans="1:17" x14ac:dyDescent="0.25">
      <c r="A917" s="11">
        <v>200721</v>
      </c>
      <c r="B917" s="12" t="s">
        <v>3783</v>
      </c>
      <c r="C917" s="12" t="s">
        <v>3792</v>
      </c>
      <c r="D917" s="12">
        <v>6</v>
      </c>
      <c r="E917" s="125">
        <v>21415707.390000001</v>
      </c>
      <c r="F917" s="12">
        <v>0</v>
      </c>
      <c r="G917" s="125">
        <v>16893372.43</v>
      </c>
      <c r="H917" s="12" t="s">
        <v>491</v>
      </c>
      <c r="I917" s="125">
        <v>544342</v>
      </c>
      <c r="J917" s="13">
        <v>42728.502432094909</v>
      </c>
      <c r="K917" s="13">
        <v>43458</v>
      </c>
      <c r="L917" s="13" t="s">
        <v>3793</v>
      </c>
      <c r="M917" s="12"/>
      <c r="N917" s="12" t="s">
        <v>3794</v>
      </c>
      <c r="O917" s="12"/>
      <c r="P917" s="12"/>
      <c r="Q917" s="12"/>
    </row>
    <row r="918" spans="1:17" x14ac:dyDescent="0.25">
      <c r="A918" s="11">
        <v>200722</v>
      </c>
      <c r="B918" s="12" t="s">
        <v>3779</v>
      </c>
      <c r="C918" s="12" t="s">
        <v>3795</v>
      </c>
      <c r="D918" s="12">
        <v>1</v>
      </c>
      <c r="E918" s="125">
        <v>744463.04</v>
      </c>
      <c r="F918" s="12">
        <v>31</v>
      </c>
      <c r="G918" s="125">
        <v>709552.93</v>
      </c>
      <c r="H918" s="12" t="s">
        <v>1039</v>
      </c>
      <c r="I918" s="125">
        <v>22333.81</v>
      </c>
      <c r="J918" s="13">
        <v>42728.535110034725</v>
      </c>
      <c r="K918" s="13">
        <v>43093</v>
      </c>
      <c r="L918" s="13" t="s">
        <v>3796</v>
      </c>
      <c r="M918" s="12"/>
      <c r="N918" s="12"/>
      <c r="O918" s="12"/>
      <c r="P918" s="12"/>
      <c r="Q918" s="12"/>
    </row>
    <row r="919" spans="1:17" x14ac:dyDescent="0.25">
      <c r="A919" s="11">
        <v>200723</v>
      </c>
      <c r="B919" s="12" t="s">
        <v>3780</v>
      </c>
      <c r="C919" s="12" t="s">
        <v>3797</v>
      </c>
      <c r="D919" s="12">
        <v>1</v>
      </c>
      <c r="E919" s="125">
        <v>1754659.02</v>
      </c>
      <c r="F919" s="12">
        <v>0</v>
      </c>
      <c r="G919" s="125">
        <v>1642946.68</v>
      </c>
      <c r="H919" s="12" t="s">
        <v>1448</v>
      </c>
      <c r="I919" s="125">
        <v>71468.179999999993</v>
      </c>
      <c r="J919" s="13">
        <v>42728.548674571757</v>
      </c>
      <c r="K919" s="13">
        <v>43093</v>
      </c>
      <c r="L919" s="13" t="s">
        <v>3798</v>
      </c>
      <c r="M919" s="12"/>
      <c r="N919" s="12" t="s">
        <v>3799</v>
      </c>
      <c r="O919" s="12"/>
      <c r="P919" s="12"/>
      <c r="Q919" s="12"/>
    </row>
    <row r="920" spans="1:17" x14ac:dyDescent="0.25">
      <c r="A920" s="11">
        <v>200724</v>
      </c>
      <c r="B920" s="12" t="s">
        <v>3801</v>
      </c>
      <c r="C920" s="12" t="s">
        <v>3802</v>
      </c>
      <c r="D920" s="12">
        <v>2</v>
      </c>
      <c r="E920" s="125">
        <v>11226658.74</v>
      </c>
      <c r="F920" s="12">
        <v>114</v>
      </c>
      <c r="G920" s="125">
        <v>9970307.7200000007</v>
      </c>
      <c r="H920" s="12" t="s">
        <v>2855</v>
      </c>
      <c r="I920" s="125">
        <v>638937.1</v>
      </c>
      <c r="J920" s="13">
        <v>42732.658465509259</v>
      </c>
      <c r="K920" s="13">
        <v>43102</v>
      </c>
      <c r="L920" s="13" t="s">
        <v>3803</v>
      </c>
      <c r="M920" s="12"/>
      <c r="N920" s="12" t="s">
        <v>3804</v>
      </c>
      <c r="O920" s="12"/>
      <c r="P920" s="12"/>
      <c r="Q920" s="12"/>
    </row>
    <row r="921" spans="1:17" x14ac:dyDescent="0.25">
      <c r="A921" s="11">
        <v>200725</v>
      </c>
      <c r="B921" s="12" t="s">
        <v>3800</v>
      </c>
      <c r="C921" s="12" t="s">
        <v>3805</v>
      </c>
      <c r="D921" s="12">
        <v>1</v>
      </c>
      <c r="E921" s="125">
        <v>2423045.56</v>
      </c>
      <c r="F921" s="12">
        <v>-7</v>
      </c>
      <c r="G921" s="125">
        <v>2268779.64</v>
      </c>
      <c r="H921" s="12" t="s">
        <v>2861</v>
      </c>
      <c r="I921" s="125">
        <v>74869.73</v>
      </c>
      <c r="J921" s="13">
        <v>42732.696451076386</v>
      </c>
      <c r="K921" s="13">
        <v>43101</v>
      </c>
      <c r="L921" s="13" t="s">
        <v>3806</v>
      </c>
      <c r="M921" s="12"/>
      <c r="N921" s="12"/>
      <c r="O921" s="12"/>
      <c r="P921" s="12"/>
      <c r="Q921" s="12"/>
    </row>
    <row r="922" spans="1:17" x14ac:dyDescent="0.25">
      <c r="A922" s="11">
        <v>200729</v>
      </c>
      <c r="B922" s="12" t="s">
        <v>3809</v>
      </c>
      <c r="C922" s="12" t="s">
        <v>3819</v>
      </c>
      <c r="D922" s="12">
        <v>6</v>
      </c>
      <c r="E922" s="125">
        <v>17187832.16</v>
      </c>
      <c r="F922" s="12">
        <v>-8</v>
      </c>
      <c r="G922" s="125">
        <v>13558293.689999999</v>
      </c>
      <c r="H922" s="12" t="s">
        <v>1448</v>
      </c>
      <c r="I922" s="125">
        <v>316360.19</v>
      </c>
      <c r="J922" s="13">
        <v>42733.700722256945</v>
      </c>
      <c r="K922" s="13">
        <v>43467</v>
      </c>
      <c r="L922" s="13" t="s">
        <v>3820</v>
      </c>
      <c r="M922" s="12"/>
      <c r="N922" s="12" t="s">
        <v>3821</v>
      </c>
      <c r="O922" s="12"/>
      <c r="P922" s="12"/>
      <c r="Q922" s="12"/>
    </row>
    <row r="923" spans="1:17" x14ac:dyDescent="0.25">
      <c r="A923" s="11">
        <v>200731</v>
      </c>
      <c r="B923" s="12" t="s">
        <v>1846</v>
      </c>
      <c r="C923" s="12" t="s">
        <v>1847</v>
      </c>
      <c r="D923" s="12">
        <v>6</v>
      </c>
      <c r="E923" s="125">
        <v>11177407.42</v>
      </c>
      <c r="F923" s="12">
        <v>19</v>
      </c>
      <c r="G923" s="125">
        <v>9670721.5199999996</v>
      </c>
      <c r="H923" s="12" t="s">
        <v>491</v>
      </c>
      <c r="I923" s="125">
        <v>446034.78</v>
      </c>
      <c r="J923" s="13">
        <v>42735.554605787038</v>
      </c>
      <c r="K923" s="13">
        <v>43286</v>
      </c>
      <c r="L923" s="13" t="s">
        <v>1848</v>
      </c>
      <c r="M923" s="12" t="s">
        <v>1849</v>
      </c>
      <c r="N923" s="12"/>
      <c r="O923" s="12"/>
      <c r="P923" s="12"/>
      <c r="Q923" s="12"/>
    </row>
    <row r="924" spans="1:17" x14ac:dyDescent="0.25">
      <c r="A924" s="11">
        <v>200733</v>
      </c>
      <c r="B924" s="12" t="s">
        <v>3829</v>
      </c>
      <c r="C924" s="12" t="s">
        <v>3830</v>
      </c>
      <c r="D924" s="12">
        <v>2</v>
      </c>
      <c r="E924" s="125">
        <v>8906045.1300000008</v>
      </c>
      <c r="F924" s="12">
        <v>23</v>
      </c>
      <c r="G924" s="125">
        <v>8289990.04</v>
      </c>
      <c r="H924" s="12" t="s">
        <v>2175</v>
      </c>
      <c r="I924" s="125">
        <v>441060.24</v>
      </c>
      <c r="J924" s="13">
        <v>42735.665573611113</v>
      </c>
      <c r="K924" s="13">
        <v>43101</v>
      </c>
      <c r="L924" s="13" t="s">
        <v>3831</v>
      </c>
      <c r="M924" s="12"/>
      <c r="N924" s="12"/>
      <c r="O924" s="12"/>
      <c r="P924" s="12"/>
      <c r="Q924" s="12"/>
    </row>
    <row r="925" spans="1:17" x14ac:dyDescent="0.25">
      <c r="A925" s="11">
        <v>200736</v>
      </c>
      <c r="B925" s="12" t="s">
        <v>3836</v>
      </c>
      <c r="C925" s="12" t="s">
        <v>3837</v>
      </c>
      <c r="D925" s="12">
        <v>1</v>
      </c>
      <c r="E925" s="125">
        <v>3313597.98</v>
      </c>
      <c r="F925" s="12">
        <v>-11</v>
      </c>
      <c r="G925" s="125">
        <v>3102634.04</v>
      </c>
      <c r="H925" s="12" t="s">
        <v>1909</v>
      </c>
      <c r="I925" s="125">
        <v>83771.12</v>
      </c>
      <c r="J925" s="13">
        <v>42735.522011805559</v>
      </c>
      <c r="K925" s="13">
        <v>43105</v>
      </c>
      <c r="L925" s="13" t="s">
        <v>3838</v>
      </c>
      <c r="M925" s="12"/>
      <c r="N925" s="12" t="s">
        <v>3839</v>
      </c>
      <c r="O925" s="12"/>
      <c r="P925" s="12"/>
      <c r="Q925" s="12"/>
    </row>
    <row r="926" spans="1:17" x14ac:dyDescent="0.25">
      <c r="A926" s="11">
        <v>200738</v>
      </c>
      <c r="B926" s="12" t="s">
        <v>2495</v>
      </c>
      <c r="C926" s="12" t="s">
        <v>2501</v>
      </c>
      <c r="D926" s="12">
        <v>3</v>
      </c>
      <c r="E926" s="125">
        <v>48672823.560000002</v>
      </c>
      <c r="F926" s="12">
        <v>23</v>
      </c>
      <c r="G926" s="125">
        <v>33610502.960000001</v>
      </c>
      <c r="H926" s="12" t="s">
        <v>1447</v>
      </c>
      <c r="I926" s="125">
        <v>886281.37</v>
      </c>
      <c r="J926" s="13">
        <v>42735.812771412035</v>
      </c>
      <c r="K926" s="13">
        <v>43831</v>
      </c>
      <c r="L926" s="13" t="s">
        <v>2502</v>
      </c>
      <c r="M926" s="12" t="s">
        <v>2503</v>
      </c>
      <c r="N926" s="12"/>
      <c r="O926" s="12"/>
      <c r="P926" s="12"/>
      <c r="Q926" s="12"/>
    </row>
    <row r="927" spans="1:17" x14ac:dyDescent="0.25">
      <c r="A927" s="11">
        <v>200739</v>
      </c>
      <c r="B927" s="12" t="s">
        <v>3842</v>
      </c>
      <c r="C927" s="12" t="s">
        <v>3843</v>
      </c>
      <c r="D927" s="12">
        <v>6</v>
      </c>
      <c r="E927" s="125">
        <v>20206263.440000001</v>
      </c>
      <c r="F927" s="12">
        <v>51</v>
      </c>
      <c r="G927" s="125">
        <v>13005524.529999999</v>
      </c>
      <c r="H927" s="12" t="s">
        <v>1667</v>
      </c>
      <c r="I927" s="125">
        <v>857099.65</v>
      </c>
      <c r="J927" s="13">
        <v>42739.603332094906</v>
      </c>
      <c r="K927" s="13">
        <v>43834</v>
      </c>
      <c r="L927" s="13" t="s">
        <v>3844</v>
      </c>
      <c r="M927" s="12"/>
      <c r="N927" s="12"/>
      <c r="O927" s="12"/>
      <c r="P927" s="12"/>
      <c r="Q927" s="12"/>
    </row>
    <row r="928" spans="1:17" x14ac:dyDescent="0.25">
      <c r="A928" s="11">
        <v>200740</v>
      </c>
      <c r="B928" s="12" t="s">
        <v>3841</v>
      </c>
      <c r="C928" s="12" t="s">
        <v>3845</v>
      </c>
      <c r="D928" s="12">
        <v>1</v>
      </c>
      <c r="E928" s="125">
        <v>2591688.12</v>
      </c>
      <c r="F928" s="12">
        <v>51</v>
      </c>
      <c r="G928" s="125">
        <v>2360581.64</v>
      </c>
      <c r="H928" s="12" t="s">
        <v>90</v>
      </c>
      <c r="I928" s="125">
        <v>146457.32</v>
      </c>
      <c r="J928" s="13">
        <v>42739.676790081015</v>
      </c>
      <c r="K928" s="13">
        <v>43104</v>
      </c>
      <c r="L928" s="13" t="s">
        <v>3846</v>
      </c>
      <c r="M928" s="12"/>
      <c r="N928" s="12" t="s">
        <v>3847</v>
      </c>
      <c r="O928" s="12"/>
      <c r="P928" s="12"/>
      <c r="Q928" s="12"/>
    </row>
    <row r="929" spans="1:17" x14ac:dyDescent="0.25">
      <c r="A929" s="11">
        <v>200742</v>
      </c>
      <c r="B929" s="12" t="s">
        <v>2136</v>
      </c>
      <c r="C929" s="12" t="s">
        <v>2154</v>
      </c>
      <c r="D929" s="12">
        <v>1</v>
      </c>
      <c r="E929" s="125">
        <v>1704834.77</v>
      </c>
      <c r="F929" s="12">
        <v>-12</v>
      </c>
      <c r="G929" s="125">
        <v>1607739.89</v>
      </c>
      <c r="H929" s="12" t="s">
        <v>1925</v>
      </c>
      <c r="I929" s="125">
        <v>36442.1</v>
      </c>
      <c r="J929" s="13">
        <v>42741.718298032407</v>
      </c>
      <c r="K929" s="13">
        <v>43106</v>
      </c>
      <c r="L929" s="13" t="s">
        <v>2155</v>
      </c>
      <c r="M929" s="12"/>
      <c r="N929" s="12"/>
      <c r="O929" s="12"/>
      <c r="P929" s="12"/>
      <c r="Q929" s="12"/>
    </row>
    <row r="930" spans="1:17" x14ac:dyDescent="0.25">
      <c r="A930" s="11">
        <v>200744</v>
      </c>
      <c r="B930" s="12" t="s">
        <v>1649</v>
      </c>
      <c r="C930" s="12" t="s">
        <v>1653</v>
      </c>
      <c r="D930" s="12">
        <v>6</v>
      </c>
      <c r="E930" s="125">
        <v>23942070.760000002</v>
      </c>
      <c r="F930" s="12">
        <v>14</v>
      </c>
      <c r="G930" s="125">
        <v>16478968.02</v>
      </c>
      <c r="H930" s="12" t="s">
        <v>963</v>
      </c>
      <c r="I930" s="125">
        <v>213515.16</v>
      </c>
      <c r="J930" s="13">
        <v>42742.522071180552</v>
      </c>
      <c r="K930" s="13">
        <v>43840</v>
      </c>
      <c r="L930" s="13" t="s">
        <v>1654</v>
      </c>
      <c r="M930" s="12"/>
      <c r="N930" s="12"/>
      <c r="O930" s="12"/>
      <c r="P930" s="12"/>
      <c r="Q930" s="12"/>
    </row>
    <row r="931" spans="1:17" x14ac:dyDescent="0.25">
      <c r="A931" s="11">
        <v>200745</v>
      </c>
      <c r="B931" s="12" t="s">
        <v>3850</v>
      </c>
      <c r="C931" s="12" t="s">
        <v>3855</v>
      </c>
      <c r="D931" s="12">
        <v>6</v>
      </c>
      <c r="E931" s="125">
        <v>65875164.060000002</v>
      </c>
      <c r="F931" s="12">
        <v>9</v>
      </c>
      <c r="G931" s="125">
        <v>36567289.109999999</v>
      </c>
      <c r="H931" s="12" t="s">
        <v>1191</v>
      </c>
      <c r="I931" s="125">
        <v>1539772.68</v>
      </c>
      <c r="J931" s="13">
        <v>42746.49197476852</v>
      </c>
      <c r="K931" s="13">
        <v>44211</v>
      </c>
      <c r="L931" s="13" t="s">
        <v>3856</v>
      </c>
      <c r="M931" s="12"/>
      <c r="N931" s="12"/>
      <c r="O931" s="12"/>
      <c r="P931" s="12"/>
      <c r="Q931" s="12"/>
    </row>
    <row r="932" spans="1:17" x14ac:dyDescent="0.25">
      <c r="A932" s="11">
        <v>200746</v>
      </c>
      <c r="B932" s="12" t="s">
        <v>3851</v>
      </c>
      <c r="C932" s="12" t="s">
        <v>3857</v>
      </c>
      <c r="D932" s="12">
        <v>8</v>
      </c>
      <c r="E932" s="125">
        <v>2151702.34</v>
      </c>
      <c r="F932" s="12">
        <v>-17</v>
      </c>
      <c r="G932" s="125">
        <v>2024321.56</v>
      </c>
      <c r="H932" s="12" t="s">
        <v>1467</v>
      </c>
      <c r="I932" s="125">
        <v>33738.69</v>
      </c>
      <c r="J932" s="13">
        <v>42746.558083877317</v>
      </c>
      <c r="K932" s="13">
        <v>43111</v>
      </c>
      <c r="L932" s="13" t="s">
        <v>3858</v>
      </c>
      <c r="M932" s="12"/>
      <c r="N932" s="12"/>
      <c r="O932" s="12"/>
      <c r="P932" s="12"/>
      <c r="Q932" s="12"/>
    </row>
    <row r="933" spans="1:17" x14ac:dyDescent="0.25">
      <c r="A933" s="11">
        <v>200748</v>
      </c>
      <c r="B933" s="12" t="s">
        <v>3848</v>
      </c>
      <c r="C933" s="12" t="s">
        <v>3859</v>
      </c>
      <c r="D933" s="12">
        <v>1</v>
      </c>
      <c r="E933" s="125">
        <v>1315994.29</v>
      </c>
      <c r="F933" s="12">
        <v>-17</v>
      </c>
      <c r="G933" s="125">
        <v>1232210.03</v>
      </c>
      <c r="H933" s="12" t="s">
        <v>2861</v>
      </c>
      <c r="I933" s="125">
        <v>22179.78</v>
      </c>
      <c r="J933" s="13">
        <v>42746.725331678237</v>
      </c>
      <c r="K933" s="13">
        <v>43111</v>
      </c>
      <c r="L933" s="13" t="s">
        <v>3860</v>
      </c>
      <c r="M933" s="12"/>
      <c r="N933" s="12"/>
      <c r="O933" s="12"/>
      <c r="P933" s="12"/>
      <c r="Q933" s="12"/>
    </row>
    <row r="934" spans="1:17" x14ac:dyDescent="0.25">
      <c r="A934" s="11">
        <v>200750</v>
      </c>
      <c r="B934" s="12" t="s">
        <v>1751</v>
      </c>
      <c r="C934" s="12" t="s">
        <v>1752</v>
      </c>
      <c r="D934" s="12">
        <v>6</v>
      </c>
      <c r="E934" s="125">
        <v>43984592.189999998</v>
      </c>
      <c r="F934" s="12">
        <v>19</v>
      </c>
      <c r="G934" s="125">
        <v>35005680.399999999</v>
      </c>
      <c r="H934" s="12" t="s">
        <v>1667</v>
      </c>
      <c r="I934" s="125">
        <v>1646394.21</v>
      </c>
      <c r="J934" s="13">
        <v>42747.690769907407</v>
      </c>
      <c r="K934" s="13">
        <v>43470</v>
      </c>
      <c r="L934" s="13" t="s">
        <v>1753</v>
      </c>
      <c r="M934" s="12"/>
      <c r="N934" s="12"/>
      <c r="O934" s="12"/>
      <c r="P934" s="12"/>
      <c r="Q934" s="12"/>
    </row>
    <row r="935" spans="1:17" x14ac:dyDescent="0.25">
      <c r="A935" s="11">
        <v>200751</v>
      </c>
      <c r="B935" s="12" t="s">
        <v>3865</v>
      </c>
      <c r="C935" s="12" t="s">
        <v>3874</v>
      </c>
      <c r="D935" s="12">
        <v>2</v>
      </c>
      <c r="E935" s="125">
        <v>15168915.35</v>
      </c>
      <c r="F935" s="12">
        <v>40</v>
      </c>
      <c r="G935" s="125">
        <v>12690609.689999999</v>
      </c>
      <c r="H935" s="12" t="s">
        <v>2861</v>
      </c>
      <c r="I935" s="125">
        <v>905683.52</v>
      </c>
      <c r="J935" s="13">
        <v>42748.658324918979</v>
      </c>
      <c r="K935" s="13">
        <v>43296</v>
      </c>
      <c r="L935" s="13" t="s">
        <v>3875</v>
      </c>
      <c r="M935" s="12"/>
      <c r="N935" s="12" t="s">
        <v>3876</v>
      </c>
      <c r="O935" s="12"/>
      <c r="P935" s="12"/>
      <c r="Q935" s="12"/>
    </row>
    <row r="936" spans="1:17" x14ac:dyDescent="0.25">
      <c r="A936" s="11">
        <v>200754</v>
      </c>
      <c r="B936" s="12" t="s">
        <v>3886</v>
      </c>
      <c r="C936" s="12" t="s">
        <v>3894</v>
      </c>
      <c r="D936" s="12">
        <v>1</v>
      </c>
      <c r="E936" s="125">
        <v>1315994.29</v>
      </c>
      <c r="F936" s="12">
        <v>-22</v>
      </c>
      <c r="G936" s="125">
        <v>1232210.03</v>
      </c>
      <c r="H936" s="12" t="s">
        <v>1039</v>
      </c>
      <c r="I936" s="125">
        <v>12938.21</v>
      </c>
      <c r="J936" s="13">
        <v>42751.542047488423</v>
      </c>
      <c r="K936" s="13">
        <v>43116</v>
      </c>
      <c r="L936" s="13" t="s">
        <v>3895</v>
      </c>
      <c r="M936" s="12"/>
      <c r="N936" s="12" t="s">
        <v>3896</v>
      </c>
      <c r="O936" s="12"/>
      <c r="P936" s="12"/>
      <c r="Q936" s="12"/>
    </row>
    <row r="937" spans="1:17" x14ac:dyDescent="0.25">
      <c r="A937" s="11">
        <v>200755</v>
      </c>
      <c r="B937" s="12" t="s">
        <v>1854</v>
      </c>
      <c r="C937" s="12" t="s">
        <v>1855</v>
      </c>
      <c r="D937" s="12">
        <v>5</v>
      </c>
      <c r="E937" s="125">
        <v>59281817.25</v>
      </c>
      <c r="F937" s="12">
        <v>-27</v>
      </c>
      <c r="G937" s="125">
        <v>38596808.380000003</v>
      </c>
      <c r="H937" s="12" t="s">
        <v>284</v>
      </c>
      <c r="I937" s="125">
        <v>47173.88</v>
      </c>
      <c r="J937" s="13">
        <v>42751.716267129632</v>
      </c>
      <c r="K937" s="13">
        <v>44582</v>
      </c>
      <c r="L937" s="13" t="s">
        <v>1856</v>
      </c>
      <c r="M937" s="12"/>
      <c r="N937" s="12"/>
      <c r="O937" s="12"/>
      <c r="P937" s="12"/>
      <c r="Q937" s="12"/>
    </row>
    <row r="938" spans="1:17" x14ac:dyDescent="0.25">
      <c r="A938" s="11">
        <v>200757</v>
      </c>
      <c r="B938" s="12" t="s">
        <v>3902</v>
      </c>
      <c r="C938" s="12" t="s">
        <v>3909</v>
      </c>
      <c r="D938" s="12">
        <v>9</v>
      </c>
      <c r="E938" s="125">
        <v>3196565.19</v>
      </c>
      <c r="F938" s="12">
        <v>-23</v>
      </c>
      <c r="G938" s="125">
        <v>3014512.29</v>
      </c>
      <c r="H938" s="12" t="s">
        <v>2557</v>
      </c>
      <c r="I938" s="125">
        <v>24116.1</v>
      </c>
      <c r="J938" s="13">
        <v>42752.563019675923</v>
      </c>
      <c r="K938" s="13">
        <v>43117</v>
      </c>
      <c r="L938" s="13" t="s">
        <v>3910</v>
      </c>
      <c r="M938" s="12"/>
      <c r="N938" s="12"/>
      <c r="O938" s="12"/>
      <c r="P938" s="12"/>
      <c r="Q938" s="12"/>
    </row>
    <row r="939" spans="1:17" x14ac:dyDescent="0.25">
      <c r="A939" s="11">
        <v>200758</v>
      </c>
      <c r="B939" s="12" t="s">
        <v>3901</v>
      </c>
      <c r="C939" s="12" t="s">
        <v>3911</v>
      </c>
      <c r="D939" s="12">
        <v>2</v>
      </c>
      <c r="E939" s="125">
        <v>27546469.16</v>
      </c>
      <c r="F939" s="12">
        <v>-23</v>
      </c>
      <c r="G939" s="125">
        <v>20784052.870000001</v>
      </c>
      <c r="H939" s="12" t="s">
        <v>2855</v>
      </c>
      <c r="I939" s="125">
        <v>166272.42000000001</v>
      </c>
      <c r="J939" s="13">
        <v>42752.565499884258</v>
      </c>
      <c r="K939" s="13">
        <v>43482</v>
      </c>
      <c r="L939" s="13" t="s">
        <v>3912</v>
      </c>
      <c r="M939" s="12"/>
      <c r="N939" s="12" t="s">
        <v>3913</v>
      </c>
      <c r="O939" s="12"/>
      <c r="P939" s="12"/>
      <c r="Q939" s="12"/>
    </row>
    <row r="940" spans="1:17" x14ac:dyDescent="0.25">
      <c r="A940" s="11">
        <v>200759</v>
      </c>
      <c r="B940" s="12" t="s">
        <v>1669</v>
      </c>
      <c r="C940" s="12" t="s">
        <v>1677</v>
      </c>
      <c r="D940" s="12">
        <v>6</v>
      </c>
      <c r="E940" s="125">
        <v>66325036.969999999</v>
      </c>
      <c r="F940" s="12">
        <v>-23</v>
      </c>
      <c r="G940" s="125">
        <v>49337453.549999997</v>
      </c>
      <c r="H940" s="12" t="s">
        <v>491</v>
      </c>
      <c r="I940" s="125">
        <v>296024.71999999997</v>
      </c>
      <c r="J940" s="13">
        <v>42752.62497271991</v>
      </c>
      <c r="K940" s="13">
        <v>43663</v>
      </c>
      <c r="L940" s="13" t="s">
        <v>1678</v>
      </c>
      <c r="M940" s="12" t="s">
        <v>1679</v>
      </c>
      <c r="N940" s="12"/>
      <c r="O940" s="12"/>
      <c r="P940" s="12"/>
      <c r="Q940" s="12"/>
    </row>
    <row r="941" spans="1:17" x14ac:dyDescent="0.25">
      <c r="A941" s="11">
        <v>200760</v>
      </c>
      <c r="B941" s="12" t="s">
        <v>3899</v>
      </c>
      <c r="C941" s="12" t="s">
        <v>3914</v>
      </c>
      <c r="D941" s="12">
        <v>6</v>
      </c>
      <c r="E941" s="125">
        <v>17187832.16</v>
      </c>
      <c r="F941" s="12">
        <v>-26</v>
      </c>
      <c r="G941" s="125">
        <v>13558293.689999999</v>
      </c>
      <c r="H941" s="12" t="s">
        <v>2855</v>
      </c>
      <c r="I941" s="125">
        <v>45194.31</v>
      </c>
      <c r="J941" s="13">
        <v>42752.656163159721</v>
      </c>
      <c r="K941" s="13">
        <v>43485</v>
      </c>
      <c r="L941" s="13" t="s">
        <v>3915</v>
      </c>
      <c r="M941" s="12"/>
      <c r="N941" s="12" t="s">
        <v>3916</v>
      </c>
      <c r="O941" s="12"/>
      <c r="P941" s="12"/>
      <c r="Q941" s="12"/>
    </row>
    <row r="942" spans="1:17" x14ac:dyDescent="0.25">
      <c r="A942" s="11">
        <v>200761</v>
      </c>
      <c r="B942" s="12" t="s">
        <v>3898</v>
      </c>
      <c r="C942" s="12" t="s">
        <v>3917</v>
      </c>
      <c r="D942" s="12">
        <v>1</v>
      </c>
      <c r="E942" s="125">
        <v>7007562.1799999997</v>
      </c>
      <c r="F942" s="12">
        <v>68</v>
      </c>
      <c r="G942" s="125">
        <v>6329044.9100000001</v>
      </c>
      <c r="H942" s="12" t="s">
        <v>1467</v>
      </c>
      <c r="I942" s="125">
        <v>270186.21999999997</v>
      </c>
      <c r="J942" s="13">
        <v>42752.731632210649</v>
      </c>
      <c r="K942" s="13">
        <v>43117</v>
      </c>
      <c r="L942" s="13" t="s">
        <v>3918</v>
      </c>
      <c r="M942" s="12"/>
      <c r="N942" s="12" t="s">
        <v>3919</v>
      </c>
      <c r="O942" s="12"/>
      <c r="P942" s="12"/>
      <c r="Q942" s="12"/>
    </row>
    <row r="943" spans="1:17" x14ac:dyDescent="0.25">
      <c r="A943" s="11">
        <v>200762</v>
      </c>
      <c r="B943" s="12" t="s">
        <v>3922</v>
      </c>
      <c r="C943" s="12" t="s">
        <v>3933</v>
      </c>
      <c r="D943" s="12">
        <v>6</v>
      </c>
      <c r="E943" s="125">
        <v>37525917.530000001</v>
      </c>
      <c r="F943" s="12">
        <v>-24</v>
      </c>
      <c r="G943" s="125">
        <v>24839300.879999999</v>
      </c>
      <c r="H943" s="12" t="s">
        <v>1448</v>
      </c>
      <c r="I943" s="125">
        <v>137996.12</v>
      </c>
      <c r="J943" s="13">
        <v>42753.702417743058</v>
      </c>
      <c r="K943" s="13">
        <v>43848</v>
      </c>
      <c r="L943" s="13" t="s">
        <v>3934</v>
      </c>
      <c r="M943" s="12"/>
      <c r="N943" s="12"/>
      <c r="O943" s="12"/>
      <c r="P943" s="12"/>
      <c r="Q943" s="12"/>
    </row>
    <row r="944" spans="1:17" x14ac:dyDescent="0.25">
      <c r="A944" s="11">
        <v>200763</v>
      </c>
      <c r="B944" s="12" t="s">
        <v>3935</v>
      </c>
      <c r="C944" s="12" t="s">
        <v>3936</v>
      </c>
      <c r="D944" s="12">
        <v>1</v>
      </c>
      <c r="E944" s="125">
        <v>2122367.15</v>
      </c>
      <c r="F944" s="12">
        <v>36</v>
      </c>
      <c r="G944" s="125">
        <v>1967151.37</v>
      </c>
      <c r="H944" s="12" t="s">
        <v>2034</v>
      </c>
      <c r="I944" s="125">
        <v>84674.81</v>
      </c>
      <c r="J944" s="13">
        <v>42754.707278506947</v>
      </c>
      <c r="K944" s="13">
        <v>43119</v>
      </c>
      <c r="L944" s="13" t="s">
        <v>3937</v>
      </c>
      <c r="M944" s="12"/>
      <c r="N944" s="12" t="s">
        <v>3938</v>
      </c>
      <c r="O944" s="12"/>
      <c r="P944" s="12"/>
      <c r="Q944" s="12"/>
    </row>
    <row r="945" spans="1:17" x14ac:dyDescent="0.25">
      <c r="A945" s="11">
        <v>200765</v>
      </c>
      <c r="B945" s="12" t="s">
        <v>3942</v>
      </c>
      <c r="C945" s="12" t="s">
        <v>3950</v>
      </c>
      <c r="D945" s="12">
        <v>1</v>
      </c>
      <c r="E945" s="125">
        <v>2612971.86</v>
      </c>
      <c r="F945" s="12">
        <v>35</v>
      </c>
      <c r="G945" s="125">
        <v>2360581.64</v>
      </c>
      <c r="H945" s="12" t="s">
        <v>468</v>
      </c>
      <c r="I945" s="125">
        <v>167741.06</v>
      </c>
      <c r="J945" s="13">
        <v>42755.601103009256</v>
      </c>
      <c r="K945" s="13">
        <v>43120</v>
      </c>
      <c r="L945" s="13" t="s">
        <v>3951</v>
      </c>
      <c r="M945" s="12"/>
      <c r="N945" s="12" t="s">
        <v>3952</v>
      </c>
      <c r="O945" s="12"/>
      <c r="P945" s="12"/>
      <c r="Q945" s="12"/>
    </row>
    <row r="946" spans="1:17" x14ac:dyDescent="0.25">
      <c r="A946" s="11">
        <v>200767</v>
      </c>
      <c r="B946" s="12" t="s">
        <v>3944</v>
      </c>
      <c r="C946" s="12" t="s">
        <v>3953</v>
      </c>
      <c r="D946" s="12">
        <v>6</v>
      </c>
      <c r="E946" s="125">
        <v>9570961.7300000004</v>
      </c>
      <c r="F946" s="12">
        <v>-26</v>
      </c>
      <c r="G946" s="125">
        <v>8281301.7999999998</v>
      </c>
      <c r="H946" s="12" t="s">
        <v>2861</v>
      </c>
      <c r="I946" s="125">
        <v>27604.34</v>
      </c>
      <c r="J946" s="13">
        <v>42755.603499571756</v>
      </c>
      <c r="K946" s="13">
        <v>43301</v>
      </c>
      <c r="L946" s="13" t="s">
        <v>3954</v>
      </c>
      <c r="M946" s="12"/>
      <c r="N946" s="12"/>
      <c r="O946" s="12"/>
      <c r="P946" s="12"/>
      <c r="Q946" s="12"/>
    </row>
    <row r="947" spans="1:17" x14ac:dyDescent="0.25">
      <c r="A947" s="11">
        <v>200768</v>
      </c>
      <c r="B947" s="12" t="s">
        <v>3943</v>
      </c>
      <c r="C947" s="12" t="s">
        <v>3955</v>
      </c>
      <c r="D947" s="12">
        <v>1</v>
      </c>
      <c r="E947" s="125">
        <v>1315994.29</v>
      </c>
      <c r="F947" s="12">
        <v>-26</v>
      </c>
      <c r="G947" s="125">
        <v>1232210.03</v>
      </c>
      <c r="H947" s="12" t="s">
        <v>2034</v>
      </c>
      <c r="I947" s="125">
        <v>5544.95</v>
      </c>
      <c r="J947" s="13">
        <v>42755.624337847221</v>
      </c>
      <c r="K947" s="13">
        <v>43120</v>
      </c>
      <c r="L947" s="13" t="s">
        <v>3956</v>
      </c>
      <c r="M947" s="12"/>
      <c r="N947" s="12" t="s">
        <v>3957</v>
      </c>
      <c r="O947" s="12"/>
      <c r="P947" s="12"/>
      <c r="Q947" s="12"/>
    </row>
    <row r="948" spans="1:17" x14ac:dyDescent="0.25">
      <c r="A948" s="11">
        <v>200770</v>
      </c>
      <c r="B948" s="12" t="s">
        <v>1754</v>
      </c>
      <c r="C948" s="12" t="s">
        <v>1755</v>
      </c>
      <c r="D948" s="12">
        <v>3</v>
      </c>
      <c r="E948" s="125">
        <v>48925657</v>
      </c>
      <c r="F948" s="12">
        <v>-16</v>
      </c>
      <c r="G948" s="125">
        <v>39476271.409999996</v>
      </c>
      <c r="H948" s="12" t="s">
        <v>1191</v>
      </c>
      <c r="I948" s="125">
        <v>513191.53</v>
      </c>
      <c r="J948" s="13">
        <v>42759.51062734954</v>
      </c>
      <c r="K948" s="13">
        <v>43475</v>
      </c>
      <c r="L948" s="13" t="s">
        <v>1756</v>
      </c>
      <c r="M948" s="12" t="s">
        <v>1838</v>
      </c>
      <c r="N948" s="12"/>
      <c r="O948" s="12"/>
      <c r="P948" s="12"/>
      <c r="Q948" s="12"/>
    </row>
    <row r="949" spans="1:17" x14ac:dyDescent="0.25">
      <c r="A949" s="11">
        <v>200772</v>
      </c>
      <c r="B949" s="12" t="s">
        <v>3960</v>
      </c>
      <c r="C949" s="12" t="s">
        <v>3962</v>
      </c>
      <c r="D949" s="12">
        <v>8</v>
      </c>
      <c r="E949" s="125">
        <v>1291021.44</v>
      </c>
      <c r="F949" s="12">
        <v>-27</v>
      </c>
      <c r="G949" s="125">
        <v>1214592.97</v>
      </c>
      <c r="H949" s="12" t="s">
        <v>1447</v>
      </c>
      <c r="I949" s="125">
        <v>3373.87</v>
      </c>
      <c r="J949" s="13">
        <v>42756.515501504633</v>
      </c>
      <c r="K949" s="13">
        <v>43121</v>
      </c>
      <c r="L949" s="13" t="s">
        <v>3963</v>
      </c>
      <c r="M949" s="12"/>
      <c r="N949" s="12"/>
      <c r="O949" s="12"/>
      <c r="P949" s="12"/>
      <c r="Q949" s="12"/>
    </row>
    <row r="950" spans="1:17" x14ac:dyDescent="0.25">
      <c r="A950" s="11">
        <v>200778</v>
      </c>
      <c r="B950" s="12" t="s">
        <v>3978</v>
      </c>
      <c r="C950" s="12" t="s">
        <v>3979</v>
      </c>
      <c r="D950" s="12">
        <v>1</v>
      </c>
      <c r="E950" s="125">
        <v>1661521.45</v>
      </c>
      <c r="F950" s="12">
        <v>-7</v>
      </c>
      <c r="G950" s="125">
        <v>1522487.75</v>
      </c>
      <c r="H950" s="12" t="s">
        <v>1448</v>
      </c>
      <c r="I950" s="125">
        <v>50242.1</v>
      </c>
      <c r="J950" s="13">
        <v>42759.545042939812</v>
      </c>
      <c r="K950" s="13">
        <v>43132</v>
      </c>
      <c r="L950" s="13" t="s">
        <v>3980</v>
      </c>
      <c r="M950" s="12"/>
      <c r="N950" s="12" t="s">
        <v>3981</v>
      </c>
      <c r="O950" s="12"/>
      <c r="P950" s="12"/>
      <c r="Q950" s="12"/>
    </row>
    <row r="951" spans="1:17" x14ac:dyDescent="0.25">
      <c r="A951" s="11">
        <v>200779</v>
      </c>
      <c r="B951" s="12" t="s">
        <v>2469</v>
      </c>
      <c r="C951" s="12" t="s">
        <v>2470</v>
      </c>
      <c r="D951" s="12">
        <v>1</v>
      </c>
      <c r="E951" s="125">
        <v>1278626.08</v>
      </c>
      <c r="F951" s="12">
        <v>-1</v>
      </c>
      <c r="G951" s="125">
        <v>1182767.92</v>
      </c>
      <c r="H951" s="12" t="s">
        <v>1925</v>
      </c>
      <c r="I951" s="125">
        <v>44156.67</v>
      </c>
      <c r="J951" s="13">
        <v>42760.657270717595</v>
      </c>
      <c r="K951" s="13">
        <v>43125</v>
      </c>
      <c r="L951" s="13" t="s">
        <v>2471</v>
      </c>
      <c r="M951" s="12" t="s">
        <v>2472</v>
      </c>
      <c r="N951" s="12"/>
      <c r="O951" s="12"/>
      <c r="P951" s="12"/>
      <c r="Q951" s="12"/>
    </row>
    <row r="952" spans="1:17" x14ac:dyDescent="0.25">
      <c r="A952" s="11">
        <v>200780</v>
      </c>
      <c r="B952" s="12" t="s">
        <v>3982</v>
      </c>
      <c r="C952" s="12" t="s">
        <v>3983</v>
      </c>
      <c r="D952" s="12">
        <v>7</v>
      </c>
      <c r="E952" s="125">
        <v>303219.28999999998</v>
      </c>
      <c r="F952" s="12">
        <v>60</v>
      </c>
      <c r="G952" s="125">
        <v>290162</v>
      </c>
      <c r="H952" s="12" t="s">
        <v>2861</v>
      </c>
      <c r="I952" s="125">
        <v>13057.29</v>
      </c>
      <c r="J952" s="13">
        <v>42760.690128553244</v>
      </c>
      <c r="K952" s="13">
        <v>43003</v>
      </c>
      <c r="L952" s="13" t="s">
        <v>3984</v>
      </c>
      <c r="M952" s="12"/>
      <c r="N952" s="12" t="s">
        <v>3985</v>
      </c>
      <c r="O952" s="12"/>
      <c r="P952" s="12"/>
      <c r="Q952" s="12"/>
    </row>
    <row r="953" spans="1:17" x14ac:dyDescent="0.25">
      <c r="A953" s="11">
        <v>200782</v>
      </c>
      <c r="B953" s="12" t="s">
        <v>3991</v>
      </c>
      <c r="C953" s="12" t="s">
        <v>3994</v>
      </c>
      <c r="D953" s="12">
        <v>3</v>
      </c>
      <c r="E953" s="125">
        <v>24216134.41</v>
      </c>
      <c r="F953" s="12">
        <v>23</v>
      </c>
      <c r="G953" s="125">
        <v>20712135.02</v>
      </c>
      <c r="H953" s="12" t="s">
        <v>1039</v>
      </c>
      <c r="I953" s="125">
        <v>492026.13</v>
      </c>
      <c r="J953" s="13">
        <v>42763.586794560186</v>
      </c>
      <c r="K953" s="13">
        <v>43314</v>
      </c>
      <c r="L953" s="13" t="s">
        <v>3995</v>
      </c>
      <c r="M953" s="12"/>
      <c r="N953" s="12" t="s">
        <v>3996</v>
      </c>
      <c r="O953" s="12"/>
      <c r="P953" s="12"/>
      <c r="Q953" s="12"/>
    </row>
    <row r="954" spans="1:17" x14ac:dyDescent="0.25">
      <c r="A954" s="11">
        <v>200783</v>
      </c>
      <c r="B954" s="12" t="s">
        <v>3999</v>
      </c>
      <c r="C954" s="12" t="s">
        <v>4006</v>
      </c>
      <c r="D954" s="12">
        <v>1</v>
      </c>
      <c r="E954" s="125">
        <v>9755166.0600000005</v>
      </c>
      <c r="F954" s="12">
        <v>-9</v>
      </c>
      <c r="G954" s="125">
        <v>8519345.1799999997</v>
      </c>
      <c r="H954" s="12" t="s">
        <v>491</v>
      </c>
      <c r="I954" s="125">
        <v>227182.54</v>
      </c>
      <c r="J954" s="13">
        <v>42765.5072147338</v>
      </c>
      <c r="K954" s="13">
        <v>43225</v>
      </c>
      <c r="L954" s="13" t="s">
        <v>4007</v>
      </c>
      <c r="M954" s="12"/>
      <c r="N954" s="12" t="s">
        <v>4008</v>
      </c>
      <c r="O954" s="12"/>
      <c r="P954" s="12"/>
      <c r="Q954" s="12"/>
    </row>
    <row r="955" spans="1:17" x14ac:dyDescent="0.25">
      <c r="A955" s="11">
        <v>200784</v>
      </c>
      <c r="B955" s="12" t="s">
        <v>2866</v>
      </c>
      <c r="C955" s="12" t="s">
        <v>2868</v>
      </c>
      <c r="D955" s="12">
        <v>1</v>
      </c>
      <c r="E955" s="125">
        <v>3395851.12</v>
      </c>
      <c r="F955" s="12">
        <v>23</v>
      </c>
      <c r="G955" s="125">
        <v>3153912.72</v>
      </c>
      <c r="H955" s="12" t="s">
        <v>2538</v>
      </c>
      <c r="I955" s="125">
        <v>87069.91</v>
      </c>
      <c r="J955" s="13">
        <v>42763.526987581019</v>
      </c>
      <c r="K955" s="13">
        <v>43133</v>
      </c>
      <c r="L955" s="13" t="s">
        <v>2869</v>
      </c>
      <c r="M955" s="12"/>
      <c r="N955" s="12"/>
      <c r="O955" s="12"/>
      <c r="P955" s="12"/>
      <c r="Q955" s="12"/>
    </row>
    <row r="956" spans="1:17" x14ac:dyDescent="0.25">
      <c r="A956" s="11">
        <v>200785</v>
      </c>
      <c r="B956" s="12" t="s">
        <v>2371</v>
      </c>
      <c r="C956" s="12" t="s">
        <v>2375</v>
      </c>
      <c r="D956" s="12">
        <v>3</v>
      </c>
      <c r="E956" s="125">
        <v>29168187.579999998</v>
      </c>
      <c r="F956" s="12">
        <v>14</v>
      </c>
      <c r="G956" s="125">
        <v>24881055.620000001</v>
      </c>
      <c r="H956" s="12" t="s">
        <v>2175</v>
      </c>
      <c r="I956" s="125">
        <v>1041670.36</v>
      </c>
      <c r="J956" s="13">
        <v>42773.688587928242</v>
      </c>
      <c r="K956" s="13">
        <v>43322</v>
      </c>
      <c r="L956" s="13" t="s">
        <v>2376</v>
      </c>
      <c r="M956" s="12"/>
      <c r="N956" s="12"/>
      <c r="O956" s="12"/>
      <c r="P956" s="12"/>
      <c r="Q956" s="12"/>
    </row>
    <row r="957" spans="1:17" x14ac:dyDescent="0.25">
      <c r="A957" s="11">
        <v>200790</v>
      </c>
      <c r="B957" s="12" t="s">
        <v>4070</v>
      </c>
      <c r="C957" s="12" t="s">
        <v>4073</v>
      </c>
      <c r="D957" s="12">
        <v>3</v>
      </c>
      <c r="E957" s="125">
        <v>19981939.129999999</v>
      </c>
      <c r="F957" s="12">
        <v>-16</v>
      </c>
      <c r="G957" s="125">
        <v>18720282</v>
      </c>
      <c r="H957" s="12" t="s">
        <v>1909</v>
      </c>
      <c r="I957" s="125">
        <v>270404.07</v>
      </c>
      <c r="J957" s="13">
        <v>42776.583435995373</v>
      </c>
      <c r="K957" s="13">
        <v>43141</v>
      </c>
      <c r="L957" s="13" t="s">
        <v>4074</v>
      </c>
      <c r="M957" s="12"/>
      <c r="N957" s="12" t="s">
        <v>4075</v>
      </c>
      <c r="O957" s="12"/>
      <c r="P957" s="12"/>
      <c r="Q957" s="12"/>
    </row>
    <row r="958" spans="1:17" x14ac:dyDescent="0.25">
      <c r="A958" s="11">
        <v>200793</v>
      </c>
      <c r="B958" s="12" t="s">
        <v>4009</v>
      </c>
      <c r="C958" s="12" t="s">
        <v>4025</v>
      </c>
      <c r="D958" s="12">
        <v>1</v>
      </c>
      <c r="E958" s="125">
        <v>2637658.16</v>
      </c>
      <c r="F958" s="12">
        <v>23</v>
      </c>
      <c r="G958" s="125">
        <v>2363969.98</v>
      </c>
      <c r="H958" s="12" t="s">
        <v>1447</v>
      </c>
      <c r="I958" s="125">
        <v>166155.07999999999</v>
      </c>
      <c r="J958" s="13">
        <v>42766.752147569445</v>
      </c>
      <c r="K958" s="13">
        <v>43134</v>
      </c>
      <c r="L958" s="13" t="s">
        <v>4026</v>
      </c>
      <c r="M958" s="12"/>
      <c r="N958" s="12"/>
      <c r="O958" s="12"/>
      <c r="P958" s="12"/>
      <c r="Q958" s="12"/>
    </row>
    <row r="959" spans="1:17" x14ac:dyDescent="0.25">
      <c r="A959" s="11">
        <v>200795</v>
      </c>
      <c r="B959" s="12" t="s">
        <v>2676</v>
      </c>
      <c r="C959" s="12" t="s">
        <v>2695</v>
      </c>
      <c r="D959" s="12">
        <v>1</v>
      </c>
      <c r="E959" s="125">
        <v>4805098.43</v>
      </c>
      <c r="F959" s="12">
        <v>-7</v>
      </c>
      <c r="G959" s="125">
        <v>4441066.08</v>
      </c>
      <c r="H959" s="12" t="s">
        <v>2538</v>
      </c>
      <c r="I959" s="125">
        <v>130271.27</v>
      </c>
      <c r="J959" s="13">
        <v>42766.618874108797</v>
      </c>
      <c r="K959" s="13">
        <v>43134</v>
      </c>
      <c r="L959" s="13" t="s">
        <v>2696</v>
      </c>
      <c r="M959" s="12"/>
      <c r="N959" s="12" t="s">
        <v>2697</v>
      </c>
      <c r="O959" s="12"/>
      <c r="P959" s="12"/>
      <c r="Q959" s="12"/>
    </row>
    <row r="960" spans="1:17" x14ac:dyDescent="0.25">
      <c r="A960" s="11">
        <v>200796</v>
      </c>
      <c r="B960" s="12" t="s">
        <v>4013</v>
      </c>
      <c r="C960" s="12" t="s">
        <v>4027</v>
      </c>
      <c r="D960" s="12">
        <v>7</v>
      </c>
      <c r="E960" s="125">
        <v>1292500.6100000001</v>
      </c>
      <c r="F960" s="12">
        <v>23</v>
      </c>
      <c r="G960" s="125">
        <v>1194903.3799999999</v>
      </c>
      <c r="H960" s="12" t="s">
        <v>2175</v>
      </c>
      <c r="I960" s="125">
        <v>34869.589999999997</v>
      </c>
      <c r="J960" s="13">
        <v>42766.718846215277</v>
      </c>
      <c r="K960" s="13">
        <v>43134</v>
      </c>
      <c r="L960" s="13" t="s">
        <v>4028</v>
      </c>
      <c r="M960" s="12"/>
      <c r="N960" s="12" t="s">
        <v>4029</v>
      </c>
      <c r="O960" s="12"/>
      <c r="P960" s="12"/>
      <c r="Q960" s="12"/>
    </row>
    <row r="961" spans="1:17" x14ac:dyDescent="0.25">
      <c r="A961" s="11">
        <v>200798</v>
      </c>
      <c r="B961" s="12" t="s">
        <v>4014</v>
      </c>
      <c r="C961" s="12" t="s">
        <v>4032</v>
      </c>
      <c r="D961" s="12">
        <v>2</v>
      </c>
      <c r="E961" s="125">
        <v>19725666.18</v>
      </c>
      <c r="F961" s="12">
        <v>23</v>
      </c>
      <c r="G961" s="125">
        <v>16038201.77</v>
      </c>
      <c r="H961" s="12" t="s">
        <v>5725</v>
      </c>
      <c r="I961" s="125">
        <v>1019743.04</v>
      </c>
      <c r="J961" s="13">
        <v>42766.855295868052</v>
      </c>
      <c r="K961" s="13">
        <v>43315</v>
      </c>
      <c r="L961" s="13" t="s">
        <v>4033</v>
      </c>
      <c r="M961" s="12"/>
      <c r="N961" s="12"/>
      <c r="O961" s="12"/>
      <c r="P961" s="12"/>
      <c r="Q961" s="12"/>
    </row>
    <row r="962" spans="1:17" x14ac:dyDescent="0.25">
      <c r="A962" s="11">
        <v>200800</v>
      </c>
      <c r="B962" s="12" t="s">
        <v>2387</v>
      </c>
      <c r="C962" s="12" t="s">
        <v>2401</v>
      </c>
      <c r="D962" s="12">
        <v>8</v>
      </c>
      <c r="E962" s="125">
        <v>1908160.6</v>
      </c>
      <c r="F962" s="12">
        <v>23</v>
      </c>
      <c r="G962" s="125">
        <v>1776573.94</v>
      </c>
      <c r="H962" s="12" t="s">
        <v>2034</v>
      </c>
      <c r="I962" s="125">
        <v>47139.97</v>
      </c>
      <c r="J962" s="13">
        <v>42766.881417557874</v>
      </c>
      <c r="K962" s="13">
        <v>43134</v>
      </c>
      <c r="L962" s="13" t="s">
        <v>2402</v>
      </c>
      <c r="M962" s="12"/>
      <c r="N962" s="12"/>
      <c r="O962" s="12"/>
      <c r="P962" s="12"/>
      <c r="Q962" s="12"/>
    </row>
    <row r="963" spans="1:17" x14ac:dyDescent="0.25">
      <c r="A963" s="11">
        <v>200802</v>
      </c>
      <c r="B963" s="12" t="s">
        <v>3203</v>
      </c>
      <c r="C963" s="12" t="s">
        <v>3210</v>
      </c>
      <c r="D963" s="12">
        <v>6</v>
      </c>
      <c r="E963" s="125">
        <v>44334295.899999999</v>
      </c>
      <c r="F963" s="12">
        <v>-7</v>
      </c>
      <c r="G963" s="125">
        <v>35279429.539999999</v>
      </c>
      <c r="H963" s="12" t="s">
        <v>2538</v>
      </c>
      <c r="I963" s="125">
        <v>776147.45</v>
      </c>
      <c r="J963" s="13">
        <v>42766.913834259256</v>
      </c>
      <c r="K963" s="13">
        <v>43499</v>
      </c>
      <c r="L963" s="13" t="s">
        <v>3211</v>
      </c>
      <c r="M963" s="12"/>
      <c r="N963" s="12" t="s">
        <v>3212</v>
      </c>
      <c r="O963" s="12"/>
      <c r="P963" s="12"/>
      <c r="Q963" s="12"/>
    </row>
    <row r="964" spans="1:17" x14ac:dyDescent="0.25">
      <c r="A964" s="11">
        <v>200803</v>
      </c>
      <c r="B964" s="12" t="s">
        <v>4036</v>
      </c>
      <c r="C964" s="12" t="s">
        <v>4037</v>
      </c>
      <c r="D964" s="12">
        <v>1</v>
      </c>
      <c r="E964" s="125">
        <v>968616.22</v>
      </c>
      <c r="F964" s="12">
        <v>23</v>
      </c>
      <c r="G964" s="125">
        <v>899790.91</v>
      </c>
      <c r="H964" s="12" t="s">
        <v>2538</v>
      </c>
      <c r="I964" s="125">
        <v>24871.15</v>
      </c>
      <c r="J964" s="13">
        <v>42767.695371643516</v>
      </c>
      <c r="K964" s="13">
        <v>43132</v>
      </c>
      <c r="L964" s="13" t="s">
        <v>4038</v>
      </c>
      <c r="M964" s="12"/>
      <c r="N964" s="12" t="s">
        <v>4039</v>
      </c>
      <c r="O964" s="12"/>
      <c r="P964" s="12"/>
      <c r="Q964" s="12"/>
    </row>
    <row r="965" spans="1:17" x14ac:dyDescent="0.25">
      <c r="A965" s="11">
        <v>200804</v>
      </c>
      <c r="B965" s="12" t="s">
        <v>2099</v>
      </c>
      <c r="C965" s="12" t="s">
        <v>2117</v>
      </c>
      <c r="D965" s="12">
        <v>1</v>
      </c>
      <c r="E965" s="125">
        <v>2557252.15</v>
      </c>
      <c r="F965" s="12">
        <v>-8</v>
      </c>
      <c r="G965" s="125">
        <v>2365535.84</v>
      </c>
      <c r="H965" s="12" t="s">
        <v>1909</v>
      </c>
      <c r="I965" s="125">
        <v>66235</v>
      </c>
      <c r="J965" s="13">
        <v>42768.616484571758</v>
      </c>
      <c r="K965" s="13">
        <v>43133</v>
      </c>
      <c r="L965" s="13" t="s">
        <v>2118</v>
      </c>
      <c r="M965" s="12"/>
      <c r="N965" s="12" t="s">
        <v>2119</v>
      </c>
      <c r="O965" s="12"/>
      <c r="P965" s="12"/>
      <c r="Q965" s="12"/>
    </row>
    <row r="966" spans="1:17" x14ac:dyDescent="0.25">
      <c r="A966" s="11">
        <v>200805</v>
      </c>
      <c r="B966" s="12" t="s">
        <v>2740</v>
      </c>
      <c r="C966" s="12" t="s">
        <v>2741</v>
      </c>
      <c r="D966" s="12">
        <v>2</v>
      </c>
      <c r="E966" s="125">
        <v>29733990.77</v>
      </c>
      <c r="F966" s="12">
        <v>21</v>
      </c>
      <c r="G966" s="125">
        <v>22594046.489999998</v>
      </c>
      <c r="H966" s="12" t="s">
        <v>86</v>
      </c>
      <c r="I966" s="125">
        <v>1135879.1299999999</v>
      </c>
      <c r="J966" s="13">
        <v>42769.738868981483</v>
      </c>
      <c r="K966" s="13">
        <v>43499</v>
      </c>
      <c r="L966" s="13" t="s">
        <v>2742</v>
      </c>
      <c r="M966" s="12"/>
      <c r="N966" s="12"/>
      <c r="O966" s="12"/>
      <c r="P966" s="12"/>
      <c r="Q966" s="12"/>
    </row>
    <row r="967" spans="1:17" x14ac:dyDescent="0.25">
      <c r="A967" s="11">
        <v>200808</v>
      </c>
      <c r="B967" s="12" t="s">
        <v>4052</v>
      </c>
      <c r="C967" s="12" t="s">
        <v>4053</v>
      </c>
      <c r="D967" s="12">
        <v>6</v>
      </c>
      <c r="E967" s="125">
        <v>5147948.26</v>
      </c>
      <c r="F967" s="12">
        <v>-12</v>
      </c>
      <c r="G967" s="125">
        <v>4596987.9800000004</v>
      </c>
      <c r="H967" s="12" t="s">
        <v>1467</v>
      </c>
      <c r="I967" s="125">
        <v>86832</v>
      </c>
      <c r="J967" s="13">
        <v>42772.666294062503</v>
      </c>
      <c r="K967" s="13">
        <v>43226</v>
      </c>
      <c r="L967" s="13" t="s">
        <v>4054</v>
      </c>
      <c r="M967" s="12" t="s">
        <v>4055</v>
      </c>
      <c r="N967" s="12"/>
      <c r="O967" s="12"/>
      <c r="P967" s="12"/>
      <c r="Q967" s="12"/>
    </row>
    <row r="968" spans="1:17" x14ac:dyDescent="0.25">
      <c r="A968" s="11">
        <v>200815</v>
      </c>
      <c r="B968" s="12" t="s">
        <v>2489</v>
      </c>
      <c r="C968" s="12" t="s">
        <v>2490</v>
      </c>
      <c r="D968" s="12">
        <v>7</v>
      </c>
      <c r="E968" s="125">
        <v>799141.31</v>
      </c>
      <c r="F968" s="12">
        <v>-16</v>
      </c>
      <c r="G968" s="125">
        <v>739229.96</v>
      </c>
      <c r="H968" s="12" t="s">
        <v>1909</v>
      </c>
      <c r="I968" s="125">
        <v>12813.32</v>
      </c>
      <c r="J968" s="13">
        <v>42776.513805324073</v>
      </c>
      <c r="K968" s="13">
        <v>43141</v>
      </c>
      <c r="L968" s="13" t="s">
        <v>2491</v>
      </c>
      <c r="M968" s="12"/>
      <c r="N968" s="12"/>
      <c r="O968" s="12"/>
      <c r="P968" s="12"/>
      <c r="Q968" s="12"/>
    </row>
    <row r="969" spans="1:17" x14ac:dyDescent="0.25">
      <c r="A969" s="11">
        <v>200816</v>
      </c>
      <c r="B969" s="12" t="s">
        <v>4071</v>
      </c>
      <c r="C969" s="12" t="s">
        <v>4076</v>
      </c>
      <c r="D969" s="12">
        <v>8</v>
      </c>
      <c r="E969" s="125">
        <v>2300350.9500000002</v>
      </c>
      <c r="F969" s="12">
        <v>14</v>
      </c>
      <c r="G969" s="125">
        <v>2149518.33</v>
      </c>
      <c r="H969" s="12" t="s">
        <v>468</v>
      </c>
      <c r="I969" s="125">
        <v>32241.8</v>
      </c>
      <c r="J969" s="13">
        <v>42776.606118483796</v>
      </c>
      <c r="K969" s="13">
        <v>43141</v>
      </c>
      <c r="L969" s="12" t="s">
        <v>4077</v>
      </c>
      <c r="M969" s="12"/>
      <c r="N969" s="12" t="s">
        <v>4078</v>
      </c>
      <c r="O969" s="12"/>
      <c r="P969" s="12"/>
      <c r="Q969" s="12"/>
    </row>
    <row r="970" spans="1:17" x14ac:dyDescent="0.25">
      <c r="A970" s="11">
        <v>200817</v>
      </c>
      <c r="B970" s="12" t="s">
        <v>4072</v>
      </c>
      <c r="C970" s="12" t="s">
        <v>4079</v>
      </c>
      <c r="D970" s="12">
        <v>8</v>
      </c>
      <c r="E970" s="125">
        <v>1938553.57</v>
      </c>
      <c r="F970" s="12">
        <v>14</v>
      </c>
      <c r="G970" s="125">
        <v>1787720.95</v>
      </c>
      <c r="H970" s="12" t="s">
        <v>1191</v>
      </c>
      <c r="I970" s="125">
        <v>32241.8</v>
      </c>
      <c r="J970" s="13">
        <v>42776.699919293984</v>
      </c>
      <c r="K970" s="13">
        <v>43141</v>
      </c>
      <c r="L970" s="12" t="s">
        <v>4080</v>
      </c>
      <c r="M970" s="12"/>
      <c r="N970" s="12" t="s">
        <v>4081</v>
      </c>
      <c r="O970" s="12"/>
      <c r="P970" s="12"/>
      <c r="Q970" s="12"/>
    </row>
    <row r="971" spans="1:17" x14ac:dyDescent="0.25">
      <c r="A971" s="11">
        <v>200818</v>
      </c>
      <c r="B971" s="12" t="s">
        <v>4082</v>
      </c>
      <c r="C971" s="12" t="s">
        <v>4088</v>
      </c>
      <c r="D971" s="12">
        <v>1</v>
      </c>
      <c r="E971" s="125">
        <v>3294309.4</v>
      </c>
      <c r="F971" s="12">
        <v>13</v>
      </c>
      <c r="G971" s="125">
        <v>3019008.18</v>
      </c>
      <c r="H971" s="12" t="s">
        <v>1447</v>
      </c>
      <c r="I971" s="125">
        <v>54264.32</v>
      </c>
      <c r="J971" s="13">
        <v>42777.574609918978</v>
      </c>
      <c r="K971" s="13">
        <v>43142</v>
      </c>
      <c r="L971" s="12" t="s">
        <v>4089</v>
      </c>
      <c r="M971" s="12"/>
      <c r="N971" s="12" t="s">
        <v>4090</v>
      </c>
      <c r="O971" s="12"/>
      <c r="P971" s="12"/>
      <c r="Q971" s="12"/>
    </row>
    <row r="972" spans="1:17" x14ac:dyDescent="0.25">
      <c r="A972" s="11">
        <v>200820</v>
      </c>
      <c r="B972" s="12" t="s">
        <v>3045</v>
      </c>
      <c r="C972" s="12" t="s">
        <v>3068</v>
      </c>
      <c r="D972" s="12">
        <v>1</v>
      </c>
      <c r="E972" s="125">
        <v>1917939.06</v>
      </c>
      <c r="F972" s="12">
        <v>-19</v>
      </c>
      <c r="G972" s="125">
        <v>1774151.84</v>
      </c>
      <c r="H972" s="12" t="s">
        <v>2861</v>
      </c>
      <c r="I972" s="125">
        <v>23655.360000000001</v>
      </c>
      <c r="J972" s="13">
        <v>42779.543588622684</v>
      </c>
      <c r="K972" s="13">
        <v>43144</v>
      </c>
      <c r="L972" s="12" t="s">
        <v>3069</v>
      </c>
      <c r="M972" s="12"/>
      <c r="N972" s="12"/>
      <c r="O972" s="12"/>
      <c r="P972" s="12"/>
      <c r="Q972" s="12"/>
    </row>
    <row r="973" spans="1:17" x14ac:dyDescent="0.25">
      <c r="A973" s="11">
        <v>200823</v>
      </c>
      <c r="B973" s="12" t="s">
        <v>4093</v>
      </c>
      <c r="C973" s="12" t="s">
        <v>4099</v>
      </c>
      <c r="D973" s="12">
        <v>1</v>
      </c>
      <c r="E973" s="125">
        <v>1984985.68</v>
      </c>
      <c r="F973" s="12">
        <v>11</v>
      </c>
      <c r="G973" s="125">
        <v>1819804.94</v>
      </c>
      <c r="H973" s="12" t="s">
        <v>2861</v>
      </c>
      <c r="I973" s="125">
        <v>27132.16</v>
      </c>
      <c r="J973" s="13">
        <v>42779.711102233799</v>
      </c>
      <c r="K973" s="13">
        <v>43144</v>
      </c>
      <c r="L973" s="12" t="s">
        <v>4100</v>
      </c>
      <c r="M973" s="12"/>
      <c r="N973" s="12" t="s">
        <v>4101</v>
      </c>
      <c r="O973" s="12"/>
      <c r="P973" s="12"/>
      <c r="Q973" s="12"/>
    </row>
    <row r="974" spans="1:17" x14ac:dyDescent="0.25">
      <c r="A974" s="11">
        <v>200824</v>
      </c>
      <c r="B974" s="12" t="s">
        <v>2572</v>
      </c>
      <c r="C974" s="12" t="s">
        <v>2581</v>
      </c>
      <c r="D974" s="12">
        <v>1</v>
      </c>
      <c r="E974" s="125">
        <v>1892043.5</v>
      </c>
      <c r="F974" s="12">
        <v>11</v>
      </c>
      <c r="G974" s="125">
        <v>1772220.8</v>
      </c>
      <c r="H974" s="12" t="s">
        <v>1925</v>
      </c>
      <c r="I974" s="125">
        <v>19712.8</v>
      </c>
      <c r="J974" s="13">
        <v>42779.721087928243</v>
      </c>
      <c r="K974" s="13">
        <v>43144</v>
      </c>
      <c r="L974" s="12" t="s">
        <v>2582</v>
      </c>
      <c r="M974" s="12" t="s">
        <v>3628</v>
      </c>
      <c r="N974" s="12"/>
      <c r="O974" s="12"/>
      <c r="P974" s="12"/>
      <c r="Q974" s="12"/>
    </row>
    <row r="975" spans="1:17" x14ac:dyDescent="0.25">
      <c r="A975" s="11">
        <v>200827</v>
      </c>
      <c r="B975" s="12" t="s">
        <v>2810</v>
      </c>
      <c r="C975" s="12" t="s">
        <v>2823</v>
      </c>
      <c r="D975" s="12">
        <v>2</v>
      </c>
      <c r="E975" s="125">
        <v>4812003.68</v>
      </c>
      <c r="F975" s="12">
        <v>-21</v>
      </c>
      <c r="G975" s="125">
        <v>4493829.1500000004</v>
      </c>
      <c r="H975" s="12" t="s">
        <v>2557</v>
      </c>
      <c r="I975" s="125">
        <v>41942.410000000003</v>
      </c>
      <c r="J975" s="13">
        <v>42781.578117245372</v>
      </c>
      <c r="K975" s="13">
        <v>43146</v>
      </c>
      <c r="L975" s="12" t="s">
        <v>2824</v>
      </c>
      <c r="M975" s="12"/>
      <c r="N975" s="12"/>
      <c r="O975" s="12"/>
      <c r="P975" s="12"/>
      <c r="Q975" s="12"/>
    </row>
    <row r="976" spans="1:17" x14ac:dyDescent="0.25">
      <c r="A976" s="11">
        <v>200828</v>
      </c>
      <c r="B976" s="12" t="s">
        <v>4111</v>
      </c>
      <c r="C976" s="12" t="s">
        <v>4115</v>
      </c>
      <c r="D976" s="12">
        <v>7</v>
      </c>
      <c r="E976" s="125">
        <v>2689844.05</v>
      </c>
      <c r="F976" s="12">
        <v>40</v>
      </c>
      <c r="G976" s="125">
        <v>2441763.02</v>
      </c>
      <c r="H976" s="12" t="s">
        <v>1039</v>
      </c>
      <c r="I976" s="125">
        <v>96486.94</v>
      </c>
      <c r="J976" s="13">
        <v>42781.639749224538</v>
      </c>
      <c r="K976" s="13">
        <v>43146</v>
      </c>
      <c r="L976" s="12" t="s">
        <v>4116</v>
      </c>
      <c r="M976" s="12"/>
      <c r="N976" s="12" t="s">
        <v>4117</v>
      </c>
      <c r="O976" s="12"/>
      <c r="P976" s="12"/>
      <c r="Q976" s="12"/>
    </row>
    <row r="977" spans="1:17" x14ac:dyDescent="0.25">
      <c r="A977" s="11">
        <v>200829</v>
      </c>
      <c r="B977" s="12" t="s">
        <v>4109</v>
      </c>
      <c r="C977" s="12" t="s">
        <v>4118</v>
      </c>
      <c r="D977" s="12">
        <v>1</v>
      </c>
      <c r="E977" s="125">
        <v>10833243.789999999</v>
      </c>
      <c r="F977" s="12">
        <v>40</v>
      </c>
      <c r="G977" s="125">
        <v>8601773.2799999993</v>
      </c>
      <c r="H977" s="12" t="s">
        <v>1467</v>
      </c>
      <c r="I977" s="125">
        <v>379637.06</v>
      </c>
      <c r="J977" s="13">
        <v>42781.678935416669</v>
      </c>
      <c r="K977" s="13">
        <v>43327</v>
      </c>
      <c r="L977" s="12" t="s">
        <v>4119</v>
      </c>
      <c r="M977" s="12"/>
      <c r="N977" s="12" t="s">
        <v>4120</v>
      </c>
      <c r="O977" s="12"/>
      <c r="P977" s="12"/>
      <c r="Q977" s="12"/>
    </row>
    <row r="978" spans="1:17" x14ac:dyDescent="0.25">
      <c r="A978" s="11">
        <v>200833</v>
      </c>
      <c r="B978" s="12" t="s">
        <v>4127</v>
      </c>
      <c r="C978" s="12" t="s">
        <v>4144</v>
      </c>
      <c r="D978" s="12">
        <v>1</v>
      </c>
      <c r="E978" s="125">
        <v>1096661.8899999999</v>
      </c>
      <c r="F978" s="12">
        <v>6</v>
      </c>
      <c r="G978" s="125">
        <v>983575.67</v>
      </c>
      <c r="H978" s="12" t="s">
        <v>1925</v>
      </c>
      <c r="I978" s="125">
        <v>49913.440000000002</v>
      </c>
      <c r="J978" s="13">
        <v>42784.470498495371</v>
      </c>
      <c r="K978" s="13">
        <v>43149</v>
      </c>
      <c r="L978" s="12" t="s">
        <v>4145</v>
      </c>
      <c r="M978" s="12"/>
      <c r="N978" s="12" t="s">
        <v>4146</v>
      </c>
      <c r="O978" s="12"/>
      <c r="P978" s="12"/>
      <c r="Q978" s="12"/>
    </row>
    <row r="979" spans="1:17" x14ac:dyDescent="0.25">
      <c r="A979" s="11">
        <v>200834</v>
      </c>
      <c r="B979" s="12" t="s">
        <v>4129</v>
      </c>
      <c r="C979" s="12" t="s">
        <v>4147</v>
      </c>
      <c r="D979" s="12">
        <v>7</v>
      </c>
      <c r="E979" s="125">
        <v>1516545.89</v>
      </c>
      <c r="F979" s="12">
        <v>129</v>
      </c>
      <c r="G979" s="125">
        <v>1303691.71</v>
      </c>
      <c r="H979" s="12" t="s">
        <v>3074</v>
      </c>
      <c r="I979" s="125">
        <v>107296.55</v>
      </c>
      <c r="J979" s="13">
        <v>42784.481672488429</v>
      </c>
      <c r="K979" s="13">
        <v>43087</v>
      </c>
      <c r="L979" s="12" t="s">
        <v>4148</v>
      </c>
      <c r="M979" s="12"/>
      <c r="N979" s="12"/>
      <c r="O979" s="12"/>
      <c r="P979" s="12"/>
      <c r="Q979" s="12"/>
    </row>
    <row r="980" spans="1:17" x14ac:dyDescent="0.25">
      <c r="A980" s="11">
        <v>200835</v>
      </c>
      <c r="B980" s="12" t="s">
        <v>2085</v>
      </c>
      <c r="C980" s="12" t="s">
        <v>2097</v>
      </c>
      <c r="D980" s="12">
        <v>2</v>
      </c>
      <c r="E980" s="125">
        <v>6209036.9000000004</v>
      </c>
      <c r="F980" s="12">
        <v>-24</v>
      </c>
      <c r="G980" s="125">
        <v>5798489.1399999997</v>
      </c>
      <c r="H980" s="12" t="s">
        <v>1909</v>
      </c>
      <c r="I980" s="125">
        <v>33824.519999999997</v>
      </c>
      <c r="J980" s="13">
        <v>42784.520356793983</v>
      </c>
      <c r="K980" s="13">
        <v>43149</v>
      </c>
      <c r="L980" s="12" t="s">
        <v>2098</v>
      </c>
      <c r="M980" s="12"/>
      <c r="N980" s="12"/>
      <c r="O980" s="12"/>
      <c r="P980" s="12"/>
      <c r="Q980" s="12"/>
    </row>
    <row r="981" spans="1:17" x14ac:dyDescent="0.25">
      <c r="A981" s="11">
        <v>200836</v>
      </c>
      <c r="B981" s="12" t="s">
        <v>4130</v>
      </c>
      <c r="C981" s="12" t="s">
        <v>4149</v>
      </c>
      <c r="D981" s="12">
        <v>8</v>
      </c>
      <c r="E981" s="125">
        <v>1936532.15</v>
      </c>
      <c r="F981" s="12">
        <v>-24</v>
      </c>
      <c r="G981" s="125">
        <v>1785699.53</v>
      </c>
      <c r="H981" s="12" t="s">
        <v>2175</v>
      </c>
      <c r="I981" s="125">
        <v>12400.69</v>
      </c>
      <c r="J981" s="13">
        <v>42784.547488391203</v>
      </c>
      <c r="K981" s="13">
        <v>43149</v>
      </c>
      <c r="L981" s="12" t="s">
        <v>4150</v>
      </c>
      <c r="M981" s="12"/>
      <c r="N981" s="12" t="s">
        <v>4151</v>
      </c>
      <c r="O981" s="12"/>
      <c r="P981" s="12"/>
      <c r="Q981" s="12"/>
    </row>
    <row r="982" spans="1:17" x14ac:dyDescent="0.25">
      <c r="A982" s="11">
        <v>200838</v>
      </c>
      <c r="B982" s="12" t="s">
        <v>4124</v>
      </c>
      <c r="C982" s="12" t="s">
        <v>4152</v>
      </c>
      <c r="D982" s="12">
        <v>1</v>
      </c>
      <c r="E982" s="125">
        <v>2193323.7999999998</v>
      </c>
      <c r="F982" s="12">
        <v>4</v>
      </c>
      <c r="G982" s="125">
        <v>1967151.37</v>
      </c>
      <c r="H982" s="12" t="s">
        <v>1448</v>
      </c>
      <c r="I982" s="125">
        <v>95304.85</v>
      </c>
      <c r="J982" s="13">
        <v>42786.587887384259</v>
      </c>
      <c r="K982" s="13">
        <v>43151</v>
      </c>
      <c r="L982" s="12" t="s">
        <v>4153</v>
      </c>
      <c r="M982" s="12"/>
      <c r="N982" s="12" t="s">
        <v>4154</v>
      </c>
      <c r="O982" s="12"/>
      <c r="P982" s="12"/>
      <c r="Q982" s="12"/>
    </row>
    <row r="983" spans="1:17" x14ac:dyDescent="0.25">
      <c r="A983" s="11">
        <v>200839</v>
      </c>
      <c r="B983" s="12" t="s">
        <v>4125</v>
      </c>
      <c r="C983" s="12" t="s">
        <v>4155</v>
      </c>
      <c r="D983" s="12">
        <v>6</v>
      </c>
      <c r="E983" s="125">
        <v>31186158.82</v>
      </c>
      <c r="F983" s="12">
        <v>35</v>
      </c>
      <c r="G983" s="125">
        <v>23532031.129999999</v>
      </c>
      <c r="H983" s="12" t="s">
        <v>546</v>
      </c>
      <c r="I983" s="125">
        <v>1512967.84</v>
      </c>
      <c r="J983" s="13">
        <v>42786.606222569448</v>
      </c>
      <c r="K983" s="13">
        <v>43516</v>
      </c>
      <c r="L983" s="12" t="s">
        <v>4156</v>
      </c>
      <c r="M983" s="12"/>
      <c r="N983" s="12" t="s">
        <v>4157</v>
      </c>
      <c r="O983" s="12"/>
      <c r="P983" s="12"/>
      <c r="Q983" s="12"/>
    </row>
    <row r="984" spans="1:17" x14ac:dyDescent="0.25">
      <c r="A984" s="11">
        <v>200840</v>
      </c>
      <c r="B984" s="12" t="s">
        <v>2278</v>
      </c>
      <c r="C984" s="12" t="s">
        <v>2287</v>
      </c>
      <c r="D984" s="12">
        <v>1</v>
      </c>
      <c r="E984" s="125">
        <v>1545003.17</v>
      </c>
      <c r="F984" s="12">
        <v>4</v>
      </c>
      <c r="G984" s="125">
        <v>1449145.01</v>
      </c>
      <c r="H984" s="12" t="s">
        <v>2538</v>
      </c>
      <c r="I984" s="125">
        <v>4731.07</v>
      </c>
      <c r="J984" s="13">
        <v>42786.738933101849</v>
      </c>
      <c r="K984" s="13">
        <v>43151</v>
      </c>
      <c r="L984" s="12" t="s">
        <v>2288</v>
      </c>
      <c r="M984" s="12"/>
      <c r="N984" s="12"/>
      <c r="O984" s="12"/>
      <c r="P984" s="12"/>
      <c r="Q984" s="12"/>
    </row>
    <row r="985" spans="1:17" x14ac:dyDescent="0.25">
      <c r="A985" s="11">
        <v>200842</v>
      </c>
      <c r="B985" s="12" t="s">
        <v>4159</v>
      </c>
      <c r="C985" s="12" t="s">
        <v>4164</v>
      </c>
      <c r="D985" s="12">
        <v>1</v>
      </c>
      <c r="E985" s="125">
        <v>4644475.9400000004</v>
      </c>
      <c r="F985" s="12">
        <v>34</v>
      </c>
      <c r="G985" s="125">
        <v>4192131.1</v>
      </c>
      <c r="H985" s="12" t="s">
        <v>2538</v>
      </c>
      <c r="I985" s="125">
        <v>175664.19</v>
      </c>
      <c r="J985" s="13">
        <v>42787.757573113427</v>
      </c>
      <c r="K985" s="13">
        <v>43152</v>
      </c>
      <c r="L985" s="12" t="s">
        <v>4165</v>
      </c>
      <c r="M985" s="12"/>
      <c r="N985" s="12" t="s">
        <v>4166</v>
      </c>
      <c r="O985" s="12"/>
      <c r="P985" s="12"/>
      <c r="Q985" s="12"/>
    </row>
    <row r="986" spans="1:17" x14ac:dyDescent="0.25">
      <c r="A986" s="11">
        <v>200846</v>
      </c>
      <c r="B986" s="12" t="s">
        <v>4160</v>
      </c>
      <c r="C986" s="12" t="s">
        <v>4169</v>
      </c>
      <c r="D986" s="12">
        <v>1</v>
      </c>
      <c r="E986" s="125">
        <v>3289985.62</v>
      </c>
      <c r="F986" s="12">
        <v>-27</v>
      </c>
      <c r="G986" s="125">
        <v>3014684.4</v>
      </c>
      <c r="H986" s="12" t="s">
        <v>2175</v>
      </c>
      <c r="I986" s="125">
        <v>9044.0499999999993</v>
      </c>
      <c r="J986" s="13">
        <v>42787.770598414354</v>
      </c>
      <c r="K986" s="13">
        <v>43152</v>
      </c>
      <c r="L986" s="12" t="s">
        <v>4170</v>
      </c>
      <c r="M986" s="12"/>
      <c r="N986" s="12"/>
      <c r="O986" s="12"/>
      <c r="P986" s="12"/>
      <c r="Q986" s="12"/>
    </row>
    <row r="987" spans="1:17" x14ac:dyDescent="0.25">
      <c r="A987" s="11">
        <v>200847</v>
      </c>
      <c r="B987" s="12" t="s">
        <v>4171</v>
      </c>
      <c r="C987" s="12" t="s">
        <v>4172</v>
      </c>
      <c r="D987" s="12">
        <v>1</v>
      </c>
      <c r="E987" s="125">
        <v>1754659.06</v>
      </c>
      <c r="F987" s="12">
        <v>2</v>
      </c>
      <c r="G987" s="125">
        <v>1573721.12</v>
      </c>
      <c r="H987" s="12" t="s">
        <v>491</v>
      </c>
      <c r="I987" s="125">
        <v>72626.259999999995</v>
      </c>
      <c r="J987" s="13">
        <v>42788.666958182868</v>
      </c>
      <c r="K987" s="13">
        <v>43153</v>
      </c>
      <c r="L987" s="12" t="s">
        <v>4173</v>
      </c>
      <c r="M987" s="12"/>
      <c r="N987" s="12"/>
      <c r="O987" s="12"/>
      <c r="P987" s="12"/>
      <c r="Q987" s="12"/>
    </row>
    <row r="988" spans="1:17" x14ac:dyDescent="0.25">
      <c r="A988" s="11">
        <v>200849</v>
      </c>
      <c r="B988" s="12" t="s">
        <v>2191</v>
      </c>
      <c r="C988" s="12" t="s">
        <v>2212</v>
      </c>
      <c r="D988" s="12">
        <v>3</v>
      </c>
      <c r="E988" s="125">
        <v>49945635.490000002</v>
      </c>
      <c r="F988" s="12">
        <v>2</v>
      </c>
      <c r="G988" s="125">
        <v>40001249.369999997</v>
      </c>
      <c r="H988" s="12" t="s">
        <v>1448</v>
      </c>
      <c r="I988" s="125">
        <v>38769.730000000003</v>
      </c>
      <c r="J988" s="13">
        <v>42788.647240393519</v>
      </c>
      <c r="K988" s="13">
        <v>43518</v>
      </c>
      <c r="L988" s="12" t="s">
        <v>2213</v>
      </c>
      <c r="M988" s="12"/>
      <c r="N988" s="12"/>
      <c r="O988" s="12"/>
      <c r="P988" s="12"/>
      <c r="Q988" s="12"/>
    </row>
    <row r="989" spans="1:17" x14ac:dyDescent="0.25">
      <c r="A989" s="11">
        <v>200850</v>
      </c>
      <c r="B989" s="12" t="s">
        <v>1937</v>
      </c>
      <c r="C989" s="12" t="s">
        <v>1944</v>
      </c>
      <c r="D989" s="12">
        <v>3</v>
      </c>
      <c r="E989" s="125">
        <v>36354348.030000001</v>
      </c>
      <c r="F989" s="12">
        <v>2</v>
      </c>
      <c r="G989" s="125">
        <v>31010996.25</v>
      </c>
      <c r="H989" s="12" t="s">
        <v>1925</v>
      </c>
      <c r="I989" s="125">
        <v>958635.78</v>
      </c>
      <c r="J989" s="13">
        <v>42788.646414814815</v>
      </c>
      <c r="K989" s="13">
        <v>43334</v>
      </c>
      <c r="L989" s="12" t="s">
        <v>1945</v>
      </c>
      <c r="M989" s="12"/>
      <c r="N989" s="12" t="s">
        <v>1946</v>
      </c>
      <c r="O989" s="12"/>
      <c r="P989" s="12"/>
      <c r="Q989" s="12"/>
    </row>
    <row r="990" spans="1:17" x14ac:dyDescent="0.25">
      <c r="A990" s="11">
        <v>200851</v>
      </c>
      <c r="B990" s="12" t="s">
        <v>4174</v>
      </c>
      <c r="C990" s="12" t="s">
        <v>4176</v>
      </c>
      <c r="D990" s="12">
        <v>3</v>
      </c>
      <c r="E990" s="125">
        <v>36609020.359999999</v>
      </c>
      <c r="F990" s="12">
        <v>23</v>
      </c>
      <c r="G990" s="125">
        <v>27690200.07</v>
      </c>
      <c r="H990" s="12" t="s">
        <v>2034</v>
      </c>
      <c r="I990" s="125">
        <v>1458782.65</v>
      </c>
      <c r="J990" s="13">
        <v>42789.440038194443</v>
      </c>
      <c r="K990" s="13">
        <v>43525</v>
      </c>
      <c r="L990" s="12" t="s">
        <v>4177</v>
      </c>
      <c r="M990" s="12"/>
      <c r="N990" s="12" t="s">
        <v>4178</v>
      </c>
      <c r="O990" s="12"/>
      <c r="P990" s="12"/>
      <c r="Q990" s="12"/>
    </row>
    <row r="991" spans="1:17" x14ac:dyDescent="0.25">
      <c r="A991" s="11">
        <v>200853</v>
      </c>
      <c r="B991" s="12" t="s">
        <v>4232</v>
      </c>
      <c r="C991" s="12" t="s">
        <v>4233</v>
      </c>
      <c r="D991" s="12">
        <v>7</v>
      </c>
      <c r="E991" s="125">
        <v>2203493.9500000002</v>
      </c>
      <c r="F991" s="12">
        <v>18</v>
      </c>
      <c r="G991" s="125">
        <v>1977321.52</v>
      </c>
      <c r="H991" s="12" t="s">
        <v>2861</v>
      </c>
      <c r="I991" s="125">
        <v>50162.36</v>
      </c>
      <c r="J991" s="13">
        <v>42800.46648703704</v>
      </c>
      <c r="K991" s="13">
        <v>43165</v>
      </c>
      <c r="L991" s="12" t="s">
        <v>4234</v>
      </c>
      <c r="M991" s="12"/>
      <c r="N991" s="12" t="s">
        <v>4235</v>
      </c>
      <c r="O991" s="12"/>
      <c r="P991" s="12"/>
      <c r="Q991" s="12"/>
    </row>
    <row r="992" spans="1:17" x14ac:dyDescent="0.25">
      <c r="A992" s="11">
        <v>200854</v>
      </c>
      <c r="B992" s="12" t="s">
        <v>4175</v>
      </c>
      <c r="C992" s="12" t="s">
        <v>4179</v>
      </c>
      <c r="D992" s="12">
        <v>1</v>
      </c>
      <c r="E992" s="125">
        <v>1313017.67</v>
      </c>
      <c r="F992" s="12">
        <v>1</v>
      </c>
      <c r="G992" s="125">
        <v>1180290.77</v>
      </c>
      <c r="H992" s="12" t="s">
        <v>1039</v>
      </c>
      <c r="I992" s="125">
        <v>53113.08</v>
      </c>
      <c r="J992" s="13">
        <v>42789.672435567132</v>
      </c>
      <c r="K992" s="13">
        <v>43154</v>
      </c>
      <c r="L992" s="12" t="s">
        <v>4180</v>
      </c>
      <c r="M992" s="12"/>
      <c r="N992" s="12" t="s">
        <v>4181</v>
      </c>
      <c r="O992" s="12"/>
      <c r="P992" s="12"/>
      <c r="Q992" s="12"/>
    </row>
    <row r="993" spans="1:17" x14ac:dyDescent="0.25">
      <c r="A993" s="11">
        <v>200855</v>
      </c>
      <c r="B993" s="12" t="s">
        <v>2327</v>
      </c>
      <c r="C993" s="12" t="s">
        <v>2335</v>
      </c>
      <c r="D993" s="12">
        <v>1</v>
      </c>
      <c r="E993" s="125">
        <v>4262086.88</v>
      </c>
      <c r="F993" s="12">
        <v>1</v>
      </c>
      <c r="G993" s="125">
        <v>3867732.21</v>
      </c>
      <c r="H993" s="12" t="s">
        <v>1667</v>
      </c>
      <c r="I993" s="125">
        <v>154709.29</v>
      </c>
      <c r="J993" s="13">
        <v>42789.675475694443</v>
      </c>
      <c r="K993" s="13">
        <v>43154</v>
      </c>
      <c r="L993" s="12" t="s">
        <v>2336</v>
      </c>
      <c r="M993" s="12"/>
      <c r="N993" s="12"/>
      <c r="O993" s="12"/>
      <c r="P993" s="12"/>
      <c r="Q993" s="12"/>
    </row>
    <row r="994" spans="1:17" x14ac:dyDescent="0.25">
      <c r="A994" s="11">
        <v>200857</v>
      </c>
      <c r="B994" s="12" t="s">
        <v>4184</v>
      </c>
      <c r="C994" s="12" t="s">
        <v>4189</v>
      </c>
      <c r="D994" s="12">
        <v>1</v>
      </c>
      <c r="E994" s="125">
        <v>758048.28</v>
      </c>
      <c r="F994" s="12">
        <v>61</v>
      </c>
      <c r="G994" s="125">
        <v>709786.29</v>
      </c>
      <c r="H994" s="12" t="s">
        <v>546</v>
      </c>
      <c r="I994" s="125">
        <v>48261.99</v>
      </c>
      <c r="J994" s="13">
        <v>42790.634258680555</v>
      </c>
      <c r="K994" s="13">
        <v>43032</v>
      </c>
      <c r="L994" s="12" t="s">
        <v>4190</v>
      </c>
      <c r="M994" s="12"/>
      <c r="N994" s="12"/>
      <c r="O994" s="12"/>
      <c r="P994" s="12"/>
      <c r="Q994" s="12"/>
    </row>
    <row r="995" spans="1:17" x14ac:dyDescent="0.25">
      <c r="A995" s="11">
        <v>200859</v>
      </c>
      <c r="B995" s="12" t="s">
        <v>2279</v>
      </c>
      <c r="C995" s="12" t="s">
        <v>2284</v>
      </c>
      <c r="D995" s="12">
        <v>1</v>
      </c>
      <c r="E995" s="125">
        <v>2576923.31</v>
      </c>
      <c r="F995" s="12">
        <v>-7</v>
      </c>
      <c r="G995" s="125">
        <v>2338490.4</v>
      </c>
      <c r="H995" s="12" t="s">
        <v>4684</v>
      </c>
      <c r="I995" s="125">
        <v>68595.72</v>
      </c>
      <c r="J995" s="13">
        <v>42791.547885219908</v>
      </c>
      <c r="K995" s="13">
        <v>43160</v>
      </c>
      <c r="L995" s="12" t="s">
        <v>2285</v>
      </c>
      <c r="M995" s="12"/>
      <c r="N995" s="12" t="s">
        <v>2286</v>
      </c>
      <c r="O995" s="12"/>
      <c r="P995" s="12"/>
      <c r="Q995" s="12"/>
    </row>
    <row r="996" spans="1:17" x14ac:dyDescent="0.25">
      <c r="A996" s="11">
        <v>200861</v>
      </c>
      <c r="B996" s="12" t="s">
        <v>4191</v>
      </c>
      <c r="C996" s="12" t="s">
        <v>4195</v>
      </c>
      <c r="D996" s="12">
        <v>1</v>
      </c>
      <c r="E996" s="125">
        <v>1106106.78</v>
      </c>
      <c r="F996" s="12">
        <v>-7</v>
      </c>
      <c r="G996" s="125">
        <v>992046.62</v>
      </c>
      <c r="H996" s="12" t="s">
        <v>2538</v>
      </c>
      <c r="I996" s="125">
        <v>32737.54</v>
      </c>
      <c r="J996" s="13">
        <v>42791.544452974536</v>
      </c>
      <c r="K996" s="13">
        <v>43160</v>
      </c>
      <c r="L996" s="12" t="s">
        <v>4196</v>
      </c>
      <c r="M996" s="12"/>
      <c r="N996" s="12" t="s">
        <v>4197</v>
      </c>
      <c r="O996" s="12"/>
      <c r="P996" s="12"/>
      <c r="Q996" s="12"/>
    </row>
    <row r="997" spans="1:17" x14ac:dyDescent="0.25">
      <c r="A997" s="11">
        <v>200863</v>
      </c>
      <c r="B997" s="12" t="s">
        <v>2361</v>
      </c>
      <c r="C997" s="12" t="s">
        <v>2368</v>
      </c>
      <c r="D997" s="12">
        <v>1</v>
      </c>
      <c r="E997" s="125">
        <v>5137817.6399999997</v>
      </c>
      <c r="F997" s="12">
        <v>146</v>
      </c>
      <c r="G997" s="125">
        <v>4462763.1399999997</v>
      </c>
      <c r="H997" s="12" t="s">
        <v>2538</v>
      </c>
      <c r="I997" s="125">
        <v>264135.77</v>
      </c>
      <c r="J997" s="13">
        <v>42793.702722534719</v>
      </c>
      <c r="K997" s="13">
        <v>43101</v>
      </c>
      <c r="L997" s="12" t="s">
        <v>2369</v>
      </c>
      <c r="M997" s="12"/>
      <c r="N997" s="12"/>
      <c r="O997" s="12"/>
      <c r="P997" s="12"/>
      <c r="Q997" s="12"/>
    </row>
    <row r="998" spans="1:17" x14ac:dyDescent="0.25">
      <c r="A998" s="11">
        <v>200864</v>
      </c>
      <c r="B998" s="12" t="s">
        <v>4199</v>
      </c>
      <c r="C998" s="12" t="s">
        <v>4203</v>
      </c>
      <c r="D998" s="12">
        <v>1</v>
      </c>
      <c r="E998" s="125">
        <v>4422751.05</v>
      </c>
      <c r="F998" s="12">
        <v>23</v>
      </c>
      <c r="G998" s="125">
        <v>3967809.01</v>
      </c>
      <c r="H998" s="12" t="s">
        <v>1447</v>
      </c>
      <c r="I998" s="125">
        <v>130577.44</v>
      </c>
      <c r="J998" s="13">
        <v>42793.760730439812</v>
      </c>
      <c r="K998" s="13">
        <v>43160</v>
      </c>
      <c r="L998" s="12" t="s">
        <v>4204</v>
      </c>
      <c r="M998" s="12"/>
      <c r="N998" s="12" t="s">
        <v>4205</v>
      </c>
      <c r="O998" s="12"/>
      <c r="P998" s="12"/>
      <c r="Q998" s="12"/>
    </row>
    <row r="999" spans="1:17" x14ac:dyDescent="0.25">
      <c r="A999" s="11">
        <v>200867</v>
      </c>
      <c r="B999" s="12" t="s">
        <v>4214</v>
      </c>
      <c r="C999" s="12" t="s">
        <v>4215</v>
      </c>
      <c r="D999" s="12">
        <v>1</v>
      </c>
      <c r="E999" s="125">
        <v>1321661.18</v>
      </c>
      <c r="F999" s="12">
        <v>-7</v>
      </c>
      <c r="G999" s="125">
        <v>1185373.3700000001</v>
      </c>
      <c r="H999" s="12" t="s">
        <v>1925</v>
      </c>
      <c r="I999" s="125">
        <v>39117.32</v>
      </c>
      <c r="J999" s="13">
        <v>42794.632678125003</v>
      </c>
      <c r="K999" s="13">
        <v>43160</v>
      </c>
      <c r="L999" s="12" t="s">
        <v>4216</v>
      </c>
      <c r="M999" s="12"/>
      <c r="N999" s="12" t="s">
        <v>4217</v>
      </c>
      <c r="O999" s="12"/>
      <c r="P999" s="12"/>
      <c r="Q999" s="12"/>
    </row>
    <row r="1000" spans="1:17" x14ac:dyDescent="0.25">
      <c r="A1000" s="11">
        <v>200868</v>
      </c>
      <c r="B1000" s="12" t="s">
        <v>4218</v>
      </c>
      <c r="C1000" s="12" t="s">
        <v>4219</v>
      </c>
      <c r="D1000" s="12">
        <v>1</v>
      </c>
      <c r="E1000" s="125">
        <v>3083876.17</v>
      </c>
      <c r="F1000" s="12">
        <v>-7</v>
      </c>
      <c r="G1000" s="125">
        <v>2765871.25</v>
      </c>
      <c r="H1000" s="12" t="s">
        <v>3074</v>
      </c>
      <c r="I1000" s="125">
        <v>91273.75</v>
      </c>
      <c r="J1000" s="13">
        <v>42794.750202118055</v>
      </c>
      <c r="K1000" s="13">
        <v>43160</v>
      </c>
      <c r="L1000" s="12" t="s">
        <v>4220</v>
      </c>
      <c r="M1000" s="12"/>
      <c r="N1000" s="12" t="s">
        <v>4221</v>
      </c>
      <c r="O1000" s="12"/>
      <c r="P1000" s="12"/>
      <c r="Q1000" s="12"/>
    </row>
    <row r="1001" spans="1:17" x14ac:dyDescent="0.25">
      <c r="A1001" s="11">
        <v>200870</v>
      </c>
      <c r="B1001" s="12" t="s">
        <v>2193</v>
      </c>
      <c r="C1001" s="12" t="s">
        <v>2201</v>
      </c>
      <c r="D1001" s="12">
        <v>3</v>
      </c>
      <c r="E1001" s="125">
        <v>16136356.699999999</v>
      </c>
      <c r="F1001" s="12">
        <v>-8</v>
      </c>
      <c r="G1001" s="125">
        <v>14995106.439999999</v>
      </c>
      <c r="H1001" s="12" t="s">
        <v>1448</v>
      </c>
      <c r="I1001" s="125">
        <v>314897.24</v>
      </c>
      <c r="J1001" s="13">
        <v>42794.796723761574</v>
      </c>
      <c r="K1001" s="13">
        <v>43161</v>
      </c>
      <c r="L1001" s="12" t="s">
        <v>2202</v>
      </c>
      <c r="M1001" s="12"/>
      <c r="N1001" s="12"/>
      <c r="O1001" s="12"/>
      <c r="P1001" s="12"/>
      <c r="Q1001" s="12"/>
    </row>
    <row r="1002" spans="1:17" x14ac:dyDescent="0.25">
      <c r="A1002" s="11">
        <v>200871</v>
      </c>
      <c r="B1002" s="12" t="s">
        <v>2517</v>
      </c>
      <c r="C1002" s="12" t="s">
        <v>2522</v>
      </c>
      <c r="D1002" s="12">
        <v>1</v>
      </c>
      <c r="E1002" s="125">
        <v>1497467.85</v>
      </c>
      <c r="F1002" s="12">
        <v>-7</v>
      </c>
      <c r="G1002" s="125">
        <v>1358912.85</v>
      </c>
      <c r="H1002" s="12" t="s">
        <v>1909</v>
      </c>
      <c r="I1002" s="125">
        <v>39861.440000000002</v>
      </c>
      <c r="J1002" s="13">
        <v>42794.869916053241</v>
      </c>
      <c r="K1002" s="13">
        <v>43160</v>
      </c>
      <c r="L1002" s="12" t="s">
        <v>2523</v>
      </c>
      <c r="M1002" s="12" t="s">
        <v>2524</v>
      </c>
      <c r="N1002" s="12"/>
      <c r="O1002" s="12"/>
      <c r="P1002" s="12"/>
      <c r="Q1002" s="12"/>
    </row>
    <row r="1003" spans="1:17" x14ac:dyDescent="0.25">
      <c r="A1003" s="11">
        <v>200872</v>
      </c>
      <c r="B1003" s="12" t="s">
        <v>4222</v>
      </c>
      <c r="C1003" s="12" t="s">
        <v>4223</v>
      </c>
      <c r="D1003" s="12">
        <v>3</v>
      </c>
      <c r="E1003" s="125">
        <v>34375664.490000002</v>
      </c>
      <c r="F1003" s="12">
        <v>-7</v>
      </c>
      <c r="G1003" s="125">
        <v>26312205.27</v>
      </c>
      <c r="H1003" s="12" t="s">
        <v>2034</v>
      </c>
      <c r="I1003" s="125">
        <v>643187.24</v>
      </c>
      <c r="J1003" s="13">
        <v>42794.843159108794</v>
      </c>
      <c r="K1003" s="13">
        <v>43525</v>
      </c>
      <c r="L1003" s="12" t="s">
        <v>4224</v>
      </c>
      <c r="M1003" s="12"/>
      <c r="N1003" s="12" t="s">
        <v>4225</v>
      </c>
      <c r="O1003" s="12"/>
      <c r="P1003" s="12"/>
      <c r="Q1003" s="12"/>
    </row>
    <row r="1004" spans="1:17" x14ac:dyDescent="0.25">
      <c r="A1004" s="11">
        <v>200875</v>
      </c>
      <c r="B1004" s="12" t="s">
        <v>4208</v>
      </c>
      <c r="C1004" s="12" t="s">
        <v>4229</v>
      </c>
      <c r="D1004" s="12">
        <v>2</v>
      </c>
      <c r="E1004" s="125">
        <v>12591753.99</v>
      </c>
      <c r="F1004" s="12">
        <v>-8</v>
      </c>
      <c r="G1004" s="125">
        <v>10796627.99</v>
      </c>
      <c r="H1004" s="12" t="s">
        <v>2538</v>
      </c>
      <c r="I1004" s="125">
        <v>302305.58</v>
      </c>
      <c r="J1004" s="13">
        <v>42796.665665277775</v>
      </c>
      <c r="K1004" s="13">
        <v>43253</v>
      </c>
      <c r="L1004" s="12" t="s">
        <v>4230</v>
      </c>
      <c r="M1004" s="12"/>
      <c r="N1004" s="12" t="s">
        <v>4231</v>
      </c>
      <c r="O1004" s="12"/>
      <c r="P1004" s="12"/>
      <c r="Q1004" s="12"/>
    </row>
    <row r="1005" spans="1:17" x14ac:dyDescent="0.25">
      <c r="A1005" s="11">
        <v>200878</v>
      </c>
      <c r="B1005" s="12" t="s">
        <v>4236</v>
      </c>
      <c r="C1005" s="12" t="s">
        <v>4237</v>
      </c>
      <c r="D1005" s="12">
        <v>2</v>
      </c>
      <c r="E1005" s="125">
        <v>8235413.6399999997</v>
      </c>
      <c r="F1005" s="12">
        <v>17</v>
      </c>
      <c r="G1005" s="125">
        <v>7589621.4900000002</v>
      </c>
      <c r="H1005" s="12" t="s">
        <v>1447</v>
      </c>
      <c r="I1005" s="125">
        <v>146843.25</v>
      </c>
      <c r="J1005" s="13">
        <v>42801.530226932868</v>
      </c>
      <c r="K1005" s="13">
        <v>43166</v>
      </c>
      <c r="L1005" s="12" t="s">
        <v>4238</v>
      </c>
      <c r="M1005" s="12"/>
      <c r="N1005" s="12" t="s">
        <v>4239</v>
      </c>
      <c r="O1005" s="12"/>
      <c r="P1005" s="12"/>
      <c r="Q1005" s="12"/>
    </row>
    <row r="1006" spans="1:17" x14ac:dyDescent="0.25">
      <c r="A1006" s="11">
        <v>200879</v>
      </c>
      <c r="B1006" s="12" t="s">
        <v>2449</v>
      </c>
      <c r="C1006" s="12" t="s">
        <v>2450</v>
      </c>
      <c r="D1006" s="12">
        <v>8</v>
      </c>
      <c r="E1006" s="125">
        <v>3350603.44</v>
      </c>
      <c r="F1006" s="12">
        <v>17</v>
      </c>
      <c r="G1006" s="125">
        <v>3065182.74</v>
      </c>
      <c r="H1006" s="12" t="s">
        <v>1925</v>
      </c>
      <c r="I1006" s="125">
        <v>59813.2</v>
      </c>
      <c r="J1006" s="13">
        <v>42801.65197885417</v>
      </c>
      <c r="K1006" s="13">
        <v>43166</v>
      </c>
      <c r="L1006" s="12" t="s">
        <v>2451</v>
      </c>
      <c r="M1006" s="12"/>
      <c r="N1006" s="12"/>
      <c r="O1006" s="12"/>
      <c r="P1006" s="12"/>
      <c r="Q1006" s="12"/>
    </row>
    <row r="1007" spans="1:17" x14ac:dyDescent="0.25">
      <c r="A1007" s="11">
        <v>200883</v>
      </c>
      <c r="B1007" s="12" t="s">
        <v>4243</v>
      </c>
      <c r="C1007" s="12" t="s">
        <v>4244</v>
      </c>
      <c r="D1007" s="12">
        <v>1</v>
      </c>
      <c r="E1007" s="125">
        <v>1140356.5</v>
      </c>
      <c r="F1007" s="12">
        <v>9</v>
      </c>
      <c r="G1007" s="125">
        <v>1027270.28</v>
      </c>
      <c r="H1007" s="12" t="s">
        <v>1447</v>
      </c>
      <c r="I1007" s="125">
        <v>11802.91</v>
      </c>
      <c r="J1007" s="13">
        <v>42809.655407835649</v>
      </c>
      <c r="K1007" s="13">
        <v>43174</v>
      </c>
      <c r="L1007" s="12" t="s">
        <v>4245</v>
      </c>
      <c r="M1007" s="12"/>
      <c r="N1007" s="12" t="s">
        <v>4246</v>
      </c>
      <c r="O1007" s="12"/>
      <c r="P1007" s="12"/>
      <c r="Q1007" s="12"/>
    </row>
    <row r="1008" spans="1:17" x14ac:dyDescent="0.25">
      <c r="A1008" s="11">
        <v>200884</v>
      </c>
      <c r="B1008" s="12" t="s">
        <v>4248</v>
      </c>
      <c r="C1008" s="12" t="s">
        <v>4249</v>
      </c>
      <c r="D1008" s="12">
        <v>6</v>
      </c>
      <c r="E1008" s="125">
        <v>14346007.59</v>
      </c>
      <c r="F1008" s="12">
        <v>-22</v>
      </c>
      <c r="G1008" s="125">
        <v>13225793.949999999</v>
      </c>
      <c r="H1008" s="12" t="s">
        <v>1448</v>
      </c>
      <c r="I1008" s="125">
        <v>102867.29</v>
      </c>
      <c r="J1008" s="13">
        <v>42810.64776403935</v>
      </c>
      <c r="K1008" s="13">
        <v>43175</v>
      </c>
      <c r="L1008" s="12" t="s">
        <v>4250</v>
      </c>
      <c r="M1008" s="12"/>
      <c r="N1008" s="12" t="s">
        <v>4251</v>
      </c>
      <c r="O1008" s="12"/>
      <c r="P1008" s="12"/>
      <c r="Q1008" s="12"/>
    </row>
    <row r="1009" spans="1:17" x14ac:dyDescent="0.25">
      <c r="A1009" s="11">
        <v>200886</v>
      </c>
      <c r="B1009" s="12" t="s">
        <v>2195</v>
      </c>
      <c r="C1009" s="12" t="s">
        <v>2198</v>
      </c>
      <c r="D1009" s="12">
        <v>1</v>
      </c>
      <c r="E1009" s="125">
        <v>4262086.88</v>
      </c>
      <c r="F1009" s="12">
        <v>-22</v>
      </c>
      <c r="G1009" s="125">
        <v>3867732.21</v>
      </c>
      <c r="H1009" s="12" t="s">
        <v>1909</v>
      </c>
      <c r="I1009" s="125">
        <v>36098.83</v>
      </c>
      <c r="J1009" s="13">
        <v>42810.74490528935</v>
      </c>
      <c r="K1009" s="13">
        <v>43175</v>
      </c>
      <c r="L1009" s="12" t="s">
        <v>2199</v>
      </c>
      <c r="M1009" s="12"/>
      <c r="N1009" s="12" t="s">
        <v>2200</v>
      </c>
      <c r="O1009" s="12"/>
      <c r="P1009" s="12"/>
      <c r="Q1009" s="12"/>
    </row>
    <row r="1010" spans="1:17" x14ac:dyDescent="0.25">
      <c r="A1010" s="11">
        <v>200887</v>
      </c>
      <c r="B1010" s="12" t="s">
        <v>4255</v>
      </c>
      <c r="C1010" s="12" t="s">
        <v>4257</v>
      </c>
      <c r="D1010" s="12">
        <v>1</v>
      </c>
      <c r="E1010" s="125">
        <v>5409650.0700000003</v>
      </c>
      <c r="F1010" s="12">
        <v>7</v>
      </c>
      <c r="G1010" s="125">
        <v>4936424.45</v>
      </c>
      <c r="H1010" s="12" t="s">
        <v>4684</v>
      </c>
      <c r="I1010" s="125">
        <v>37130.230000000003</v>
      </c>
      <c r="J1010" s="13">
        <v>42811.448582094905</v>
      </c>
      <c r="K1010" s="13">
        <v>43176</v>
      </c>
      <c r="L1010" s="12" t="s">
        <v>4258</v>
      </c>
      <c r="M1010" s="12" t="s">
        <v>4259</v>
      </c>
      <c r="N1010" s="12"/>
      <c r="O1010" s="12"/>
      <c r="P1010" s="12"/>
      <c r="Q1010" s="12"/>
    </row>
    <row r="1011" spans="1:17" x14ac:dyDescent="0.25">
      <c r="A1011" s="11">
        <v>200888</v>
      </c>
      <c r="B1011" s="12" t="s">
        <v>2061</v>
      </c>
      <c r="C1011" s="12" t="s">
        <v>2064</v>
      </c>
      <c r="D1011" s="12">
        <v>1</v>
      </c>
      <c r="E1011" s="125">
        <v>2131043.5</v>
      </c>
      <c r="F1011" s="12">
        <v>-23</v>
      </c>
      <c r="G1011" s="125">
        <v>1933866.15</v>
      </c>
      <c r="H1011" s="12" t="s">
        <v>1448</v>
      </c>
      <c r="I1011" s="125">
        <v>15470.93</v>
      </c>
      <c r="J1011" s="13">
        <v>42811.544827858794</v>
      </c>
      <c r="K1011" s="13">
        <v>43176</v>
      </c>
      <c r="L1011" s="12" t="s">
        <v>2065</v>
      </c>
      <c r="M1011" s="12"/>
      <c r="N1011" s="12"/>
      <c r="O1011" s="12"/>
      <c r="P1011" s="12"/>
      <c r="Q1011" s="12"/>
    </row>
    <row r="1012" spans="1:17" x14ac:dyDescent="0.25">
      <c r="A1012" s="11">
        <v>200889</v>
      </c>
      <c r="B1012" s="12" t="s">
        <v>3123</v>
      </c>
      <c r="C1012" s="12" t="s">
        <v>3124</v>
      </c>
      <c r="D1012" s="12">
        <v>1</v>
      </c>
      <c r="E1012" s="125">
        <v>2397423.85</v>
      </c>
      <c r="F1012" s="12">
        <v>7</v>
      </c>
      <c r="G1012" s="125">
        <v>2134581.0099999998</v>
      </c>
      <c r="H1012" s="12" t="s">
        <v>1909</v>
      </c>
      <c r="I1012" s="125">
        <v>99307.08</v>
      </c>
      <c r="J1012" s="13">
        <v>42811.654107326387</v>
      </c>
      <c r="K1012" s="13">
        <v>43176</v>
      </c>
      <c r="L1012" s="12" t="s">
        <v>3125</v>
      </c>
      <c r="M1012" s="12"/>
      <c r="N1012" s="12"/>
      <c r="O1012" s="12"/>
      <c r="P1012" s="12"/>
      <c r="Q1012" s="12"/>
    </row>
    <row r="1013" spans="1:17" x14ac:dyDescent="0.25">
      <c r="A1013" s="11">
        <v>200891</v>
      </c>
      <c r="B1013" s="12" t="s">
        <v>4256</v>
      </c>
      <c r="C1013" s="12" t="s">
        <v>4260</v>
      </c>
      <c r="D1013" s="12">
        <v>6</v>
      </c>
      <c r="E1013" s="125">
        <v>9047411.2200000007</v>
      </c>
      <c r="F1013" s="12">
        <v>7</v>
      </c>
      <c r="G1013" s="125">
        <v>7957020.1600000001</v>
      </c>
      <c r="H1013" s="12" t="s">
        <v>2855</v>
      </c>
      <c r="I1013" s="125">
        <v>52790.12</v>
      </c>
      <c r="J1013" s="13">
        <v>42811.759254363424</v>
      </c>
      <c r="K1013" s="13">
        <v>43268</v>
      </c>
      <c r="L1013" s="12" t="s">
        <v>4261</v>
      </c>
      <c r="M1013" s="12"/>
      <c r="N1013" s="12" t="s">
        <v>4262</v>
      </c>
      <c r="O1013" s="12"/>
      <c r="P1013" s="12"/>
      <c r="Q1013" s="12"/>
    </row>
    <row r="1014" spans="1:17" x14ac:dyDescent="0.25">
      <c r="A1014" s="11">
        <v>200892</v>
      </c>
      <c r="B1014" s="12" t="s">
        <v>2714</v>
      </c>
      <c r="C1014" s="12" t="s">
        <v>2726</v>
      </c>
      <c r="D1014" s="12">
        <v>7</v>
      </c>
      <c r="E1014" s="125">
        <v>2336559.19</v>
      </c>
      <c r="F1014" s="12">
        <v>6</v>
      </c>
      <c r="G1014" s="125">
        <v>2134581.0099999998</v>
      </c>
      <c r="H1014" s="12" t="s">
        <v>2494</v>
      </c>
      <c r="I1014" s="125">
        <v>36121.78</v>
      </c>
      <c r="J1014" s="13">
        <v>42812.444238888886</v>
      </c>
      <c r="K1014" s="13">
        <v>43177</v>
      </c>
      <c r="L1014" s="12" t="s">
        <v>2727</v>
      </c>
      <c r="M1014" s="12" t="s">
        <v>2728</v>
      </c>
      <c r="N1014" s="12"/>
      <c r="O1014" s="12"/>
      <c r="P1014" s="12"/>
      <c r="Q1014" s="12"/>
    </row>
    <row r="1015" spans="1:17" x14ac:dyDescent="0.25">
      <c r="A1015" s="11">
        <v>200893</v>
      </c>
      <c r="B1015" s="12" t="s">
        <v>4264</v>
      </c>
      <c r="C1015" s="12" t="s">
        <v>4268</v>
      </c>
      <c r="D1015" s="12">
        <v>7</v>
      </c>
      <c r="E1015" s="125">
        <v>1315994.21</v>
      </c>
      <c r="F1015" s="12">
        <v>-24</v>
      </c>
      <c r="G1015" s="125">
        <v>1180290.77</v>
      </c>
      <c r="H1015" s="12" t="s">
        <v>2557</v>
      </c>
      <c r="I1015" s="125">
        <v>8852.18</v>
      </c>
      <c r="J1015" s="13">
        <v>42812.532050729169</v>
      </c>
      <c r="K1015" s="13">
        <v>43177</v>
      </c>
      <c r="L1015" s="12" t="s">
        <v>4269</v>
      </c>
      <c r="M1015" s="12"/>
      <c r="N1015" s="12"/>
      <c r="O1015" s="12"/>
      <c r="P1015" s="12"/>
      <c r="Q1015" s="12"/>
    </row>
    <row r="1016" spans="1:17" x14ac:dyDescent="0.25">
      <c r="A1016" s="11">
        <v>200894</v>
      </c>
      <c r="B1016" s="12" t="s">
        <v>2372</v>
      </c>
      <c r="C1016" s="12" t="s">
        <v>2377</v>
      </c>
      <c r="D1016" s="12">
        <v>1</v>
      </c>
      <c r="E1016" s="125">
        <v>3196565.14</v>
      </c>
      <c r="F1016" s="12">
        <v>0</v>
      </c>
      <c r="G1016" s="125">
        <v>2846108.03</v>
      </c>
      <c r="H1016" s="12" t="s">
        <v>2861</v>
      </c>
      <c r="I1016" s="125">
        <v>110049.51</v>
      </c>
      <c r="J1016" s="13">
        <v>42818.463421956018</v>
      </c>
      <c r="K1016" s="13">
        <v>43183</v>
      </c>
      <c r="L1016" s="12" t="s">
        <v>2378</v>
      </c>
      <c r="M1016" s="12"/>
      <c r="N1016" s="12"/>
      <c r="O1016" s="12"/>
      <c r="P1016" s="12"/>
      <c r="Q1016" s="12"/>
    </row>
    <row r="1017" spans="1:17" x14ac:dyDescent="0.25">
      <c r="A1017" s="11">
        <v>200896</v>
      </c>
      <c r="B1017" s="12" t="s">
        <v>4283</v>
      </c>
      <c r="C1017" s="12" t="s">
        <v>4290</v>
      </c>
      <c r="D1017" s="12">
        <v>1</v>
      </c>
      <c r="E1017" s="125">
        <v>4287863.2</v>
      </c>
      <c r="F1017" s="12">
        <v>126</v>
      </c>
      <c r="G1017" s="125">
        <v>3723563.01</v>
      </c>
      <c r="H1017" s="12" t="s">
        <v>2034</v>
      </c>
      <c r="I1017" s="125">
        <v>175716.22</v>
      </c>
      <c r="J1017" s="13">
        <v>42815.688522685188</v>
      </c>
      <c r="K1017" s="13">
        <v>43121</v>
      </c>
      <c r="L1017" s="12" t="s">
        <v>4291</v>
      </c>
      <c r="M1017" s="12"/>
      <c r="N1017" s="12"/>
      <c r="O1017" s="12"/>
      <c r="P1017" s="12"/>
      <c r="Q1017" s="12"/>
    </row>
    <row r="1018" spans="1:17" x14ac:dyDescent="0.25">
      <c r="A1018" s="11">
        <v>200897</v>
      </c>
      <c r="B1018" s="12" t="s">
        <v>4280</v>
      </c>
      <c r="C1018" s="12" t="s">
        <v>4292</v>
      </c>
      <c r="D1018" s="12">
        <v>1</v>
      </c>
      <c r="E1018" s="125">
        <v>1767375.21</v>
      </c>
      <c r="F1018" s="12">
        <v>3</v>
      </c>
      <c r="G1018" s="125">
        <v>1586437.27</v>
      </c>
      <c r="H1018" s="12" t="s">
        <v>963</v>
      </c>
      <c r="I1018" s="125">
        <v>91378.92</v>
      </c>
      <c r="J1018" s="13">
        <v>42815.578442905091</v>
      </c>
      <c r="K1018" s="13">
        <v>43180</v>
      </c>
      <c r="L1018" s="12" t="s">
        <v>4293</v>
      </c>
      <c r="M1018" s="12"/>
      <c r="N1018" s="12" t="s">
        <v>4294</v>
      </c>
      <c r="O1018" s="12"/>
      <c r="P1018" s="12"/>
      <c r="Q1018" s="12"/>
    </row>
    <row r="1019" spans="1:17" x14ac:dyDescent="0.25">
      <c r="A1019" s="11">
        <v>200899</v>
      </c>
      <c r="B1019" s="12" t="s">
        <v>4277</v>
      </c>
      <c r="C1019" s="12" t="s">
        <v>4298</v>
      </c>
      <c r="D1019" s="12">
        <v>3</v>
      </c>
      <c r="E1019" s="125">
        <v>45237748.920000002</v>
      </c>
      <c r="F1019" s="12">
        <v>3</v>
      </c>
      <c r="G1019" s="125">
        <v>37358593.020000003</v>
      </c>
      <c r="H1019" s="12" t="s">
        <v>491</v>
      </c>
      <c r="I1019" s="125">
        <v>1321933.8899999999</v>
      </c>
      <c r="J1019" s="13">
        <v>42815.615635185182</v>
      </c>
      <c r="K1019" s="13">
        <v>43364</v>
      </c>
      <c r="L1019" s="12" t="s">
        <v>4299</v>
      </c>
      <c r="M1019" s="12"/>
      <c r="N1019" s="12" t="s">
        <v>4300</v>
      </c>
      <c r="O1019" s="12"/>
      <c r="P1019" s="12"/>
      <c r="Q1019" s="12"/>
    </row>
    <row r="1020" spans="1:17" x14ac:dyDescent="0.25">
      <c r="A1020" s="11">
        <v>200901</v>
      </c>
      <c r="B1020" s="12" t="s">
        <v>4279</v>
      </c>
      <c r="C1020" s="12" t="s">
        <v>4303</v>
      </c>
      <c r="D1020" s="12">
        <v>7</v>
      </c>
      <c r="E1020" s="125">
        <v>1058416.3899999999</v>
      </c>
      <c r="F1020" s="12">
        <v>95</v>
      </c>
      <c r="G1020" s="125">
        <v>982297.53</v>
      </c>
      <c r="H1020" s="12" t="s">
        <v>3074</v>
      </c>
      <c r="I1020" s="125">
        <v>36258.949999999997</v>
      </c>
      <c r="J1020" s="13">
        <v>42815.728533912035</v>
      </c>
      <c r="K1020" s="13">
        <v>43060</v>
      </c>
      <c r="L1020" s="12" t="s">
        <v>4304</v>
      </c>
      <c r="M1020" s="12"/>
      <c r="N1020" s="12"/>
      <c r="O1020" s="12"/>
      <c r="P1020" s="12"/>
      <c r="Q1020" s="12"/>
    </row>
    <row r="1021" spans="1:17" x14ac:dyDescent="0.25">
      <c r="A1021" s="11">
        <v>200902</v>
      </c>
      <c r="B1021" s="12" t="s">
        <v>4308</v>
      </c>
      <c r="C1021" s="12" t="s">
        <v>4314</v>
      </c>
      <c r="D1021" s="12">
        <v>1</v>
      </c>
      <c r="E1021" s="125">
        <v>2741654.74</v>
      </c>
      <c r="F1021" s="12">
        <v>2</v>
      </c>
      <c r="G1021" s="125">
        <v>2407160.11</v>
      </c>
      <c r="H1021" s="12" t="s">
        <v>1447</v>
      </c>
      <c r="I1021" s="125">
        <v>111272.93</v>
      </c>
      <c r="J1021" s="13">
        <v>42816.495054513885</v>
      </c>
      <c r="K1021" s="13">
        <v>43181</v>
      </c>
      <c r="L1021" s="12" t="s">
        <v>4315</v>
      </c>
      <c r="M1021" s="12"/>
      <c r="N1021" s="12" t="s">
        <v>4316</v>
      </c>
      <c r="O1021" s="12"/>
      <c r="P1021" s="12"/>
      <c r="Q1021" s="12"/>
    </row>
    <row r="1022" spans="1:17" x14ac:dyDescent="0.25">
      <c r="A1022" s="11">
        <v>200905</v>
      </c>
      <c r="B1022" s="12" t="s">
        <v>4306</v>
      </c>
      <c r="C1022" s="12" t="s">
        <v>4320</v>
      </c>
      <c r="D1022" s="12">
        <v>1</v>
      </c>
      <c r="E1022" s="125">
        <v>3289985.68</v>
      </c>
      <c r="F1022" s="12">
        <v>2</v>
      </c>
      <c r="G1022" s="125">
        <v>2888592.12</v>
      </c>
      <c r="H1022" s="12" t="s">
        <v>1447</v>
      </c>
      <c r="I1022" s="125">
        <v>133527.51999999999</v>
      </c>
      <c r="J1022" s="13">
        <v>42816.696472187497</v>
      </c>
      <c r="K1022" s="13">
        <v>43181</v>
      </c>
      <c r="L1022" s="12" t="s">
        <v>4321</v>
      </c>
      <c r="M1022" s="12"/>
      <c r="N1022" s="12" t="s">
        <v>4322</v>
      </c>
      <c r="O1022" s="12"/>
      <c r="P1022" s="12"/>
      <c r="Q1022" s="12"/>
    </row>
    <row r="1023" spans="1:17" x14ac:dyDescent="0.25">
      <c r="A1023" s="11">
        <v>200906</v>
      </c>
      <c r="B1023" s="12" t="s">
        <v>2235</v>
      </c>
      <c r="C1023" s="12" t="s">
        <v>2243</v>
      </c>
      <c r="D1023" s="12">
        <v>1</v>
      </c>
      <c r="E1023" s="125">
        <v>3196565.14</v>
      </c>
      <c r="F1023" s="12">
        <v>1</v>
      </c>
      <c r="G1023" s="125">
        <v>2846108.03</v>
      </c>
      <c r="H1023" s="12" t="s">
        <v>1467</v>
      </c>
      <c r="I1023" s="125">
        <v>113844.32</v>
      </c>
      <c r="J1023" s="13">
        <v>42817.435043900463</v>
      </c>
      <c r="K1023" s="13">
        <v>43182</v>
      </c>
      <c r="L1023" s="12" t="s">
        <v>2244</v>
      </c>
      <c r="M1023" s="12"/>
      <c r="N1023" s="12"/>
      <c r="O1023" s="12"/>
      <c r="P1023" s="12"/>
      <c r="Q1023" s="12"/>
    </row>
    <row r="1024" spans="1:17" x14ac:dyDescent="0.25">
      <c r="A1024" s="11">
        <v>200910</v>
      </c>
      <c r="B1024" s="12" t="s">
        <v>2674</v>
      </c>
      <c r="C1024" s="12" t="s">
        <v>2680</v>
      </c>
      <c r="D1024" s="12">
        <v>1</v>
      </c>
      <c r="E1024" s="125">
        <v>5327608.6100000003</v>
      </c>
      <c r="F1024" s="12">
        <v>0</v>
      </c>
      <c r="G1024" s="125">
        <v>4743513.4000000004</v>
      </c>
      <c r="H1024" s="12" t="s">
        <v>2538</v>
      </c>
      <c r="I1024" s="125">
        <v>183415.85</v>
      </c>
      <c r="J1024" s="13">
        <v>42818.709434606484</v>
      </c>
      <c r="K1024" s="13">
        <v>43183</v>
      </c>
      <c r="L1024" s="12" t="s">
        <v>2681</v>
      </c>
      <c r="M1024" s="12"/>
      <c r="N1024" s="12"/>
      <c r="O1024" s="12"/>
      <c r="P1024" s="12"/>
      <c r="Q1024" s="12"/>
    </row>
    <row r="1025" spans="1:17" x14ac:dyDescent="0.25">
      <c r="A1025" s="11">
        <v>200913</v>
      </c>
      <c r="B1025" s="12" t="s">
        <v>4332</v>
      </c>
      <c r="C1025" s="12" t="s">
        <v>4346</v>
      </c>
      <c r="D1025" s="12">
        <v>8</v>
      </c>
      <c r="E1025" s="125">
        <v>2237688.06</v>
      </c>
      <c r="F1025" s="12">
        <v>0</v>
      </c>
      <c r="G1025" s="125">
        <v>2063399.01</v>
      </c>
      <c r="H1025" s="12" t="s">
        <v>2855</v>
      </c>
      <c r="I1025" s="125">
        <v>83109.13</v>
      </c>
      <c r="J1025" s="13">
        <v>42818.746776736109</v>
      </c>
      <c r="K1025" s="13">
        <v>43124</v>
      </c>
      <c r="L1025" s="12" t="s">
        <v>4347</v>
      </c>
      <c r="M1025" s="12"/>
      <c r="N1025" s="12" t="s">
        <v>4348</v>
      </c>
      <c r="O1025" s="12"/>
      <c r="P1025" s="12"/>
      <c r="Q1025" s="12"/>
    </row>
    <row r="1026" spans="1:17" x14ac:dyDescent="0.25">
      <c r="A1026" s="11">
        <v>200916</v>
      </c>
      <c r="B1026" s="12" t="s">
        <v>4329</v>
      </c>
      <c r="C1026" s="12" t="s">
        <v>4349</v>
      </c>
      <c r="D1026" s="12">
        <v>1</v>
      </c>
      <c r="E1026" s="125">
        <v>6141306.5800000001</v>
      </c>
      <c r="F1026" s="12">
        <v>92</v>
      </c>
      <c r="G1026" s="125">
        <v>5063419.8</v>
      </c>
      <c r="H1026" s="12" t="s">
        <v>2034</v>
      </c>
      <c r="I1026" s="125">
        <v>429685.98</v>
      </c>
      <c r="J1026" s="13">
        <v>42818.801787881945</v>
      </c>
      <c r="K1026" s="13">
        <v>43183</v>
      </c>
      <c r="L1026" s="12" t="s">
        <v>4350</v>
      </c>
      <c r="M1026" s="12"/>
      <c r="N1026" s="12" t="s">
        <v>4351</v>
      </c>
      <c r="O1026" s="12"/>
      <c r="P1026" s="12"/>
      <c r="Q1026" s="12"/>
    </row>
    <row r="1027" spans="1:17" x14ac:dyDescent="0.25">
      <c r="A1027" s="11">
        <v>200921</v>
      </c>
      <c r="B1027" s="12" t="s">
        <v>2310</v>
      </c>
      <c r="C1027" s="12" t="s">
        <v>2318</v>
      </c>
      <c r="D1027" s="12">
        <v>1</v>
      </c>
      <c r="E1027" s="125">
        <v>2406472.56</v>
      </c>
      <c r="F1027" s="12">
        <v>30</v>
      </c>
      <c r="G1027" s="125">
        <v>2143629.7200000002</v>
      </c>
      <c r="H1027" s="12" t="s">
        <v>1448</v>
      </c>
      <c r="I1027" s="125">
        <v>79691.02</v>
      </c>
      <c r="J1027" s="13">
        <v>42819.541967210651</v>
      </c>
      <c r="K1027" s="13">
        <v>43184</v>
      </c>
      <c r="L1027" s="12" t="s">
        <v>2319</v>
      </c>
      <c r="M1027" s="12"/>
      <c r="N1027" s="12" t="s">
        <v>2320</v>
      </c>
      <c r="O1027" s="12"/>
      <c r="P1027" s="12"/>
      <c r="Q1027" s="12"/>
    </row>
    <row r="1028" spans="1:17" x14ac:dyDescent="0.25">
      <c r="A1028" s="11">
        <v>200924</v>
      </c>
      <c r="B1028" s="12" t="s">
        <v>4359</v>
      </c>
      <c r="C1028" s="12" t="s">
        <v>4368</v>
      </c>
      <c r="D1028" s="12">
        <v>1</v>
      </c>
      <c r="E1028" s="125">
        <v>2205917.08</v>
      </c>
      <c r="F1028" s="12">
        <v>-7</v>
      </c>
      <c r="G1028" s="125">
        <v>1936784.93</v>
      </c>
      <c r="H1028" s="12" t="s">
        <v>2175</v>
      </c>
      <c r="I1028" s="125">
        <v>63913.9</v>
      </c>
      <c r="J1028" s="13">
        <v>42821.721101736111</v>
      </c>
      <c r="K1028" s="13">
        <v>43191</v>
      </c>
      <c r="L1028" s="12" t="s">
        <v>4369</v>
      </c>
      <c r="M1028" s="12"/>
      <c r="N1028" s="12" t="s">
        <v>4370</v>
      </c>
      <c r="O1028" s="12"/>
      <c r="P1028" s="12"/>
      <c r="Q1028" s="12"/>
    </row>
    <row r="1029" spans="1:17" x14ac:dyDescent="0.25">
      <c r="A1029" s="11">
        <v>200925</v>
      </c>
      <c r="B1029" s="12" t="s">
        <v>2081</v>
      </c>
      <c r="C1029" s="12" t="s">
        <v>2095</v>
      </c>
      <c r="D1029" s="12">
        <v>1</v>
      </c>
      <c r="E1029" s="125">
        <v>5354929.6900000004</v>
      </c>
      <c r="F1029" s="12">
        <v>-7</v>
      </c>
      <c r="G1029" s="125">
        <v>4767839.12</v>
      </c>
      <c r="H1029" s="12" t="s">
        <v>1925</v>
      </c>
      <c r="I1029" s="125">
        <v>139856.60999999999</v>
      </c>
      <c r="J1029" s="13">
        <v>42821.704418634261</v>
      </c>
      <c r="K1029" s="13">
        <v>43191</v>
      </c>
      <c r="L1029" s="12" t="s">
        <v>2096</v>
      </c>
      <c r="M1029" s="12"/>
      <c r="N1029" s="12"/>
      <c r="O1029" s="12"/>
      <c r="P1029" s="12"/>
      <c r="Q1029" s="12"/>
    </row>
    <row r="1030" spans="1:17" x14ac:dyDescent="0.25">
      <c r="A1030" s="11">
        <v>200932</v>
      </c>
      <c r="B1030" s="12" t="s">
        <v>2652</v>
      </c>
      <c r="C1030" s="12" t="s">
        <v>1711</v>
      </c>
      <c r="D1030" s="12">
        <v>1</v>
      </c>
      <c r="E1030" s="125">
        <v>4262763.58</v>
      </c>
      <c r="F1030" s="12">
        <v>19</v>
      </c>
      <c r="G1030" s="125">
        <v>3795487.41</v>
      </c>
      <c r="H1030" s="12" t="s">
        <v>3074</v>
      </c>
      <c r="I1030" s="125">
        <v>91075.46</v>
      </c>
      <c r="J1030" s="13">
        <v>42830.416092280095</v>
      </c>
      <c r="K1030" s="13">
        <v>43195</v>
      </c>
      <c r="L1030" s="12" t="s">
        <v>2653</v>
      </c>
      <c r="M1030" s="12" t="s">
        <v>2654</v>
      </c>
      <c r="N1030" s="12"/>
      <c r="O1030" s="12"/>
      <c r="P1030" s="12"/>
      <c r="Q1030" s="12"/>
    </row>
    <row r="1031" spans="1:17" x14ac:dyDescent="0.25">
      <c r="A1031" s="11">
        <v>200933</v>
      </c>
      <c r="B1031" s="12" t="s">
        <v>4389</v>
      </c>
      <c r="C1031" s="12" t="s">
        <v>4391</v>
      </c>
      <c r="D1031" s="12">
        <v>1</v>
      </c>
      <c r="E1031" s="125">
        <v>2749525.48</v>
      </c>
      <c r="F1031" s="12">
        <v>-7</v>
      </c>
      <c r="G1031" s="125">
        <v>2414070.58</v>
      </c>
      <c r="H1031" s="12" t="s">
        <v>2557</v>
      </c>
      <c r="I1031" s="125">
        <v>79664.33</v>
      </c>
      <c r="J1031" s="13">
        <v>42823.681535451389</v>
      </c>
      <c r="K1031" s="13">
        <v>43191</v>
      </c>
      <c r="L1031" s="12" t="s">
        <v>4392</v>
      </c>
      <c r="M1031" s="12"/>
      <c r="N1031" s="12" t="s">
        <v>4393</v>
      </c>
      <c r="O1031" s="12"/>
      <c r="P1031" s="12"/>
      <c r="Q1031" s="12"/>
    </row>
    <row r="1032" spans="1:17" x14ac:dyDescent="0.25">
      <c r="A1032" s="11">
        <v>200934</v>
      </c>
      <c r="B1032" s="12" t="s">
        <v>3129</v>
      </c>
      <c r="C1032" s="12" t="s">
        <v>3134</v>
      </c>
      <c r="D1032" s="12">
        <v>8</v>
      </c>
      <c r="E1032" s="125">
        <v>5237399</v>
      </c>
      <c r="F1032" s="12">
        <v>-7</v>
      </c>
      <c r="G1032" s="125">
        <v>4707185.05</v>
      </c>
      <c r="H1032" s="12" t="s">
        <v>2861</v>
      </c>
      <c r="I1032" s="125">
        <v>126570.98</v>
      </c>
      <c r="J1032" s="13">
        <v>42823.775273877312</v>
      </c>
      <c r="K1032" s="13">
        <v>43191</v>
      </c>
      <c r="L1032" s="12" t="s">
        <v>3135</v>
      </c>
      <c r="M1032" s="12"/>
      <c r="N1032" s="12"/>
      <c r="O1032" s="12"/>
      <c r="P1032" s="12"/>
      <c r="Q1032" s="12"/>
    </row>
    <row r="1033" spans="1:17" x14ac:dyDescent="0.25">
      <c r="A1033" s="11">
        <v>200936</v>
      </c>
      <c r="B1033" s="12" t="s">
        <v>4390</v>
      </c>
      <c r="C1033" s="12" t="s">
        <v>4394</v>
      </c>
      <c r="D1033" s="12">
        <v>7</v>
      </c>
      <c r="E1033" s="125">
        <v>1520899.56</v>
      </c>
      <c r="F1033" s="12">
        <v>-7</v>
      </c>
      <c r="G1033" s="125">
        <v>1393632.9</v>
      </c>
      <c r="H1033" s="12" t="s">
        <v>2538</v>
      </c>
      <c r="I1033" s="125">
        <v>45989.89</v>
      </c>
      <c r="J1033" s="13">
        <v>42823.669070601849</v>
      </c>
      <c r="K1033" s="13">
        <v>43132</v>
      </c>
      <c r="L1033" s="12" t="s">
        <v>4395</v>
      </c>
      <c r="M1033" s="12"/>
      <c r="N1033" s="12" t="s">
        <v>4396</v>
      </c>
      <c r="O1033" s="12"/>
      <c r="P1033" s="12"/>
      <c r="Q1033" s="12"/>
    </row>
    <row r="1034" spans="1:17" x14ac:dyDescent="0.25">
      <c r="A1034" s="11">
        <v>200937</v>
      </c>
      <c r="B1034" s="12" t="s">
        <v>2950</v>
      </c>
      <c r="C1034" s="12" t="s">
        <v>2951</v>
      </c>
      <c r="D1034" s="12">
        <v>1</v>
      </c>
      <c r="E1034" s="125">
        <v>3471824.96</v>
      </c>
      <c r="F1034" s="12">
        <v>-7</v>
      </c>
      <c r="G1034" s="125">
        <v>3091189.58</v>
      </c>
      <c r="H1034" s="12" t="s">
        <v>1667</v>
      </c>
      <c r="I1034" s="125">
        <v>90674.89</v>
      </c>
      <c r="J1034" s="13">
        <v>42823.716414351853</v>
      </c>
      <c r="K1034" s="13">
        <v>43191</v>
      </c>
      <c r="L1034" s="12" t="s">
        <v>2952</v>
      </c>
      <c r="M1034" s="12"/>
      <c r="N1034" s="12"/>
      <c r="O1034" s="12"/>
      <c r="P1034" s="12"/>
      <c r="Q1034" s="12"/>
    </row>
    <row r="1035" spans="1:17" x14ac:dyDescent="0.25">
      <c r="A1035" s="11">
        <v>200938</v>
      </c>
      <c r="B1035" s="12" t="s">
        <v>4398</v>
      </c>
      <c r="C1035" s="12" t="s">
        <v>4404</v>
      </c>
      <c r="D1035" s="12">
        <v>1</v>
      </c>
      <c r="E1035" s="125">
        <v>970783.42</v>
      </c>
      <c r="F1035" s="12">
        <v>84</v>
      </c>
      <c r="G1035" s="125">
        <v>908977.4</v>
      </c>
      <c r="H1035" s="12" t="s">
        <v>2557</v>
      </c>
      <c r="I1035" s="125">
        <v>61806.02</v>
      </c>
      <c r="J1035" s="13">
        <v>42824.432637303238</v>
      </c>
      <c r="K1035" s="13">
        <v>43009</v>
      </c>
      <c r="L1035" s="12" t="s">
        <v>4405</v>
      </c>
      <c r="M1035" s="12"/>
      <c r="N1035" s="12" t="s">
        <v>4406</v>
      </c>
      <c r="O1035" s="12"/>
      <c r="P1035" s="12"/>
      <c r="Q1035" s="12"/>
    </row>
    <row r="1036" spans="1:17" x14ac:dyDescent="0.25">
      <c r="A1036" s="11">
        <v>200939</v>
      </c>
      <c r="B1036" s="12" t="s">
        <v>4397</v>
      </c>
      <c r="C1036" s="12" t="s">
        <v>4407</v>
      </c>
      <c r="D1036" s="12">
        <v>8</v>
      </c>
      <c r="E1036" s="125">
        <v>2658231.94</v>
      </c>
      <c r="F1036" s="12">
        <v>23</v>
      </c>
      <c r="G1036" s="125">
        <v>2454623.6</v>
      </c>
      <c r="H1036" s="12" t="s">
        <v>1447</v>
      </c>
      <c r="I1036" s="125">
        <v>73654.429999999993</v>
      </c>
      <c r="J1036" s="13">
        <v>42824.447417013886</v>
      </c>
      <c r="K1036" s="13">
        <v>43132</v>
      </c>
      <c r="L1036" s="12" t="s">
        <v>4408</v>
      </c>
      <c r="M1036" s="12"/>
      <c r="N1036" s="12" t="s">
        <v>4409</v>
      </c>
      <c r="O1036" s="12"/>
      <c r="P1036" s="12"/>
      <c r="Q1036" s="12"/>
    </row>
    <row r="1037" spans="1:17" x14ac:dyDescent="0.25">
      <c r="A1037" s="11">
        <v>200941</v>
      </c>
      <c r="B1037" s="12" t="s">
        <v>4399</v>
      </c>
      <c r="C1037" s="12" t="s">
        <v>4412</v>
      </c>
      <c r="D1037" s="12">
        <v>1</v>
      </c>
      <c r="E1037" s="125">
        <v>3037445.46</v>
      </c>
      <c r="F1037" s="12">
        <v>-7</v>
      </c>
      <c r="G1037" s="125">
        <v>2783276.43</v>
      </c>
      <c r="H1037" s="12" t="s">
        <v>1909</v>
      </c>
      <c r="I1037" s="125">
        <v>91848.12</v>
      </c>
      <c r="J1037" s="13">
        <v>42824.665698460645</v>
      </c>
      <c r="K1037" s="13">
        <v>43132</v>
      </c>
      <c r="L1037" s="12" t="s">
        <v>4413</v>
      </c>
      <c r="M1037" s="12"/>
      <c r="N1037" s="12" t="s">
        <v>4414</v>
      </c>
      <c r="O1037" s="12"/>
      <c r="P1037" s="12"/>
      <c r="Q1037" s="12"/>
    </row>
    <row r="1038" spans="1:17" x14ac:dyDescent="0.25">
      <c r="A1038" s="11">
        <v>200942</v>
      </c>
      <c r="B1038" s="12" t="s">
        <v>2486</v>
      </c>
      <c r="C1038" s="12" t="s">
        <v>2487</v>
      </c>
      <c r="D1038" s="12">
        <v>8</v>
      </c>
      <c r="E1038" s="125">
        <v>3196730</v>
      </c>
      <c r="F1038" s="12">
        <v>23</v>
      </c>
      <c r="G1038" s="125">
        <v>2878975.82</v>
      </c>
      <c r="H1038" s="12" t="s">
        <v>2861</v>
      </c>
      <c r="I1038" s="125">
        <v>75853.259999999995</v>
      </c>
      <c r="J1038" s="13">
        <v>42824.708639965276</v>
      </c>
      <c r="K1038" s="13">
        <v>43191</v>
      </c>
      <c r="L1038" s="12" t="s">
        <v>2488</v>
      </c>
      <c r="M1038" s="12"/>
      <c r="N1038" s="12"/>
      <c r="O1038" s="12"/>
      <c r="P1038" s="12"/>
      <c r="Q1038" s="12"/>
    </row>
    <row r="1039" spans="1:17" x14ac:dyDescent="0.25">
      <c r="A1039" s="11">
        <v>200943</v>
      </c>
      <c r="B1039" s="12" t="s">
        <v>4422</v>
      </c>
      <c r="C1039" s="12" t="s">
        <v>4428</v>
      </c>
      <c r="D1039" s="12">
        <v>6</v>
      </c>
      <c r="E1039" s="125">
        <v>20611117.949999999</v>
      </c>
      <c r="F1039" s="12">
        <v>-7</v>
      </c>
      <c r="G1039" s="125">
        <v>17014996.030000001</v>
      </c>
      <c r="H1039" s="12" t="s">
        <v>1467</v>
      </c>
      <c r="I1039" s="125">
        <v>415922.13</v>
      </c>
      <c r="J1039" s="13">
        <v>42825.559319097221</v>
      </c>
      <c r="K1039" s="13">
        <v>43374</v>
      </c>
      <c r="L1039" s="12" t="s">
        <v>4429</v>
      </c>
      <c r="M1039" s="12"/>
      <c r="N1039" s="12" t="s">
        <v>4430</v>
      </c>
      <c r="O1039" s="12"/>
      <c r="P1039" s="12"/>
      <c r="Q1039" s="12"/>
    </row>
    <row r="1040" spans="1:17" x14ac:dyDescent="0.25">
      <c r="A1040" s="11">
        <v>200944</v>
      </c>
      <c r="B1040" s="12" t="s">
        <v>2493</v>
      </c>
      <c r="C1040" s="12" t="s">
        <v>2496</v>
      </c>
      <c r="D1040" s="12">
        <v>1</v>
      </c>
      <c r="E1040" s="125">
        <v>3753231.93</v>
      </c>
      <c r="F1040" s="12">
        <v>-11</v>
      </c>
      <c r="G1040" s="125">
        <v>3341744.36</v>
      </c>
      <c r="H1040" s="12" t="s">
        <v>2494</v>
      </c>
      <c r="I1040" s="125">
        <v>80201.86</v>
      </c>
      <c r="J1040" s="13">
        <v>42825.707775659721</v>
      </c>
      <c r="K1040" s="13">
        <v>43195</v>
      </c>
      <c r="L1040" s="12" t="s">
        <v>2497</v>
      </c>
      <c r="M1040" s="12"/>
      <c r="N1040" s="12" t="s">
        <v>2498</v>
      </c>
      <c r="O1040" s="12"/>
      <c r="P1040" s="12"/>
      <c r="Q1040" s="12"/>
    </row>
    <row r="1041" spans="1:17" x14ac:dyDescent="0.25">
      <c r="A1041" s="11">
        <v>200947</v>
      </c>
      <c r="B1041" s="12" t="s">
        <v>2382</v>
      </c>
      <c r="C1041" s="12" t="s">
        <v>2407</v>
      </c>
      <c r="D1041" s="12">
        <v>1</v>
      </c>
      <c r="E1041" s="125">
        <v>5334438.88</v>
      </c>
      <c r="F1041" s="12">
        <v>-7</v>
      </c>
      <c r="G1041" s="125">
        <v>4749594.84</v>
      </c>
      <c r="H1041" s="12" t="s">
        <v>1667</v>
      </c>
      <c r="I1041" s="125">
        <v>139321.45000000001</v>
      </c>
      <c r="J1041" s="13">
        <v>42825.758884872688</v>
      </c>
      <c r="K1041" s="13">
        <v>43191</v>
      </c>
      <c r="L1041" s="12" t="s">
        <v>2408</v>
      </c>
      <c r="M1041" s="12"/>
      <c r="N1041" s="12" t="s">
        <v>2409</v>
      </c>
      <c r="O1041" s="12"/>
      <c r="P1041" s="12"/>
      <c r="Q1041" s="12"/>
    </row>
    <row r="1042" spans="1:17" x14ac:dyDescent="0.25">
      <c r="A1042" s="11">
        <v>200948</v>
      </c>
      <c r="B1042" s="12" t="s">
        <v>4423</v>
      </c>
      <c r="C1042" s="12" t="s">
        <v>4431</v>
      </c>
      <c r="D1042" s="12">
        <v>8</v>
      </c>
      <c r="E1042" s="125">
        <v>3231857</v>
      </c>
      <c r="F1042" s="12">
        <v>-7</v>
      </c>
      <c r="G1042" s="125">
        <v>2864107.38</v>
      </c>
      <c r="H1042" s="12" t="s">
        <v>2861</v>
      </c>
      <c r="I1042" s="125">
        <v>87514.39</v>
      </c>
      <c r="J1042" s="13">
        <v>42825.769430474538</v>
      </c>
      <c r="K1042" s="13">
        <v>43191</v>
      </c>
      <c r="L1042" s="12" t="s">
        <v>4432</v>
      </c>
      <c r="M1042" s="12"/>
      <c r="N1042" s="12" t="s">
        <v>4433</v>
      </c>
      <c r="O1042" s="12"/>
      <c r="P1042" s="12"/>
      <c r="Q1042" s="12"/>
    </row>
    <row r="1043" spans="1:17" x14ac:dyDescent="0.25">
      <c r="A1043" s="11">
        <v>200949</v>
      </c>
      <c r="B1043" s="12" t="s">
        <v>4415</v>
      </c>
      <c r="C1043" s="12" t="s">
        <v>4434</v>
      </c>
      <c r="D1043" s="12">
        <v>7</v>
      </c>
      <c r="E1043" s="125">
        <v>1518722.72</v>
      </c>
      <c r="F1043" s="12">
        <v>23</v>
      </c>
      <c r="G1043" s="125">
        <v>1362114.19</v>
      </c>
      <c r="H1043" s="12" t="s">
        <v>1467</v>
      </c>
      <c r="I1043" s="125">
        <v>95738.19</v>
      </c>
      <c r="J1043" s="13">
        <v>42825.788788576392</v>
      </c>
      <c r="K1043" s="13">
        <v>43132</v>
      </c>
      <c r="L1043" s="12" t="s">
        <v>4435</v>
      </c>
      <c r="M1043" s="12"/>
      <c r="N1043" s="12"/>
      <c r="O1043" s="12"/>
      <c r="P1043" s="12"/>
      <c r="Q1043" s="12"/>
    </row>
    <row r="1044" spans="1:17" x14ac:dyDescent="0.25">
      <c r="A1044" s="11">
        <v>200951</v>
      </c>
      <c r="B1044" s="12" t="s">
        <v>4419</v>
      </c>
      <c r="C1044" s="12" t="s">
        <v>4436</v>
      </c>
      <c r="D1044" s="12">
        <v>8</v>
      </c>
      <c r="E1044" s="125">
        <v>5336221.82</v>
      </c>
      <c r="F1044" s="12">
        <v>0</v>
      </c>
      <c r="G1044" s="125">
        <v>4729018.76</v>
      </c>
      <c r="H1044" s="12" t="s">
        <v>2557</v>
      </c>
      <c r="I1044" s="125">
        <v>190474.37</v>
      </c>
      <c r="J1044" s="13">
        <v>42825.753275694442</v>
      </c>
      <c r="K1044" s="13">
        <v>43183</v>
      </c>
      <c r="L1044" s="12" t="s">
        <v>4437</v>
      </c>
      <c r="M1044" s="12"/>
      <c r="N1044" s="12" t="s">
        <v>4438</v>
      </c>
      <c r="O1044" s="12"/>
      <c r="P1044" s="12"/>
      <c r="Q1044" s="12"/>
    </row>
    <row r="1045" spans="1:17" x14ac:dyDescent="0.25">
      <c r="A1045" s="11">
        <v>200952</v>
      </c>
      <c r="B1045" s="12" t="s">
        <v>4418</v>
      </c>
      <c r="C1045" s="12" t="s">
        <v>4439</v>
      </c>
      <c r="D1045" s="12">
        <v>6</v>
      </c>
      <c r="E1045" s="125">
        <v>5070795.03</v>
      </c>
      <c r="F1045" s="12">
        <v>-9</v>
      </c>
      <c r="G1045" s="125">
        <v>4457052.66</v>
      </c>
      <c r="H1045" s="12" t="s">
        <v>1667</v>
      </c>
      <c r="I1045" s="125">
        <v>99045.61</v>
      </c>
      <c r="J1045" s="13">
        <v>42825.553923344909</v>
      </c>
      <c r="K1045" s="13">
        <v>43254</v>
      </c>
      <c r="L1045" s="12" t="s">
        <v>4440</v>
      </c>
      <c r="M1045" s="12"/>
      <c r="N1045" s="12" t="s">
        <v>4441</v>
      </c>
      <c r="O1045" s="12"/>
      <c r="P1045" s="12"/>
      <c r="Q1045" s="12"/>
    </row>
    <row r="1046" spans="1:17" x14ac:dyDescent="0.25">
      <c r="A1046" s="11">
        <v>200954</v>
      </c>
      <c r="B1046" s="12" t="s">
        <v>4446</v>
      </c>
      <c r="C1046" s="12" t="s">
        <v>4447</v>
      </c>
      <c r="D1046" s="12">
        <v>8</v>
      </c>
      <c r="E1046" s="125">
        <v>5379255.9100000001</v>
      </c>
      <c r="F1046" s="12">
        <v>-9</v>
      </c>
      <c r="G1046" s="125">
        <v>4767156.04</v>
      </c>
      <c r="H1046" s="12" t="s">
        <v>1909</v>
      </c>
      <c r="I1046" s="125">
        <v>132421</v>
      </c>
      <c r="J1046" s="13">
        <v>42828.483967245367</v>
      </c>
      <c r="K1046" s="13">
        <v>43193</v>
      </c>
      <c r="L1046" s="12" t="s">
        <v>4448</v>
      </c>
      <c r="M1046" s="12" t="s">
        <v>4681</v>
      </c>
      <c r="N1046" s="12"/>
      <c r="O1046" s="12"/>
      <c r="P1046" s="12"/>
      <c r="Q1046" s="12"/>
    </row>
    <row r="1047" spans="1:17" x14ac:dyDescent="0.25">
      <c r="A1047" s="11">
        <v>200955</v>
      </c>
      <c r="B1047" s="12" t="s">
        <v>4444</v>
      </c>
      <c r="C1047" s="12" t="s">
        <v>4449</v>
      </c>
      <c r="D1047" s="12">
        <v>2</v>
      </c>
      <c r="E1047" s="125">
        <v>28947651.800000001</v>
      </c>
      <c r="F1047" s="12">
        <v>174</v>
      </c>
      <c r="G1047" s="125">
        <v>23336195.68</v>
      </c>
      <c r="H1047" s="12" t="s">
        <v>491</v>
      </c>
      <c r="I1047" s="125">
        <v>1459297.43</v>
      </c>
      <c r="J1047" s="13">
        <v>42828.658962187503</v>
      </c>
      <c r="K1047" s="13">
        <v>43193</v>
      </c>
      <c r="L1047" s="12" t="s">
        <v>4450</v>
      </c>
      <c r="M1047" s="12"/>
      <c r="N1047" s="12" t="s">
        <v>4451</v>
      </c>
      <c r="O1047" s="12"/>
      <c r="P1047" s="12"/>
      <c r="Q1047" s="12"/>
    </row>
    <row r="1048" spans="1:17" x14ac:dyDescent="0.25">
      <c r="A1048" s="11">
        <v>200956</v>
      </c>
      <c r="B1048" s="12" t="s">
        <v>4445</v>
      </c>
      <c r="C1048" s="12" t="s">
        <v>4452</v>
      </c>
      <c r="D1048" s="12">
        <v>2</v>
      </c>
      <c r="E1048" s="125">
        <v>26067798.329999998</v>
      </c>
      <c r="F1048" s="12">
        <v>-9</v>
      </c>
      <c r="G1048" s="125">
        <v>20760576.370000001</v>
      </c>
      <c r="H1048" s="12" t="s">
        <v>1447</v>
      </c>
      <c r="I1048" s="125">
        <v>553615.37</v>
      </c>
      <c r="J1048" s="13">
        <v>42828.67673634259</v>
      </c>
      <c r="K1048" s="13">
        <v>43376</v>
      </c>
      <c r="L1048" s="12" t="s">
        <v>4453</v>
      </c>
      <c r="M1048" s="12"/>
      <c r="N1048" s="12" t="s">
        <v>4454</v>
      </c>
      <c r="O1048" s="12"/>
      <c r="P1048" s="12"/>
      <c r="Q1048" s="12"/>
    </row>
    <row r="1049" spans="1:17" x14ac:dyDescent="0.25">
      <c r="A1049" s="11">
        <v>200958</v>
      </c>
      <c r="B1049" s="12" t="s">
        <v>4456</v>
      </c>
      <c r="C1049" s="12" t="s">
        <v>4457</v>
      </c>
      <c r="D1049" s="12">
        <v>6</v>
      </c>
      <c r="E1049" s="125">
        <v>26004787.559999999</v>
      </c>
      <c r="F1049" s="12">
        <v>-10</v>
      </c>
      <c r="G1049" s="125">
        <v>19610025.949999999</v>
      </c>
      <c r="H1049" s="12" t="s">
        <v>1447</v>
      </c>
      <c r="I1049" s="125">
        <v>413989.44</v>
      </c>
      <c r="J1049" s="13">
        <v>42829.434922488428</v>
      </c>
      <c r="K1049" s="13">
        <v>43559</v>
      </c>
      <c r="L1049" s="12" t="s">
        <v>4458</v>
      </c>
      <c r="M1049" s="12"/>
      <c r="N1049" s="12" t="s">
        <v>4459</v>
      </c>
      <c r="O1049" s="12"/>
      <c r="P1049" s="12"/>
      <c r="Q1049" s="12"/>
    </row>
    <row r="1050" spans="1:17" x14ac:dyDescent="0.25">
      <c r="A1050" s="11">
        <v>200960</v>
      </c>
      <c r="B1050" s="12" t="s">
        <v>4455</v>
      </c>
      <c r="C1050" s="12" t="s">
        <v>4460</v>
      </c>
      <c r="D1050" s="12">
        <v>1</v>
      </c>
      <c r="E1050" s="125">
        <v>947841.22</v>
      </c>
      <c r="F1050" s="12">
        <v>-10</v>
      </c>
      <c r="G1050" s="125">
        <v>868527.23</v>
      </c>
      <c r="H1050" s="12" t="s">
        <v>1909</v>
      </c>
      <c r="I1050" s="125">
        <v>24753.03</v>
      </c>
      <c r="J1050" s="13">
        <v>42829.592091631945</v>
      </c>
      <c r="K1050" s="13">
        <v>43135</v>
      </c>
      <c r="L1050" s="12" t="s">
        <v>4461</v>
      </c>
      <c r="M1050" s="12"/>
      <c r="N1050" s="12" t="s">
        <v>4462</v>
      </c>
      <c r="O1050" s="12"/>
      <c r="P1050" s="12"/>
      <c r="Q1050" s="12"/>
    </row>
    <row r="1051" spans="1:17" x14ac:dyDescent="0.25">
      <c r="A1051" s="11">
        <v>200961</v>
      </c>
      <c r="B1051" s="12" t="s">
        <v>2459</v>
      </c>
      <c r="C1051" s="12" t="s">
        <v>2460</v>
      </c>
      <c r="D1051" s="12">
        <v>1</v>
      </c>
      <c r="E1051" s="125">
        <v>5327608.6100000003</v>
      </c>
      <c r="F1051" s="12">
        <v>-11</v>
      </c>
      <c r="G1051" s="125">
        <v>4743513.4000000004</v>
      </c>
      <c r="H1051" s="12" t="s">
        <v>1667</v>
      </c>
      <c r="I1051" s="125">
        <v>113844.32</v>
      </c>
      <c r="J1051" s="13">
        <v>42830.696861655095</v>
      </c>
      <c r="K1051" s="13">
        <v>43195</v>
      </c>
      <c r="L1051" s="12" t="s">
        <v>2461</v>
      </c>
      <c r="M1051" s="12"/>
      <c r="N1051" s="12"/>
      <c r="O1051" s="12"/>
      <c r="P1051" s="12"/>
      <c r="Q1051" s="12"/>
    </row>
    <row r="1052" spans="1:17" x14ac:dyDescent="0.25">
      <c r="A1052" s="11">
        <v>200962</v>
      </c>
      <c r="B1052" s="12" t="s">
        <v>4464</v>
      </c>
      <c r="C1052" s="12" t="s">
        <v>4468</v>
      </c>
      <c r="D1052" s="12">
        <v>1</v>
      </c>
      <c r="E1052" s="125">
        <v>5483309.4000000004</v>
      </c>
      <c r="F1052" s="12">
        <v>-12</v>
      </c>
      <c r="G1052" s="125">
        <v>4814320.1500000004</v>
      </c>
      <c r="H1052" s="12" t="s">
        <v>1925</v>
      </c>
      <c r="I1052" s="125">
        <v>122765.16</v>
      </c>
      <c r="J1052" s="13">
        <v>42831.70020003472</v>
      </c>
      <c r="K1052" s="13">
        <v>43196</v>
      </c>
      <c r="L1052" s="12" t="s">
        <v>4469</v>
      </c>
      <c r="M1052" s="12"/>
      <c r="N1052" s="12" t="s">
        <v>4470</v>
      </c>
      <c r="O1052" s="12"/>
      <c r="P1052" s="12"/>
      <c r="Q1052" s="12"/>
    </row>
    <row r="1053" spans="1:17" x14ac:dyDescent="0.25">
      <c r="A1053" s="11">
        <v>200963</v>
      </c>
      <c r="B1053" s="12" t="s">
        <v>4476</v>
      </c>
      <c r="C1053" s="12" t="s">
        <v>4477</v>
      </c>
      <c r="D1053" s="12">
        <v>1</v>
      </c>
      <c r="E1053" s="125">
        <v>4601864.74</v>
      </c>
      <c r="F1053" s="12">
        <v>16</v>
      </c>
      <c r="G1053" s="125">
        <v>3959509.52</v>
      </c>
      <c r="H1053" s="12" t="s">
        <v>491</v>
      </c>
      <c r="I1053" s="125">
        <v>249888.27</v>
      </c>
      <c r="J1053" s="13">
        <v>42833.446310763888</v>
      </c>
      <c r="K1053" s="13">
        <v>43198</v>
      </c>
      <c r="L1053" s="12" t="s">
        <v>4478</v>
      </c>
      <c r="M1053" s="12"/>
      <c r="N1053" s="12"/>
      <c r="O1053" s="12"/>
      <c r="P1053" s="12"/>
      <c r="Q1053" s="12"/>
    </row>
    <row r="1054" spans="1:17" x14ac:dyDescent="0.25">
      <c r="A1054" s="11">
        <v>200964</v>
      </c>
      <c r="B1054" s="12" t="s">
        <v>4475</v>
      </c>
      <c r="C1054" s="12" t="s">
        <v>4479</v>
      </c>
      <c r="D1054" s="12">
        <v>1</v>
      </c>
      <c r="E1054" s="125">
        <v>5078563.5999999996</v>
      </c>
      <c r="F1054" s="12">
        <v>169</v>
      </c>
      <c r="G1054" s="125">
        <v>4440190.3099999996</v>
      </c>
      <c r="H1054" s="12" t="s">
        <v>2861</v>
      </c>
      <c r="I1054" s="125">
        <v>177034.33</v>
      </c>
      <c r="J1054" s="13">
        <v>42833.49402395833</v>
      </c>
      <c r="K1054" s="13">
        <v>43077</v>
      </c>
      <c r="L1054" s="12" t="s">
        <v>4480</v>
      </c>
      <c r="M1054" s="12"/>
      <c r="N1054" s="12" t="s">
        <v>4481</v>
      </c>
      <c r="O1054" s="12"/>
      <c r="P1054" s="12"/>
      <c r="Q1054" s="12"/>
    </row>
    <row r="1055" spans="1:17" x14ac:dyDescent="0.25">
      <c r="A1055" s="11">
        <v>200966</v>
      </c>
      <c r="B1055" s="12" t="s">
        <v>2014</v>
      </c>
      <c r="C1055" s="12" t="s">
        <v>2015</v>
      </c>
      <c r="D1055" s="12">
        <v>6</v>
      </c>
      <c r="E1055" s="125">
        <v>17064703.23</v>
      </c>
      <c r="F1055" s="12">
        <v>-16</v>
      </c>
      <c r="G1055" s="125">
        <v>13216229.67</v>
      </c>
      <c r="H1055" s="12" t="s">
        <v>1467</v>
      </c>
      <c r="I1055" s="125">
        <v>171810.99</v>
      </c>
      <c r="J1055" s="13">
        <v>42835.685623877318</v>
      </c>
      <c r="K1055" s="13">
        <v>43565</v>
      </c>
      <c r="L1055" s="12" t="s">
        <v>2016</v>
      </c>
      <c r="M1055" s="12"/>
      <c r="N1055" s="12"/>
      <c r="O1055" s="12"/>
      <c r="P1055" s="12"/>
      <c r="Q1055" s="12"/>
    </row>
    <row r="1056" spans="1:17" x14ac:dyDescent="0.25">
      <c r="A1056" s="11">
        <v>200967</v>
      </c>
      <c r="B1056" s="12" t="s">
        <v>2413</v>
      </c>
      <c r="C1056" s="12" t="s">
        <v>2414</v>
      </c>
      <c r="D1056" s="12">
        <v>1</v>
      </c>
      <c r="E1056" s="125">
        <v>7991412.96</v>
      </c>
      <c r="F1056" s="12">
        <v>-16</v>
      </c>
      <c r="G1056" s="125">
        <v>7115270.1299999999</v>
      </c>
      <c r="H1056" s="12" t="s">
        <v>86</v>
      </c>
      <c r="I1056" s="125">
        <v>123331.35</v>
      </c>
      <c r="J1056" s="13">
        <v>42835.773810798608</v>
      </c>
      <c r="K1056" s="13">
        <v>43200</v>
      </c>
      <c r="L1056" s="12" t="s">
        <v>2415</v>
      </c>
      <c r="M1056" s="12"/>
      <c r="N1056" s="12"/>
      <c r="O1056" s="12"/>
      <c r="P1056" s="12"/>
      <c r="Q1056" s="12"/>
    </row>
    <row r="1057" spans="1:17" x14ac:dyDescent="0.25">
      <c r="A1057" s="11">
        <v>200970</v>
      </c>
      <c r="B1057" s="12" t="s">
        <v>4491</v>
      </c>
      <c r="C1057" s="12" t="s">
        <v>4495</v>
      </c>
      <c r="D1057" s="12">
        <v>7</v>
      </c>
      <c r="E1057" s="125">
        <v>1137409.3600000001</v>
      </c>
      <c r="F1057" s="12">
        <v>-17</v>
      </c>
      <c r="G1057" s="125">
        <v>1042232.59</v>
      </c>
      <c r="H1057" s="12" t="s">
        <v>1909</v>
      </c>
      <c r="I1057" s="125">
        <v>18760.189999999999</v>
      </c>
      <c r="J1057" s="13">
        <v>42836.624498645833</v>
      </c>
      <c r="K1057" s="13">
        <v>43142</v>
      </c>
      <c r="L1057" s="12" t="s">
        <v>4496</v>
      </c>
      <c r="M1057" s="12"/>
      <c r="N1057" s="12" t="s">
        <v>4497</v>
      </c>
      <c r="O1057" s="12"/>
      <c r="P1057" s="12"/>
      <c r="Q1057" s="12"/>
    </row>
    <row r="1058" spans="1:17" x14ac:dyDescent="0.25">
      <c r="A1058" s="11">
        <v>200971</v>
      </c>
      <c r="B1058" s="12" t="s">
        <v>4498</v>
      </c>
      <c r="C1058" s="12" t="s">
        <v>4513</v>
      </c>
      <c r="D1058" s="12">
        <v>3</v>
      </c>
      <c r="E1058" s="125">
        <v>24183488.66</v>
      </c>
      <c r="F1058" s="12">
        <v>9</v>
      </c>
      <c r="G1058" s="125">
        <v>22031910.149999999</v>
      </c>
      <c r="H1058" s="12" t="s">
        <v>2861</v>
      </c>
      <c r="I1058" s="125">
        <v>411212.35</v>
      </c>
      <c r="J1058" s="13">
        <v>42837.450458564817</v>
      </c>
      <c r="K1058" s="13">
        <v>43205</v>
      </c>
      <c r="L1058" s="12" t="s">
        <v>4514</v>
      </c>
      <c r="M1058" s="12"/>
      <c r="N1058" s="12" t="s">
        <v>4515</v>
      </c>
      <c r="O1058" s="12"/>
      <c r="P1058" s="12"/>
      <c r="Q1058" s="12"/>
    </row>
    <row r="1059" spans="1:17" x14ac:dyDescent="0.25">
      <c r="A1059" s="11">
        <v>200972</v>
      </c>
      <c r="B1059" s="12" t="s">
        <v>4499</v>
      </c>
      <c r="C1059" s="12" t="s">
        <v>4516</v>
      </c>
      <c r="D1059" s="12">
        <v>1</v>
      </c>
      <c r="E1059" s="125">
        <v>2663804.36</v>
      </c>
      <c r="F1059" s="12">
        <v>-19</v>
      </c>
      <c r="G1059" s="125">
        <v>2371756.7400000002</v>
      </c>
      <c r="H1059" s="12" t="s">
        <v>468</v>
      </c>
      <c r="I1059" s="125">
        <v>31623.42</v>
      </c>
      <c r="J1059" s="13">
        <v>42838.711294907407</v>
      </c>
      <c r="K1059" s="13">
        <v>43203</v>
      </c>
      <c r="L1059" s="12" t="s">
        <v>4517</v>
      </c>
      <c r="M1059" s="12"/>
      <c r="N1059" s="12"/>
      <c r="O1059" s="12"/>
      <c r="P1059" s="12"/>
      <c r="Q1059" s="12"/>
    </row>
    <row r="1060" spans="1:17" x14ac:dyDescent="0.25">
      <c r="A1060" s="11">
        <v>200974</v>
      </c>
      <c r="B1060" s="12" t="s">
        <v>4500</v>
      </c>
      <c r="C1060" s="12" t="s">
        <v>4518</v>
      </c>
      <c r="D1060" s="12">
        <v>8</v>
      </c>
      <c r="E1060" s="125">
        <v>3765479.15</v>
      </c>
      <c r="F1060" s="12">
        <v>-18</v>
      </c>
      <c r="G1060" s="125">
        <v>3337009.24</v>
      </c>
      <c r="H1060" s="12" t="s">
        <v>1447</v>
      </c>
      <c r="I1060" s="125">
        <v>50982.09</v>
      </c>
      <c r="J1060" s="13">
        <v>42837.609828969908</v>
      </c>
      <c r="K1060" s="13">
        <v>43202</v>
      </c>
      <c r="L1060" s="12" t="s">
        <v>4519</v>
      </c>
      <c r="M1060" s="12"/>
      <c r="N1060" s="12" t="s">
        <v>4520</v>
      </c>
      <c r="O1060" s="12"/>
      <c r="P1060" s="12"/>
      <c r="Q1060" s="12"/>
    </row>
    <row r="1061" spans="1:17" x14ac:dyDescent="0.25">
      <c r="A1061" s="11">
        <v>200975</v>
      </c>
      <c r="B1061" s="12" t="s">
        <v>4504</v>
      </c>
      <c r="C1061" s="12" t="s">
        <v>4521</v>
      </c>
      <c r="D1061" s="12">
        <v>7</v>
      </c>
      <c r="E1061" s="125">
        <v>581075.39</v>
      </c>
      <c r="F1061" s="12">
        <v>73</v>
      </c>
      <c r="G1061" s="125">
        <v>544604.71</v>
      </c>
      <c r="H1061" s="12" t="s">
        <v>1467</v>
      </c>
      <c r="I1061" s="125">
        <v>36470.68</v>
      </c>
      <c r="J1061" s="13">
        <v>42837.554754745368</v>
      </c>
      <c r="K1061" s="13">
        <v>43020</v>
      </c>
      <c r="L1061" s="12" t="s">
        <v>4522</v>
      </c>
      <c r="M1061" s="12"/>
      <c r="N1061" s="12"/>
      <c r="O1061" s="12"/>
      <c r="P1061" s="12"/>
      <c r="Q1061" s="12"/>
    </row>
    <row r="1062" spans="1:17" x14ac:dyDescent="0.25">
      <c r="A1062" s="11">
        <v>200977</v>
      </c>
      <c r="B1062" s="12" t="s">
        <v>3097</v>
      </c>
      <c r="C1062" s="12" t="s">
        <v>3098</v>
      </c>
      <c r="D1062" s="12">
        <v>2</v>
      </c>
      <c r="E1062" s="125">
        <v>12935493.66</v>
      </c>
      <c r="F1062" s="12">
        <v>-19</v>
      </c>
      <c r="G1062" s="125">
        <v>11680886.279999999</v>
      </c>
      <c r="H1062" s="12" t="s">
        <v>2175</v>
      </c>
      <c r="I1062" s="125">
        <v>13627.7</v>
      </c>
      <c r="J1062" s="13">
        <v>42838.68076466435</v>
      </c>
      <c r="K1062" s="13">
        <v>43203</v>
      </c>
      <c r="L1062" s="12" t="s">
        <v>3099</v>
      </c>
      <c r="M1062" s="12"/>
      <c r="N1062" s="12"/>
      <c r="O1062" s="12"/>
      <c r="P1062" s="12"/>
      <c r="Q1062" s="12"/>
    </row>
    <row r="1063" spans="1:17" x14ac:dyDescent="0.25">
      <c r="A1063" s="11">
        <v>200980</v>
      </c>
      <c r="B1063" s="12" t="s">
        <v>2312</v>
      </c>
      <c r="C1063" s="12" t="s">
        <v>2321</v>
      </c>
      <c r="D1063" s="12">
        <v>6</v>
      </c>
      <c r="E1063" s="125">
        <v>27211467.690000001</v>
      </c>
      <c r="F1063" s="12">
        <v>4</v>
      </c>
      <c r="G1063" s="125">
        <v>21114844.629999999</v>
      </c>
      <c r="H1063" s="12" t="s">
        <v>2538</v>
      </c>
      <c r="I1063" s="125">
        <v>271361.45</v>
      </c>
      <c r="J1063" s="13">
        <v>42845.708019212965</v>
      </c>
      <c r="K1063" s="13">
        <v>43575</v>
      </c>
      <c r="L1063" s="12" t="s">
        <v>2322</v>
      </c>
      <c r="M1063" s="12"/>
      <c r="N1063" s="12"/>
      <c r="O1063" s="12"/>
      <c r="P1063" s="12"/>
      <c r="Q1063" s="12"/>
    </row>
    <row r="1064" spans="1:17" x14ac:dyDescent="0.25">
      <c r="A1064" s="11">
        <v>200981</v>
      </c>
      <c r="B1064" s="12" t="s">
        <v>2713</v>
      </c>
      <c r="C1064" s="12" t="s">
        <v>2720</v>
      </c>
      <c r="D1064" s="12">
        <v>7</v>
      </c>
      <c r="E1064" s="125">
        <v>1479491.37</v>
      </c>
      <c r="F1064" s="12">
        <v>4</v>
      </c>
      <c r="G1064" s="125">
        <v>1342599.66</v>
      </c>
      <c r="H1064" s="12" t="s">
        <v>2855</v>
      </c>
      <c r="I1064" s="125">
        <v>57809.71</v>
      </c>
      <c r="J1064" s="13">
        <v>42845.729833645833</v>
      </c>
      <c r="K1064" s="13">
        <v>43151</v>
      </c>
      <c r="L1064" s="12" t="s">
        <v>2721</v>
      </c>
      <c r="M1064" s="12"/>
      <c r="N1064" s="12" t="s">
        <v>2722</v>
      </c>
      <c r="O1064" s="12"/>
      <c r="P1064" s="12"/>
      <c r="Q1064" s="12"/>
    </row>
    <row r="1065" spans="1:17" x14ac:dyDescent="0.25">
      <c r="A1065" s="11">
        <v>200982</v>
      </c>
      <c r="B1065" s="12" t="s">
        <v>4537</v>
      </c>
      <c r="C1065" s="12" t="s">
        <v>4544</v>
      </c>
      <c r="D1065" s="12">
        <v>3</v>
      </c>
      <c r="E1065" s="125">
        <v>16926838.25</v>
      </c>
      <c r="F1065" s="12">
        <v>60</v>
      </c>
      <c r="G1065" s="125">
        <v>16624184.17</v>
      </c>
      <c r="H1065" s="12" t="s">
        <v>5167</v>
      </c>
      <c r="I1065" s="125">
        <v>302654.08000000002</v>
      </c>
      <c r="J1065" s="13">
        <v>42845.775843553238</v>
      </c>
      <c r="K1065" s="13">
        <v>43033</v>
      </c>
      <c r="L1065" s="12" t="s">
        <v>4545</v>
      </c>
      <c r="M1065" s="12"/>
      <c r="N1065" s="12"/>
      <c r="O1065" s="12"/>
      <c r="P1065" s="12"/>
      <c r="Q1065" s="12"/>
    </row>
    <row r="1066" spans="1:17" x14ac:dyDescent="0.25">
      <c r="A1066" s="11">
        <v>200985</v>
      </c>
      <c r="B1066" s="12" t="s">
        <v>4547</v>
      </c>
      <c r="C1066" s="12" t="s">
        <v>4555</v>
      </c>
      <c r="D1066" s="12">
        <v>1</v>
      </c>
      <c r="E1066" s="125">
        <v>1370827.36</v>
      </c>
      <c r="F1066" s="12">
        <v>-27</v>
      </c>
      <c r="G1066" s="125">
        <v>1203580.04</v>
      </c>
      <c r="H1066" s="12" t="s">
        <v>1667</v>
      </c>
      <c r="I1066" s="125">
        <v>67245.710000000006</v>
      </c>
      <c r="J1066" s="13">
        <v>42846.585483599534</v>
      </c>
      <c r="K1066" s="13">
        <v>43211</v>
      </c>
      <c r="L1066" s="12" t="s">
        <v>4556</v>
      </c>
      <c r="M1066" s="12"/>
      <c r="N1066" s="12" t="s">
        <v>4557</v>
      </c>
      <c r="O1066" s="12"/>
      <c r="P1066" s="12"/>
      <c r="Q1066" s="12"/>
    </row>
    <row r="1067" spans="1:17" x14ac:dyDescent="0.25">
      <c r="A1067" s="11">
        <v>200987</v>
      </c>
      <c r="B1067" s="12" t="s">
        <v>2281</v>
      </c>
      <c r="C1067" s="12" t="s">
        <v>2289</v>
      </c>
      <c r="D1067" s="12">
        <v>6</v>
      </c>
      <c r="E1067" s="125">
        <v>19994891.329999998</v>
      </c>
      <c r="F1067" s="12">
        <v>-27</v>
      </c>
      <c r="G1067" s="125">
        <v>16818655.809999999</v>
      </c>
      <c r="H1067" s="12" t="s">
        <v>546</v>
      </c>
      <c r="I1067" s="125">
        <v>33637.31</v>
      </c>
      <c r="J1067" s="13">
        <v>42846.66457361111</v>
      </c>
      <c r="K1067" s="13">
        <v>43394</v>
      </c>
      <c r="L1067" s="12" t="s">
        <v>2290</v>
      </c>
      <c r="M1067" s="12"/>
      <c r="N1067" s="12"/>
      <c r="O1067" s="12"/>
      <c r="P1067" s="12"/>
      <c r="Q1067" s="12"/>
    </row>
    <row r="1068" spans="1:17" x14ac:dyDescent="0.25">
      <c r="A1068" s="11">
        <v>200989</v>
      </c>
      <c r="B1068" s="12" t="s">
        <v>4561</v>
      </c>
      <c r="C1068" s="12" t="s">
        <v>4562</v>
      </c>
      <c r="D1068" s="12">
        <v>2</v>
      </c>
      <c r="E1068" s="125">
        <v>15976872.66</v>
      </c>
      <c r="F1068" s="12">
        <v>2</v>
      </c>
      <c r="G1068" s="125">
        <v>13964026.779999999</v>
      </c>
      <c r="H1068" s="12" t="s">
        <v>1447</v>
      </c>
      <c r="I1068" s="125">
        <v>568419.56000000006</v>
      </c>
      <c r="J1068" s="13">
        <v>42847.543185381946</v>
      </c>
      <c r="K1068" s="13">
        <v>43212</v>
      </c>
      <c r="L1068" s="12" t="s">
        <v>4563</v>
      </c>
      <c r="M1068" s="12"/>
      <c r="N1068" s="12" t="s">
        <v>4564</v>
      </c>
      <c r="O1068" s="12"/>
      <c r="P1068" s="12"/>
      <c r="Q1068" s="12"/>
    </row>
    <row r="1069" spans="1:17" x14ac:dyDescent="0.25">
      <c r="A1069" s="11">
        <v>200991</v>
      </c>
      <c r="B1069" s="12" t="s">
        <v>3810</v>
      </c>
      <c r="C1069" s="12" t="s">
        <v>3816</v>
      </c>
      <c r="D1069" s="12">
        <v>3</v>
      </c>
      <c r="E1069" s="125">
        <v>3033516.67</v>
      </c>
      <c r="F1069" s="12">
        <v>-1</v>
      </c>
      <c r="G1069" s="125">
        <v>10493496.77</v>
      </c>
      <c r="H1069" s="12" t="s">
        <v>1447</v>
      </c>
      <c r="I1069" s="125">
        <v>293817.90999999997</v>
      </c>
      <c r="J1069" s="13">
        <v>42847.560156562497</v>
      </c>
      <c r="K1069" s="13">
        <v>43459</v>
      </c>
      <c r="L1069" s="12" t="s">
        <v>3817</v>
      </c>
      <c r="M1069" s="12"/>
      <c r="N1069" s="12" t="s">
        <v>3818</v>
      </c>
      <c r="O1069" s="12"/>
      <c r="P1069" s="12"/>
      <c r="Q1069" s="12"/>
    </row>
    <row r="1070" spans="1:17" x14ac:dyDescent="0.25">
      <c r="A1070" s="11">
        <v>200995</v>
      </c>
      <c r="B1070" s="12" t="s">
        <v>4574</v>
      </c>
      <c r="C1070" s="12" t="s">
        <v>4583</v>
      </c>
      <c r="D1070" s="12">
        <v>1</v>
      </c>
      <c r="E1070" s="125">
        <v>5263977.0599999996</v>
      </c>
      <c r="F1070" s="12">
        <v>-1</v>
      </c>
      <c r="G1070" s="125">
        <v>4525153.7300000004</v>
      </c>
      <c r="H1070" s="12" t="s">
        <v>491</v>
      </c>
      <c r="I1070" s="125">
        <v>190056.46</v>
      </c>
      <c r="J1070" s="13">
        <v>42850.794766585648</v>
      </c>
      <c r="K1070" s="13">
        <v>43215</v>
      </c>
      <c r="L1070" s="12" t="s">
        <v>4584</v>
      </c>
      <c r="M1070" s="12"/>
      <c r="N1070" s="12" t="s">
        <v>4585</v>
      </c>
      <c r="O1070" s="12"/>
      <c r="P1070" s="12"/>
      <c r="Q1070" s="12"/>
    </row>
    <row r="1071" spans="1:17" x14ac:dyDescent="0.25">
      <c r="A1071" s="11">
        <v>200997</v>
      </c>
      <c r="B1071" s="12" t="s">
        <v>4575</v>
      </c>
      <c r="C1071" s="12" t="s">
        <v>4586</v>
      </c>
      <c r="D1071" s="12">
        <v>1</v>
      </c>
      <c r="E1071" s="125">
        <v>2555270.52</v>
      </c>
      <c r="F1071" s="12">
        <v>60</v>
      </c>
      <c r="G1071" s="125">
        <v>2246894.4300000002</v>
      </c>
      <c r="H1071" s="12" t="s">
        <v>2861</v>
      </c>
      <c r="I1071" s="125">
        <v>102584.34</v>
      </c>
      <c r="J1071" s="13">
        <v>42850.755774224534</v>
      </c>
      <c r="K1071" s="13">
        <v>43156</v>
      </c>
      <c r="L1071" s="12" t="s">
        <v>4587</v>
      </c>
      <c r="M1071" s="12"/>
      <c r="N1071" s="12" t="s">
        <v>4588</v>
      </c>
      <c r="O1071" s="12"/>
      <c r="P1071" s="12"/>
      <c r="Q1071" s="12"/>
    </row>
    <row r="1072" spans="1:17" x14ac:dyDescent="0.25">
      <c r="A1072" s="11">
        <v>200998</v>
      </c>
      <c r="B1072" s="12" t="s">
        <v>3452</v>
      </c>
      <c r="C1072" s="12" t="s">
        <v>3455</v>
      </c>
      <c r="D1072" s="12">
        <v>1</v>
      </c>
      <c r="E1072" s="125">
        <v>3945310.26</v>
      </c>
      <c r="F1072" s="12">
        <v>-7</v>
      </c>
      <c r="G1072" s="125">
        <v>3580265.71</v>
      </c>
      <c r="H1072" s="12" t="s">
        <v>1467</v>
      </c>
      <c r="I1072" s="125">
        <v>105021.13</v>
      </c>
      <c r="J1072" s="13">
        <v>42853.463061145834</v>
      </c>
      <c r="K1072" s="13">
        <v>43160</v>
      </c>
      <c r="L1072" s="12" t="s">
        <v>3456</v>
      </c>
      <c r="M1072" s="12"/>
      <c r="N1072" s="12" t="s">
        <v>3457</v>
      </c>
      <c r="O1072" s="12"/>
      <c r="P1072" s="12"/>
      <c r="Q1072" s="12"/>
    </row>
    <row r="1073" spans="1:17" x14ac:dyDescent="0.25">
      <c r="A1073" s="11">
        <v>200999</v>
      </c>
      <c r="B1073" s="12" t="s">
        <v>4590</v>
      </c>
      <c r="C1073" s="12" t="s">
        <v>4600</v>
      </c>
      <c r="D1073" s="12">
        <v>3</v>
      </c>
      <c r="E1073" s="125">
        <v>40427466.200000003</v>
      </c>
      <c r="F1073" s="12">
        <v>54</v>
      </c>
      <c r="G1073" s="125">
        <v>32644595.890000001</v>
      </c>
      <c r="H1073" s="12" t="s">
        <v>1191</v>
      </c>
      <c r="I1073" s="125">
        <v>1041425.28</v>
      </c>
      <c r="J1073" s="13">
        <v>42851.593739351854</v>
      </c>
      <c r="K1073" s="13">
        <v>43405</v>
      </c>
      <c r="L1073" s="12" t="s">
        <v>4601</v>
      </c>
      <c r="M1073" s="12"/>
      <c r="N1073" s="12"/>
      <c r="O1073" s="12"/>
      <c r="P1073" s="12"/>
      <c r="Q1073" s="12"/>
    </row>
    <row r="1074" spans="1:17" x14ac:dyDescent="0.25">
      <c r="A1074" s="11">
        <v>201000</v>
      </c>
      <c r="B1074" s="12" t="s">
        <v>1735</v>
      </c>
      <c r="C1074" s="12" t="s">
        <v>1736</v>
      </c>
      <c r="D1074" s="12">
        <v>8</v>
      </c>
      <c r="E1074" s="125">
        <v>6292271.1699999999</v>
      </c>
      <c r="F1074" s="12">
        <v>-7</v>
      </c>
      <c r="G1074" s="125">
        <v>5557652.9699999997</v>
      </c>
      <c r="H1074" s="12" t="s">
        <v>90</v>
      </c>
      <c r="I1074" s="125">
        <v>149439.10999999999</v>
      </c>
      <c r="J1074" s="13">
        <v>42853.653735844906</v>
      </c>
      <c r="K1074" s="13">
        <v>43221</v>
      </c>
      <c r="L1074" s="12" t="s">
        <v>1737</v>
      </c>
      <c r="M1074" s="12"/>
      <c r="N1074" s="12"/>
      <c r="O1074" s="12"/>
      <c r="P1074" s="12"/>
      <c r="Q1074" s="12"/>
    </row>
    <row r="1075" spans="1:17" x14ac:dyDescent="0.25">
      <c r="A1075" s="11">
        <v>201001</v>
      </c>
      <c r="B1075" s="12" t="s">
        <v>4595</v>
      </c>
      <c r="C1075" s="12" t="s">
        <v>4602</v>
      </c>
      <c r="D1075" s="12">
        <v>7</v>
      </c>
      <c r="E1075" s="125">
        <v>610791.05000000005</v>
      </c>
      <c r="F1075" s="12">
        <v>-7</v>
      </c>
      <c r="G1075" s="125">
        <v>571904.35</v>
      </c>
      <c r="H1075" s="12" t="s">
        <v>1667</v>
      </c>
      <c r="I1075" s="125">
        <v>18872.84</v>
      </c>
      <c r="J1075" s="13">
        <v>42851.61552392361</v>
      </c>
      <c r="K1075" s="13">
        <v>43101</v>
      </c>
      <c r="L1075" s="12" t="s">
        <v>4603</v>
      </c>
      <c r="M1075" s="12"/>
      <c r="N1075" s="12" t="s">
        <v>4604</v>
      </c>
      <c r="O1075" s="12"/>
      <c r="P1075" s="12"/>
      <c r="Q1075" s="12"/>
    </row>
    <row r="1076" spans="1:17" x14ac:dyDescent="0.25">
      <c r="A1076" s="11">
        <v>201002</v>
      </c>
      <c r="B1076" s="12" t="s">
        <v>4593</v>
      </c>
      <c r="C1076" s="12" t="s">
        <v>4605</v>
      </c>
      <c r="D1076" s="12">
        <v>6</v>
      </c>
      <c r="E1076" s="125">
        <v>64284953.450000003</v>
      </c>
      <c r="F1076" s="12">
        <v>23</v>
      </c>
      <c r="G1076" s="125">
        <v>47063745.420000002</v>
      </c>
      <c r="H1076" s="12" t="s">
        <v>491</v>
      </c>
      <c r="I1076" s="125">
        <v>2674881.0699999998</v>
      </c>
      <c r="J1076" s="13">
        <v>42851.551072650465</v>
      </c>
      <c r="K1076" s="13">
        <v>43586</v>
      </c>
      <c r="L1076" s="12" t="s">
        <v>4606</v>
      </c>
      <c r="M1076" s="12"/>
      <c r="N1076" s="12" t="s">
        <v>4607</v>
      </c>
      <c r="O1076" s="12"/>
      <c r="P1076" s="12"/>
      <c r="Q1076" s="12"/>
    </row>
    <row r="1077" spans="1:17" x14ac:dyDescent="0.25">
      <c r="A1077" s="11">
        <v>201003</v>
      </c>
      <c r="B1077" s="12" t="s">
        <v>4594</v>
      </c>
      <c r="C1077" s="12" t="s">
        <v>4608</v>
      </c>
      <c r="D1077" s="12">
        <v>1</v>
      </c>
      <c r="E1077" s="125">
        <v>6627195.96</v>
      </c>
      <c r="F1077" s="12">
        <v>-7</v>
      </c>
      <c r="G1077" s="125">
        <v>5697038.6100000003</v>
      </c>
      <c r="H1077" s="12" t="s">
        <v>1925</v>
      </c>
      <c r="I1077" s="125">
        <v>188002.27</v>
      </c>
      <c r="J1077" s="13">
        <v>42851.783158298611</v>
      </c>
      <c r="K1077" s="13">
        <v>43221</v>
      </c>
      <c r="L1077" s="12" t="s">
        <v>4609</v>
      </c>
      <c r="M1077" s="12"/>
      <c r="N1077" s="12" t="s">
        <v>4610</v>
      </c>
      <c r="O1077" s="12"/>
      <c r="P1077" s="12"/>
      <c r="Q1077" s="12"/>
    </row>
    <row r="1078" spans="1:17" x14ac:dyDescent="0.25">
      <c r="A1078" s="11">
        <v>201004</v>
      </c>
      <c r="B1078" s="12" t="s">
        <v>4589</v>
      </c>
      <c r="C1078" s="12" t="s">
        <v>4611</v>
      </c>
      <c r="D1078" s="12">
        <v>1</v>
      </c>
      <c r="E1078" s="125">
        <v>1832373.11</v>
      </c>
      <c r="F1078" s="12">
        <v>-7</v>
      </c>
      <c r="G1078" s="125">
        <v>1715713.01</v>
      </c>
      <c r="H1078" s="12" t="s">
        <v>1925</v>
      </c>
      <c r="I1078" s="125">
        <v>75177.86</v>
      </c>
      <c r="J1078" s="13">
        <v>42851.73559128472</v>
      </c>
      <c r="K1078" s="13">
        <v>43101</v>
      </c>
      <c r="L1078" s="12" t="s">
        <v>4612</v>
      </c>
      <c r="M1078" s="12" t="s">
        <v>4613</v>
      </c>
      <c r="N1078" s="12"/>
      <c r="O1078" s="12"/>
      <c r="P1078" s="12"/>
      <c r="Q1078" s="12"/>
    </row>
    <row r="1079" spans="1:17" x14ac:dyDescent="0.25">
      <c r="A1079" s="11">
        <v>201008</v>
      </c>
      <c r="B1079" s="12" t="s">
        <v>4591</v>
      </c>
      <c r="C1079" s="12" t="s">
        <v>4616</v>
      </c>
      <c r="D1079" s="12">
        <v>8</v>
      </c>
      <c r="E1079" s="125">
        <v>3862736.1</v>
      </c>
      <c r="F1079" s="12">
        <v>0</v>
      </c>
      <c r="G1079" s="125">
        <v>3356597.31</v>
      </c>
      <c r="H1079" s="12" t="s">
        <v>1667</v>
      </c>
      <c r="I1079" s="125">
        <v>135196.28</v>
      </c>
      <c r="J1079" s="13">
        <v>42851.813862847222</v>
      </c>
      <c r="K1079" s="13">
        <v>43214</v>
      </c>
      <c r="L1079" s="12" t="s">
        <v>4617</v>
      </c>
      <c r="M1079" s="12"/>
      <c r="N1079" s="12"/>
      <c r="O1079" s="12"/>
      <c r="P1079" s="12"/>
      <c r="Q1079" s="12"/>
    </row>
    <row r="1080" spans="1:17" x14ac:dyDescent="0.25">
      <c r="A1080" s="11">
        <v>201009</v>
      </c>
      <c r="B1080" s="12" t="s">
        <v>2678</v>
      </c>
      <c r="C1080" s="12" t="s">
        <v>2688</v>
      </c>
      <c r="D1080" s="12">
        <v>6</v>
      </c>
      <c r="E1080" s="125">
        <v>21339621.41</v>
      </c>
      <c r="F1080" s="12">
        <v>-7</v>
      </c>
      <c r="G1080" s="125">
        <v>16305264.58</v>
      </c>
      <c r="H1080" s="12" t="s">
        <v>1925</v>
      </c>
      <c r="I1080" s="125">
        <v>358715.82</v>
      </c>
      <c r="J1080" s="13">
        <v>42852.637940509259</v>
      </c>
      <c r="K1080" s="13">
        <v>43586</v>
      </c>
      <c r="L1080" s="12" t="s">
        <v>2689</v>
      </c>
      <c r="M1080" s="12" t="s">
        <v>2690</v>
      </c>
      <c r="N1080" s="12"/>
      <c r="O1080" s="12"/>
      <c r="P1080" s="12"/>
      <c r="Q1080" s="12"/>
    </row>
    <row r="1081" spans="1:17" x14ac:dyDescent="0.25">
      <c r="A1081" s="11">
        <v>201010</v>
      </c>
      <c r="B1081" s="12" t="s">
        <v>4619</v>
      </c>
      <c r="C1081" s="12" t="s">
        <v>4628</v>
      </c>
      <c r="D1081" s="12">
        <v>7</v>
      </c>
      <c r="E1081" s="125">
        <v>2542088.81</v>
      </c>
      <c r="F1081" s="12">
        <v>-7</v>
      </c>
      <c r="G1081" s="125">
        <v>2279952.2400000002</v>
      </c>
      <c r="H1081" s="12" t="s">
        <v>1467</v>
      </c>
      <c r="I1081" s="125">
        <v>75238.42</v>
      </c>
      <c r="J1081" s="13">
        <v>42852.58366851852</v>
      </c>
      <c r="K1081" s="13">
        <v>43160</v>
      </c>
      <c r="L1081" s="12" t="s">
        <v>4629</v>
      </c>
      <c r="M1081" s="12"/>
      <c r="N1081" s="12"/>
      <c r="O1081" s="12"/>
      <c r="P1081" s="12"/>
      <c r="Q1081" s="12"/>
    </row>
    <row r="1082" spans="1:17" x14ac:dyDescent="0.25">
      <c r="A1082" s="11">
        <v>201011</v>
      </c>
      <c r="B1082" s="12" t="s">
        <v>2037</v>
      </c>
      <c r="C1082" s="12" t="s">
        <v>2042</v>
      </c>
      <c r="D1082" s="12">
        <v>6</v>
      </c>
      <c r="E1082" s="125">
        <v>28941374.620000001</v>
      </c>
      <c r="F1082" s="12">
        <v>-7</v>
      </c>
      <c r="G1082" s="125">
        <v>18908178.629999999</v>
      </c>
      <c r="H1082" s="12" t="s">
        <v>1467</v>
      </c>
      <c r="I1082" s="125">
        <v>415979.93</v>
      </c>
      <c r="J1082" s="13">
        <v>42853.385363310183</v>
      </c>
      <c r="K1082" s="13">
        <v>43953</v>
      </c>
      <c r="L1082" s="12" t="s">
        <v>2043</v>
      </c>
      <c r="M1082" s="12"/>
      <c r="N1082" s="12"/>
      <c r="O1082" s="12"/>
      <c r="P1082" s="12"/>
      <c r="Q1082" s="12"/>
    </row>
    <row r="1083" spans="1:17" x14ac:dyDescent="0.25">
      <c r="A1083" s="11">
        <v>201014</v>
      </c>
      <c r="B1083" s="12" t="s">
        <v>2698</v>
      </c>
      <c r="C1083" s="12" t="s">
        <v>2707</v>
      </c>
      <c r="D1083" s="12">
        <v>1</v>
      </c>
      <c r="E1083" s="125">
        <v>5134175.4400000004</v>
      </c>
      <c r="F1083" s="12">
        <v>-7</v>
      </c>
      <c r="G1083" s="125">
        <v>4485675.05</v>
      </c>
      <c r="H1083" s="12" t="s">
        <v>3074</v>
      </c>
      <c r="I1083" s="125">
        <v>131579.79999999999</v>
      </c>
      <c r="J1083" s="13">
        <v>42853.553240972222</v>
      </c>
      <c r="K1083" s="13">
        <v>43221</v>
      </c>
      <c r="L1083" s="12" t="s">
        <v>2708</v>
      </c>
      <c r="M1083" s="12"/>
      <c r="N1083" s="12"/>
      <c r="O1083" s="12"/>
      <c r="P1083" s="12"/>
      <c r="Q1083" s="12"/>
    </row>
    <row r="1084" spans="1:17" x14ac:dyDescent="0.25">
      <c r="A1084" s="11">
        <v>201017</v>
      </c>
      <c r="B1084" s="12" t="s">
        <v>4634</v>
      </c>
      <c r="C1084" s="12" t="s">
        <v>4641</v>
      </c>
      <c r="D1084" s="12">
        <v>7</v>
      </c>
      <c r="E1084" s="125">
        <v>3304153.01</v>
      </c>
      <c r="F1084" s="12">
        <v>-7</v>
      </c>
      <c r="G1084" s="125">
        <v>2840400</v>
      </c>
      <c r="H1084" s="12" t="s">
        <v>1909</v>
      </c>
      <c r="I1084" s="125">
        <v>93733.2</v>
      </c>
      <c r="J1084" s="13">
        <v>42853.78242693287</v>
      </c>
      <c r="K1084" s="13">
        <v>43221</v>
      </c>
      <c r="L1084" s="12" t="s">
        <v>4642</v>
      </c>
      <c r="M1084" s="12"/>
      <c r="N1084" s="12" t="s">
        <v>4643</v>
      </c>
      <c r="O1084" s="12"/>
      <c r="P1084" s="12"/>
      <c r="Q1084" s="12"/>
    </row>
    <row r="1085" spans="1:17" x14ac:dyDescent="0.25">
      <c r="A1085" s="11">
        <v>201020</v>
      </c>
      <c r="B1085" s="12" t="s">
        <v>2617</v>
      </c>
      <c r="C1085" s="12" t="s">
        <v>2625</v>
      </c>
      <c r="D1085" s="12">
        <v>6</v>
      </c>
      <c r="E1085" s="125">
        <v>61704549.630000003</v>
      </c>
      <c r="F1085" s="12">
        <v>22</v>
      </c>
      <c r="G1085" s="125">
        <v>46518082.789999999</v>
      </c>
      <c r="H1085" s="12" t="s">
        <v>546</v>
      </c>
      <c r="I1085" s="125">
        <v>2333528.85</v>
      </c>
      <c r="J1085" s="13">
        <v>42857.561418634257</v>
      </c>
      <c r="K1085" s="13">
        <v>43587</v>
      </c>
      <c r="L1085" s="12" t="s">
        <v>2626</v>
      </c>
      <c r="M1085" s="12" t="s">
        <v>2627</v>
      </c>
      <c r="N1085" s="12"/>
      <c r="O1085" s="12"/>
      <c r="P1085" s="12"/>
      <c r="Q1085" s="12"/>
    </row>
    <row r="1086" spans="1:17" x14ac:dyDescent="0.25">
      <c r="A1086" s="11">
        <v>201021</v>
      </c>
      <c r="B1086" s="12" t="s">
        <v>4651</v>
      </c>
      <c r="C1086" s="12" t="s">
        <v>4659</v>
      </c>
      <c r="D1086" s="12">
        <v>1</v>
      </c>
      <c r="E1086" s="125">
        <v>467360.5</v>
      </c>
      <c r="F1086" s="12">
        <v>23</v>
      </c>
      <c r="G1086" s="125">
        <v>465155.45</v>
      </c>
      <c r="H1086" s="12" t="s">
        <v>1925</v>
      </c>
      <c r="I1086" s="125">
        <v>2205.0500000000002</v>
      </c>
      <c r="J1086" s="13">
        <v>42854.555631446761</v>
      </c>
      <c r="K1086" s="13">
        <v>43040</v>
      </c>
      <c r="L1086" s="12" t="s">
        <v>4660</v>
      </c>
      <c r="M1086" s="12"/>
      <c r="N1086" s="12" t="s">
        <v>4661</v>
      </c>
      <c r="O1086" s="12"/>
      <c r="P1086" s="12"/>
      <c r="Q1086" s="12"/>
    </row>
    <row r="1087" spans="1:17" x14ac:dyDescent="0.25">
      <c r="A1087" s="11">
        <v>201023</v>
      </c>
      <c r="B1087" s="12" t="s">
        <v>4649</v>
      </c>
      <c r="C1087" s="12" t="s">
        <v>4662</v>
      </c>
      <c r="D1087" s="12">
        <v>2</v>
      </c>
      <c r="E1087" s="125">
        <v>12819045.98</v>
      </c>
      <c r="F1087" s="12">
        <v>-7</v>
      </c>
      <c r="G1087" s="125">
        <v>11199865.57</v>
      </c>
      <c r="H1087" s="12" t="s">
        <v>1447</v>
      </c>
      <c r="I1087" s="125">
        <v>328529.39</v>
      </c>
      <c r="J1087" s="13">
        <v>42854.645710798613</v>
      </c>
      <c r="K1087" s="13">
        <v>43221</v>
      </c>
      <c r="L1087" s="12" t="s">
        <v>4663</v>
      </c>
      <c r="M1087" s="12"/>
      <c r="N1087" s="12"/>
      <c r="O1087" s="12"/>
      <c r="P1087" s="12"/>
      <c r="Q1087" s="12"/>
    </row>
    <row r="1088" spans="1:17" x14ac:dyDescent="0.25">
      <c r="A1088" s="11">
        <v>201025</v>
      </c>
      <c r="B1088" s="12" t="s">
        <v>4652</v>
      </c>
      <c r="C1088" s="12" t="s">
        <v>4664</v>
      </c>
      <c r="D1088" s="12">
        <v>6</v>
      </c>
      <c r="E1088" s="125">
        <v>10793028.08</v>
      </c>
      <c r="F1088" s="12">
        <v>23</v>
      </c>
      <c r="G1088" s="125">
        <v>9737928.7699999996</v>
      </c>
      <c r="H1088" s="12" t="s">
        <v>90</v>
      </c>
      <c r="I1088" s="125">
        <v>215192.23</v>
      </c>
      <c r="J1088" s="13">
        <v>42854.749433564815</v>
      </c>
      <c r="K1088" s="13">
        <v>43221</v>
      </c>
      <c r="L1088" s="12" t="s">
        <v>4665</v>
      </c>
      <c r="M1088" s="12"/>
      <c r="N1088" s="12" t="s">
        <v>4666</v>
      </c>
      <c r="O1088" s="12"/>
      <c r="P1088" s="12"/>
      <c r="Q1088" s="12"/>
    </row>
    <row r="1089" spans="1:17" x14ac:dyDescent="0.25">
      <c r="A1089" s="11">
        <v>201026</v>
      </c>
      <c r="B1089" s="12" t="s">
        <v>4668</v>
      </c>
      <c r="C1089" s="12" t="s">
        <v>4671</v>
      </c>
      <c r="D1089" s="12">
        <v>8</v>
      </c>
      <c r="E1089" s="125">
        <v>5809596.3799999999</v>
      </c>
      <c r="F1089" s="12">
        <v>-8</v>
      </c>
      <c r="G1089" s="125">
        <v>5048358.24</v>
      </c>
      <c r="H1089" s="12" t="s">
        <v>1909</v>
      </c>
      <c r="I1089" s="125">
        <v>147243.78</v>
      </c>
      <c r="J1089" s="13">
        <v>42857.715871608794</v>
      </c>
      <c r="K1089" s="13">
        <v>43222</v>
      </c>
      <c r="L1089" s="12" t="s">
        <v>4672</v>
      </c>
      <c r="M1089" s="12"/>
      <c r="N1089" s="12"/>
      <c r="O1089" s="12"/>
      <c r="P1089" s="12"/>
      <c r="Q1089" s="12"/>
    </row>
    <row r="1090" spans="1:17" x14ac:dyDescent="0.25">
      <c r="A1090" s="11">
        <v>201027</v>
      </c>
      <c r="B1090" s="12" t="s">
        <v>4673</v>
      </c>
      <c r="C1090" s="12" t="s">
        <v>4674</v>
      </c>
      <c r="D1090" s="12">
        <v>1</v>
      </c>
      <c r="E1090" s="125">
        <v>2647282.5299999998</v>
      </c>
      <c r="F1090" s="12">
        <v>21</v>
      </c>
      <c r="G1090" s="125">
        <v>2386642.44</v>
      </c>
      <c r="H1090" s="12" t="s">
        <v>90</v>
      </c>
      <c r="I1090" s="125">
        <v>68008.09</v>
      </c>
      <c r="J1090" s="13">
        <v>42858.49758815972</v>
      </c>
      <c r="K1090" s="13">
        <v>43162</v>
      </c>
      <c r="L1090" s="12" t="s">
        <v>4675</v>
      </c>
      <c r="M1090" s="12"/>
      <c r="N1090" s="12" t="s">
        <v>4676</v>
      </c>
      <c r="O1090" s="12"/>
      <c r="P1090" s="12"/>
      <c r="Q1090" s="12"/>
    </row>
    <row r="1091" spans="1:17" x14ac:dyDescent="0.25">
      <c r="A1091" s="11">
        <v>201029</v>
      </c>
      <c r="B1091" s="12" t="s">
        <v>4693</v>
      </c>
      <c r="C1091" s="12" t="s">
        <v>4701</v>
      </c>
      <c r="D1091" s="12">
        <v>1</v>
      </c>
      <c r="E1091" s="125">
        <v>6141306.5700000003</v>
      </c>
      <c r="F1091" s="12">
        <v>16</v>
      </c>
      <c r="G1091" s="125">
        <v>5169840.42</v>
      </c>
      <c r="H1091" s="12" t="s">
        <v>963</v>
      </c>
      <c r="I1091" s="125">
        <v>334458.78000000003</v>
      </c>
      <c r="J1091" s="13">
        <v>42863.664337152775</v>
      </c>
      <c r="K1091" s="13">
        <v>43228</v>
      </c>
      <c r="L1091" s="12" t="s">
        <v>4702</v>
      </c>
      <c r="M1091" s="12"/>
      <c r="N1091" s="12" t="s">
        <v>4703</v>
      </c>
      <c r="O1091" s="12"/>
      <c r="P1091" s="12"/>
      <c r="Q1091" s="12"/>
    </row>
    <row r="1092" spans="1:17" x14ac:dyDescent="0.25">
      <c r="A1092" s="11">
        <v>201031</v>
      </c>
      <c r="B1092" s="12" t="s">
        <v>4692</v>
      </c>
      <c r="C1092" s="12" t="s">
        <v>4704</v>
      </c>
      <c r="D1092" s="12">
        <v>1</v>
      </c>
      <c r="E1092" s="125">
        <v>3289985.68</v>
      </c>
      <c r="F1092" s="12">
        <v>-14</v>
      </c>
      <c r="G1092" s="125">
        <v>2828221.1</v>
      </c>
      <c r="H1092" s="12" t="s">
        <v>2861</v>
      </c>
      <c r="I1092" s="125">
        <v>63634.97</v>
      </c>
      <c r="J1092" s="13">
        <v>42863.68455740741</v>
      </c>
      <c r="K1092" s="13">
        <v>43228</v>
      </c>
      <c r="L1092" s="12" t="s">
        <v>4705</v>
      </c>
      <c r="M1092" s="12"/>
      <c r="N1092" s="12"/>
      <c r="O1092" s="12"/>
      <c r="P1092" s="12"/>
      <c r="Q1092" s="12"/>
    </row>
    <row r="1093" spans="1:17" x14ac:dyDescent="0.25">
      <c r="A1093" s="11">
        <v>201032</v>
      </c>
      <c r="B1093" s="12" t="s">
        <v>4695</v>
      </c>
      <c r="C1093" s="12" t="s">
        <v>4706</v>
      </c>
      <c r="D1093" s="12">
        <v>7</v>
      </c>
      <c r="E1093" s="125">
        <v>387756.74</v>
      </c>
      <c r="F1093" s="12">
        <v>16</v>
      </c>
      <c r="G1093" s="125">
        <v>371059.08</v>
      </c>
      <c r="H1093" s="12" t="s">
        <v>2538</v>
      </c>
      <c r="I1093" s="125">
        <v>16697.66</v>
      </c>
      <c r="J1093" s="13">
        <v>42863.539526967594</v>
      </c>
      <c r="K1093" s="13">
        <v>43047</v>
      </c>
      <c r="L1093" s="12" t="s">
        <v>4707</v>
      </c>
      <c r="M1093" s="12"/>
      <c r="N1093" s="12"/>
      <c r="O1093" s="12"/>
      <c r="P1093" s="12"/>
      <c r="Q1093" s="12"/>
    </row>
    <row r="1094" spans="1:17" x14ac:dyDescent="0.25">
      <c r="A1094" s="11">
        <v>201033</v>
      </c>
      <c r="B1094" s="12" t="s">
        <v>4696</v>
      </c>
      <c r="C1094" s="12" t="s">
        <v>4708</v>
      </c>
      <c r="D1094" s="12">
        <v>7</v>
      </c>
      <c r="E1094" s="125">
        <v>616609.41</v>
      </c>
      <c r="F1094" s="12">
        <v>16</v>
      </c>
      <c r="G1094" s="125">
        <v>577999.81000000006</v>
      </c>
      <c r="H1094" s="12" t="s">
        <v>1447</v>
      </c>
      <c r="I1094" s="125">
        <v>12776.15</v>
      </c>
      <c r="J1094" s="13">
        <v>42863.718327893519</v>
      </c>
      <c r="K1094" s="13">
        <v>43108</v>
      </c>
      <c r="L1094" s="12" t="s">
        <v>4709</v>
      </c>
      <c r="M1094" s="12"/>
      <c r="N1094" s="12" t="s">
        <v>4710</v>
      </c>
      <c r="O1094" s="12"/>
      <c r="P1094" s="12"/>
      <c r="Q1094" s="12"/>
    </row>
    <row r="1095" spans="1:17" x14ac:dyDescent="0.25">
      <c r="A1095" s="11">
        <v>201034</v>
      </c>
      <c r="B1095" s="12" t="s">
        <v>4722</v>
      </c>
      <c r="C1095" s="12" t="s">
        <v>4727</v>
      </c>
      <c r="D1095" s="12">
        <v>1</v>
      </c>
      <c r="E1095" s="125">
        <v>7676633.1799999997</v>
      </c>
      <c r="F1095" s="12">
        <v>15</v>
      </c>
      <c r="G1095" s="125">
        <v>6462300.5099999998</v>
      </c>
      <c r="H1095" s="12" t="s">
        <v>1925</v>
      </c>
      <c r="I1095" s="125">
        <v>409588.8</v>
      </c>
      <c r="J1095" s="13">
        <v>42864.526064317128</v>
      </c>
      <c r="K1095" s="13">
        <v>43229</v>
      </c>
      <c r="L1095" s="12" t="s">
        <v>4728</v>
      </c>
      <c r="M1095" s="12"/>
      <c r="N1095" s="12" t="s">
        <v>4729</v>
      </c>
      <c r="O1095" s="12"/>
      <c r="P1095" s="12"/>
      <c r="Q1095" s="12"/>
    </row>
    <row r="1096" spans="1:17" x14ac:dyDescent="0.25">
      <c r="A1096" s="11">
        <v>201037</v>
      </c>
      <c r="B1096" s="12" t="s">
        <v>2446</v>
      </c>
      <c r="C1096" s="12" t="s">
        <v>2447</v>
      </c>
      <c r="D1096" s="12">
        <v>5</v>
      </c>
      <c r="E1096" s="125">
        <v>42894142.229999997</v>
      </c>
      <c r="F1096" s="12">
        <v>-27</v>
      </c>
      <c r="G1096" s="125">
        <v>30210790.350000001</v>
      </c>
      <c r="H1096" s="12" t="s">
        <v>284</v>
      </c>
      <c r="I1096" s="125">
        <v>36924.300000000003</v>
      </c>
      <c r="J1096" s="13">
        <v>42865.489353275465</v>
      </c>
      <c r="K1096" s="13">
        <v>44276</v>
      </c>
      <c r="L1096" s="12" t="s">
        <v>2448</v>
      </c>
      <c r="M1096" s="12"/>
      <c r="N1096" s="12"/>
      <c r="O1096" s="12"/>
      <c r="P1096" s="12"/>
      <c r="Q1096" s="12"/>
    </row>
    <row r="1097" spans="1:17" x14ac:dyDescent="0.25">
      <c r="A1097" s="11">
        <v>201039</v>
      </c>
      <c r="B1097" s="12" t="s">
        <v>3311</v>
      </c>
      <c r="C1097" s="12" t="s">
        <v>3315</v>
      </c>
      <c r="D1097" s="12">
        <v>6</v>
      </c>
      <c r="E1097" s="125">
        <v>8562957.3900000006</v>
      </c>
      <c r="F1097" s="12">
        <v>14</v>
      </c>
      <c r="G1097" s="125">
        <v>7195896.4100000001</v>
      </c>
      <c r="H1097" s="12" t="s">
        <v>491</v>
      </c>
      <c r="I1097" s="125">
        <v>317919.03000000003</v>
      </c>
      <c r="J1097" s="13">
        <v>42865.775814699075</v>
      </c>
      <c r="K1097" s="13">
        <v>43322</v>
      </c>
      <c r="L1097" s="12" t="s">
        <v>3316</v>
      </c>
      <c r="M1097" s="12"/>
      <c r="N1097" s="12" t="s">
        <v>3317</v>
      </c>
      <c r="O1097" s="12"/>
      <c r="P1097" s="12"/>
      <c r="Q1097" s="12"/>
    </row>
    <row r="1098" spans="1:17" x14ac:dyDescent="0.25">
      <c r="A1098" s="11">
        <v>201041</v>
      </c>
      <c r="B1098" s="12" t="s">
        <v>4739</v>
      </c>
      <c r="C1098" s="12" t="s">
        <v>4748</v>
      </c>
      <c r="D1098" s="12">
        <v>2</v>
      </c>
      <c r="E1098" s="125">
        <v>12786260.74</v>
      </c>
      <c r="F1098" s="12">
        <v>-17</v>
      </c>
      <c r="G1098" s="125">
        <v>11171221.449999999</v>
      </c>
      <c r="H1098" s="12" t="s">
        <v>491</v>
      </c>
      <c r="I1098" s="125">
        <v>690365.11</v>
      </c>
      <c r="J1098" s="13">
        <v>42866.727631712965</v>
      </c>
      <c r="K1098" s="13">
        <v>43231</v>
      </c>
      <c r="L1098" s="12" t="s">
        <v>4749</v>
      </c>
      <c r="M1098" s="12"/>
      <c r="N1098" s="12" t="s">
        <v>4750</v>
      </c>
      <c r="O1098" s="12"/>
      <c r="P1098" s="12"/>
      <c r="Q1098" s="12"/>
    </row>
    <row r="1099" spans="1:17" x14ac:dyDescent="0.25">
      <c r="A1099" s="11">
        <v>201044</v>
      </c>
      <c r="B1099" s="12" t="s">
        <v>3464</v>
      </c>
      <c r="C1099" s="12" t="s">
        <v>3485</v>
      </c>
      <c r="D1099" s="12">
        <v>7</v>
      </c>
      <c r="E1099" s="125">
        <v>3196565.22</v>
      </c>
      <c r="F1099" s="12">
        <v>-18</v>
      </c>
      <c r="G1099" s="125">
        <v>2792805.38</v>
      </c>
      <c r="H1099" s="12" t="s">
        <v>2538</v>
      </c>
      <c r="I1099" s="125">
        <v>40961.15</v>
      </c>
      <c r="J1099" s="13">
        <v>42867.742464583331</v>
      </c>
      <c r="K1099" s="13">
        <v>43232</v>
      </c>
      <c r="L1099" s="12" t="s">
        <v>3486</v>
      </c>
      <c r="M1099" s="12"/>
      <c r="N1099" s="12"/>
      <c r="O1099" s="12"/>
      <c r="P1099" s="12"/>
      <c r="Q1099" s="12"/>
    </row>
    <row r="1100" spans="1:17" x14ac:dyDescent="0.25">
      <c r="A1100" s="11">
        <v>201045</v>
      </c>
      <c r="B1100" s="12" t="s">
        <v>4755</v>
      </c>
      <c r="C1100" s="12" t="s">
        <v>4759</v>
      </c>
      <c r="D1100" s="12">
        <v>7</v>
      </c>
      <c r="E1100" s="125">
        <v>1516545.83</v>
      </c>
      <c r="F1100" s="12">
        <v>-19</v>
      </c>
      <c r="G1100" s="125">
        <v>1360161.78</v>
      </c>
      <c r="H1100" s="12" t="s">
        <v>963</v>
      </c>
      <c r="I1100" s="125">
        <v>20402.43</v>
      </c>
      <c r="J1100" s="13">
        <v>42868.488424918978</v>
      </c>
      <c r="K1100" s="13">
        <v>43172</v>
      </c>
      <c r="L1100" s="12" t="s">
        <v>4760</v>
      </c>
      <c r="M1100" s="12"/>
      <c r="N1100" s="12"/>
      <c r="O1100" s="12"/>
      <c r="P1100" s="12"/>
      <c r="Q1100" s="12"/>
    </row>
    <row r="1101" spans="1:17" x14ac:dyDescent="0.25">
      <c r="A1101" s="11">
        <v>201046</v>
      </c>
      <c r="B1101" s="12" t="s">
        <v>4762</v>
      </c>
      <c r="C1101" s="12" t="s">
        <v>4765</v>
      </c>
      <c r="D1101" s="12">
        <v>1</v>
      </c>
      <c r="E1101" s="125">
        <v>3947982.81</v>
      </c>
      <c r="F1101" s="12">
        <v>-21</v>
      </c>
      <c r="G1101" s="125">
        <v>3393865.31</v>
      </c>
      <c r="H1101" s="12" t="s">
        <v>2861</v>
      </c>
      <c r="I1101" s="125">
        <v>40726.379999999997</v>
      </c>
      <c r="J1101" s="13">
        <v>42870.560390196762</v>
      </c>
      <c r="K1101" s="13">
        <v>43235</v>
      </c>
      <c r="L1101" s="12" t="s">
        <v>4766</v>
      </c>
      <c r="M1101" s="12"/>
      <c r="N1101" s="12" t="s">
        <v>4767</v>
      </c>
      <c r="O1101" s="12"/>
      <c r="P1101" s="12"/>
      <c r="Q1101" s="12"/>
    </row>
    <row r="1102" spans="1:17" x14ac:dyDescent="0.25">
      <c r="A1102" s="11">
        <v>201047</v>
      </c>
      <c r="B1102" s="12" t="s">
        <v>4768</v>
      </c>
      <c r="C1102" s="12" t="s">
        <v>4770</v>
      </c>
      <c r="D1102" s="12">
        <v>8</v>
      </c>
      <c r="E1102" s="125">
        <v>2983584.07</v>
      </c>
      <c r="F1102" s="12">
        <v>-22</v>
      </c>
      <c r="G1102" s="125">
        <v>2696923.22</v>
      </c>
      <c r="H1102" s="12" t="s">
        <v>4683</v>
      </c>
      <c r="I1102" s="125">
        <v>26220.09</v>
      </c>
      <c r="J1102" s="13">
        <v>42871.481338460646</v>
      </c>
      <c r="K1102" s="13">
        <v>43175</v>
      </c>
      <c r="L1102" s="12" t="s">
        <v>4771</v>
      </c>
      <c r="M1102" s="12"/>
      <c r="N1102" s="12" t="s">
        <v>4772</v>
      </c>
      <c r="O1102" s="12"/>
      <c r="P1102" s="12"/>
      <c r="Q1102" s="12"/>
    </row>
    <row r="1103" spans="1:17" x14ac:dyDescent="0.25">
      <c r="A1103" s="11">
        <v>201049</v>
      </c>
      <c r="B1103" s="12" t="s">
        <v>2386</v>
      </c>
      <c r="C1103" s="12" t="s">
        <v>2410</v>
      </c>
      <c r="D1103" s="12">
        <v>2</v>
      </c>
      <c r="E1103" s="125">
        <v>15522592.390000001</v>
      </c>
      <c r="F1103" s="12">
        <v>-23</v>
      </c>
      <c r="G1103" s="125">
        <v>13785492.76</v>
      </c>
      <c r="H1103" s="12" t="s">
        <v>1448</v>
      </c>
      <c r="I1103" s="125">
        <v>96498.45</v>
      </c>
      <c r="J1103" s="13">
        <v>42872.40982734954</v>
      </c>
      <c r="K1103" s="13">
        <v>43237</v>
      </c>
      <c r="L1103" s="12" t="s">
        <v>2411</v>
      </c>
      <c r="M1103" s="12" t="s">
        <v>2412</v>
      </c>
      <c r="N1103" s="12"/>
      <c r="O1103" s="12"/>
      <c r="P1103" s="12"/>
      <c r="Q1103" s="12"/>
    </row>
    <row r="1104" spans="1:17" x14ac:dyDescent="0.25">
      <c r="A1104" s="11">
        <v>201052</v>
      </c>
      <c r="B1104" s="12" t="s">
        <v>4775</v>
      </c>
      <c r="C1104" s="12" t="s">
        <v>4789</v>
      </c>
      <c r="D1104" s="12">
        <v>1</v>
      </c>
      <c r="E1104" s="125">
        <v>2425754.4700000002</v>
      </c>
      <c r="F1104" s="12">
        <v>38</v>
      </c>
      <c r="G1104" s="125">
        <v>2175614.12</v>
      </c>
      <c r="H1104" s="12" t="s">
        <v>1909</v>
      </c>
      <c r="I1104" s="125">
        <v>172124.02</v>
      </c>
      <c r="J1104" s="13">
        <v>42872.71493371528</v>
      </c>
      <c r="K1104" s="13">
        <v>43117</v>
      </c>
      <c r="L1104" s="12" t="s">
        <v>4790</v>
      </c>
      <c r="M1104" s="12"/>
      <c r="N1104" s="12" t="s">
        <v>4791</v>
      </c>
      <c r="O1104" s="12"/>
      <c r="P1104" s="12"/>
      <c r="Q1104" s="12"/>
    </row>
    <row r="1105" spans="1:17" x14ac:dyDescent="0.25">
      <c r="A1105" s="11">
        <v>201053</v>
      </c>
      <c r="B1105" s="12" t="s">
        <v>4779</v>
      </c>
      <c r="C1105" s="12" t="s">
        <v>4792</v>
      </c>
      <c r="D1105" s="12">
        <v>7</v>
      </c>
      <c r="E1105" s="125">
        <v>1212877.25</v>
      </c>
      <c r="F1105" s="12">
        <v>-23</v>
      </c>
      <c r="G1105" s="125">
        <v>1135658.06</v>
      </c>
      <c r="H1105" s="12" t="s">
        <v>1909</v>
      </c>
      <c r="I1105" s="125">
        <v>10220.92</v>
      </c>
      <c r="J1105" s="13">
        <v>42872.72517017361</v>
      </c>
      <c r="K1105" s="13">
        <v>43117</v>
      </c>
      <c r="L1105" s="12" t="s">
        <v>4793</v>
      </c>
      <c r="M1105" s="12"/>
      <c r="N1105" s="12" t="s">
        <v>4794</v>
      </c>
      <c r="O1105" s="12"/>
      <c r="P1105" s="12"/>
      <c r="Q1105" s="12"/>
    </row>
    <row r="1106" spans="1:17" x14ac:dyDescent="0.25">
      <c r="A1106" s="11">
        <v>201055</v>
      </c>
      <c r="B1106" s="12" t="s">
        <v>4182</v>
      </c>
      <c r="C1106" s="12" t="s">
        <v>4187</v>
      </c>
      <c r="D1106" s="12">
        <v>1</v>
      </c>
      <c r="E1106" s="125">
        <v>3835878.18</v>
      </c>
      <c r="F1106" s="12">
        <v>-24</v>
      </c>
      <c r="G1106" s="125">
        <v>3351366.41</v>
      </c>
      <c r="H1106" s="12" t="s">
        <v>1448</v>
      </c>
      <c r="I1106" s="125">
        <v>22342.44</v>
      </c>
      <c r="J1106" s="13">
        <v>42873.560921909724</v>
      </c>
      <c r="K1106" s="13">
        <v>43238</v>
      </c>
      <c r="L1106" s="12" t="s">
        <v>4188</v>
      </c>
      <c r="M1106" s="12"/>
      <c r="N1106" s="12"/>
      <c r="O1106" s="12"/>
      <c r="P1106" s="12"/>
      <c r="Q1106" s="12"/>
    </row>
    <row r="1107" spans="1:17" x14ac:dyDescent="0.25">
      <c r="A1107" s="11">
        <v>201056</v>
      </c>
      <c r="B1107" s="12" t="s">
        <v>4800</v>
      </c>
      <c r="C1107" s="12" t="s">
        <v>4805</v>
      </c>
      <c r="D1107" s="12">
        <v>1</v>
      </c>
      <c r="E1107" s="125">
        <v>1516545.83</v>
      </c>
      <c r="F1107" s="12">
        <v>-24</v>
      </c>
      <c r="G1107" s="125">
        <v>1360161.78</v>
      </c>
      <c r="H1107" s="12" t="s">
        <v>2538</v>
      </c>
      <c r="I1107" s="125">
        <v>10201.209999999999</v>
      </c>
      <c r="J1107" s="13">
        <v>42873.614163310187</v>
      </c>
      <c r="K1107" s="13">
        <v>43177</v>
      </c>
      <c r="L1107" s="12" t="s">
        <v>4806</v>
      </c>
      <c r="M1107" s="12"/>
      <c r="N1107" s="12" t="s">
        <v>4807</v>
      </c>
      <c r="O1107" s="12"/>
      <c r="P1107" s="12"/>
      <c r="Q1107" s="12"/>
    </row>
    <row r="1108" spans="1:17" x14ac:dyDescent="0.25">
      <c r="A1108" s="11">
        <v>201058</v>
      </c>
      <c r="B1108" s="12" t="s">
        <v>2101</v>
      </c>
      <c r="C1108" s="12" t="s">
        <v>2122</v>
      </c>
      <c r="D1108" s="12">
        <v>3</v>
      </c>
      <c r="E1108" s="125">
        <v>18722231.300000001</v>
      </c>
      <c r="F1108" s="12">
        <v>-26</v>
      </c>
      <c r="G1108" s="125">
        <v>16903651.859999999</v>
      </c>
      <c r="H1108" s="12" t="s">
        <v>1447</v>
      </c>
      <c r="I1108" s="125">
        <v>50710.96</v>
      </c>
      <c r="J1108" s="13">
        <v>42873.480068206016</v>
      </c>
      <c r="K1108" s="13">
        <v>43240</v>
      </c>
      <c r="L1108" s="12" t="s">
        <v>2123</v>
      </c>
      <c r="M1108" s="12"/>
      <c r="N1108" s="12"/>
      <c r="O1108" s="12"/>
      <c r="P1108" s="12"/>
      <c r="Q1108" s="12"/>
    </row>
    <row r="1109" spans="1:17" x14ac:dyDescent="0.25">
      <c r="A1109" s="11">
        <v>201060</v>
      </c>
      <c r="B1109" s="12" t="s">
        <v>4797</v>
      </c>
      <c r="C1109" s="12" t="s">
        <v>4810</v>
      </c>
      <c r="D1109" s="12">
        <v>1</v>
      </c>
      <c r="E1109" s="125">
        <v>1137072.4099999999</v>
      </c>
      <c r="F1109" s="12">
        <v>6</v>
      </c>
      <c r="G1109" s="125">
        <v>1041923.85</v>
      </c>
      <c r="H1109" s="12" t="s">
        <v>2855</v>
      </c>
      <c r="I1109" s="125">
        <v>52209.97</v>
      </c>
      <c r="J1109" s="13">
        <v>42873.592386226854</v>
      </c>
      <c r="K1109" s="13">
        <v>43118</v>
      </c>
      <c r="L1109" s="12" t="s">
        <v>4811</v>
      </c>
      <c r="M1109" s="12"/>
      <c r="N1109" s="12"/>
      <c r="O1109" s="12"/>
      <c r="P1109" s="12"/>
      <c r="Q1109" s="12"/>
    </row>
    <row r="1110" spans="1:17" x14ac:dyDescent="0.25">
      <c r="A1110" s="11">
        <v>201062</v>
      </c>
      <c r="B1110" s="12" t="s">
        <v>3138</v>
      </c>
      <c r="C1110" s="12" t="s">
        <v>3139</v>
      </c>
      <c r="D1110" s="12">
        <v>7</v>
      </c>
      <c r="E1110" s="125">
        <v>2237595.63</v>
      </c>
      <c r="F1110" s="12">
        <v>5</v>
      </c>
      <c r="G1110" s="125">
        <v>1918595.89</v>
      </c>
      <c r="H1110" s="12" t="s">
        <v>2034</v>
      </c>
      <c r="I1110" s="125">
        <v>85680.82</v>
      </c>
      <c r="J1110" s="13">
        <v>42874.581016550925</v>
      </c>
      <c r="K1110" s="13">
        <v>43239</v>
      </c>
      <c r="L1110" s="12" t="s">
        <v>3140</v>
      </c>
      <c r="M1110" s="12"/>
      <c r="N1110" s="12"/>
      <c r="O1110" s="12"/>
      <c r="P1110" s="12"/>
      <c r="Q1110" s="12"/>
    </row>
    <row r="1111" spans="1:17" x14ac:dyDescent="0.25">
      <c r="A1111" s="11">
        <v>201064</v>
      </c>
      <c r="B1111" s="12" t="s">
        <v>4813</v>
      </c>
      <c r="C1111" s="12" t="s">
        <v>4818</v>
      </c>
      <c r="D1111" s="12">
        <v>1</v>
      </c>
      <c r="E1111" s="125">
        <v>3032193.09</v>
      </c>
      <c r="F1111" s="12">
        <v>-25</v>
      </c>
      <c r="G1111" s="125">
        <v>2839145.11</v>
      </c>
      <c r="H1111" s="12" t="s">
        <v>1925</v>
      </c>
      <c r="I1111" s="125">
        <v>71097.19</v>
      </c>
      <c r="J1111" s="13">
        <v>42874.512373877318</v>
      </c>
      <c r="K1111" s="13">
        <v>43119</v>
      </c>
      <c r="L1111" s="12" t="s">
        <v>4819</v>
      </c>
      <c r="M1111" s="12"/>
      <c r="N1111" s="12" t="s">
        <v>4820</v>
      </c>
      <c r="O1111" s="12"/>
      <c r="P1111" s="12"/>
      <c r="Q1111" s="12"/>
    </row>
    <row r="1112" spans="1:17" x14ac:dyDescent="0.25">
      <c r="A1112" s="11">
        <v>201065</v>
      </c>
      <c r="B1112" s="12" t="s">
        <v>1992</v>
      </c>
      <c r="C1112" s="12" t="s">
        <v>1993</v>
      </c>
      <c r="D1112" s="12">
        <v>5</v>
      </c>
      <c r="E1112" s="125">
        <v>58346376.090000004</v>
      </c>
      <c r="F1112" s="12">
        <v>3</v>
      </c>
      <c r="G1112" s="125">
        <v>36560150.299999997</v>
      </c>
      <c r="H1112" s="12" t="s">
        <v>284</v>
      </c>
      <c r="I1112" s="125">
        <v>714451.58</v>
      </c>
      <c r="J1112" s="13">
        <v>42874.697980671299</v>
      </c>
      <c r="K1112" s="13">
        <v>44702</v>
      </c>
      <c r="L1112" s="12" t="s">
        <v>1994</v>
      </c>
      <c r="M1112" s="12"/>
      <c r="N1112" s="12"/>
      <c r="O1112" s="12"/>
      <c r="P1112" s="12"/>
      <c r="Q1112" s="12"/>
    </row>
    <row r="1113" spans="1:17" x14ac:dyDescent="0.25">
      <c r="A1113" s="11">
        <v>201066</v>
      </c>
      <c r="B1113" s="12" t="s">
        <v>4812</v>
      </c>
      <c r="C1113" s="12" t="s">
        <v>4821</v>
      </c>
      <c r="D1113" s="12">
        <v>1</v>
      </c>
      <c r="E1113" s="125">
        <v>909657.94</v>
      </c>
      <c r="F1113" s="12">
        <v>-25</v>
      </c>
      <c r="G1113" s="125">
        <v>851743.54</v>
      </c>
      <c r="H1113" s="12" t="s">
        <v>1909</v>
      </c>
      <c r="I1113" s="125">
        <v>5110.46</v>
      </c>
      <c r="J1113" s="13">
        <v>42874.708207175929</v>
      </c>
      <c r="K1113" s="13">
        <v>43119</v>
      </c>
      <c r="L1113" s="12" t="s">
        <v>4822</v>
      </c>
      <c r="M1113" s="12"/>
      <c r="N1113" s="12" t="s">
        <v>4823</v>
      </c>
      <c r="O1113" s="12"/>
      <c r="P1113" s="12"/>
      <c r="Q1113" s="12"/>
    </row>
    <row r="1114" spans="1:17" x14ac:dyDescent="0.25">
      <c r="A1114" s="11">
        <v>201067</v>
      </c>
      <c r="B1114" s="12" t="s">
        <v>2293</v>
      </c>
      <c r="C1114" s="12" t="s">
        <v>2300</v>
      </c>
      <c r="D1114" s="12">
        <v>2</v>
      </c>
      <c r="E1114" s="125">
        <v>12418073.869999999</v>
      </c>
      <c r="F1114" s="12">
        <v>-26</v>
      </c>
      <c r="G1114" s="125">
        <v>11028394.18</v>
      </c>
      <c r="H1114" s="12" t="s">
        <v>1909</v>
      </c>
      <c r="I1114" s="125">
        <v>38599.379999999997</v>
      </c>
      <c r="J1114" s="13">
        <v>42875.612127777778</v>
      </c>
      <c r="K1114" s="13">
        <v>43240</v>
      </c>
      <c r="L1114" s="12" t="s">
        <v>2301</v>
      </c>
      <c r="M1114" s="12"/>
      <c r="N1114" s="12"/>
      <c r="O1114" s="12"/>
      <c r="P1114" s="12"/>
      <c r="Q1114" s="12"/>
    </row>
    <row r="1115" spans="1:17" x14ac:dyDescent="0.25">
      <c r="A1115" s="11">
        <v>201069</v>
      </c>
      <c r="B1115" s="12" t="s">
        <v>3400</v>
      </c>
      <c r="C1115" s="12" t="s">
        <v>3414</v>
      </c>
      <c r="D1115" s="12">
        <v>1</v>
      </c>
      <c r="E1115" s="125">
        <v>4475191.22</v>
      </c>
      <c r="F1115" s="12">
        <v>0</v>
      </c>
      <c r="G1115" s="125">
        <v>3837191.78</v>
      </c>
      <c r="H1115" s="12" t="s">
        <v>1447</v>
      </c>
      <c r="I1115" s="125">
        <v>148371.42000000001</v>
      </c>
      <c r="J1115" s="13">
        <v>42879.473704016207</v>
      </c>
      <c r="K1115" s="13">
        <v>43244</v>
      </c>
      <c r="L1115" s="12" t="s">
        <v>3415</v>
      </c>
      <c r="M1115" s="12"/>
      <c r="N1115" s="12" t="s">
        <v>3416</v>
      </c>
      <c r="O1115" s="12"/>
      <c r="P1115" s="12"/>
      <c r="Q1115" s="12"/>
    </row>
    <row r="1116" spans="1:17" x14ac:dyDescent="0.25">
      <c r="A1116" s="11">
        <v>201070</v>
      </c>
      <c r="B1116" s="12" t="s">
        <v>3370</v>
      </c>
      <c r="C1116" s="12" t="s">
        <v>3381</v>
      </c>
      <c r="D1116" s="12">
        <v>7</v>
      </c>
      <c r="E1116" s="125">
        <v>3206750.74</v>
      </c>
      <c r="F1116" s="12">
        <v>2</v>
      </c>
      <c r="G1116" s="125">
        <v>2802990.9</v>
      </c>
      <c r="H1116" s="12" t="s">
        <v>2855</v>
      </c>
      <c r="I1116" s="125">
        <v>3723.74</v>
      </c>
      <c r="J1116" s="13">
        <v>42877.671345798612</v>
      </c>
      <c r="K1116" s="13">
        <v>43242</v>
      </c>
      <c r="L1116" s="12" t="s">
        <v>3382</v>
      </c>
      <c r="M1116" s="12"/>
      <c r="N1116" s="12"/>
      <c r="O1116" s="12"/>
      <c r="P1116" s="12"/>
      <c r="Q1116" s="12"/>
    </row>
    <row r="1117" spans="1:17" x14ac:dyDescent="0.25">
      <c r="A1117" s="11">
        <v>201071</v>
      </c>
      <c r="B1117" s="12" t="s">
        <v>3371</v>
      </c>
      <c r="C1117" s="12" t="s">
        <v>3377</v>
      </c>
      <c r="D1117" s="12">
        <v>8</v>
      </c>
      <c r="E1117" s="125">
        <v>3448551.7</v>
      </c>
      <c r="F1117" s="12">
        <v>-28</v>
      </c>
      <c r="G1117" s="125">
        <v>3045935.73</v>
      </c>
      <c r="H1117" s="12" t="s">
        <v>2538</v>
      </c>
      <c r="I1117" s="125">
        <v>3722.81</v>
      </c>
      <c r="J1117" s="13">
        <v>42877.671679942127</v>
      </c>
      <c r="K1117" s="13">
        <v>43242</v>
      </c>
      <c r="L1117" s="12" t="s">
        <v>3378</v>
      </c>
      <c r="M1117" s="12"/>
      <c r="N1117" s="12"/>
      <c r="O1117" s="12"/>
      <c r="P1117" s="12"/>
      <c r="Q1117" s="12"/>
    </row>
    <row r="1118" spans="1:17" x14ac:dyDescent="0.25">
      <c r="A1118" s="11">
        <v>201072</v>
      </c>
      <c r="B1118" s="12" t="s">
        <v>2771</v>
      </c>
      <c r="C1118" s="12" t="s">
        <v>2777</v>
      </c>
      <c r="D1118" s="12">
        <v>1</v>
      </c>
      <c r="E1118" s="125">
        <v>3196565.22</v>
      </c>
      <c r="F1118" s="12">
        <v>-28</v>
      </c>
      <c r="G1118" s="125">
        <v>2792805.38</v>
      </c>
      <c r="H1118" s="12" t="s">
        <v>3074</v>
      </c>
      <c r="I1118" s="125">
        <v>3723.74</v>
      </c>
      <c r="J1118" s="13">
        <v>42877.726153043979</v>
      </c>
      <c r="K1118" s="13">
        <v>43242</v>
      </c>
      <c r="L1118" s="12" t="s">
        <v>2778</v>
      </c>
      <c r="M1118" s="12"/>
      <c r="N1118" s="12"/>
      <c r="O1118" s="12"/>
      <c r="P1118" s="12"/>
      <c r="Q1118" s="12"/>
    </row>
    <row r="1119" spans="1:17" x14ac:dyDescent="0.25">
      <c r="A1119" s="11">
        <v>201073</v>
      </c>
      <c r="B1119" s="12" t="s">
        <v>4826</v>
      </c>
      <c r="C1119" s="12" t="s">
        <v>4827</v>
      </c>
      <c r="D1119" s="12">
        <v>1</v>
      </c>
      <c r="E1119" s="125">
        <v>3289985.68</v>
      </c>
      <c r="F1119" s="12">
        <v>-28</v>
      </c>
      <c r="G1119" s="125">
        <v>2828221.1</v>
      </c>
      <c r="H1119" s="12" t="s">
        <v>1467</v>
      </c>
      <c r="I1119" s="125">
        <v>146047.62</v>
      </c>
      <c r="J1119" s="13">
        <v>42877.716931909723</v>
      </c>
      <c r="K1119" s="13">
        <v>43242</v>
      </c>
      <c r="L1119" s="12" t="s">
        <v>4828</v>
      </c>
      <c r="M1119" s="12"/>
      <c r="N1119" s="12" t="s">
        <v>4829</v>
      </c>
      <c r="O1119" s="12"/>
      <c r="P1119" s="12"/>
      <c r="Q1119" s="12"/>
    </row>
    <row r="1120" spans="1:17" x14ac:dyDescent="0.25">
      <c r="A1120" s="11">
        <v>201076</v>
      </c>
      <c r="B1120" s="12" t="s">
        <v>4833</v>
      </c>
      <c r="C1120" s="12" t="s">
        <v>4839</v>
      </c>
      <c r="D1120" s="12">
        <v>6</v>
      </c>
      <c r="E1120" s="125">
        <v>22033691.949999999</v>
      </c>
      <c r="F1120" s="12">
        <v>1</v>
      </c>
      <c r="G1120" s="125">
        <v>16372341.48</v>
      </c>
      <c r="H1120" s="12" t="s">
        <v>546</v>
      </c>
      <c r="I1120" s="125">
        <v>567419</v>
      </c>
      <c r="J1120" s="13">
        <v>42878.662317974537</v>
      </c>
      <c r="K1120" s="13">
        <v>43608</v>
      </c>
      <c r="L1120" s="12" t="s">
        <v>4840</v>
      </c>
      <c r="M1120" s="12"/>
      <c r="N1120" s="12"/>
      <c r="O1120" s="12"/>
      <c r="P1120" s="12"/>
      <c r="Q1120" s="12"/>
    </row>
    <row r="1121" spans="1:17" x14ac:dyDescent="0.25">
      <c r="A1121" s="11">
        <v>201077</v>
      </c>
      <c r="B1121" s="12" t="s">
        <v>4830</v>
      </c>
      <c r="C1121" s="12" t="s">
        <v>4841</v>
      </c>
      <c r="D1121" s="12">
        <v>3</v>
      </c>
      <c r="E1121" s="125">
        <v>24110900.510000002</v>
      </c>
      <c r="F1121" s="12">
        <v>-29</v>
      </c>
      <c r="G1121" s="125">
        <v>21768893.989999998</v>
      </c>
      <c r="H1121" s="12" t="s">
        <v>86</v>
      </c>
      <c r="I1121" s="125">
        <v>751088.66</v>
      </c>
      <c r="J1121" s="13">
        <v>42878.594531747687</v>
      </c>
      <c r="K1121" s="13">
        <v>43243</v>
      </c>
      <c r="L1121" s="12" t="s">
        <v>4842</v>
      </c>
      <c r="M1121" s="12" t="s">
        <v>4843</v>
      </c>
      <c r="N1121" s="12"/>
      <c r="O1121" s="12"/>
      <c r="P1121" s="12"/>
      <c r="Q1121" s="12"/>
    </row>
    <row r="1122" spans="1:17" x14ac:dyDescent="0.25">
      <c r="A1122" s="11">
        <v>201078</v>
      </c>
      <c r="B1122" s="12" t="s">
        <v>4846</v>
      </c>
      <c r="C1122" s="12" t="s">
        <v>4847</v>
      </c>
      <c r="D1122" s="12">
        <v>6</v>
      </c>
      <c r="E1122" s="125">
        <v>29282936.98</v>
      </c>
      <c r="F1122" s="12">
        <v>-7</v>
      </c>
      <c r="G1122" s="125">
        <v>21438371.149999999</v>
      </c>
      <c r="H1122" s="12" t="s">
        <v>1447</v>
      </c>
      <c r="I1122" s="125">
        <v>524049.07</v>
      </c>
      <c r="J1122" s="13">
        <v>42879.498819872686</v>
      </c>
      <c r="K1122" s="13">
        <v>43617</v>
      </c>
      <c r="L1122" s="12" t="s">
        <v>4848</v>
      </c>
      <c r="M1122" s="12"/>
      <c r="N1122" s="12"/>
      <c r="O1122" s="12"/>
      <c r="P1122" s="12"/>
      <c r="Q1122" s="12"/>
    </row>
    <row r="1123" spans="1:17" x14ac:dyDescent="0.25">
      <c r="A1123" s="11">
        <v>201079</v>
      </c>
      <c r="B1123" s="12" t="s">
        <v>2385</v>
      </c>
      <c r="C1123" s="12" t="s">
        <v>2399</v>
      </c>
      <c r="D1123" s="12">
        <v>8</v>
      </c>
      <c r="E1123" s="125">
        <v>4389065.82</v>
      </c>
      <c r="F1123" s="12">
        <v>0</v>
      </c>
      <c r="G1123" s="125">
        <v>3810143.15</v>
      </c>
      <c r="H1123" s="12" t="s">
        <v>1925</v>
      </c>
      <c r="I1123" s="125">
        <v>135048.41</v>
      </c>
      <c r="J1123" s="13">
        <v>42879.701156284726</v>
      </c>
      <c r="K1123" s="13">
        <v>43244</v>
      </c>
      <c r="L1123" s="12" t="s">
        <v>2400</v>
      </c>
      <c r="M1123" s="12"/>
      <c r="N1123" s="12"/>
      <c r="O1123" s="12"/>
      <c r="P1123" s="12"/>
      <c r="Q1123" s="12"/>
    </row>
    <row r="1124" spans="1:17" x14ac:dyDescent="0.25">
      <c r="A1124" s="11">
        <v>201080</v>
      </c>
      <c r="B1124" s="12" t="s">
        <v>2592</v>
      </c>
      <c r="C1124" s="12" t="s">
        <v>2605</v>
      </c>
      <c r="D1124" s="12">
        <v>8</v>
      </c>
      <c r="E1124" s="125">
        <v>5108502.53</v>
      </c>
      <c r="F1124" s="12">
        <v>0</v>
      </c>
      <c r="G1124" s="125">
        <v>4434685.3499999996</v>
      </c>
      <c r="H1124" s="12" t="s">
        <v>963</v>
      </c>
      <c r="I1124" s="125">
        <v>157184.95999999999</v>
      </c>
      <c r="J1124" s="13">
        <v>42881.499312233798</v>
      </c>
      <c r="K1124" s="13">
        <v>43244</v>
      </c>
      <c r="L1124" s="12" t="s">
        <v>2606</v>
      </c>
      <c r="M1124" s="12"/>
      <c r="N1124" s="12"/>
      <c r="O1124" s="12"/>
      <c r="P1124" s="12"/>
      <c r="Q1124" s="12"/>
    </row>
    <row r="1125" spans="1:17" x14ac:dyDescent="0.25">
      <c r="A1125" s="11">
        <v>201083</v>
      </c>
      <c r="B1125" s="12" t="s">
        <v>4849</v>
      </c>
      <c r="C1125" s="12" t="s">
        <v>4851</v>
      </c>
      <c r="D1125" s="12">
        <v>1</v>
      </c>
      <c r="E1125" s="125">
        <v>3860354.83</v>
      </c>
      <c r="F1125" s="12">
        <v>-7</v>
      </c>
      <c r="G1125" s="125">
        <v>3249702.35</v>
      </c>
      <c r="H1125" s="12" t="s">
        <v>4685</v>
      </c>
      <c r="I1125" s="125">
        <v>107240.18</v>
      </c>
      <c r="J1125" s="13">
        <v>42882.457788043983</v>
      </c>
      <c r="K1125" s="13">
        <v>43252</v>
      </c>
      <c r="L1125" s="12" t="s">
        <v>4852</v>
      </c>
      <c r="M1125" s="12"/>
      <c r="N1125" s="12" t="s">
        <v>4853</v>
      </c>
      <c r="O1125" s="12"/>
      <c r="P1125" s="12"/>
      <c r="Q1125" s="12"/>
    </row>
    <row r="1126" spans="1:17" x14ac:dyDescent="0.25">
      <c r="A1126" s="11">
        <v>201084</v>
      </c>
      <c r="B1126" s="12" t="s">
        <v>4854</v>
      </c>
      <c r="C1126" s="12" t="s">
        <v>4855</v>
      </c>
      <c r="D1126" s="12">
        <v>3</v>
      </c>
      <c r="E1126" s="125">
        <v>39575602.979999997</v>
      </c>
      <c r="F1126" s="12">
        <v>23</v>
      </c>
      <c r="G1126" s="125">
        <v>34790329.420000002</v>
      </c>
      <c r="H1126" s="12" t="s">
        <v>491</v>
      </c>
      <c r="I1126" s="125">
        <v>849471.07</v>
      </c>
      <c r="J1126" s="13">
        <v>42884.590975694446</v>
      </c>
      <c r="K1126" s="13">
        <v>43252</v>
      </c>
      <c r="L1126" s="12" t="s">
        <v>4856</v>
      </c>
      <c r="M1126" s="12"/>
      <c r="N1126" s="12"/>
      <c r="O1126" s="12"/>
      <c r="P1126" s="12"/>
      <c r="Q1126" s="12"/>
    </row>
    <row r="1127" spans="1:17" x14ac:dyDescent="0.25">
      <c r="A1127" s="11">
        <v>201085</v>
      </c>
      <c r="B1127" s="12" t="s">
        <v>3256</v>
      </c>
      <c r="C1127" s="12" t="s">
        <v>3257</v>
      </c>
      <c r="D1127" s="12">
        <v>8</v>
      </c>
      <c r="E1127" s="125">
        <v>7336213.1500000004</v>
      </c>
      <c r="F1127" s="12">
        <v>23</v>
      </c>
      <c r="G1127" s="125">
        <v>6370204.4500000002</v>
      </c>
      <c r="H1127" s="12" t="s">
        <v>1925</v>
      </c>
      <c r="I1127" s="125">
        <v>170952.17</v>
      </c>
      <c r="J1127" s="13">
        <v>42885.419893831022</v>
      </c>
      <c r="K1127" s="13">
        <v>43252</v>
      </c>
      <c r="L1127" s="12" t="s">
        <v>3258</v>
      </c>
      <c r="M1127" s="12"/>
      <c r="N1127" s="12"/>
      <c r="O1127" s="12"/>
      <c r="P1127" s="12"/>
      <c r="Q1127" s="12"/>
    </row>
    <row r="1128" spans="1:17" x14ac:dyDescent="0.25">
      <c r="A1128" s="11">
        <v>201087</v>
      </c>
      <c r="B1128" s="12" t="s">
        <v>4857</v>
      </c>
      <c r="C1128" s="12" t="s">
        <v>4858</v>
      </c>
      <c r="D1128" s="12">
        <v>1</v>
      </c>
      <c r="E1128" s="125">
        <v>2909427.25</v>
      </c>
      <c r="F1128" s="12">
        <v>115</v>
      </c>
      <c r="G1128" s="125">
        <v>2557029.9500000002</v>
      </c>
      <c r="H1128" s="12" t="s">
        <v>2538</v>
      </c>
      <c r="I1128" s="125">
        <v>203878.2</v>
      </c>
      <c r="J1128" s="13">
        <v>42885.641928391204</v>
      </c>
      <c r="K1128" s="13">
        <v>43070</v>
      </c>
      <c r="L1128" s="12" t="s">
        <v>4859</v>
      </c>
      <c r="M1128" s="12"/>
      <c r="N1128" s="12" t="s">
        <v>4860</v>
      </c>
      <c r="O1128" s="12"/>
      <c r="P1128" s="12"/>
      <c r="Q1128" s="12"/>
    </row>
    <row r="1129" spans="1:17" x14ac:dyDescent="0.25">
      <c r="A1129" s="11">
        <v>201088</v>
      </c>
      <c r="B1129" s="12" t="s">
        <v>2383</v>
      </c>
      <c r="C1129" s="12" t="s">
        <v>2397</v>
      </c>
      <c r="D1129" s="12">
        <v>1</v>
      </c>
      <c r="E1129" s="125">
        <v>4758984.09</v>
      </c>
      <c r="F1129" s="12">
        <v>23</v>
      </c>
      <c r="G1129" s="125">
        <v>4318653.4000000004</v>
      </c>
      <c r="H1129" s="12" t="s">
        <v>2855</v>
      </c>
      <c r="I1129" s="125">
        <v>269594.64</v>
      </c>
      <c r="J1129" s="13">
        <v>42885.676829479169</v>
      </c>
      <c r="K1129" s="13">
        <v>43132</v>
      </c>
      <c r="L1129" s="12" t="s">
        <v>2398</v>
      </c>
      <c r="M1129" s="12"/>
      <c r="N1129" s="12"/>
      <c r="O1129" s="12"/>
      <c r="P1129" s="12"/>
      <c r="Q1129" s="12"/>
    </row>
    <row r="1130" spans="1:17" x14ac:dyDescent="0.25">
      <c r="A1130" s="11">
        <v>201089</v>
      </c>
      <c r="B1130" s="12" t="s">
        <v>2980</v>
      </c>
      <c r="C1130" s="12" t="s">
        <v>2981</v>
      </c>
      <c r="D1130" s="12">
        <v>6</v>
      </c>
      <c r="E1130" s="125">
        <v>9152647.4800000004</v>
      </c>
      <c r="F1130" s="12">
        <v>-7</v>
      </c>
      <c r="G1130" s="125">
        <v>8146093.7300000004</v>
      </c>
      <c r="H1130" s="12" t="s">
        <v>1667</v>
      </c>
      <c r="I1130" s="125">
        <v>179214.06</v>
      </c>
      <c r="J1130" s="13">
        <v>42886.48187596065</v>
      </c>
      <c r="K1130" s="13">
        <v>43252</v>
      </c>
      <c r="L1130" s="12" t="s">
        <v>2982</v>
      </c>
      <c r="M1130" s="12"/>
      <c r="N1130" s="12"/>
      <c r="O1130" s="12"/>
      <c r="P1130" s="12"/>
      <c r="Q1130" s="12"/>
    </row>
    <row r="1131" spans="1:17" x14ac:dyDescent="0.25">
      <c r="A1131" s="11">
        <v>201091</v>
      </c>
      <c r="B1131" s="12" t="s">
        <v>1731</v>
      </c>
      <c r="C1131" s="12" t="s">
        <v>1732</v>
      </c>
      <c r="D1131" s="12">
        <v>6</v>
      </c>
      <c r="E1131" s="125">
        <v>44919605.109999999</v>
      </c>
      <c r="F1131" s="12">
        <v>-7</v>
      </c>
      <c r="G1131" s="125">
        <v>33864178.909999996</v>
      </c>
      <c r="H1131" s="12" t="s">
        <v>1925</v>
      </c>
      <c r="I1131" s="125">
        <v>745011.94</v>
      </c>
      <c r="J1131" s="13">
        <v>42886.557222766205</v>
      </c>
      <c r="K1131" s="13">
        <v>43617</v>
      </c>
      <c r="L1131" s="12" t="s">
        <v>1734</v>
      </c>
      <c r="M1131" s="12"/>
      <c r="N1131" s="12"/>
      <c r="O1131" s="12"/>
      <c r="P1131" s="12"/>
      <c r="Q1131" s="12"/>
    </row>
    <row r="1132" spans="1:17" x14ac:dyDescent="0.25">
      <c r="A1132" s="11">
        <v>201092</v>
      </c>
      <c r="B1132" s="12" t="s">
        <v>2732</v>
      </c>
      <c r="C1132" s="12" t="s">
        <v>2734</v>
      </c>
      <c r="D1132" s="12">
        <v>1</v>
      </c>
      <c r="E1132" s="125">
        <v>2983460.84</v>
      </c>
      <c r="F1132" s="12">
        <v>-8</v>
      </c>
      <c r="G1132" s="125">
        <v>2558127.87</v>
      </c>
      <c r="H1132" s="12" t="s">
        <v>1448</v>
      </c>
      <c r="I1132" s="125">
        <v>71627.58</v>
      </c>
      <c r="J1132" s="13">
        <v>42888.62445142361</v>
      </c>
      <c r="K1132" s="13">
        <v>43253</v>
      </c>
      <c r="L1132" s="12" t="s">
        <v>2735</v>
      </c>
      <c r="M1132" s="12"/>
      <c r="N1132" s="12"/>
      <c r="O1132" s="12"/>
      <c r="P1132" s="12"/>
      <c r="Q1132" s="12"/>
    </row>
    <row r="1133" spans="1:17" x14ac:dyDescent="0.25">
      <c r="A1133" s="11">
        <v>201093</v>
      </c>
      <c r="B1133" s="12" t="s">
        <v>4869</v>
      </c>
      <c r="C1133" s="12" t="s">
        <v>4870</v>
      </c>
      <c r="D1133" s="12">
        <v>3</v>
      </c>
      <c r="E1133" s="125">
        <v>28692015.23</v>
      </c>
      <c r="F1133" s="12">
        <v>-7</v>
      </c>
      <c r="G1133" s="125">
        <v>25219284.5</v>
      </c>
      <c r="H1133" s="12" t="s">
        <v>2538</v>
      </c>
      <c r="I1133" s="125">
        <v>616471.4</v>
      </c>
      <c r="J1133" s="13">
        <v>42887.598011423608</v>
      </c>
      <c r="K1133" s="13">
        <v>43252</v>
      </c>
      <c r="L1133" s="12" t="s">
        <v>4871</v>
      </c>
      <c r="M1133" s="12"/>
      <c r="N1133" s="12" t="s">
        <v>4872</v>
      </c>
      <c r="O1133" s="12"/>
      <c r="P1133" s="12"/>
      <c r="Q1133" s="12"/>
    </row>
    <row r="1134" spans="1:17" x14ac:dyDescent="0.25">
      <c r="A1134" s="11">
        <v>201094</v>
      </c>
      <c r="B1134" s="12" t="s">
        <v>3488</v>
      </c>
      <c r="C1134" s="12" t="s">
        <v>3496</v>
      </c>
      <c r="D1134" s="12">
        <v>1</v>
      </c>
      <c r="E1134" s="125">
        <v>11202321.699999999</v>
      </c>
      <c r="F1134" s="12">
        <v>-7</v>
      </c>
      <c r="G1134" s="125">
        <v>9605278.1799999997</v>
      </c>
      <c r="H1134" s="12" t="s">
        <v>2861</v>
      </c>
      <c r="I1134" s="125">
        <v>281754.83</v>
      </c>
      <c r="J1134" s="13">
        <v>42886.772906446757</v>
      </c>
      <c r="K1134" s="13">
        <v>43252</v>
      </c>
      <c r="L1134" s="12" t="s">
        <v>3497</v>
      </c>
      <c r="M1134" s="12"/>
      <c r="N1134" s="12" t="s">
        <v>3498</v>
      </c>
      <c r="O1134" s="12"/>
      <c r="P1134" s="12"/>
      <c r="Q1134" s="12"/>
    </row>
    <row r="1135" spans="1:17" x14ac:dyDescent="0.25">
      <c r="A1135" s="11">
        <v>201095</v>
      </c>
      <c r="B1135" s="12" t="s">
        <v>4868</v>
      </c>
      <c r="C1135" s="12" t="s">
        <v>4873</v>
      </c>
      <c r="D1135" s="12">
        <v>1</v>
      </c>
      <c r="E1135" s="125">
        <v>8950382.5099999998</v>
      </c>
      <c r="F1135" s="12">
        <v>-7</v>
      </c>
      <c r="G1135" s="125">
        <v>7674383.5999999996</v>
      </c>
      <c r="H1135" s="12" t="s">
        <v>2175</v>
      </c>
      <c r="I1135" s="125">
        <v>225115.25</v>
      </c>
      <c r="J1135" s="13">
        <v>42887.411708645835</v>
      </c>
      <c r="K1135" s="13">
        <v>43252</v>
      </c>
      <c r="L1135" s="12" t="s">
        <v>4874</v>
      </c>
      <c r="M1135" s="12" t="s">
        <v>4875</v>
      </c>
      <c r="N1135" s="12"/>
      <c r="O1135" s="12"/>
      <c r="P1135" s="12"/>
      <c r="Q1135" s="12"/>
    </row>
    <row r="1136" spans="1:17" x14ac:dyDescent="0.25">
      <c r="A1136" s="11">
        <v>201096</v>
      </c>
      <c r="B1136" s="12" t="s">
        <v>4850</v>
      </c>
      <c r="C1136" s="12" t="s">
        <v>340</v>
      </c>
      <c r="D1136" s="12">
        <v>5</v>
      </c>
      <c r="E1136" s="125">
        <v>3970641.33</v>
      </c>
      <c r="F1136" s="12">
        <v>-27</v>
      </c>
      <c r="G1136" s="125">
        <v>3408168.64</v>
      </c>
      <c r="H1136" s="12" t="s">
        <v>284</v>
      </c>
      <c r="I1136" s="125">
        <v>4165.54</v>
      </c>
      <c r="J1136" s="13">
        <v>42892.617003935185</v>
      </c>
      <c r="K1136" s="13">
        <v>43545</v>
      </c>
      <c r="L1136" s="12" t="s">
        <v>341</v>
      </c>
      <c r="M1136" s="12"/>
      <c r="N1136" s="12"/>
      <c r="O1136" s="12"/>
      <c r="P1136" s="12"/>
      <c r="Q1136" s="12"/>
    </row>
    <row r="1137" spans="1:17" x14ac:dyDescent="0.25">
      <c r="A1137" s="11">
        <v>201100</v>
      </c>
      <c r="B1137" s="12" t="s">
        <v>3401</v>
      </c>
      <c r="C1137" s="12" t="s">
        <v>3417</v>
      </c>
      <c r="D1137" s="12">
        <v>6</v>
      </c>
      <c r="E1137" s="125">
        <v>23630326.129999999</v>
      </c>
      <c r="F1137" s="12">
        <v>-14</v>
      </c>
      <c r="G1137" s="125">
        <v>19331343.32</v>
      </c>
      <c r="H1137" s="12" t="s">
        <v>546</v>
      </c>
      <c r="I1137" s="125">
        <v>289970.15000000002</v>
      </c>
      <c r="J1137" s="13">
        <v>42894.757028159722</v>
      </c>
      <c r="K1137" s="13">
        <v>43442</v>
      </c>
      <c r="L1137" s="12" t="s">
        <v>3418</v>
      </c>
      <c r="M1137" s="12"/>
      <c r="N1137" s="12"/>
      <c r="O1137" s="12"/>
      <c r="P1137" s="12"/>
      <c r="Q1137" s="12"/>
    </row>
    <row r="1138" spans="1:17" x14ac:dyDescent="0.25">
      <c r="A1138" s="11">
        <v>201101</v>
      </c>
      <c r="B1138" s="12" t="s">
        <v>4885</v>
      </c>
      <c r="C1138" s="12" t="s">
        <v>4891</v>
      </c>
      <c r="D1138" s="12">
        <v>1</v>
      </c>
      <c r="E1138" s="125">
        <v>1579735.32</v>
      </c>
      <c r="F1138" s="12">
        <v>-18</v>
      </c>
      <c r="G1138" s="125">
        <v>1387000.25</v>
      </c>
      <c r="H1138" s="12" t="s">
        <v>3074</v>
      </c>
      <c r="I1138" s="125">
        <v>22885.5</v>
      </c>
      <c r="J1138" s="13">
        <v>42898.485473263892</v>
      </c>
      <c r="K1138" s="13">
        <v>43202</v>
      </c>
      <c r="L1138" s="12" t="s">
        <v>4892</v>
      </c>
      <c r="M1138" s="12"/>
      <c r="N1138" s="12" t="s">
        <v>4893</v>
      </c>
      <c r="O1138" s="12"/>
      <c r="P1138" s="12"/>
      <c r="Q1138" s="12"/>
    </row>
    <row r="1139" spans="1:17" x14ac:dyDescent="0.25">
      <c r="A1139" s="11">
        <v>201104</v>
      </c>
      <c r="B1139" s="12" t="s">
        <v>4886</v>
      </c>
      <c r="C1139" s="12" t="s">
        <v>4894</v>
      </c>
      <c r="D1139" s="12">
        <v>1</v>
      </c>
      <c r="E1139" s="125">
        <v>11514949.810000001</v>
      </c>
      <c r="F1139" s="12">
        <v>-18</v>
      </c>
      <c r="G1139" s="125">
        <v>9693450.7899999991</v>
      </c>
      <c r="H1139" s="12" t="s">
        <v>1667</v>
      </c>
      <c r="I1139" s="125">
        <v>159941.94</v>
      </c>
      <c r="J1139" s="13">
        <v>42898.722324340277</v>
      </c>
      <c r="K1139" s="13">
        <v>43263</v>
      </c>
      <c r="L1139" s="12" t="s">
        <v>4895</v>
      </c>
      <c r="M1139" s="12"/>
      <c r="N1139" s="12" t="s">
        <v>4896</v>
      </c>
      <c r="O1139" s="12"/>
      <c r="P1139" s="12"/>
      <c r="Q1139" s="12"/>
    </row>
    <row r="1140" spans="1:17" x14ac:dyDescent="0.25">
      <c r="A1140" s="11">
        <v>201106</v>
      </c>
      <c r="B1140" s="12" t="s">
        <v>3350</v>
      </c>
      <c r="C1140" s="12" t="s">
        <v>3366</v>
      </c>
      <c r="D1140" s="12">
        <v>7</v>
      </c>
      <c r="E1140" s="125">
        <v>2983460.84</v>
      </c>
      <c r="F1140" s="12">
        <v>-19</v>
      </c>
      <c r="G1140" s="125">
        <v>2558127.87</v>
      </c>
      <c r="H1140" s="12" t="s">
        <v>2861</v>
      </c>
      <c r="I1140" s="125">
        <v>34108.370000000003</v>
      </c>
      <c r="J1140" s="13">
        <v>42899.468766782411</v>
      </c>
      <c r="K1140" s="13">
        <v>43264</v>
      </c>
      <c r="L1140" s="12" t="s">
        <v>3367</v>
      </c>
      <c r="M1140" s="12"/>
      <c r="N1140" s="12" t="s">
        <v>3368</v>
      </c>
      <c r="O1140" s="12"/>
      <c r="P1140" s="12"/>
      <c r="Q1140" s="12"/>
    </row>
    <row r="1141" spans="1:17" x14ac:dyDescent="0.25">
      <c r="A1141" s="11">
        <v>201107</v>
      </c>
      <c r="B1141" s="12" t="s">
        <v>2679</v>
      </c>
      <c r="C1141" s="12" t="s">
        <v>2693</v>
      </c>
      <c r="D1141" s="12">
        <v>6</v>
      </c>
      <c r="E1141" s="125">
        <v>22503507.129999999</v>
      </c>
      <c r="F1141" s="12">
        <v>-20</v>
      </c>
      <c r="G1141" s="125">
        <v>20029030.98</v>
      </c>
      <c r="H1141" s="12" t="s">
        <v>491</v>
      </c>
      <c r="I1141" s="125">
        <v>180261.28</v>
      </c>
      <c r="J1141" s="13">
        <v>42900.564021377315</v>
      </c>
      <c r="K1141" s="13">
        <v>43265</v>
      </c>
      <c r="L1141" s="12" t="s">
        <v>2694</v>
      </c>
      <c r="M1141" s="12"/>
      <c r="N1141" s="12"/>
      <c r="O1141" s="12"/>
      <c r="P1141" s="12"/>
      <c r="Q1141" s="12"/>
    </row>
    <row r="1142" spans="1:17" x14ac:dyDescent="0.25">
      <c r="A1142" s="11">
        <v>201108</v>
      </c>
      <c r="B1142" s="12" t="s">
        <v>3490</v>
      </c>
      <c r="C1142" s="12" t="s">
        <v>3493</v>
      </c>
      <c r="D1142" s="12">
        <v>7</v>
      </c>
      <c r="E1142" s="125">
        <v>3729326.0800000001</v>
      </c>
      <c r="F1142" s="12">
        <v>-21</v>
      </c>
      <c r="G1142" s="125">
        <v>3197659.85</v>
      </c>
      <c r="H1142" s="12" t="s">
        <v>2175</v>
      </c>
      <c r="I1142" s="125">
        <v>34108.370000000003</v>
      </c>
      <c r="J1142" s="13">
        <v>42901.675884756944</v>
      </c>
      <c r="K1142" s="13">
        <v>43266</v>
      </c>
      <c r="L1142" s="12" t="s">
        <v>3494</v>
      </c>
      <c r="M1142" s="12"/>
      <c r="N1142" s="12" t="s">
        <v>3495</v>
      </c>
      <c r="O1142" s="12"/>
      <c r="P1142" s="12"/>
      <c r="Q1142" s="12"/>
    </row>
    <row r="1143" spans="1:17" x14ac:dyDescent="0.25">
      <c r="A1143" s="11">
        <v>201109</v>
      </c>
      <c r="B1143" s="12" t="s">
        <v>4898</v>
      </c>
      <c r="C1143" s="12" t="s">
        <v>4899</v>
      </c>
      <c r="D1143" s="12">
        <v>8</v>
      </c>
      <c r="E1143" s="125">
        <v>5120576.78</v>
      </c>
      <c r="F1143" s="12">
        <v>-21</v>
      </c>
      <c r="G1143" s="125">
        <v>4445166.99</v>
      </c>
      <c r="H1143" s="12" t="s">
        <v>1909</v>
      </c>
      <c r="I1143" s="125">
        <v>43463.86</v>
      </c>
      <c r="J1143" s="13">
        <v>42901.669926817129</v>
      </c>
      <c r="K1143" s="13">
        <v>43266</v>
      </c>
      <c r="L1143" s="12" t="s">
        <v>4900</v>
      </c>
      <c r="M1143" s="12"/>
      <c r="N1143" s="12"/>
      <c r="O1143" s="12"/>
      <c r="P1143" s="12"/>
      <c r="Q1143" s="12"/>
    </row>
    <row r="1144" spans="1:17" x14ac:dyDescent="0.25">
      <c r="A1144" s="11">
        <v>201110</v>
      </c>
      <c r="B1144" s="12" t="s">
        <v>4897</v>
      </c>
      <c r="C1144" s="12" t="s">
        <v>4901</v>
      </c>
      <c r="D1144" s="12">
        <v>1</v>
      </c>
      <c r="E1144" s="125">
        <v>1579735.32</v>
      </c>
      <c r="F1144" s="12">
        <v>-21</v>
      </c>
      <c r="G1144" s="125">
        <v>1387000.25</v>
      </c>
      <c r="H1144" s="12" t="s">
        <v>1448</v>
      </c>
      <c r="I1144" s="125">
        <v>16644</v>
      </c>
      <c r="J1144" s="13">
        <v>42901.681031863423</v>
      </c>
      <c r="K1144" s="13">
        <v>43205</v>
      </c>
      <c r="L1144" s="12" t="s">
        <v>4902</v>
      </c>
      <c r="M1144" s="12"/>
      <c r="N1144" s="12"/>
      <c r="O1144" s="12"/>
      <c r="P1144" s="12"/>
      <c r="Q1144" s="12"/>
    </row>
    <row r="1145" spans="1:17" x14ac:dyDescent="0.25">
      <c r="A1145" s="11">
        <v>201111</v>
      </c>
      <c r="B1145" s="12" t="s">
        <v>4929</v>
      </c>
      <c r="C1145" s="12" t="s">
        <v>4935</v>
      </c>
      <c r="D1145" s="12">
        <v>2</v>
      </c>
      <c r="E1145" s="125">
        <v>25672831.699999999</v>
      </c>
      <c r="F1145" s="12">
        <v>-27</v>
      </c>
      <c r="G1145" s="125">
        <v>19719988.949999999</v>
      </c>
      <c r="H1145" s="12" t="s">
        <v>4685</v>
      </c>
      <c r="I1145" s="125">
        <v>52586.64</v>
      </c>
      <c r="J1145" s="13">
        <v>42907.509451238424</v>
      </c>
      <c r="K1145" s="13">
        <v>43455</v>
      </c>
      <c r="L1145" s="12" t="s">
        <v>4936</v>
      </c>
      <c r="M1145" s="12"/>
      <c r="N1145" s="12" t="s">
        <v>4937</v>
      </c>
      <c r="O1145" s="12"/>
      <c r="P1145" s="12"/>
      <c r="Q1145" s="12"/>
    </row>
    <row r="1146" spans="1:17" x14ac:dyDescent="0.25">
      <c r="A1146" s="11">
        <v>201112</v>
      </c>
      <c r="B1146" s="12" t="s">
        <v>3561</v>
      </c>
      <c r="C1146" s="12" t="s">
        <v>3589</v>
      </c>
      <c r="D1146" s="12">
        <v>6</v>
      </c>
      <c r="E1146" s="125">
        <v>33657027.100000001</v>
      </c>
      <c r="F1146" s="12">
        <v>-21</v>
      </c>
      <c r="G1146" s="125">
        <v>25373499.710000001</v>
      </c>
      <c r="H1146" s="12" t="s">
        <v>546</v>
      </c>
      <c r="I1146" s="125">
        <v>202988</v>
      </c>
      <c r="J1146" s="13">
        <v>42901.750078159719</v>
      </c>
      <c r="K1146" s="13">
        <v>43631</v>
      </c>
      <c r="L1146" s="12" t="s">
        <v>3590</v>
      </c>
      <c r="M1146" s="12"/>
      <c r="N1146" s="12" t="s">
        <v>3591</v>
      </c>
      <c r="O1146" s="12"/>
      <c r="P1146" s="12"/>
      <c r="Q1146" s="12"/>
    </row>
    <row r="1147" spans="1:17" x14ac:dyDescent="0.25">
      <c r="A1147" s="11">
        <v>201113</v>
      </c>
      <c r="B1147" s="12" t="s">
        <v>4084</v>
      </c>
      <c r="C1147" s="12" t="s">
        <v>4091</v>
      </c>
      <c r="D1147" s="12">
        <v>6</v>
      </c>
      <c r="E1147" s="125">
        <v>35627260.939999998</v>
      </c>
      <c r="F1147" s="12">
        <v>8</v>
      </c>
      <c r="G1147" s="125">
        <v>28746296.120000001</v>
      </c>
      <c r="H1147" s="12" t="s">
        <v>546</v>
      </c>
      <c r="I1147" s="125">
        <v>1051836.04</v>
      </c>
      <c r="J1147" s="13">
        <v>42902.50178298611</v>
      </c>
      <c r="K1147" s="13">
        <v>43450</v>
      </c>
      <c r="L1147" s="12" t="s">
        <v>4092</v>
      </c>
      <c r="M1147" s="12"/>
      <c r="N1147" s="12"/>
      <c r="O1147" s="12"/>
      <c r="P1147" s="12"/>
      <c r="Q1147" s="12"/>
    </row>
    <row r="1148" spans="1:17" x14ac:dyDescent="0.25">
      <c r="A1148" s="11">
        <v>201114</v>
      </c>
      <c r="B1148" s="12" t="s">
        <v>4904</v>
      </c>
      <c r="C1148" s="12" t="s">
        <v>4907</v>
      </c>
      <c r="D1148" s="12">
        <v>6</v>
      </c>
      <c r="E1148" s="125">
        <v>29161524.120000001</v>
      </c>
      <c r="F1148" s="12">
        <v>-22</v>
      </c>
      <c r="G1148" s="125">
        <v>23355586.120000001</v>
      </c>
      <c r="H1148" s="12" t="s">
        <v>1909</v>
      </c>
      <c r="I1148" s="125">
        <v>181654.56</v>
      </c>
      <c r="J1148" s="13">
        <v>42902.57308318287</v>
      </c>
      <c r="K1148" s="13">
        <v>43450</v>
      </c>
      <c r="L1148" s="12" t="s">
        <v>4908</v>
      </c>
      <c r="M1148" s="12"/>
      <c r="N1148" s="12" t="s">
        <v>4909</v>
      </c>
      <c r="O1148" s="12"/>
      <c r="P1148" s="12"/>
      <c r="Q1148" s="12"/>
    </row>
    <row r="1149" spans="1:17" x14ac:dyDescent="0.25">
      <c r="A1149" s="11">
        <v>201115</v>
      </c>
      <c r="B1149" s="12" t="s">
        <v>3179</v>
      </c>
      <c r="C1149" s="12" t="s">
        <v>3183</v>
      </c>
      <c r="D1149" s="12">
        <v>1</v>
      </c>
      <c r="E1149" s="125">
        <v>1864663.03</v>
      </c>
      <c r="F1149" s="12">
        <v>-23</v>
      </c>
      <c r="G1149" s="125">
        <v>1598829.92</v>
      </c>
      <c r="H1149" s="12" t="s">
        <v>2557</v>
      </c>
      <c r="I1149" s="125">
        <v>12790.64</v>
      </c>
      <c r="J1149" s="13">
        <v>42903.522571180554</v>
      </c>
      <c r="K1149" s="13">
        <v>43268</v>
      </c>
      <c r="L1149" s="12" t="s">
        <v>3184</v>
      </c>
      <c r="M1149" s="12"/>
      <c r="N1149" s="12"/>
      <c r="O1149" s="12"/>
      <c r="P1149" s="12"/>
      <c r="Q1149" s="12"/>
    </row>
    <row r="1150" spans="1:17" x14ac:dyDescent="0.25">
      <c r="A1150" s="11">
        <v>201116</v>
      </c>
      <c r="B1150" s="12" t="s">
        <v>4910</v>
      </c>
      <c r="C1150" s="12" t="s">
        <v>4912</v>
      </c>
      <c r="D1150" s="12">
        <v>8</v>
      </c>
      <c r="E1150" s="125">
        <v>3252392.09</v>
      </c>
      <c r="F1150" s="12">
        <v>-25</v>
      </c>
      <c r="G1150" s="125">
        <v>2939904.34</v>
      </c>
      <c r="H1150" s="12" t="s">
        <v>2538</v>
      </c>
      <c r="I1150" s="125">
        <v>16332.8</v>
      </c>
      <c r="J1150" s="13">
        <v>42905.652842939817</v>
      </c>
      <c r="K1150" s="13">
        <v>43178</v>
      </c>
      <c r="L1150" s="12" t="s">
        <v>4913</v>
      </c>
      <c r="M1150" s="12"/>
      <c r="N1150" s="12"/>
      <c r="O1150" s="12"/>
      <c r="P1150" s="12"/>
      <c r="Q1150" s="12"/>
    </row>
    <row r="1151" spans="1:17" x14ac:dyDescent="0.25">
      <c r="A1151" s="11">
        <v>201117</v>
      </c>
      <c r="B1151" s="12" t="s">
        <v>4911</v>
      </c>
      <c r="C1151" s="12" t="s">
        <v>4914</v>
      </c>
      <c r="D1151" s="12">
        <v>7</v>
      </c>
      <c r="E1151" s="125">
        <v>4108614.18</v>
      </c>
      <c r="F1151" s="12">
        <v>5</v>
      </c>
      <c r="G1151" s="125">
        <v>3501447.84</v>
      </c>
      <c r="H1151" s="12" t="s">
        <v>4844</v>
      </c>
      <c r="I1151" s="125">
        <v>182139.68</v>
      </c>
      <c r="J1151" s="13">
        <v>42905.707433530093</v>
      </c>
      <c r="K1151" s="13">
        <v>43270</v>
      </c>
      <c r="L1151" s="12" t="s">
        <v>4915</v>
      </c>
      <c r="M1151" s="12"/>
      <c r="N1151" s="12"/>
      <c r="O1151" s="12"/>
      <c r="P1151" s="12"/>
      <c r="Q1151" s="12"/>
    </row>
    <row r="1152" spans="1:17" x14ac:dyDescent="0.25">
      <c r="A1152" s="11">
        <v>201118</v>
      </c>
      <c r="B1152" s="12" t="s">
        <v>3547</v>
      </c>
      <c r="C1152" s="12" t="s">
        <v>3595</v>
      </c>
      <c r="D1152" s="12">
        <v>1</v>
      </c>
      <c r="E1152" s="125">
        <v>3082273.62</v>
      </c>
      <c r="F1152" s="12">
        <v>-26</v>
      </c>
      <c r="G1152" s="125">
        <v>2744346.9</v>
      </c>
      <c r="H1152" s="12" t="s">
        <v>4683</v>
      </c>
      <c r="I1152" s="125">
        <v>10977.39</v>
      </c>
      <c r="J1152" s="13">
        <v>42906.382008136577</v>
      </c>
      <c r="K1152" s="13">
        <v>43210</v>
      </c>
      <c r="L1152" s="12" t="s">
        <v>3596</v>
      </c>
      <c r="M1152" s="12"/>
      <c r="N1152" s="12"/>
      <c r="O1152" s="12"/>
      <c r="P1152" s="12"/>
      <c r="Q1152" s="12"/>
    </row>
    <row r="1153" spans="1:17" x14ac:dyDescent="0.25">
      <c r="A1153" s="11">
        <v>201119</v>
      </c>
      <c r="B1153" s="12" t="s">
        <v>4918</v>
      </c>
      <c r="C1153" s="12" t="s">
        <v>4920</v>
      </c>
      <c r="D1153" s="12">
        <v>1</v>
      </c>
      <c r="E1153" s="125">
        <v>969391.94</v>
      </c>
      <c r="F1153" s="12">
        <v>4</v>
      </c>
      <c r="G1153" s="125">
        <v>907674.51</v>
      </c>
      <c r="H1153" s="12" t="s">
        <v>4919</v>
      </c>
      <c r="I1153" s="125">
        <v>42932.56</v>
      </c>
      <c r="J1153" s="13">
        <v>42906.535172800926</v>
      </c>
      <c r="K1153" s="13">
        <v>43089</v>
      </c>
      <c r="L1153" s="12" t="s">
        <v>4921</v>
      </c>
      <c r="M1153" s="12"/>
      <c r="N1153" s="12" t="s">
        <v>4922</v>
      </c>
      <c r="O1153" s="12"/>
      <c r="P1153" s="12"/>
      <c r="Q1153" s="12"/>
    </row>
    <row r="1154" spans="1:17" x14ac:dyDescent="0.25">
      <c r="A1154" s="11">
        <v>201120</v>
      </c>
      <c r="B1154" s="12" t="s">
        <v>4917</v>
      </c>
      <c r="C1154" s="12" t="s">
        <v>4923</v>
      </c>
      <c r="D1154" s="12">
        <v>1</v>
      </c>
      <c r="E1154" s="125">
        <v>1919158.3</v>
      </c>
      <c r="F1154" s="12">
        <v>-26</v>
      </c>
      <c r="G1154" s="125">
        <v>1615575.13</v>
      </c>
      <c r="H1154" s="12" t="s">
        <v>2538</v>
      </c>
      <c r="I1154" s="125">
        <v>7270.09</v>
      </c>
      <c r="J1154" s="13">
        <v>42906.51932230324</v>
      </c>
      <c r="K1154" s="13">
        <v>43271</v>
      </c>
      <c r="L1154" s="12" t="s">
        <v>4924</v>
      </c>
      <c r="M1154" s="12"/>
      <c r="N1154" s="12"/>
      <c r="O1154" s="12"/>
      <c r="P1154" s="12"/>
      <c r="Q1154" s="12"/>
    </row>
    <row r="1155" spans="1:17" x14ac:dyDescent="0.25">
      <c r="A1155" s="11">
        <v>201121</v>
      </c>
      <c r="B1155" s="12" t="s">
        <v>2236</v>
      </c>
      <c r="C1155" s="12" t="s">
        <v>2245</v>
      </c>
      <c r="D1155" s="12">
        <v>8</v>
      </c>
      <c r="E1155" s="125">
        <v>5016075.22</v>
      </c>
      <c r="F1155" s="12">
        <v>4</v>
      </c>
      <c r="G1155" s="125">
        <v>4280211.46</v>
      </c>
      <c r="H1155" s="12" t="s">
        <v>1448</v>
      </c>
      <c r="I1155" s="125">
        <v>170911.61</v>
      </c>
      <c r="J1155" s="13">
        <v>42906.706998182868</v>
      </c>
      <c r="K1155" s="13">
        <v>43271</v>
      </c>
      <c r="L1155" s="12" t="s">
        <v>2246</v>
      </c>
      <c r="M1155" s="12"/>
      <c r="N1155" s="12"/>
      <c r="O1155" s="12"/>
      <c r="P1155" s="12"/>
      <c r="Q1155" s="12"/>
    </row>
    <row r="1156" spans="1:17" x14ac:dyDescent="0.25">
      <c r="A1156" s="11">
        <v>201123</v>
      </c>
      <c r="B1156" s="12" t="s">
        <v>4916</v>
      </c>
      <c r="C1156" s="12" t="s">
        <v>4925</v>
      </c>
      <c r="D1156" s="12">
        <v>3</v>
      </c>
      <c r="E1156" s="125">
        <v>28692015.23</v>
      </c>
      <c r="F1156" s="12">
        <v>-26</v>
      </c>
      <c r="G1156" s="536">
        <v>25219284.5</v>
      </c>
      <c r="H1156" s="12" t="s">
        <v>1909</v>
      </c>
      <c r="I1156" s="125">
        <v>84064.28</v>
      </c>
      <c r="J1156" s="13">
        <v>42906.581479479166</v>
      </c>
      <c r="K1156" s="13">
        <v>43271</v>
      </c>
      <c r="L1156" s="12" t="s">
        <v>4926</v>
      </c>
      <c r="M1156" s="12"/>
      <c r="N1156" s="12"/>
      <c r="O1156" s="12"/>
      <c r="P1156" s="12"/>
      <c r="Q1156" s="12"/>
    </row>
    <row r="1157" spans="1:17" x14ac:dyDescent="0.25">
      <c r="A1157" s="11">
        <v>201124</v>
      </c>
      <c r="B1157" s="12" t="s">
        <v>2593</v>
      </c>
      <c r="C1157" s="12" t="s">
        <v>2599</v>
      </c>
      <c r="D1157" s="12">
        <v>5</v>
      </c>
      <c r="E1157" s="125">
        <v>13137375.1</v>
      </c>
      <c r="F1157" s="12">
        <v>-27</v>
      </c>
      <c r="G1157" s="125">
        <v>9953772.6699999999</v>
      </c>
      <c r="H1157" s="12" t="s">
        <v>284</v>
      </c>
      <c r="I1157" s="125">
        <v>12165.72</v>
      </c>
      <c r="J1157" s="13">
        <v>42906.719259953701</v>
      </c>
      <c r="K1157" s="13">
        <v>44003</v>
      </c>
      <c r="L1157" s="12" t="s">
        <v>2600</v>
      </c>
      <c r="M1157" s="12"/>
      <c r="N1157" s="12"/>
      <c r="O1157" s="12"/>
      <c r="P1157" s="12"/>
      <c r="Q1157" s="12"/>
    </row>
    <row r="1158" spans="1:17" x14ac:dyDescent="0.25">
      <c r="A1158" s="11">
        <v>201125</v>
      </c>
      <c r="B1158" s="12" t="s">
        <v>4938</v>
      </c>
      <c r="C1158" s="12" t="s">
        <v>4940</v>
      </c>
      <c r="D1158" s="12">
        <v>6</v>
      </c>
      <c r="E1158" s="125">
        <v>10759505.74</v>
      </c>
      <c r="F1158" s="12">
        <v>-28</v>
      </c>
      <c r="G1158" s="125">
        <v>9457231.7100000009</v>
      </c>
      <c r="H1158" s="12" t="s">
        <v>2538</v>
      </c>
      <c r="I1158" s="125">
        <v>10508.04</v>
      </c>
      <c r="J1158" s="13">
        <v>42908.44984548611</v>
      </c>
      <c r="K1158" s="13">
        <v>43273</v>
      </c>
      <c r="L1158" s="12" t="s">
        <v>4941</v>
      </c>
      <c r="M1158" s="12"/>
      <c r="N1158" s="12" t="s">
        <v>4942</v>
      </c>
      <c r="O1158" s="12"/>
      <c r="P1158" s="12"/>
      <c r="Q1158" s="12"/>
    </row>
    <row r="1159" spans="1:17" x14ac:dyDescent="0.25">
      <c r="A1159" s="11">
        <v>201126</v>
      </c>
      <c r="B1159" s="12" t="s">
        <v>4949</v>
      </c>
      <c r="C1159" s="12" t="s">
        <v>4950</v>
      </c>
      <c r="D1159" s="12">
        <v>3</v>
      </c>
      <c r="E1159" s="125">
        <v>36889733.850000001</v>
      </c>
      <c r="F1159" s="12">
        <v>31</v>
      </c>
      <c r="G1159" s="125">
        <v>31423796.66</v>
      </c>
      <c r="H1159" s="12" t="s">
        <v>491</v>
      </c>
      <c r="I1159" s="125">
        <v>1961681.58</v>
      </c>
      <c r="J1159" s="13">
        <v>42910.50086177083</v>
      </c>
      <c r="K1159" s="13">
        <v>43275</v>
      </c>
      <c r="L1159" s="12" t="s">
        <v>4951</v>
      </c>
      <c r="M1159" s="12"/>
      <c r="N1159" s="12"/>
      <c r="O1159" s="12"/>
      <c r="P1159" s="12"/>
      <c r="Q1159" s="12"/>
    </row>
    <row r="1160" spans="1:17" x14ac:dyDescent="0.25">
      <c r="A1160" s="11">
        <v>201127</v>
      </c>
      <c r="B1160" s="12" t="s">
        <v>2875</v>
      </c>
      <c r="C1160" s="12" t="s">
        <v>2878</v>
      </c>
      <c r="D1160" s="12">
        <v>1</v>
      </c>
      <c r="E1160" s="125">
        <v>2247908.67</v>
      </c>
      <c r="F1160" s="12">
        <v>3</v>
      </c>
      <c r="G1160" s="125">
        <v>1928908.93</v>
      </c>
      <c r="H1160" s="12" t="s">
        <v>4684</v>
      </c>
      <c r="I1160" s="125">
        <v>5116.26</v>
      </c>
      <c r="J1160" s="13">
        <v>42907.513442013886</v>
      </c>
      <c r="K1160" s="13">
        <v>43272</v>
      </c>
      <c r="L1160" s="12" t="s">
        <v>2879</v>
      </c>
      <c r="M1160" s="12" t="s">
        <v>2880</v>
      </c>
      <c r="N1160" s="12"/>
      <c r="O1160" s="12"/>
      <c r="P1160" s="12"/>
      <c r="Q1160" s="12"/>
    </row>
    <row r="1161" spans="1:17" x14ac:dyDescent="0.25">
      <c r="A1161" s="11">
        <v>201131</v>
      </c>
      <c r="B1161" s="12" t="s">
        <v>4943</v>
      </c>
      <c r="C1161" s="12" t="s">
        <v>4945</v>
      </c>
      <c r="D1161" s="12">
        <v>6</v>
      </c>
      <c r="E1161" s="125">
        <v>40836849.310000002</v>
      </c>
      <c r="F1161" s="12">
        <v>1</v>
      </c>
      <c r="G1161" s="125">
        <v>29936502.710000001</v>
      </c>
      <c r="H1161" s="12" t="s">
        <v>1925</v>
      </c>
      <c r="I1161" s="125">
        <v>1030034.46</v>
      </c>
      <c r="J1161" s="13">
        <v>42909.555756562499</v>
      </c>
      <c r="K1161" s="13">
        <v>43639</v>
      </c>
      <c r="L1161" s="12" t="s">
        <v>4946</v>
      </c>
      <c r="M1161" s="12"/>
      <c r="N1161" s="12"/>
      <c r="O1161" s="12"/>
      <c r="P1161" s="12"/>
      <c r="Q1161" s="12"/>
    </row>
    <row r="1162" spans="1:17" x14ac:dyDescent="0.25">
      <c r="A1162" s="11">
        <v>201132</v>
      </c>
      <c r="B1162" s="12" t="s">
        <v>3668</v>
      </c>
      <c r="C1162" s="12" t="s">
        <v>3674</v>
      </c>
      <c r="D1162" s="12">
        <v>7</v>
      </c>
      <c r="E1162" s="125">
        <v>2237595.63</v>
      </c>
      <c r="F1162" s="12">
        <v>-29</v>
      </c>
      <c r="G1162" s="125">
        <v>1918595.89</v>
      </c>
      <c r="H1162" s="12" t="s">
        <v>2034</v>
      </c>
      <c r="I1162" s="125">
        <v>86086.63</v>
      </c>
      <c r="J1162" s="13">
        <v>42909.715059178241</v>
      </c>
      <c r="K1162" s="13">
        <v>43274</v>
      </c>
      <c r="L1162" s="12" t="s">
        <v>3675</v>
      </c>
      <c r="M1162" s="12"/>
      <c r="N1162" s="12"/>
      <c r="O1162" s="12"/>
      <c r="P1162" s="12"/>
      <c r="Q1162" s="12"/>
    </row>
    <row r="1163" spans="1:17" x14ac:dyDescent="0.25">
      <c r="A1163" s="11">
        <v>201134</v>
      </c>
      <c r="B1163" s="12" t="s">
        <v>4944</v>
      </c>
      <c r="C1163" s="12" t="s">
        <v>4947</v>
      </c>
      <c r="D1163" s="12">
        <v>2</v>
      </c>
      <c r="E1163" s="125">
        <v>16545930.09</v>
      </c>
      <c r="F1163" s="12">
        <v>1</v>
      </c>
      <c r="G1163" s="125">
        <v>14226881.300000001</v>
      </c>
      <c r="H1163" s="12" t="s">
        <v>2175</v>
      </c>
      <c r="I1163" s="125">
        <v>497940.85</v>
      </c>
      <c r="J1163" s="13">
        <v>42909.698539201388</v>
      </c>
      <c r="K1163" s="13">
        <v>43274</v>
      </c>
      <c r="L1163" s="12" t="s">
        <v>4948</v>
      </c>
      <c r="M1163" s="12"/>
      <c r="N1163" s="12"/>
      <c r="O1163" s="12"/>
      <c r="P1163" s="12"/>
      <c r="Q1163" s="12"/>
    </row>
    <row r="1164" spans="1:17" x14ac:dyDescent="0.25">
      <c r="A1164" s="11">
        <v>201136</v>
      </c>
      <c r="B1164" s="12" t="s">
        <v>4952</v>
      </c>
      <c r="C1164" s="12" t="s">
        <v>4959</v>
      </c>
      <c r="D1164" s="12">
        <v>3</v>
      </c>
      <c r="E1164" s="125">
        <v>33973283.049999997</v>
      </c>
      <c r="F1164" s="12">
        <v>23</v>
      </c>
      <c r="G1164" s="125">
        <v>29531050.489999998</v>
      </c>
      <c r="H1164" s="12" t="s">
        <v>1925</v>
      </c>
      <c r="I1164" s="125">
        <v>697276.24</v>
      </c>
      <c r="J1164" s="13">
        <v>42912.623562002314</v>
      </c>
      <c r="K1164" s="13">
        <v>43282</v>
      </c>
      <c r="L1164" s="12" t="s">
        <v>4960</v>
      </c>
      <c r="M1164" s="12" t="s">
        <v>5078</v>
      </c>
      <c r="N1164" s="12" t="s">
        <v>4961</v>
      </c>
      <c r="O1164" s="12"/>
      <c r="P1164" s="12"/>
      <c r="Q1164" s="12"/>
    </row>
    <row r="1165" spans="1:17" x14ac:dyDescent="0.25">
      <c r="A1165" s="11">
        <v>201137</v>
      </c>
      <c r="B1165" s="12" t="s">
        <v>4955</v>
      </c>
      <c r="C1165" s="12" t="s">
        <v>4962</v>
      </c>
      <c r="D1165" s="12">
        <v>7</v>
      </c>
      <c r="E1165" s="125">
        <v>1562158.86</v>
      </c>
      <c r="F1165" s="12">
        <v>-7</v>
      </c>
      <c r="G1165" s="125">
        <v>1462702.26</v>
      </c>
      <c r="H1165" s="12" t="s">
        <v>4919</v>
      </c>
      <c r="I1165" s="125">
        <v>48269.17</v>
      </c>
      <c r="J1165" s="13">
        <v>42912.715486307869</v>
      </c>
      <c r="K1165" s="13">
        <v>43101</v>
      </c>
      <c r="L1165" s="12" t="s">
        <v>4963</v>
      </c>
      <c r="M1165" s="12" t="s">
        <v>4964</v>
      </c>
      <c r="N1165" s="12"/>
      <c r="O1165" s="12"/>
      <c r="P1165" s="12"/>
      <c r="Q1165" s="12"/>
    </row>
    <row r="1166" spans="1:17" x14ac:dyDescent="0.25">
      <c r="A1166" s="11">
        <v>201138</v>
      </c>
      <c r="B1166" s="12" t="s">
        <v>4953</v>
      </c>
      <c r="C1166" s="12" t="s">
        <v>4965</v>
      </c>
      <c r="D1166" s="12">
        <v>7</v>
      </c>
      <c r="E1166" s="125">
        <v>1892961.27</v>
      </c>
      <c r="F1166" s="12">
        <v>-1</v>
      </c>
      <c r="G1166" s="125">
        <v>1627275.47</v>
      </c>
      <c r="H1166" s="12" t="s">
        <v>2855</v>
      </c>
      <c r="I1166" s="125">
        <v>68345.570000000007</v>
      </c>
      <c r="J1166" s="13">
        <v>42912.698358368056</v>
      </c>
      <c r="K1166" s="13">
        <v>43215</v>
      </c>
      <c r="L1166" s="12" t="s">
        <v>4966</v>
      </c>
      <c r="M1166" s="12" t="s">
        <v>4967</v>
      </c>
      <c r="N1166" s="12"/>
      <c r="O1166" s="12"/>
      <c r="P1166" s="12"/>
      <c r="Q1166" s="12"/>
    </row>
    <row r="1167" spans="1:17" x14ac:dyDescent="0.25">
      <c r="A1167" s="11">
        <v>201139</v>
      </c>
      <c r="B1167" s="12" t="s">
        <v>4968</v>
      </c>
      <c r="C1167" s="12" t="s">
        <v>4970</v>
      </c>
      <c r="D1167" s="12">
        <v>7</v>
      </c>
      <c r="E1167" s="125">
        <v>1738030.51</v>
      </c>
      <c r="F1167" s="12">
        <v>54</v>
      </c>
      <c r="G1167" s="125">
        <v>1551997.65</v>
      </c>
      <c r="H1167" s="12" t="s">
        <v>4683</v>
      </c>
      <c r="I1167" s="125">
        <v>59877.51</v>
      </c>
      <c r="J1167" s="13">
        <v>42913.683103437499</v>
      </c>
      <c r="K1167" s="13">
        <v>43160</v>
      </c>
      <c r="L1167" s="12" t="s">
        <v>4971</v>
      </c>
      <c r="M1167" s="12"/>
      <c r="N1167" s="12"/>
      <c r="O1167" s="12"/>
      <c r="P1167" s="12"/>
      <c r="Q1167" s="12"/>
    </row>
    <row r="1168" spans="1:17" x14ac:dyDescent="0.25">
      <c r="A1168" s="11">
        <v>201142</v>
      </c>
      <c r="B1168" s="12" t="s">
        <v>4974</v>
      </c>
      <c r="C1168" s="12" t="s">
        <v>4975</v>
      </c>
      <c r="D1168" s="12">
        <v>1</v>
      </c>
      <c r="E1168" s="125">
        <v>3359866.4</v>
      </c>
      <c r="F1168" s="12">
        <v>23</v>
      </c>
      <c r="G1168" s="125">
        <v>3045844.52</v>
      </c>
      <c r="H1168" s="12" t="s">
        <v>4686</v>
      </c>
      <c r="I1168" s="125">
        <v>90130.54</v>
      </c>
      <c r="J1168" s="13">
        <v>42914.675568865743</v>
      </c>
      <c r="K1168" s="13">
        <v>43160</v>
      </c>
      <c r="L1168" s="12" t="s">
        <v>4976</v>
      </c>
      <c r="M1168" s="12"/>
      <c r="N1168" s="12"/>
      <c r="O1168" s="12"/>
      <c r="P1168" s="12"/>
      <c r="Q1168" s="12"/>
    </row>
    <row r="1169" spans="1:17" x14ac:dyDescent="0.25">
      <c r="A1169" s="11">
        <v>201144</v>
      </c>
      <c r="B1169" s="12" t="s">
        <v>4977</v>
      </c>
      <c r="C1169" s="12" t="s">
        <v>4978</v>
      </c>
      <c r="D1169" s="12">
        <v>1</v>
      </c>
      <c r="E1169" s="125">
        <v>3743452.17</v>
      </c>
      <c r="F1169" s="12">
        <v>23</v>
      </c>
      <c r="G1169" s="125">
        <v>3367164.5</v>
      </c>
      <c r="H1169" s="12" t="s">
        <v>2855</v>
      </c>
      <c r="I1169" s="125">
        <v>108002.06</v>
      </c>
      <c r="J1169" s="13">
        <v>42915.478969247684</v>
      </c>
      <c r="K1169" s="13">
        <v>43160</v>
      </c>
      <c r="L1169" s="12" t="s">
        <v>4979</v>
      </c>
      <c r="M1169" s="12"/>
      <c r="N1169" s="12"/>
      <c r="O1169" s="12"/>
      <c r="P1169" s="12"/>
      <c r="Q1169" s="12"/>
    </row>
    <row r="1170" spans="1:17" x14ac:dyDescent="0.25">
      <c r="A1170" s="11">
        <v>201145</v>
      </c>
      <c r="B1170" s="12" t="s">
        <v>1931</v>
      </c>
      <c r="C1170" s="12" t="s">
        <v>1932</v>
      </c>
      <c r="D1170" s="12">
        <v>6</v>
      </c>
      <c r="E1170" s="125">
        <v>14810647.300000001</v>
      </c>
      <c r="F1170" s="12">
        <v>0</v>
      </c>
      <c r="G1170" s="125">
        <v>12995773.16</v>
      </c>
      <c r="H1170" s="12" t="s">
        <v>1467</v>
      </c>
      <c r="I1170" s="125">
        <v>376877.42</v>
      </c>
      <c r="J1170" s="13">
        <v>42914.672504629627</v>
      </c>
      <c r="K1170" s="13">
        <v>43275</v>
      </c>
      <c r="L1170" s="12" t="s">
        <v>1933</v>
      </c>
      <c r="M1170" s="12"/>
      <c r="N1170" s="12"/>
      <c r="O1170" s="12"/>
      <c r="P1170" s="12"/>
      <c r="Q1170" s="12"/>
    </row>
    <row r="1171" spans="1:17" x14ac:dyDescent="0.25">
      <c r="A1171" s="11">
        <v>201147</v>
      </c>
      <c r="B1171" s="12" t="s">
        <v>4980</v>
      </c>
      <c r="C1171" s="12" t="s">
        <v>4985</v>
      </c>
      <c r="D1171" s="12">
        <v>1</v>
      </c>
      <c r="E1171" s="125">
        <v>3006078.51</v>
      </c>
      <c r="F1171" s="12">
        <v>0</v>
      </c>
      <c r="G1171" s="125">
        <v>2696095.97</v>
      </c>
      <c r="H1171" s="12" t="s">
        <v>1909</v>
      </c>
      <c r="I1171" s="125">
        <v>117280.17</v>
      </c>
      <c r="J1171" s="13">
        <v>42916.451436493058</v>
      </c>
      <c r="K1171" s="13">
        <v>43155</v>
      </c>
      <c r="L1171" s="12" t="s">
        <v>4986</v>
      </c>
      <c r="M1171" s="12"/>
      <c r="N1171" s="12" t="s">
        <v>4987</v>
      </c>
      <c r="O1171" s="12"/>
      <c r="P1171" s="12"/>
      <c r="Q1171" s="12"/>
    </row>
    <row r="1172" spans="1:17" x14ac:dyDescent="0.25">
      <c r="A1172" s="11">
        <v>201148</v>
      </c>
      <c r="B1172" s="12" t="s">
        <v>4981</v>
      </c>
      <c r="C1172" s="12" t="s">
        <v>4988</v>
      </c>
      <c r="D1172" s="12">
        <v>1</v>
      </c>
      <c r="E1172" s="125">
        <v>1528409.11</v>
      </c>
      <c r="F1172" s="12">
        <v>23</v>
      </c>
      <c r="G1172" s="125">
        <v>1371846.99</v>
      </c>
      <c r="H1172" s="12" t="s">
        <v>4844</v>
      </c>
      <c r="I1172" s="125">
        <v>44936.45</v>
      </c>
      <c r="J1172" s="13">
        <v>42916.555747106482</v>
      </c>
      <c r="K1172" s="13">
        <v>43160</v>
      </c>
      <c r="L1172" s="12" t="s">
        <v>4989</v>
      </c>
      <c r="M1172" s="12"/>
      <c r="N1172" s="12"/>
      <c r="O1172" s="12"/>
      <c r="P1172" s="12"/>
      <c r="Q1172" s="12"/>
    </row>
    <row r="1173" spans="1:17" x14ac:dyDescent="0.25">
      <c r="A1173" s="11">
        <v>201151</v>
      </c>
      <c r="B1173" s="12" t="s">
        <v>4990</v>
      </c>
      <c r="C1173" s="12" t="s">
        <v>4991</v>
      </c>
      <c r="D1173" s="12">
        <v>6</v>
      </c>
      <c r="E1173" s="125">
        <v>9837262.3800000008</v>
      </c>
      <c r="F1173" s="12">
        <v>-10</v>
      </c>
      <c r="G1173" s="125">
        <v>8511719.1899999995</v>
      </c>
      <c r="H1173" s="12" t="s">
        <v>2855</v>
      </c>
      <c r="I1173" s="125">
        <v>179691.85</v>
      </c>
      <c r="J1173" s="13">
        <v>42920.705316631946</v>
      </c>
      <c r="K1173" s="13">
        <v>43285</v>
      </c>
      <c r="L1173" s="12" t="s">
        <v>4992</v>
      </c>
      <c r="M1173" s="12" t="s">
        <v>4993</v>
      </c>
      <c r="N1173" s="12"/>
      <c r="O1173" s="12"/>
      <c r="P1173" s="12"/>
      <c r="Q1173" s="12"/>
    </row>
    <row r="1174" spans="1:17" x14ac:dyDescent="0.25">
      <c r="A1174" s="11">
        <v>201155</v>
      </c>
      <c r="B1174" s="12" t="s">
        <v>5000</v>
      </c>
      <c r="C1174" s="12" t="s">
        <v>5001</v>
      </c>
      <c r="D1174" s="12">
        <v>7</v>
      </c>
      <c r="E1174" s="125">
        <v>4386647.5599999996</v>
      </c>
      <c r="F1174" s="12">
        <v>-14</v>
      </c>
      <c r="G1174" s="125">
        <v>3616728.44</v>
      </c>
      <c r="H1174" s="12" t="s">
        <v>2861</v>
      </c>
      <c r="I1174" s="125">
        <v>81376.39</v>
      </c>
      <c r="J1174" s="13">
        <v>42924.449294756945</v>
      </c>
      <c r="K1174" s="13">
        <v>43289</v>
      </c>
      <c r="L1174" s="12" t="s">
        <v>5002</v>
      </c>
      <c r="M1174" s="12" t="s">
        <v>5003</v>
      </c>
      <c r="N1174" s="12"/>
      <c r="O1174" s="12"/>
      <c r="P1174" s="12"/>
      <c r="Q1174" s="12"/>
    </row>
    <row r="1175" spans="1:17" x14ac:dyDescent="0.25">
      <c r="A1175" s="11">
        <v>201156</v>
      </c>
      <c r="B1175" s="12" t="s">
        <v>2556</v>
      </c>
      <c r="C1175" s="12" t="s">
        <v>2570</v>
      </c>
      <c r="D1175" s="12">
        <v>6</v>
      </c>
      <c r="E1175" s="125">
        <v>31742117.530000001</v>
      </c>
      <c r="F1175" s="12">
        <v>0</v>
      </c>
      <c r="G1175" s="125">
        <v>27852486.829999998</v>
      </c>
      <c r="H1175" s="12" t="s">
        <v>2557</v>
      </c>
      <c r="I1175" s="125">
        <v>807722.12</v>
      </c>
      <c r="J1175" s="13">
        <v>42923.554305983795</v>
      </c>
      <c r="K1175" s="13">
        <v>43275</v>
      </c>
      <c r="L1175" s="12" t="s">
        <v>2571</v>
      </c>
      <c r="M1175" s="12"/>
      <c r="N1175" s="12"/>
      <c r="O1175" s="12"/>
      <c r="P1175" s="12"/>
      <c r="Q1175" s="12"/>
    </row>
    <row r="1176" spans="1:17" x14ac:dyDescent="0.25">
      <c r="A1176" s="11">
        <v>201157</v>
      </c>
      <c r="B1176" s="12" t="s">
        <v>4998</v>
      </c>
      <c r="C1176" s="12" t="s">
        <v>5004</v>
      </c>
      <c r="D1176" s="12">
        <v>6</v>
      </c>
      <c r="E1176" s="125">
        <v>5723204.4199999999</v>
      </c>
      <c r="F1176" s="12">
        <v>-13</v>
      </c>
      <c r="G1176" s="125">
        <v>5110677.21</v>
      </c>
      <c r="H1176" s="12" t="s">
        <v>2538</v>
      </c>
      <c r="I1176" s="125">
        <v>90856.48</v>
      </c>
      <c r="J1176" s="13">
        <v>42923.538885798611</v>
      </c>
      <c r="K1176" s="13">
        <v>43227</v>
      </c>
      <c r="L1176" s="12" t="s">
        <v>5005</v>
      </c>
      <c r="M1176" s="12"/>
      <c r="N1176" s="12" t="s">
        <v>5006</v>
      </c>
      <c r="O1176" s="12"/>
      <c r="P1176" s="12"/>
      <c r="Q1176" s="12"/>
    </row>
    <row r="1177" spans="1:17" x14ac:dyDescent="0.25">
      <c r="A1177" s="11">
        <v>201158</v>
      </c>
      <c r="B1177" s="12" t="s">
        <v>4997</v>
      </c>
      <c r="C1177" s="12" t="s">
        <v>5007</v>
      </c>
      <c r="D1177" s="12">
        <v>1</v>
      </c>
      <c r="E1177" s="125">
        <v>4386647.5599999996</v>
      </c>
      <c r="F1177" s="12">
        <v>-13</v>
      </c>
      <c r="G1177" s="125">
        <v>3616728.44</v>
      </c>
      <c r="H1177" s="12" t="s">
        <v>1909</v>
      </c>
      <c r="I1177" s="125">
        <v>86801.48</v>
      </c>
      <c r="J1177" s="13">
        <v>42923.680977777774</v>
      </c>
      <c r="K1177" s="13">
        <v>43288</v>
      </c>
      <c r="L1177" s="12" t="s">
        <v>5008</v>
      </c>
      <c r="M1177" s="12"/>
      <c r="N1177" s="12"/>
      <c r="O1177" s="12"/>
      <c r="P1177" s="12"/>
      <c r="Q1177" s="12"/>
    </row>
    <row r="1178" spans="1:17" x14ac:dyDescent="0.25">
      <c r="A1178" s="11">
        <v>201159</v>
      </c>
      <c r="B1178" s="12" t="s">
        <v>4999</v>
      </c>
      <c r="C1178" s="12" t="s">
        <v>5009</v>
      </c>
      <c r="D1178" s="12">
        <v>7</v>
      </c>
      <c r="E1178" s="125">
        <v>1163270.3400000001</v>
      </c>
      <c r="F1178" s="12">
        <v>-14</v>
      </c>
      <c r="G1178" s="125">
        <v>1089209.43</v>
      </c>
      <c r="H1178" s="12" t="s">
        <v>4919</v>
      </c>
      <c r="I1178" s="125">
        <v>24507.21</v>
      </c>
      <c r="J1178" s="13">
        <v>42924.539199652776</v>
      </c>
      <c r="K1178" s="13">
        <v>43108</v>
      </c>
      <c r="L1178" s="12" t="s">
        <v>5010</v>
      </c>
      <c r="M1178" s="12"/>
      <c r="N1178" s="12"/>
      <c r="O1178" s="12"/>
      <c r="P1178" s="12"/>
      <c r="Q1178" s="12"/>
    </row>
    <row r="1179" spans="1:17" x14ac:dyDescent="0.25">
      <c r="A1179" s="11">
        <v>201160</v>
      </c>
      <c r="B1179" s="12" t="s">
        <v>5011</v>
      </c>
      <c r="C1179" s="12" t="s">
        <v>5013</v>
      </c>
      <c r="D1179" s="12">
        <v>1</v>
      </c>
      <c r="E1179" s="125">
        <v>1895682.37</v>
      </c>
      <c r="F1179" s="12">
        <v>-16</v>
      </c>
      <c r="G1179" s="125">
        <v>1629614.64</v>
      </c>
      <c r="H1179" s="12" t="s">
        <v>4919</v>
      </c>
      <c r="I1179" s="125">
        <v>31777.49</v>
      </c>
      <c r="J1179" s="13">
        <v>42926.598520057873</v>
      </c>
      <c r="K1179" s="13">
        <v>43230</v>
      </c>
      <c r="L1179" s="12" t="s">
        <v>5014</v>
      </c>
      <c r="M1179" s="12"/>
      <c r="N1179" s="12"/>
      <c r="O1179" s="12"/>
      <c r="P1179" s="12"/>
      <c r="Q1179" s="12"/>
    </row>
    <row r="1180" spans="1:17" x14ac:dyDescent="0.25">
      <c r="A1180" s="11">
        <v>201161</v>
      </c>
      <c r="B1180" s="12" t="s">
        <v>5012</v>
      </c>
      <c r="C1180" s="12" t="s">
        <v>5015</v>
      </c>
      <c r="D1180" s="12">
        <v>1</v>
      </c>
      <c r="E1180" s="125">
        <v>2631988.4900000002</v>
      </c>
      <c r="F1180" s="12">
        <v>-16</v>
      </c>
      <c r="G1180" s="125">
        <v>2170037.0299999998</v>
      </c>
      <c r="H1180" s="12" t="s">
        <v>1448</v>
      </c>
      <c r="I1180" s="125">
        <v>42315.72</v>
      </c>
      <c r="J1180" s="13">
        <v>42926.725995335648</v>
      </c>
      <c r="K1180" s="13">
        <v>43291</v>
      </c>
      <c r="L1180" s="12" t="s">
        <v>5016</v>
      </c>
      <c r="M1180" s="12"/>
      <c r="N1180" s="12"/>
      <c r="O1180" s="12"/>
      <c r="P1180" s="12"/>
      <c r="Q1180" s="12"/>
    </row>
    <row r="1181" spans="1:17" x14ac:dyDescent="0.25">
      <c r="A1181" s="11">
        <v>201162</v>
      </c>
      <c r="B1181" s="12" t="s">
        <v>5017</v>
      </c>
      <c r="C1181" s="12" t="s">
        <v>5019</v>
      </c>
      <c r="D1181" s="12">
        <v>1</v>
      </c>
      <c r="E1181" s="125">
        <v>2137742.9</v>
      </c>
      <c r="F1181" s="12">
        <v>44</v>
      </c>
      <c r="G1181" s="125">
        <v>1906529.37</v>
      </c>
      <c r="H1181" s="12" t="s">
        <v>4685</v>
      </c>
      <c r="I1181" s="125">
        <v>114404.56</v>
      </c>
      <c r="J1181" s="13">
        <v>42927.502609293981</v>
      </c>
      <c r="K1181" s="13">
        <v>43170</v>
      </c>
      <c r="L1181" s="12" t="s">
        <v>5020</v>
      </c>
      <c r="M1181" s="12" t="s">
        <v>5021</v>
      </c>
      <c r="N1181" s="12"/>
      <c r="O1181" s="12"/>
      <c r="P1181" s="12"/>
      <c r="Q1181" s="12"/>
    </row>
    <row r="1182" spans="1:17" x14ac:dyDescent="0.25">
      <c r="A1182" s="11">
        <v>201164</v>
      </c>
      <c r="B1182" s="12" t="s">
        <v>1851</v>
      </c>
      <c r="C1182" s="12" t="s">
        <v>1852</v>
      </c>
      <c r="D1182" s="12">
        <v>2</v>
      </c>
      <c r="E1182" s="125">
        <v>31843073.199999999</v>
      </c>
      <c r="F1182" s="12">
        <v>-25</v>
      </c>
      <c r="G1182" s="125">
        <v>24838780.449999999</v>
      </c>
      <c r="H1182" s="12" t="s">
        <v>2861</v>
      </c>
      <c r="I1182" s="125">
        <v>115914.31</v>
      </c>
      <c r="J1182" s="13">
        <v>42935.483286226852</v>
      </c>
      <c r="K1182" s="13">
        <v>43484</v>
      </c>
      <c r="L1182" s="12" t="s">
        <v>1853</v>
      </c>
      <c r="M1182" s="12"/>
      <c r="N1182" s="12"/>
      <c r="O1182" s="12"/>
      <c r="P1182" s="12"/>
      <c r="Q1182" s="12"/>
    </row>
    <row r="1183" spans="1:17" x14ac:dyDescent="0.25">
      <c r="A1183" s="11">
        <v>201165</v>
      </c>
      <c r="B1183" s="12" t="s">
        <v>2188</v>
      </c>
      <c r="C1183" s="12" t="s">
        <v>2210</v>
      </c>
      <c r="D1183" s="12">
        <v>1</v>
      </c>
      <c r="E1183" s="125">
        <v>11059065.92</v>
      </c>
      <c r="F1183" s="12">
        <v>-17</v>
      </c>
      <c r="G1183" s="125">
        <v>8344162.3600000003</v>
      </c>
      <c r="H1183" s="12" t="s">
        <v>1447</v>
      </c>
      <c r="I1183" s="125">
        <v>133506.6</v>
      </c>
      <c r="J1183" s="13">
        <v>42927.663265393516</v>
      </c>
      <c r="K1183" s="13">
        <v>43476</v>
      </c>
      <c r="L1183" s="12" t="s">
        <v>2211</v>
      </c>
      <c r="M1183" s="12"/>
      <c r="N1183" s="12"/>
      <c r="O1183" s="12"/>
      <c r="P1183" s="12"/>
      <c r="Q1183" s="12"/>
    </row>
    <row r="1184" spans="1:17" x14ac:dyDescent="0.25">
      <c r="A1184" s="11">
        <v>201166</v>
      </c>
      <c r="B1184" s="12" t="s">
        <v>5025</v>
      </c>
      <c r="C1184" s="12" t="s">
        <v>5032</v>
      </c>
      <c r="D1184" s="12">
        <v>1</v>
      </c>
      <c r="E1184" s="125">
        <v>4245070.3099999996</v>
      </c>
      <c r="F1184" s="12">
        <v>-18</v>
      </c>
      <c r="G1184" s="125">
        <v>3807324.71</v>
      </c>
      <c r="H1184" s="12" t="s">
        <v>2861</v>
      </c>
      <c r="I1184" s="125">
        <v>62820.86</v>
      </c>
      <c r="J1184" s="13">
        <v>42928.603102893518</v>
      </c>
      <c r="K1184" s="13">
        <v>43171</v>
      </c>
      <c r="L1184" s="12" t="s">
        <v>5033</v>
      </c>
      <c r="M1184" s="12" t="s">
        <v>5034</v>
      </c>
      <c r="N1184" s="12"/>
      <c r="O1184" s="12"/>
      <c r="P1184" s="12"/>
      <c r="Q1184" s="12"/>
    </row>
    <row r="1185" spans="1:17" x14ac:dyDescent="0.25">
      <c r="A1185" s="11">
        <v>201167</v>
      </c>
      <c r="B1185" s="12" t="s">
        <v>5035</v>
      </c>
      <c r="C1185" s="12" t="s">
        <v>5036</v>
      </c>
      <c r="D1185" s="12">
        <v>2</v>
      </c>
      <c r="E1185" s="125">
        <v>15313993.02</v>
      </c>
      <c r="F1185" s="12">
        <v>10</v>
      </c>
      <c r="G1185" s="125">
        <v>12272472.66</v>
      </c>
      <c r="H1185" s="12" t="s">
        <v>2855</v>
      </c>
      <c r="I1185" s="125">
        <v>142772.35999999999</v>
      </c>
      <c r="J1185" s="13">
        <v>42930.559912303244</v>
      </c>
      <c r="K1185" s="13">
        <v>43387</v>
      </c>
      <c r="L1185" s="12" t="s">
        <v>5037</v>
      </c>
      <c r="M1185" s="12"/>
      <c r="N1185" s="12"/>
      <c r="O1185" s="12"/>
      <c r="P1185" s="12"/>
      <c r="Q1185" s="12"/>
    </row>
    <row r="1186" spans="1:17" x14ac:dyDescent="0.25">
      <c r="A1186" s="11">
        <v>201168</v>
      </c>
      <c r="B1186" s="12" t="s">
        <v>5038</v>
      </c>
      <c r="C1186" s="12" t="s">
        <v>5039</v>
      </c>
      <c r="D1186" s="12">
        <v>8</v>
      </c>
      <c r="E1186" s="125">
        <v>4475376.09</v>
      </c>
      <c r="F1186" s="12">
        <v>-21</v>
      </c>
      <c r="G1186" s="125">
        <v>3888962.37</v>
      </c>
      <c r="H1186" s="12" t="s">
        <v>1909</v>
      </c>
      <c r="I1186" s="125">
        <v>43210.69</v>
      </c>
      <c r="J1186" s="13">
        <v>42931.531305092591</v>
      </c>
      <c r="K1186" s="13">
        <v>43235</v>
      </c>
      <c r="L1186" s="12" t="s">
        <v>5040</v>
      </c>
      <c r="M1186" s="12" t="s">
        <v>5041</v>
      </c>
      <c r="N1186" s="12"/>
      <c r="O1186" s="12"/>
      <c r="P1186" s="12"/>
      <c r="Q1186" s="12"/>
    </row>
    <row r="1187" spans="1:17" x14ac:dyDescent="0.25">
      <c r="A1187" s="11">
        <v>201171</v>
      </c>
      <c r="B1187" s="12" t="s">
        <v>5046</v>
      </c>
      <c r="C1187" s="12" t="s">
        <v>5048</v>
      </c>
      <c r="D1187" s="12">
        <v>7</v>
      </c>
      <c r="E1187" s="125">
        <v>1212877.22</v>
      </c>
      <c r="F1187" s="12">
        <v>-25</v>
      </c>
      <c r="G1187" s="125">
        <v>1087807.04</v>
      </c>
      <c r="H1187" s="12" t="s">
        <v>5047</v>
      </c>
      <c r="I1187" s="125">
        <v>6526.84</v>
      </c>
      <c r="J1187" s="13">
        <v>42935.6580846875</v>
      </c>
      <c r="K1187" s="13">
        <v>43178</v>
      </c>
      <c r="L1187" s="12" t="s">
        <v>5049</v>
      </c>
      <c r="M1187" s="12"/>
      <c r="N1187" s="12" t="s">
        <v>5050</v>
      </c>
      <c r="O1187" s="12"/>
      <c r="P1187" s="12"/>
      <c r="Q1187" s="12"/>
    </row>
    <row r="1188" spans="1:17" x14ac:dyDescent="0.25">
      <c r="A1188" s="11">
        <v>201172</v>
      </c>
      <c r="B1188" s="12" t="s">
        <v>5053</v>
      </c>
      <c r="C1188" s="12" t="s">
        <v>5060</v>
      </c>
      <c r="D1188" s="12">
        <v>7</v>
      </c>
      <c r="E1188" s="125">
        <v>1454087.91</v>
      </c>
      <c r="F1188" s="12">
        <v>4</v>
      </c>
      <c r="G1188" s="125">
        <v>1332411.94</v>
      </c>
      <c r="H1188" s="12" t="s">
        <v>4683</v>
      </c>
      <c r="I1188" s="125">
        <v>64043.08</v>
      </c>
      <c r="J1188" s="13">
        <v>42936.758932986108</v>
      </c>
      <c r="K1188" s="13">
        <v>43120</v>
      </c>
      <c r="L1188" s="12" t="s">
        <v>5061</v>
      </c>
      <c r="M1188" s="12"/>
      <c r="N1188" s="12" t="s">
        <v>5062</v>
      </c>
      <c r="O1188" s="12"/>
      <c r="P1188" s="12"/>
      <c r="Q1188" s="12"/>
    </row>
    <row r="1189" spans="1:17" x14ac:dyDescent="0.25">
      <c r="A1189" s="11">
        <v>201173</v>
      </c>
      <c r="B1189" s="12" t="s">
        <v>3051</v>
      </c>
      <c r="C1189" s="12" t="s">
        <v>3072</v>
      </c>
      <c r="D1189" s="12">
        <v>7</v>
      </c>
      <c r="E1189" s="125">
        <v>3835878.19</v>
      </c>
      <c r="F1189" s="12">
        <v>-27</v>
      </c>
      <c r="G1189" s="125">
        <v>3228248.66</v>
      </c>
      <c r="H1189" s="12" t="s">
        <v>2034</v>
      </c>
      <c r="I1189" s="125">
        <v>8608.66</v>
      </c>
      <c r="J1189" s="13">
        <v>42937.380779629631</v>
      </c>
      <c r="K1189" s="13">
        <v>43302</v>
      </c>
      <c r="L1189" s="12" t="s">
        <v>3073</v>
      </c>
      <c r="M1189" s="12"/>
      <c r="N1189" s="12"/>
      <c r="O1189" s="12"/>
      <c r="P1189" s="12"/>
      <c r="Q1189" s="12"/>
    </row>
    <row r="1190" spans="1:17" x14ac:dyDescent="0.25">
      <c r="A1190" s="11">
        <v>201174</v>
      </c>
      <c r="B1190" s="12" t="s">
        <v>2986</v>
      </c>
      <c r="C1190" s="12" t="s">
        <v>2987</v>
      </c>
      <c r="D1190" s="12">
        <v>1</v>
      </c>
      <c r="E1190" s="125">
        <v>4262086.9400000004</v>
      </c>
      <c r="F1190" s="12">
        <v>-26</v>
      </c>
      <c r="G1190" s="125">
        <v>3586942.99</v>
      </c>
      <c r="H1190" s="12" t="s">
        <v>1667</v>
      </c>
      <c r="I1190" s="125">
        <v>14347.77</v>
      </c>
      <c r="J1190" s="13">
        <v>42936.760741006947</v>
      </c>
      <c r="K1190" s="13">
        <v>43301</v>
      </c>
      <c r="L1190" s="12" t="s">
        <v>2988</v>
      </c>
      <c r="M1190" s="12"/>
      <c r="N1190" s="12"/>
      <c r="O1190" s="12"/>
      <c r="P1190" s="12"/>
      <c r="Q1190" s="12"/>
    </row>
    <row r="1191" spans="1:17" x14ac:dyDescent="0.25">
      <c r="A1191" s="11">
        <v>201175</v>
      </c>
      <c r="B1191" s="12" t="s">
        <v>5066</v>
      </c>
      <c r="C1191" s="12" t="s">
        <v>5072</v>
      </c>
      <c r="D1191" s="12">
        <v>7</v>
      </c>
      <c r="E1191" s="125">
        <v>768030.57</v>
      </c>
      <c r="F1191" s="12">
        <v>3</v>
      </c>
      <c r="G1191" s="125">
        <v>661603.49</v>
      </c>
      <c r="H1191" s="12" t="s">
        <v>4844</v>
      </c>
      <c r="I1191" s="125">
        <v>1955.54</v>
      </c>
      <c r="J1191" s="13">
        <v>42937.681770717594</v>
      </c>
      <c r="K1191" s="13">
        <v>43241</v>
      </c>
      <c r="L1191" s="12" t="s">
        <v>5073</v>
      </c>
      <c r="M1191" s="12" t="s">
        <v>5074</v>
      </c>
      <c r="N1191" s="12"/>
      <c r="O1191" s="12"/>
      <c r="P1191" s="12"/>
      <c r="Q1191" s="12"/>
    </row>
    <row r="1192" spans="1:17" x14ac:dyDescent="0.25">
      <c r="A1192" s="11">
        <v>201176</v>
      </c>
      <c r="B1192" s="12" t="s">
        <v>3967</v>
      </c>
      <c r="C1192" s="12" t="s">
        <v>3976</v>
      </c>
      <c r="D1192" s="12">
        <v>7</v>
      </c>
      <c r="E1192" s="125">
        <v>572285.73</v>
      </c>
      <c r="F1192" s="12">
        <v>-27</v>
      </c>
      <c r="G1192" s="125">
        <v>539692.53</v>
      </c>
      <c r="H1192" s="12" t="s">
        <v>2538</v>
      </c>
      <c r="I1192" s="125">
        <v>1439.18</v>
      </c>
      <c r="J1192" s="13">
        <v>42937.707024965275</v>
      </c>
      <c r="K1192" s="13">
        <v>43121</v>
      </c>
      <c r="L1192" s="12" t="s">
        <v>3977</v>
      </c>
      <c r="M1192" s="12"/>
      <c r="N1192" s="12"/>
      <c r="O1192" s="12"/>
      <c r="P1192" s="12"/>
      <c r="Q1192" s="12"/>
    </row>
    <row r="1193" spans="1:17" x14ac:dyDescent="0.25">
      <c r="A1193" s="11">
        <v>201177</v>
      </c>
      <c r="B1193" s="12" t="s">
        <v>4095</v>
      </c>
      <c r="C1193" s="12" t="s">
        <v>4096</v>
      </c>
      <c r="D1193" s="12">
        <v>2</v>
      </c>
      <c r="E1193" s="125">
        <v>16557431.85</v>
      </c>
      <c r="F1193" s="12">
        <v>-28</v>
      </c>
      <c r="G1193" s="125">
        <v>14226881.300000001</v>
      </c>
      <c r="H1193" s="12" t="s">
        <v>2175</v>
      </c>
      <c r="I1193" s="125">
        <v>16598.03</v>
      </c>
      <c r="J1193" s="13">
        <v>42938.440721874998</v>
      </c>
      <c r="K1193" s="13">
        <v>43303</v>
      </c>
      <c r="L1193" s="12" t="s">
        <v>4097</v>
      </c>
      <c r="M1193" s="12"/>
      <c r="N1193" s="12" t="s">
        <v>4098</v>
      </c>
      <c r="O1193" s="12"/>
      <c r="P1193" s="12"/>
      <c r="Q1193" s="12"/>
    </row>
    <row r="1194" spans="1:17" x14ac:dyDescent="0.25">
      <c r="A1194" s="11">
        <v>201178</v>
      </c>
      <c r="B1194" s="12" t="s">
        <v>5065</v>
      </c>
      <c r="C1194" s="12" t="s">
        <v>5075</v>
      </c>
      <c r="D1194" s="12">
        <v>6</v>
      </c>
      <c r="E1194" s="125">
        <v>7863301.4400000004</v>
      </c>
      <c r="F1194" s="12">
        <v>3</v>
      </c>
      <c r="G1194" s="125">
        <v>7097642.4400000004</v>
      </c>
      <c r="H1194" s="12" t="s">
        <v>1447</v>
      </c>
      <c r="I1194" s="125">
        <v>14196.33</v>
      </c>
      <c r="J1194" s="13">
        <v>42937.723631365741</v>
      </c>
      <c r="K1194" s="13">
        <v>43241</v>
      </c>
      <c r="L1194" s="12" t="s">
        <v>5076</v>
      </c>
      <c r="M1194" s="12"/>
      <c r="N1194" s="12"/>
      <c r="O1194" s="12"/>
      <c r="P1194" s="12"/>
      <c r="Q1194" s="12"/>
    </row>
    <row r="1195" spans="1:17" x14ac:dyDescent="0.25">
      <c r="A1195" s="11">
        <v>201179</v>
      </c>
      <c r="B1195" s="12" t="s">
        <v>5077</v>
      </c>
      <c r="C1195" s="12" t="s">
        <v>5079</v>
      </c>
      <c r="D1195" s="12">
        <v>1</v>
      </c>
      <c r="E1195" s="125">
        <v>6009219.3700000001</v>
      </c>
      <c r="F1195" s="12">
        <v>31</v>
      </c>
      <c r="G1195" s="125">
        <v>5001481.8600000003</v>
      </c>
      <c r="H1195" s="12" t="s">
        <v>491</v>
      </c>
      <c r="I1195" s="125">
        <v>362472.6</v>
      </c>
      <c r="J1195" s="13">
        <v>42940.681572187503</v>
      </c>
      <c r="K1195" s="13">
        <v>43244</v>
      </c>
      <c r="L1195" s="12" t="s">
        <v>5080</v>
      </c>
      <c r="M1195" s="12" t="s">
        <v>5081</v>
      </c>
      <c r="N1195" s="12"/>
      <c r="O1195" s="12"/>
      <c r="P1195" s="12"/>
      <c r="Q1195" s="12"/>
    </row>
    <row r="1196" spans="1:17" x14ac:dyDescent="0.25">
      <c r="A1196" s="11">
        <v>201180</v>
      </c>
      <c r="B1196" s="12" t="s">
        <v>5083</v>
      </c>
      <c r="C1196" s="12" t="s">
        <v>5087</v>
      </c>
      <c r="D1196" s="12">
        <v>7</v>
      </c>
      <c r="E1196" s="125">
        <v>1454087.91</v>
      </c>
      <c r="F1196" s="12">
        <v>-1</v>
      </c>
      <c r="G1196" s="125">
        <v>1332411.94</v>
      </c>
      <c r="H1196" s="12" t="s">
        <v>5047</v>
      </c>
      <c r="I1196" s="125">
        <v>55961.3</v>
      </c>
      <c r="J1196" s="13">
        <v>42941.502594178244</v>
      </c>
      <c r="K1196" s="13">
        <v>43125</v>
      </c>
      <c r="L1196" s="12" t="s">
        <v>5088</v>
      </c>
      <c r="M1196" s="12"/>
      <c r="N1196" s="12"/>
      <c r="O1196" s="12"/>
      <c r="P1196" s="12"/>
      <c r="Q1196" s="12"/>
    </row>
    <row r="1197" spans="1:17" x14ac:dyDescent="0.25">
      <c r="A1197" s="11">
        <v>201181</v>
      </c>
      <c r="B1197" s="12" t="s">
        <v>4247</v>
      </c>
      <c r="C1197" s="12" t="s">
        <v>4252</v>
      </c>
      <c r="D1197" s="12">
        <v>1</v>
      </c>
      <c r="E1197" s="125">
        <v>4315183.0599999996</v>
      </c>
      <c r="F1197" s="12">
        <v>-1</v>
      </c>
      <c r="G1197" s="125">
        <v>3699994.94</v>
      </c>
      <c r="H1197" s="12" t="s">
        <v>1925</v>
      </c>
      <c r="I1197" s="125">
        <v>138133.14000000001</v>
      </c>
      <c r="J1197" s="13">
        <v>42941.527658298612</v>
      </c>
      <c r="K1197" s="13">
        <v>43245</v>
      </c>
      <c r="L1197" s="12" t="s">
        <v>4253</v>
      </c>
      <c r="M1197" s="12"/>
      <c r="N1197" s="12" t="s">
        <v>4254</v>
      </c>
      <c r="O1197" s="12"/>
      <c r="P1197" s="12"/>
      <c r="Q1197" s="12"/>
    </row>
    <row r="1198" spans="1:17" x14ac:dyDescent="0.25">
      <c r="A1198" s="11">
        <v>201182</v>
      </c>
      <c r="B1198" s="12" t="s">
        <v>5082</v>
      </c>
      <c r="C1198" s="12" t="s">
        <v>5089</v>
      </c>
      <c r="D1198" s="12">
        <v>8</v>
      </c>
      <c r="E1198" s="125">
        <v>5234310.08</v>
      </c>
      <c r="F1198" s="12">
        <v>-1</v>
      </c>
      <c r="G1198" s="125">
        <v>4638703.45</v>
      </c>
      <c r="H1198" s="12" t="s">
        <v>90</v>
      </c>
      <c r="I1198" s="125">
        <v>180394.02</v>
      </c>
      <c r="J1198" s="13">
        <v>42941.591631828705</v>
      </c>
      <c r="K1198" s="13">
        <v>43184</v>
      </c>
      <c r="L1198" s="12" t="s">
        <v>5090</v>
      </c>
      <c r="M1198" s="12" t="s">
        <v>5091</v>
      </c>
      <c r="N1198" s="12"/>
      <c r="O1198" s="12"/>
      <c r="P1198" s="12"/>
      <c r="Q1198" s="12"/>
    </row>
    <row r="1199" spans="1:17" x14ac:dyDescent="0.25">
      <c r="A1199" s="11">
        <v>201183</v>
      </c>
      <c r="B1199" s="12" t="s">
        <v>2857</v>
      </c>
      <c r="C1199" s="12" t="s">
        <v>2858</v>
      </c>
      <c r="D1199" s="12">
        <v>1</v>
      </c>
      <c r="E1199" s="125">
        <v>5178219.63</v>
      </c>
      <c r="F1199" s="12">
        <v>-1</v>
      </c>
      <c r="G1199" s="125">
        <v>4439993.91</v>
      </c>
      <c r="H1199" s="12" t="s">
        <v>1925</v>
      </c>
      <c r="I1199" s="125">
        <v>165759.76999999999</v>
      </c>
      <c r="J1199" s="13">
        <v>42941.584913854167</v>
      </c>
      <c r="K1199" s="13">
        <v>43245</v>
      </c>
      <c r="L1199" s="12" t="s">
        <v>2859</v>
      </c>
      <c r="M1199" s="12" t="s">
        <v>2860</v>
      </c>
      <c r="N1199" s="12"/>
      <c r="O1199" s="12"/>
      <c r="P1199" s="12"/>
      <c r="Q1199" s="12"/>
    </row>
    <row r="1200" spans="1:17" x14ac:dyDescent="0.25">
      <c r="A1200" s="11">
        <v>201184</v>
      </c>
      <c r="B1200" s="12" t="s">
        <v>2787</v>
      </c>
      <c r="C1200" s="12" t="s">
        <v>2799</v>
      </c>
      <c r="D1200" s="12">
        <v>1</v>
      </c>
      <c r="E1200" s="125">
        <v>5753817.2999999998</v>
      </c>
      <c r="F1200" s="12">
        <v>-1</v>
      </c>
      <c r="G1200" s="125">
        <v>4753504.42</v>
      </c>
      <c r="H1200" s="12" t="s">
        <v>2034</v>
      </c>
      <c r="I1200" s="125">
        <v>177464.17</v>
      </c>
      <c r="J1200" s="13">
        <v>42941.695466435187</v>
      </c>
      <c r="K1200" s="13">
        <v>43306</v>
      </c>
      <c r="L1200" s="12" t="s">
        <v>2800</v>
      </c>
      <c r="M1200" s="12" t="s">
        <v>2801</v>
      </c>
      <c r="N1200" s="12"/>
      <c r="O1200" s="12"/>
      <c r="P1200" s="12"/>
      <c r="Q1200" s="12"/>
    </row>
    <row r="1201" spans="1:17" x14ac:dyDescent="0.25">
      <c r="A1201" s="11">
        <v>201185</v>
      </c>
      <c r="B1201" s="12" t="s">
        <v>5085</v>
      </c>
      <c r="C1201" s="12" t="s">
        <v>5092</v>
      </c>
      <c r="D1201" s="12">
        <v>1</v>
      </c>
      <c r="E1201" s="125">
        <v>11500472.77</v>
      </c>
      <c r="F1201" s="12">
        <v>-1</v>
      </c>
      <c r="G1201" s="125">
        <v>9681263.8300000001</v>
      </c>
      <c r="H1201" s="12" t="s">
        <v>1467</v>
      </c>
      <c r="I1201" s="125">
        <v>406613.08</v>
      </c>
      <c r="J1201" s="13">
        <v>42941.62990177083</v>
      </c>
      <c r="K1201" s="13">
        <v>43245</v>
      </c>
      <c r="L1201" s="12" t="s">
        <v>5093</v>
      </c>
      <c r="M1201" s="12" t="s">
        <v>5094</v>
      </c>
      <c r="N1201" s="12"/>
      <c r="O1201" s="12"/>
      <c r="P1201" s="12"/>
      <c r="Q1201" s="12"/>
    </row>
    <row r="1202" spans="1:17" x14ac:dyDescent="0.25">
      <c r="A1202" s="11">
        <v>201186</v>
      </c>
      <c r="B1202" s="12" t="s">
        <v>5084</v>
      </c>
      <c r="C1202" s="12" t="s">
        <v>5095</v>
      </c>
      <c r="D1202" s="12">
        <v>1</v>
      </c>
      <c r="E1202" s="125">
        <v>2326540.65</v>
      </c>
      <c r="F1202" s="12">
        <v>-1</v>
      </c>
      <c r="G1202" s="125">
        <v>2131859.11</v>
      </c>
      <c r="H1202" s="12" t="s">
        <v>4919</v>
      </c>
      <c r="I1202" s="125">
        <v>89538.08</v>
      </c>
      <c r="J1202" s="13">
        <v>42941.65516574074</v>
      </c>
      <c r="K1202" s="13">
        <v>43125</v>
      </c>
      <c r="L1202" s="12" t="s">
        <v>5096</v>
      </c>
      <c r="M1202" s="12" t="s">
        <v>5097</v>
      </c>
      <c r="N1202" s="12"/>
      <c r="O1202" s="12"/>
      <c r="P1202" s="12"/>
      <c r="Q1202" s="12"/>
    </row>
    <row r="1203" spans="1:17" x14ac:dyDescent="0.25">
      <c r="A1203" s="11">
        <v>201188</v>
      </c>
      <c r="B1203" s="12" t="s">
        <v>5086</v>
      </c>
      <c r="C1203" s="12" t="s">
        <v>5098</v>
      </c>
      <c r="D1203" s="12">
        <v>7</v>
      </c>
      <c r="E1203" s="125">
        <v>1516096.53</v>
      </c>
      <c r="F1203" s="12">
        <v>-1</v>
      </c>
      <c r="G1203" s="125">
        <v>1331125.69</v>
      </c>
      <c r="H1203" s="12" t="s">
        <v>963</v>
      </c>
      <c r="I1203" s="125">
        <v>55907.28</v>
      </c>
      <c r="J1203" s="13">
        <v>42941.688671261574</v>
      </c>
      <c r="K1203" s="13">
        <v>43184</v>
      </c>
      <c r="L1203" s="12" t="s">
        <v>5099</v>
      </c>
      <c r="M1203" s="12"/>
      <c r="N1203" s="12" t="s">
        <v>5100</v>
      </c>
      <c r="O1203" s="12"/>
      <c r="P1203" s="12"/>
      <c r="Q1203" s="12"/>
    </row>
    <row r="1204" spans="1:17" x14ac:dyDescent="0.25">
      <c r="A1204" s="11">
        <v>201189</v>
      </c>
      <c r="B1204" s="12" t="s">
        <v>2812</v>
      </c>
      <c r="C1204" s="12" t="s">
        <v>2820</v>
      </c>
      <c r="D1204" s="12">
        <v>7</v>
      </c>
      <c r="E1204" s="125">
        <v>2160357.69</v>
      </c>
      <c r="F1204" s="12">
        <v>-7</v>
      </c>
      <c r="G1204" s="125">
        <v>1852369.27</v>
      </c>
      <c r="H1204" s="12" t="s">
        <v>2034</v>
      </c>
      <c r="I1204" s="125">
        <v>54336.17</v>
      </c>
      <c r="J1204" s="13">
        <v>42947.505184803238</v>
      </c>
      <c r="K1204" s="13">
        <v>43252</v>
      </c>
      <c r="L1204" s="12" t="s">
        <v>2821</v>
      </c>
      <c r="M1204" s="12" t="s">
        <v>2822</v>
      </c>
      <c r="N1204" s="12"/>
      <c r="O1204" s="12"/>
      <c r="P1204" s="12"/>
      <c r="Q1204" s="12"/>
    </row>
    <row r="1205" spans="1:17" x14ac:dyDescent="0.25">
      <c r="A1205" s="11">
        <v>201190</v>
      </c>
      <c r="B1205" s="12" t="s">
        <v>5101</v>
      </c>
      <c r="C1205" s="12" t="s">
        <v>5106</v>
      </c>
      <c r="D1205" s="12">
        <v>1</v>
      </c>
      <c r="E1205" s="125">
        <v>1908722.01</v>
      </c>
      <c r="F1205" s="12">
        <v>-7</v>
      </c>
      <c r="G1205" s="125">
        <v>1675849.05</v>
      </c>
      <c r="H1205" s="12" t="s">
        <v>4686</v>
      </c>
      <c r="I1205" s="125">
        <v>55303.02</v>
      </c>
      <c r="J1205" s="13">
        <v>42942.522085567129</v>
      </c>
      <c r="K1205" s="13">
        <v>43191</v>
      </c>
      <c r="L1205" s="12" t="s">
        <v>5107</v>
      </c>
      <c r="M1205" s="12" t="s">
        <v>5108</v>
      </c>
      <c r="N1205" s="12"/>
      <c r="O1205" s="12"/>
      <c r="P1205" s="12"/>
      <c r="Q1205" s="12"/>
    </row>
    <row r="1206" spans="1:17" x14ac:dyDescent="0.25">
      <c r="A1206" s="11">
        <v>201191</v>
      </c>
      <c r="B1206" s="12" t="s">
        <v>2826</v>
      </c>
      <c r="C1206" s="12" t="s">
        <v>2847</v>
      </c>
      <c r="D1206" s="12">
        <v>1</v>
      </c>
      <c r="E1206" s="125">
        <v>14120752.75</v>
      </c>
      <c r="F1206" s="12">
        <v>-7</v>
      </c>
      <c r="G1206" s="125">
        <v>11043692.17</v>
      </c>
      <c r="H1206" s="12" t="s">
        <v>1447</v>
      </c>
      <c r="I1206" s="125">
        <v>323948.3</v>
      </c>
      <c r="J1206" s="13">
        <v>42942.476226620369</v>
      </c>
      <c r="K1206" s="13">
        <v>43405</v>
      </c>
      <c r="L1206" s="12" t="s">
        <v>2848</v>
      </c>
      <c r="M1206" s="12" t="s">
        <v>2849</v>
      </c>
      <c r="N1206" s="12"/>
      <c r="O1206" s="12"/>
      <c r="P1206" s="12"/>
      <c r="Q1206" s="12"/>
    </row>
    <row r="1207" spans="1:17" x14ac:dyDescent="0.25">
      <c r="A1207" s="11">
        <v>201193</v>
      </c>
      <c r="B1207" s="12" t="s">
        <v>5109</v>
      </c>
      <c r="C1207" s="12" t="s">
        <v>5113</v>
      </c>
      <c r="D1207" s="12">
        <v>1</v>
      </c>
      <c r="E1207" s="125">
        <v>826178.87</v>
      </c>
      <c r="F1207" s="12">
        <v>-7</v>
      </c>
      <c r="G1207" s="125">
        <v>3207175.14</v>
      </c>
      <c r="H1207" s="12" t="s">
        <v>1909</v>
      </c>
      <c r="I1207" s="125">
        <v>105836.78</v>
      </c>
      <c r="J1207" s="13">
        <v>42943.562869444446</v>
      </c>
      <c r="K1207" s="13">
        <v>43252</v>
      </c>
      <c r="L1207" s="12" t="s">
        <v>5114</v>
      </c>
      <c r="M1207" s="12"/>
      <c r="N1207" s="12"/>
      <c r="O1207" s="12"/>
      <c r="P1207" s="12"/>
      <c r="Q1207" s="12"/>
    </row>
    <row r="1208" spans="1:17" x14ac:dyDescent="0.25">
      <c r="A1208" s="11">
        <v>201194</v>
      </c>
      <c r="B1208" s="12" t="s">
        <v>3526</v>
      </c>
      <c r="C1208" s="12" t="s">
        <v>3540</v>
      </c>
      <c r="D1208" s="12">
        <v>1</v>
      </c>
      <c r="E1208" s="125">
        <v>7219934.2000000002</v>
      </c>
      <c r="F1208" s="12">
        <v>-7</v>
      </c>
      <c r="G1208" s="125">
        <v>5964733.9000000004</v>
      </c>
      <c r="H1208" s="12" t="s">
        <v>2034</v>
      </c>
      <c r="I1208" s="125">
        <v>174965.53</v>
      </c>
      <c r="J1208" s="13">
        <v>42944.660376157408</v>
      </c>
      <c r="K1208" s="13">
        <v>43313</v>
      </c>
      <c r="L1208" s="12" t="s">
        <v>3541</v>
      </c>
      <c r="M1208" s="12"/>
      <c r="N1208" s="12" t="s">
        <v>3542</v>
      </c>
      <c r="O1208" s="12"/>
      <c r="P1208" s="12"/>
      <c r="Q1208" s="12"/>
    </row>
    <row r="1209" spans="1:17" x14ac:dyDescent="0.25">
      <c r="A1209" s="11">
        <v>201195</v>
      </c>
      <c r="B1209" s="12" t="s">
        <v>1857</v>
      </c>
      <c r="C1209" s="12" t="s">
        <v>1860</v>
      </c>
      <c r="D1209" s="12">
        <v>6</v>
      </c>
      <c r="E1209" s="125">
        <v>17500912.559999999</v>
      </c>
      <c r="F1209" s="12">
        <v>-7</v>
      </c>
      <c r="G1209" s="125">
        <v>13928317.18</v>
      </c>
      <c r="H1209" s="12" t="s">
        <v>963</v>
      </c>
      <c r="I1209" s="125">
        <v>306422.98</v>
      </c>
      <c r="J1209" s="13">
        <v>42944.574526932869</v>
      </c>
      <c r="K1209" s="13">
        <v>43497</v>
      </c>
      <c r="L1209" s="12" t="s">
        <v>1861</v>
      </c>
      <c r="M1209" s="12" t="s">
        <v>1862</v>
      </c>
      <c r="N1209" s="12"/>
      <c r="O1209" s="12"/>
      <c r="P1209" s="12"/>
      <c r="Q1209" s="12"/>
    </row>
    <row r="1210" spans="1:17" x14ac:dyDescent="0.25">
      <c r="A1210" s="11">
        <v>201196</v>
      </c>
      <c r="B1210" s="12" t="s">
        <v>5126</v>
      </c>
      <c r="C1210" s="12" t="s">
        <v>5135</v>
      </c>
      <c r="D1210" s="12">
        <v>1</v>
      </c>
      <c r="E1210" s="125">
        <v>6688660.0999999996</v>
      </c>
      <c r="F1210" s="12">
        <v>23</v>
      </c>
      <c r="G1210" s="125">
        <v>5704867.8099999996</v>
      </c>
      <c r="H1210" s="12" t="s">
        <v>5047</v>
      </c>
      <c r="I1210" s="125">
        <v>172769.4</v>
      </c>
      <c r="J1210" s="13">
        <v>42944.532806249998</v>
      </c>
      <c r="K1210" s="13">
        <v>43252</v>
      </c>
      <c r="L1210" s="12" t="s">
        <v>5136</v>
      </c>
      <c r="M1210" s="12"/>
      <c r="N1210" s="12" t="s">
        <v>5137</v>
      </c>
      <c r="O1210" s="12"/>
      <c r="P1210" s="12"/>
      <c r="Q1210" s="12"/>
    </row>
    <row r="1211" spans="1:17" x14ac:dyDescent="0.25">
      <c r="A1211" s="11">
        <v>201197</v>
      </c>
      <c r="B1211" s="12" t="s">
        <v>3512</v>
      </c>
      <c r="C1211" s="12" t="s">
        <v>3521</v>
      </c>
      <c r="D1211" s="12">
        <v>7</v>
      </c>
      <c r="E1211" s="125">
        <v>4620757.9000000004</v>
      </c>
      <c r="F1211" s="12">
        <v>-7</v>
      </c>
      <c r="G1211" s="125">
        <v>3817429.7</v>
      </c>
      <c r="H1211" s="12" t="s">
        <v>2034</v>
      </c>
      <c r="I1211" s="125">
        <v>111977.94</v>
      </c>
      <c r="J1211" s="13">
        <v>42944.557641516207</v>
      </c>
      <c r="K1211" s="13">
        <v>43313</v>
      </c>
      <c r="L1211" s="12" t="s">
        <v>3522</v>
      </c>
      <c r="M1211" s="12"/>
      <c r="N1211" s="12" t="s">
        <v>3523</v>
      </c>
      <c r="O1211" s="12"/>
      <c r="P1211" s="12"/>
      <c r="Q1211" s="12"/>
    </row>
    <row r="1212" spans="1:17" x14ac:dyDescent="0.25">
      <c r="A1212" s="11">
        <v>201198</v>
      </c>
      <c r="B1212" s="12" t="s">
        <v>3878</v>
      </c>
      <c r="C1212" s="12" t="s">
        <v>3883</v>
      </c>
      <c r="D1212" s="12">
        <v>1</v>
      </c>
      <c r="E1212" s="125">
        <v>3446920.85</v>
      </c>
      <c r="F1212" s="12">
        <v>-7</v>
      </c>
      <c r="G1212" s="125">
        <v>3188506.38</v>
      </c>
      <c r="H1212" s="12" t="s">
        <v>2175</v>
      </c>
      <c r="I1212" s="125">
        <v>93529.52</v>
      </c>
      <c r="J1212" s="13">
        <v>42944.547210682867</v>
      </c>
      <c r="K1212" s="13">
        <v>43132</v>
      </c>
      <c r="L1212" s="12" t="s">
        <v>3884</v>
      </c>
      <c r="M1212" s="12"/>
      <c r="N1212" s="12" t="s">
        <v>3885</v>
      </c>
      <c r="O1212" s="12"/>
      <c r="P1212" s="12"/>
      <c r="Q1212" s="12"/>
    </row>
    <row r="1213" spans="1:17" x14ac:dyDescent="0.25">
      <c r="A1213" s="11">
        <v>201199</v>
      </c>
      <c r="B1213" s="12" t="s">
        <v>5115</v>
      </c>
      <c r="C1213" s="12" t="s">
        <v>5120</v>
      </c>
      <c r="D1213" s="12">
        <v>1</v>
      </c>
      <c r="E1213" s="125">
        <v>5791630.3200000003</v>
      </c>
      <c r="F1213" s="12">
        <v>54</v>
      </c>
      <c r="G1213" s="125">
        <v>5113650.09</v>
      </c>
      <c r="H1213" s="12" t="s">
        <v>2034</v>
      </c>
      <c r="I1213" s="125">
        <v>186640.8</v>
      </c>
      <c r="J1213" s="13">
        <v>42944.669319907407</v>
      </c>
      <c r="K1213" s="13">
        <v>43191</v>
      </c>
      <c r="L1213" s="12" t="s">
        <v>5121</v>
      </c>
      <c r="M1213" s="12"/>
      <c r="N1213" s="12"/>
      <c r="O1213" s="12"/>
      <c r="P1213" s="12"/>
      <c r="Q1213" s="12"/>
    </row>
    <row r="1214" spans="1:17" x14ac:dyDescent="0.25">
      <c r="A1214" s="11">
        <v>201200</v>
      </c>
      <c r="B1214" s="12" t="s">
        <v>2480</v>
      </c>
      <c r="C1214" s="12" t="s">
        <v>2481</v>
      </c>
      <c r="D1214" s="12">
        <v>7</v>
      </c>
      <c r="E1214" s="125">
        <v>2165889.9500000002</v>
      </c>
      <c r="F1214" s="12">
        <v>-7</v>
      </c>
      <c r="G1214" s="125">
        <v>1857112.85</v>
      </c>
      <c r="H1214" s="12" t="s">
        <v>2034</v>
      </c>
      <c r="I1214" s="125">
        <v>54475.31</v>
      </c>
      <c r="J1214" s="13">
        <v>42944.714830324076</v>
      </c>
      <c r="K1214" s="13">
        <v>43252</v>
      </c>
      <c r="L1214" s="12" t="s">
        <v>2482</v>
      </c>
      <c r="M1214" s="12"/>
      <c r="N1214" s="12"/>
      <c r="O1214" s="12"/>
      <c r="P1214" s="12"/>
      <c r="Q1214" s="12"/>
    </row>
    <row r="1215" spans="1:17" x14ac:dyDescent="0.25">
      <c r="A1215" s="11">
        <v>201201</v>
      </c>
      <c r="B1215" s="12" t="s">
        <v>2971</v>
      </c>
      <c r="C1215" s="12" t="s">
        <v>2972</v>
      </c>
      <c r="D1215" s="12">
        <v>5</v>
      </c>
      <c r="E1215" s="125">
        <v>4100853.33</v>
      </c>
      <c r="F1215" s="12">
        <v>-27</v>
      </c>
      <c r="G1215" s="125">
        <v>3782209.81</v>
      </c>
      <c r="H1215" s="12" t="s">
        <v>284</v>
      </c>
      <c r="I1215" s="125">
        <v>4622.7</v>
      </c>
      <c r="J1215" s="13">
        <v>42944.700933368054</v>
      </c>
      <c r="K1215" s="13">
        <v>43302</v>
      </c>
      <c r="L1215" s="12" t="s">
        <v>2973</v>
      </c>
      <c r="M1215" s="12"/>
      <c r="N1215" s="12"/>
      <c r="O1215" s="12"/>
      <c r="P1215" s="12"/>
      <c r="Q1215" s="12"/>
    </row>
    <row r="1216" spans="1:17" x14ac:dyDescent="0.25">
      <c r="A1216" s="11">
        <v>201202</v>
      </c>
      <c r="B1216" s="12" t="s">
        <v>3525</v>
      </c>
      <c r="C1216" s="12" t="s">
        <v>3533</v>
      </c>
      <c r="D1216" s="12">
        <v>8</v>
      </c>
      <c r="E1216" s="125">
        <v>5656390.9400000004</v>
      </c>
      <c r="F1216" s="12">
        <v>-7</v>
      </c>
      <c r="G1216" s="125">
        <v>4744815.45</v>
      </c>
      <c r="H1216" s="12" t="s">
        <v>2034</v>
      </c>
      <c r="I1216" s="125">
        <v>127582.82</v>
      </c>
      <c r="J1216" s="13">
        <v>42945.442615706015</v>
      </c>
      <c r="K1216" s="13">
        <v>43313</v>
      </c>
      <c r="L1216" s="12" t="s">
        <v>3534</v>
      </c>
      <c r="M1216" s="12"/>
      <c r="N1216" s="12"/>
      <c r="O1216" s="12"/>
      <c r="P1216" s="12"/>
      <c r="Q1216" s="12"/>
    </row>
    <row r="1217" spans="1:17" x14ac:dyDescent="0.25">
      <c r="A1217" s="11">
        <v>201203</v>
      </c>
      <c r="B1217" s="12" t="s">
        <v>5127</v>
      </c>
      <c r="C1217" s="12" t="s">
        <v>5138</v>
      </c>
      <c r="D1217" s="12">
        <v>8</v>
      </c>
      <c r="E1217" s="125">
        <v>5228233.78</v>
      </c>
      <c r="F1217" s="12">
        <v>-7</v>
      </c>
      <c r="G1217" s="125">
        <v>4455396.6500000004</v>
      </c>
      <c r="H1217" s="12" t="s">
        <v>4686</v>
      </c>
      <c r="I1217" s="125">
        <v>136137.12</v>
      </c>
      <c r="J1217" s="13">
        <v>42947.74363730324</v>
      </c>
      <c r="K1217" s="13">
        <v>43252</v>
      </c>
      <c r="L1217" s="12" t="s">
        <v>5139</v>
      </c>
      <c r="M1217" s="12" t="s">
        <v>5140</v>
      </c>
      <c r="N1217" s="12"/>
      <c r="O1217" s="12"/>
      <c r="P1217" s="12"/>
      <c r="Q1217" s="12"/>
    </row>
    <row r="1218" spans="1:17" x14ac:dyDescent="0.25">
      <c r="A1218" s="11">
        <v>201204</v>
      </c>
      <c r="B1218" s="12" t="s">
        <v>3023</v>
      </c>
      <c r="C1218" s="12" t="s">
        <v>3027</v>
      </c>
      <c r="D1218" s="12">
        <v>6</v>
      </c>
      <c r="E1218" s="125">
        <v>4938022.09</v>
      </c>
      <c r="F1218" s="12">
        <v>-12</v>
      </c>
      <c r="G1218" s="125">
        <v>4395039.2699999996</v>
      </c>
      <c r="H1218" s="12" t="s">
        <v>491</v>
      </c>
      <c r="I1218" s="125">
        <v>74715.67</v>
      </c>
      <c r="J1218" s="13">
        <v>42950.72107133102</v>
      </c>
      <c r="K1218" s="13">
        <v>43257</v>
      </c>
      <c r="L1218" s="12" t="s">
        <v>3028</v>
      </c>
      <c r="M1218" s="12"/>
      <c r="N1218" s="12"/>
      <c r="O1218" s="12"/>
      <c r="P1218" s="12"/>
      <c r="Q1218" s="12"/>
    </row>
    <row r="1219" spans="1:17" x14ac:dyDescent="0.25">
      <c r="A1219" s="11">
        <v>201205</v>
      </c>
      <c r="B1219" s="12" t="s">
        <v>2968</v>
      </c>
      <c r="C1219" s="12" t="s">
        <v>2969</v>
      </c>
      <c r="D1219" s="12">
        <v>1</v>
      </c>
      <c r="E1219" s="125">
        <v>6904292.9100000001</v>
      </c>
      <c r="F1219" s="12">
        <v>-8</v>
      </c>
      <c r="G1219" s="125">
        <v>5919991.9199999999</v>
      </c>
      <c r="H1219" s="12" t="s">
        <v>1447</v>
      </c>
      <c r="I1219" s="125">
        <v>165759.76999999999</v>
      </c>
      <c r="J1219" s="13">
        <v>42949.654072453704</v>
      </c>
      <c r="K1219" s="13">
        <v>43253</v>
      </c>
      <c r="L1219" s="12" t="s">
        <v>2970</v>
      </c>
      <c r="M1219" s="12"/>
      <c r="N1219" s="12"/>
      <c r="O1219" s="12"/>
      <c r="P1219" s="12"/>
      <c r="Q1219" s="12"/>
    </row>
    <row r="1220" spans="1:17" x14ac:dyDescent="0.25">
      <c r="A1220" s="11">
        <v>201208</v>
      </c>
      <c r="B1220" s="12" t="s">
        <v>4198</v>
      </c>
      <c r="C1220" s="12" t="s">
        <v>4200</v>
      </c>
      <c r="D1220" s="12">
        <v>1</v>
      </c>
      <c r="E1220" s="125">
        <v>4794847.8</v>
      </c>
      <c r="F1220" s="12">
        <v>-13</v>
      </c>
      <c r="G1220" s="125">
        <v>3961253.7</v>
      </c>
      <c r="H1220" s="12" t="s">
        <v>1909</v>
      </c>
      <c r="I1220" s="125">
        <v>155935.19</v>
      </c>
      <c r="J1220" s="13">
        <v>42954.512467442131</v>
      </c>
      <c r="K1220" s="13">
        <v>43319</v>
      </c>
      <c r="L1220" s="12" t="s">
        <v>4201</v>
      </c>
      <c r="M1220" s="12"/>
      <c r="N1220" s="12" t="s">
        <v>4202</v>
      </c>
      <c r="O1220" s="12"/>
      <c r="P1220" s="12"/>
      <c r="Q1220" s="12"/>
    </row>
    <row r="1221" spans="1:17" x14ac:dyDescent="0.25">
      <c r="A1221" s="11">
        <v>201210</v>
      </c>
      <c r="B1221" s="12" t="s">
        <v>5150</v>
      </c>
      <c r="C1221" s="12" t="s">
        <v>5158</v>
      </c>
      <c r="D1221" s="12">
        <v>1</v>
      </c>
      <c r="E1221" s="125">
        <v>3538607.01</v>
      </c>
      <c r="F1221" s="12">
        <v>-13</v>
      </c>
      <c r="G1221" s="125">
        <v>2978850.4</v>
      </c>
      <c r="H1221" s="12" t="s">
        <v>4686</v>
      </c>
      <c r="I1221" s="125">
        <v>71492.41</v>
      </c>
      <c r="J1221" s="13">
        <v>42954.678449039355</v>
      </c>
      <c r="K1221" s="13">
        <v>43258</v>
      </c>
      <c r="L1221" s="12" t="s">
        <v>5159</v>
      </c>
      <c r="M1221" s="12"/>
      <c r="N1221" s="12" t="s">
        <v>5160</v>
      </c>
      <c r="O1221" s="12"/>
      <c r="P1221" s="12"/>
      <c r="Q1221" s="12"/>
    </row>
    <row r="1222" spans="1:17" x14ac:dyDescent="0.25">
      <c r="A1222" s="11">
        <v>201211</v>
      </c>
      <c r="B1222" s="12" t="s">
        <v>3708</v>
      </c>
      <c r="C1222" s="12" t="s">
        <v>3722</v>
      </c>
      <c r="D1222" s="12">
        <v>7</v>
      </c>
      <c r="E1222" s="125">
        <v>3452146.43</v>
      </c>
      <c r="F1222" s="12">
        <v>-13</v>
      </c>
      <c r="G1222" s="125">
        <v>2959995.95</v>
      </c>
      <c r="H1222" s="12" t="s">
        <v>491</v>
      </c>
      <c r="I1222" s="125">
        <v>63146.58</v>
      </c>
      <c r="J1222" s="13">
        <v>42954.705635497688</v>
      </c>
      <c r="K1222" s="13">
        <v>43258</v>
      </c>
      <c r="L1222" s="12" t="s">
        <v>3723</v>
      </c>
      <c r="M1222" s="12"/>
      <c r="N1222" s="12" t="s">
        <v>3724</v>
      </c>
      <c r="O1222" s="12"/>
      <c r="P1222" s="12"/>
      <c r="Q1222" s="12"/>
    </row>
    <row r="1223" spans="1:17" x14ac:dyDescent="0.25">
      <c r="A1223" s="11">
        <v>201212</v>
      </c>
      <c r="B1223" s="12" t="s">
        <v>2790</v>
      </c>
      <c r="C1223" s="12" t="s">
        <v>2797</v>
      </c>
      <c r="D1223" s="12">
        <v>8</v>
      </c>
      <c r="E1223" s="125">
        <v>5104660.09</v>
      </c>
      <c r="F1223" s="12">
        <v>-16</v>
      </c>
      <c r="G1223" s="125">
        <v>4431349.74</v>
      </c>
      <c r="H1223" s="12" t="s">
        <v>2175</v>
      </c>
      <c r="I1223" s="125">
        <v>70409.22</v>
      </c>
      <c r="J1223" s="13">
        <v>42955.442869444443</v>
      </c>
      <c r="K1223" s="13">
        <v>43261</v>
      </c>
      <c r="L1223" s="12" t="s">
        <v>2798</v>
      </c>
      <c r="M1223" s="12"/>
      <c r="N1223" s="12"/>
      <c r="O1223" s="12"/>
      <c r="P1223" s="12"/>
      <c r="Q1223" s="12"/>
    </row>
    <row r="1224" spans="1:17" x14ac:dyDescent="0.25">
      <c r="A1224" s="11">
        <v>201213</v>
      </c>
      <c r="B1224" s="12" t="s">
        <v>2983</v>
      </c>
      <c r="C1224" s="12" t="s">
        <v>2984</v>
      </c>
      <c r="D1224" s="12">
        <v>1</v>
      </c>
      <c r="E1224" s="125">
        <v>3835878.22</v>
      </c>
      <c r="F1224" s="12">
        <v>-15</v>
      </c>
      <c r="G1224" s="125">
        <v>3169002.95</v>
      </c>
      <c r="H1224" s="12" t="s">
        <v>1467</v>
      </c>
      <c r="I1224" s="125">
        <v>59154.720000000001</v>
      </c>
      <c r="J1224" s="13">
        <v>42956.50059826389</v>
      </c>
      <c r="K1224" s="13">
        <v>43321</v>
      </c>
      <c r="L1224" s="12" t="s">
        <v>2985</v>
      </c>
      <c r="M1224" s="12"/>
      <c r="N1224" s="12"/>
      <c r="O1224" s="12"/>
      <c r="P1224" s="12"/>
      <c r="Q1224" s="12"/>
    </row>
    <row r="1225" spans="1:17" x14ac:dyDescent="0.25">
      <c r="A1225" s="11">
        <v>201214</v>
      </c>
      <c r="B1225" s="12" t="s">
        <v>3511</v>
      </c>
      <c r="C1225" s="12" t="s">
        <v>3514</v>
      </c>
      <c r="D1225" s="12">
        <v>1</v>
      </c>
      <c r="E1225" s="125">
        <v>9589695.5299999993</v>
      </c>
      <c r="F1225" s="12">
        <v>-15</v>
      </c>
      <c r="G1225" s="125">
        <v>7922507.3700000001</v>
      </c>
      <c r="H1225" s="12" t="s">
        <v>4684</v>
      </c>
      <c r="I1225" s="125">
        <v>147886.79999999999</v>
      </c>
      <c r="J1225" s="13">
        <v>42956.558485729169</v>
      </c>
      <c r="K1225" s="13">
        <v>43321</v>
      </c>
      <c r="L1225" s="12" t="s">
        <v>3515</v>
      </c>
      <c r="M1225" s="12"/>
      <c r="N1225" s="12"/>
      <c r="O1225" s="12"/>
      <c r="P1225" s="12"/>
      <c r="Q1225" s="12"/>
    </row>
    <row r="1226" spans="1:17" x14ac:dyDescent="0.25">
      <c r="A1226" s="11">
        <v>201215</v>
      </c>
      <c r="B1226" s="12" t="s">
        <v>5166</v>
      </c>
      <c r="C1226" s="12" t="s">
        <v>5171</v>
      </c>
      <c r="D1226" s="12">
        <v>7</v>
      </c>
      <c r="E1226" s="125">
        <v>3987322.3</v>
      </c>
      <c r="F1226" s="12">
        <v>15</v>
      </c>
      <c r="G1226" s="125">
        <v>3334321.23</v>
      </c>
      <c r="H1226" s="12" t="s">
        <v>5167</v>
      </c>
      <c r="I1226" s="125">
        <v>155800.32000000001</v>
      </c>
      <c r="J1226" s="13">
        <v>42956.583530902775</v>
      </c>
      <c r="K1226" s="13">
        <v>43260</v>
      </c>
      <c r="L1226" s="12" t="s">
        <v>5172</v>
      </c>
      <c r="M1226" s="12"/>
      <c r="N1226" s="12"/>
      <c r="O1226" s="12"/>
      <c r="P1226" s="12"/>
      <c r="Q1226" s="12"/>
    </row>
    <row r="1227" spans="1:17" x14ac:dyDescent="0.25">
      <c r="A1227" s="11">
        <v>201216</v>
      </c>
      <c r="B1227" s="12" t="s">
        <v>3374</v>
      </c>
      <c r="C1227" s="12" t="s">
        <v>3379</v>
      </c>
      <c r="D1227" s="12">
        <v>1</v>
      </c>
      <c r="E1227" s="125">
        <v>2157591.54</v>
      </c>
      <c r="F1227" s="12">
        <v>-15</v>
      </c>
      <c r="G1227" s="125">
        <v>1849997.48</v>
      </c>
      <c r="H1227" s="12" t="s">
        <v>3074</v>
      </c>
      <c r="I1227" s="125">
        <v>34533.29</v>
      </c>
      <c r="J1227" s="13">
        <v>42956.591755821762</v>
      </c>
      <c r="K1227" s="13">
        <v>43260</v>
      </c>
      <c r="L1227" s="12" t="s">
        <v>3380</v>
      </c>
      <c r="M1227" s="12"/>
      <c r="N1227" s="12"/>
      <c r="O1227" s="12"/>
      <c r="P1227" s="12"/>
      <c r="Q1227" s="12"/>
    </row>
    <row r="1228" spans="1:17" x14ac:dyDescent="0.25">
      <c r="A1228" s="11">
        <v>201217</v>
      </c>
      <c r="B1228" s="12" t="s">
        <v>5174</v>
      </c>
      <c r="C1228" s="12" t="s">
        <v>5175</v>
      </c>
      <c r="D1228" s="12">
        <v>7</v>
      </c>
      <c r="E1228" s="125">
        <v>2574657.79</v>
      </c>
      <c r="F1228" s="12">
        <v>14</v>
      </c>
      <c r="G1228" s="125">
        <v>2379976.25</v>
      </c>
      <c r="H1228" s="12" t="s">
        <v>5167</v>
      </c>
      <c r="I1228" s="125">
        <v>41571.25</v>
      </c>
      <c r="J1228" s="13">
        <v>42957.52770309028</v>
      </c>
      <c r="K1228" s="13">
        <v>43141</v>
      </c>
      <c r="L1228" s="12" t="s">
        <v>5176</v>
      </c>
      <c r="M1228" s="12"/>
      <c r="N1228" s="12" t="s">
        <v>5177</v>
      </c>
      <c r="O1228" s="12"/>
      <c r="P1228" s="12"/>
      <c r="Q1228" s="12"/>
    </row>
    <row r="1229" spans="1:17" x14ac:dyDescent="0.25">
      <c r="A1229" s="11">
        <v>201218</v>
      </c>
      <c r="B1229" s="12" t="s">
        <v>2010</v>
      </c>
      <c r="C1229" s="12" t="s">
        <v>2011</v>
      </c>
      <c r="D1229" s="12">
        <v>8</v>
      </c>
      <c r="E1229" s="125">
        <v>7393598.6900000004</v>
      </c>
      <c r="F1229" s="12">
        <v>-24</v>
      </c>
      <c r="G1229" s="125">
        <v>6645099.4500000002</v>
      </c>
      <c r="H1229" s="12" t="s">
        <v>2861</v>
      </c>
      <c r="I1229" s="125">
        <v>40608.94</v>
      </c>
      <c r="J1229" s="13">
        <v>42957.643901041665</v>
      </c>
      <c r="K1229" s="13">
        <v>43208</v>
      </c>
      <c r="L1229" s="12" t="s">
        <v>2012</v>
      </c>
      <c r="M1229" s="12"/>
      <c r="N1229" s="12" t="s">
        <v>2013</v>
      </c>
      <c r="O1229" s="12"/>
      <c r="P1229" s="12"/>
      <c r="Q1229" s="12"/>
    </row>
    <row r="1230" spans="1:17" x14ac:dyDescent="0.25">
      <c r="A1230" s="11">
        <v>201219</v>
      </c>
      <c r="B1230" s="12" t="s">
        <v>2291</v>
      </c>
      <c r="C1230" s="12" t="s">
        <v>2302</v>
      </c>
      <c r="D1230" s="12">
        <v>2</v>
      </c>
      <c r="E1230" s="125">
        <v>23283888.579999998</v>
      </c>
      <c r="F1230" s="12">
        <v>-16</v>
      </c>
      <c r="G1230" s="125">
        <v>19681836.120000001</v>
      </c>
      <c r="H1230" s="12" t="s">
        <v>2861</v>
      </c>
      <c r="I1230" s="125">
        <v>298507.84999999998</v>
      </c>
      <c r="J1230" s="13">
        <v>42957.611355821762</v>
      </c>
      <c r="K1230" s="13">
        <v>43322</v>
      </c>
      <c r="L1230" s="12" t="s">
        <v>2303</v>
      </c>
      <c r="M1230" s="12"/>
      <c r="N1230" s="12"/>
      <c r="O1230" s="12"/>
      <c r="P1230" s="12"/>
      <c r="Q1230" s="12"/>
    </row>
    <row r="1231" spans="1:17" x14ac:dyDescent="0.25">
      <c r="A1231" s="11">
        <v>201220</v>
      </c>
      <c r="B1231" s="12" t="s">
        <v>5173</v>
      </c>
      <c r="C1231" s="12" t="s">
        <v>5178</v>
      </c>
      <c r="D1231" s="12">
        <v>7</v>
      </c>
      <c r="E1231" s="125">
        <v>1493621.76</v>
      </c>
      <c r="F1231" s="12">
        <v>14</v>
      </c>
      <c r="G1231" s="125">
        <v>1391087.38</v>
      </c>
      <c r="H1231" s="12" t="s">
        <v>5167</v>
      </c>
      <c r="I1231" s="125">
        <v>25979.24</v>
      </c>
      <c r="J1231" s="13">
        <v>42957.655313888892</v>
      </c>
      <c r="K1231" s="13">
        <v>43141</v>
      </c>
      <c r="L1231" s="12" t="s">
        <v>5179</v>
      </c>
      <c r="M1231" s="12"/>
      <c r="N1231" s="12"/>
      <c r="O1231" s="12"/>
      <c r="P1231" s="12"/>
      <c r="Q1231" s="12"/>
    </row>
    <row r="1232" spans="1:17" x14ac:dyDescent="0.25">
      <c r="A1232" s="11">
        <v>201222</v>
      </c>
      <c r="B1232" s="12" t="s">
        <v>2733</v>
      </c>
      <c r="C1232" s="12" t="s">
        <v>2736</v>
      </c>
      <c r="D1232" s="12">
        <v>7</v>
      </c>
      <c r="E1232" s="125">
        <v>2589109.86</v>
      </c>
      <c r="F1232" s="12">
        <v>-17</v>
      </c>
      <c r="G1232" s="125">
        <v>2219996.98</v>
      </c>
      <c r="H1232" s="12" t="s">
        <v>1667</v>
      </c>
      <c r="I1232" s="125">
        <v>35519.949999999997</v>
      </c>
      <c r="J1232" s="13">
        <v>42958.64839278935</v>
      </c>
      <c r="K1232" s="13">
        <v>43262</v>
      </c>
      <c r="L1232" s="12" t="s">
        <v>2737</v>
      </c>
      <c r="M1232" s="12" t="s">
        <v>2738</v>
      </c>
      <c r="N1232" s="12"/>
      <c r="O1232" s="12"/>
      <c r="P1232" s="12"/>
      <c r="Q1232" s="12"/>
    </row>
    <row r="1233" spans="1:17" x14ac:dyDescent="0.25">
      <c r="A1233" s="11">
        <v>201223</v>
      </c>
      <c r="B1233" s="12" t="s">
        <v>3228</v>
      </c>
      <c r="C1233" s="12" t="s">
        <v>3248</v>
      </c>
      <c r="D1233" s="12">
        <v>7</v>
      </c>
      <c r="E1233" s="125">
        <v>3356393.46</v>
      </c>
      <c r="F1233" s="12">
        <v>-17</v>
      </c>
      <c r="G1233" s="125">
        <v>2772877.6</v>
      </c>
      <c r="H1233" s="12" t="s">
        <v>468</v>
      </c>
      <c r="I1233" s="125">
        <v>44366.04</v>
      </c>
      <c r="J1233" s="13">
        <v>42958.615538113423</v>
      </c>
      <c r="K1233" s="13">
        <v>43323</v>
      </c>
      <c r="L1233" s="12" t="s">
        <v>3249</v>
      </c>
      <c r="M1233" s="12"/>
      <c r="N1233" s="12" t="s">
        <v>3250</v>
      </c>
      <c r="O1233" s="12"/>
      <c r="P1233" s="12"/>
      <c r="Q1233" s="12"/>
    </row>
    <row r="1234" spans="1:17" x14ac:dyDescent="0.25">
      <c r="A1234" s="11">
        <v>201225</v>
      </c>
      <c r="B1234" s="12" t="s">
        <v>3990</v>
      </c>
      <c r="C1234" s="12" t="s">
        <v>3997</v>
      </c>
      <c r="D1234" s="12">
        <v>1</v>
      </c>
      <c r="E1234" s="125">
        <v>4315183.0599999996</v>
      </c>
      <c r="F1234" s="12">
        <v>-20</v>
      </c>
      <c r="G1234" s="125">
        <v>3699994.94</v>
      </c>
      <c r="H1234" s="12" t="s">
        <v>1447</v>
      </c>
      <c r="I1234" s="125">
        <v>44399.94</v>
      </c>
      <c r="J1234" s="13">
        <v>42961.715052430554</v>
      </c>
      <c r="K1234" s="13">
        <v>43265</v>
      </c>
      <c r="L1234" s="12" t="s">
        <v>3998</v>
      </c>
      <c r="M1234" s="12"/>
      <c r="N1234" s="12"/>
      <c r="O1234" s="12"/>
      <c r="P1234" s="12"/>
      <c r="Q1234" s="12"/>
    </row>
    <row r="1235" spans="1:17" x14ac:dyDescent="0.25">
      <c r="A1235" s="11">
        <v>201226</v>
      </c>
      <c r="B1235" s="12" t="s">
        <v>2709</v>
      </c>
      <c r="C1235" s="12" t="s">
        <v>2710</v>
      </c>
      <c r="D1235" s="12">
        <v>7</v>
      </c>
      <c r="E1235" s="125">
        <v>3219940.29</v>
      </c>
      <c r="F1235" s="12">
        <v>13</v>
      </c>
      <c r="G1235" s="125">
        <v>2894261.73</v>
      </c>
      <c r="H1235" s="12" t="s">
        <v>3074</v>
      </c>
      <c r="I1235" s="125">
        <v>42318.05</v>
      </c>
      <c r="J1235" s="13">
        <v>42958.69990482639</v>
      </c>
      <c r="K1235" s="13">
        <v>43201</v>
      </c>
      <c r="L1235" s="12" t="s">
        <v>2711</v>
      </c>
      <c r="M1235" s="12"/>
      <c r="N1235" s="12" t="s">
        <v>2712</v>
      </c>
      <c r="O1235" s="12"/>
      <c r="P1235" s="12"/>
      <c r="Q1235" s="12"/>
    </row>
    <row r="1236" spans="1:17" x14ac:dyDescent="0.25">
      <c r="A1236" s="11">
        <v>201227</v>
      </c>
      <c r="B1236" s="12" t="s">
        <v>5192</v>
      </c>
      <c r="C1236" s="12" t="s">
        <v>5207</v>
      </c>
      <c r="D1236" s="12">
        <v>1</v>
      </c>
      <c r="E1236" s="125">
        <v>2326540.65</v>
      </c>
      <c r="F1236" s="12">
        <v>-20</v>
      </c>
      <c r="G1236" s="125">
        <v>2131859.11</v>
      </c>
      <c r="H1236" s="12" t="s">
        <v>491</v>
      </c>
      <c r="I1236" s="125">
        <v>28780.1</v>
      </c>
      <c r="J1236" s="13">
        <v>42961.691763275463</v>
      </c>
      <c r="K1236" s="13">
        <v>43145</v>
      </c>
      <c r="L1236" s="12" t="s">
        <v>5208</v>
      </c>
      <c r="M1236" s="12"/>
      <c r="N1236" s="12"/>
      <c r="O1236" s="12"/>
      <c r="P1236" s="12"/>
      <c r="Q1236" s="12"/>
    </row>
    <row r="1237" spans="1:17" x14ac:dyDescent="0.25">
      <c r="A1237" s="11">
        <v>201228</v>
      </c>
      <c r="B1237" s="12" t="s">
        <v>3372</v>
      </c>
      <c r="C1237" s="12" t="s">
        <v>3383</v>
      </c>
      <c r="D1237" s="12">
        <v>8</v>
      </c>
      <c r="E1237" s="125">
        <v>6583598.7199999997</v>
      </c>
      <c r="F1237" s="12">
        <v>-20</v>
      </c>
      <c r="G1237" s="125">
        <v>5522595.8200000003</v>
      </c>
      <c r="H1237" s="12" t="s">
        <v>2557</v>
      </c>
      <c r="I1237" s="125">
        <v>60748.55</v>
      </c>
      <c r="J1237" s="13">
        <v>42961.758969826391</v>
      </c>
      <c r="K1237" s="13">
        <v>43326</v>
      </c>
      <c r="L1237" s="12" t="s">
        <v>3384</v>
      </c>
      <c r="M1237" s="12"/>
      <c r="N1237" s="12"/>
      <c r="O1237" s="12"/>
      <c r="P1237" s="12"/>
      <c r="Q1237" s="12"/>
    </row>
    <row r="1238" spans="1:17" x14ac:dyDescent="0.25">
      <c r="A1238" s="11">
        <v>201229</v>
      </c>
      <c r="B1238" s="12" t="s">
        <v>3940</v>
      </c>
      <c r="C1238" s="12" t="s">
        <v>3958</v>
      </c>
      <c r="D1238" s="12">
        <v>1</v>
      </c>
      <c r="E1238" s="125">
        <v>6041256.29</v>
      </c>
      <c r="F1238" s="12">
        <v>-20</v>
      </c>
      <c r="G1238" s="125">
        <v>5179992.92</v>
      </c>
      <c r="H1238" s="12" t="s">
        <v>2538</v>
      </c>
      <c r="I1238" s="125">
        <v>62159.92</v>
      </c>
      <c r="J1238" s="13">
        <v>42961.635382291664</v>
      </c>
      <c r="K1238" s="13">
        <v>43265</v>
      </c>
      <c r="L1238" s="12" t="s">
        <v>3959</v>
      </c>
      <c r="M1238" s="12"/>
      <c r="N1238" s="12"/>
      <c r="O1238" s="12"/>
      <c r="P1238" s="12"/>
      <c r="Q1238" s="12"/>
    </row>
    <row r="1239" spans="1:17" x14ac:dyDescent="0.25">
      <c r="A1239" s="11">
        <v>201230</v>
      </c>
      <c r="B1239" s="12" t="s">
        <v>3707</v>
      </c>
      <c r="C1239" s="12" t="s">
        <v>3717</v>
      </c>
      <c r="D1239" s="12">
        <v>7</v>
      </c>
      <c r="E1239" s="125">
        <v>2876908.67</v>
      </c>
      <c r="F1239" s="12">
        <v>-20</v>
      </c>
      <c r="G1239" s="125">
        <v>2376752.21</v>
      </c>
      <c r="H1239" s="12" t="s">
        <v>4684</v>
      </c>
      <c r="I1239" s="125">
        <v>28521.03</v>
      </c>
      <c r="J1239" s="13">
        <v>42961.692666817129</v>
      </c>
      <c r="K1239" s="13">
        <v>43326</v>
      </c>
      <c r="L1239" s="12" t="s">
        <v>3718</v>
      </c>
      <c r="M1239" s="12"/>
      <c r="N1239" s="12"/>
      <c r="O1239" s="12"/>
      <c r="P1239" s="12"/>
      <c r="Q1239" s="12"/>
    </row>
    <row r="1240" spans="1:17" x14ac:dyDescent="0.25">
      <c r="A1240" s="11">
        <v>201231</v>
      </c>
      <c r="B1240" s="12" t="s">
        <v>5210</v>
      </c>
      <c r="C1240" s="12" t="s">
        <v>5218</v>
      </c>
      <c r="D1240" s="12">
        <v>1</v>
      </c>
      <c r="E1240" s="125">
        <v>1744905.5</v>
      </c>
      <c r="F1240" s="12">
        <v>-21</v>
      </c>
      <c r="G1240" s="125">
        <v>1598894.34</v>
      </c>
      <c r="H1240" s="12" t="s">
        <v>4685</v>
      </c>
      <c r="I1240" s="125">
        <v>19186.73</v>
      </c>
      <c r="J1240" s="13">
        <v>42962.699635960649</v>
      </c>
      <c r="K1240" s="13">
        <v>43146</v>
      </c>
      <c r="L1240" s="12" t="s">
        <v>5219</v>
      </c>
      <c r="M1240" s="12"/>
      <c r="N1240" s="12" t="s">
        <v>5220</v>
      </c>
      <c r="O1240" s="12"/>
      <c r="P1240" s="12"/>
      <c r="Q1240" s="12"/>
    </row>
    <row r="1241" spans="1:17" x14ac:dyDescent="0.25">
      <c r="A1241" s="11">
        <v>201232</v>
      </c>
      <c r="B1241" s="12" t="s">
        <v>5221</v>
      </c>
      <c r="C1241" s="12" t="s">
        <v>5224</v>
      </c>
      <c r="D1241" s="12">
        <v>1</v>
      </c>
      <c r="E1241" s="125">
        <v>1454087.91</v>
      </c>
      <c r="F1241" s="12">
        <v>-22</v>
      </c>
      <c r="G1241" s="125">
        <v>1332411.94</v>
      </c>
      <c r="H1241" s="12" t="s">
        <v>4685</v>
      </c>
      <c r="I1241" s="125">
        <v>13990.33</v>
      </c>
      <c r="J1241" s="13">
        <v>42963.693098923613</v>
      </c>
      <c r="K1241" s="13">
        <v>43147</v>
      </c>
      <c r="L1241" s="12" t="s">
        <v>5225</v>
      </c>
      <c r="M1241" s="12"/>
      <c r="N1241" s="12" t="s">
        <v>5226</v>
      </c>
      <c r="O1241" s="12"/>
      <c r="P1241" s="12"/>
      <c r="Q1241" s="12"/>
    </row>
    <row r="1242" spans="1:17" x14ac:dyDescent="0.25">
      <c r="A1242" s="11">
        <v>201233</v>
      </c>
      <c r="B1242" s="12" t="s">
        <v>5222</v>
      </c>
      <c r="C1242" s="12" t="s">
        <v>5227</v>
      </c>
      <c r="D1242" s="12">
        <v>1</v>
      </c>
      <c r="E1242" s="125">
        <v>2326540.65</v>
      </c>
      <c r="F1242" s="12">
        <v>-22</v>
      </c>
      <c r="G1242" s="125">
        <v>2131859.11</v>
      </c>
      <c r="H1242" s="12" t="s">
        <v>4686</v>
      </c>
      <c r="I1242" s="125">
        <v>22384.52</v>
      </c>
      <c r="J1242" s="13">
        <v>42963.67516875</v>
      </c>
      <c r="K1242" s="13">
        <v>43147</v>
      </c>
      <c r="L1242" s="12" t="s">
        <v>5228</v>
      </c>
      <c r="M1242" s="12"/>
      <c r="N1242" s="12" t="s">
        <v>5229</v>
      </c>
      <c r="O1242" s="12"/>
      <c r="P1242" s="12"/>
      <c r="Q1242" s="12"/>
    </row>
    <row r="1243" spans="1:17" x14ac:dyDescent="0.25">
      <c r="A1243" s="11">
        <v>201234</v>
      </c>
      <c r="B1243" s="12" t="s">
        <v>3826</v>
      </c>
      <c r="C1243" s="12" t="s">
        <v>3827</v>
      </c>
      <c r="D1243" s="12">
        <v>1</v>
      </c>
      <c r="E1243" s="125">
        <v>5178219.63</v>
      </c>
      <c r="F1243" s="12">
        <v>-22</v>
      </c>
      <c r="G1243" s="125">
        <v>4439993.91</v>
      </c>
      <c r="H1243" s="12" t="s">
        <v>5167</v>
      </c>
      <c r="I1243" s="125">
        <v>41439.94</v>
      </c>
      <c r="J1243" s="13">
        <v>42963.518841203702</v>
      </c>
      <c r="K1243" s="13">
        <v>43267</v>
      </c>
      <c r="L1243" s="12" t="s">
        <v>3828</v>
      </c>
      <c r="M1243" s="12"/>
      <c r="N1243" s="12"/>
      <c r="O1243" s="12"/>
      <c r="P1243" s="12"/>
      <c r="Q1243" s="12"/>
    </row>
    <row r="1244" spans="1:17" x14ac:dyDescent="0.25">
      <c r="A1244" s="11">
        <v>201235</v>
      </c>
      <c r="B1244" s="12" t="s">
        <v>3900</v>
      </c>
      <c r="C1244" s="12" t="s">
        <v>3906</v>
      </c>
      <c r="D1244" s="12">
        <v>1</v>
      </c>
      <c r="E1244" s="125">
        <v>7671756.4299999997</v>
      </c>
      <c r="F1244" s="12">
        <v>-22</v>
      </c>
      <c r="G1244" s="125">
        <v>6338005.9000000004</v>
      </c>
      <c r="H1244" s="12" t="s">
        <v>1448</v>
      </c>
      <c r="I1244" s="125">
        <v>59154.720000000001</v>
      </c>
      <c r="J1244" s="13">
        <v>42963.690912118058</v>
      </c>
      <c r="K1244" s="13">
        <v>43328</v>
      </c>
      <c r="L1244" s="12" t="s">
        <v>3907</v>
      </c>
      <c r="M1244" s="12"/>
      <c r="N1244" s="12" t="s">
        <v>3908</v>
      </c>
      <c r="O1244" s="12"/>
      <c r="P1244" s="12"/>
      <c r="Q1244" s="12"/>
    </row>
    <row r="1245" spans="1:17" x14ac:dyDescent="0.25">
      <c r="A1245" s="11">
        <v>201236</v>
      </c>
      <c r="B1245" s="12" t="s">
        <v>5223</v>
      </c>
      <c r="C1245" s="12" t="s">
        <v>5230</v>
      </c>
      <c r="D1245" s="12">
        <v>7</v>
      </c>
      <c r="E1245" s="125">
        <v>2817362.28</v>
      </c>
      <c r="F1245" s="12">
        <v>8</v>
      </c>
      <c r="G1245" s="125">
        <v>2448249.4</v>
      </c>
      <c r="H1245" s="12" t="s">
        <v>2175</v>
      </c>
      <c r="I1245" s="125">
        <v>20719.97</v>
      </c>
      <c r="J1245" s="13">
        <v>42963.677953668979</v>
      </c>
      <c r="K1245" s="13">
        <v>43267</v>
      </c>
      <c r="L1245" s="12" t="s">
        <v>5231</v>
      </c>
      <c r="M1245" s="12"/>
      <c r="N1245" s="12" t="s">
        <v>5232</v>
      </c>
      <c r="O1245" s="12"/>
      <c r="P1245" s="12"/>
      <c r="Q1245" s="12"/>
    </row>
    <row r="1246" spans="1:17" x14ac:dyDescent="0.25">
      <c r="A1246" s="11">
        <v>201237</v>
      </c>
      <c r="B1246" s="12" t="s">
        <v>4323</v>
      </c>
      <c r="C1246" s="12" t="s">
        <v>4324</v>
      </c>
      <c r="D1246" s="12">
        <v>1</v>
      </c>
      <c r="E1246" s="125">
        <v>4863567.38</v>
      </c>
      <c r="F1246" s="12">
        <v>8</v>
      </c>
      <c r="G1246" s="125">
        <v>4150432.37</v>
      </c>
      <c r="H1246" s="12" t="s">
        <v>491</v>
      </c>
      <c r="I1246" s="125">
        <v>132480.18</v>
      </c>
      <c r="J1246" s="13">
        <v>42963.714644409723</v>
      </c>
      <c r="K1246" s="13">
        <v>43267</v>
      </c>
      <c r="L1246" s="12" t="s">
        <v>4325</v>
      </c>
      <c r="M1246" s="12"/>
      <c r="N1246" s="12"/>
      <c r="O1246" s="12"/>
      <c r="P1246" s="12"/>
      <c r="Q1246" s="12"/>
    </row>
    <row r="1247" spans="1:17" x14ac:dyDescent="0.25">
      <c r="A1247" s="11">
        <v>201238</v>
      </c>
      <c r="B1247" s="12" t="s">
        <v>1784</v>
      </c>
      <c r="C1247" s="12" t="s">
        <v>1785</v>
      </c>
      <c r="D1247" s="12">
        <v>6</v>
      </c>
      <c r="E1247" s="125">
        <v>24618406.370000001</v>
      </c>
      <c r="F1247" s="12">
        <v>-23</v>
      </c>
      <c r="G1247" s="125">
        <v>21911376.800000001</v>
      </c>
      <c r="H1247" s="12" t="s">
        <v>1447</v>
      </c>
      <c r="I1247" s="125">
        <v>131468.26</v>
      </c>
      <c r="J1247" s="13">
        <v>42964.682263773146</v>
      </c>
      <c r="K1247" s="13">
        <v>43268</v>
      </c>
      <c r="L1247" s="12" t="s">
        <v>1786</v>
      </c>
      <c r="M1247" s="12"/>
      <c r="N1247" s="12"/>
      <c r="O1247" s="12"/>
      <c r="P1247" s="12"/>
      <c r="Q1247" s="12"/>
    </row>
    <row r="1248" spans="1:17" x14ac:dyDescent="0.25">
      <c r="A1248" s="11">
        <v>201240</v>
      </c>
      <c r="B1248" s="12" t="s">
        <v>4769</v>
      </c>
      <c r="C1248" s="12" t="s">
        <v>4773</v>
      </c>
      <c r="D1248" s="12">
        <v>2</v>
      </c>
      <c r="E1248" s="125">
        <v>34117578.420000002</v>
      </c>
      <c r="F1248" s="12">
        <v>-23</v>
      </c>
      <c r="G1248" s="125">
        <v>26196411.280000001</v>
      </c>
      <c r="H1248" s="12" t="s">
        <v>468</v>
      </c>
      <c r="I1248" s="125">
        <v>183374.88</v>
      </c>
      <c r="J1248" s="13">
        <v>42964.550383182868</v>
      </c>
      <c r="K1248" s="13">
        <v>43513</v>
      </c>
      <c r="L1248" s="12" t="s">
        <v>4774</v>
      </c>
      <c r="M1248" s="12"/>
      <c r="N1248" s="12"/>
      <c r="O1248" s="12"/>
      <c r="P1248" s="12"/>
      <c r="Q1248" s="12"/>
    </row>
    <row r="1249" spans="1:17" x14ac:dyDescent="0.25">
      <c r="A1249" s="11">
        <v>201241</v>
      </c>
      <c r="B1249" s="12" t="s">
        <v>2452</v>
      </c>
      <c r="C1249" s="12" t="s">
        <v>2453</v>
      </c>
      <c r="D1249" s="12">
        <v>1</v>
      </c>
      <c r="E1249" s="125">
        <v>12466604.23</v>
      </c>
      <c r="F1249" s="12">
        <v>-25</v>
      </c>
      <c r="G1249" s="125">
        <v>10299259.609999999</v>
      </c>
      <c r="H1249" s="12" t="s">
        <v>1447</v>
      </c>
      <c r="I1249" s="125">
        <v>54929.38</v>
      </c>
      <c r="J1249" s="13">
        <v>42966.509046874999</v>
      </c>
      <c r="K1249" s="13">
        <v>43331</v>
      </c>
      <c r="L1249" s="12" t="s">
        <v>2454</v>
      </c>
      <c r="M1249" s="12" t="s">
        <v>2455</v>
      </c>
      <c r="N1249" s="12"/>
      <c r="O1249" s="12"/>
      <c r="P1249" s="12"/>
      <c r="Q1249" s="12"/>
    </row>
    <row r="1250" spans="1:17" x14ac:dyDescent="0.25">
      <c r="A1250" s="11">
        <v>201243</v>
      </c>
      <c r="B1250" s="12" t="s">
        <v>5235</v>
      </c>
      <c r="C1250" s="12" t="s">
        <v>5236</v>
      </c>
      <c r="D1250" s="12">
        <v>1</v>
      </c>
      <c r="E1250" s="125">
        <v>3790241.31</v>
      </c>
      <c r="F1250" s="12">
        <v>-24</v>
      </c>
      <c r="G1250" s="125">
        <v>3327814.25</v>
      </c>
      <c r="H1250" s="12" t="s">
        <v>5047</v>
      </c>
      <c r="I1250" s="125">
        <v>24958.61</v>
      </c>
      <c r="J1250" s="13">
        <v>42965.661909722221</v>
      </c>
      <c r="K1250" s="13">
        <v>43208</v>
      </c>
      <c r="L1250" s="12" t="s">
        <v>5237</v>
      </c>
      <c r="M1250" s="12" t="s">
        <v>5238</v>
      </c>
      <c r="N1250" s="12"/>
      <c r="O1250" s="12"/>
      <c r="P1250" s="12"/>
      <c r="Q1250" s="12"/>
    </row>
    <row r="1251" spans="1:17" x14ac:dyDescent="0.25">
      <c r="A1251" s="11">
        <v>201244</v>
      </c>
      <c r="B1251" s="12" t="s">
        <v>5241</v>
      </c>
      <c r="C1251" s="12" t="s">
        <v>5247</v>
      </c>
      <c r="D1251" s="12">
        <v>1</v>
      </c>
      <c r="E1251" s="125">
        <v>2653955.2400000002</v>
      </c>
      <c r="F1251" s="12">
        <v>-25</v>
      </c>
      <c r="G1251" s="125">
        <v>2234137.79</v>
      </c>
      <c r="H1251" s="12" t="s">
        <v>5410</v>
      </c>
      <c r="I1251" s="125">
        <v>13404.83</v>
      </c>
      <c r="J1251" s="13">
        <v>42966.490009641202</v>
      </c>
      <c r="K1251" s="13">
        <v>43270</v>
      </c>
      <c r="L1251" s="12" t="s">
        <v>5248</v>
      </c>
      <c r="M1251" s="12"/>
      <c r="N1251" s="12" t="s">
        <v>5249</v>
      </c>
      <c r="O1251" s="12"/>
      <c r="P1251" s="12"/>
      <c r="Q1251" s="12"/>
    </row>
    <row r="1252" spans="1:17" x14ac:dyDescent="0.25">
      <c r="A1252" s="11">
        <v>201245</v>
      </c>
      <c r="B1252" s="12" t="s">
        <v>5285</v>
      </c>
      <c r="C1252" s="12" t="s">
        <v>5288</v>
      </c>
      <c r="D1252" s="12">
        <v>1</v>
      </c>
      <c r="E1252" s="125">
        <v>3481647</v>
      </c>
      <c r="F1252" s="12">
        <v>1</v>
      </c>
      <c r="G1252" s="125">
        <v>2917531.08</v>
      </c>
      <c r="H1252" s="12" t="s">
        <v>5047</v>
      </c>
      <c r="I1252" s="125">
        <v>131288.9</v>
      </c>
      <c r="J1252" s="13">
        <v>42970.619665081016</v>
      </c>
      <c r="K1252" s="13">
        <v>43274</v>
      </c>
      <c r="L1252" s="12" t="s">
        <v>5289</v>
      </c>
      <c r="M1252" s="12"/>
      <c r="N1252" s="12"/>
      <c r="O1252" s="12"/>
      <c r="P1252" s="12"/>
      <c r="Q1252" s="12"/>
    </row>
    <row r="1253" spans="1:17" x14ac:dyDescent="0.25">
      <c r="A1253" s="11">
        <v>201246</v>
      </c>
      <c r="B1253" s="12" t="s">
        <v>5233</v>
      </c>
      <c r="C1253" s="12" t="s">
        <v>5239</v>
      </c>
      <c r="D1253" s="12">
        <v>1</v>
      </c>
      <c r="E1253" s="125">
        <v>2467489.2400000002</v>
      </c>
      <c r="F1253" s="12">
        <v>-24</v>
      </c>
      <c r="G1253" s="125">
        <v>1992851.37</v>
      </c>
      <c r="H1253" s="12" t="s">
        <v>4919</v>
      </c>
      <c r="I1253" s="125">
        <v>14946.39</v>
      </c>
      <c r="J1253" s="13">
        <v>42965.688243171295</v>
      </c>
      <c r="K1253" s="13">
        <v>43330</v>
      </c>
      <c r="L1253" s="12" t="s">
        <v>5240</v>
      </c>
      <c r="M1253" s="12"/>
      <c r="N1253" s="12"/>
      <c r="O1253" s="12"/>
      <c r="P1253" s="12"/>
      <c r="Q1253" s="12"/>
    </row>
    <row r="1254" spans="1:17" x14ac:dyDescent="0.25">
      <c r="A1254" s="11">
        <v>201247</v>
      </c>
      <c r="B1254" s="12" t="s">
        <v>1956</v>
      </c>
      <c r="C1254" s="12" t="s">
        <v>2030</v>
      </c>
      <c r="D1254" s="12">
        <v>6</v>
      </c>
      <c r="E1254" s="125">
        <v>21107220.420000002</v>
      </c>
      <c r="F1254" s="12">
        <v>5</v>
      </c>
      <c r="G1254" s="125">
        <v>17679498.629999999</v>
      </c>
      <c r="H1254" s="12" t="s">
        <v>1467</v>
      </c>
      <c r="I1254" s="125">
        <v>66705.03</v>
      </c>
      <c r="J1254" s="13">
        <v>42966.509947650462</v>
      </c>
      <c r="K1254" s="13">
        <v>43423</v>
      </c>
      <c r="L1254" s="12" t="s">
        <v>2031</v>
      </c>
      <c r="M1254" s="12"/>
      <c r="N1254" s="12"/>
      <c r="O1254" s="12"/>
      <c r="P1254" s="12"/>
      <c r="Q1254" s="12"/>
    </row>
    <row r="1255" spans="1:17" x14ac:dyDescent="0.25">
      <c r="A1255" s="11">
        <v>201248</v>
      </c>
      <c r="B1255" s="12" t="s">
        <v>5244</v>
      </c>
      <c r="C1255" s="12" t="s">
        <v>5250</v>
      </c>
      <c r="D1255" s="12">
        <v>7</v>
      </c>
      <c r="E1255" s="125">
        <v>1917939.12</v>
      </c>
      <c r="F1255" s="12">
        <v>-25</v>
      </c>
      <c r="G1255" s="125">
        <v>1584501.47</v>
      </c>
      <c r="H1255" s="12" t="s">
        <v>963</v>
      </c>
      <c r="I1255" s="125">
        <v>8450.67</v>
      </c>
      <c r="J1255" s="13">
        <v>42966.524724884257</v>
      </c>
      <c r="K1255" s="13">
        <v>43331</v>
      </c>
      <c r="L1255" s="12" t="s">
        <v>5251</v>
      </c>
      <c r="M1255" s="12"/>
      <c r="N1255" s="12"/>
      <c r="O1255" s="12"/>
      <c r="P1255" s="12"/>
      <c r="Q1255" s="12"/>
    </row>
    <row r="1256" spans="1:17" x14ac:dyDescent="0.25">
      <c r="A1256" s="11">
        <v>201249</v>
      </c>
      <c r="B1256" s="12" t="s">
        <v>5253</v>
      </c>
      <c r="C1256" s="12" t="s">
        <v>5265</v>
      </c>
      <c r="D1256" s="12">
        <v>7</v>
      </c>
      <c r="E1256" s="125">
        <v>3126270.28</v>
      </c>
      <c r="F1256" s="12">
        <v>3</v>
      </c>
      <c r="G1256" s="125">
        <v>2736941.4</v>
      </c>
      <c r="H1256" s="12" t="s">
        <v>3074</v>
      </c>
      <c r="I1256" s="125">
        <v>72618.350000000006</v>
      </c>
      <c r="J1256" s="13">
        <v>42968.663438692129</v>
      </c>
      <c r="K1256" s="13">
        <v>43211</v>
      </c>
      <c r="L1256" s="12" t="s">
        <v>5266</v>
      </c>
      <c r="M1256" s="12"/>
      <c r="N1256" s="12"/>
      <c r="O1256" s="12"/>
      <c r="P1256" s="12"/>
      <c r="Q1256" s="12"/>
    </row>
    <row r="1257" spans="1:17" x14ac:dyDescent="0.25">
      <c r="A1257" s="11">
        <v>201250</v>
      </c>
      <c r="B1257" s="12" t="s">
        <v>2134</v>
      </c>
      <c r="C1257" s="12" t="s">
        <v>2162</v>
      </c>
      <c r="D1257" s="12">
        <v>1</v>
      </c>
      <c r="E1257" s="125">
        <v>9589695.5299999993</v>
      </c>
      <c r="F1257" s="12">
        <v>-27</v>
      </c>
      <c r="G1257" s="125">
        <v>7922507.3700000001</v>
      </c>
      <c r="H1257" s="12" t="s">
        <v>1448</v>
      </c>
      <c r="I1257" s="125">
        <v>21126.69</v>
      </c>
      <c r="J1257" s="13">
        <v>42968.696249189816</v>
      </c>
      <c r="K1257" s="13">
        <v>43333</v>
      </c>
      <c r="L1257" s="12" t="s">
        <v>2163</v>
      </c>
      <c r="M1257" s="12"/>
      <c r="N1257" s="12"/>
      <c r="O1257" s="12"/>
      <c r="P1257" s="12"/>
      <c r="Q1257" s="12"/>
    </row>
    <row r="1258" spans="1:17" x14ac:dyDescent="0.25">
      <c r="A1258" s="11">
        <v>201251</v>
      </c>
      <c r="B1258" s="12" t="s">
        <v>5255</v>
      </c>
      <c r="C1258" s="12" t="s">
        <v>5267</v>
      </c>
      <c r="D1258" s="12">
        <v>7</v>
      </c>
      <c r="E1258" s="125">
        <v>1516096.53</v>
      </c>
      <c r="F1258" s="12">
        <v>-27</v>
      </c>
      <c r="G1258" s="125">
        <v>1331125.69</v>
      </c>
      <c r="H1258" s="12" t="s">
        <v>4683</v>
      </c>
      <c r="I1258" s="125">
        <v>3993.38</v>
      </c>
      <c r="J1258" s="13">
        <v>42968.715607141203</v>
      </c>
      <c r="K1258" s="13">
        <v>43211</v>
      </c>
      <c r="L1258" s="12" t="s">
        <v>5268</v>
      </c>
      <c r="M1258" s="12"/>
      <c r="N1258" s="12" t="s">
        <v>5269</v>
      </c>
      <c r="O1258" s="12"/>
      <c r="P1258" s="12"/>
      <c r="Q1258" s="12"/>
    </row>
    <row r="1259" spans="1:17" x14ac:dyDescent="0.25">
      <c r="A1259" s="11">
        <v>201252</v>
      </c>
      <c r="B1259" s="12" t="s">
        <v>5274</v>
      </c>
      <c r="C1259" s="12" t="s">
        <v>5275</v>
      </c>
      <c r="D1259" s="12">
        <v>7</v>
      </c>
      <c r="E1259" s="125">
        <v>1337073.1100000001</v>
      </c>
      <c r="F1259" s="12">
        <v>2</v>
      </c>
      <c r="G1259" s="125">
        <v>1127164.3600000001</v>
      </c>
      <c r="H1259" s="12" t="s">
        <v>4683</v>
      </c>
      <c r="I1259" s="125">
        <v>1675.6</v>
      </c>
      <c r="J1259" s="13">
        <v>42969.395477627317</v>
      </c>
      <c r="K1259" s="13">
        <v>43273</v>
      </c>
      <c r="L1259" s="12" t="s">
        <v>5276</v>
      </c>
      <c r="M1259" s="12"/>
      <c r="N1259" s="12" t="s">
        <v>5277</v>
      </c>
      <c r="O1259" s="12"/>
      <c r="P1259" s="12"/>
      <c r="Q1259" s="12"/>
    </row>
    <row r="1260" spans="1:17" x14ac:dyDescent="0.25">
      <c r="A1260" s="11">
        <v>201254</v>
      </c>
      <c r="B1260" s="12" t="s">
        <v>4158</v>
      </c>
      <c r="C1260" s="12" t="s">
        <v>4167</v>
      </c>
      <c r="D1260" s="12">
        <v>8</v>
      </c>
      <c r="E1260" s="125">
        <v>8464626.9100000001</v>
      </c>
      <c r="F1260" s="12">
        <v>-28</v>
      </c>
      <c r="G1260" s="125">
        <v>7100480.3399999999</v>
      </c>
      <c r="H1260" s="12" t="s">
        <v>2557</v>
      </c>
      <c r="I1260" s="125">
        <v>8678.36</v>
      </c>
      <c r="J1260" s="13">
        <v>42969.544407141206</v>
      </c>
      <c r="K1260" s="13">
        <v>43334</v>
      </c>
      <c r="L1260" s="12" t="s">
        <v>4168</v>
      </c>
      <c r="M1260" s="12"/>
      <c r="N1260" s="12"/>
      <c r="O1260" s="12"/>
      <c r="P1260" s="12"/>
      <c r="Q1260" s="12"/>
    </row>
    <row r="1261" spans="1:17" x14ac:dyDescent="0.25">
      <c r="A1261" s="11">
        <v>201255</v>
      </c>
      <c r="B1261" s="12" t="s">
        <v>4094</v>
      </c>
      <c r="C1261" s="12" t="s">
        <v>4102</v>
      </c>
      <c r="D1261" s="12">
        <v>2</v>
      </c>
      <c r="E1261" s="125">
        <v>15833044.220000001</v>
      </c>
      <c r="F1261" s="12">
        <v>-28</v>
      </c>
      <c r="G1261" s="125">
        <v>13383648.550000001</v>
      </c>
      <c r="H1261" s="12" t="s">
        <v>2557</v>
      </c>
      <c r="I1261" s="125">
        <v>15614.26</v>
      </c>
      <c r="J1261" s="13">
        <v>42969.638759259258</v>
      </c>
      <c r="K1261" s="13">
        <v>43334</v>
      </c>
      <c r="L1261" s="12" t="s">
        <v>4103</v>
      </c>
      <c r="M1261" s="12"/>
      <c r="N1261" s="12"/>
      <c r="O1261" s="12"/>
      <c r="P1261" s="12"/>
      <c r="Q1261" s="12"/>
    </row>
    <row r="1262" spans="1:17" x14ac:dyDescent="0.25">
      <c r="A1262" s="11">
        <v>201256</v>
      </c>
      <c r="B1262" s="12" t="s">
        <v>5273</v>
      </c>
      <c r="C1262" s="12" t="s">
        <v>5278</v>
      </c>
      <c r="D1262" s="12">
        <v>1</v>
      </c>
      <c r="E1262" s="125">
        <v>2653955.2400000002</v>
      </c>
      <c r="F1262" s="12">
        <v>-28</v>
      </c>
      <c r="G1262" s="125">
        <v>2234137.79</v>
      </c>
      <c r="H1262" s="12" t="s">
        <v>4686</v>
      </c>
      <c r="I1262" s="125">
        <v>3351.21</v>
      </c>
      <c r="J1262" s="13">
        <v>42969.602546678238</v>
      </c>
      <c r="K1262" s="13">
        <v>43273</v>
      </c>
      <c r="L1262" s="12" t="s">
        <v>5279</v>
      </c>
      <c r="M1262" s="12"/>
      <c r="N1262" s="12"/>
      <c r="O1262" s="12"/>
      <c r="P1262" s="12"/>
      <c r="Q1262" s="12"/>
    </row>
    <row r="1263" spans="1:17" x14ac:dyDescent="0.25">
      <c r="A1263" s="11">
        <v>201257</v>
      </c>
      <c r="B1263" s="12" t="s">
        <v>3169</v>
      </c>
      <c r="C1263" s="12" t="s">
        <v>3173</v>
      </c>
      <c r="D1263" s="12">
        <v>4</v>
      </c>
      <c r="E1263" s="125">
        <v>788977.3</v>
      </c>
      <c r="F1263" s="12">
        <v>-27</v>
      </c>
      <c r="G1263" s="125">
        <v>757210.05</v>
      </c>
      <c r="H1263" s="12" t="s">
        <v>284</v>
      </c>
      <c r="I1263" s="125">
        <v>1051.68</v>
      </c>
      <c r="J1263" s="13">
        <v>42969.632656018519</v>
      </c>
      <c r="K1263" s="13">
        <v>43152</v>
      </c>
      <c r="L1263" s="12" t="s">
        <v>3174</v>
      </c>
      <c r="M1263" s="12"/>
      <c r="N1263" s="12"/>
      <c r="O1263" s="12"/>
      <c r="P1263" s="12"/>
      <c r="Q1263" s="12"/>
    </row>
    <row r="1264" spans="1:17" x14ac:dyDescent="0.25">
      <c r="A1264" s="11">
        <v>201258</v>
      </c>
      <c r="B1264" s="12" t="s">
        <v>5272</v>
      </c>
      <c r="C1264" s="12" t="s">
        <v>5280</v>
      </c>
      <c r="D1264" s="12">
        <v>7</v>
      </c>
      <c r="E1264" s="125">
        <v>3052353.3</v>
      </c>
      <c r="F1264" s="12">
        <v>2</v>
      </c>
      <c r="G1264" s="125">
        <v>2728654.36</v>
      </c>
      <c r="H1264" s="12" t="s">
        <v>4686</v>
      </c>
      <c r="I1264" s="125">
        <v>3494.2</v>
      </c>
      <c r="J1264" s="13">
        <v>42969.730253240741</v>
      </c>
      <c r="K1264" s="13">
        <v>43212</v>
      </c>
      <c r="L1264" s="12" t="s">
        <v>5281</v>
      </c>
      <c r="M1264" s="12"/>
      <c r="N1264" s="12" t="s">
        <v>5282</v>
      </c>
      <c r="O1264" s="12"/>
      <c r="P1264" s="12"/>
      <c r="Q1264" s="12"/>
    </row>
    <row r="1265" spans="1:17" x14ac:dyDescent="0.25">
      <c r="A1265" s="11">
        <v>201259</v>
      </c>
      <c r="B1265" s="12" t="s">
        <v>4401</v>
      </c>
      <c r="C1265" s="12" t="s">
        <v>4410</v>
      </c>
      <c r="D1265" s="12">
        <v>4</v>
      </c>
      <c r="E1265" s="125">
        <v>1857876.25</v>
      </c>
      <c r="F1265" s="12">
        <v>-27</v>
      </c>
      <c r="G1265" s="125">
        <v>1783071.03</v>
      </c>
      <c r="H1265" s="12" t="s">
        <v>284</v>
      </c>
      <c r="I1265" s="125">
        <v>2476.4899999999998</v>
      </c>
      <c r="J1265" s="13">
        <v>42970.614022453701</v>
      </c>
      <c r="K1265" s="13">
        <v>43152</v>
      </c>
      <c r="L1265" s="12" t="s">
        <v>4411</v>
      </c>
      <c r="M1265" s="12"/>
      <c r="N1265" s="12"/>
      <c r="O1265" s="12"/>
      <c r="P1265" s="12"/>
      <c r="Q1265" s="12"/>
    </row>
    <row r="1266" spans="1:17" x14ac:dyDescent="0.25">
      <c r="A1266" s="11">
        <v>201260</v>
      </c>
      <c r="B1266" s="12" t="s">
        <v>5284</v>
      </c>
      <c r="C1266" s="12" t="s">
        <v>5290</v>
      </c>
      <c r="D1266" s="12">
        <v>9</v>
      </c>
      <c r="E1266" s="125">
        <v>10669831.890000001</v>
      </c>
      <c r="F1266" s="12">
        <v>1</v>
      </c>
      <c r="G1266" s="125">
        <v>9343238.6799999997</v>
      </c>
      <c r="H1266" s="12" t="s">
        <v>491</v>
      </c>
      <c r="I1266" s="125">
        <v>373729.55</v>
      </c>
      <c r="J1266" s="13">
        <v>42970.691239664353</v>
      </c>
      <c r="K1266" s="13">
        <v>43213</v>
      </c>
      <c r="L1266" s="12" t="s">
        <v>5291</v>
      </c>
      <c r="M1266" s="12" t="s">
        <v>5292</v>
      </c>
      <c r="N1266" s="12"/>
      <c r="O1266" s="12"/>
      <c r="P1266" s="12"/>
      <c r="Q1266" s="12"/>
    </row>
    <row r="1267" spans="1:17" x14ac:dyDescent="0.25">
      <c r="A1267" s="11">
        <v>201261</v>
      </c>
      <c r="B1267" s="12" t="s">
        <v>5295</v>
      </c>
      <c r="C1267" s="12" t="s">
        <v>5299</v>
      </c>
      <c r="D1267" s="12">
        <v>1</v>
      </c>
      <c r="E1267" s="125">
        <v>2274144.7999999998</v>
      </c>
      <c r="F1267" s="12">
        <v>0</v>
      </c>
      <c r="G1267" s="125">
        <v>1954958.15</v>
      </c>
      <c r="H1267" s="12" t="s">
        <v>1447</v>
      </c>
      <c r="I1267" s="125">
        <v>85040.68</v>
      </c>
      <c r="J1267" s="13">
        <v>42971.563569942133</v>
      </c>
      <c r="K1267" s="13">
        <v>43214</v>
      </c>
      <c r="L1267" s="12" t="s">
        <v>5300</v>
      </c>
      <c r="M1267" s="12"/>
      <c r="N1267" s="12"/>
      <c r="O1267" s="12"/>
      <c r="P1267" s="12"/>
      <c r="Q1267" s="12"/>
    </row>
    <row r="1268" spans="1:17" x14ac:dyDescent="0.25">
      <c r="A1268" s="11">
        <v>201262</v>
      </c>
      <c r="B1268" s="12" t="s">
        <v>5294</v>
      </c>
      <c r="C1268" s="12" t="s">
        <v>5301</v>
      </c>
      <c r="D1268" s="12">
        <v>1</v>
      </c>
      <c r="E1268" s="125">
        <v>4044122.3</v>
      </c>
      <c r="F1268" s="12">
        <v>0</v>
      </c>
      <c r="G1268" s="125">
        <v>3334321.23</v>
      </c>
      <c r="H1268" s="12" t="s">
        <v>5167</v>
      </c>
      <c r="I1268" s="125">
        <v>145042.97</v>
      </c>
      <c r="J1268" s="13">
        <v>42971.655487349541</v>
      </c>
      <c r="K1268" s="13">
        <v>43275</v>
      </c>
      <c r="L1268" s="12" t="s">
        <v>5302</v>
      </c>
      <c r="M1268" s="12" t="s">
        <v>5303</v>
      </c>
      <c r="N1268" s="12"/>
      <c r="O1268" s="12"/>
      <c r="P1268" s="12"/>
      <c r="Q1268" s="12"/>
    </row>
    <row r="1269" spans="1:17" x14ac:dyDescent="0.25">
      <c r="A1269" s="11">
        <v>201263</v>
      </c>
      <c r="B1269" s="12" t="s">
        <v>5305</v>
      </c>
      <c r="C1269" s="12" t="s">
        <v>5317</v>
      </c>
      <c r="D1269" s="12">
        <v>1</v>
      </c>
      <c r="E1269" s="125">
        <v>6066183.4400000004</v>
      </c>
      <c r="F1269" s="12">
        <v>-1</v>
      </c>
      <c r="G1269" s="125">
        <v>5001481.8600000003</v>
      </c>
      <c r="H1269" s="12" t="s">
        <v>4844</v>
      </c>
      <c r="I1269" s="125">
        <v>210062.24</v>
      </c>
      <c r="J1269" s="13">
        <v>42972.661190196763</v>
      </c>
      <c r="K1269" s="13">
        <v>43276</v>
      </c>
      <c r="L1269" s="12" t="s">
        <v>5318</v>
      </c>
      <c r="M1269" s="12"/>
      <c r="N1269" s="12"/>
      <c r="O1269" s="12"/>
      <c r="P1269" s="12"/>
      <c r="Q1269" s="12"/>
    </row>
    <row r="1270" spans="1:17" x14ac:dyDescent="0.25">
      <c r="A1270" s="11">
        <v>201265</v>
      </c>
      <c r="B1270" s="12" t="s">
        <v>4207</v>
      </c>
      <c r="C1270" s="12" t="s">
        <v>4226</v>
      </c>
      <c r="D1270" s="12">
        <v>1</v>
      </c>
      <c r="E1270" s="125">
        <v>10655217.26</v>
      </c>
      <c r="F1270" s="12">
        <v>-1</v>
      </c>
      <c r="G1270" s="125">
        <v>8642335.6699999999</v>
      </c>
      <c r="H1270" s="12" t="s">
        <v>2034</v>
      </c>
      <c r="I1270" s="125">
        <v>322647.2</v>
      </c>
      <c r="J1270" s="13">
        <v>42972.503821840277</v>
      </c>
      <c r="K1270" s="13">
        <v>43337</v>
      </c>
      <c r="L1270" s="12" t="s">
        <v>4227</v>
      </c>
      <c r="M1270" s="12"/>
      <c r="N1270" s="12" t="s">
        <v>4228</v>
      </c>
      <c r="O1270" s="12"/>
      <c r="P1270" s="12"/>
      <c r="Q1270" s="12"/>
    </row>
    <row r="1271" spans="1:17" x14ac:dyDescent="0.25">
      <c r="A1271" s="11">
        <v>201267</v>
      </c>
      <c r="B1271" s="12" t="s">
        <v>5321</v>
      </c>
      <c r="C1271" s="12" t="s">
        <v>5322</v>
      </c>
      <c r="D1271" s="12">
        <v>6</v>
      </c>
      <c r="E1271" s="125">
        <v>10302240.470000001</v>
      </c>
      <c r="F1271" s="12">
        <v>-7</v>
      </c>
      <c r="G1271" s="125">
        <v>8640396.2799999993</v>
      </c>
      <c r="H1271" s="12" t="s">
        <v>2538</v>
      </c>
      <c r="I1271" s="125">
        <v>211209.69</v>
      </c>
      <c r="J1271" s="13">
        <v>42973.472984178239</v>
      </c>
      <c r="K1271" s="13">
        <v>43344</v>
      </c>
      <c r="L1271" s="12" t="s">
        <v>5323</v>
      </c>
      <c r="M1271" s="12"/>
      <c r="N1271" s="12"/>
      <c r="O1271" s="12"/>
      <c r="P1271" s="12"/>
      <c r="Q1271" s="12"/>
    </row>
    <row r="1272" spans="1:17" x14ac:dyDescent="0.25">
      <c r="A1272" s="11">
        <v>201268</v>
      </c>
      <c r="B1272" s="12" t="s">
        <v>5320</v>
      </c>
      <c r="C1272" s="12" t="s">
        <v>5324</v>
      </c>
      <c r="D1272" s="12">
        <v>2</v>
      </c>
      <c r="E1272" s="125">
        <v>32346891.260000002</v>
      </c>
      <c r="F1272" s="12">
        <v>23</v>
      </c>
      <c r="G1272" s="125">
        <v>23705861.850000001</v>
      </c>
      <c r="H1272" s="12" t="s">
        <v>1909</v>
      </c>
      <c r="I1272" s="125">
        <v>679326.23</v>
      </c>
      <c r="J1272" s="13">
        <v>42973.504926585651</v>
      </c>
      <c r="K1272" s="13">
        <v>43525</v>
      </c>
      <c r="L1272" s="12" t="s">
        <v>5325</v>
      </c>
      <c r="M1272" s="12" t="s">
        <v>5326</v>
      </c>
      <c r="N1272" s="12"/>
      <c r="O1272" s="12"/>
      <c r="P1272" s="12"/>
      <c r="Q1272" s="12"/>
    </row>
    <row r="1273" spans="1:17" x14ac:dyDescent="0.25">
      <c r="A1273" s="11">
        <v>201269</v>
      </c>
      <c r="B1273" s="12" t="s">
        <v>5319</v>
      </c>
      <c r="C1273" s="12" t="s">
        <v>5327</v>
      </c>
      <c r="D1273" s="12">
        <v>1</v>
      </c>
      <c r="E1273" s="125">
        <v>16567989.98</v>
      </c>
      <c r="F1273" s="12">
        <v>-7</v>
      </c>
      <c r="G1273" s="125">
        <v>13109783.550000001</v>
      </c>
      <c r="H1273" s="12" t="s">
        <v>2538</v>
      </c>
      <c r="I1273" s="125">
        <v>432622.86</v>
      </c>
      <c r="J1273" s="13">
        <v>42973.525386608795</v>
      </c>
      <c r="K1273" s="13">
        <v>43344</v>
      </c>
      <c r="L1273" s="12" t="s">
        <v>5328</v>
      </c>
      <c r="M1273" s="12"/>
      <c r="N1273" s="12"/>
      <c r="O1273" s="12"/>
      <c r="P1273" s="12"/>
      <c r="Q1273" s="12"/>
    </row>
    <row r="1274" spans="1:17" x14ac:dyDescent="0.25">
      <c r="A1274" s="11">
        <v>201270</v>
      </c>
      <c r="B1274" s="12" t="s">
        <v>5334</v>
      </c>
      <c r="C1274" s="12" t="s">
        <v>5347</v>
      </c>
      <c r="D1274" s="12">
        <v>6</v>
      </c>
      <c r="E1274" s="125">
        <v>18504366.510000002</v>
      </c>
      <c r="F1274" s="12">
        <v>-7</v>
      </c>
      <c r="G1274" s="125">
        <v>15519445.48</v>
      </c>
      <c r="H1274" s="12" t="s">
        <v>5335</v>
      </c>
      <c r="I1274" s="125">
        <v>379364.22</v>
      </c>
      <c r="J1274" s="13">
        <v>42975.484989317127</v>
      </c>
      <c r="K1274" s="13">
        <v>43344</v>
      </c>
      <c r="L1274" s="12" t="s">
        <v>5348</v>
      </c>
      <c r="M1274" s="12"/>
      <c r="N1274" s="12"/>
      <c r="O1274" s="12"/>
      <c r="P1274" s="12"/>
      <c r="Q1274" s="12"/>
    </row>
    <row r="1275" spans="1:17" x14ac:dyDescent="0.25">
      <c r="A1275" s="11">
        <v>201271</v>
      </c>
      <c r="B1275" s="12" t="s">
        <v>4777</v>
      </c>
      <c r="C1275" s="12" t="s">
        <v>4787</v>
      </c>
      <c r="D1275" s="12">
        <v>8</v>
      </c>
      <c r="E1275" s="125">
        <v>7387073.5800000001</v>
      </c>
      <c r="F1275" s="12">
        <v>23</v>
      </c>
      <c r="G1275" s="125">
        <v>6351849.1299999999</v>
      </c>
      <c r="H1275" s="12" t="s">
        <v>90</v>
      </c>
      <c r="I1275" s="125">
        <v>328138.06</v>
      </c>
      <c r="J1275" s="13">
        <v>42975.711182557869</v>
      </c>
      <c r="K1275" s="13">
        <v>43252</v>
      </c>
      <c r="L1275" s="12" t="s">
        <v>4788</v>
      </c>
      <c r="M1275" s="12"/>
      <c r="N1275" s="12"/>
      <c r="O1275" s="12"/>
      <c r="P1275" s="12"/>
      <c r="Q1275" s="12"/>
    </row>
    <row r="1276" spans="1:17" x14ac:dyDescent="0.25">
      <c r="A1276" s="11">
        <v>201272</v>
      </c>
      <c r="B1276" s="12" t="s">
        <v>5329</v>
      </c>
      <c r="C1276" s="12" t="s">
        <v>5349</v>
      </c>
      <c r="D1276" s="12">
        <v>7</v>
      </c>
      <c r="E1276" s="125">
        <v>4061537.16</v>
      </c>
      <c r="F1276" s="12">
        <v>-7</v>
      </c>
      <c r="G1276" s="125">
        <v>3348679.55</v>
      </c>
      <c r="H1276" s="12" t="s">
        <v>2855</v>
      </c>
      <c r="I1276" s="125">
        <v>110506.43</v>
      </c>
      <c r="J1276" s="13">
        <v>42975.699042048611</v>
      </c>
      <c r="K1276" s="13">
        <v>43282</v>
      </c>
      <c r="L1276" s="12" t="s">
        <v>5350</v>
      </c>
      <c r="M1276" s="12"/>
      <c r="N1276" s="12"/>
      <c r="O1276" s="12"/>
      <c r="P1276" s="12"/>
      <c r="Q1276" s="12"/>
    </row>
    <row r="1277" spans="1:17" x14ac:dyDescent="0.25">
      <c r="A1277" s="11">
        <v>201273</v>
      </c>
      <c r="B1277" s="12" t="s">
        <v>4281</v>
      </c>
      <c r="C1277" s="12" t="s">
        <v>4295</v>
      </c>
      <c r="D1277" s="12">
        <v>2</v>
      </c>
      <c r="E1277" s="125">
        <v>5174197.46</v>
      </c>
      <c r="F1277" s="12">
        <v>-7</v>
      </c>
      <c r="G1277" s="125">
        <v>21515879.079999998</v>
      </c>
      <c r="H1277" s="12" t="s">
        <v>1467</v>
      </c>
      <c r="I1277" s="125">
        <v>627546.47</v>
      </c>
      <c r="J1277" s="13">
        <v>42975.677240046294</v>
      </c>
      <c r="K1277" s="13">
        <v>43344</v>
      </c>
      <c r="L1277" s="12" t="s">
        <v>4296</v>
      </c>
      <c r="M1277" s="12"/>
      <c r="N1277" s="12" t="s">
        <v>4297</v>
      </c>
      <c r="O1277" s="12"/>
      <c r="P1277" s="12"/>
      <c r="Q1277" s="12"/>
    </row>
    <row r="1278" spans="1:17" x14ac:dyDescent="0.25">
      <c r="A1278" s="11">
        <v>201275</v>
      </c>
      <c r="B1278" s="12" t="s">
        <v>5355</v>
      </c>
      <c r="C1278" s="12" t="s">
        <v>5361</v>
      </c>
      <c r="D1278" s="12">
        <v>1</v>
      </c>
      <c r="E1278" s="125">
        <v>3548765.69</v>
      </c>
      <c r="F1278" s="12">
        <v>-7</v>
      </c>
      <c r="G1278" s="125">
        <v>2925906.77</v>
      </c>
      <c r="H1278" s="12" t="s">
        <v>4919</v>
      </c>
      <c r="I1278" s="125">
        <v>96554.92</v>
      </c>
      <c r="J1278" s="13">
        <v>42976.713202511572</v>
      </c>
      <c r="K1278" s="13">
        <v>43282</v>
      </c>
      <c r="L1278" s="12" t="s">
        <v>5362</v>
      </c>
      <c r="M1278" s="12"/>
      <c r="N1278" s="12" t="s">
        <v>5363</v>
      </c>
      <c r="O1278" s="12"/>
      <c r="P1278" s="12"/>
      <c r="Q1278" s="12"/>
    </row>
    <row r="1279" spans="1:17" x14ac:dyDescent="0.25">
      <c r="A1279" s="11">
        <v>201276</v>
      </c>
      <c r="B1279" s="12" t="s">
        <v>5354</v>
      </c>
      <c r="C1279" s="12" t="s">
        <v>5364</v>
      </c>
      <c r="D1279" s="12">
        <v>1</v>
      </c>
      <c r="E1279" s="125">
        <v>3041799.14</v>
      </c>
      <c r="F1279" s="12">
        <v>-7</v>
      </c>
      <c r="G1279" s="125">
        <v>2507920.08</v>
      </c>
      <c r="H1279" s="12" t="s">
        <v>4686</v>
      </c>
      <c r="I1279" s="125">
        <v>82761.36</v>
      </c>
      <c r="J1279" s="13">
        <v>42976.704078506948</v>
      </c>
      <c r="K1279" s="13">
        <v>43282</v>
      </c>
      <c r="L1279" s="12" t="s">
        <v>5365</v>
      </c>
      <c r="M1279" s="12"/>
      <c r="N1279" s="12" t="s">
        <v>5366</v>
      </c>
      <c r="O1279" s="12"/>
      <c r="P1279" s="12"/>
      <c r="Q1279" s="12"/>
    </row>
    <row r="1280" spans="1:17" x14ac:dyDescent="0.25">
      <c r="A1280" s="11">
        <v>201277</v>
      </c>
      <c r="B1280" s="12" t="s">
        <v>2747</v>
      </c>
      <c r="C1280" s="12" t="s">
        <v>2754</v>
      </c>
      <c r="D1280" s="12">
        <v>2</v>
      </c>
      <c r="E1280" s="125">
        <v>24315484.489999998</v>
      </c>
      <c r="F1280" s="12">
        <v>23</v>
      </c>
      <c r="G1280" s="125">
        <v>19006250.460000001</v>
      </c>
      <c r="H1280" s="12" t="s">
        <v>2557</v>
      </c>
      <c r="I1280" s="125">
        <v>1075106.75</v>
      </c>
      <c r="J1280" s="13">
        <v>42976.705124189815</v>
      </c>
      <c r="K1280" s="13">
        <v>43435</v>
      </c>
      <c r="L1280" s="12" t="s">
        <v>2755</v>
      </c>
      <c r="M1280" s="12"/>
      <c r="N1280" s="12"/>
      <c r="O1280" s="12"/>
      <c r="P1280" s="12"/>
      <c r="Q1280" s="12"/>
    </row>
    <row r="1281" spans="1:17" x14ac:dyDescent="0.25">
      <c r="A1281" s="11">
        <v>201278</v>
      </c>
      <c r="B1281" s="12" t="s">
        <v>2872</v>
      </c>
      <c r="C1281" s="12" t="s">
        <v>2873</v>
      </c>
      <c r="D1281" s="12">
        <v>6</v>
      </c>
      <c r="E1281" s="125">
        <v>16350341.890000001</v>
      </c>
      <c r="F1281" s="12">
        <v>-7</v>
      </c>
      <c r="G1281" s="125">
        <v>13375781.220000001</v>
      </c>
      <c r="H1281" s="12" t="s">
        <v>2557</v>
      </c>
      <c r="I1281" s="125">
        <v>294267.19</v>
      </c>
      <c r="J1281" s="13">
        <v>42977.507034722221</v>
      </c>
      <c r="K1281" s="13">
        <v>43435</v>
      </c>
      <c r="L1281" s="12" t="s">
        <v>2874</v>
      </c>
      <c r="M1281" s="12"/>
      <c r="N1281" s="12"/>
      <c r="O1281" s="12"/>
      <c r="P1281" s="12"/>
      <c r="Q1281" s="12"/>
    </row>
    <row r="1282" spans="1:17" x14ac:dyDescent="0.25">
      <c r="A1282" s="11">
        <v>201279</v>
      </c>
      <c r="B1282" s="12" t="s">
        <v>3147</v>
      </c>
      <c r="C1282" s="12" t="s">
        <v>3148</v>
      </c>
      <c r="D1282" s="12">
        <v>6</v>
      </c>
      <c r="E1282" s="125">
        <v>25139905.350000001</v>
      </c>
      <c r="F1282" s="12">
        <v>-7</v>
      </c>
      <c r="G1282" s="125">
        <v>21444849.199999999</v>
      </c>
      <c r="H1282" s="12" t="s">
        <v>491</v>
      </c>
      <c r="I1282" s="125">
        <v>471786.68</v>
      </c>
      <c r="J1282" s="13">
        <v>42978.501097372682</v>
      </c>
      <c r="K1282" s="13">
        <v>43344</v>
      </c>
      <c r="L1282" s="12" t="s">
        <v>3149</v>
      </c>
      <c r="M1282" s="12"/>
      <c r="N1282" s="12" t="s">
        <v>3150</v>
      </c>
      <c r="O1282" s="12"/>
      <c r="P1282" s="12"/>
      <c r="Q1282" s="12"/>
    </row>
    <row r="1283" spans="1:17" x14ac:dyDescent="0.25">
      <c r="A1283" s="11">
        <v>201280</v>
      </c>
      <c r="B1283" s="12" t="s">
        <v>3347</v>
      </c>
      <c r="C1283" s="12" t="s">
        <v>3364</v>
      </c>
      <c r="D1283" s="12">
        <v>9</v>
      </c>
      <c r="E1283" s="125">
        <v>12432071.76</v>
      </c>
      <c r="F1283" s="12">
        <v>-7</v>
      </c>
      <c r="G1283" s="125">
        <v>10339263.41</v>
      </c>
      <c r="H1283" s="12" t="s">
        <v>4684</v>
      </c>
      <c r="I1283" s="125">
        <v>265374.43</v>
      </c>
      <c r="J1283" s="13">
        <v>42978.713211226852</v>
      </c>
      <c r="K1283" s="13">
        <v>43344</v>
      </c>
      <c r="L1283" s="12" t="s">
        <v>3365</v>
      </c>
      <c r="M1283" s="12"/>
      <c r="N1283" s="12"/>
      <c r="O1283" s="12"/>
      <c r="P1283" s="12"/>
      <c r="Q1283" s="12"/>
    </row>
    <row r="1284" spans="1:17" x14ac:dyDescent="0.25">
      <c r="A1284" s="11">
        <v>201281</v>
      </c>
      <c r="B1284" s="12" t="s">
        <v>3225</v>
      </c>
      <c r="C1284" s="12" t="s">
        <v>3245</v>
      </c>
      <c r="D1284" s="12">
        <v>1</v>
      </c>
      <c r="E1284" s="125">
        <v>9601990.0399999991</v>
      </c>
      <c r="F1284" s="12">
        <v>-7</v>
      </c>
      <c r="G1284" s="125">
        <v>7788074.04</v>
      </c>
      <c r="H1284" s="12" t="s">
        <v>2557</v>
      </c>
      <c r="I1284" s="125">
        <v>228450.17</v>
      </c>
      <c r="J1284" s="13">
        <v>42978.639178622689</v>
      </c>
      <c r="K1284" s="13">
        <v>43344</v>
      </c>
      <c r="L1284" s="12" t="s">
        <v>3246</v>
      </c>
      <c r="M1284" s="12"/>
      <c r="N1284" s="12"/>
      <c r="O1284" s="12"/>
      <c r="P1284" s="12"/>
      <c r="Q1284" s="12"/>
    </row>
    <row r="1285" spans="1:17" x14ac:dyDescent="0.25">
      <c r="A1285" s="11">
        <v>201282</v>
      </c>
      <c r="B1285" s="12" t="s">
        <v>4474</v>
      </c>
      <c r="C1285" s="12" t="s">
        <v>4482</v>
      </c>
      <c r="D1285" s="12">
        <v>1</v>
      </c>
      <c r="E1285" s="125">
        <v>3945310.21</v>
      </c>
      <c r="F1285" s="12">
        <v>-10</v>
      </c>
      <c r="G1285" s="125">
        <v>3320345.89</v>
      </c>
      <c r="H1285" s="12" t="s">
        <v>2538</v>
      </c>
      <c r="I1285" s="125">
        <v>84115.43</v>
      </c>
      <c r="J1285" s="13">
        <v>42982.557688460649</v>
      </c>
      <c r="K1285" s="13">
        <v>43285</v>
      </c>
      <c r="L1285" s="12" t="s">
        <v>4483</v>
      </c>
      <c r="M1285" s="12"/>
      <c r="N1285" s="12" t="s">
        <v>4484</v>
      </c>
      <c r="O1285" s="12"/>
      <c r="P1285" s="12"/>
      <c r="Q1285" s="12"/>
    </row>
    <row r="1286" spans="1:17" x14ac:dyDescent="0.25">
      <c r="A1286" s="11">
        <v>201283</v>
      </c>
      <c r="B1286" s="12" t="s">
        <v>3702</v>
      </c>
      <c r="C1286" s="12" t="s">
        <v>3719</v>
      </c>
      <c r="D1286" s="12">
        <v>7</v>
      </c>
      <c r="E1286" s="125">
        <v>5327608.66</v>
      </c>
      <c r="F1286" s="12">
        <v>-11</v>
      </c>
      <c r="G1286" s="125">
        <v>4321167.8499999996</v>
      </c>
      <c r="H1286" s="12" t="s">
        <v>4684</v>
      </c>
      <c r="I1286" s="125">
        <v>103708.03</v>
      </c>
      <c r="J1286" s="13">
        <v>42983.470955324075</v>
      </c>
      <c r="K1286" s="13">
        <v>43348</v>
      </c>
      <c r="L1286" s="12" t="s">
        <v>3720</v>
      </c>
      <c r="M1286" s="12"/>
      <c r="N1286" s="12" t="s">
        <v>3721</v>
      </c>
      <c r="O1286" s="12"/>
      <c r="P1286" s="12"/>
      <c r="Q1286" s="12"/>
    </row>
    <row r="1287" spans="1:17" x14ac:dyDescent="0.25">
      <c r="A1287" s="11">
        <v>201284</v>
      </c>
      <c r="B1287" s="12" t="s">
        <v>5389</v>
      </c>
      <c r="C1287" s="12" t="s">
        <v>5395</v>
      </c>
      <c r="D1287" s="12">
        <v>7</v>
      </c>
      <c r="E1287" s="125">
        <v>909657.94</v>
      </c>
      <c r="F1287" s="12">
        <v>-10</v>
      </c>
      <c r="G1287" s="125">
        <v>781983.27</v>
      </c>
      <c r="H1287" s="12" t="s">
        <v>2538</v>
      </c>
      <c r="I1287" s="125">
        <v>22286.52</v>
      </c>
      <c r="J1287" s="13">
        <v>42982.631709027781</v>
      </c>
      <c r="K1287" s="13">
        <v>43224</v>
      </c>
      <c r="L1287" s="12" t="s">
        <v>5396</v>
      </c>
      <c r="M1287" s="12"/>
      <c r="N1287" s="12"/>
      <c r="O1287" s="12"/>
      <c r="P1287" s="12"/>
      <c r="Q1287" s="12"/>
    </row>
    <row r="1288" spans="1:17" x14ac:dyDescent="0.25">
      <c r="A1288" s="11">
        <v>201285</v>
      </c>
      <c r="B1288" s="12" t="s">
        <v>5401</v>
      </c>
      <c r="C1288" s="12" t="s">
        <v>5405</v>
      </c>
      <c r="D1288" s="12">
        <v>7</v>
      </c>
      <c r="E1288" s="125">
        <v>909657.94</v>
      </c>
      <c r="F1288" s="12">
        <v>-12</v>
      </c>
      <c r="G1288" s="125">
        <v>781983.27</v>
      </c>
      <c r="H1288" s="12" t="s">
        <v>1447</v>
      </c>
      <c r="I1288" s="125">
        <v>19940.57</v>
      </c>
      <c r="J1288" s="13">
        <v>42984.537024421297</v>
      </c>
      <c r="K1288" s="13">
        <v>43226</v>
      </c>
      <c r="L1288" s="12" t="s">
        <v>5406</v>
      </c>
      <c r="M1288" s="12"/>
      <c r="N1288" s="12" t="s">
        <v>5407</v>
      </c>
      <c r="O1288" s="12"/>
      <c r="P1288" s="12"/>
      <c r="Q1288" s="12"/>
    </row>
    <row r="1289" spans="1:17" x14ac:dyDescent="0.25">
      <c r="A1289" s="11">
        <v>201286</v>
      </c>
      <c r="B1289" s="12" t="s">
        <v>5408</v>
      </c>
      <c r="C1289" s="12" t="s">
        <v>5411</v>
      </c>
      <c r="D1289" s="12">
        <v>1</v>
      </c>
      <c r="E1289" s="125">
        <v>2728973.78</v>
      </c>
      <c r="F1289" s="12">
        <v>-13</v>
      </c>
      <c r="G1289" s="125">
        <v>2345949.7799999998</v>
      </c>
      <c r="H1289" s="12" t="s">
        <v>2855</v>
      </c>
      <c r="I1289" s="125">
        <v>56302.79</v>
      </c>
      <c r="J1289" s="13">
        <v>42985.593266550924</v>
      </c>
      <c r="K1289" s="13">
        <v>43227</v>
      </c>
      <c r="L1289" s="12" t="s">
        <v>5412</v>
      </c>
      <c r="M1289" s="12" t="s">
        <v>5413</v>
      </c>
      <c r="N1289" s="12"/>
      <c r="O1289" s="12"/>
      <c r="P1289" s="12"/>
      <c r="Q1289" s="12"/>
    </row>
    <row r="1290" spans="1:17" x14ac:dyDescent="0.25">
      <c r="A1290" s="11">
        <v>201288</v>
      </c>
      <c r="B1290" s="12" t="s">
        <v>5409</v>
      </c>
      <c r="C1290" s="12" t="s">
        <v>5414</v>
      </c>
      <c r="D1290" s="12">
        <v>2</v>
      </c>
      <c r="E1290" s="125">
        <v>23384686.050000001</v>
      </c>
      <c r="F1290" s="12">
        <v>-13</v>
      </c>
      <c r="G1290" s="125">
        <v>17962403.100000001</v>
      </c>
      <c r="H1290" s="12" t="s">
        <v>90</v>
      </c>
      <c r="I1290" s="125">
        <v>383197.93</v>
      </c>
      <c r="J1290" s="13">
        <v>42985.602457442132</v>
      </c>
      <c r="K1290" s="13">
        <v>43441</v>
      </c>
      <c r="L1290" s="12" t="s">
        <v>5415</v>
      </c>
      <c r="M1290" s="12" t="s">
        <v>5416</v>
      </c>
      <c r="N1290" s="12"/>
      <c r="O1290" s="12"/>
      <c r="P1290" s="12"/>
      <c r="Q1290" s="12"/>
    </row>
    <row r="1291" spans="1:17" x14ac:dyDescent="0.25">
      <c r="A1291" s="11">
        <v>201289</v>
      </c>
      <c r="B1291" s="12" t="s">
        <v>5418</v>
      </c>
      <c r="C1291" s="12" t="s">
        <v>5419</v>
      </c>
      <c r="D1291" s="12">
        <v>8</v>
      </c>
      <c r="E1291" s="125">
        <v>5967168.1100000003</v>
      </c>
      <c r="F1291" s="12">
        <v>-14</v>
      </c>
      <c r="G1291" s="125">
        <v>4987545.6500000004</v>
      </c>
      <c r="H1291" s="12" t="s">
        <v>1925</v>
      </c>
      <c r="I1291" s="125">
        <v>103907.2</v>
      </c>
      <c r="J1291" s="13">
        <v>42986.699585995368</v>
      </c>
      <c r="K1291" s="13">
        <v>43289</v>
      </c>
      <c r="L1291" s="12" t="s">
        <v>5420</v>
      </c>
      <c r="M1291" s="12"/>
      <c r="N1291" s="12"/>
      <c r="O1291" s="12"/>
      <c r="P1291" s="12"/>
      <c r="Q1291" s="12"/>
    </row>
    <row r="1292" spans="1:17" x14ac:dyDescent="0.25">
      <c r="A1292" s="11">
        <v>201290</v>
      </c>
      <c r="B1292" s="12" t="s">
        <v>4490</v>
      </c>
      <c r="C1292" s="12" t="s">
        <v>4492</v>
      </c>
      <c r="D1292" s="12">
        <v>1</v>
      </c>
      <c r="E1292" s="125">
        <v>13851782.470000001</v>
      </c>
      <c r="F1292" s="12">
        <v>-14</v>
      </c>
      <c r="G1292" s="125">
        <v>11235036.390000001</v>
      </c>
      <c r="H1292" s="12" t="s">
        <v>2538</v>
      </c>
      <c r="I1292" s="125">
        <v>224700.73</v>
      </c>
      <c r="J1292" s="13">
        <v>42986.699592280092</v>
      </c>
      <c r="K1292" s="13">
        <v>43351</v>
      </c>
      <c r="L1292" s="12" t="s">
        <v>4493</v>
      </c>
      <c r="M1292" s="12"/>
      <c r="N1292" s="12" t="s">
        <v>4494</v>
      </c>
      <c r="O1292" s="12"/>
      <c r="P1292" s="12"/>
      <c r="Q1292" s="12"/>
    </row>
    <row r="1293" spans="1:17" x14ac:dyDescent="0.25">
      <c r="A1293" s="11">
        <v>201291</v>
      </c>
      <c r="B1293" s="12" t="s">
        <v>5423</v>
      </c>
      <c r="C1293" s="12" t="s">
        <v>5424</v>
      </c>
      <c r="D1293" s="12">
        <v>7</v>
      </c>
      <c r="E1293" s="125">
        <v>2022061.17</v>
      </c>
      <c r="F1293" s="12">
        <v>-17</v>
      </c>
      <c r="G1293" s="125">
        <v>1667160.63</v>
      </c>
      <c r="H1293" s="12" t="s">
        <v>4919</v>
      </c>
      <c r="I1293" s="125">
        <v>30008.89</v>
      </c>
      <c r="J1293" s="13">
        <v>42989.645120370369</v>
      </c>
      <c r="K1293" s="13">
        <v>43292</v>
      </c>
      <c r="L1293" s="12" t="s">
        <v>5425</v>
      </c>
      <c r="M1293" s="12"/>
      <c r="N1293" s="12"/>
      <c r="O1293" s="12"/>
      <c r="P1293" s="12"/>
      <c r="Q1293" s="12"/>
    </row>
    <row r="1294" spans="1:17" x14ac:dyDescent="0.25">
      <c r="A1294" s="11">
        <v>201292</v>
      </c>
      <c r="B1294" s="12" t="s">
        <v>3777</v>
      </c>
      <c r="C1294" s="12" t="s">
        <v>3789</v>
      </c>
      <c r="D1294" s="12">
        <v>7</v>
      </c>
      <c r="E1294" s="125">
        <v>2663804.3199999998</v>
      </c>
      <c r="F1294" s="12">
        <v>-17</v>
      </c>
      <c r="G1294" s="125">
        <v>2160583.92</v>
      </c>
      <c r="H1294" s="12" t="s">
        <v>4684</v>
      </c>
      <c r="I1294" s="125">
        <v>34569.339999999997</v>
      </c>
      <c r="J1294" s="13">
        <v>42989.662398229164</v>
      </c>
      <c r="K1294" s="13">
        <v>43354</v>
      </c>
      <c r="L1294" s="12" t="s">
        <v>3790</v>
      </c>
      <c r="M1294" s="12"/>
      <c r="N1294" s="12" t="s">
        <v>3791</v>
      </c>
      <c r="O1294" s="12"/>
      <c r="P1294" s="12"/>
      <c r="Q1294" s="12"/>
    </row>
    <row r="1295" spans="1:17" x14ac:dyDescent="0.25">
      <c r="A1295" s="11">
        <v>201294</v>
      </c>
      <c r="B1295" s="12" t="s">
        <v>5421</v>
      </c>
      <c r="C1295" s="12" t="s">
        <v>5429</v>
      </c>
      <c r="D1295" s="12">
        <v>1</v>
      </c>
      <c r="E1295" s="125">
        <v>2274144.7999999998</v>
      </c>
      <c r="F1295" s="12">
        <v>-17</v>
      </c>
      <c r="G1295" s="125">
        <v>1954958.15</v>
      </c>
      <c r="H1295" s="12" t="s">
        <v>4683</v>
      </c>
      <c r="I1295" s="125">
        <v>35189.25</v>
      </c>
      <c r="J1295" s="13">
        <v>42989.684774305555</v>
      </c>
      <c r="K1295" s="13">
        <v>43231</v>
      </c>
      <c r="L1295" s="12" t="s">
        <v>5430</v>
      </c>
      <c r="M1295" s="12"/>
      <c r="N1295" s="12"/>
      <c r="O1295" s="12"/>
      <c r="P1295" s="12"/>
      <c r="Q1295" s="12"/>
    </row>
    <row r="1296" spans="1:17" x14ac:dyDescent="0.25">
      <c r="A1296" s="11">
        <v>201295</v>
      </c>
      <c r="B1296" s="12" t="s">
        <v>5433</v>
      </c>
      <c r="C1296" s="12" t="s">
        <v>5440</v>
      </c>
      <c r="D1296" s="12">
        <v>7</v>
      </c>
      <c r="E1296" s="125">
        <v>4386647.5599999996</v>
      </c>
      <c r="F1296" s="12">
        <v>-18</v>
      </c>
      <c r="G1296" s="125">
        <v>3471030.59</v>
      </c>
      <c r="H1296" s="12" t="s">
        <v>4686</v>
      </c>
      <c r="I1296" s="125">
        <v>57272</v>
      </c>
      <c r="J1296" s="13">
        <v>42990.691062731479</v>
      </c>
      <c r="K1296" s="13">
        <v>43355</v>
      </c>
      <c r="L1296" s="12" t="s">
        <v>5441</v>
      </c>
      <c r="M1296" s="12"/>
      <c r="N1296" s="12" t="s">
        <v>5442</v>
      </c>
      <c r="O1296" s="12"/>
      <c r="P1296" s="12"/>
      <c r="Q1296" s="12"/>
    </row>
    <row r="1297" spans="1:17" x14ac:dyDescent="0.25">
      <c r="A1297" s="11">
        <v>201296</v>
      </c>
      <c r="B1297" s="12" t="s">
        <v>5444</v>
      </c>
      <c r="C1297" s="12" t="s">
        <v>5451</v>
      </c>
      <c r="D1297" s="12">
        <v>7</v>
      </c>
      <c r="E1297" s="125">
        <v>5483309.4400000004</v>
      </c>
      <c r="F1297" s="12">
        <v>-19</v>
      </c>
      <c r="G1297" s="125">
        <v>4338788.2300000004</v>
      </c>
      <c r="H1297" s="12" t="s">
        <v>4919</v>
      </c>
      <c r="I1297" s="125">
        <v>65081.82</v>
      </c>
      <c r="J1297" s="13">
        <v>42991.551782291666</v>
      </c>
      <c r="K1297" s="13">
        <v>43356</v>
      </c>
      <c r="L1297" s="12" t="s">
        <v>5452</v>
      </c>
      <c r="M1297" s="12"/>
      <c r="N1297" s="12"/>
      <c r="O1297" s="12"/>
      <c r="P1297" s="12"/>
      <c r="Q1297" s="12"/>
    </row>
    <row r="1298" spans="1:17" x14ac:dyDescent="0.25">
      <c r="A1298" s="11">
        <v>201297</v>
      </c>
      <c r="B1298" s="12" t="s">
        <v>3756</v>
      </c>
      <c r="C1298" s="12" t="s">
        <v>3769</v>
      </c>
      <c r="D1298" s="12">
        <v>1</v>
      </c>
      <c r="E1298" s="125">
        <v>3196565.19</v>
      </c>
      <c r="F1298" s="12">
        <v>-19</v>
      </c>
      <c r="G1298" s="125">
        <v>2592700.7000000002</v>
      </c>
      <c r="H1298" s="12" t="s">
        <v>491</v>
      </c>
      <c r="I1298" s="125">
        <v>34569.339999999997</v>
      </c>
      <c r="J1298" s="13">
        <v>42991.706475196763</v>
      </c>
      <c r="K1298" s="13">
        <v>43356</v>
      </c>
      <c r="L1298" s="12" t="s">
        <v>3770</v>
      </c>
      <c r="M1298" s="12"/>
      <c r="N1298" s="12" t="s">
        <v>3771</v>
      </c>
      <c r="O1298" s="12"/>
      <c r="P1298" s="12"/>
      <c r="Q1298" s="12"/>
    </row>
    <row r="1299" spans="1:17" x14ac:dyDescent="0.25">
      <c r="A1299" s="11">
        <v>201298</v>
      </c>
      <c r="B1299" s="12" t="s">
        <v>5455</v>
      </c>
      <c r="C1299" s="12" t="s">
        <v>5464</v>
      </c>
      <c r="D1299" s="12">
        <v>1</v>
      </c>
      <c r="E1299" s="125">
        <v>6393130.3399999999</v>
      </c>
      <c r="F1299" s="12">
        <v>-20</v>
      </c>
      <c r="G1299" s="125">
        <v>5185401.4000000004</v>
      </c>
      <c r="H1299" s="12" t="s">
        <v>3074</v>
      </c>
      <c r="I1299" s="125">
        <v>62224.82</v>
      </c>
      <c r="J1299" s="13">
        <v>42992.633950115742</v>
      </c>
      <c r="K1299" s="13">
        <v>43357</v>
      </c>
      <c r="L1299" s="12" t="s">
        <v>5465</v>
      </c>
      <c r="M1299" s="12"/>
      <c r="N1299" s="12" t="s">
        <v>5466</v>
      </c>
      <c r="O1299" s="12"/>
      <c r="P1299" s="12"/>
      <c r="Q1299" s="12"/>
    </row>
    <row r="1300" spans="1:17" x14ac:dyDescent="0.25">
      <c r="A1300" s="11">
        <v>201299</v>
      </c>
      <c r="B1300" s="12" t="s">
        <v>5454</v>
      </c>
      <c r="C1300" s="12" t="s">
        <v>5467</v>
      </c>
      <c r="D1300" s="12">
        <v>1</v>
      </c>
      <c r="E1300" s="125">
        <v>2527576.4700000002</v>
      </c>
      <c r="F1300" s="12">
        <v>-20</v>
      </c>
      <c r="G1300" s="125">
        <v>2083950.78</v>
      </c>
      <c r="H1300" s="12" t="s">
        <v>5335</v>
      </c>
      <c r="I1300" s="125">
        <v>28133.34</v>
      </c>
      <c r="J1300" s="13">
        <v>42992.702857488424</v>
      </c>
      <c r="K1300" s="13">
        <v>43295</v>
      </c>
      <c r="L1300" s="12" t="s">
        <v>5468</v>
      </c>
      <c r="M1300" s="12"/>
      <c r="N1300" s="12"/>
      <c r="O1300" s="12"/>
      <c r="P1300" s="12"/>
      <c r="Q1300" s="12"/>
    </row>
    <row r="1301" spans="1:17" x14ac:dyDescent="0.25">
      <c r="A1301" s="11">
        <v>201300</v>
      </c>
      <c r="B1301" s="12" t="s">
        <v>5457</v>
      </c>
      <c r="C1301" s="12" t="s">
        <v>5469</v>
      </c>
      <c r="D1301" s="12">
        <v>1</v>
      </c>
      <c r="E1301" s="125">
        <v>6579971.3300000001</v>
      </c>
      <c r="F1301" s="12">
        <v>-20</v>
      </c>
      <c r="G1301" s="125">
        <v>5206545.87</v>
      </c>
      <c r="H1301" s="12" t="s">
        <v>3074</v>
      </c>
      <c r="I1301" s="125">
        <v>70288.37</v>
      </c>
      <c r="J1301" s="13">
        <v>42992.703987037035</v>
      </c>
      <c r="K1301" s="13">
        <v>43357</v>
      </c>
      <c r="L1301" s="12" t="s">
        <v>5470</v>
      </c>
      <c r="M1301" s="12"/>
      <c r="N1301" s="12"/>
      <c r="O1301" s="12"/>
      <c r="P1301" s="12"/>
      <c r="Q1301" s="12"/>
    </row>
    <row r="1302" spans="1:17" x14ac:dyDescent="0.25">
      <c r="A1302" s="11">
        <v>201301</v>
      </c>
      <c r="B1302" s="12" t="s">
        <v>5456</v>
      </c>
      <c r="C1302" s="12" t="s">
        <v>5471</v>
      </c>
      <c r="D1302" s="12">
        <v>1</v>
      </c>
      <c r="E1302" s="125">
        <v>6579971.3300000001</v>
      </c>
      <c r="F1302" s="12">
        <v>-20</v>
      </c>
      <c r="G1302" s="125">
        <v>5206545.87</v>
      </c>
      <c r="H1302" s="12" t="s">
        <v>4683</v>
      </c>
      <c r="I1302" s="125">
        <v>70288.37</v>
      </c>
      <c r="J1302" s="13">
        <v>42992.742704710647</v>
      </c>
      <c r="K1302" s="13">
        <v>43357</v>
      </c>
      <c r="L1302" s="12" t="s">
        <v>5472</v>
      </c>
      <c r="M1302" s="12"/>
      <c r="N1302" s="12"/>
      <c r="O1302" s="12"/>
      <c r="P1302" s="12"/>
      <c r="Q1302" s="12"/>
    </row>
    <row r="1303" spans="1:17" x14ac:dyDescent="0.25">
      <c r="A1303" s="11">
        <v>201302</v>
      </c>
      <c r="B1303" s="12" t="s">
        <v>5475</v>
      </c>
      <c r="C1303" s="12" t="s">
        <v>5481</v>
      </c>
      <c r="D1303" s="12">
        <v>6</v>
      </c>
      <c r="E1303" s="125">
        <v>18641506.780000001</v>
      </c>
      <c r="F1303" s="12">
        <v>9</v>
      </c>
      <c r="G1303" s="125">
        <v>15824651.460000001</v>
      </c>
      <c r="H1303" s="12" t="s">
        <v>1467</v>
      </c>
      <c r="I1303" s="125">
        <v>657356.15</v>
      </c>
      <c r="J1303" s="13">
        <v>42993.652268865742</v>
      </c>
      <c r="K1303" s="13">
        <v>43358</v>
      </c>
      <c r="L1303" s="12" t="s">
        <v>5482</v>
      </c>
      <c r="M1303" s="12"/>
      <c r="N1303" s="12" t="s">
        <v>5483</v>
      </c>
      <c r="O1303" s="12"/>
      <c r="P1303" s="12"/>
      <c r="Q1303" s="12"/>
    </row>
    <row r="1304" spans="1:17" x14ac:dyDescent="0.25">
      <c r="A1304" s="11">
        <v>201303</v>
      </c>
      <c r="B1304" s="12" t="s">
        <v>3395</v>
      </c>
      <c r="C1304" s="12" t="s">
        <v>3419</v>
      </c>
      <c r="D1304" s="12">
        <v>2</v>
      </c>
      <c r="E1304" s="125">
        <v>31045184.780000001</v>
      </c>
      <c r="F1304" s="12">
        <v>-21</v>
      </c>
      <c r="G1304" s="125">
        <v>25819054.890000001</v>
      </c>
      <c r="H1304" s="12" t="s">
        <v>2034</v>
      </c>
      <c r="I1304" s="125">
        <v>240977.85</v>
      </c>
      <c r="J1304" s="13">
        <v>42993.746074733797</v>
      </c>
      <c r="K1304" s="13">
        <v>43358</v>
      </c>
      <c r="L1304" s="12" t="s">
        <v>3420</v>
      </c>
      <c r="M1304" s="12"/>
      <c r="N1304" s="12"/>
      <c r="O1304" s="12"/>
      <c r="P1304" s="12"/>
      <c r="Q1304" s="12"/>
    </row>
    <row r="1305" spans="1:17" x14ac:dyDescent="0.25">
      <c r="A1305" s="11">
        <v>201304</v>
      </c>
      <c r="B1305" s="12" t="s">
        <v>5496</v>
      </c>
      <c r="C1305" s="12" t="s">
        <v>5504</v>
      </c>
      <c r="D1305" s="12">
        <v>1</v>
      </c>
      <c r="E1305" s="125">
        <v>5205938.46</v>
      </c>
      <c r="F1305" s="12">
        <v>6</v>
      </c>
      <c r="G1305" s="125">
        <v>4318687.12</v>
      </c>
      <c r="H1305" s="12" t="s">
        <v>4683</v>
      </c>
      <c r="I1305" s="125">
        <v>237949.03</v>
      </c>
      <c r="J1305" s="13">
        <v>42996.538668321758</v>
      </c>
      <c r="K1305" s="13">
        <v>43299</v>
      </c>
      <c r="L1305" s="12" t="s">
        <v>5505</v>
      </c>
      <c r="M1305" s="12"/>
      <c r="N1305" s="12"/>
      <c r="O1305" s="12"/>
      <c r="P1305" s="12"/>
      <c r="Q1305" s="12"/>
    </row>
    <row r="1306" spans="1:17" x14ac:dyDescent="0.25">
      <c r="A1306" s="11">
        <v>201305</v>
      </c>
      <c r="B1306" s="12" t="s">
        <v>2715</v>
      </c>
      <c r="C1306" s="12" t="s">
        <v>2723</v>
      </c>
      <c r="D1306" s="12">
        <v>1</v>
      </c>
      <c r="E1306" s="125">
        <v>7524112.8300000001</v>
      </c>
      <c r="F1306" s="12">
        <v>-24</v>
      </c>
      <c r="G1306" s="125">
        <v>6205269.0300000003</v>
      </c>
      <c r="H1306" s="12" t="s">
        <v>2557</v>
      </c>
      <c r="I1306" s="125">
        <v>37921.089999999997</v>
      </c>
      <c r="J1306" s="13">
        <v>42996.611837037039</v>
      </c>
      <c r="K1306" s="13">
        <v>43361</v>
      </c>
      <c r="L1306" s="12" t="s">
        <v>2724</v>
      </c>
      <c r="M1306" s="12" t="s">
        <v>2725</v>
      </c>
      <c r="N1306" s="12"/>
      <c r="O1306" s="12"/>
      <c r="P1306" s="12"/>
      <c r="Q1306" s="12"/>
    </row>
    <row r="1307" spans="1:17" x14ac:dyDescent="0.25">
      <c r="A1307" s="11">
        <v>201306</v>
      </c>
      <c r="B1307" s="12" t="s">
        <v>3204</v>
      </c>
      <c r="C1307" s="12" t="s">
        <v>3213</v>
      </c>
      <c r="D1307" s="12">
        <v>6</v>
      </c>
      <c r="E1307" s="125">
        <v>19601379.829999998</v>
      </c>
      <c r="F1307" s="12">
        <v>-24</v>
      </c>
      <c r="G1307" s="125">
        <v>16035369.15</v>
      </c>
      <c r="H1307" s="12" t="s">
        <v>546</v>
      </c>
      <c r="I1307" s="125">
        <v>80176.850000000006</v>
      </c>
      <c r="J1307" s="13">
        <v>42996.697323379631</v>
      </c>
      <c r="K1307" s="13">
        <v>43452</v>
      </c>
      <c r="L1307" s="12" t="s">
        <v>3214</v>
      </c>
      <c r="M1307" s="12"/>
      <c r="N1307" s="12"/>
      <c r="O1307" s="12"/>
      <c r="P1307" s="12"/>
      <c r="Q1307" s="12"/>
    </row>
    <row r="1308" spans="1:17" x14ac:dyDescent="0.25">
      <c r="A1308" s="11">
        <v>201307</v>
      </c>
      <c r="B1308" s="12" t="s">
        <v>4328</v>
      </c>
      <c r="C1308" s="12" t="s">
        <v>4343</v>
      </c>
      <c r="D1308" s="12">
        <v>7</v>
      </c>
      <c r="E1308" s="125">
        <v>2958982.69</v>
      </c>
      <c r="F1308" s="12">
        <v>-25</v>
      </c>
      <c r="G1308" s="125">
        <v>2490259.4300000002</v>
      </c>
      <c r="H1308" s="12" t="s">
        <v>1667</v>
      </c>
      <c r="I1308" s="125">
        <v>13281.38</v>
      </c>
      <c r="J1308" s="13">
        <v>42997.60321828704</v>
      </c>
      <c r="K1308" s="13">
        <v>43300</v>
      </c>
      <c r="L1308" s="12" t="s">
        <v>4344</v>
      </c>
      <c r="M1308" s="12"/>
      <c r="N1308" s="12" t="s">
        <v>4345</v>
      </c>
      <c r="O1308" s="12"/>
      <c r="P1308" s="12"/>
      <c r="Q1308" s="12"/>
    </row>
    <row r="1309" spans="1:17" x14ac:dyDescent="0.25">
      <c r="A1309" s="11">
        <v>201308</v>
      </c>
      <c r="B1309" s="12" t="s">
        <v>3022</v>
      </c>
      <c r="C1309" s="12" t="s">
        <v>3031</v>
      </c>
      <c r="D1309" s="12">
        <v>1</v>
      </c>
      <c r="E1309" s="125">
        <v>4262086.91</v>
      </c>
      <c r="F1309" s="12">
        <v>-25</v>
      </c>
      <c r="G1309" s="125">
        <v>3456934.27</v>
      </c>
      <c r="H1309" s="12" t="s">
        <v>1448</v>
      </c>
      <c r="I1309" s="125">
        <v>18436.98</v>
      </c>
      <c r="J1309" s="13">
        <v>42997.695235104169</v>
      </c>
      <c r="K1309" s="13">
        <v>43362</v>
      </c>
      <c r="L1309" s="12" t="s">
        <v>3032</v>
      </c>
      <c r="M1309" s="12"/>
      <c r="N1309" s="12"/>
      <c r="O1309" s="12"/>
      <c r="P1309" s="12"/>
      <c r="Q1309" s="12"/>
    </row>
    <row r="1310" spans="1:17" x14ac:dyDescent="0.25">
      <c r="A1310" s="11">
        <v>201309</v>
      </c>
      <c r="B1310" s="12" t="s">
        <v>5509</v>
      </c>
      <c r="C1310" s="12" t="s">
        <v>5514</v>
      </c>
      <c r="D1310" s="12">
        <v>1</v>
      </c>
      <c r="E1310" s="125">
        <v>6579971.3300000001</v>
      </c>
      <c r="F1310" s="12">
        <v>-25</v>
      </c>
      <c r="G1310" s="125">
        <v>5206545.87</v>
      </c>
      <c r="H1310" s="12" t="s">
        <v>5386</v>
      </c>
      <c r="I1310" s="125">
        <v>31239.279999999999</v>
      </c>
      <c r="J1310" s="13">
        <v>42997.706073807873</v>
      </c>
      <c r="K1310" s="13">
        <v>43362</v>
      </c>
      <c r="L1310" s="12" t="s">
        <v>5515</v>
      </c>
      <c r="M1310" s="12"/>
      <c r="N1310" s="12"/>
      <c r="O1310" s="12"/>
      <c r="P1310" s="12"/>
      <c r="Q1310" s="12"/>
    </row>
    <row r="1311" spans="1:17" x14ac:dyDescent="0.25">
      <c r="A1311" s="11">
        <v>201310</v>
      </c>
      <c r="B1311" s="12" t="s">
        <v>5518</v>
      </c>
      <c r="C1311" s="12" t="s">
        <v>5522</v>
      </c>
      <c r="D1311" s="12">
        <v>1</v>
      </c>
      <c r="E1311" s="125">
        <v>5608091.8700000001</v>
      </c>
      <c r="F1311" s="12">
        <v>4</v>
      </c>
      <c r="G1311" s="125">
        <v>4593105.8899999997</v>
      </c>
      <c r="H1311" s="12" t="s">
        <v>2034</v>
      </c>
      <c r="I1311" s="125">
        <v>225445.33</v>
      </c>
      <c r="J1311" s="13">
        <v>42998.652610381941</v>
      </c>
      <c r="K1311" s="13">
        <v>43301</v>
      </c>
      <c r="L1311" s="12" t="s">
        <v>5523</v>
      </c>
      <c r="M1311" s="12" t="s">
        <v>5524</v>
      </c>
      <c r="N1311" s="12"/>
      <c r="O1311" s="12"/>
      <c r="P1311" s="12"/>
      <c r="Q1311" s="12"/>
    </row>
    <row r="1312" spans="1:17" x14ac:dyDescent="0.25">
      <c r="A1312" s="11">
        <v>201311</v>
      </c>
      <c r="B1312" s="12" t="s">
        <v>5531</v>
      </c>
      <c r="C1312" s="12" t="s">
        <v>5535</v>
      </c>
      <c r="D1312" s="12">
        <v>7</v>
      </c>
      <c r="E1312" s="125">
        <v>1911197.58</v>
      </c>
      <c r="F1312" s="12">
        <v>3</v>
      </c>
      <c r="G1312" s="125">
        <v>1734692.86</v>
      </c>
      <c r="H1312" s="12" t="s">
        <v>2557</v>
      </c>
      <c r="I1312" s="125">
        <v>4616.3</v>
      </c>
      <c r="J1312" s="13">
        <v>42999.561557488429</v>
      </c>
      <c r="K1312" s="13">
        <v>43180</v>
      </c>
      <c r="L1312" s="12" t="s">
        <v>5536</v>
      </c>
      <c r="M1312" s="12"/>
      <c r="N1312" s="12"/>
      <c r="O1312" s="12"/>
      <c r="P1312" s="12"/>
      <c r="Q1312" s="12"/>
    </row>
    <row r="1313" spans="1:17" x14ac:dyDescent="0.25">
      <c r="A1313" s="11">
        <v>201312</v>
      </c>
      <c r="B1313" s="12" t="s">
        <v>5517</v>
      </c>
      <c r="C1313" s="12" t="s">
        <v>5525</v>
      </c>
      <c r="D1313" s="12">
        <v>7</v>
      </c>
      <c r="E1313" s="125">
        <v>2741654.71</v>
      </c>
      <c r="F1313" s="12">
        <v>-26</v>
      </c>
      <c r="G1313" s="125">
        <v>2169394.11</v>
      </c>
      <c r="H1313" s="12" t="s">
        <v>1447</v>
      </c>
      <c r="I1313" s="125">
        <v>9762.27</v>
      </c>
      <c r="J1313" s="13">
        <v>42998.651798263891</v>
      </c>
      <c r="K1313" s="13">
        <v>43363</v>
      </c>
      <c r="L1313" s="12" t="s">
        <v>5526</v>
      </c>
      <c r="M1313" s="12"/>
      <c r="N1313" s="12"/>
      <c r="O1313" s="12"/>
      <c r="P1313" s="12"/>
      <c r="Q1313" s="12"/>
    </row>
    <row r="1314" spans="1:17" x14ac:dyDescent="0.25">
      <c r="A1314" s="11">
        <v>201313</v>
      </c>
      <c r="B1314" s="12" t="s">
        <v>5516</v>
      </c>
      <c r="C1314" s="12" t="s">
        <v>5527</v>
      </c>
      <c r="D1314" s="12">
        <v>7</v>
      </c>
      <c r="E1314" s="125">
        <v>927077.24</v>
      </c>
      <c r="F1314" s="12">
        <v>4</v>
      </c>
      <c r="G1314" s="125">
        <v>799402.57</v>
      </c>
      <c r="H1314" s="12" t="s">
        <v>4684</v>
      </c>
      <c r="I1314" s="125">
        <v>3518.92</v>
      </c>
      <c r="J1314" s="13">
        <v>42998.715631562503</v>
      </c>
      <c r="K1314" s="13">
        <v>43240</v>
      </c>
      <c r="L1314" s="12" t="s">
        <v>5528</v>
      </c>
      <c r="M1314" s="12" t="s">
        <v>5529</v>
      </c>
      <c r="N1314" s="12"/>
      <c r="O1314" s="12"/>
      <c r="P1314" s="12"/>
      <c r="Q1314" s="12"/>
    </row>
    <row r="1315" spans="1:17" x14ac:dyDescent="0.25">
      <c r="A1315" s="11">
        <v>201315</v>
      </c>
      <c r="B1315" s="12" t="s">
        <v>5541</v>
      </c>
      <c r="C1315" s="12" t="s">
        <v>5551</v>
      </c>
      <c r="D1315" s="12">
        <v>1</v>
      </c>
      <c r="E1315" s="125">
        <v>4259958.49</v>
      </c>
      <c r="F1315" s="12">
        <v>33</v>
      </c>
      <c r="G1315" s="125">
        <v>3786877.19</v>
      </c>
      <c r="H1315" s="12" t="s">
        <v>2557</v>
      </c>
      <c r="I1315" s="125">
        <v>152268.42000000001</v>
      </c>
      <c r="J1315" s="13">
        <v>43000.477500810186</v>
      </c>
      <c r="K1315" s="13">
        <v>43181</v>
      </c>
      <c r="L1315" s="12" t="s">
        <v>5552</v>
      </c>
      <c r="M1315" s="12" t="s">
        <v>5553</v>
      </c>
      <c r="N1315" s="12"/>
      <c r="O1315" s="12"/>
      <c r="P1315" s="12"/>
      <c r="Q1315" s="12"/>
    </row>
    <row r="1316" spans="1:17" x14ac:dyDescent="0.25">
      <c r="A1316" s="11">
        <v>201316</v>
      </c>
      <c r="B1316" s="12" t="s">
        <v>3038</v>
      </c>
      <c r="C1316" s="12" t="s">
        <v>3039</v>
      </c>
      <c r="D1316" s="12">
        <v>2</v>
      </c>
      <c r="E1316" s="125">
        <v>25870987.309999999</v>
      </c>
      <c r="F1316" s="12">
        <v>-28</v>
      </c>
      <c r="G1316" s="125">
        <v>21515879.079999998</v>
      </c>
      <c r="H1316" s="12" t="s">
        <v>2538</v>
      </c>
      <c r="I1316" s="125">
        <v>25101.86</v>
      </c>
      <c r="J1316" s="13">
        <v>43000.607355011576</v>
      </c>
      <c r="K1316" s="13">
        <v>43365</v>
      </c>
      <c r="L1316" s="12" t="s">
        <v>3040</v>
      </c>
      <c r="M1316" s="12"/>
      <c r="N1316" s="12"/>
      <c r="O1316" s="12"/>
      <c r="P1316" s="12"/>
      <c r="Q1316" s="12"/>
    </row>
    <row r="1317" spans="1:17" x14ac:dyDescent="0.25">
      <c r="A1317" s="11">
        <v>201317</v>
      </c>
      <c r="B1317" s="12" t="s">
        <v>4016</v>
      </c>
      <c r="C1317" s="12" t="s">
        <v>4034</v>
      </c>
      <c r="D1317" s="12">
        <v>6</v>
      </c>
      <c r="E1317" s="125">
        <v>23790486.989999998</v>
      </c>
      <c r="F1317" s="12">
        <v>2</v>
      </c>
      <c r="G1317" s="125">
        <v>18789731.27</v>
      </c>
      <c r="H1317" s="12" t="s">
        <v>2557</v>
      </c>
      <c r="I1317" s="125">
        <v>555088.11</v>
      </c>
      <c r="J1317" s="13">
        <v>43000.692347881944</v>
      </c>
      <c r="K1317" s="13">
        <v>43546</v>
      </c>
      <c r="L1317" s="12" t="s">
        <v>4035</v>
      </c>
      <c r="M1317" s="12"/>
      <c r="N1317" s="12"/>
      <c r="O1317" s="12"/>
      <c r="P1317" s="12"/>
      <c r="Q1317" s="12"/>
    </row>
    <row r="1318" spans="1:17" x14ac:dyDescent="0.25">
      <c r="A1318" s="11">
        <v>201320</v>
      </c>
      <c r="B1318" s="12" t="s">
        <v>1948</v>
      </c>
      <c r="C1318" s="12" t="s">
        <v>917</v>
      </c>
      <c r="D1318" s="12">
        <v>4</v>
      </c>
      <c r="E1318" s="125">
        <v>6283193.4500000002</v>
      </c>
      <c r="F1318" s="12">
        <v>-27</v>
      </c>
      <c r="G1318" s="125">
        <v>5969098.1399999997</v>
      </c>
      <c r="H1318" s="12" t="s">
        <v>284</v>
      </c>
      <c r="I1318" s="125">
        <v>8290.41</v>
      </c>
      <c r="J1318" s="13">
        <v>43000.754174571761</v>
      </c>
      <c r="K1318" s="13">
        <v>43180</v>
      </c>
      <c r="L1318" s="12" t="s">
        <v>1952</v>
      </c>
      <c r="M1318" s="12"/>
      <c r="N1318" s="12"/>
      <c r="O1318" s="12"/>
      <c r="P1318" s="12"/>
      <c r="Q1318" s="12"/>
    </row>
    <row r="1319" spans="1:17" x14ac:dyDescent="0.25">
      <c r="A1319" s="11">
        <v>201321</v>
      </c>
      <c r="B1319" s="12" t="s">
        <v>5555</v>
      </c>
      <c r="C1319" s="12" t="s">
        <v>5560</v>
      </c>
      <c r="D1319" s="12">
        <v>1</v>
      </c>
      <c r="E1319" s="125">
        <v>1448408.16</v>
      </c>
      <c r="F1319" s="12">
        <v>1</v>
      </c>
      <c r="G1319" s="125">
        <v>1304462.43</v>
      </c>
      <c r="H1319" s="12" t="s">
        <v>4685</v>
      </c>
      <c r="I1319" s="125">
        <v>68940.850000000006</v>
      </c>
      <c r="J1319" s="13">
        <v>43001.471149502315</v>
      </c>
      <c r="K1319" s="13">
        <v>43182</v>
      </c>
      <c r="L1319" s="12" t="s">
        <v>5561</v>
      </c>
      <c r="M1319" s="12"/>
      <c r="N1319" s="12"/>
      <c r="O1319" s="12"/>
      <c r="P1319" s="12"/>
      <c r="Q1319" s="12"/>
    </row>
    <row r="1320" spans="1:17" x14ac:dyDescent="0.25">
      <c r="A1320" s="11">
        <v>201322</v>
      </c>
      <c r="B1320" s="12" t="s">
        <v>5554</v>
      </c>
      <c r="C1320" s="12" t="s">
        <v>5562</v>
      </c>
      <c r="D1320" s="12">
        <v>1</v>
      </c>
      <c r="E1320" s="125">
        <v>3409775.27</v>
      </c>
      <c r="F1320" s="12">
        <v>1</v>
      </c>
      <c r="G1320" s="125">
        <v>2755863.53</v>
      </c>
      <c r="H1320" s="12" t="s">
        <v>4686</v>
      </c>
      <c r="I1320" s="125">
        <v>124013.86</v>
      </c>
      <c r="J1320" s="13">
        <v>43001.50625864583</v>
      </c>
      <c r="K1320" s="13">
        <v>43304</v>
      </c>
      <c r="L1320" s="12" t="s">
        <v>5563</v>
      </c>
      <c r="M1320" s="12"/>
      <c r="N1320" s="12"/>
      <c r="O1320" s="12"/>
      <c r="P1320" s="12"/>
      <c r="Q1320" s="12"/>
    </row>
    <row r="1321" spans="1:17" x14ac:dyDescent="0.25">
      <c r="A1321" s="11">
        <v>201323</v>
      </c>
      <c r="B1321" s="12" t="s">
        <v>3110</v>
      </c>
      <c r="C1321" s="12" t="s">
        <v>3111</v>
      </c>
      <c r="D1321" s="12">
        <v>8</v>
      </c>
      <c r="E1321" s="125">
        <v>6897103.4199999999</v>
      </c>
      <c r="F1321" s="12">
        <v>-1</v>
      </c>
      <c r="G1321" s="125">
        <v>5592990.5999999996</v>
      </c>
      <c r="H1321" s="12" t="s">
        <v>1447</v>
      </c>
      <c r="I1321" s="125">
        <v>191404.57</v>
      </c>
      <c r="J1321" s="13">
        <v>43003.48632384259</v>
      </c>
      <c r="K1321" s="13">
        <v>43368</v>
      </c>
      <c r="L1321" s="12" t="s">
        <v>3112</v>
      </c>
      <c r="M1321" s="12"/>
      <c r="N1321" s="12"/>
      <c r="O1321" s="12"/>
      <c r="P1321" s="12"/>
      <c r="Q1321" s="12"/>
    </row>
    <row r="1322" spans="1:17" x14ac:dyDescent="0.25">
      <c r="A1322" s="11">
        <v>201324</v>
      </c>
      <c r="B1322" s="12" t="s">
        <v>4284</v>
      </c>
      <c r="C1322" s="12" t="s">
        <v>4301</v>
      </c>
      <c r="D1322" s="12">
        <v>4</v>
      </c>
      <c r="E1322" s="125">
        <v>1689228.34</v>
      </c>
      <c r="F1322" s="12">
        <v>-27</v>
      </c>
      <c r="G1322" s="125">
        <v>1604784.23</v>
      </c>
      <c r="H1322" s="12" t="s">
        <v>284</v>
      </c>
      <c r="I1322" s="125">
        <v>2228.87</v>
      </c>
      <c r="J1322" s="13">
        <v>43003.492693749999</v>
      </c>
      <c r="K1322" s="13">
        <v>43180</v>
      </c>
      <c r="L1322" s="12" t="s">
        <v>4302</v>
      </c>
      <c r="M1322" s="12"/>
      <c r="N1322" s="12"/>
      <c r="O1322" s="12"/>
      <c r="P1322" s="12"/>
      <c r="Q1322" s="12"/>
    </row>
    <row r="1323" spans="1:17" x14ac:dyDescent="0.25">
      <c r="A1323" s="11">
        <v>201325</v>
      </c>
      <c r="B1323" s="12" t="s">
        <v>5566</v>
      </c>
      <c r="C1323" s="12" t="s">
        <v>5574</v>
      </c>
      <c r="D1323" s="12">
        <v>6</v>
      </c>
      <c r="E1323" s="125">
        <v>11271863.09</v>
      </c>
      <c r="F1323" s="12">
        <v>-1</v>
      </c>
      <c r="G1323" s="125">
        <v>9308618.5</v>
      </c>
      <c r="H1323" s="12" t="s">
        <v>1909</v>
      </c>
      <c r="I1323" s="125">
        <v>289601.46000000002</v>
      </c>
      <c r="J1323" s="13">
        <v>43003.53083171296</v>
      </c>
      <c r="K1323" s="13">
        <v>43368</v>
      </c>
      <c r="L1323" s="12" t="s">
        <v>5575</v>
      </c>
      <c r="M1323" s="12" t="s">
        <v>5576</v>
      </c>
      <c r="N1323" s="12"/>
      <c r="O1323" s="12"/>
      <c r="P1323" s="12"/>
      <c r="Q1323" s="12"/>
    </row>
    <row r="1324" spans="1:17" x14ac:dyDescent="0.25">
      <c r="A1324" s="11">
        <v>201326</v>
      </c>
      <c r="B1324" s="12" t="s">
        <v>4192</v>
      </c>
      <c r="C1324" s="12" t="s">
        <v>4193</v>
      </c>
      <c r="D1324" s="12">
        <v>1</v>
      </c>
      <c r="E1324" s="125">
        <v>6657710.9699999997</v>
      </c>
      <c r="F1324" s="12">
        <v>-1</v>
      </c>
      <c r="G1324" s="125">
        <v>5500254.3300000001</v>
      </c>
      <c r="H1324" s="12" t="s">
        <v>2861</v>
      </c>
      <c r="I1324" s="125">
        <v>205342.83</v>
      </c>
      <c r="J1324" s="13">
        <v>43003.575624108795</v>
      </c>
      <c r="K1324" s="13">
        <v>43306</v>
      </c>
      <c r="L1324" s="12" t="s">
        <v>4194</v>
      </c>
      <c r="M1324" s="12"/>
      <c r="N1324" s="12"/>
      <c r="O1324" s="12"/>
      <c r="P1324" s="12"/>
      <c r="Q1324" s="12"/>
    </row>
    <row r="1325" spans="1:17" x14ac:dyDescent="0.25">
      <c r="A1325" s="11">
        <v>201327</v>
      </c>
      <c r="B1325" s="12" t="s">
        <v>3441</v>
      </c>
      <c r="C1325" s="12" t="s">
        <v>2160</v>
      </c>
      <c r="D1325" s="12">
        <v>1</v>
      </c>
      <c r="E1325" s="125">
        <v>7032443.3799999999</v>
      </c>
      <c r="F1325" s="12">
        <v>-1</v>
      </c>
      <c r="G1325" s="125">
        <v>5600686.96</v>
      </c>
      <c r="H1325" s="12" t="s">
        <v>2557</v>
      </c>
      <c r="I1325" s="125">
        <v>209092.31</v>
      </c>
      <c r="J1325" s="13">
        <v>43003.602945335646</v>
      </c>
      <c r="K1325" s="13">
        <v>43368</v>
      </c>
      <c r="L1325" s="12" t="s">
        <v>3443</v>
      </c>
      <c r="M1325" s="12"/>
      <c r="N1325" s="12"/>
      <c r="O1325" s="12"/>
      <c r="P1325" s="12"/>
      <c r="Q1325" s="12"/>
    </row>
    <row r="1326" spans="1:17" x14ac:dyDescent="0.25">
      <c r="A1326" s="11">
        <v>201328</v>
      </c>
      <c r="B1326" s="12" t="s">
        <v>5567</v>
      </c>
      <c r="C1326" s="12" t="s">
        <v>5577</v>
      </c>
      <c r="D1326" s="12">
        <v>4</v>
      </c>
      <c r="E1326" s="125">
        <v>2499574.77</v>
      </c>
      <c r="F1326" s="12">
        <v>-27</v>
      </c>
      <c r="G1326" s="125">
        <v>2374621.64</v>
      </c>
      <c r="H1326" s="12" t="s">
        <v>284</v>
      </c>
      <c r="I1326" s="125">
        <v>3298.09</v>
      </c>
      <c r="J1326" s="13">
        <v>43003.691176932873</v>
      </c>
      <c r="K1326" s="13">
        <v>43180</v>
      </c>
      <c r="L1326" s="12" t="s">
        <v>5578</v>
      </c>
      <c r="M1326" s="12"/>
      <c r="N1326" s="12"/>
      <c r="O1326" s="12"/>
      <c r="P1326" s="12"/>
      <c r="Q1326" s="12"/>
    </row>
    <row r="1327" spans="1:17" x14ac:dyDescent="0.25">
      <c r="A1327" s="11">
        <v>201329</v>
      </c>
      <c r="B1327" s="12" t="s">
        <v>5580</v>
      </c>
      <c r="C1327" s="12" t="s">
        <v>5586</v>
      </c>
      <c r="D1327" s="12">
        <v>1</v>
      </c>
      <c r="E1327" s="125">
        <v>5648662.79</v>
      </c>
      <c r="F1327" s="12">
        <v>22</v>
      </c>
      <c r="G1327" s="125">
        <v>5000000</v>
      </c>
      <c r="H1327" s="12" t="s">
        <v>3074</v>
      </c>
      <c r="I1327" s="125">
        <v>187424.35</v>
      </c>
      <c r="J1327" s="13">
        <v>43004.478649571756</v>
      </c>
      <c r="K1327" s="13">
        <v>43192</v>
      </c>
      <c r="L1327" s="12" t="s">
        <v>5587</v>
      </c>
      <c r="M1327" s="12"/>
      <c r="N1327" s="12"/>
      <c r="O1327" s="12"/>
      <c r="P1327" s="12"/>
      <c r="Q1327" s="12"/>
    </row>
    <row r="1328" spans="1:17" x14ac:dyDescent="0.25">
      <c r="A1328" s="11">
        <v>201330</v>
      </c>
      <c r="B1328" s="12" t="s">
        <v>5581</v>
      </c>
      <c r="C1328" s="12" t="s">
        <v>5588</v>
      </c>
      <c r="D1328" s="12">
        <v>2</v>
      </c>
      <c r="E1328" s="125">
        <v>21259617.329999998</v>
      </c>
      <c r="F1328" s="12">
        <v>-8</v>
      </c>
      <c r="G1328" s="125">
        <v>16931307.510000002</v>
      </c>
      <c r="H1328" s="12" t="s">
        <v>1667</v>
      </c>
      <c r="I1328" s="125">
        <v>474076.61</v>
      </c>
      <c r="J1328" s="13">
        <v>43004.653141122682</v>
      </c>
      <c r="K1328" s="13">
        <v>43375</v>
      </c>
      <c r="L1328" s="12" t="s">
        <v>5589</v>
      </c>
      <c r="M1328" s="12"/>
      <c r="N1328" s="12"/>
      <c r="O1328" s="12"/>
      <c r="P1328" s="12"/>
      <c r="Q1328" s="12"/>
    </row>
    <row r="1329" spans="1:17" x14ac:dyDescent="0.25">
      <c r="A1329" s="11">
        <v>201331</v>
      </c>
      <c r="B1329" s="12" t="s">
        <v>5582</v>
      </c>
      <c r="C1329" s="12" t="s">
        <v>5590</v>
      </c>
      <c r="D1329" s="12">
        <v>1</v>
      </c>
      <c r="E1329" s="125">
        <v>2236308.0499999998</v>
      </c>
      <c r="F1329" s="12">
        <v>-8</v>
      </c>
      <c r="G1329" s="125">
        <v>1847521.33</v>
      </c>
      <c r="H1329" s="12" t="s">
        <v>1447</v>
      </c>
      <c r="I1329" s="125">
        <v>51730.6</v>
      </c>
      <c r="J1329" s="13">
        <v>43004.57486724537</v>
      </c>
      <c r="K1329" s="13">
        <v>43314</v>
      </c>
      <c r="L1329" s="12" t="s">
        <v>5591</v>
      </c>
      <c r="M1329" s="12"/>
      <c r="N1329" s="12"/>
      <c r="O1329" s="12"/>
      <c r="P1329" s="12"/>
      <c r="Q1329" s="12"/>
    </row>
    <row r="1330" spans="1:17" x14ac:dyDescent="0.25">
      <c r="A1330" s="11">
        <v>201332</v>
      </c>
      <c r="B1330" s="12" t="s">
        <v>5593</v>
      </c>
      <c r="C1330" s="12" t="s">
        <v>5602</v>
      </c>
      <c r="D1330" s="12">
        <v>7</v>
      </c>
      <c r="E1330" s="125">
        <v>1718358.94</v>
      </c>
      <c r="F1330" s="12">
        <v>-8</v>
      </c>
      <c r="G1330" s="125">
        <v>1387821.23</v>
      </c>
      <c r="H1330" s="12" t="s">
        <v>4919</v>
      </c>
      <c r="I1330" s="125">
        <v>43716.37</v>
      </c>
      <c r="J1330" s="13">
        <v>43005.516873611108</v>
      </c>
      <c r="K1330" s="13">
        <v>43314</v>
      </c>
      <c r="L1330" s="12" t="s">
        <v>5603</v>
      </c>
      <c r="M1330" s="12"/>
      <c r="N1330" s="12"/>
      <c r="O1330" s="12"/>
      <c r="P1330" s="12"/>
      <c r="Q1330" s="12"/>
    </row>
    <row r="1331" spans="1:17" x14ac:dyDescent="0.25">
      <c r="A1331" s="11">
        <v>201333</v>
      </c>
      <c r="B1331" s="12" t="s">
        <v>5594</v>
      </c>
      <c r="C1331" s="12" t="s">
        <v>5604</v>
      </c>
      <c r="D1331" s="12">
        <v>7</v>
      </c>
      <c r="E1331" s="125">
        <v>3741095.15</v>
      </c>
      <c r="F1331" s="12">
        <v>-8</v>
      </c>
      <c r="G1331" s="125">
        <v>3149307.84</v>
      </c>
      <c r="H1331" s="12" t="s">
        <v>4919</v>
      </c>
      <c r="I1331" s="125">
        <v>99203.199999999997</v>
      </c>
      <c r="J1331" s="13">
        <v>43005.514843206016</v>
      </c>
      <c r="K1331" s="13">
        <v>43253</v>
      </c>
      <c r="L1331" s="12" t="s">
        <v>5605</v>
      </c>
      <c r="M1331" s="12"/>
      <c r="N1331" s="12"/>
      <c r="O1331" s="12"/>
      <c r="P1331" s="12"/>
      <c r="Q1331" s="12"/>
    </row>
    <row r="1332" spans="1:17" x14ac:dyDescent="0.25">
      <c r="A1332" s="11">
        <v>201334</v>
      </c>
      <c r="B1332" s="12" t="s">
        <v>3510</v>
      </c>
      <c r="C1332" s="12" t="s">
        <v>3516</v>
      </c>
      <c r="D1332" s="12">
        <v>1</v>
      </c>
      <c r="E1332" s="125">
        <v>3707380.23</v>
      </c>
      <c r="F1332" s="12">
        <v>22</v>
      </c>
      <c r="G1332" s="125">
        <v>3000000</v>
      </c>
      <c r="H1332" s="12" t="s">
        <v>2538</v>
      </c>
      <c r="I1332" s="125">
        <v>202439.27</v>
      </c>
      <c r="J1332" s="13">
        <v>43005.506766550927</v>
      </c>
      <c r="K1332" s="13">
        <v>43314</v>
      </c>
      <c r="L1332" s="12" t="s">
        <v>3517</v>
      </c>
      <c r="M1332" s="12"/>
      <c r="N1332" s="12" t="s">
        <v>3518</v>
      </c>
      <c r="O1332" s="12"/>
      <c r="P1332" s="12"/>
      <c r="Q1332" s="12"/>
    </row>
    <row r="1333" spans="1:17" x14ac:dyDescent="0.25">
      <c r="A1333" s="11">
        <v>201335</v>
      </c>
      <c r="B1333" s="12" t="s">
        <v>5596</v>
      </c>
      <c r="C1333" s="12" t="s">
        <v>5606</v>
      </c>
      <c r="D1333" s="12">
        <v>1</v>
      </c>
      <c r="E1333" s="125">
        <v>17009803.039999999</v>
      </c>
      <c r="F1333" s="12">
        <v>-8</v>
      </c>
      <c r="G1333" s="125">
        <v>13188654.27</v>
      </c>
      <c r="H1333" s="12" t="s">
        <v>5410</v>
      </c>
      <c r="I1333" s="125">
        <v>415442.61</v>
      </c>
      <c r="J1333" s="13">
        <v>43005.5893125</v>
      </c>
      <c r="K1333" s="13">
        <v>43375</v>
      </c>
      <c r="L1333" s="12" t="s">
        <v>5607</v>
      </c>
      <c r="M1333" s="12"/>
      <c r="N1333" s="12"/>
      <c r="O1333" s="12"/>
      <c r="P1333" s="12"/>
      <c r="Q1333" s="12"/>
    </row>
    <row r="1334" spans="1:17" x14ac:dyDescent="0.25">
      <c r="A1334" s="11">
        <v>201336</v>
      </c>
      <c r="B1334" s="12" t="s">
        <v>1900</v>
      </c>
      <c r="C1334" s="12" t="s">
        <v>1904</v>
      </c>
      <c r="D1334" s="12">
        <v>7</v>
      </c>
      <c r="E1334" s="125">
        <v>5897935.9500000002</v>
      </c>
      <c r="F1334" s="12">
        <v>-8</v>
      </c>
      <c r="G1334" s="125">
        <v>4697157.33</v>
      </c>
      <c r="H1334" s="12" t="s">
        <v>1925</v>
      </c>
      <c r="I1334" s="125">
        <v>131520.41</v>
      </c>
      <c r="J1334" s="13">
        <v>43005.677940277776</v>
      </c>
      <c r="K1334" s="13">
        <v>43375</v>
      </c>
      <c r="L1334" s="12" t="s">
        <v>1905</v>
      </c>
      <c r="M1334" s="12"/>
      <c r="N1334" s="12"/>
      <c r="O1334" s="12"/>
      <c r="P1334" s="12"/>
      <c r="Q1334" s="12"/>
    </row>
    <row r="1335" spans="1:17" x14ac:dyDescent="0.25">
      <c r="A1335" s="11">
        <v>201337</v>
      </c>
      <c r="B1335" s="12" t="s">
        <v>5612</v>
      </c>
      <c r="C1335" s="12" t="s">
        <v>5623</v>
      </c>
      <c r="D1335" s="12">
        <v>1</v>
      </c>
      <c r="E1335" s="125">
        <v>8538887.8100000005</v>
      </c>
      <c r="F1335" s="12">
        <v>-8</v>
      </c>
      <c r="G1335" s="125">
        <v>7188158.8899999997</v>
      </c>
      <c r="H1335" s="12" t="s">
        <v>1447</v>
      </c>
      <c r="I1335" s="125">
        <v>226427.01</v>
      </c>
      <c r="J1335" s="13">
        <v>43006.63448310185</v>
      </c>
      <c r="K1335" s="13">
        <v>43253</v>
      </c>
      <c r="L1335" s="12" t="s">
        <v>5624</v>
      </c>
      <c r="M1335" s="12"/>
      <c r="N1335" s="12"/>
      <c r="O1335" s="12"/>
      <c r="P1335" s="12"/>
      <c r="Q1335" s="12"/>
    </row>
    <row r="1336" spans="1:17" x14ac:dyDescent="0.25">
      <c r="A1336" s="11">
        <v>201338</v>
      </c>
      <c r="B1336" s="12" t="s">
        <v>3442</v>
      </c>
      <c r="C1336" s="12" t="s">
        <v>3444</v>
      </c>
      <c r="D1336" s="12">
        <v>2</v>
      </c>
      <c r="E1336" s="125">
        <v>28483349.350000001</v>
      </c>
      <c r="F1336" s="12">
        <v>-8</v>
      </c>
      <c r="G1336" s="125">
        <v>21197175.530000001</v>
      </c>
      <c r="H1336" s="12" t="s">
        <v>2557</v>
      </c>
      <c r="I1336" s="125">
        <v>519330.8</v>
      </c>
      <c r="J1336" s="13">
        <v>43006.709984027781</v>
      </c>
      <c r="K1336" s="13">
        <v>43557</v>
      </c>
      <c r="L1336" s="12" t="s">
        <v>3445</v>
      </c>
      <c r="M1336" s="12"/>
      <c r="N1336" s="12"/>
      <c r="O1336" s="12"/>
      <c r="P1336" s="12"/>
      <c r="Q1336" s="12"/>
    </row>
    <row r="1337" spans="1:17" x14ac:dyDescent="0.25">
      <c r="A1337" s="11">
        <v>201339</v>
      </c>
      <c r="B1337" s="12" t="s">
        <v>3270</v>
      </c>
      <c r="C1337" s="12" t="s">
        <v>3278</v>
      </c>
      <c r="D1337" s="12">
        <v>1</v>
      </c>
      <c r="E1337" s="125">
        <v>15315098.960000001</v>
      </c>
      <c r="F1337" s="12">
        <v>-8</v>
      </c>
      <c r="G1337" s="125">
        <v>12197051.609999999</v>
      </c>
      <c r="H1337" s="12" t="s">
        <v>468</v>
      </c>
      <c r="I1337" s="125">
        <v>341517.45</v>
      </c>
      <c r="J1337" s="13">
        <v>43006.489802777774</v>
      </c>
      <c r="K1337" s="13">
        <v>43375</v>
      </c>
      <c r="L1337" s="12" t="s">
        <v>3279</v>
      </c>
      <c r="M1337" s="12"/>
      <c r="N1337" s="12"/>
      <c r="O1337" s="12"/>
      <c r="P1337" s="12"/>
      <c r="Q1337" s="12"/>
    </row>
    <row r="1338" spans="1:17" x14ac:dyDescent="0.25">
      <c r="A1338" s="11">
        <v>201340</v>
      </c>
      <c r="B1338" s="12" t="s">
        <v>5614</v>
      </c>
      <c r="C1338" s="12" t="s">
        <v>5625</v>
      </c>
      <c r="D1338" s="12">
        <v>1</v>
      </c>
      <c r="E1338" s="125">
        <v>5719699.8600000003</v>
      </c>
      <c r="F1338" s="12">
        <v>-8</v>
      </c>
      <c r="G1338" s="125">
        <v>4619477.79</v>
      </c>
      <c r="H1338" s="12" t="s">
        <v>5384</v>
      </c>
      <c r="I1338" s="125">
        <v>145513.54999999999</v>
      </c>
      <c r="J1338" s="13">
        <v>43006.655426192126</v>
      </c>
      <c r="K1338" s="13">
        <v>43314</v>
      </c>
      <c r="L1338" s="12" t="s">
        <v>5626</v>
      </c>
      <c r="M1338" s="12"/>
      <c r="N1338" s="12" t="s">
        <v>5627</v>
      </c>
      <c r="O1338" s="12"/>
      <c r="P1338" s="12"/>
      <c r="Q1338" s="12"/>
    </row>
    <row r="1339" spans="1:17" x14ac:dyDescent="0.25">
      <c r="A1339" s="11">
        <v>201341</v>
      </c>
      <c r="B1339" s="12" t="s">
        <v>3463</v>
      </c>
      <c r="C1339" s="12" t="s">
        <v>3480</v>
      </c>
      <c r="D1339" s="12">
        <v>8</v>
      </c>
      <c r="E1339" s="125">
        <v>8737598.2599999998</v>
      </c>
      <c r="F1339" s="12">
        <v>22</v>
      </c>
      <c r="G1339" s="125">
        <v>7000000</v>
      </c>
      <c r="H1339" s="12" t="s">
        <v>1039</v>
      </c>
      <c r="I1339" s="125">
        <v>377226.94</v>
      </c>
      <c r="J1339" s="13">
        <v>43006.778086342594</v>
      </c>
      <c r="K1339" s="13">
        <v>43375</v>
      </c>
      <c r="L1339" s="12" t="s">
        <v>3481</v>
      </c>
      <c r="M1339" s="12"/>
      <c r="N1339" s="12"/>
      <c r="O1339" s="12"/>
      <c r="P1339" s="12"/>
      <c r="Q1339" s="12"/>
    </row>
    <row r="1340" spans="1:17" x14ac:dyDescent="0.25">
      <c r="A1340" s="11">
        <v>201342</v>
      </c>
      <c r="B1340" s="12" t="s">
        <v>5609</v>
      </c>
      <c r="C1340" s="12" t="s">
        <v>5628</v>
      </c>
      <c r="D1340" s="12">
        <v>7</v>
      </c>
      <c r="E1340" s="125">
        <v>6066271.8300000001</v>
      </c>
      <c r="F1340" s="12">
        <v>-8</v>
      </c>
      <c r="G1340" s="125">
        <v>4703520.75</v>
      </c>
      <c r="H1340" s="12" t="s">
        <v>5384</v>
      </c>
      <c r="I1340" s="125">
        <v>148160.9</v>
      </c>
      <c r="J1340" s="13">
        <v>43006.535467511574</v>
      </c>
      <c r="K1340" s="13">
        <v>43375</v>
      </c>
      <c r="L1340" s="12" t="s">
        <v>5629</v>
      </c>
      <c r="M1340" s="12"/>
      <c r="N1340" s="12"/>
      <c r="O1340" s="12"/>
      <c r="P1340" s="12"/>
      <c r="Q1340" s="12"/>
    </row>
    <row r="1341" spans="1:17" x14ac:dyDescent="0.25">
      <c r="A1341" s="11">
        <v>201343</v>
      </c>
      <c r="B1341" s="12" t="s">
        <v>5611</v>
      </c>
      <c r="C1341" s="12" t="s">
        <v>5630</v>
      </c>
      <c r="D1341" s="12">
        <v>7</v>
      </c>
      <c r="E1341" s="125">
        <v>974957.84</v>
      </c>
      <c r="F1341" s="12">
        <v>-8</v>
      </c>
      <c r="G1341" s="125">
        <v>856008.44</v>
      </c>
      <c r="H1341" s="12" t="s">
        <v>4685</v>
      </c>
      <c r="I1341" s="125">
        <v>26964.27</v>
      </c>
      <c r="J1341" s="13">
        <v>43006.635618553242</v>
      </c>
      <c r="K1341" s="13">
        <v>43192</v>
      </c>
      <c r="L1341" s="12" t="s">
        <v>5631</v>
      </c>
      <c r="M1341" s="12"/>
      <c r="N1341" s="12" t="s">
        <v>5632</v>
      </c>
      <c r="O1341" s="12"/>
      <c r="P1341" s="12"/>
      <c r="Q1341" s="12"/>
    </row>
    <row r="1342" spans="1:17" x14ac:dyDescent="0.25">
      <c r="A1342" s="11">
        <v>201344</v>
      </c>
      <c r="B1342" s="12" t="s">
        <v>4799</v>
      </c>
      <c r="C1342" s="12" t="s">
        <v>4808</v>
      </c>
      <c r="D1342" s="12">
        <v>7</v>
      </c>
      <c r="E1342" s="125">
        <v>3345926.55</v>
      </c>
      <c r="F1342" s="12">
        <v>-8</v>
      </c>
      <c r="G1342" s="125">
        <v>2764230.38</v>
      </c>
      <c r="H1342" s="12" t="s">
        <v>1467</v>
      </c>
      <c r="I1342" s="125">
        <v>77398.45</v>
      </c>
      <c r="J1342" s="13">
        <v>43006.638989236111</v>
      </c>
      <c r="K1342" s="13">
        <v>43314</v>
      </c>
      <c r="L1342" s="12" t="s">
        <v>4809</v>
      </c>
      <c r="M1342" s="12"/>
      <c r="N1342" s="12"/>
      <c r="O1342" s="12"/>
      <c r="P1342" s="12"/>
      <c r="Q1342" s="12"/>
    </row>
    <row r="1343" spans="1:17" x14ac:dyDescent="0.25">
      <c r="A1343" s="11">
        <v>201345</v>
      </c>
      <c r="B1343" s="12" t="s">
        <v>1999</v>
      </c>
      <c r="C1343" s="12" t="s">
        <v>2000</v>
      </c>
      <c r="D1343" s="12">
        <v>2</v>
      </c>
      <c r="E1343" s="125">
        <v>34956837.829999998</v>
      </c>
      <c r="F1343" s="12">
        <v>-8</v>
      </c>
      <c r="G1343" s="125">
        <v>26014715.420000002</v>
      </c>
      <c r="H1343" s="12" t="s">
        <v>468</v>
      </c>
      <c r="I1343" s="125">
        <v>637360.53</v>
      </c>
      <c r="J1343" s="13">
        <v>43006.793217789353</v>
      </c>
      <c r="K1343" s="13">
        <v>43557</v>
      </c>
      <c r="L1343" s="12" t="s">
        <v>2001</v>
      </c>
      <c r="M1343" s="12"/>
      <c r="N1343" s="12" t="s">
        <v>2002</v>
      </c>
      <c r="O1343" s="12"/>
      <c r="P1343" s="12"/>
      <c r="Q1343" s="12"/>
    </row>
    <row r="1344" spans="1:17" x14ac:dyDescent="0.25">
      <c r="A1344" s="11">
        <v>201346</v>
      </c>
      <c r="B1344" s="12" t="s">
        <v>4780</v>
      </c>
      <c r="C1344" s="12" t="s">
        <v>4784</v>
      </c>
      <c r="D1344" s="12">
        <v>6</v>
      </c>
      <c r="E1344" s="125">
        <v>34743744.469999999</v>
      </c>
      <c r="F1344" s="12">
        <v>-8</v>
      </c>
      <c r="G1344" s="125">
        <v>26908250.329999998</v>
      </c>
      <c r="H1344" s="12" t="s">
        <v>491</v>
      </c>
      <c r="I1344" s="125">
        <v>565073.26</v>
      </c>
      <c r="J1344" s="13">
        <v>43006.777691400464</v>
      </c>
      <c r="K1344" s="13">
        <v>43557</v>
      </c>
      <c r="L1344" s="12" t="s">
        <v>4785</v>
      </c>
      <c r="M1344" s="12"/>
      <c r="N1344" s="12" t="s">
        <v>4786</v>
      </c>
      <c r="O1344" s="12"/>
      <c r="P1344" s="12"/>
      <c r="Q1344" s="12"/>
    </row>
    <row r="1345" spans="1:17" x14ac:dyDescent="0.25">
      <c r="A1345" s="11">
        <v>201347</v>
      </c>
      <c r="B1345" s="12" t="s">
        <v>3965</v>
      </c>
      <c r="C1345" s="12" t="s">
        <v>3970</v>
      </c>
      <c r="D1345" s="12">
        <v>6</v>
      </c>
      <c r="E1345" s="125">
        <v>3114324.65</v>
      </c>
      <c r="F1345" s="12">
        <v>0</v>
      </c>
      <c r="G1345" s="125">
        <v>31000000</v>
      </c>
      <c r="H1345" s="12" t="s">
        <v>491</v>
      </c>
      <c r="I1345" s="125">
        <v>899000</v>
      </c>
      <c r="J1345" s="13">
        <v>43032.702154166669</v>
      </c>
      <c r="K1345" s="13">
        <v>43397</v>
      </c>
      <c r="L1345" s="12" t="s">
        <v>3971</v>
      </c>
      <c r="M1345" s="12"/>
      <c r="N1345" s="12" t="s">
        <v>3972</v>
      </c>
      <c r="O1345" s="12"/>
      <c r="P1345" s="12"/>
      <c r="Q1345" s="12"/>
    </row>
    <row r="1346" spans="1:17" x14ac:dyDescent="0.25">
      <c r="A1346" s="11">
        <v>201348</v>
      </c>
      <c r="B1346" s="12" t="s">
        <v>4566</v>
      </c>
      <c r="C1346" s="12" t="s">
        <v>4570</v>
      </c>
      <c r="D1346" s="12">
        <v>1</v>
      </c>
      <c r="E1346" s="125">
        <v>3898601.92</v>
      </c>
      <c r="F1346" s="12">
        <v>-8</v>
      </c>
      <c r="G1346" s="125">
        <v>3220822.01</v>
      </c>
      <c r="H1346" s="12" t="s">
        <v>2538</v>
      </c>
      <c r="I1346" s="125">
        <v>90183.02</v>
      </c>
      <c r="J1346" s="13">
        <v>43007.558963692129</v>
      </c>
      <c r="K1346" s="13">
        <v>43314</v>
      </c>
      <c r="L1346" s="12" t="s">
        <v>4571</v>
      </c>
      <c r="M1346" s="12"/>
      <c r="N1346" s="12" t="s">
        <v>4572</v>
      </c>
      <c r="O1346" s="12"/>
      <c r="P1346" s="12"/>
      <c r="Q1346" s="12"/>
    </row>
    <row r="1347" spans="1:17" x14ac:dyDescent="0.25">
      <c r="A1347" s="11">
        <v>201349</v>
      </c>
      <c r="B1347" s="12" t="s">
        <v>5642</v>
      </c>
      <c r="C1347" s="12" t="s">
        <v>5659</v>
      </c>
      <c r="D1347" s="12">
        <v>6</v>
      </c>
      <c r="E1347" s="125">
        <v>10177401.59</v>
      </c>
      <c r="F1347" s="12">
        <v>-8</v>
      </c>
      <c r="G1347" s="125">
        <v>8404781.6799999997</v>
      </c>
      <c r="H1347" s="12" t="s">
        <v>2861</v>
      </c>
      <c r="I1347" s="125">
        <v>196111.57</v>
      </c>
      <c r="J1347" s="13">
        <v>43007.564548726848</v>
      </c>
      <c r="K1347" s="13">
        <v>43375</v>
      </c>
      <c r="L1347" s="12" t="s">
        <v>5660</v>
      </c>
      <c r="M1347" s="12"/>
      <c r="N1347" s="12"/>
      <c r="O1347" s="12"/>
      <c r="P1347" s="12"/>
      <c r="Q1347" s="12"/>
    </row>
    <row r="1348" spans="1:17" x14ac:dyDescent="0.25">
      <c r="A1348" s="11">
        <v>201350</v>
      </c>
      <c r="B1348" s="12" t="s">
        <v>4421</v>
      </c>
      <c r="C1348" s="12" t="s">
        <v>4442</v>
      </c>
      <c r="D1348" s="12">
        <v>6</v>
      </c>
      <c r="E1348" s="125">
        <v>37189439.100000001</v>
      </c>
      <c r="F1348" s="12">
        <v>-8</v>
      </c>
      <c r="G1348" s="125">
        <v>28802385.940000001</v>
      </c>
      <c r="H1348" s="12" t="s">
        <v>491</v>
      </c>
      <c r="I1348" s="125">
        <v>604850.1</v>
      </c>
      <c r="J1348" s="13">
        <v>43007.569637187502</v>
      </c>
      <c r="K1348" s="13">
        <v>43557</v>
      </c>
      <c r="L1348" s="12" t="s">
        <v>4443</v>
      </c>
      <c r="M1348" s="12"/>
      <c r="N1348" s="12"/>
      <c r="O1348" s="12"/>
      <c r="P1348" s="12"/>
      <c r="Q1348" s="12"/>
    </row>
    <row r="1349" spans="1:17" x14ac:dyDescent="0.25">
      <c r="A1349" s="11">
        <v>201352</v>
      </c>
      <c r="B1349" s="12" t="s">
        <v>4371</v>
      </c>
      <c r="C1349" s="12" t="s">
        <v>4383</v>
      </c>
      <c r="D1349" s="12">
        <v>6</v>
      </c>
      <c r="E1349" s="125">
        <v>18895845.379999999</v>
      </c>
      <c r="F1349" s="12">
        <v>-11</v>
      </c>
      <c r="G1349" s="125">
        <v>15894195.869999999</v>
      </c>
      <c r="H1349" s="12" t="s">
        <v>1448</v>
      </c>
      <c r="I1349" s="125">
        <v>286095.53000000003</v>
      </c>
      <c r="J1349" s="13">
        <v>43007.79022638889</v>
      </c>
      <c r="K1349" s="13">
        <v>43378</v>
      </c>
      <c r="L1349" s="12" t="s">
        <v>4384</v>
      </c>
      <c r="M1349" s="12"/>
      <c r="N1349" s="12" t="s">
        <v>4385</v>
      </c>
      <c r="O1349" s="12"/>
      <c r="P1349" s="12"/>
      <c r="Q1349" s="12"/>
    </row>
    <row r="1350" spans="1:17" x14ac:dyDescent="0.25">
      <c r="A1350" s="11">
        <v>201353</v>
      </c>
      <c r="B1350" s="12" t="s">
        <v>3126</v>
      </c>
      <c r="C1350" s="12" t="s">
        <v>3127</v>
      </c>
      <c r="D1350" s="12">
        <v>1</v>
      </c>
      <c r="E1350" s="125">
        <v>4174774.61</v>
      </c>
      <c r="F1350" s="12">
        <v>-8</v>
      </c>
      <c r="G1350" s="125">
        <v>3579603.63</v>
      </c>
      <c r="H1350" s="12" t="s">
        <v>2034</v>
      </c>
      <c r="I1350" s="125">
        <v>100228.9</v>
      </c>
      <c r="J1350" s="13">
        <v>43007.766183831016</v>
      </c>
      <c r="K1350" s="13">
        <v>43253</v>
      </c>
      <c r="L1350" s="12" t="s">
        <v>3128</v>
      </c>
      <c r="M1350" s="12"/>
      <c r="N1350" s="12"/>
      <c r="O1350" s="12"/>
      <c r="P1350" s="12"/>
      <c r="Q1350" s="12"/>
    </row>
    <row r="1351" spans="1:17" x14ac:dyDescent="0.25">
      <c r="A1351" s="11">
        <v>201354</v>
      </c>
      <c r="B1351" s="12" t="s">
        <v>5638</v>
      </c>
      <c r="C1351" s="12" t="s">
        <v>5661</v>
      </c>
      <c r="D1351" s="12">
        <v>8</v>
      </c>
      <c r="E1351" s="125">
        <v>6306296.7599999998</v>
      </c>
      <c r="F1351" s="12">
        <v>-8</v>
      </c>
      <c r="G1351" s="125">
        <v>5374100.46</v>
      </c>
      <c r="H1351" s="12" t="s">
        <v>2861</v>
      </c>
      <c r="I1351" s="125">
        <v>156744.6</v>
      </c>
      <c r="J1351" s="13">
        <v>43007.787448379633</v>
      </c>
      <c r="K1351" s="13">
        <v>43253</v>
      </c>
      <c r="L1351" s="12" t="s">
        <v>5662</v>
      </c>
      <c r="M1351" s="12"/>
      <c r="N1351" s="12"/>
      <c r="O1351" s="12"/>
      <c r="P1351" s="12"/>
      <c r="Q1351" s="12"/>
    </row>
    <row r="1352" spans="1:17" x14ac:dyDescent="0.25">
      <c r="A1352" s="11">
        <v>201355</v>
      </c>
      <c r="B1352" s="12" t="s">
        <v>5640</v>
      </c>
      <c r="C1352" s="12" t="s">
        <v>5663</v>
      </c>
      <c r="D1352" s="12">
        <v>1</v>
      </c>
      <c r="E1352" s="125">
        <v>5711536.6799999997</v>
      </c>
      <c r="F1352" s="12">
        <v>-8</v>
      </c>
      <c r="G1352" s="125">
        <v>4612884.82</v>
      </c>
      <c r="H1352" s="12" t="s">
        <v>3074</v>
      </c>
      <c r="I1352" s="125">
        <v>145305.87</v>
      </c>
      <c r="J1352" s="13">
        <v>43007.777926736111</v>
      </c>
      <c r="K1352" s="13">
        <v>43314</v>
      </c>
      <c r="L1352" s="12" t="s">
        <v>5664</v>
      </c>
      <c r="M1352" s="12"/>
      <c r="N1352" s="12"/>
      <c r="O1352" s="12"/>
      <c r="P1352" s="12"/>
      <c r="Q1352" s="12"/>
    </row>
    <row r="1353" spans="1:17" x14ac:dyDescent="0.25">
      <c r="A1353" s="11">
        <v>201356</v>
      </c>
      <c r="B1353" s="12" t="s">
        <v>3966</v>
      </c>
      <c r="C1353" s="12" t="s">
        <v>3973</v>
      </c>
      <c r="D1353" s="12">
        <v>1</v>
      </c>
      <c r="E1353" s="125">
        <v>5875396.0800000001</v>
      </c>
      <c r="F1353" s="12">
        <v>-8</v>
      </c>
      <c r="G1353" s="125">
        <v>4679206.41</v>
      </c>
      <c r="H1353" s="12" t="s">
        <v>1467</v>
      </c>
      <c r="I1353" s="125">
        <v>131017.78</v>
      </c>
      <c r="J1353" s="13">
        <v>43008.60329097222</v>
      </c>
      <c r="K1353" s="13">
        <v>43375</v>
      </c>
      <c r="L1353" s="12" t="s">
        <v>3974</v>
      </c>
      <c r="M1353" s="12"/>
      <c r="N1353" s="12" t="s">
        <v>3975</v>
      </c>
      <c r="O1353" s="12"/>
      <c r="P1353" s="12"/>
      <c r="Q1353" s="12"/>
    </row>
    <row r="1354" spans="1:17" x14ac:dyDescent="0.25">
      <c r="A1354" s="11">
        <v>201357</v>
      </c>
      <c r="B1354" s="12" t="s">
        <v>5487</v>
      </c>
      <c r="C1354" s="12" t="s">
        <v>5694</v>
      </c>
      <c r="D1354" s="12">
        <v>1</v>
      </c>
      <c r="E1354" s="125">
        <v>4706327.51</v>
      </c>
      <c r="F1354" s="12">
        <v>-9</v>
      </c>
      <c r="G1354" s="125">
        <v>3748152.05</v>
      </c>
      <c r="H1354" s="12" t="s">
        <v>3074</v>
      </c>
      <c r="I1354" s="125">
        <v>99950.720000000001</v>
      </c>
      <c r="J1354" s="13">
        <v>43008.662423530091</v>
      </c>
      <c r="K1354" s="13">
        <v>43376</v>
      </c>
      <c r="L1354" s="12" t="s">
        <v>5488</v>
      </c>
      <c r="M1354" s="12"/>
      <c r="N1354" s="12" t="s">
        <v>5489</v>
      </c>
      <c r="O1354" s="12"/>
      <c r="P1354" s="12"/>
      <c r="Q1354" s="12"/>
    </row>
    <row r="1355" spans="1:17" x14ac:dyDescent="0.25">
      <c r="A1355" s="11">
        <v>201358</v>
      </c>
      <c r="B1355" s="12" t="s">
        <v>5668</v>
      </c>
      <c r="C1355" s="12" t="s">
        <v>5695</v>
      </c>
      <c r="D1355" s="12">
        <v>7</v>
      </c>
      <c r="E1355" s="125">
        <v>6048956.0800000001</v>
      </c>
      <c r="F1355" s="12">
        <v>-8</v>
      </c>
      <c r="G1355" s="125">
        <v>4690094.9000000004</v>
      </c>
      <c r="H1355" s="12" t="s">
        <v>963</v>
      </c>
      <c r="I1355" s="125">
        <v>147737.99</v>
      </c>
      <c r="J1355" s="13">
        <v>43008.646953900461</v>
      </c>
      <c r="K1355" s="13">
        <v>43375</v>
      </c>
      <c r="L1355" s="12" t="s">
        <v>5696</v>
      </c>
      <c r="M1355" s="12"/>
      <c r="N1355" s="12" t="s">
        <v>5697</v>
      </c>
      <c r="O1355" s="12"/>
      <c r="P1355" s="12"/>
      <c r="Q1355" s="12"/>
    </row>
    <row r="1356" spans="1:17" x14ac:dyDescent="0.25">
      <c r="A1356" s="11">
        <v>201359</v>
      </c>
      <c r="B1356" s="12" t="s">
        <v>5674</v>
      </c>
      <c r="C1356" s="12" t="s">
        <v>5698</v>
      </c>
      <c r="D1356" s="12">
        <v>1</v>
      </c>
      <c r="E1356" s="125">
        <v>1711012.01</v>
      </c>
      <c r="F1356" s="12">
        <v>-8</v>
      </c>
      <c r="G1356" s="125">
        <v>1381887.55</v>
      </c>
      <c r="H1356" s="12" t="s">
        <v>1448</v>
      </c>
      <c r="I1356" s="125">
        <v>43529.46</v>
      </c>
      <c r="J1356" s="13">
        <v>43008.738874189818</v>
      </c>
      <c r="K1356" s="13">
        <v>43314</v>
      </c>
      <c r="L1356" s="12" t="s">
        <v>5699</v>
      </c>
      <c r="M1356" s="12"/>
      <c r="N1356" s="12"/>
      <c r="O1356" s="12"/>
      <c r="P1356" s="12"/>
      <c r="Q1356" s="12"/>
    </row>
    <row r="1357" spans="1:17" x14ac:dyDescent="0.25">
      <c r="A1357" s="11">
        <v>201360</v>
      </c>
      <c r="B1357" s="12" t="s">
        <v>5672</v>
      </c>
      <c r="C1357" s="12" t="s">
        <v>5700</v>
      </c>
      <c r="D1357" s="12">
        <v>1</v>
      </c>
      <c r="E1357" s="125">
        <v>7984722.8200000003</v>
      </c>
      <c r="F1357" s="12">
        <v>-8</v>
      </c>
      <c r="G1357" s="125">
        <v>6448808.5800000001</v>
      </c>
      <c r="H1357" s="12" t="s">
        <v>2557</v>
      </c>
      <c r="I1357" s="125">
        <v>203137.47</v>
      </c>
      <c r="J1357" s="13">
        <v>43008.752287465279</v>
      </c>
      <c r="K1357" s="13">
        <v>43314</v>
      </c>
      <c r="L1357" s="12" t="s">
        <v>5701</v>
      </c>
      <c r="M1357" s="12" t="s">
        <v>5702</v>
      </c>
      <c r="N1357" s="12"/>
      <c r="O1357" s="12"/>
      <c r="P1357" s="12"/>
      <c r="Q1357" s="12"/>
    </row>
    <row r="1358" spans="1:17" x14ac:dyDescent="0.25">
      <c r="A1358" s="11">
        <v>201361</v>
      </c>
      <c r="B1358" s="12" t="s">
        <v>5667</v>
      </c>
      <c r="C1358" s="12" t="s">
        <v>5703</v>
      </c>
      <c r="D1358" s="12">
        <v>8</v>
      </c>
      <c r="E1358" s="125">
        <v>7119552.8399999999</v>
      </c>
      <c r="F1358" s="12">
        <v>-8</v>
      </c>
      <c r="G1358" s="125">
        <v>5619434.5999999996</v>
      </c>
      <c r="H1358" s="12" t="s">
        <v>468</v>
      </c>
      <c r="I1358" s="125">
        <v>163900.18</v>
      </c>
      <c r="J1358" s="13">
        <v>43008.79057665509</v>
      </c>
      <c r="K1358" s="13">
        <v>43375</v>
      </c>
      <c r="L1358" s="12" t="s">
        <v>5704</v>
      </c>
      <c r="M1358" s="12"/>
      <c r="N1358" s="12" t="s">
        <v>5705</v>
      </c>
      <c r="O1358" s="12"/>
      <c r="P1358" s="12"/>
      <c r="Q1358" s="12"/>
    </row>
    <row r="1359" spans="1:17" x14ac:dyDescent="0.25">
      <c r="A1359" s="11">
        <v>201362</v>
      </c>
      <c r="B1359" s="12" t="s">
        <v>2222</v>
      </c>
      <c r="C1359" s="12" t="s">
        <v>2223</v>
      </c>
      <c r="D1359" s="12">
        <v>1</v>
      </c>
      <c r="E1359" s="125">
        <v>9996503.0800000001</v>
      </c>
      <c r="F1359" s="12">
        <v>22</v>
      </c>
      <c r="G1359" s="125">
        <v>7962980.6299999999</v>
      </c>
      <c r="H1359" s="12" t="s">
        <v>1448</v>
      </c>
      <c r="I1359" s="125">
        <v>222730.23</v>
      </c>
      <c r="J1359" s="13">
        <v>43008.800173344905</v>
      </c>
      <c r="K1359" s="13">
        <v>43375</v>
      </c>
      <c r="L1359" s="12" t="s">
        <v>2224</v>
      </c>
      <c r="M1359" s="12"/>
      <c r="N1359" s="12" t="s">
        <v>2225</v>
      </c>
      <c r="O1359" s="12"/>
      <c r="P1359" s="12"/>
      <c r="Q1359" s="12"/>
    </row>
    <row r="1360" spans="1:17" x14ac:dyDescent="0.25">
      <c r="A1360" s="11">
        <v>201363</v>
      </c>
      <c r="B1360" s="12" t="s">
        <v>4548</v>
      </c>
      <c r="C1360" s="12" t="s">
        <v>4550</v>
      </c>
      <c r="D1360" s="12">
        <v>5</v>
      </c>
      <c r="E1360" s="125">
        <v>7734748.1100000003</v>
      </c>
      <c r="F1360" s="12">
        <v>-27</v>
      </c>
      <c r="G1360" s="125">
        <v>5718054.1200000001</v>
      </c>
      <c r="H1360" s="12" t="s">
        <v>284</v>
      </c>
      <c r="I1360" s="125">
        <v>6988.73</v>
      </c>
      <c r="J1360" s="13">
        <v>43011.720706365741</v>
      </c>
      <c r="K1360" s="13">
        <v>44095</v>
      </c>
      <c r="L1360" s="12" t="s">
        <v>4551</v>
      </c>
      <c r="M1360" s="12"/>
      <c r="N1360" s="12"/>
      <c r="O1360" s="12"/>
      <c r="P1360" s="12"/>
      <c r="Q1360" s="12"/>
    </row>
    <row r="1361" spans="1:17" x14ac:dyDescent="0.25">
      <c r="A1361" s="11">
        <v>201364</v>
      </c>
      <c r="B1361" s="12" t="s">
        <v>2311</v>
      </c>
      <c r="C1361" s="12" t="s">
        <v>2323</v>
      </c>
      <c r="D1361" s="12">
        <v>2</v>
      </c>
      <c r="E1361" s="125">
        <v>38666588.859999999</v>
      </c>
      <c r="F1361" s="12">
        <v>-10</v>
      </c>
      <c r="G1361" s="125">
        <v>28775494.780000001</v>
      </c>
      <c r="H1361" s="12" t="s">
        <v>1191</v>
      </c>
      <c r="I1361" s="125">
        <v>637856.80000000005</v>
      </c>
      <c r="J1361" s="13">
        <v>43012.678501041664</v>
      </c>
      <c r="K1361" s="13">
        <v>43559</v>
      </c>
      <c r="L1361" s="12" t="s">
        <v>2324</v>
      </c>
      <c r="M1361" s="12"/>
      <c r="N1361" s="12"/>
      <c r="O1361" s="12"/>
      <c r="P1361" s="12"/>
      <c r="Q1361" s="12"/>
    </row>
    <row r="1362" spans="1:17" x14ac:dyDescent="0.25">
      <c r="A1362" s="11">
        <v>201365</v>
      </c>
      <c r="B1362" s="12" t="s">
        <v>2759</v>
      </c>
      <c r="C1362" s="12" t="s">
        <v>2764</v>
      </c>
      <c r="D1362" s="12">
        <v>2</v>
      </c>
      <c r="E1362" s="125">
        <v>19448815.52</v>
      </c>
      <c r="F1362" s="12">
        <v>-10</v>
      </c>
      <c r="G1362" s="125">
        <v>15170798.890000001</v>
      </c>
      <c r="H1362" s="12" t="s">
        <v>2557</v>
      </c>
      <c r="I1362" s="125">
        <v>336286.04</v>
      </c>
      <c r="J1362" s="13">
        <v>43012.761587731482</v>
      </c>
      <c r="K1362" s="13">
        <v>43469</v>
      </c>
      <c r="L1362" s="12" t="s">
        <v>2765</v>
      </c>
      <c r="M1362" s="12"/>
      <c r="N1362" s="12"/>
      <c r="O1362" s="12"/>
      <c r="P1362" s="12"/>
      <c r="Q1362" s="12"/>
    </row>
    <row r="1363" spans="1:17" x14ac:dyDescent="0.25">
      <c r="A1363" s="11">
        <v>201366</v>
      </c>
      <c r="B1363" s="12" t="s">
        <v>5713</v>
      </c>
      <c r="C1363" s="12" t="s">
        <v>5718</v>
      </c>
      <c r="D1363" s="12">
        <v>4</v>
      </c>
      <c r="E1363" s="125">
        <v>1277603.74</v>
      </c>
      <c r="F1363" s="12">
        <v>-27</v>
      </c>
      <c r="G1363" s="125">
        <v>1213736.6399999999</v>
      </c>
      <c r="H1363" s="12" t="s">
        <v>284</v>
      </c>
      <c r="I1363" s="125">
        <v>1685.75</v>
      </c>
      <c r="J1363" s="13">
        <v>43012.759731365739</v>
      </c>
      <c r="K1363" s="13">
        <v>43180</v>
      </c>
      <c r="L1363" s="12" t="s">
        <v>5719</v>
      </c>
      <c r="M1363" s="12"/>
      <c r="N1363" s="12" t="s">
        <v>5720</v>
      </c>
      <c r="O1363" s="12"/>
      <c r="P1363" s="12"/>
      <c r="Q1363" s="12"/>
    </row>
    <row r="1364" spans="1:17" x14ac:dyDescent="0.25">
      <c r="A1364" s="11">
        <v>201367</v>
      </c>
      <c r="B1364" s="12" t="s">
        <v>5712</v>
      </c>
      <c r="C1364" s="12" t="s">
        <v>5721</v>
      </c>
      <c r="D1364" s="12">
        <v>2</v>
      </c>
      <c r="E1364" s="125">
        <v>32818069.190000001</v>
      </c>
      <c r="F1364" s="12">
        <v>-10</v>
      </c>
      <c r="G1364" s="125">
        <v>26136539.16</v>
      </c>
      <c r="H1364" s="12" t="s">
        <v>1447</v>
      </c>
      <c r="I1364" s="125">
        <v>662125.66</v>
      </c>
      <c r="J1364" s="13">
        <v>43012.775329050928</v>
      </c>
      <c r="K1364" s="13">
        <v>43377</v>
      </c>
      <c r="L1364" s="12" t="s">
        <v>5722</v>
      </c>
      <c r="M1364" s="12"/>
      <c r="N1364" s="12"/>
      <c r="O1364" s="12"/>
      <c r="P1364" s="12"/>
      <c r="Q1364" s="12"/>
    </row>
    <row r="1365" spans="1:17" x14ac:dyDescent="0.25">
      <c r="A1365" s="11">
        <v>201368</v>
      </c>
      <c r="B1365" s="12" t="s">
        <v>5143</v>
      </c>
      <c r="C1365" s="12" t="s">
        <v>5148</v>
      </c>
      <c r="D1365" s="12">
        <v>4</v>
      </c>
      <c r="E1365" s="125">
        <v>309608.90000000002</v>
      </c>
      <c r="F1365" s="12">
        <v>-27</v>
      </c>
      <c r="G1365" s="125">
        <v>303290.34999999998</v>
      </c>
      <c r="H1365" s="12" t="s">
        <v>284</v>
      </c>
      <c r="I1365" s="125">
        <v>421.24</v>
      </c>
      <c r="J1365" s="13">
        <v>43013.442692442128</v>
      </c>
      <c r="K1365" s="13">
        <v>43090</v>
      </c>
      <c r="L1365" s="12" t="s">
        <v>5149</v>
      </c>
      <c r="M1365" s="12"/>
      <c r="N1365" s="12"/>
      <c r="O1365" s="12"/>
      <c r="P1365" s="12"/>
      <c r="Q1365" s="12"/>
    </row>
    <row r="1366" spans="1:17" x14ac:dyDescent="0.25">
      <c r="A1366" s="11">
        <v>201370</v>
      </c>
      <c r="B1366" s="12" t="s">
        <v>5731</v>
      </c>
      <c r="C1366" s="12" t="s">
        <v>5741</v>
      </c>
      <c r="D1366" s="12">
        <v>2</v>
      </c>
      <c r="E1366" s="125">
        <v>29301847.48</v>
      </c>
      <c r="F1366" s="12">
        <v>-12</v>
      </c>
      <c r="G1366" s="125">
        <v>23336195.68</v>
      </c>
      <c r="H1366" s="12" t="s">
        <v>4683</v>
      </c>
      <c r="I1366" s="125">
        <v>528953.77</v>
      </c>
      <c r="J1366" s="13">
        <v>43014.748938344906</v>
      </c>
      <c r="K1366" s="13">
        <v>43379</v>
      </c>
      <c r="L1366" s="12" t="s">
        <v>5742</v>
      </c>
      <c r="M1366" s="12" t="s">
        <v>5743</v>
      </c>
      <c r="N1366" s="12"/>
      <c r="O1366" s="12"/>
      <c r="P1366" s="12"/>
      <c r="Q1366" s="12"/>
    </row>
    <row r="1367" spans="1:17" x14ac:dyDescent="0.25">
      <c r="A1367" s="11">
        <v>201371</v>
      </c>
      <c r="B1367" s="12" t="s">
        <v>5732</v>
      </c>
      <c r="C1367" s="12" t="s">
        <v>5744</v>
      </c>
      <c r="D1367" s="12">
        <v>4</v>
      </c>
      <c r="E1367" s="125">
        <v>2611948.48</v>
      </c>
      <c r="F1367" s="12">
        <v>-27</v>
      </c>
      <c r="G1367" s="125">
        <v>2481377.81</v>
      </c>
      <c r="H1367" s="12" t="s">
        <v>284</v>
      </c>
      <c r="I1367" s="125">
        <v>3446.36</v>
      </c>
      <c r="J1367" s="13">
        <v>43014.766459027778</v>
      </c>
      <c r="K1367" s="13">
        <v>43180</v>
      </c>
      <c r="L1367" s="12" t="s">
        <v>5745</v>
      </c>
      <c r="M1367" s="12"/>
      <c r="N1367" s="12" t="s">
        <v>5746</v>
      </c>
      <c r="O1367" s="12"/>
      <c r="P1367" s="12"/>
      <c r="Q1367" s="12"/>
    </row>
    <row r="1368" spans="1:17" x14ac:dyDescent="0.25">
      <c r="A1368" s="11">
        <v>201372</v>
      </c>
      <c r="B1368" s="12" t="s">
        <v>3427</v>
      </c>
      <c r="C1368" s="12" t="s">
        <v>3435</v>
      </c>
      <c r="D1368" s="12">
        <v>1</v>
      </c>
      <c r="E1368" s="125">
        <v>8876948.0099999998</v>
      </c>
      <c r="F1368" s="12">
        <v>-16</v>
      </c>
      <c r="G1368" s="125">
        <v>7333672.4500000002</v>
      </c>
      <c r="H1368" s="12" t="s">
        <v>1447</v>
      </c>
      <c r="I1368" s="125">
        <v>127116.99</v>
      </c>
      <c r="J1368" s="13">
        <v>43018.567411145836</v>
      </c>
      <c r="K1368" s="13">
        <v>43322</v>
      </c>
      <c r="L1368" s="12" t="s">
        <v>3436</v>
      </c>
      <c r="M1368" s="12"/>
      <c r="N1368" s="12" t="s">
        <v>3437</v>
      </c>
      <c r="O1368" s="12"/>
      <c r="P1368" s="12"/>
      <c r="Q1368" s="12"/>
    </row>
    <row r="1369" spans="1:17" x14ac:dyDescent="0.25">
      <c r="A1369" s="11">
        <v>201373</v>
      </c>
      <c r="B1369" s="12" t="s">
        <v>5749</v>
      </c>
      <c r="C1369" s="12" t="s">
        <v>5756</v>
      </c>
      <c r="D1369" s="12">
        <v>7</v>
      </c>
      <c r="E1369" s="125">
        <v>1591901.36</v>
      </c>
      <c r="F1369" s="12">
        <v>-16</v>
      </c>
      <c r="G1369" s="125">
        <v>1340085.52</v>
      </c>
      <c r="H1369" s="12" t="s">
        <v>3074</v>
      </c>
      <c r="I1369" s="125">
        <v>26131.67</v>
      </c>
      <c r="J1369" s="13">
        <v>43018.709052118058</v>
      </c>
      <c r="K1369" s="13">
        <v>43261</v>
      </c>
      <c r="L1369" s="12" t="s">
        <v>5757</v>
      </c>
      <c r="M1369" s="12"/>
      <c r="N1369" s="12" t="s">
        <v>5758</v>
      </c>
      <c r="O1369" s="12"/>
      <c r="P1369" s="12"/>
      <c r="Q1369" s="12"/>
    </row>
    <row r="1370" spans="1:17" x14ac:dyDescent="0.25">
      <c r="A1370" s="11">
        <v>201374</v>
      </c>
      <c r="B1370" s="12" t="s">
        <v>5748</v>
      </c>
      <c r="C1370" s="12" t="s">
        <v>5759</v>
      </c>
      <c r="D1370" s="12">
        <v>1</v>
      </c>
      <c r="E1370" s="125">
        <v>3877567.75</v>
      </c>
      <c r="F1370" s="12">
        <v>-16</v>
      </c>
      <c r="G1370" s="125">
        <v>3404486.45</v>
      </c>
      <c r="H1370" s="12" t="s">
        <v>4686</v>
      </c>
      <c r="I1370" s="125">
        <v>66387.490000000005</v>
      </c>
      <c r="J1370" s="13">
        <v>43018.674467094905</v>
      </c>
      <c r="K1370" s="13">
        <v>43200</v>
      </c>
      <c r="L1370" s="12" t="s">
        <v>5760</v>
      </c>
      <c r="M1370" s="12"/>
      <c r="N1370" s="12" t="s">
        <v>5761</v>
      </c>
      <c r="O1370" s="12"/>
      <c r="P1370" s="12"/>
      <c r="Q1370" s="12"/>
    </row>
    <row r="1371" spans="1:17" x14ac:dyDescent="0.25">
      <c r="A1371" s="11">
        <v>201375</v>
      </c>
      <c r="B1371" s="12" t="s">
        <v>5750</v>
      </c>
      <c r="C1371" s="12" t="s">
        <v>5762</v>
      </c>
      <c r="D1371" s="12">
        <v>7</v>
      </c>
      <c r="E1371" s="125">
        <v>2502300.6800000002</v>
      </c>
      <c r="F1371" s="12">
        <v>-16</v>
      </c>
      <c r="G1371" s="125">
        <v>2020966.59</v>
      </c>
      <c r="H1371" s="12" t="s">
        <v>4686</v>
      </c>
      <c r="I1371" s="125">
        <v>39408.85</v>
      </c>
      <c r="J1371" s="13">
        <v>43018.682332789351</v>
      </c>
      <c r="K1371" s="13">
        <v>43322</v>
      </c>
      <c r="L1371" s="12" t="s">
        <v>5763</v>
      </c>
      <c r="M1371" s="12"/>
      <c r="N1371" s="12"/>
      <c r="O1371" s="12"/>
      <c r="P1371" s="12"/>
      <c r="Q1371" s="12"/>
    </row>
    <row r="1372" spans="1:17" x14ac:dyDescent="0.25">
      <c r="A1372" s="11">
        <v>201376</v>
      </c>
      <c r="B1372" s="12" t="s">
        <v>3255</v>
      </c>
      <c r="C1372" s="12" t="s">
        <v>3259</v>
      </c>
      <c r="D1372" s="12">
        <v>1</v>
      </c>
      <c r="E1372" s="125">
        <v>6076421.1299999999</v>
      </c>
      <c r="F1372" s="12">
        <v>12</v>
      </c>
      <c r="G1372" s="125">
        <v>4883290.75</v>
      </c>
      <c r="H1372" s="12" t="s">
        <v>2557</v>
      </c>
      <c r="I1372" s="125">
        <v>68452.84</v>
      </c>
      <c r="J1372" s="13">
        <v>43020.638863460648</v>
      </c>
      <c r="K1372" s="13">
        <v>43385</v>
      </c>
      <c r="L1372" s="12" t="s">
        <v>3260</v>
      </c>
      <c r="M1372" s="12"/>
      <c r="N1372" s="12"/>
      <c r="O1372" s="12"/>
      <c r="P1372" s="12"/>
      <c r="Q1372" s="12"/>
    </row>
    <row r="1373" spans="1:17" x14ac:dyDescent="0.25">
      <c r="A1373" s="11">
        <v>201377</v>
      </c>
      <c r="B1373" s="12" t="s">
        <v>5775</v>
      </c>
      <c r="C1373" s="12" t="s">
        <v>5787</v>
      </c>
      <c r="D1373" s="12">
        <v>7</v>
      </c>
      <c r="E1373" s="125">
        <v>1137409.3899999999</v>
      </c>
      <c r="F1373" s="12">
        <v>-18</v>
      </c>
      <c r="G1373" s="125">
        <v>918621.18</v>
      </c>
      <c r="H1373" s="12" t="s">
        <v>2855</v>
      </c>
      <c r="I1373" s="125">
        <v>15157.25</v>
      </c>
      <c r="J1373" s="13">
        <v>43020.46736840278</v>
      </c>
      <c r="K1373" s="13">
        <v>43324</v>
      </c>
      <c r="L1373" s="12" t="s">
        <v>5788</v>
      </c>
      <c r="M1373" s="12"/>
      <c r="N1373" s="12"/>
      <c r="O1373" s="12"/>
      <c r="P1373" s="12"/>
      <c r="Q1373" s="12"/>
    </row>
    <row r="1374" spans="1:17" x14ac:dyDescent="0.25">
      <c r="A1374" s="11">
        <v>201378</v>
      </c>
      <c r="B1374" s="12" t="s">
        <v>5779</v>
      </c>
      <c r="C1374" s="12" t="s">
        <v>5789</v>
      </c>
      <c r="D1374" s="12">
        <v>7</v>
      </c>
      <c r="E1374" s="125">
        <v>4549637.59</v>
      </c>
      <c r="F1374" s="12">
        <v>-18</v>
      </c>
      <c r="G1374" s="125">
        <v>3674484.71</v>
      </c>
      <c r="H1374" s="12" t="s">
        <v>4686</v>
      </c>
      <c r="I1374" s="125">
        <v>60629</v>
      </c>
      <c r="J1374" s="13">
        <v>43020.595618136576</v>
      </c>
      <c r="K1374" s="13">
        <v>43324</v>
      </c>
      <c r="L1374" s="12" t="s">
        <v>5790</v>
      </c>
      <c r="M1374" s="12"/>
      <c r="N1374" s="12"/>
      <c r="O1374" s="12"/>
      <c r="P1374" s="12"/>
      <c r="Q1374" s="12"/>
    </row>
    <row r="1375" spans="1:17" x14ac:dyDescent="0.25">
      <c r="A1375" s="11">
        <v>201379</v>
      </c>
      <c r="B1375" s="12" t="s">
        <v>5780</v>
      </c>
      <c r="C1375" s="12" t="s">
        <v>5791</v>
      </c>
      <c r="D1375" s="12">
        <v>1</v>
      </c>
      <c r="E1375" s="125">
        <v>5687047</v>
      </c>
      <c r="F1375" s="12">
        <v>-18</v>
      </c>
      <c r="G1375" s="125">
        <v>4593105.8899999997</v>
      </c>
      <c r="H1375" s="12" t="s">
        <v>963</v>
      </c>
      <c r="I1375" s="125">
        <v>75786.25</v>
      </c>
      <c r="J1375" s="13">
        <v>43020.558276006945</v>
      </c>
      <c r="K1375" s="13">
        <v>43324</v>
      </c>
      <c r="L1375" s="12" t="s">
        <v>5792</v>
      </c>
      <c r="M1375" s="12" t="s">
        <v>5793</v>
      </c>
      <c r="N1375" s="12"/>
      <c r="O1375" s="12"/>
      <c r="P1375" s="12"/>
      <c r="Q1375" s="12"/>
    </row>
    <row r="1376" spans="1:17" x14ac:dyDescent="0.25">
      <c r="A1376" s="11">
        <v>201380</v>
      </c>
      <c r="B1376" s="12" t="s">
        <v>5777</v>
      </c>
      <c r="C1376" s="12" t="s">
        <v>5794</v>
      </c>
      <c r="D1376" s="12">
        <v>1</v>
      </c>
      <c r="E1376" s="125">
        <v>3412228.18</v>
      </c>
      <c r="F1376" s="12">
        <v>-18</v>
      </c>
      <c r="G1376" s="125">
        <v>2755863.53</v>
      </c>
      <c r="H1376" s="12" t="s">
        <v>2034</v>
      </c>
      <c r="I1376" s="125">
        <v>45471.75</v>
      </c>
      <c r="J1376" s="13">
        <v>43020.582957754632</v>
      </c>
      <c r="K1376" s="13">
        <v>43324</v>
      </c>
      <c r="L1376" s="12" t="s">
        <v>5795</v>
      </c>
      <c r="M1376" s="12"/>
      <c r="N1376" s="12"/>
      <c r="O1376" s="12"/>
      <c r="P1376" s="12"/>
      <c r="Q1376" s="12"/>
    </row>
    <row r="1377" spans="1:17" x14ac:dyDescent="0.25">
      <c r="A1377" s="11">
        <v>201381</v>
      </c>
      <c r="B1377" s="12" t="s">
        <v>5778</v>
      </c>
      <c r="C1377" s="12" t="s">
        <v>5796</v>
      </c>
      <c r="D1377" s="12">
        <v>7</v>
      </c>
      <c r="E1377" s="125">
        <v>4102258.66</v>
      </c>
      <c r="F1377" s="12">
        <v>-18</v>
      </c>
      <c r="G1377" s="125">
        <v>3267067.4</v>
      </c>
      <c r="H1377" s="12" t="s">
        <v>2494</v>
      </c>
      <c r="I1377" s="125">
        <v>47916.99</v>
      </c>
      <c r="J1377" s="13">
        <v>43020.633114351855</v>
      </c>
      <c r="K1377" s="13">
        <v>43385</v>
      </c>
      <c r="L1377" s="12" t="s">
        <v>5797</v>
      </c>
      <c r="M1377" s="12" t="s">
        <v>5798</v>
      </c>
      <c r="N1377" s="12"/>
      <c r="O1377" s="12"/>
      <c r="P1377" s="12"/>
      <c r="Q1377" s="12"/>
    </row>
    <row r="1378" spans="1:17" x14ac:dyDescent="0.25">
      <c r="A1378" s="11">
        <v>201382</v>
      </c>
      <c r="B1378" s="12" t="s">
        <v>5781</v>
      </c>
      <c r="C1378" s="12" t="s">
        <v>5799</v>
      </c>
      <c r="D1378" s="12">
        <v>4</v>
      </c>
      <c r="E1378" s="125">
        <v>324895.84000000003</v>
      </c>
      <c r="F1378" s="12">
        <v>-27</v>
      </c>
      <c r="G1378" s="125">
        <v>318265.31</v>
      </c>
      <c r="H1378" s="12" t="s">
        <v>284</v>
      </c>
      <c r="I1378" s="125">
        <v>442.04</v>
      </c>
      <c r="J1378" s="13">
        <v>43020.70151053241</v>
      </c>
      <c r="K1378" s="13">
        <v>43090</v>
      </c>
      <c r="L1378" s="12" t="s">
        <v>5800</v>
      </c>
      <c r="M1378" s="12"/>
      <c r="N1378" s="12" t="s">
        <v>5801</v>
      </c>
      <c r="O1378" s="12"/>
      <c r="P1378" s="12"/>
      <c r="Q1378" s="12"/>
    </row>
    <row r="1379" spans="1:17" x14ac:dyDescent="0.25">
      <c r="A1379" s="11">
        <v>201383</v>
      </c>
      <c r="B1379" s="12" t="s">
        <v>1953</v>
      </c>
      <c r="C1379" s="12" t="s">
        <v>2026</v>
      </c>
      <c r="D1379" s="12">
        <v>1</v>
      </c>
      <c r="E1379" s="125">
        <v>10548665.109999999</v>
      </c>
      <c r="F1379" s="12">
        <v>-20</v>
      </c>
      <c r="G1379" s="125">
        <v>8401030.4499999993</v>
      </c>
      <c r="H1379" s="12" t="s">
        <v>1925</v>
      </c>
      <c r="I1379" s="125">
        <v>100812.37</v>
      </c>
      <c r="J1379" s="13">
        <v>43022.475865972221</v>
      </c>
      <c r="K1379" s="13">
        <v>43387</v>
      </c>
      <c r="L1379" s="12" t="s">
        <v>2027</v>
      </c>
      <c r="M1379" s="12"/>
      <c r="N1379" s="12"/>
      <c r="O1379" s="12"/>
      <c r="P1379" s="12"/>
      <c r="Q1379" s="12"/>
    </row>
    <row r="1380" spans="1:17" x14ac:dyDescent="0.25">
      <c r="A1380" s="11">
        <v>201384</v>
      </c>
      <c r="B1380" s="12" t="s">
        <v>5802</v>
      </c>
      <c r="C1380" s="12" t="s">
        <v>5815</v>
      </c>
      <c r="D1380" s="12">
        <v>7</v>
      </c>
      <c r="E1380" s="125">
        <v>1706114.12</v>
      </c>
      <c r="F1380" s="12">
        <v>-19</v>
      </c>
      <c r="G1380" s="125">
        <v>1377931.77</v>
      </c>
      <c r="H1380" s="12" t="s">
        <v>2855</v>
      </c>
      <c r="I1380" s="125">
        <v>20668.98</v>
      </c>
      <c r="J1380" s="13">
        <v>43021.516642974537</v>
      </c>
      <c r="K1380" s="13">
        <v>43325</v>
      </c>
      <c r="L1380" s="12" t="s">
        <v>5816</v>
      </c>
      <c r="M1380" s="12"/>
      <c r="N1380" s="12"/>
      <c r="O1380" s="12"/>
      <c r="P1380" s="12"/>
      <c r="Q1380" s="12"/>
    </row>
    <row r="1381" spans="1:17" x14ac:dyDescent="0.25">
      <c r="A1381" s="11">
        <v>201385</v>
      </c>
      <c r="B1381" s="12" t="s">
        <v>5806</v>
      </c>
      <c r="C1381" s="12" t="s">
        <v>5817</v>
      </c>
      <c r="D1381" s="12">
        <v>1</v>
      </c>
      <c r="E1381" s="125">
        <v>1018208.81</v>
      </c>
      <c r="F1381" s="12">
        <v>-19</v>
      </c>
      <c r="G1381" s="125">
        <v>875298.53</v>
      </c>
      <c r="H1381" s="12" t="s">
        <v>4919</v>
      </c>
      <c r="I1381" s="125">
        <v>13129.48</v>
      </c>
      <c r="J1381" s="13">
        <v>43021.548038657405</v>
      </c>
      <c r="K1381" s="13">
        <v>43233</v>
      </c>
      <c r="L1381" s="12" t="s">
        <v>5818</v>
      </c>
      <c r="M1381" s="12"/>
      <c r="N1381" s="12" t="s">
        <v>5819</v>
      </c>
      <c r="O1381" s="12"/>
      <c r="P1381" s="12"/>
      <c r="Q1381" s="12"/>
    </row>
    <row r="1382" spans="1:17" x14ac:dyDescent="0.25">
      <c r="A1382" s="11">
        <v>201386</v>
      </c>
      <c r="B1382" s="12" t="s">
        <v>4011</v>
      </c>
      <c r="C1382" s="12" t="s">
        <v>4030</v>
      </c>
      <c r="D1382" s="12">
        <v>1</v>
      </c>
      <c r="E1382" s="125">
        <v>11720738.99</v>
      </c>
      <c r="F1382" s="12">
        <v>-19</v>
      </c>
      <c r="G1382" s="125">
        <v>9334478.2699999996</v>
      </c>
      <c r="H1382" s="12" t="s">
        <v>1447</v>
      </c>
      <c r="I1382" s="125">
        <v>124459.71</v>
      </c>
      <c r="J1382" s="13">
        <v>43021.683898877316</v>
      </c>
      <c r="K1382" s="13">
        <v>43386</v>
      </c>
      <c r="L1382" s="12" t="s">
        <v>4031</v>
      </c>
      <c r="M1382" s="12"/>
      <c r="N1382" s="12"/>
      <c r="O1382" s="12"/>
      <c r="P1382" s="12"/>
      <c r="Q1382" s="12"/>
    </row>
    <row r="1383" spans="1:17" x14ac:dyDescent="0.25">
      <c r="A1383" s="11">
        <v>201387</v>
      </c>
      <c r="B1383" s="12" t="s">
        <v>3466</v>
      </c>
      <c r="C1383" s="12" t="s">
        <v>3474</v>
      </c>
      <c r="D1383" s="12">
        <v>7</v>
      </c>
      <c r="E1383" s="125">
        <v>1907619.02</v>
      </c>
      <c r="F1383" s="12">
        <v>-19</v>
      </c>
      <c r="G1383" s="125">
        <v>1698476.19</v>
      </c>
      <c r="H1383" s="12" t="s">
        <v>963</v>
      </c>
      <c r="I1383" s="125">
        <v>22646.35</v>
      </c>
      <c r="J1383" s="13">
        <v>43021.726803240737</v>
      </c>
      <c r="K1383" s="13">
        <v>43203</v>
      </c>
      <c r="L1383" s="12" t="s">
        <v>3475</v>
      </c>
      <c r="M1383" s="12"/>
      <c r="N1383" s="12" t="s">
        <v>3476</v>
      </c>
      <c r="O1383" s="12"/>
      <c r="P1383" s="12"/>
      <c r="Q1383" s="12"/>
    </row>
    <row r="1384" spans="1:17" x14ac:dyDescent="0.25">
      <c r="A1384" s="11">
        <v>201388</v>
      </c>
      <c r="B1384" s="12" t="s">
        <v>5821</v>
      </c>
      <c r="C1384" s="12" t="s">
        <v>5825</v>
      </c>
      <c r="D1384" s="12">
        <v>2</v>
      </c>
      <c r="E1384" s="125">
        <v>25863749.73</v>
      </c>
      <c r="F1384" s="12">
        <v>2</v>
      </c>
      <c r="G1384" s="125">
        <v>19564351.399999999</v>
      </c>
      <c r="H1384" s="12" t="s">
        <v>4919</v>
      </c>
      <c r="I1384" s="125">
        <v>85406.24</v>
      </c>
      <c r="J1384" s="13">
        <v>43024.580717048608</v>
      </c>
      <c r="K1384" s="13">
        <v>43487</v>
      </c>
      <c r="L1384" s="12" t="s">
        <v>5826</v>
      </c>
      <c r="M1384" s="12"/>
      <c r="N1384" s="12" t="s">
        <v>5827</v>
      </c>
      <c r="O1384" s="12"/>
      <c r="P1384" s="12"/>
      <c r="Q1384" s="12"/>
    </row>
    <row r="1385" spans="1:17" x14ac:dyDescent="0.25">
      <c r="A1385" s="11">
        <v>201389</v>
      </c>
      <c r="B1385" s="12" t="s">
        <v>5822</v>
      </c>
      <c r="C1385" s="12" t="s">
        <v>5828</v>
      </c>
      <c r="D1385" s="12">
        <v>4</v>
      </c>
      <c r="E1385" s="125">
        <v>1084047.46</v>
      </c>
      <c r="F1385" s="12">
        <v>-27</v>
      </c>
      <c r="G1385" s="125">
        <v>1029856.2</v>
      </c>
      <c r="H1385" s="12" t="s">
        <v>284</v>
      </c>
      <c r="I1385" s="125">
        <v>1430.36</v>
      </c>
      <c r="J1385" s="13">
        <v>43024.703599652777</v>
      </c>
      <c r="K1385" s="13">
        <v>43180</v>
      </c>
      <c r="L1385" s="12" t="s">
        <v>5829</v>
      </c>
      <c r="M1385" s="12"/>
      <c r="N1385" s="12"/>
      <c r="O1385" s="12"/>
      <c r="P1385" s="12"/>
      <c r="Q1385" s="12"/>
    </row>
    <row r="1386" spans="1:17" x14ac:dyDescent="0.25">
      <c r="A1386" s="11">
        <v>201390</v>
      </c>
      <c r="B1386" s="12" t="s">
        <v>5848</v>
      </c>
      <c r="C1386" s="12" t="s">
        <v>5855</v>
      </c>
      <c r="D1386" s="12">
        <v>2</v>
      </c>
      <c r="E1386" s="125">
        <v>45254913.619999997</v>
      </c>
      <c r="F1386" s="12">
        <v>-25</v>
      </c>
      <c r="G1386" s="125">
        <v>29232395.059999999</v>
      </c>
      <c r="H1386" s="12" t="s">
        <v>4683</v>
      </c>
      <c r="I1386" s="125">
        <v>155906.10999999999</v>
      </c>
      <c r="J1386" s="13">
        <v>43027.492221956018</v>
      </c>
      <c r="K1386" s="13">
        <v>43757</v>
      </c>
      <c r="L1386" s="12" t="s">
        <v>5856</v>
      </c>
      <c r="M1386" s="12"/>
      <c r="N1386" s="12"/>
      <c r="O1386" s="12"/>
      <c r="P1386" s="12"/>
      <c r="Q1386" s="12"/>
    </row>
    <row r="1387" spans="1:17" x14ac:dyDescent="0.25">
      <c r="A1387" s="11">
        <v>201391</v>
      </c>
      <c r="B1387" s="12" t="s">
        <v>4630</v>
      </c>
      <c r="C1387" s="12" t="s">
        <v>4639</v>
      </c>
      <c r="D1387" s="12">
        <v>7</v>
      </c>
      <c r="E1387" s="125">
        <v>2219237</v>
      </c>
      <c r="F1387" s="12">
        <v>-23</v>
      </c>
      <c r="G1387" s="125">
        <v>1833418.11</v>
      </c>
      <c r="H1387" s="12" t="s">
        <v>1447</v>
      </c>
      <c r="I1387" s="125">
        <v>14667.34</v>
      </c>
      <c r="J1387" s="13">
        <v>43025.653137349538</v>
      </c>
      <c r="K1387" s="13">
        <v>43329</v>
      </c>
      <c r="L1387" s="12" t="s">
        <v>4640</v>
      </c>
      <c r="M1387" s="12"/>
      <c r="N1387" s="12"/>
      <c r="O1387" s="12"/>
      <c r="P1387" s="12"/>
      <c r="Q1387" s="12"/>
    </row>
    <row r="1388" spans="1:17" x14ac:dyDescent="0.25">
      <c r="A1388" s="11">
        <v>201392</v>
      </c>
      <c r="B1388" s="12" t="s">
        <v>5831</v>
      </c>
      <c r="C1388" s="12" t="s">
        <v>5839</v>
      </c>
      <c r="D1388" s="12">
        <v>1</v>
      </c>
      <c r="E1388" s="125">
        <v>10901859</v>
      </c>
      <c r="F1388" s="12">
        <v>7</v>
      </c>
      <c r="G1388" s="125">
        <v>8462910.6300000008</v>
      </c>
      <c r="H1388" s="12" t="s">
        <v>5385</v>
      </c>
      <c r="I1388" s="125">
        <v>75762.039999999994</v>
      </c>
      <c r="J1388" s="13">
        <v>43025.641603854165</v>
      </c>
      <c r="K1388" s="13">
        <v>43390</v>
      </c>
      <c r="L1388" s="12" t="s">
        <v>5840</v>
      </c>
      <c r="M1388" s="12" t="s">
        <v>5841</v>
      </c>
      <c r="N1388" s="12"/>
      <c r="O1388" s="12"/>
      <c r="P1388" s="12"/>
      <c r="Q1388" s="12"/>
    </row>
    <row r="1389" spans="1:17" x14ac:dyDescent="0.25">
      <c r="A1389" s="11">
        <v>201393</v>
      </c>
      <c r="B1389" s="12" t="s">
        <v>5543</v>
      </c>
      <c r="C1389" s="12" t="s">
        <v>1547</v>
      </c>
      <c r="D1389" s="12">
        <v>5</v>
      </c>
      <c r="E1389" s="125">
        <v>25055652.140000001</v>
      </c>
      <c r="F1389" s="12">
        <v>-27</v>
      </c>
      <c r="G1389" s="125">
        <v>18372668.670000002</v>
      </c>
      <c r="H1389" s="12" t="s">
        <v>284</v>
      </c>
      <c r="I1389" s="125">
        <v>22455.48</v>
      </c>
      <c r="J1389" s="13">
        <v>43025.633398993057</v>
      </c>
      <c r="K1389" s="13">
        <v>44125</v>
      </c>
      <c r="L1389" s="12" t="s">
        <v>1548</v>
      </c>
      <c r="M1389" s="12"/>
      <c r="N1389" s="12"/>
      <c r="O1389" s="12"/>
      <c r="P1389" s="12"/>
      <c r="Q1389" s="12"/>
    </row>
    <row r="1390" spans="1:17" x14ac:dyDescent="0.25">
      <c r="A1390" s="11">
        <v>201394</v>
      </c>
      <c r="B1390" s="12" t="s">
        <v>4731</v>
      </c>
      <c r="C1390" s="12" t="s">
        <v>4734</v>
      </c>
      <c r="D1390" s="12">
        <v>2</v>
      </c>
      <c r="E1390" s="125">
        <v>31873056.379999999</v>
      </c>
      <c r="F1390" s="12">
        <v>-24</v>
      </c>
      <c r="G1390" s="125">
        <v>26082449.420000002</v>
      </c>
      <c r="H1390" s="12" t="s">
        <v>1467</v>
      </c>
      <c r="I1390" s="125">
        <v>152147.62</v>
      </c>
      <c r="J1390" s="13">
        <v>43026.664325578706</v>
      </c>
      <c r="K1390" s="13">
        <v>43391</v>
      </c>
      <c r="L1390" s="12" t="s">
        <v>4735</v>
      </c>
      <c r="M1390" s="12"/>
      <c r="N1390" s="12" t="s">
        <v>4736</v>
      </c>
      <c r="O1390" s="12"/>
      <c r="P1390" s="12"/>
      <c r="Q1390" s="12"/>
    </row>
    <row r="1391" spans="1:17" x14ac:dyDescent="0.25">
      <c r="A1391" s="11">
        <v>201395</v>
      </c>
      <c r="B1391" s="12" t="s">
        <v>4067</v>
      </c>
      <c r="C1391" s="12" t="s">
        <v>4068</v>
      </c>
      <c r="D1391" s="12">
        <v>1</v>
      </c>
      <c r="E1391" s="125">
        <v>7032443.3799999999</v>
      </c>
      <c r="F1391" s="12">
        <v>-25</v>
      </c>
      <c r="G1391" s="125">
        <v>5600686.96</v>
      </c>
      <c r="H1391" s="12" t="s">
        <v>1039</v>
      </c>
      <c r="I1391" s="125">
        <v>29870.33</v>
      </c>
      <c r="J1391" s="13">
        <v>43027.532977083334</v>
      </c>
      <c r="K1391" s="13">
        <v>43392</v>
      </c>
      <c r="L1391" s="12" t="s">
        <v>4069</v>
      </c>
      <c r="M1391" s="12"/>
      <c r="N1391" s="12"/>
      <c r="O1391" s="12"/>
      <c r="P1391" s="12"/>
      <c r="Q1391" s="12"/>
    </row>
    <row r="1392" spans="1:17" x14ac:dyDescent="0.25">
      <c r="A1392" s="11">
        <v>201396</v>
      </c>
      <c r="B1392" s="12" t="s">
        <v>4309</v>
      </c>
      <c r="C1392" s="12" t="s">
        <v>4317</v>
      </c>
      <c r="D1392" s="12">
        <v>1</v>
      </c>
      <c r="E1392" s="125">
        <v>7120013.0099999998</v>
      </c>
      <c r="F1392" s="12">
        <v>4</v>
      </c>
      <c r="G1392" s="125">
        <v>6000000</v>
      </c>
      <c r="H1392" s="12" t="s">
        <v>2538</v>
      </c>
      <c r="I1392" s="125">
        <v>252072.42</v>
      </c>
      <c r="J1392" s="13">
        <v>43028.621682986108</v>
      </c>
      <c r="K1392" s="13">
        <v>43271</v>
      </c>
      <c r="L1392" s="12" t="s">
        <v>4318</v>
      </c>
      <c r="M1392" s="12"/>
      <c r="N1392" s="12" t="s">
        <v>4319</v>
      </c>
      <c r="O1392" s="12"/>
      <c r="P1392" s="12"/>
      <c r="Q1392" s="12"/>
    </row>
    <row r="1393" spans="1:17" x14ac:dyDescent="0.25">
      <c r="A1393" s="11">
        <v>201397</v>
      </c>
      <c r="B1393" s="12" t="s">
        <v>5846</v>
      </c>
      <c r="C1393" s="12" t="s">
        <v>5857</v>
      </c>
      <c r="D1393" s="12">
        <v>7</v>
      </c>
      <c r="E1393" s="125">
        <v>5687047</v>
      </c>
      <c r="F1393" s="12">
        <v>-25</v>
      </c>
      <c r="G1393" s="125">
        <v>4593105.8899999997</v>
      </c>
      <c r="H1393" s="12" t="s">
        <v>4683</v>
      </c>
      <c r="I1393" s="125">
        <v>27558.639999999999</v>
      </c>
      <c r="J1393" s="13">
        <v>43027.61984540509</v>
      </c>
      <c r="K1393" s="13">
        <v>43331</v>
      </c>
      <c r="L1393" s="12" t="s">
        <v>5858</v>
      </c>
      <c r="M1393" s="12"/>
      <c r="N1393" s="12"/>
      <c r="O1393" s="12"/>
      <c r="P1393" s="12"/>
      <c r="Q1393" s="12"/>
    </row>
    <row r="1394" spans="1:17" x14ac:dyDescent="0.25">
      <c r="A1394" s="11">
        <v>201398</v>
      </c>
      <c r="B1394" s="12" t="s">
        <v>5849</v>
      </c>
      <c r="C1394" s="12" t="s">
        <v>5859</v>
      </c>
      <c r="D1394" s="12">
        <v>1</v>
      </c>
      <c r="E1394" s="125">
        <v>5839176.3600000003</v>
      </c>
      <c r="F1394" s="12">
        <v>5</v>
      </c>
      <c r="G1394" s="125">
        <v>4999790.24</v>
      </c>
      <c r="H1394" s="12" t="s">
        <v>5386</v>
      </c>
      <c r="I1394" s="125">
        <v>26801.71</v>
      </c>
      <c r="J1394" s="13">
        <v>43027.643940162037</v>
      </c>
      <c r="K1394" s="13">
        <v>43270</v>
      </c>
      <c r="L1394" s="12" t="s">
        <v>5860</v>
      </c>
      <c r="M1394" s="12" t="s">
        <v>5861</v>
      </c>
      <c r="N1394" s="12"/>
      <c r="O1394" s="12"/>
      <c r="P1394" s="12"/>
      <c r="Q1394" s="12"/>
    </row>
    <row r="1395" spans="1:17" x14ac:dyDescent="0.25">
      <c r="A1395" s="11">
        <v>201399</v>
      </c>
      <c r="B1395" s="12" t="s">
        <v>2555</v>
      </c>
      <c r="C1395" s="12" t="s">
        <v>2568</v>
      </c>
      <c r="D1395" s="12">
        <v>1</v>
      </c>
      <c r="E1395" s="125">
        <v>9376591.1899999995</v>
      </c>
      <c r="F1395" s="12">
        <v>-25</v>
      </c>
      <c r="G1395" s="125">
        <v>7467582.6200000001</v>
      </c>
      <c r="H1395" s="12" t="s">
        <v>2855</v>
      </c>
      <c r="I1395" s="125">
        <v>39827.11</v>
      </c>
      <c r="J1395" s="13">
        <v>43027.636032291666</v>
      </c>
      <c r="K1395" s="13">
        <v>43392</v>
      </c>
      <c r="L1395" s="12" t="s">
        <v>2569</v>
      </c>
      <c r="M1395" s="12"/>
      <c r="N1395" s="12"/>
      <c r="O1395" s="12"/>
      <c r="P1395" s="12"/>
      <c r="Q1395" s="12"/>
    </row>
    <row r="1396" spans="1:17" x14ac:dyDescent="0.25">
      <c r="A1396" s="11">
        <v>201400</v>
      </c>
      <c r="B1396" s="12" t="s">
        <v>5850</v>
      </c>
      <c r="C1396" s="12" t="s">
        <v>5862</v>
      </c>
      <c r="D1396" s="12">
        <v>1</v>
      </c>
      <c r="E1396" s="125">
        <v>5687047</v>
      </c>
      <c r="F1396" s="12">
        <v>-25</v>
      </c>
      <c r="G1396" s="125">
        <v>4593105.8899999997</v>
      </c>
      <c r="H1396" s="12" t="s">
        <v>491</v>
      </c>
      <c r="I1396" s="125">
        <v>27558.639999999999</v>
      </c>
      <c r="J1396" s="13">
        <v>43027.657996145834</v>
      </c>
      <c r="K1396" s="13">
        <v>43331</v>
      </c>
      <c r="L1396" s="12" t="s">
        <v>5863</v>
      </c>
      <c r="M1396" s="12"/>
      <c r="N1396" s="12"/>
      <c r="O1396" s="12"/>
      <c r="P1396" s="12"/>
      <c r="Q1396" s="12"/>
    </row>
    <row r="1397" spans="1:17" x14ac:dyDescent="0.25">
      <c r="A1397" s="11">
        <v>201401</v>
      </c>
      <c r="B1397" s="12" t="s">
        <v>2575</v>
      </c>
      <c r="C1397" s="12" t="s">
        <v>2579</v>
      </c>
      <c r="D1397" s="12">
        <v>8</v>
      </c>
      <c r="E1397" s="125">
        <v>9770896.5099999998</v>
      </c>
      <c r="F1397" s="12">
        <v>-25</v>
      </c>
      <c r="G1397" s="125">
        <v>7923403.3499999996</v>
      </c>
      <c r="H1397" s="12" t="s">
        <v>1667</v>
      </c>
      <c r="I1397" s="125">
        <v>38736.639999999999</v>
      </c>
      <c r="J1397" s="13">
        <v>43027.699184224541</v>
      </c>
      <c r="K1397" s="13">
        <v>43392</v>
      </c>
      <c r="L1397" s="12" t="s">
        <v>2580</v>
      </c>
      <c r="M1397" s="12"/>
      <c r="N1397" s="12"/>
      <c r="O1397" s="12"/>
      <c r="P1397" s="12"/>
      <c r="Q1397" s="12"/>
    </row>
    <row r="1398" spans="1:17" x14ac:dyDescent="0.25">
      <c r="A1398" s="11">
        <v>201402</v>
      </c>
      <c r="B1398" s="12" t="s">
        <v>5851</v>
      </c>
      <c r="C1398" s="12" t="s">
        <v>5864</v>
      </c>
      <c r="D1398" s="12">
        <v>1</v>
      </c>
      <c r="E1398" s="125">
        <v>10253788.66</v>
      </c>
      <c r="F1398" s="12">
        <v>-25</v>
      </c>
      <c r="G1398" s="125">
        <v>7950337.4000000004</v>
      </c>
      <c r="H1398" s="12" t="s">
        <v>2557</v>
      </c>
      <c r="I1398" s="125">
        <v>47702.02</v>
      </c>
      <c r="J1398" s="13">
        <v>43027.709482905091</v>
      </c>
      <c r="K1398" s="13">
        <v>43392</v>
      </c>
      <c r="L1398" s="12" t="s">
        <v>5865</v>
      </c>
      <c r="M1398" s="12" t="s">
        <v>5866</v>
      </c>
      <c r="N1398" s="12"/>
      <c r="O1398" s="12"/>
      <c r="P1398" s="12"/>
      <c r="Q1398" s="12"/>
    </row>
    <row r="1399" spans="1:17" x14ac:dyDescent="0.25">
      <c r="A1399" s="11">
        <v>201403</v>
      </c>
      <c r="B1399" s="12" t="s">
        <v>5870</v>
      </c>
      <c r="C1399" s="12" t="s">
        <v>5875</v>
      </c>
      <c r="D1399" s="12">
        <v>1</v>
      </c>
      <c r="E1399" s="125">
        <v>7886965.5899999999</v>
      </c>
      <c r="F1399" s="12">
        <v>4</v>
      </c>
      <c r="G1399" s="125">
        <v>6000000</v>
      </c>
      <c r="H1399" s="12" t="s">
        <v>491</v>
      </c>
      <c r="I1399" s="125">
        <v>286254.01</v>
      </c>
      <c r="J1399" s="13">
        <v>43028.537628506943</v>
      </c>
      <c r="K1399" s="13">
        <v>43393</v>
      </c>
      <c r="L1399" s="12" t="s">
        <v>5876</v>
      </c>
      <c r="M1399" s="12"/>
      <c r="N1399" s="12"/>
      <c r="O1399" s="12"/>
      <c r="P1399" s="12"/>
      <c r="Q1399" s="12"/>
    </row>
    <row r="1400" spans="1:17" x14ac:dyDescent="0.25">
      <c r="A1400" s="11">
        <v>201404</v>
      </c>
      <c r="B1400" s="12" t="s">
        <v>3726</v>
      </c>
      <c r="C1400" s="12" t="s">
        <v>3732</v>
      </c>
      <c r="D1400" s="12">
        <v>1</v>
      </c>
      <c r="E1400" s="125">
        <v>2824097.01</v>
      </c>
      <c r="F1400" s="12">
        <v>4</v>
      </c>
      <c r="G1400" s="125">
        <v>2341823.39</v>
      </c>
      <c r="H1400" s="12" t="s">
        <v>2538</v>
      </c>
      <c r="I1400" s="125">
        <v>9167.09</v>
      </c>
      <c r="J1400" s="13">
        <v>43028.558704976851</v>
      </c>
      <c r="K1400" s="13">
        <v>43332</v>
      </c>
      <c r="L1400" s="12" t="s">
        <v>3733</v>
      </c>
      <c r="M1400" s="12"/>
      <c r="N1400" s="12" t="s">
        <v>3734</v>
      </c>
      <c r="O1400" s="12"/>
      <c r="P1400" s="12"/>
      <c r="Q1400" s="12"/>
    </row>
    <row r="1401" spans="1:17" x14ac:dyDescent="0.25">
      <c r="A1401" s="11">
        <v>201405</v>
      </c>
      <c r="B1401" s="12" t="s">
        <v>5868</v>
      </c>
      <c r="C1401" s="12" t="s">
        <v>5877</v>
      </c>
      <c r="D1401" s="12">
        <v>7</v>
      </c>
      <c r="E1401" s="125">
        <v>1819855.06</v>
      </c>
      <c r="F1401" s="12">
        <v>-26</v>
      </c>
      <c r="G1401" s="125">
        <v>1469793.89</v>
      </c>
      <c r="H1401" s="12" t="s">
        <v>1667</v>
      </c>
      <c r="I1401" s="125">
        <v>6614.07</v>
      </c>
      <c r="J1401" s="13">
        <v>43028.582934918981</v>
      </c>
      <c r="K1401" s="13">
        <v>43332</v>
      </c>
      <c r="L1401" s="12" t="s">
        <v>5878</v>
      </c>
      <c r="M1401" s="12" t="s">
        <v>5879</v>
      </c>
      <c r="N1401" s="12"/>
      <c r="O1401" s="12"/>
      <c r="P1401" s="12"/>
      <c r="Q1401" s="12"/>
    </row>
    <row r="1402" spans="1:17" x14ac:dyDescent="0.25">
      <c r="A1402" s="11">
        <v>201406</v>
      </c>
      <c r="B1402" s="12" t="s">
        <v>5871</v>
      </c>
      <c r="C1402" s="12" t="s">
        <v>5880</v>
      </c>
      <c r="D1402" s="12">
        <v>1</v>
      </c>
      <c r="E1402" s="125">
        <v>4245070.3</v>
      </c>
      <c r="F1402" s="12">
        <v>-26</v>
      </c>
      <c r="G1402" s="125">
        <v>3573561.39</v>
      </c>
      <c r="H1402" s="12" t="s">
        <v>5384</v>
      </c>
      <c r="I1402" s="125">
        <v>16081.03</v>
      </c>
      <c r="J1402" s="13">
        <v>43028.653854745367</v>
      </c>
      <c r="K1402" s="13">
        <v>43271</v>
      </c>
      <c r="L1402" s="12" t="s">
        <v>5881</v>
      </c>
      <c r="M1402" s="12"/>
      <c r="N1402" s="12"/>
      <c r="O1402" s="12"/>
      <c r="P1402" s="12"/>
      <c r="Q1402" s="12"/>
    </row>
    <row r="1403" spans="1:17" x14ac:dyDescent="0.25">
      <c r="A1403" s="11">
        <v>201407</v>
      </c>
      <c r="B1403" s="12" t="s">
        <v>5867</v>
      </c>
      <c r="C1403" s="12" t="s">
        <v>5882</v>
      </c>
      <c r="D1403" s="12">
        <v>8</v>
      </c>
      <c r="E1403" s="125">
        <v>6713064.1200000001</v>
      </c>
      <c r="F1403" s="12">
        <v>-26</v>
      </c>
      <c r="G1403" s="125">
        <v>5504103.9900000002</v>
      </c>
      <c r="H1403" s="12" t="s">
        <v>1467</v>
      </c>
      <c r="I1403" s="125">
        <v>22933.77</v>
      </c>
      <c r="J1403" s="13">
        <v>43028.603793946757</v>
      </c>
      <c r="K1403" s="13">
        <v>43332</v>
      </c>
      <c r="L1403" s="12" t="s">
        <v>5883</v>
      </c>
      <c r="M1403" s="12"/>
      <c r="N1403" s="12"/>
      <c r="O1403" s="12"/>
      <c r="P1403" s="12"/>
      <c r="Q1403" s="12"/>
    </row>
    <row r="1404" spans="1:17" x14ac:dyDescent="0.25">
      <c r="A1404" s="11">
        <v>201408</v>
      </c>
      <c r="B1404" s="12" t="s">
        <v>2270</v>
      </c>
      <c r="C1404" s="12" t="s">
        <v>2275</v>
      </c>
      <c r="D1404" s="12">
        <v>6</v>
      </c>
      <c r="E1404" s="125">
        <v>24720956.579999998</v>
      </c>
      <c r="F1404" s="12">
        <v>-26</v>
      </c>
      <c r="G1404" s="125">
        <v>19145826.079999998</v>
      </c>
      <c r="H1404" s="12" t="s">
        <v>1925</v>
      </c>
      <c r="I1404" s="125">
        <v>57437.48</v>
      </c>
      <c r="J1404" s="13">
        <v>43028.695226076386</v>
      </c>
      <c r="K1404" s="13">
        <v>43575</v>
      </c>
      <c r="L1404" s="12" t="s">
        <v>2276</v>
      </c>
      <c r="M1404" s="12"/>
      <c r="N1404" s="12" t="s">
        <v>2277</v>
      </c>
      <c r="O1404" s="12"/>
      <c r="P1404" s="12"/>
      <c r="Q1404" s="12"/>
    </row>
    <row r="1405" spans="1:17" x14ac:dyDescent="0.25">
      <c r="A1405" s="11">
        <v>201409</v>
      </c>
      <c r="B1405" s="12" t="s">
        <v>5872</v>
      </c>
      <c r="C1405" s="12" t="s">
        <v>5884</v>
      </c>
      <c r="D1405" s="12">
        <v>1</v>
      </c>
      <c r="E1405" s="125">
        <v>5687047</v>
      </c>
      <c r="F1405" s="12">
        <v>-26</v>
      </c>
      <c r="G1405" s="125">
        <v>4593105.8899999997</v>
      </c>
      <c r="H1405" s="12" t="s">
        <v>4686</v>
      </c>
      <c r="I1405" s="125">
        <v>20668.98</v>
      </c>
      <c r="J1405" s="13">
        <v>43028.682979282406</v>
      </c>
      <c r="K1405" s="13">
        <v>43332</v>
      </c>
      <c r="L1405" s="12" t="s">
        <v>5885</v>
      </c>
      <c r="M1405" s="12"/>
      <c r="N1405" s="12"/>
      <c r="O1405" s="12"/>
      <c r="P1405" s="12"/>
      <c r="Q1405" s="12"/>
    </row>
    <row r="1406" spans="1:17" x14ac:dyDescent="0.25">
      <c r="A1406" s="11">
        <v>201410</v>
      </c>
      <c r="B1406" s="12" t="s">
        <v>4372</v>
      </c>
      <c r="C1406" s="12" t="s">
        <v>4386</v>
      </c>
      <c r="D1406" s="12">
        <v>6</v>
      </c>
      <c r="E1406" s="125">
        <v>10554589.16</v>
      </c>
      <c r="F1406" s="12">
        <v>-26</v>
      </c>
      <c r="G1406" s="125">
        <v>8516100.7799999993</v>
      </c>
      <c r="H1406" s="12" t="s">
        <v>2175</v>
      </c>
      <c r="I1406" s="125">
        <v>25548.3</v>
      </c>
      <c r="J1406" s="13">
        <v>43028.716241585651</v>
      </c>
      <c r="K1406" s="13">
        <v>43485</v>
      </c>
      <c r="L1406" s="12" t="s">
        <v>4387</v>
      </c>
      <c r="M1406" s="12"/>
      <c r="N1406" s="12" t="s">
        <v>4388</v>
      </c>
      <c r="O1406" s="12"/>
      <c r="P1406" s="12"/>
      <c r="Q1406" s="12"/>
    </row>
    <row r="1407" spans="1:17" x14ac:dyDescent="0.25">
      <c r="A1407" s="11">
        <v>201411</v>
      </c>
      <c r="B1407" s="12" t="s">
        <v>5886</v>
      </c>
      <c r="C1407" s="12" t="s">
        <v>5887</v>
      </c>
      <c r="D1407" s="12">
        <v>7</v>
      </c>
      <c r="E1407" s="125">
        <v>3618984.2</v>
      </c>
      <c r="F1407" s="12">
        <v>-27</v>
      </c>
      <c r="G1407" s="125">
        <v>2806001.43</v>
      </c>
      <c r="H1407" s="12" t="s">
        <v>2034</v>
      </c>
      <c r="I1407" s="125">
        <v>8418</v>
      </c>
      <c r="J1407" s="13">
        <v>43029.559149537039</v>
      </c>
      <c r="K1407" s="13">
        <v>43394</v>
      </c>
      <c r="L1407" s="12" t="s">
        <v>5888</v>
      </c>
      <c r="M1407" s="12"/>
      <c r="N1407" s="12"/>
      <c r="O1407" s="12"/>
      <c r="P1407" s="12"/>
      <c r="Q1407" s="12"/>
    </row>
    <row r="1408" spans="1:17" x14ac:dyDescent="0.25">
      <c r="A1408" s="11">
        <v>201412</v>
      </c>
      <c r="B1408" s="12" t="s">
        <v>5894</v>
      </c>
      <c r="C1408" s="12" t="s">
        <v>5909</v>
      </c>
      <c r="D1408" s="12">
        <v>1</v>
      </c>
      <c r="E1408" s="125">
        <v>3980932.86</v>
      </c>
      <c r="F1408" s="12">
        <v>-29</v>
      </c>
      <c r="G1408" s="125">
        <v>3215174.12</v>
      </c>
      <c r="H1408" s="12" t="s">
        <v>5384</v>
      </c>
      <c r="I1408" s="125">
        <v>157500</v>
      </c>
      <c r="J1408" s="13">
        <v>43031.60994328704</v>
      </c>
      <c r="K1408" s="13">
        <v>43335</v>
      </c>
      <c r="L1408" s="12" t="s">
        <v>5910</v>
      </c>
      <c r="M1408" s="12"/>
      <c r="N1408" s="12"/>
      <c r="O1408" s="12"/>
      <c r="P1408" s="12"/>
      <c r="Q1408" s="12"/>
    </row>
    <row r="1409" spans="1:17" x14ac:dyDescent="0.25">
      <c r="A1409" s="11">
        <v>201413</v>
      </c>
      <c r="B1409" s="12" t="s">
        <v>5893</v>
      </c>
      <c r="C1409" s="12" t="s">
        <v>5911</v>
      </c>
      <c r="D1409" s="12">
        <v>2</v>
      </c>
      <c r="E1409" s="125">
        <v>19925256.280000001</v>
      </c>
      <c r="F1409" s="12">
        <v>-29</v>
      </c>
      <c r="G1409" s="125">
        <v>15868613.060000001</v>
      </c>
      <c r="H1409" s="12" t="s">
        <v>5410</v>
      </c>
      <c r="I1409" s="125">
        <v>680000</v>
      </c>
      <c r="J1409" s="13">
        <v>43031.470546099539</v>
      </c>
      <c r="K1409" s="13">
        <v>43396</v>
      </c>
      <c r="L1409" s="12" t="s">
        <v>5912</v>
      </c>
      <c r="M1409" s="12" t="s">
        <v>5913</v>
      </c>
      <c r="N1409" s="12"/>
      <c r="O1409" s="12"/>
      <c r="P1409" s="12"/>
      <c r="Q1409" s="12"/>
    </row>
    <row r="1410" spans="1:17" x14ac:dyDescent="0.25">
      <c r="A1410" s="11">
        <v>201415</v>
      </c>
      <c r="B1410" s="12" t="s">
        <v>4776</v>
      </c>
      <c r="C1410" s="12" t="s">
        <v>4795</v>
      </c>
      <c r="D1410" s="12">
        <v>2</v>
      </c>
      <c r="E1410" s="125">
        <v>26273549.219999999</v>
      </c>
      <c r="F1410" s="12">
        <v>-29</v>
      </c>
      <c r="G1410" s="125">
        <v>23725290.16</v>
      </c>
      <c r="H1410" s="12" t="s">
        <v>2861</v>
      </c>
      <c r="I1410" s="125">
        <v>980000</v>
      </c>
      <c r="J1410" s="13">
        <v>43031.617362581019</v>
      </c>
      <c r="K1410" s="13">
        <v>43213</v>
      </c>
      <c r="L1410" s="12" t="s">
        <v>4796</v>
      </c>
      <c r="M1410" s="12"/>
      <c r="N1410" s="12"/>
      <c r="O1410" s="12"/>
      <c r="P1410" s="12"/>
      <c r="Q1410" s="12"/>
    </row>
    <row r="1411" spans="1:17" x14ac:dyDescent="0.25">
      <c r="A1411" s="11">
        <v>201416</v>
      </c>
      <c r="B1411" s="12" t="s">
        <v>5895</v>
      </c>
      <c r="C1411" s="12" t="s">
        <v>5914</v>
      </c>
      <c r="D1411" s="12">
        <v>6</v>
      </c>
      <c r="E1411" s="125">
        <v>6763117.8600000003</v>
      </c>
      <c r="F1411" s="12">
        <v>-29</v>
      </c>
      <c r="G1411" s="125">
        <v>5585171.0999999996</v>
      </c>
      <c r="H1411" s="12" t="s">
        <v>2861</v>
      </c>
      <c r="I1411" s="125">
        <v>200000</v>
      </c>
      <c r="J1411" s="13">
        <v>43031.723029629633</v>
      </c>
      <c r="K1411" s="13">
        <v>43396</v>
      </c>
      <c r="L1411" s="12" t="s">
        <v>5915</v>
      </c>
      <c r="M1411" s="12"/>
      <c r="N1411" s="12"/>
      <c r="O1411" s="12"/>
      <c r="P1411" s="12"/>
      <c r="Q1411" s="12"/>
    </row>
    <row r="1412" spans="1:17" x14ac:dyDescent="0.25">
      <c r="A1412" s="11">
        <v>201418</v>
      </c>
      <c r="B1412" s="12" t="s">
        <v>5919</v>
      </c>
      <c r="C1412" s="12" t="s">
        <v>5931</v>
      </c>
      <c r="D1412" s="12">
        <v>7</v>
      </c>
      <c r="E1412" s="125">
        <v>252757.64</v>
      </c>
      <c r="F1412" s="12">
        <v>0</v>
      </c>
      <c r="G1412" s="125">
        <v>2000000</v>
      </c>
      <c r="H1412" s="12" t="s">
        <v>1667</v>
      </c>
      <c r="I1412" s="125">
        <v>87000</v>
      </c>
      <c r="J1412" s="13">
        <v>43032.744100543983</v>
      </c>
      <c r="K1412" s="13">
        <v>43336</v>
      </c>
      <c r="L1412" s="12" t="s">
        <v>5932</v>
      </c>
      <c r="M1412" s="12"/>
      <c r="N1412" s="12"/>
      <c r="O1412" s="12"/>
      <c r="P1412" s="12"/>
      <c r="Q1412" s="12"/>
    </row>
    <row r="1413" spans="1:17" x14ac:dyDescent="0.25">
      <c r="A1413" s="11">
        <v>201419</v>
      </c>
      <c r="B1413" s="12" t="s">
        <v>5920</v>
      </c>
      <c r="C1413" s="12" t="s">
        <v>5933</v>
      </c>
      <c r="D1413" s="12">
        <v>7</v>
      </c>
      <c r="E1413" s="125">
        <v>568704.69999999995</v>
      </c>
      <c r="F1413" s="12">
        <v>0</v>
      </c>
      <c r="G1413" s="125">
        <v>4500000</v>
      </c>
      <c r="H1413" s="12" t="s">
        <v>5047</v>
      </c>
      <c r="I1413" s="125">
        <v>195750</v>
      </c>
      <c r="J1413" s="13">
        <v>43032.733813692132</v>
      </c>
      <c r="K1413" s="13">
        <v>43336</v>
      </c>
      <c r="L1413" s="12" t="s">
        <v>5934</v>
      </c>
      <c r="M1413" s="12" t="s">
        <v>5935</v>
      </c>
      <c r="N1413" s="12"/>
      <c r="O1413" s="12"/>
      <c r="P1413" s="12"/>
      <c r="Q1413" s="12"/>
    </row>
    <row r="1414" spans="1:17" x14ac:dyDescent="0.25">
      <c r="A1414" s="11">
        <v>201420</v>
      </c>
      <c r="B1414" s="12" t="s">
        <v>5916</v>
      </c>
      <c r="C1414" s="12" t="s">
        <v>5936</v>
      </c>
      <c r="D1414" s="12">
        <v>1</v>
      </c>
      <c r="E1414" s="125">
        <v>631894.11</v>
      </c>
      <c r="F1414" s="12">
        <v>0</v>
      </c>
      <c r="G1414" s="125">
        <v>5000000</v>
      </c>
      <c r="H1414" s="12" t="s">
        <v>5410</v>
      </c>
      <c r="I1414" s="125">
        <v>217500</v>
      </c>
      <c r="J1414" s="13">
        <v>43032.650605868053</v>
      </c>
      <c r="K1414" s="13">
        <v>43336</v>
      </c>
      <c r="L1414" s="12" t="s">
        <v>5937</v>
      </c>
      <c r="M1414" s="12" t="s">
        <v>5938</v>
      </c>
      <c r="N1414" s="12"/>
      <c r="O1414" s="12"/>
      <c r="P1414" s="12"/>
      <c r="Q1414" s="12"/>
    </row>
    <row r="1415" spans="1:17" x14ac:dyDescent="0.25">
      <c r="A1415" s="11">
        <v>201421</v>
      </c>
      <c r="B1415" s="12" t="s">
        <v>5922</v>
      </c>
      <c r="C1415" s="12" t="s">
        <v>5939</v>
      </c>
      <c r="D1415" s="12">
        <v>1</v>
      </c>
      <c r="E1415" s="125">
        <v>252757.64</v>
      </c>
      <c r="F1415" s="12">
        <v>0</v>
      </c>
      <c r="G1415" s="125">
        <v>2000000</v>
      </c>
      <c r="H1415" s="12" t="s">
        <v>2557</v>
      </c>
      <c r="I1415" s="125">
        <v>87000</v>
      </c>
      <c r="J1415" s="13">
        <v>43032.691087037034</v>
      </c>
      <c r="K1415" s="13">
        <v>43336</v>
      </c>
      <c r="L1415" s="12" t="s">
        <v>5940</v>
      </c>
      <c r="M1415" s="12"/>
      <c r="N1415" s="12"/>
      <c r="O1415" s="12"/>
      <c r="P1415" s="12"/>
      <c r="Q1415" s="12"/>
    </row>
    <row r="1416" spans="1:17" x14ac:dyDescent="0.25">
      <c r="A1416" s="11">
        <v>201422</v>
      </c>
      <c r="B1416" s="12" t="s">
        <v>4667</v>
      </c>
      <c r="C1416" s="12" t="s">
        <v>4669</v>
      </c>
      <c r="D1416" s="12">
        <v>8</v>
      </c>
      <c r="E1416" s="125">
        <v>1045015.67</v>
      </c>
      <c r="F1416" s="12">
        <v>-1</v>
      </c>
      <c r="G1416" s="125">
        <v>10000000</v>
      </c>
      <c r="H1416" s="12" t="s">
        <v>2557</v>
      </c>
      <c r="I1416" s="125">
        <v>342222.23</v>
      </c>
      <c r="J1416" s="13">
        <v>43033.665487071761</v>
      </c>
      <c r="K1416" s="13">
        <v>43398</v>
      </c>
      <c r="L1416" s="12" t="s">
        <v>4670</v>
      </c>
      <c r="M1416" s="12"/>
      <c r="N1416" s="12"/>
      <c r="O1416" s="12"/>
      <c r="P1416" s="12"/>
      <c r="Q1416" s="12"/>
    </row>
    <row r="1417" spans="1:17" x14ac:dyDescent="0.25">
      <c r="A1417" s="11">
        <v>201423</v>
      </c>
      <c r="B1417" s="12" t="s">
        <v>5941</v>
      </c>
      <c r="C1417" s="12" t="s">
        <v>5948</v>
      </c>
      <c r="D1417" s="12">
        <v>7</v>
      </c>
      <c r="E1417" s="125">
        <v>505515.29</v>
      </c>
      <c r="F1417" s="12">
        <v>-1</v>
      </c>
      <c r="G1417" s="125">
        <v>4000000</v>
      </c>
      <c r="H1417" s="12" t="s">
        <v>4685</v>
      </c>
      <c r="I1417" s="125">
        <v>168000</v>
      </c>
      <c r="J1417" s="13">
        <v>43033.59846241898</v>
      </c>
      <c r="K1417" s="13">
        <v>43337</v>
      </c>
      <c r="L1417" s="12" t="s">
        <v>5949</v>
      </c>
      <c r="M1417" s="12"/>
      <c r="N1417" s="12" t="s">
        <v>5950</v>
      </c>
      <c r="O1417" s="12"/>
      <c r="P1417" s="12"/>
      <c r="Q1417" s="12"/>
    </row>
    <row r="1418" spans="1:17" x14ac:dyDescent="0.25">
      <c r="A1418" s="11">
        <v>201424</v>
      </c>
      <c r="B1418" s="12" t="s">
        <v>5944</v>
      </c>
      <c r="C1418" s="12" t="s">
        <v>5951</v>
      </c>
      <c r="D1418" s="12">
        <v>2</v>
      </c>
      <c r="E1418" s="125">
        <v>3082273.61</v>
      </c>
      <c r="F1418" s="12">
        <v>-1</v>
      </c>
      <c r="G1418" s="125">
        <v>25000000</v>
      </c>
      <c r="H1418" s="12" t="s">
        <v>4686</v>
      </c>
      <c r="I1418" s="125">
        <v>933333.33</v>
      </c>
      <c r="J1418" s="13">
        <v>43033.736196840277</v>
      </c>
      <c r="K1418" s="13">
        <v>43337</v>
      </c>
      <c r="L1418" s="12" t="s">
        <v>5952</v>
      </c>
      <c r="M1418" s="12"/>
      <c r="N1418" s="12"/>
      <c r="O1418" s="12"/>
      <c r="P1418" s="12"/>
      <c r="Q1418" s="12"/>
    </row>
    <row r="1419" spans="1:17" x14ac:dyDescent="0.25">
      <c r="A1419" s="11">
        <v>201425</v>
      </c>
      <c r="B1419" s="12" t="s">
        <v>3047</v>
      </c>
      <c r="C1419" s="12" t="s">
        <v>3066</v>
      </c>
      <c r="D1419" s="12">
        <v>1</v>
      </c>
      <c r="E1419" s="125">
        <v>1065521.73</v>
      </c>
      <c r="F1419" s="12">
        <v>-1</v>
      </c>
      <c r="G1419" s="125">
        <v>10000000</v>
      </c>
      <c r="H1419" s="12" t="s">
        <v>2855</v>
      </c>
      <c r="I1419" s="125">
        <v>373333.33</v>
      </c>
      <c r="J1419" s="13">
        <v>43033.744951122688</v>
      </c>
      <c r="K1419" s="13">
        <v>43398</v>
      </c>
      <c r="L1419" s="12" t="s">
        <v>3067</v>
      </c>
      <c r="M1419" s="12"/>
      <c r="N1419" s="12"/>
      <c r="O1419" s="12"/>
      <c r="P1419" s="12"/>
      <c r="Q1419" s="12"/>
    </row>
    <row r="1420" spans="1:17" x14ac:dyDescent="0.25">
      <c r="A1420" s="11">
        <v>201426</v>
      </c>
      <c r="B1420" s="12" t="s">
        <v>5942</v>
      </c>
      <c r="C1420" s="12" t="s">
        <v>5953</v>
      </c>
      <c r="D1420" s="12">
        <v>7</v>
      </c>
      <c r="E1420" s="125">
        <v>227481.88</v>
      </c>
      <c r="F1420" s="12">
        <v>-1</v>
      </c>
      <c r="G1420" s="125">
        <v>1800000</v>
      </c>
      <c r="H1420" s="12" t="s">
        <v>2855</v>
      </c>
      <c r="I1420" s="125">
        <v>75600</v>
      </c>
      <c r="J1420" s="13">
        <v>43033.749620451388</v>
      </c>
      <c r="K1420" s="13">
        <v>43337</v>
      </c>
      <c r="L1420" s="12" t="s">
        <v>5954</v>
      </c>
      <c r="M1420" s="12"/>
      <c r="N1420" s="12"/>
      <c r="O1420" s="12"/>
      <c r="P1420" s="12"/>
      <c r="Q1420" s="12"/>
    </row>
    <row r="1421" spans="1:17" x14ac:dyDescent="0.25">
      <c r="A1421" s="11">
        <v>201427</v>
      </c>
      <c r="B1421" s="12" t="s">
        <v>1738</v>
      </c>
      <c r="C1421" s="12" t="s">
        <v>2756</v>
      </c>
      <c r="D1421" s="12">
        <v>4</v>
      </c>
      <c r="E1421" s="125">
        <v>3289618.97</v>
      </c>
      <c r="F1421" s="12">
        <v>-27</v>
      </c>
      <c r="G1421" s="125">
        <v>3093610.93</v>
      </c>
      <c r="H1421" s="12" t="s">
        <v>284</v>
      </c>
      <c r="I1421" s="125">
        <v>4296.68</v>
      </c>
      <c r="J1421" s="13">
        <v>43033.711786307867</v>
      </c>
      <c r="K1421" s="13">
        <v>43211</v>
      </c>
      <c r="L1421" s="12" t="s">
        <v>2757</v>
      </c>
      <c r="M1421" s="12"/>
      <c r="N1421" s="12"/>
      <c r="O1421" s="12"/>
      <c r="P1421" s="12"/>
      <c r="Q1421" s="12"/>
    </row>
    <row r="1422" spans="1:17" x14ac:dyDescent="0.25">
      <c r="A1422" s="11">
        <v>201428</v>
      </c>
      <c r="B1422" s="12" t="s">
        <v>4549</v>
      </c>
      <c r="C1422" s="12" t="s">
        <v>4558</v>
      </c>
      <c r="D1422" s="12">
        <v>4</v>
      </c>
      <c r="E1422" s="125">
        <v>1695587.38</v>
      </c>
      <c r="F1422" s="12">
        <v>-27</v>
      </c>
      <c r="G1422" s="125">
        <v>1610825.38</v>
      </c>
      <c r="H1422" s="12" t="s">
        <v>284</v>
      </c>
      <c r="I1422" s="125">
        <v>2237.2600000000002</v>
      </c>
      <c r="J1422" s="13">
        <v>43034.410622766205</v>
      </c>
      <c r="K1422" s="13">
        <v>43180</v>
      </c>
      <c r="L1422" s="12" t="s">
        <v>4559</v>
      </c>
      <c r="M1422" s="12" t="s">
        <v>4560</v>
      </c>
      <c r="N1422" s="12"/>
      <c r="O1422" s="12"/>
      <c r="P1422" s="12"/>
      <c r="Q1422" s="12"/>
    </row>
    <row r="1423" spans="1:17" x14ac:dyDescent="0.25">
      <c r="A1423" s="11">
        <v>201429</v>
      </c>
      <c r="B1423" s="12" t="s">
        <v>3330</v>
      </c>
      <c r="C1423" s="12" t="s">
        <v>3343</v>
      </c>
      <c r="D1423" s="12">
        <v>6</v>
      </c>
      <c r="E1423" s="125">
        <v>1462644.83</v>
      </c>
      <c r="F1423" s="12">
        <v>-8</v>
      </c>
      <c r="G1423" s="125">
        <v>20000000</v>
      </c>
      <c r="H1423" s="12" t="s">
        <v>5167</v>
      </c>
      <c r="I1423" s="125">
        <v>540000</v>
      </c>
      <c r="J1423" s="13">
        <v>43034.539215659723</v>
      </c>
      <c r="K1423" s="13">
        <v>43587</v>
      </c>
      <c r="L1423" s="12" t="s">
        <v>3344</v>
      </c>
      <c r="M1423" s="12"/>
      <c r="N1423" s="12" t="s">
        <v>3345</v>
      </c>
      <c r="O1423" s="12"/>
      <c r="P1423" s="12"/>
      <c r="Q1423" s="12"/>
    </row>
    <row r="1424" spans="1:17" x14ac:dyDescent="0.25">
      <c r="A1424" s="11">
        <v>201430</v>
      </c>
      <c r="B1424" s="12" t="s">
        <v>2677</v>
      </c>
      <c r="C1424" s="12" t="s">
        <v>2685</v>
      </c>
      <c r="D1424" s="12">
        <v>6</v>
      </c>
      <c r="E1424" s="125">
        <v>1426078.71</v>
      </c>
      <c r="F1424" s="12">
        <v>-8</v>
      </c>
      <c r="G1424" s="125">
        <v>19500000</v>
      </c>
      <c r="H1424" s="12" t="s">
        <v>1925</v>
      </c>
      <c r="I1424" s="125">
        <v>526500</v>
      </c>
      <c r="J1424" s="13">
        <v>43034.727116006943</v>
      </c>
      <c r="K1424" s="13">
        <v>43587</v>
      </c>
      <c r="L1424" s="12" t="s">
        <v>2686</v>
      </c>
      <c r="M1424" s="12" t="s">
        <v>2687</v>
      </c>
      <c r="N1424" s="12"/>
      <c r="O1424" s="12"/>
      <c r="P1424" s="12"/>
      <c r="Q1424" s="12"/>
    </row>
    <row r="1425" spans="1:17" x14ac:dyDescent="0.25">
      <c r="A1425" s="11">
        <v>201431</v>
      </c>
      <c r="B1425" s="12" t="s">
        <v>3218</v>
      </c>
      <c r="C1425" s="12" t="s">
        <v>3221</v>
      </c>
      <c r="D1425" s="12">
        <v>1</v>
      </c>
      <c r="E1425" s="125">
        <v>534081.29</v>
      </c>
      <c r="F1425" s="12">
        <v>-8</v>
      </c>
      <c r="G1425" s="125">
        <v>5000000</v>
      </c>
      <c r="H1425" s="12" t="s">
        <v>2557</v>
      </c>
      <c r="I1425" s="125">
        <v>153333.32999999999</v>
      </c>
      <c r="J1425" s="13">
        <v>43039.472468287036</v>
      </c>
      <c r="K1425" s="13">
        <v>43405</v>
      </c>
      <c r="L1425" s="12" t="s">
        <v>3222</v>
      </c>
      <c r="M1425" s="12"/>
      <c r="N1425" s="12"/>
      <c r="O1425" s="12"/>
      <c r="P1425" s="12"/>
      <c r="Q1425" s="12"/>
    </row>
    <row r="1426" spans="1:17" x14ac:dyDescent="0.25">
      <c r="A1426" s="11">
        <v>201432</v>
      </c>
      <c r="B1426" s="12" t="s">
        <v>2248</v>
      </c>
      <c r="C1426" s="12" t="s">
        <v>2249</v>
      </c>
      <c r="D1426" s="12">
        <v>6</v>
      </c>
      <c r="E1426" s="125">
        <v>2826593.43</v>
      </c>
      <c r="F1426" s="12">
        <v>-8</v>
      </c>
      <c r="G1426" s="125">
        <v>28000000</v>
      </c>
      <c r="H1426" s="12" t="s">
        <v>2175</v>
      </c>
      <c r="I1426" s="125">
        <v>728000</v>
      </c>
      <c r="J1426" s="13">
        <v>43035.58486909722</v>
      </c>
      <c r="K1426" s="13">
        <v>43406</v>
      </c>
      <c r="L1426" s="12" t="s">
        <v>2250</v>
      </c>
      <c r="M1426" s="12"/>
      <c r="N1426" s="12" t="s">
        <v>2251</v>
      </c>
      <c r="O1426" s="12"/>
      <c r="P1426" s="12"/>
      <c r="Q1426" s="12"/>
    </row>
    <row r="1427" spans="1:17" x14ac:dyDescent="0.25">
      <c r="A1427" s="11">
        <v>201434</v>
      </c>
      <c r="B1427" s="12" t="s">
        <v>4373</v>
      </c>
      <c r="C1427" s="12" t="s">
        <v>4380</v>
      </c>
      <c r="D1427" s="12">
        <v>1</v>
      </c>
      <c r="E1427" s="125">
        <v>1070985.94</v>
      </c>
      <c r="F1427" s="12">
        <v>-8</v>
      </c>
      <c r="G1427" s="125">
        <v>10000000</v>
      </c>
      <c r="H1427" s="12" t="s">
        <v>1909</v>
      </c>
      <c r="I1427" s="125">
        <v>333333.33</v>
      </c>
      <c r="J1427" s="13">
        <v>43036.471182754627</v>
      </c>
      <c r="K1427" s="13">
        <v>43406</v>
      </c>
      <c r="L1427" s="12" t="s">
        <v>4381</v>
      </c>
      <c r="M1427" s="12"/>
      <c r="N1427" s="12" t="s">
        <v>4382</v>
      </c>
      <c r="O1427" s="12"/>
      <c r="P1427" s="12"/>
      <c r="Q1427" s="12"/>
    </row>
    <row r="1428" spans="1:17" x14ac:dyDescent="0.25">
      <c r="A1428" s="11">
        <v>201435</v>
      </c>
      <c r="B1428" s="12" t="s">
        <v>5965</v>
      </c>
      <c r="C1428" s="12" t="s">
        <v>5966</v>
      </c>
      <c r="D1428" s="12">
        <v>1</v>
      </c>
      <c r="E1428" s="125">
        <v>1102958.51</v>
      </c>
      <c r="F1428" s="12">
        <v>-8</v>
      </c>
      <c r="G1428" s="125">
        <v>10000000</v>
      </c>
      <c r="H1428" s="12" t="s">
        <v>2557</v>
      </c>
      <c r="I1428" s="125">
        <v>375000</v>
      </c>
      <c r="J1428" s="13">
        <v>43036.508972685187</v>
      </c>
      <c r="K1428" s="13">
        <v>43406</v>
      </c>
      <c r="L1428" s="12" t="s">
        <v>5967</v>
      </c>
      <c r="M1428" s="12"/>
      <c r="N1428" s="12"/>
      <c r="O1428" s="12"/>
      <c r="P1428" s="12"/>
      <c r="Q1428" s="12"/>
    </row>
    <row r="1429" spans="1:17" x14ac:dyDescent="0.25">
      <c r="A1429" s="11">
        <v>201436</v>
      </c>
      <c r="B1429" s="12" t="s">
        <v>3114</v>
      </c>
      <c r="C1429" s="12" t="s">
        <v>3115</v>
      </c>
      <c r="D1429" s="12">
        <v>2</v>
      </c>
      <c r="E1429" s="125">
        <v>2286911.96</v>
      </c>
      <c r="F1429" s="12">
        <v>-8</v>
      </c>
      <c r="G1429" s="125">
        <v>22000000</v>
      </c>
      <c r="H1429" s="12" t="s">
        <v>2034</v>
      </c>
      <c r="I1429" s="125">
        <v>641666.67000000004</v>
      </c>
      <c r="J1429" s="13">
        <v>43036.492605555555</v>
      </c>
      <c r="K1429" s="13">
        <v>43406</v>
      </c>
      <c r="L1429" s="12" t="s">
        <v>3116</v>
      </c>
      <c r="M1429" s="12"/>
      <c r="N1429" s="12"/>
      <c r="O1429" s="12"/>
      <c r="P1429" s="12"/>
      <c r="Q1429" s="12"/>
    </row>
    <row r="1430" spans="1:17" x14ac:dyDescent="0.25">
      <c r="A1430" s="11">
        <v>201437</v>
      </c>
      <c r="B1430" s="12" t="s">
        <v>4546</v>
      </c>
      <c r="C1430" s="12" t="s">
        <v>4552</v>
      </c>
      <c r="D1430" s="12">
        <v>2</v>
      </c>
      <c r="E1430" s="125">
        <v>1763193.19</v>
      </c>
      <c r="F1430" s="12">
        <v>-8</v>
      </c>
      <c r="G1430" s="125">
        <v>17000000</v>
      </c>
      <c r="H1430" s="12" t="s">
        <v>3074</v>
      </c>
      <c r="I1430" s="125">
        <v>456166.67</v>
      </c>
      <c r="J1430" s="13">
        <v>43039.73473827546</v>
      </c>
      <c r="K1430" s="13">
        <v>43406</v>
      </c>
      <c r="L1430" s="12" t="s">
        <v>4553</v>
      </c>
      <c r="M1430" s="12"/>
      <c r="N1430" s="12" t="s">
        <v>4554</v>
      </c>
      <c r="O1430" s="12"/>
      <c r="P1430" s="12"/>
      <c r="Q1430" s="12"/>
    </row>
    <row r="1431" spans="1:17" x14ac:dyDescent="0.25">
      <c r="A1431" s="11">
        <v>201438</v>
      </c>
      <c r="B1431" s="12" t="s">
        <v>5973</v>
      </c>
      <c r="C1431" s="12" t="s">
        <v>5983</v>
      </c>
      <c r="D1431" s="12">
        <v>2</v>
      </c>
      <c r="E1431" s="125">
        <v>1816031.52</v>
      </c>
      <c r="F1431" s="12">
        <v>-8</v>
      </c>
      <c r="G1431" s="125">
        <v>17000000</v>
      </c>
      <c r="H1431" s="12" t="s">
        <v>1447</v>
      </c>
      <c r="I1431" s="125">
        <v>521333.33</v>
      </c>
      <c r="J1431" s="13">
        <v>43039.714177233793</v>
      </c>
      <c r="K1431" s="13">
        <v>43406</v>
      </c>
      <c r="L1431" s="12" t="s">
        <v>5984</v>
      </c>
      <c r="M1431" s="12" t="s">
        <v>5985</v>
      </c>
      <c r="N1431" s="12"/>
      <c r="O1431" s="12"/>
      <c r="P1431" s="12"/>
      <c r="Q1431" s="12"/>
    </row>
    <row r="1432" spans="1:17" x14ac:dyDescent="0.25">
      <c r="A1432" s="11">
        <v>201439</v>
      </c>
      <c r="B1432" s="12" t="s">
        <v>5969</v>
      </c>
      <c r="C1432" s="12" t="s">
        <v>5986</v>
      </c>
      <c r="D1432" s="12">
        <v>2</v>
      </c>
      <c r="E1432" s="125">
        <v>1583917.5</v>
      </c>
      <c r="F1432" s="12">
        <v>-8</v>
      </c>
      <c r="G1432" s="125">
        <v>20000000</v>
      </c>
      <c r="H1432" s="12" t="s">
        <v>1909</v>
      </c>
      <c r="I1432" s="125">
        <v>613333.32999999996</v>
      </c>
      <c r="J1432" s="13">
        <v>43039.705528240738</v>
      </c>
      <c r="K1432" s="13">
        <v>43587</v>
      </c>
      <c r="L1432" s="12" t="s">
        <v>5987</v>
      </c>
      <c r="M1432" s="12"/>
      <c r="N1432" s="12" t="s">
        <v>5988</v>
      </c>
      <c r="O1432" s="12"/>
      <c r="P1432" s="12"/>
      <c r="Q1432" s="12"/>
    </row>
    <row r="1433" spans="1:17" x14ac:dyDescent="0.25">
      <c r="A1433" s="11">
        <v>201440</v>
      </c>
      <c r="B1433" s="12" t="s">
        <v>5971</v>
      </c>
      <c r="C1433" s="12" t="s">
        <v>5989</v>
      </c>
      <c r="D1433" s="12">
        <v>1</v>
      </c>
      <c r="E1433" s="125">
        <v>380112.24</v>
      </c>
      <c r="F1433" s="12">
        <v>-8</v>
      </c>
      <c r="G1433" s="125">
        <v>2500000</v>
      </c>
      <c r="H1433" s="12" t="s">
        <v>4683</v>
      </c>
      <c r="I1433" s="125">
        <v>86250</v>
      </c>
      <c r="J1433" s="13">
        <v>43039.751634490742</v>
      </c>
      <c r="K1433" s="13">
        <v>43283</v>
      </c>
      <c r="L1433" s="12" t="s">
        <v>5990</v>
      </c>
      <c r="M1433" s="12"/>
      <c r="N1433" s="12"/>
      <c r="O1433" s="12"/>
      <c r="P1433" s="12"/>
      <c r="Q1433" s="12"/>
    </row>
    <row r="1434" spans="1:17" x14ac:dyDescent="0.25">
      <c r="A1434" s="11">
        <v>201441</v>
      </c>
      <c r="B1434" s="12" t="s">
        <v>5970</v>
      </c>
      <c r="C1434" s="12" t="s">
        <v>5991</v>
      </c>
      <c r="D1434" s="12">
        <v>2</v>
      </c>
      <c r="E1434" s="125">
        <v>5355029</v>
      </c>
      <c r="F1434" s="12">
        <v>-8</v>
      </c>
      <c r="G1434" s="125">
        <v>28000000</v>
      </c>
      <c r="H1434" s="12" t="s">
        <v>5382</v>
      </c>
      <c r="I1434" s="125">
        <v>858666.67</v>
      </c>
      <c r="J1434" s="13">
        <v>43039.797131331019</v>
      </c>
      <c r="K1434" s="13">
        <v>43222</v>
      </c>
      <c r="L1434" s="12" t="s">
        <v>6034</v>
      </c>
      <c r="M1434" s="12"/>
      <c r="N1434" s="12"/>
      <c r="O1434" s="12"/>
      <c r="P1434" s="12"/>
      <c r="Q1434" s="12"/>
    </row>
    <row r="1435" spans="1:17" x14ac:dyDescent="0.25">
      <c r="A1435" s="11">
        <v>201442</v>
      </c>
      <c r="B1435" s="12" t="s">
        <v>3312</v>
      </c>
      <c r="C1435" s="12" t="s">
        <v>3318</v>
      </c>
      <c r="D1435" s="12">
        <v>2</v>
      </c>
      <c r="E1435" s="125">
        <v>1562851.25</v>
      </c>
      <c r="F1435" s="12">
        <v>-8</v>
      </c>
      <c r="G1435" s="125">
        <v>18000000</v>
      </c>
      <c r="H1435" s="12" t="s">
        <v>1925</v>
      </c>
      <c r="I1435" s="125">
        <v>441000</v>
      </c>
      <c r="J1435" s="13">
        <v>43041.570559953703</v>
      </c>
      <c r="K1435" s="13">
        <v>43498</v>
      </c>
      <c r="L1435" s="12" t="s">
        <v>3319</v>
      </c>
      <c r="M1435" s="12"/>
      <c r="N1435" s="12" t="s">
        <v>3320</v>
      </c>
      <c r="O1435" s="12"/>
      <c r="P1435" s="12"/>
      <c r="Q1435" s="12"/>
    </row>
    <row r="1436" spans="1:17" x14ac:dyDescent="0.25">
      <c r="A1436" s="11">
        <v>201443</v>
      </c>
      <c r="B1436" s="12" t="s">
        <v>1886</v>
      </c>
      <c r="C1436" s="12" t="s">
        <v>1889</v>
      </c>
      <c r="D1436" s="12">
        <v>4</v>
      </c>
      <c r="E1436" s="125">
        <v>7801753</v>
      </c>
      <c r="F1436" s="12">
        <v>-27</v>
      </c>
      <c r="G1436" s="125">
        <v>7336894.8300000001</v>
      </c>
      <c r="H1436" s="12" t="s">
        <v>284</v>
      </c>
      <c r="I1436" s="125">
        <v>10190.129999999999</v>
      </c>
      <c r="J1436" s="13">
        <v>43041.55247800926</v>
      </c>
      <c r="K1436" s="13">
        <v>43211</v>
      </c>
      <c r="L1436" s="12" t="s">
        <v>1890</v>
      </c>
      <c r="M1436" s="12"/>
      <c r="N1436" s="12"/>
      <c r="O1436" s="12"/>
      <c r="P1436" s="12"/>
      <c r="Q1436" s="12"/>
    </row>
    <row r="1437" spans="1:17" x14ac:dyDescent="0.25">
      <c r="A1437" s="11">
        <v>201445</v>
      </c>
      <c r="B1437" s="12" t="s">
        <v>2748</v>
      </c>
      <c r="C1437" s="12" t="s">
        <v>2752</v>
      </c>
      <c r="D1437" s="12">
        <v>4</v>
      </c>
      <c r="E1437" s="125">
        <v>3548899.3</v>
      </c>
      <c r="F1437" s="12">
        <v>-27</v>
      </c>
      <c r="G1437" s="125">
        <v>3337442.36</v>
      </c>
      <c r="H1437" s="12" t="s">
        <v>284</v>
      </c>
      <c r="I1437" s="125">
        <v>4635.34</v>
      </c>
      <c r="J1437" s="13">
        <v>43043.446434490739</v>
      </c>
      <c r="K1437" s="13">
        <v>43211</v>
      </c>
      <c r="L1437" s="12" t="s">
        <v>2753</v>
      </c>
      <c r="M1437" s="12"/>
      <c r="N1437" s="12"/>
      <c r="O1437" s="12"/>
      <c r="P1437" s="12"/>
      <c r="Q1437" s="12"/>
    </row>
    <row r="1438" spans="1:17" x14ac:dyDescent="0.25">
      <c r="A1438" s="11">
        <v>201447</v>
      </c>
      <c r="B1438" s="12" t="s">
        <v>6000</v>
      </c>
      <c r="C1438" s="12" t="s">
        <v>6002</v>
      </c>
      <c r="D1438" s="12">
        <v>4</v>
      </c>
      <c r="E1438" s="125">
        <v>4078477.91</v>
      </c>
      <c r="F1438" s="12">
        <v>-27</v>
      </c>
      <c r="G1438" s="125">
        <v>3835466.65</v>
      </c>
      <c r="H1438" s="12" t="s">
        <v>284</v>
      </c>
      <c r="I1438" s="125">
        <v>5327.04</v>
      </c>
      <c r="J1438" s="13">
        <v>43046.41154591435</v>
      </c>
      <c r="K1438" s="13">
        <v>43211</v>
      </c>
      <c r="L1438" s="12" t="s">
        <v>6003</v>
      </c>
      <c r="M1438" s="12"/>
      <c r="N1438" s="12"/>
      <c r="O1438" s="12"/>
      <c r="P1438" s="12"/>
      <c r="Q1438" s="12"/>
    </row>
    <row r="1439" spans="1:17" x14ac:dyDescent="0.25">
      <c r="A1439" s="11">
        <v>201448</v>
      </c>
      <c r="B1439" s="12" t="s">
        <v>4861</v>
      </c>
      <c r="C1439" s="12" t="s">
        <v>4865</v>
      </c>
      <c r="D1439" s="12">
        <v>1</v>
      </c>
      <c r="E1439" s="125">
        <v>1065521.73</v>
      </c>
      <c r="F1439" s="12">
        <v>-13</v>
      </c>
      <c r="G1439" s="125">
        <v>10000000</v>
      </c>
      <c r="H1439" s="12" t="s">
        <v>2861</v>
      </c>
      <c r="I1439" s="125">
        <v>213333.33</v>
      </c>
      <c r="J1439" s="13">
        <v>43046.715636423614</v>
      </c>
      <c r="K1439" s="13">
        <v>43411</v>
      </c>
      <c r="L1439" s="12" t="s">
        <v>4866</v>
      </c>
      <c r="M1439" s="12"/>
      <c r="N1439" s="12" t="s">
        <v>4867</v>
      </c>
      <c r="O1439" s="12"/>
      <c r="P1439" s="12"/>
      <c r="Q1439" s="12"/>
    </row>
    <row r="1440" spans="1:17" x14ac:dyDescent="0.25">
      <c r="A1440" s="11">
        <v>201449</v>
      </c>
      <c r="B1440" s="12" t="s">
        <v>6017</v>
      </c>
      <c r="C1440" s="12" t="s">
        <v>6023</v>
      </c>
      <c r="D1440" s="12">
        <v>1</v>
      </c>
      <c r="E1440" s="125">
        <v>369872.83</v>
      </c>
      <c r="F1440" s="12">
        <v>-15</v>
      </c>
      <c r="G1440" s="125">
        <v>3000000</v>
      </c>
      <c r="H1440" s="12" t="s">
        <v>2861</v>
      </c>
      <c r="I1440" s="125">
        <v>56000</v>
      </c>
      <c r="J1440" s="13">
        <v>43048.43716577546</v>
      </c>
      <c r="K1440" s="13">
        <v>43352</v>
      </c>
      <c r="L1440" s="12" t="s">
        <v>6024</v>
      </c>
      <c r="M1440" s="12"/>
      <c r="N1440" s="12" t="s">
        <v>6025</v>
      </c>
      <c r="O1440" s="12"/>
      <c r="P1440" s="12"/>
      <c r="Q1440" s="12"/>
    </row>
    <row r="1441" spans="1:17" x14ac:dyDescent="0.25">
      <c r="A1441" s="11">
        <v>201450</v>
      </c>
      <c r="B1441" s="12" t="s">
        <v>6001</v>
      </c>
      <c r="C1441" s="12" t="s">
        <v>6004</v>
      </c>
      <c r="D1441" s="12">
        <v>6</v>
      </c>
      <c r="E1441" s="125">
        <v>614828.9</v>
      </c>
      <c r="F1441" s="12">
        <v>-13</v>
      </c>
      <c r="G1441" s="125">
        <v>6000000</v>
      </c>
      <c r="H1441" s="12" t="s">
        <v>5335</v>
      </c>
      <c r="I1441" s="125">
        <v>106666.67</v>
      </c>
      <c r="J1441" s="13">
        <v>43046.70612318287</v>
      </c>
      <c r="K1441" s="13">
        <v>43411</v>
      </c>
      <c r="L1441" s="12" t="s">
        <v>6005</v>
      </c>
      <c r="M1441" s="12"/>
      <c r="N1441" s="12"/>
      <c r="O1441" s="12"/>
      <c r="P1441" s="12"/>
      <c r="Q1441" s="12"/>
    </row>
    <row r="1442" spans="1:17" x14ac:dyDescent="0.25">
      <c r="A1442" s="11">
        <v>201451</v>
      </c>
      <c r="B1442" s="12" t="s">
        <v>2473</v>
      </c>
      <c r="C1442" s="12" t="s">
        <v>2474</v>
      </c>
      <c r="D1442" s="12">
        <v>8</v>
      </c>
      <c r="E1442" s="125">
        <v>952186.86</v>
      </c>
      <c r="F1442" s="12">
        <v>-14</v>
      </c>
      <c r="G1442" s="125">
        <v>6500000</v>
      </c>
      <c r="H1442" s="12" t="s">
        <v>2861</v>
      </c>
      <c r="I1442" s="125">
        <v>119166.67</v>
      </c>
      <c r="J1442" s="13">
        <v>43047.486772303244</v>
      </c>
      <c r="K1442" s="13">
        <v>43289</v>
      </c>
      <c r="L1442" s="12" t="s">
        <v>2475</v>
      </c>
      <c r="M1442" s="12"/>
      <c r="N1442" s="12" t="s">
        <v>2476</v>
      </c>
      <c r="O1442" s="12"/>
      <c r="P1442" s="12"/>
      <c r="Q1442" s="12"/>
    </row>
    <row r="1443" spans="1:17" x14ac:dyDescent="0.25">
      <c r="A1443" s="11">
        <v>201452</v>
      </c>
      <c r="B1443" s="12" t="s">
        <v>6006</v>
      </c>
      <c r="C1443" s="12" t="s">
        <v>6009</v>
      </c>
      <c r="D1443" s="12">
        <v>7</v>
      </c>
      <c r="E1443" s="125">
        <v>379136.47</v>
      </c>
      <c r="F1443" s="12">
        <v>-14</v>
      </c>
      <c r="G1443" s="125">
        <v>3000000</v>
      </c>
      <c r="H1443" s="12" t="s">
        <v>4686</v>
      </c>
      <c r="I1443" s="125">
        <v>67500</v>
      </c>
      <c r="J1443" s="13">
        <v>43047.499046840276</v>
      </c>
      <c r="K1443" s="13">
        <v>43351</v>
      </c>
      <c r="L1443" s="12" t="s">
        <v>6010</v>
      </c>
      <c r="M1443" s="12"/>
      <c r="N1443" s="12"/>
      <c r="O1443" s="12"/>
      <c r="P1443" s="12"/>
      <c r="Q1443" s="12"/>
    </row>
    <row r="1444" spans="1:17" x14ac:dyDescent="0.25">
      <c r="A1444" s="11">
        <v>201453</v>
      </c>
      <c r="B1444" s="12" t="s">
        <v>6007</v>
      </c>
      <c r="C1444" s="12" t="s">
        <v>6011</v>
      </c>
      <c r="D1444" s="12">
        <v>7</v>
      </c>
      <c r="E1444" s="125">
        <v>505515.29</v>
      </c>
      <c r="F1444" s="12">
        <v>-14</v>
      </c>
      <c r="G1444" s="125">
        <v>4000000</v>
      </c>
      <c r="H1444" s="12" t="s">
        <v>5386</v>
      </c>
      <c r="I1444" s="125">
        <v>90000</v>
      </c>
      <c r="J1444" s="13">
        <v>43047.549877511578</v>
      </c>
      <c r="K1444" s="13">
        <v>43351</v>
      </c>
      <c r="L1444" s="12" t="s">
        <v>6012</v>
      </c>
      <c r="M1444" s="12" t="s">
        <v>6013</v>
      </c>
      <c r="N1444" s="12"/>
      <c r="O1444" s="12"/>
      <c r="P1444" s="12"/>
      <c r="Q1444" s="12"/>
    </row>
    <row r="1445" spans="1:17" x14ac:dyDescent="0.25">
      <c r="A1445" s="11">
        <v>201454</v>
      </c>
      <c r="B1445" s="12" t="s">
        <v>6008</v>
      </c>
      <c r="C1445" s="12" t="s">
        <v>6014</v>
      </c>
      <c r="D1445" s="12">
        <v>8</v>
      </c>
      <c r="E1445" s="125">
        <v>745896.01</v>
      </c>
      <c r="F1445" s="12">
        <v>-14</v>
      </c>
      <c r="G1445" s="125">
        <v>6000000</v>
      </c>
      <c r="H1445" s="12" t="s">
        <v>4686</v>
      </c>
      <c r="I1445" s="125">
        <v>125000</v>
      </c>
      <c r="J1445" s="13">
        <v>43047.583961724536</v>
      </c>
      <c r="K1445" s="13">
        <v>43351</v>
      </c>
      <c r="L1445" s="12" t="s">
        <v>6015</v>
      </c>
      <c r="M1445" s="12"/>
      <c r="N1445" s="12"/>
      <c r="O1445" s="12"/>
      <c r="P1445" s="12"/>
      <c r="Q1445" s="12"/>
    </row>
    <row r="1446" spans="1:17" x14ac:dyDescent="0.25">
      <c r="A1446" s="11">
        <v>201455</v>
      </c>
      <c r="B1446" s="12" t="s">
        <v>5180</v>
      </c>
      <c r="C1446" s="12" t="s">
        <v>5181</v>
      </c>
      <c r="D1446" s="12">
        <v>4</v>
      </c>
      <c r="E1446" s="125">
        <v>884180.13</v>
      </c>
      <c r="F1446" s="12">
        <v>-27</v>
      </c>
      <c r="G1446" s="125">
        <v>831497.3</v>
      </c>
      <c r="H1446" s="12" t="s">
        <v>284</v>
      </c>
      <c r="I1446" s="125">
        <v>1154.8599999999999</v>
      </c>
      <c r="J1446" s="13">
        <v>43048.486365081022</v>
      </c>
      <c r="K1446" s="13">
        <v>43211</v>
      </c>
      <c r="L1446" s="12" t="s">
        <v>5182</v>
      </c>
      <c r="M1446" s="12"/>
      <c r="N1446" s="12"/>
      <c r="O1446" s="12"/>
      <c r="P1446" s="12"/>
      <c r="Q1446" s="12"/>
    </row>
    <row r="1447" spans="1:17" x14ac:dyDescent="0.25">
      <c r="A1447" s="11">
        <v>201456</v>
      </c>
      <c r="B1447" s="12" t="s">
        <v>6019</v>
      </c>
      <c r="C1447" s="12" t="s">
        <v>6026</v>
      </c>
      <c r="D1447" s="12">
        <v>7</v>
      </c>
      <c r="E1447" s="125">
        <v>505515.29</v>
      </c>
      <c r="F1447" s="12">
        <v>-15</v>
      </c>
      <c r="G1447" s="125">
        <v>4000000</v>
      </c>
      <c r="H1447" s="12" t="s">
        <v>5047</v>
      </c>
      <c r="I1447" s="125">
        <v>84000</v>
      </c>
      <c r="J1447" s="13">
        <v>43048.546624768518</v>
      </c>
      <c r="K1447" s="13">
        <v>43352</v>
      </c>
      <c r="L1447" s="12" t="s">
        <v>6027</v>
      </c>
      <c r="M1447" s="12"/>
      <c r="N1447" s="12"/>
      <c r="O1447" s="12"/>
      <c r="P1447" s="12"/>
      <c r="Q1447" s="12"/>
    </row>
    <row r="1448" spans="1:17" x14ac:dyDescent="0.25">
      <c r="A1448" s="11">
        <v>201457</v>
      </c>
      <c r="B1448" s="12" t="s">
        <v>1957</v>
      </c>
      <c r="C1448" s="12" t="s">
        <v>2032</v>
      </c>
      <c r="D1448" s="12">
        <v>8</v>
      </c>
      <c r="E1448" s="125">
        <v>1045015.67</v>
      </c>
      <c r="F1448" s="12">
        <v>-16</v>
      </c>
      <c r="G1448" s="125">
        <v>10000000</v>
      </c>
      <c r="H1448" s="12" t="s">
        <v>963</v>
      </c>
      <c r="I1448" s="125">
        <v>158888.89000000001</v>
      </c>
      <c r="J1448" s="13">
        <v>43049.507392245374</v>
      </c>
      <c r="K1448" s="13">
        <v>43414</v>
      </c>
      <c r="L1448" s="12" t="s">
        <v>2033</v>
      </c>
      <c r="M1448" s="12"/>
      <c r="N1448" s="12"/>
      <c r="O1448" s="12"/>
      <c r="P1448" s="12"/>
      <c r="Q1448" s="12"/>
    </row>
    <row r="1449" spans="1:17" x14ac:dyDescent="0.25">
      <c r="A1449" s="11">
        <v>201458</v>
      </c>
      <c r="B1449" s="12" t="s">
        <v>6018</v>
      </c>
      <c r="C1449" s="12" t="s">
        <v>6028</v>
      </c>
      <c r="D1449" s="12">
        <v>7</v>
      </c>
      <c r="E1449" s="125">
        <v>252757.64</v>
      </c>
      <c r="F1449" s="12">
        <v>-17</v>
      </c>
      <c r="G1449" s="125">
        <v>2000000</v>
      </c>
      <c r="H1449" s="12" t="s">
        <v>4686</v>
      </c>
      <c r="I1449" s="125">
        <v>36000</v>
      </c>
      <c r="J1449" s="13">
        <v>43050.456770868055</v>
      </c>
      <c r="K1449" s="13">
        <v>43354</v>
      </c>
      <c r="L1449" s="12" t="s">
        <v>6029</v>
      </c>
      <c r="M1449" s="12"/>
      <c r="N1449" s="12"/>
      <c r="O1449" s="12"/>
      <c r="P1449" s="12"/>
      <c r="Q1449" s="12"/>
    </row>
    <row r="1450" spans="1:17" x14ac:dyDescent="0.25">
      <c r="A1450" s="11">
        <v>201459</v>
      </c>
      <c r="B1450" s="12" t="s">
        <v>6030</v>
      </c>
      <c r="C1450" s="12" t="s">
        <v>6031</v>
      </c>
      <c r="D1450" s="12">
        <v>7</v>
      </c>
      <c r="E1450" s="125">
        <v>189568.23</v>
      </c>
      <c r="F1450" s="12">
        <v>-21</v>
      </c>
      <c r="G1450" s="125">
        <v>1500000</v>
      </c>
      <c r="H1450" s="12" t="s">
        <v>491</v>
      </c>
      <c r="I1450" s="125">
        <v>18000</v>
      </c>
      <c r="J1450" s="13">
        <v>43054.660704282411</v>
      </c>
      <c r="K1450" s="13">
        <v>43358</v>
      </c>
      <c r="L1450" s="12" t="s">
        <v>6032</v>
      </c>
      <c r="M1450" s="12" t="s">
        <v>6033</v>
      </c>
      <c r="N1450" s="12"/>
      <c r="O1450" s="12"/>
      <c r="P1450" s="12"/>
      <c r="Q1450" s="12"/>
    </row>
    <row r="1451" spans="1:17" x14ac:dyDescent="0.25">
      <c r="A1451" s="11">
        <v>201460</v>
      </c>
      <c r="B1451" s="12" t="s">
        <v>4567</v>
      </c>
      <c r="C1451" s="12" t="s">
        <v>1192</v>
      </c>
      <c r="D1451" s="12">
        <v>5</v>
      </c>
      <c r="E1451" s="125">
        <v>463205.04</v>
      </c>
      <c r="F1451" s="12">
        <v>-27</v>
      </c>
      <c r="G1451" s="125">
        <v>8902000</v>
      </c>
      <c r="H1451" s="12" t="s">
        <v>284</v>
      </c>
      <c r="I1451" s="125">
        <v>38080.78</v>
      </c>
      <c r="J1451" s="13">
        <v>43055.710180821756</v>
      </c>
      <c r="K1451" s="13">
        <v>43790</v>
      </c>
      <c r="L1451" s="12" t="s">
        <v>4573</v>
      </c>
      <c r="M1451" s="12"/>
      <c r="N1451" s="12"/>
      <c r="O1451" s="12"/>
      <c r="P1451" s="12"/>
      <c r="Q1451" s="12"/>
    </row>
    <row r="1452" spans="1:17" x14ac:dyDescent="0.25">
      <c r="A1452" s="11">
        <v>201461</v>
      </c>
      <c r="B1452" s="12" t="s">
        <v>5152</v>
      </c>
      <c r="C1452" s="12" t="s">
        <v>5155</v>
      </c>
      <c r="D1452" s="12">
        <v>5</v>
      </c>
      <c r="E1452" s="125">
        <v>618161.75</v>
      </c>
      <c r="F1452" s="12">
        <v>-27</v>
      </c>
      <c r="G1452" s="125">
        <v>11880000</v>
      </c>
      <c r="H1452" s="12" t="s">
        <v>284</v>
      </c>
      <c r="I1452" s="125">
        <v>50820</v>
      </c>
      <c r="J1452" s="13">
        <v>43055.720786886573</v>
      </c>
      <c r="K1452" s="13">
        <v>43790</v>
      </c>
      <c r="L1452" s="12" t="s">
        <v>5156</v>
      </c>
      <c r="M1452" s="12"/>
      <c r="N1452" s="12" t="s">
        <v>5157</v>
      </c>
      <c r="O1452" s="12"/>
      <c r="P1452" s="12"/>
      <c r="Q1452" s="12"/>
    </row>
    <row r="1453" spans="1:17" x14ac:dyDescent="0.25">
      <c r="A1453" s="11"/>
      <c r="B1453" s="12"/>
      <c r="C1453" s="12"/>
      <c r="D1453" s="12"/>
      <c r="E1453" s="125"/>
      <c r="F1453" s="12"/>
      <c r="G1453" s="125"/>
      <c r="H1453" s="12"/>
      <c r="I1453" s="125"/>
      <c r="J1453" s="13"/>
      <c r="K1453" s="13"/>
      <c r="L1453" s="12"/>
      <c r="M1453" s="12"/>
      <c r="N1453" s="12"/>
      <c r="O1453" s="12"/>
      <c r="P1453" s="12"/>
      <c r="Q1453" s="12"/>
    </row>
    <row r="1454" spans="1:17" x14ac:dyDescent="0.25">
      <c r="A1454" s="11"/>
      <c r="B1454" s="12"/>
      <c r="C1454" s="12"/>
      <c r="D1454" s="12"/>
      <c r="E1454" s="125"/>
      <c r="F1454" s="12"/>
      <c r="G1454" s="125"/>
      <c r="H1454" s="12"/>
      <c r="I1454" s="125"/>
      <c r="J1454" s="13"/>
      <c r="K1454" s="13"/>
      <c r="L1454" s="12"/>
      <c r="M1454" s="12"/>
      <c r="N1454" s="12"/>
      <c r="O1454" s="12"/>
      <c r="P1454" s="12"/>
      <c r="Q1454" s="12"/>
    </row>
    <row r="1455" spans="1:17" x14ac:dyDescent="0.25">
      <c r="A1455" s="11"/>
      <c r="B1455" s="12"/>
      <c r="C1455" s="12"/>
      <c r="D1455" s="12"/>
      <c r="E1455" s="125"/>
      <c r="F1455" s="12"/>
      <c r="G1455" s="125"/>
      <c r="H1455" s="12"/>
      <c r="I1455" s="125"/>
      <c r="J1455" s="13"/>
      <c r="K1455" s="13"/>
      <c r="L1455" s="12"/>
      <c r="M1455" s="12"/>
      <c r="N1455" s="12"/>
      <c r="O1455" s="12"/>
      <c r="P1455" s="12"/>
      <c r="Q1455" s="12"/>
    </row>
    <row r="1456" spans="1:17" x14ac:dyDescent="0.25">
      <c r="A1456" s="11"/>
      <c r="B1456" s="12"/>
      <c r="C1456" s="12"/>
      <c r="D1456" s="12"/>
      <c r="E1456" s="125"/>
      <c r="F1456" s="12"/>
      <c r="G1456" s="125"/>
      <c r="H1456" s="12"/>
      <c r="I1456" s="125"/>
      <c r="J1456" s="13"/>
      <c r="K1456" s="13"/>
      <c r="L1456" s="12"/>
      <c r="M1456" s="12"/>
      <c r="N1456" s="12"/>
      <c r="O1456" s="12"/>
      <c r="P1456" s="12"/>
      <c r="Q1456" s="12"/>
    </row>
    <row r="1457" spans="1:17" x14ac:dyDescent="0.25">
      <c r="A1457" s="11"/>
      <c r="B1457" s="12"/>
      <c r="C1457" s="12"/>
      <c r="D1457" s="12"/>
      <c r="E1457" s="125"/>
      <c r="F1457" s="12"/>
      <c r="G1457" s="125"/>
      <c r="H1457" s="12"/>
      <c r="I1457" s="125"/>
      <c r="J1457" s="13"/>
      <c r="K1457" s="13"/>
      <c r="L1457" s="12"/>
      <c r="M1457" s="12"/>
      <c r="N1457" s="12"/>
      <c r="O1457" s="12"/>
      <c r="P1457" s="12"/>
      <c r="Q1457" s="12"/>
    </row>
    <row r="1458" spans="1:17" x14ac:dyDescent="0.25">
      <c r="A1458" s="11"/>
      <c r="B1458" s="12"/>
      <c r="C1458" s="12"/>
      <c r="D1458" s="12"/>
      <c r="E1458" s="125"/>
      <c r="F1458" s="12"/>
      <c r="G1458" s="125"/>
      <c r="H1458" s="12"/>
      <c r="I1458" s="125"/>
      <c r="J1458" s="13"/>
      <c r="K1458" s="13"/>
      <c r="L1458" s="12"/>
      <c r="M1458" s="12"/>
      <c r="N1458" s="12"/>
      <c r="O1458" s="12"/>
      <c r="P1458" s="12"/>
      <c r="Q1458" s="12"/>
    </row>
    <row r="1459" spans="1:17" x14ac:dyDescent="0.25">
      <c r="A1459" s="11"/>
      <c r="B1459" s="12"/>
      <c r="C1459" s="12"/>
      <c r="D1459" s="12"/>
      <c r="E1459" s="125"/>
      <c r="F1459" s="12"/>
      <c r="G1459" s="125"/>
      <c r="H1459" s="12"/>
      <c r="I1459" s="125"/>
      <c r="J1459" s="13"/>
      <c r="K1459" s="13"/>
      <c r="L1459" s="12"/>
      <c r="M1459" s="12"/>
      <c r="N1459" s="12"/>
      <c r="O1459" s="12"/>
      <c r="P1459" s="12"/>
      <c r="Q1459" s="12"/>
    </row>
    <row r="1460" spans="1:17" x14ac:dyDescent="0.25">
      <c r="A1460" s="11"/>
      <c r="B1460" s="12"/>
      <c r="C1460" s="12"/>
      <c r="D1460" s="12"/>
      <c r="E1460" s="125"/>
      <c r="F1460" s="12"/>
      <c r="G1460" s="125"/>
      <c r="H1460" s="12"/>
      <c r="I1460" s="125"/>
      <c r="J1460" s="13"/>
      <c r="K1460" s="13"/>
      <c r="L1460" s="12"/>
      <c r="M1460" s="12"/>
      <c r="N1460" s="12"/>
      <c r="O1460" s="12"/>
      <c r="P1460" s="12"/>
      <c r="Q1460" s="12"/>
    </row>
    <row r="1461" spans="1:17" x14ac:dyDescent="0.25">
      <c r="A1461" s="11"/>
      <c r="B1461" s="12"/>
      <c r="C1461" s="12"/>
      <c r="D1461" s="12"/>
      <c r="E1461" s="125"/>
      <c r="F1461" s="12"/>
      <c r="G1461" s="125"/>
      <c r="H1461" s="12"/>
      <c r="I1461" s="125"/>
      <c r="J1461" s="13"/>
      <c r="K1461" s="13"/>
      <c r="L1461" s="12"/>
      <c r="M1461" s="12"/>
      <c r="N1461" s="12"/>
      <c r="O1461" s="12"/>
      <c r="P1461" s="12"/>
      <c r="Q1461" s="12"/>
    </row>
    <row r="1462" spans="1:17" x14ac:dyDescent="0.25">
      <c r="A1462" s="11"/>
      <c r="B1462" s="12"/>
      <c r="C1462" s="12"/>
      <c r="D1462" s="12"/>
      <c r="E1462" s="125"/>
      <c r="F1462" s="12"/>
      <c r="G1462" s="125"/>
      <c r="H1462" s="12"/>
      <c r="I1462" s="125"/>
      <c r="J1462" s="13"/>
      <c r="K1462" s="13"/>
      <c r="L1462" s="12"/>
      <c r="M1462" s="12"/>
      <c r="N1462" s="12"/>
      <c r="O1462" s="12"/>
      <c r="P1462" s="12"/>
      <c r="Q1462" s="12"/>
    </row>
    <row r="1463" spans="1:17" x14ac:dyDescent="0.25">
      <c r="A1463" s="11"/>
      <c r="B1463" s="12"/>
      <c r="C1463" s="12"/>
      <c r="D1463" s="12"/>
      <c r="E1463" s="125"/>
      <c r="F1463" s="12"/>
      <c r="G1463" s="125"/>
      <c r="H1463" s="12"/>
      <c r="I1463" s="125"/>
      <c r="J1463" s="13"/>
      <c r="K1463" s="13"/>
      <c r="L1463" s="12"/>
      <c r="M1463" s="12"/>
      <c r="N1463" s="12"/>
      <c r="O1463" s="12"/>
      <c r="P1463" s="12"/>
      <c r="Q1463" s="12"/>
    </row>
    <row r="1464" spans="1:17" x14ac:dyDescent="0.25">
      <c r="A1464" s="11"/>
      <c r="B1464" s="12"/>
      <c r="C1464" s="12"/>
      <c r="D1464" s="12"/>
      <c r="E1464" s="125"/>
      <c r="F1464" s="12"/>
      <c r="G1464" s="125"/>
      <c r="H1464" s="12"/>
      <c r="I1464" s="125"/>
      <c r="J1464" s="13"/>
      <c r="K1464" s="13"/>
      <c r="L1464" s="12"/>
      <c r="M1464" s="12"/>
      <c r="N1464" s="12"/>
      <c r="O1464" s="12"/>
      <c r="P1464" s="12"/>
      <c r="Q1464" s="12"/>
    </row>
    <row r="1465" spans="1:17" x14ac:dyDescent="0.25">
      <c r="A1465" s="11"/>
      <c r="B1465" s="12"/>
      <c r="C1465" s="12"/>
      <c r="D1465" s="12"/>
      <c r="E1465" s="125"/>
      <c r="F1465" s="12"/>
      <c r="G1465" s="125"/>
      <c r="H1465" s="12"/>
      <c r="I1465" s="125"/>
      <c r="J1465" s="13"/>
      <c r="K1465" s="13"/>
      <c r="L1465" s="12"/>
      <c r="M1465" s="12"/>
      <c r="N1465" s="12"/>
      <c r="O1465" s="12"/>
      <c r="P1465" s="12"/>
      <c r="Q1465" s="12"/>
    </row>
    <row r="1466" spans="1:17" x14ac:dyDescent="0.25">
      <c r="A1466" s="11"/>
      <c r="B1466" s="12"/>
      <c r="C1466" s="12"/>
      <c r="D1466" s="12"/>
      <c r="E1466" s="125"/>
      <c r="F1466" s="12"/>
      <c r="G1466" s="125"/>
      <c r="H1466" s="12"/>
      <c r="I1466" s="125"/>
      <c r="J1466" s="13"/>
      <c r="K1466" s="13"/>
      <c r="L1466" s="12"/>
      <c r="M1466" s="12"/>
      <c r="N1466" s="12"/>
      <c r="O1466" s="12"/>
      <c r="P1466" s="12"/>
      <c r="Q1466" s="12"/>
    </row>
    <row r="1467" spans="1:17" x14ac:dyDescent="0.25">
      <c r="A1467" s="11"/>
      <c r="B1467" s="12"/>
      <c r="C1467" s="12"/>
      <c r="D1467" s="12"/>
      <c r="E1467" s="125"/>
      <c r="F1467" s="12"/>
      <c r="G1467" s="125"/>
      <c r="H1467" s="12"/>
      <c r="I1467" s="125"/>
      <c r="J1467" s="13"/>
      <c r="K1467" s="13"/>
      <c r="L1467" s="12"/>
      <c r="M1467" s="12"/>
      <c r="N1467" s="12"/>
      <c r="O1467" s="12"/>
      <c r="P1467" s="12"/>
      <c r="Q1467" s="12"/>
    </row>
    <row r="1468" spans="1:17" x14ac:dyDescent="0.25">
      <c r="A1468" s="11"/>
      <c r="B1468" s="12"/>
      <c r="C1468" s="12"/>
      <c r="D1468" s="12"/>
      <c r="E1468" s="125"/>
      <c r="F1468" s="12"/>
      <c r="G1468" s="125"/>
      <c r="H1468" s="12"/>
      <c r="I1468" s="125"/>
      <c r="J1468" s="13"/>
      <c r="K1468" s="13"/>
      <c r="L1468" s="12"/>
      <c r="M1468" s="12"/>
      <c r="N1468" s="12"/>
      <c r="O1468" s="12"/>
      <c r="P1468" s="12"/>
      <c r="Q1468" s="12"/>
    </row>
    <row r="1469" spans="1:17" x14ac:dyDescent="0.25">
      <c r="A1469" s="11"/>
      <c r="B1469" s="12"/>
      <c r="C1469" s="12"/>
      <c r="D1469" s="12"/>
      <c r="E1469" s="125"/>
      <c r="F1469" s="12"/>
      <c r="G1469" s="125"/>
      <c r="H1469" s="12"/>
      <c r="I1469" s="125"/>
      <c r="J1469" s="13"/>
      <c r="K1469" s="13"/>
      <c r="L1469" s="12"/>
      <c r="M1469" s="12"/>
      <c r="N1469" s="12"/>
      <c r="O1469" s="12"/>
      <c r="P1469" s="12"/>
      <c r="Q1469" s="12"/>
    </row>
    <row r="1470" spans="1:17" x14ac:dyDescent="0.25">
      <c r="A1470" s="11"/>
      <c r="B1470" s="12"/>
      <c r="C1470" s="12"/>
      <c r="D1470" s="12"/>
      <c r="E1470" s="125"/>
      <c r="F1470" s="12"/>
      <c r="G1470" s="125"/>
      <c r="H1470" s="12"/>
      <c r="I1470" s="125"/>
      <c r="J1470" s="13"/>
      <c r="K1470" s="13"/>
      <c r="L1470" s="12"/>
      <c r="M1470" s="12"/>
      <c r="N1470" s="12"/>
      <c r="O1470" s="12"/>
      <c r="P1470" s="12"/>
      <c r="Q1470" s="12"/>
    </row>
    <row r="1471" spans="1:17" x14ac:dyDescent="0.25">
      <c r="A1471" s="11"/>
      <c r="B1471" s="12"/>
      <c r="C1471" s="12"/>
      <c r="D1471" s="12"/>
      <c r="E1471" s="125"/>
      <c r="F1471" s="12"/>
      <c r="G1471" s="125"/>
      <c r="H1471" s="12"/>
      <c r="I1471" s="125"/>
      <c r="J1471" s="13"/>
      <c r="K1471" s="13"/>
      <c r="L1471" s="12"/>
      <c r="M1471" s="12"/>
      <c r="N1471" s="12"/>
      <c r="O1471" s="12"/>
      <c r="P1471" s="12"/>
      <c r="Q1471" s="12"/>
    </row>
    <row r="1472" spans="1:17" x14ac:dyDescent="0.25">
      <c r="A1472" s="11"/>
      <c r="B1472" s="12"/>
      <c r="C1472" s="12"/>
      <c r="D1472" s="12"/>
      <c r="E1472" s="125"/>
      <c r="F1472" s="12"/>
      <c r="G1472" s="125"/>
      <c r="H1472" s="12"/>
      <c r="I1472" s="125"/>
      <c r="J1472" s="13"/>
      <c r="K1472" s="13"/>
      <c r="L1472" s="12"/>
      <c r="M1472" s="12"/>
      <c r="N1472" s="12"/>
      <c r="O1472" s="12"/>
      <c r="P1472" s="12"/>
      <c r="Q1472" s="12"/>
    </row>
    <row r="1473" spans="1:17" x14ac:dyDescent="0.25">
      <c r="A1473" s="11"/>
      <c r="B1473" s="12"/>
      <c r="C1473" s="12"/>
      <c r="D1473" s="12"/>
      <c r="E1473" s="125"/>
      <c r="F1473" s="12"/>
      <c r="G1473" s="125"/>
      <c r="H1473" s="12"/>
      <c r="I1473" s="125"/>
      <c r="J1473" s="13"/>
      <c r="K1473" s="13"/>
      <c r="L1473" s="12"/>
      <c r="M1473" s="12"/>
      <c r="N1473" s="12"/>
      <c r="O1473" s="12"/>
      <c r="P1473" s="12"/>
      <c r="Q1473" s="12"/>
    </row>
    <row r="1474" spans="1:17" x14ac:dyDescent="0.25">
      <c r="A1474" s="11"/>
      <c r="B1474" s="12"/>
      <c r="C1474" s="12"/>
      <c r="D1474" s="12"/>
      <c r="E1474" s="125"/>
      <c r="F1474" s="12"/>
      <c r="G1474" s="125"/>
      <c r="H1474" s="12"/>
      <c r="I1474" s="125"/>
      <c r="J1474" s="13"/>
      <c r="K1474" s="13"/>
      <c r="L1474" s="12"/>
      <c r="M1474" s="12"/>
      <c r="N1474" s="12"/>
      <c r="O1474" s="12"/>
      <c r="P1474" s="12"/>
      <c r="Q1474" s="12"/>
    </row>
    <row r="1475" spans="1:17" x14ac:dyDescent="0.25">
      <c r="A1475" s="11"/>
      <c r="B1475" s="12"/>
      <c r="C1475" s="12"/>
      <c r="D1475" s="12"/>
      <c r="E1475" s="125"/>
      <c r="F1475" s="12"/>
      <c r="G1475" s="125"/>
      <c r="H1475" s="12"/>
      <c r="I1475" s="125"/>
      <c r="J1475" s="13"/>
      <c r="K1475" s="13"/>
      <c r="L1475" s="12"/>
      <c r="M1475" s="12"/>
      <c r="N1475" s="12"/>
      <c r="O1475" s="12"/>
      <c r="P1475" s="12"/>
      <c r="Q1475" s="12"/>
    </row>
    <row r="1476" spans="1:17" x14ac:dyDescent="0.25">
      <c r="A1476" s="11"/>
      <c r="B1476" s="12"/>
      <c r="C1476" s="12"/>
      <c r="D1476" s="12"/>
      <c r="E1476" s="125"/>
      <c r="F1476" s="12"/>
      <c r="G1476" s="125"/>
      <c r="H1476" s="12"/>
      <c r="I1476" s="125"/>
      <c r="J1476" s="13"/>
      <c r="K1476" s="13"/>
      <c r="L1476" s="12"/>
      <c r="M1476" s="12"/>
      <c r="N1476" s="12"/>
      <c r="O1476" s="12"/>
      <c r="P1476" s="12"/>
      <c r="Q1476" s="12"/>
    </row>
    <row r="1477" spans="1:17" x14ac:dyDescent="0.25">
      <c r="A1477" s="11"/>
      <c r="B1477" s="12"/>
      <c r="C1477" s="12"/>
      <c r="D1477" s="12"/>
      <c r="E1477" s="125"/>
      <c r="F1477" s="12"/>
      <c r="G1477" s="125"/>
      <c r="H1477" s="12"/>
      <c r="I1477" s="125"/>
      <c r="J1477" s="13"/>
      <c r="K1477" s="13"/>
      <c r="L1477" s="12"/>
      <c r="M1477" s="12"/>
      <c r="N1477" s="12"/>
      <c r="O1477" s="12"/>
      <c r="P1477" s="12"/>
      <c r="Q1477" s="12"/>
    </row>
    <row r="1478" spans="1:17" x14ac:dyDescent="0.25">
      <c r="A1478" s="11"/>
      <c r="B1478" s="12"/>
      <c r="C1478" s="12"/>
      <c r="D1478" s="12"/>
      <c r="E1478" s="125"/>
      <c r="F1478" s="12"/>
      <c r="G1478" s="125"/>
      <c r="H1478" s="12"/>
      <c r="I1478" s="125"/>
      <c r="J1478" s="13"/>
      <c r="K1478" s="13"/>
      <c r="L1478" s="12"/>
      <c r="M1478" s="12"/>
      <c r="N1478" s="12"/>
      <c r="O1478" s="12"/>
      <c r="P1478" s="12"/>
      <c r="Q1478" s="12"/>
    </row>
    <row r="1479" spans="1:17" x14ac:dyDescent="0.25">
      <c r="A1479" s="11"/>
      <c r="B1479" s="12"/>
      <c r="C1479" s="12"/>
      <c r="D1479" s="12"/>
      <c r="E1479" s="125"/>
      <c r="F1479" s="12"/>
      <c r="G1479" s="125"/>
      <c r="H1479" s="12"/>
      <c r="I1479" s="125"/>
      <c r="J1479" s="13"/>
      <c r="K1479" s="13"/>
      <c r="L1479" s="12"/>
      <c r="M1479" s="12"/>
      <c r="N1479" s="12"/>
      <c r="O1479" s="12"/>
      <c r="P1479" s="12"/>
      <c r="Q1479" s="12"/>
    </row>
    <row r="1480" spans="1:17" x14ac:dyDescent="0.25">
      <c r="A1480" s="11"/>
      <c r="B1480" s="12"/>
      <c r="C1480" s="12"/>
      <c r="D1480" s="12"/>
      <c r="E1480" s="125"/>
      <c r="F1480" s="12"/>
      <c r="G1480" s="125"/>
      <c r="H1480" s="12"/>
      <c r="I1480" s="125"/>
      <c r="J1480" s="13"/>
      <c r="K1480" s="13"/>
      <c r="L1480" s="12"/>
      <c r="M1480" s="12"/>
      <c r="N1480" s="12"/>
      <c r="O1480" s="12"/>
      <c r="P1480" s="12"/>
      <c r="Q1480" s="12"/>
    </row>
    <row r="1481" spans="1:17" x14ac:dyDescent="0.25">
      <c r="A1481" s="11"/>
      <c r="B1481" s="12"/>
      <c r="C1481" s="12"/>
      <c r="D1481" s="12"/>
      <c r="E1481" s="125"/>
      <c r="F1481" s="12"/>
      <c r="G1481" s="125"/>
      <c r="H1481" s="12"/>
      <c r="I1481" s="125"/>
      <c r="J1481" s="13"/>
      <c r="K1481" s="13"/>
      <c r="L1481" s="12"/>
      <c r="M1481" s="12"/>
      <c r="N1481" s="12"/>
      <c r="O1481" s="12"/>
      <c r="P1481" s="12"/>
      <c r="Q1481" s="12"/>
    </row>
    <row r="1482" spans="1:17" x14ac:dyDescent="0.25">
      <c r="A1482" s="11"/>
      <c r="B1482" s="12"/>
      <c r="C1482" s="12"/>
      <c r="D1482" s="12"/>
      <c r="E1482" s="125"/>
      <c r="F1482" s="12"/>
      <c r="G1482" s="125"/>
      <c r="H1482" s="12"/>
      <c r="I1482" s="125"/>
      <c r="J1482" s="13"/>
      <c r="K1482" s="13"/>
      <c r="L1482" s="12"/>
      <c r="M1482" s="12"/>
      <c r="N1482" s="12"/>
      <c r="O1482" s="12"/>
      <c r="P1482" s="12"/>
      <c r="Q1482" s="12"/>
    </row>
    <row r="1483" spans="1:17" x14ac:dyDescent="0.25">
      <c r="A1483" s="11"/>
      <c r="B1483" s="12"/>
      <c r="C1483" s="12"/>
      <c r="D1483" s="12"/>
      <c r="E1483" s="125"/>
      <c r="F1483" s="12"/>
      <c r="G1483" s="125"/>
      <c r="H1483" s="12"/>
      <c r="I1483" s="125"/>
      <c r="J1483" s="13"/>
      <c r="K1483" s="13"/>
      <c r="L1483" s="12"/>
      <c r="M1483" s="12"/>
      <c r="N1483" s="12"/>
      <c r="O1483" s="12"/>
      <c r="P1483" s="12"/>
      <c r="Q1483" s="12"/>
    </row>
    <row r="1484" spans="1:17" x14ac:dyDescent="0.25">
      <c r="A1484" s="11"/>
      <c r="B1484" s="12"/>
      <c r="C1484" s="12"/>
      <c r="D1484" s="12"/>
      <c r="E1484" s="125"/>
      <c r="F1484" s="12"/>
      <c r="G1484" s="125"/>
      <c r="H1484" s="12"/>
      <c r="I1484" s="125"/>
      <c r="J1484" s="13"/>
      <c r="K1484" s="13"/>
      <c r="L1484" s="12"/>
      <c r="M1484" s="12"/>
      <c r="N1484" s="12"/>
      <c r="O1484" s="12"/>
      <c r="P1484" s="12"/>
      <c r="Q1484" s="12"/>
    </row>
    <row r="1485" spans="1:17" x14ac:dyDescent="0.25">
      <c r="A1485" s="11"/>
      <c r="B1485" s="12"/>
      <c r="C1485" s="12"/>
      <c r="D1485" s="12"/>
      <c r="E1485" s="125"/>
      <c r="F1485" s="12"/>
      <c r="G1485" s="125"/>
      <c r="H1485" s="12"/>
      <c r="I1485" s="125"/>
      <c r="J1485" s="13"/>
      <c r="K1485" s="13"/>
      <c r="L1485" s="12"/>
      <c r="M1485" s="12"/>
      <c r="N1485" s="12"/>
      <c r="O1485" s="12"/>
      <c r="P1485" s="12"/>
      <c r="Q1485" s="12"/>
    </row>
    <row r="1486" spans="1:17" x14ac:dyDescent="0.25">
      <c r="A1486" s="11"/>
      <c r="B1486" s="12"/>
      <c r="C1486" s="12"/>
      <c r="D1486" s="12"/>
      <c r="E1486" s="125"/>
      <c r="F1486" s="12"/>
      <c r="G1486" s="125"/>
      <c r="H1486" s="12"/>
      <c r="I1486" s="125"/>
      <c r="J1486" s="13"/>
      <c r="K1486" s="13"/>
      <c r="L1486" s="12"/>
      <c r="M1486" s="12"/>
      <c r="N1486" s="12"/>
      <c r="O1486" s="12"/>
      <c r="P1486" s="12"/>
      <c r="Q1486" s="12"/>
    </row>
    <row r="1487" spans="1:17" x14ac:dyDescent="0.25">
      <c r="A1487" s="11"/>
      <c r="B1487" s="12"/>
      <c r="C1487" s="12"/>
      <c r="D1487" s="12"/>
      <c r="E1487" s="125"/>
      <c r="F1487" s="12"/>
      <c r="G1487" s="125"/>
      <c r="H1487" s="12"/>
      <c r="I1487" s="125"/>
      <c r="J1487" s="13"/>
      <c r="K1487" s="13"/>
      <c r="L1487" s="12"/>
      <c r="M1487" s="12"/>
      <c r="N1487" s="12"/>
      <c r="O1487" s="12"/>
      <c r="P1487" s="12"/>
      <c r="Q1487" s="12"/>
    </row>
    <row r="1488" spans="1:17" x14ac:dyDescent="0.25">
      <c r="A1488" s="11"/>
      <c r="B1488" s="12"/>
      <c r="C1488" s="12"/>
      <c r="D1488" s="12"/>
      <c r="E1488" s="125"/>
      <c r="F1488" s="12"/>
      <c r="G1488" s="125"/>
      <c r="H1488" s="12"/>
      <c r="I1488" s="125"/>
      <c r="J1488" s="13"/>
      <c r="K1488" s="13"/>
      <c r="L1488" s="12"/>
      <c r="M1488" s="12"/>
      <c r="N1488" s="12"/>
      <c r="O1488" s="12"/>
      <c r="P1488" s="12"/>
      <c r="Q1488" s="12"/>
    </row>
    <row r="1489" spans="1:17" x14ac:dyDescent="0.25">
      <c r="A1489" s="11"/>
      <c r="B1489" s="12"/>
      <c r="C1489" s="12"/>
      <c r="D1489" s="12"/>
      <c r="E1489" s="125"/>
      <c r="F1489" s="12"/>
      <c r="G1489" s="125"/>
      <c r="H1489" s="12"/>
      <c r="I1489" s="125"/>
      <c r="J1489" s="13"/>
      <c r="K1489" s="13"/>
      <c r="L1489" s="12"/>
      <c r="M1489" s="12"/>
      <c r="N1489" s="12"/>
      <c r="O1489" s="12"/>
      <c r="P1489" s="12"/>
      <c r="Q1489" s="12"/>
    </row>
    <row r="1490" spans="1:17" x14ac:dyDescent="0.25">
      <c r="A1490" s="11"/>
      <c r="B1490" s="12"/>
      <c r="C1490" s="12"/>
      <c r="D1490" s="12"/>
      <c r="E1490" s="125"/>
      <c r="F1490" s="12"/>
      <c r="G1490" s="125"/>
      <c r="H1490" s="12"/>
      <c r="I1490" s="125"/>
      <c r="J1490" s="13"/>
      <c r="K1490" s="13"/>
      <c r="L1490" s="12"/>
      <c r="M1490" s="12"/>
      <c r="N1490" s="12"/>
      <c r="O1490" s="12"/>
      <c r="P1490" s="12"/>
      <c r="Q1490" s="12"/>
    </row>
    <row r="1491" spans="1:17" x14ac:dyDescent="0.25">
      <c r="A1491" s="11"/>
      <c r="B1491" s="12"/>
      <c r="C1491" s="12"/>
      <c r="D1491" s="12"/>
      <c r="E1491" s="125"/>
      <c r="F1491" s="12"/>
      <c r="G1491" s="125"/>
      <c r="H1491" s="12"/>
      <c r="I1491" s="125"/>
      <c r="J1491" s="13"/>
      <c r="K1491" s="13"/>
      <c r="L1491" s="12"/>
      <c r="M1491" s="12"/>
      <c r="N1491" s="12"/>
      <c r="O1491" s="12"/>
      <c r="P1491" s="12"/>
      <c r="Q1491" s="12"/>
    </row>
    <row r="1492" spans="1:17" x14ac:dyDescent="0.25">
      <c r="A1492" s="11"/>
      <c r="B1492" s="12"/>
      <c r="C1492" s="12"/>
      <c r="D1492" s="12"/>
      <c r="E1492" s="125"/>
      <c r="F1492" s="12"/>
      <c r="G1492" s="125"/>
      <c r="H1492" s="12"/>
      <c r="I1492" s="125"/>
      <c r="J1492" s="13"/>
      <c r="K1492" s="13"/>
      <c r="L1492" s="12"/>
      <c r="M1492" s="12"/>
      <c r="N1492" s="12"/>
      <c r="O1492" s="12"/>
      <c r="P1492" s="12"/>
      <c r="Q1492" s="12"/>
    </row>
    <row r="1493" spans="1:17" x14ac:dyDescent="0.25">
      <c r="A1493" s="11"/>
      <c r="B1493" s="12"/>
      <c r="C1493" s="12"/>
      <c r="D1493" s="12"/>
      <c r="E1493" s="125"/>
      <c r="F1493" s="12"/>
      <c r="G1493" s="125"/>
      <c r="H1493" s="12"/>
      <c r="I1493" s="125"/>
      <c r="J1493" s="13"/>
      <c r="K1493" s="13"/>
      <c r="L1493" s="12"/>
      <c r="M1493" s="12"/>
      <c r="N1493" s="12"/>
      <c r="O1493" s="12"/>
      <c r="P1493" s="12"/>
      <c r="Q1493" s="12"/>
    </row>
    <row r="1494" spans="1:17" x14ac:dyDescent="0.25">
      <c r="A1494" s="11"/>
      <c r="B1494" s="12"/>
      <c r="C1494" s="12"/>
      <c r="D1494" s="12"/>
      <c r="E1494" s="125"/>
      <c r="F1494" s="12"/>
      <c r="G1494" s="125"/>
      <c r="H1494" s="12"/>
      <c r="I1494" s="125"/>
      <c r="J1494" s="13"/>
      <c r="K1494" s="13"/>
      <c r="L1494" s="12"/>
      <c r="M1494" s="12"/>
      <c r="N1494" s="12"/>
      <c r="O1494" s="12"/>
      <c r="P1494" s="12"/>
      <c r="Q1494" s="12"/>
    </row>
    <row r="1495" spans="1:17" x14ac:dyDescent="0.25">
      <c r="A1495" s="11"/>
      <c r="B1495" s="12"/>
      <c r="C1495" s="12"/>
      <c r="D1495" s="12"/>
      <c r="E1495" s="125"/>
      <c r="F1495" s="12"/>
      <c r="G1495" s="125"/>
      <c r="H1495" s="12"/>
      <c r="I1495" s="125"/>
      <c r="J1495" s="13"/>
      <c r="K1495" s="13"/>
      <c r="L1495" s="12"/>
      <c r="M1495" s="12"/>
      <c r="N1495" s="12"/>
      <c r="O1495" s="12"/>
      <c r="P1495" s="12"/>
      <c r="Q1495" s="12"/>
    </row>
    <row r="1496" spans="1:17" x14ac:dyDescent="0.25">
      <c r="A1496" s="11"/>
      <c r="B1496" s="12"/>
      <c r="C1496" s="12"/>
      <c r="D1496" s="12"/>
      <c r="E1496" s="125"/>
      <c r="F1496" s="12"/>
      <c r="G1496" s="125"/>
      <c r="H1496" s="12"/>
      <c r="I1496" s="125"/>
      <c r="J1496" s="13"/>
      <c r="K1496" s="13"/>
      <c r="L1496" s="12"/>
      <c r="M1496" s="12"/>
      <c r="N1496" s="12"/>
      <c r="O1496" s="12"/>
      <c r="P1496" s="12"/>
      <c r="Q1496" s="12"/>
    </row>
    <row r="1497" spans="1:17" x14ac:dyDescent="0.25">
      <c r="A1497" s="11"/>
      <c r="B1497" s="12"/>
      <c r="C1497" s="12"/>
      <c r="D1497" s="12"/>
      <c r="E1497" s="125"/>
      <c r="F1497" s="12"/>
      <c r="G1497" s="125"/>
      <c r="H1497" s="12"/>
      <c r="I1497" s="125"/>
      <c r="J1497" s="13"/>
      <c r="K1497" s="13"/>
      <c r="L1497" s="12"/>
      <c r="M1497" s="12"/>
      <c r="N1497" s="12"/>
      <c r="O1497" s="12"/>
      <c r="P1497" s="12"/>
      <c r="Q1497" s="12"/>
    </row>
    <row r="1498" spans="1:17" x14ac:dyDescent="0.25">
      <c r="A1498" s="11"/>
      <c r="B1498" s="12"/>
      <c r="C1498" s="12"/>
      <c r="D1498" s="12"/>
      <c r="E1498" s="125"/>
      <c r="F1498" s="12"/>
      <c r="G1498" s="125"/>
      <c r="H1498" s="12"/>
      <c r="I1498" s="125"/>
      <c r="J1498" s="13"/>
      <c r="K1498" s="13"/>
      <c r="L1498" s="12"/>
      <c r="M1498" s="12"/>
      <c r="N1498" s="12"/>
      <c r="O1498" s="12"/>
      <c r="P1498" s="12"/>
      <c r="Q1498" s="12"/>
    </row>
    <row r="1499" spans="1:17" x14ac:dyDescent="0.25">
      <c r="A1499" s="11"/>
      <c r="B1499" s="12"/>
      <c r="C1499" s="12"/>
      <c r="D1499" s="12"/>
      <c r="E1499" s="125"/>
      <c r="F1499" s="12"/>
      <c r="G1499" s="125"/>
      <c r="H1499" s="12"/>
      <c r="I1499" s="125"/>
      <c r="J1499" s="13"/>
      <c r="K1499" s="13"/>
      <c r="L1499" s="12"/>
      <c r="M1499" s="12"/>
      <c r="N1499" s="12"/>
      <c r="O1499" s="12"/>
      <c r="P1499" s="12"/>
      <c r="Q1499" s="12"/>
    </row>
    <row r="1500" spans="1:17" x14ac:dyDescent="0.25">
      <c r="A1500" s="11"/>
      <c r="B1500" s="12"/>
      <c r="C1500" s="12"/>
      <c r="D1500" s="12"/>
      <c r="E1500" s="125"/>
      <c r="F1500" s="12"/>
      <c r="G1500" s="125"/>
      <c r="H1500" s="12"/>
      <c r="I1500" s="125"/>
      <c r="J1500" s="13"/>
      <c r="K1500" s="13"/>
      <c r="L1500" s="12"/>
      <c r="M1500" s="12"/>
      <c r="N1500" s="12"/>
      <c r="O1500" s="12"/>
      <c r="P1500" s="12"/>
      <c r="Q1500" s="12"/>
    </row>
    <row r="1501" spans="1:17" x14ac:dyDescent="0.25">
      <c r="A1501" s="11"/>
      <c r="B1501" s="12"/>
      <c r="C1501" s="12"/>
      <c r="D1501" s="12"/>
      <c r="E1501" s="125"/>
      <c r="F1501" s="12"/>
      <c r="G1501" s="125"/>
      <c r="H1501" s="12"/>
      <c r="I1501" s="125"/>
      <c r="J1501" s="13"/>
      <c r="K1501" s="13"/>
      <c r="L1501" s="12"/>
      <c r="M1501" s="12"/>
      <c r="N1501" s="12"/>
      <c r="O1501" s="12"/>
      <c r="P1501" s="12"/>
      <c r="Q1501" s="12"/>
    </row>
    <row r="1502" spans="1:17" x14ac:dyDescent="0.25">
      <c r="A1502" s="11"/>
      <c r="B1502" s="12"/>
      <c r="C1502" s="12"/>
      <c r="D1502" s="12"/>
      <c r="E1502" s="125"/>
      <c r="F1502" s="12"/>
      <c r="G1502" s="125"/>
      <c r="H1502" s="12"/>
      <c r="I1502" s="125"/>
      <c r="J1502" s="13"/>
      <c r="K1502" s="13"/>
      <c r="L1502" s="12"/>
      <c r="M1502" s="12"/>
      <c r="N1502" s="12"/>
      <c r="O1502" s="12"/>
      <c r="P1502" s="12"/>
      <c r="Q1502" s="12"/>
    </row>
    <row r="1503" spans="1:17" x14ac:dyDescent="0.25">
      <c r="A1503" s="11"/>
      <c r="B1503" s="12"/>
      <c r="C1503" s="12"/>
      <c r="D1503" s="12"/>
      <c r="E1503" s="125"/>
      <c r="F1503" s="12"/>
      <c r="G1503" s="125"/>
      <c r="H1503" s="12"/>
      <c r="I1503" s="125"/>
      <c r="J1503" s="13"/>
      <c r="K1503" s="13"/>
      <c r="L1503" s="12"/>
      <c r="M1503" s="12"/>
      <c r="N1503" s="12"/>
      <c r="O1503" s="12"/>
      <c r="P1503" s="12"/>
      <c r="Q1503" s="12"/>
    </row>
    <row r="1504" spans="1:17" x14ac:dyDescent="0.25">
      <c r="A1504" s="11"/>
      <c r="B1504" s="12"/>
      <c r="C1504" s="12"/>
      <c r="D1504" s="12"/>
      <c r="E1504" s="125"/>
      <c r="F1504" s="12"/>
      <c r="G1504" s="125"/>
      <c r="H1504" s="12"/>
      <c r="I1504" s="125"/>
      <c r="J1504" s="13"/>
      <c r="K1504" s="13"/>
      <c r="L1504" s="12"/>
      <c r="M1504" s="12"/>
      <c r="N1504" s="12"/>
      <c r="O1504" s="12"/>
      <c r="P1504" s="12"/>
      <c r="Q1504" s="12"/>
    </row>
    <row r="1505" spans="1:17" x14ac:dyDescent="0.25">
      <c r="A1505" s="11"/>
      <c r="B1505" s="12"/>
      <c r="C1505" s="12"/>
      <c r="D1505" s="12"/>
      <c r="E1505" s="125"/>
      <c r="F1505" s="12"/>
      <c r="G1505" s="125"/>
      <c r="H1505" s="12"/>
      <c r="I1505" s="125"/>
      <c r="J1505" s="13"/>
      <c r="K1505" s="13"/>
      <c r="L1505" s="12"/>
      <c r="M1505" s="12"/>
      <c r="N1505" s="12"/>
      <c r="O1505" s="12"/>
      <c r="P1505" s="12"/>
      <c r="Q1505" s="12"/>
    </row>
    <row r="1506" spans="1:17" x14ac:dyDescent="0.25">
      <c r="A1506" s="11"/>
      <c r="B1506" s="12"/>
      <c r="C1506" s="12"/>
      <c r="D1506" s="12"/>
      <c r="E1506" s="125"/>
      <c r="F1506" s="12"/>
      <c r="G1506" s="125"/>
      <c r="H1506" s="12"/>
      <c r="I1506" s="125"/>
      <c r="J1506" s="13"/>
      <c r="K1506" s="13"/>
      <c r="L1506" s="12"/>
      <c r="M1506" s="12"/>
      <c r="N1506" s="12"/>
      <c r="O1506" s="12"/>
      <c r="P1506" s="12"/>
      <c r="Q1506" s="12"/>
    </row>
  </sheetData>
  <sortState xmlns:xlrd2="http://schemas.microsoft.com/office/spreadsheetml/2017/richdata2" ref="A2:A760">
    <sortCondition ref="A1"/>
  </sortState>
  <pageMargins left="0.7" right="0.7" top="0.75" bottom="0.75" header="0.3" footer="0.3"/>
  <pageSetup orientation="portrait" r:id="rId1"/>
  <headerFooter>
    <oddFooter>&amp;R32362_Credit Daily Dashboard_T1.7</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H1000"/>
  <sheetViews>
    <sheetView topLeftCell="A2" workbookViewId="0">
      <selection activeCell="E4" sqref="E4"/>
    </sheetView>
  </sheetViews>
  <sheetFormatPr defaultColWidth="9.109375" defaultRowHeight="13.2" x14ac:dyDescent="0.25"/>
  <cols>
    <col min="1" max="1" width="42.44140625" customWidth="1"/>
    <col min="2" max="2" width="16.5546875" bestFit="1" customWidth="1"/>
    <col min="3" max="3" width="14" bestFit="1" customWidth="1"/>
    <col min="5" max="5" width="13.44140625" style="14" bestFit="1" customWidth="1"/>
  </cols>
  <sheetData>
    <row r="1" spans="1:8" ht="26.4" x14ac:dyDescent="0.25">
      <c r="E1" s="51" t="s">
        <v>70</v>
      </c>
    </row>
    <row r="2" spans="1:8" x14ac:dyDescent="0.25">
      <c r="E2" s="14">
        <f>DAY(Data!I2)</f>
        <v>9</v>
      </c>
    </row>
    <row r="3" spans="1:8" x14ac:dyDescent="0.25">
      <c r="E3" s="14">
        <f>DAY(Data!I3)</f>
        <v>2</v>
      </c>
    </row>
    <row r="4" spans="1:8" ht="26.4" x14ac:dyDescent="0.25">
      <c r="A4" s="43" t="s">
        <v>40</v>
      </c>
      <c r="B4" s="39" t="s">
        <v>47</v>
      </c>
      <c r="C4" s="39" t="s">
        <v>48</v>
      </c>
      <c r="E4" s="14">
        <f>DAY(Data!I4)</f>
        <v>2</v>
      </c>
    </row>
    <row r="5" spans="1:8" x14ac:dyDescent="0.25">
      <c r="A5" s="44" t="s">
        <v>36</v>
      </c>
      <c r="B5" s="45">
        <f ca="1">SUMIF('Global Portfolio'!$K$2:$K$1000,'Data-graph'!A5,'Global Portfolio'!$E$2:$E$100)</f>
        <v>405015642.92000002</v>
      </c>
      <c r="C5" s="46">
        <f ca="1">B5/$B$20</f>
        <v>3.096892800245871E-2</v>
      </c>
      <c r="E5" s="14">
        <f>DAY(Data!I5)</f>
        <v>2</v>
      </c>
    </row>
    <row r="6" spans="1:8" x14ac:dyDescent="0.25">
      <c r="A6" s="44" t="s">
        <v>41</v>
      </c>
      <c r="B6" s="45">
        <f ca="1">SUMIF('Global Portfolio'!$K$2:$K$1000,'Data-graph'!A6,'Global Portfolio'!$E$2:$E$100)</f>
        <v>67208602.449999988</v>
      </c>
      <c r="C6" s="46">
        <f t="shared" ref="C6:C18" ca="1" si="0">B6/$B$20</f>
        <v>5.1390073613305854E-3</v>
      </c>
      <c r="E6" s="14">
        <f>DAY(Data!I6)</f>
        <v>9</v>
      </c>
    </row>
    <row r="7" spans="1:8" x14ac:dyDescent="0.25">
      <c r="A7" s="44" t="s">
        <v>35</v>
      </c>
      <c r="B7" s="45">
        <f ca="1">SUMIF('Global Portfolio'!$K$2:$K$1000,'Data-graph'!A7,'Global Portfolio'!$E$2:$E$100)</f>
        <v>425776939.38999999</v>
      </c>
      <c r="C7" s="46">
        <f t="shared" ca="1" si="0"/>
        <v>3.2556410132733186E-2</v>
      </c>
      <c r="E7" s="14">
        <f>DAY(Data!I7)</f>
        <v>7</v>
      </c>
    </row>
    <row r="8" spans="1:8" x14ac:dyDescent="0.25">
      <c r="A8" s="44" t="s">
        <v>31</v>
      </c>
      <c r="B8" s="45">
        <f ca="1">SUMIF('Global Portfolio'!$K$2:$K$1000,'Data-graph'!A8,'Global Portfolio'!$E$2:$E$100)</f>
        <v>315290637.38</v>
      </c>
      <c r="C8" s="46">
        <f t="shared" ca="1" si="0"/>
        <v>2.4108236853457029E-2</v>
      </c>
      <c r="E8" s="14">
        <f>DAY(Data!I8)</f>
        <v>6</v>
      </c>
    </row>
    <row r="9" spans="1:8" x14ac:dyDescent="0.25">
      <c r="A9" s="44" t="s">
        <v>27</v>
      </c>
      <c r="B9" s="45">
        <f ca="1">SUMIF('Global Portfolio'!$K$2:$K$1000,'Data-graph'!A9,'Global Portfolio'!$E$2:$E$100)</f>
        <v>1317889196.0499997</v>
      </c>
      <c r="C9" s="46">
        <f t="shared" ca="1" si="0"/>
        <v>0.10077046736625002</v>
      </c>
      <c r="E9" s="14">
        <f>DAY(Data!I9)</f>
        <v>2</v>
      </c>
    </row>
    <row r="10" spans="1:8" x14ac:dyDescent="0.25">
      <c r="A10" s="44" t="s">
        <v>25</v>
      </c>
      <c r="B10" s="45">
        <f ca="1">SUMIF('Global Portfolio'!$K$2:$K$1000,'Data-graph'!A10,'Global Portfolio'!$E$2:$E$100)</f>
        <v>3986045780.3899956</v>
      </c>
      <c r="C10" s="46">
        <f t="shared" ca="1" si="0"/>
        <v>0.30478715315147736</v>
      </c>
      <c r="E10" s="14">
        <f>DAY(Data!I10)</f>
        <v>9</v>
      </c>
    </row>
    <row r="11" spans="1:8" x14ac:dyDescent="0.25">
      <c r="A11" s="44" t="s">
        <v>37</v>
      </c>
      <c r="B11" s="45">
        <f ca="1">SUMIF('Global Portfolio'!$K$2:$K$1000,'Data-graph'!A11,'Global Portfolio'!$E$2:$E$100)</f>
        <v>844934669.17999971</v>
      </c>
      <c r="C11" s="46">
        <f t="shared" ca="1" si="0"/>
        <v>6.460669209703887E-2</v>
      </c>
      <c r="E11" s="14">
        <f>DAY(Data!I11)</f>
        <v>4</v>
      </c>
    </row>
    <row r="12" spans="1:8" x14ac:dyDescent="0.25">
      <c r="A12" s="44" t="s">
        <v>42</v>
      </c>
      <c r="B12" s="45">
        <f ca="1">SUMIF('Global Portfolio'!$K$2:$K$1000,'Data-graph'!A12,'Global Portfolio'!$E$2:$E$100)</f>
        <v>96735928.169999987</v>
      </c>
      <c r="C12" s="46">
        <f t="shared" ca="1" si="0"/>
        <v>7.3967710806159869E-3</v>
      </c>
      <c r="E12" s="14">
        <f>DAY(Data!I12)</f>
        <v>7</v>
      </c>
    </row>
    <row r="13" spans="1:8" x14ac:dyDescent="0.25">
      <c r="A13" s="44" t="s">
        <v>43</v>
      </c>
      <c r="B13" s="45">
        <f ca="1">SUMIF('Global Portfolio'!$K$2:$K$1000,'Data-graph'!A13,'Global Portfolio'!$E$2:$E$100)</f>
        <v>213367397.34999999</v>
      </c>
      <c r="C13" s="46">
        <f t="shared" ca="1" si="0"/>
        <v>1.6314825568130797E-2</v>
      </c>
      <c r="E13" s="14">
        <f>DAY(Data!I13)</f>
        <v>2</v>
      </c>
    </row>
    <row r="14" spans="1:8" x14ac:dyDescent="0.25">
      <c r="A14" s="44" t="s">
        <v>44</v>
      </c>
      <c r="B14" s="45">
        <f ca="1">SUMIF('Global Portfolio'!$K$2:$K$1000,'Data-graph'!A14,'Global Portfolio'!$E$2:$E$100)</f>
        <v>4259765591.1499996</v>
      </c>
      <c r="C14" s="46">
        <f t="shared" ca="1" si="0"/>
        <v>0.32571673762668135</v>
      </c>
      <c r="E14" s="14">
        <f>DAY(Data!I14)</f>
        <v>16</v>
      </c>
    </row>
    <row r="15" spans="1:8" x14ac:dyDescent="0.25">
      <c r="A15" s="44" t="s">
        <v>45</v>
      </c>
      <c r="B15" s="45">
        <f ca="1">SUMIF('Global Portfolio'!$K$2:$K$1000,'Data-graph'!A15,'Global Portfolio'!$E$2:$E$100)</f>
        <v>620197585.25999987</v>
      </c>
      <c r="C15" s="46">
        <f t="shared" ca="1" si="0"/>
        <v>4.7422500095902424E-2</v>
      </c>
      <c r="E15" s="14">
        <f>DAY(Data!I15)</f>
        <v>16</v>
      </c>
      <c r="F15" s="869" t="s">
        <v>2214</v>
      </c>
      <c r="G15" s="866"/>
      <c r="H15" s="866"/>
    </row>
    <row r="16" spans="1:8" x14ac:dyDescent="0.25">
      <c r="A16" s="44" t="s">
        <v>46</v>
      </c>
      <c r="B16" s="45">
        <f ca="1">SUMIF('Global Portfolio'!$K$2:$K$1000,'Data-graph'!A16,'Global Portfolio'!$E$2:$E$100)</f>
        <v>185085639.05000001</v>
      </c>
      <c r="C16" s="46">
        <f t="shared" ca="1" si="0"/>
        <v>1.4152302337519084E-2</v>
      </c>
      <c r="E16" s="14">
        <f>DAY(Data!I16)</f>
        <v>3</v>
      </c>
      <c r="F16" s="870" t="s">
        <v>2215</v>
      </c>
      <c r="G16" s="870"/>
      <c r="H16" s="870"/>
    </row>
    <row r="17" spans="1:5" x14ac:dyDescent="0.25">
      <c r="A17" s="44" t="s">
        <v>29</v>
      </c>
      <c r="B17" s="45">
        <f ca="1">SUMIF('Global Portfolio'!$K$2:$K$1000,'Data-graph'!A17,'Global Portfolio'!$E$2:$E$100)</f>
        <v>293780473.39000005</v>
      </c>
      <c r="C17" s="46">
        <f t="shared" ca="1" si="0"/>
        <v>2.2463493664960067E-2</v>
      </c>
      <c r="E17" s="14">
        <f>DAY(Data!I17)</f>
        <v>7</v>
      </c>
    </row>
    <row r="18" spans="1:5" x14ac:dyDescent="0.25">
      <c r="A18" s="44" t="s">
        <v>28</v>
      </c>
      <c r="B18" s="45">
        <f ca="1">SUMIF('Global Portfolio'!$K$2:$K$1000,'Data-graph'!A18,'Global Portfolio'!$E$2:$E$100)</f>
        <v>47035160.43999999</v>
      </c>
      <c r="C18" s="46">
        <f t="shared" ca="1" si="0"/>
        <v>3.5964746614445503E-3</v>
      </c>
      <c r="E18" s="14">
        <f>DAY(Data!I18)</f>
        <v>15</v>
      </c>
    </row>
    <row r="19" spans="1:5" x14ac:dyDescent="0.25">
      <c r="B19" s="42">
        <f>SUMIF(Data!$K$2:$K$998,'Data-graph'!A19,Data!$E$2:$E$998)</f>
        <v>0</v>
      </c>
      <c r="E19" s="14">
        <f>DAY(Data!I19)</f>
        <v>11</v>
      </c>
    </row>
    <row r="20" spans="1:5" x14ac:dyDescent="0.25">
      <c r="A20" s="41" t="s">
        <v>34</v>
      </c>
      <c r="B20" s="42">
        <f ca="1">SUM(B5:B18)</f>
        <v>13078129242.569994</v>
      </c>
      <c r="E20" s="14">
        <f>DAY(Data!I20)</f>
        <v>8</v>
      </c>
    </row>
    <row r="21" spans="1:5" x14ac:dyDescent="0.25">
      <c r="E21" s="14">
        <f>DAY(Data!I21)</f>
        <v>8</v>
      </c>
    </row>
    <row r="22" spans="1:5" x14ac:dyDescent="0.25">
      <c r="E22" s="14">
        <f>DAY(Data!I22)</f>
        <v>9</v>
      </c>
    </row>
    <row r="23" spans="1:5" x14ac:dyDescent="0.25">
      <c r="E23" s="14">
        <f>DAY(Data!I23)</f>
        <v>8</v>
      </c>
    </row>
    <row r="24" spans="1:5" x14ac:dyDescent="0.25">
      <c r="E24" s="14">
        <f>DAY(Data!I24)</f>
        <v>8</v>
      </c>
    </row>
    <row r="25" spans="1:5" x14ac:dyDescent="0.25">
      <c r="E25" s="14">
        <f>DAY(Data!I25)</f>
        <v>10</v>
      </c>
    </row>
    <row r="26" spans="1:5" x14ac:dyDescent="0.25">
      <c r="E26" s="14">
        <f>DAY(Data!I26)</f>
        <v>0</v>
      </c>
    </row>
    <row r="27" spans="1:5" x14ac:dyDescent="0.25">
      <c r="E27" s="14">
        <f>DAY(Data!I27)</f>
        <v>0</v>
      </c>
    </row>
    <row r="28" spans="1:5" x14ac:dyDescent="0.25">
      <c r="E28" s="14">
        <f>DAY(Data!I28)</f>
        <v>0</v>
      </c>
    </row>
    <row r="29" spans="1:5" x14ac:dyDescent="0.25">
      <c r="E29" s="14">
        <f>DAY(Data!I29)</f>
        <v>0</v>
      </c>
    </row>
    <row r="30" spans="1:5" x14ac:dyDescent="0.25">
      <c r="E30" s="14">
        <f>DAY(Data!I30)</f>
        <v>0</v>
      </c>
    </row>
    <row r="31" spans="1:5" x14ac:dyDescent="0.25">
      <c r="E31" s="14">
        <f>DAY(Data!I31)</f>
        <v>0</v>
      </c>
    </row>
    <row r="32" spans="1:5" x14ac:dyDescent="0.25">
      <c r="E32" s="14">
        <f>DAY(Data!I32)</f>
        <v>0</v>
      </c>
    </row>
    <row r="33" spans="5:5" x14ac:dyDescent="0.25">
      <c r="E33" s="14">
        <f>DAY(Data!I33)</f>
        <v>0</v>
      </c>
    </row>
    <row r="34" spans="5:5" x14ac:dyDescent="0.25">
      <c r="E34" s="14">
        <f>DAY(Data!I34)</f>
        <v>0</v>
      </c>
    </row>
    <row r="35" spans="5:5" x14ac:dyDescent="0.25">
      <c r="E35" s="14">
        <f>DAY(Data!I35)</f>
        <v>0</v>
      </c>
    </row>
    <row r="36" spans="5:5" x14ac:dyDescent="0.25">
      <c r="E36" s="14">
        <f>DAY(Data!I36)</f>
        <v>0</v>
      </c>
    </row>
    <row r="37" spans="5:5" x14ac:dyDescent="0.25">
      <c r="E37" s="14">
        <f>DAY(Data!I37)</f>
        <v>0</v>
      </c>
    </row>
    <row r="38" spans="5:5" x14ac:dyDescent="0.25">
      <c r="E38" s="14">
        <f>DAY(Data!I38)</f>
        <v>0</v>
      </c>
    </row>
    <row r="39" spans="5:5" x14ac:dyDescent="0.25">
      <c r="E39" s="14">
        <f>DAY(Data!I39)</f>
        <v>0</v>
      </c>
    </row>
    <row r="40" spans="5:5" x14ac:dyDescent="0.25">
      <c r="E40" s="14">
        <f>DAY(Data!I40)</f>
        <v>0</v>
      </c>
    </row>
    <row r="41" spans="5:5" x14ac:dyDescent="0.25">
      <c r="E41" s="14">
        <f>DAY(Data!I41)</f>
        <v>0</v>
      </c>
    </row>
    <row r="42" spans="5:5" x14ac:dyDescent="0.25">
      <c r="E42" s="14">
        <f>DAY(Data!I42)</f>
        <v>0</v>
      </c>
    </row>
    <row r="43" spans="5:5" x14ac:dyDescent="0.25">
      <c r="E43" s="14">
        <f>DAY(Data!I43)</f>
        <v>0</v>
      </c>
    </row>
    <row r="44" spans="5:5" x14ac:dyDescent="0.25">
      <c r="E44" s="14">
        <f>DAY(Data!I44)</f>
        <v>0</v>
      </c>
    </row>
    <row r="45" spans="5:5" x14ac:dyDescent="0.25">
      <c r="E45" s="14">
        <f>DAY(Data!I45)</f>
        <v>0</v>
      </c>
    </row>
    <row r="46" spans="5:5" x14ac:dyDescent="0.25">
      <c r="E46" s="14">
        <f>DAY(Data!I46)</f>
        <v>0</v>
      </c>
    </row>
    <row r="47" spans="5:5" x14ac:dyDescent="0.25">
      <c r="E47" s="14">
        <f>DAY(Data!I47)</f>
        <v>0</v>
      </c>
    </row>
    <row r="48" spans="5:5" x14ac:dyDescent="0.25">
      <c r="E48" s="14">
        <f>DAY(Data!I48)</f>
        <v>0</v>
      </c>
    </row>
    <row r="49" spans="5:5" x14ac:dyDescent="0.25">
      <c r="E49" s="14">
        <f>DAY(Data!I49)</f>
        <v>0</v>
      </c>
    </row>
    <row r="50" spans="5:5" x14ac:dyDescent="0.25">
      <c r="E50" s="14">
        <f>DAY(Data!I50)</f>
        <v>0</v>
      </c>
    </row>
    <row r="51" spans="5:5" x14ac:dyDescent="0.25">
      <c r="E51" s="14">
        <f>DAY(Data!I51)</f>
        <v>0</v>
      </c>
    </row>
    <row r="52" spans="5:5" x14ac:dyDescent="0.25">
      <c r="E52" s="14">
        <f>DAY(Data!I52)</f>
        <v>0</v>
      </c>
    </row>
    <row r="53" spans="5:5" x14ac:dyDescent="0.25">
      <c r="E53" s="14">
        <f>DAY(Data!I53)</f>
        <v>0</v>
      </c>
    </row>
    <row r="54" spans="5:5" x14ac:dyDescent="0.25">
      <c r="E54" s="14">
        <f>DAY(Data!I54)</f>
        <v>0</v>
      </c>
    </row>
    <row r="55" spans="5:5" x14ac:dyDescent="0.25">
      <c r="E55" s="14">
        <f>DAY(Data!I55)</f>
        <v>0</v>
      </c>
    </row>
    <row r="56" spans="5:5" x14ac:dyDescent="0.25">
      <c r="E56" s="14" t="e">
        <f>DAY(Data!#REF!)</f>
        <v>#REF!</v>
      </c>
    </row>
    <row r="57" spans="5:5" x14ac:dyDescent="0.25">
      <c r="E57" s="14">
        <f>DAY(Data!I56)</f>
        <v>0</v>
      </c>
    </row>
    <row r="58" spans="5:5" x14ac:dyDescent="0.25">
      <c r="E58" s="14" t="e">
        <f>DAY(Data!#REF!)</f>
        <v>#REF!</v>
      </c>
    </row>
    <row r="59" spans="5:5" x14ac:dyDescent="0.25">
      <c r="E59" s="14">
        <f>DAY(Data!I57)</f>
        <v>0</v>
      </c>
    </row>
    <row r="60" spans="5:5" x14ac:dyDescent="0.25">
      <c r="E60" s="14">
        <f>DAY(Data!I58)</f>
        <v>0</v>
      </c>
    </row>
    <row r="61" spans="5:5" x14ac:dyDescent="0.25">
      <c r="E61" s="14">
        <f>DAY(Data!I59)</f>
        <v>0</v>
      </c>
    </row>
    <row r="62" spans="5:5" x14ac:dyDescent="0.25">
      <c r="E62" s="14">
        <f>DAY(Data!I60)</f>
        <v>0</v>
      </c>
    </row>
    <row r="63" spans="5:5" x14ac:dyDescent="0.25">
      <c r="E63" s="14">
        <f>DAY(Data!I61)</f>
        <v>0</v>
      </c>
    </row>
    <row r="64" spans="5:5" x14ac:dyDescent="0.25">
      <c r="E64" s="14">
        <f>DAY(Data!I62)</f>
        <v>0</v>
      </c>
    </row>
    <row r="65" spans="5:5" x14ac:dyDescent="0.25">
      <c r="E65" s="14">
        <f>DAY(Data!I63)</f>
        <v>0</v>
      </c>
    </row>
    <row r="66" spans="5:5" x14ac:dyDescent="0.25">
      <c r="E66" s="14">
        <f>DAY(Data!I64)</f>
        <v>0</v>
      </c>
    </row>
    <row r="67" spans="5:5" x14ac:dyDescent="0.25">
      <c r="E67" s="14">
        <f>DAY(Data!I65)</f>
        <v>0</v>
      </c>
    </row>
    <row r="68" spans="5:5" x14ac:dyDescent="0.25">
      <c r="E68" s="14">
        <f>DAY(Data!I66)</f>
        <v>0</v>
      </c>
    </row>
    <row r="69" spans="5:5" x14ac:dyDescent="0.25">
      <c r="E69" s="14">
        <f>DAY(Data!I67)</f>
        <v>0</v>
      </c>
    </row>
    <row r="70" spans="5:5" x14ac:dyDescent="0.25">
      <c r="E70" s="14">
        <f>DAY(Data!I68)</f>
        <v>0</v>
      </c>
    </row>
    <row r="71" spans="5:5" x14ac:dyDescent="0.25">
      <c r="E71" s="14">
        <f>DAY(Data!I69)</f>
        <v>0</v>
      </c>
    </row>
    <row r="72" spans="5:5" x14ac:dyDescent="0.25">
      <c r="E72" s="14">
        <f>DAY(Data!I70)</f>
        <v>0</v>
      </c>
    </row>
    <row r="73" spans="5:5" x14ac:dyDescent="0.25">
      <c r="E73" s="14">
        <f>DAY(Data!I71)</f>
        <v>0</v>
      </c>
    </row>
    <row r="74" spans="5:5" x14ac:dyDescent="0.25">
      <c r="E74" s="14">
        <f>DAY(Data!I72)</f>
        <v>0</v>
      </c>
    </row>
    <row r="75" spans="5:5" x14ac:dyDescent="0.25">
      <c r="E75" s="14">
        <f>DAY(Data!I73)</f>
        <v>0</v>
      </c>
    </row>
    <row r="76" spans="5:5" x14ac:dyDescent="0.25">
      <c r="E76" s="14">
        <f>DAY(Data!I74)</f>
        <v>0</v>
      </c>
    </row>
    <row r="77" spans="5:5" x14ac:dyDescent="0.25">
      <c r="E77" s="14">
        <f>DAY(Data!I75)</f>
        <v>0</v>
      </c>
    </row>
    <row r="78" spans="5:5" x14ac:dyDescent="0.25">
      <c r="E78" s="14">
        <f>DAY(Data!I76)</f>
        <v>0</v>
      </c>
    </row>
    <row r="79" spans="5:5" x14ac:dyDescent="0.25">
      <c r="E79" s="14">
        <f>DAY(Data!I77)</f>
        <v>0</v>
      </c>
    </row>
    <row r="80" spans="5:5" x14ac:dyDescent="0.25">
      <c r="E80" s="14">
        <f>DAY(Data!I78)</f>
        <v>0</v>
      </c>
    </row>
    <row r="81" spans="5:5" x14ac:dyDescent="0.25">
      <c r="E81" s="14">
        <f>DAY(Data!I79)</f>
        <v>0</v>
      </c>
    </row>
    <row r="82" spans="5:5" x14ac:dyDescent="0.25">
      <c r="E82" s="14">
        <f>DAY(Data!I80)</f>
        <v>0</v>
      </c>
    </row>
    <row r="83" spans="5:5" x14ac:dyDescent="0.25">
      <c r="E83" s="14">
        <f>DAY(Data!I81)</f>
        <v>0</v>
      </c>
    </row>
    <row r="84" spans="5:5" x14ac:dyDescent="0.25">
      <c r="E84" s="14">
        <f>DAY(Data!I82)</f>
        <v>0</v>
      </c>
    </row>
    <row r="85" spans="5:5" x14ac:dyDescent="0.25">
      <c r="E85" s="14">
        <f>DAY(Data!I83)</f>
        <v>0</v>
      </c>
    </row>
    <row r="86" spans="5:5" x14ac:dyDescent="0.25">
      <c r="E86" s="14">
        <f>DAY(Data!I84)</f>
        <v>0</v>
      </c>
    </row>
    <row r="87" spans="5:5" x14ac:dyDescent="0.25">
      <c r="E87" s="14">
        <f>DAY(Data!I85)</f>
        <v>0</v>
      </c>
    </row>
    <row r="88" spans="5:5" x14ac:dyDescent="0.25">
      <c r="E88" s="14">
        <f>DAY(Data!I86)</f>
        <v>0</v>
      </c>
    </row>
    <row r="89" spans="5:5" x14ac:dyDescent="0.25">
      <c r="E89" s="14">
        <f>DAY(Data!I87)</f>
        <v>0</v>
      </c>
    </row>
    <row r="90" spans="5:5" x14ac:dyDescent="0.25">
      <c r="E90" s="14">
        <f>DAY(Data!I88)</f>
        <v>0</v>
      </c>
    </row>
    <row r="91" spans="5:5" x14ac:dyDescent="0.25">
      <c r="E91" s="14">
        <f>DAY(Data!I89)</f>
        <v>0</v>
      </c>
    </row>
    <row r="92" spans="5:5" x14ac:dyDescent="0.25">
      <c r="E92" s="14">
        <f>DAY(Data!I90)</f>
        <v>0</v>
      </c>
    </row>
    <row r="93" spans="5:5" x14ac:dyDescent="0.25">
      <c r="E93" s="14">
        <f>DAY(Data!I91)</f>
        <v>0</v>
      </c>
    </row>
    <row r="94" spans="5:5" x14ac:dyDescent="0.25">
      <c r="E94" s="14">
        <f>DAY(Data!I92)</f>
        <v>0</v>
      </c>
    </row>
    <row r="95" spans="5:5" x14ac:dyDescent="0.25">
      <c r="E95" s="14">
        <f>DAY(Data!I93)</f>
        <v>0</v>
      </c>
    </row>
    <row r="96" spans="5:5" x14ac:dyDescent="0.25">
      <c r="E96" s="14">
        <f>DAY(Data!I94)</f>
        <v>0</v>
      </c>
    </row>
    <row r="97" spans="5:5" x14ac:dyDescent="0.25">
      <c r="E97" s="14">
        <f>DAY(Data!I95)</f>
        <v>0</v>
      </c>
    </row>
    <row r="98" spans="5:5" x14ac:dyDescent="0.25">
      <c r="E98" s="14">
        <f>DAY(Data!I96)</f>
        <v>0</v>
      </c>
    </row>
    <row r="99" spans="5:5" x14ac:dyDescent="0.25">
      <c r="E99" s="14">
        <f>DAY(Data!I97)</f>
        <v>0</v>
      </c>
    </row>
    <row r="100" spans="5:5" x14ac:dyDescent="0.25">
      <c r="E100" s="14">
        <f>DAY(Data!I98)</f>
        <v>0</v>
      </c>
    </row>
    <row r="101" spans="5:5" x14ac:dyDescent="0.25">
      <c r="E101" s="14">
        <f>DAY(Data!I99)</f>
        <v>0</v>
      </c>
    </row>
    <row r="102" spans="5:5" x14ac:dyDescent="0.25">
      <c r="E102" s="14">
        <f>DAY(Data!I100)</f>
        <v>0</v>
      </c>
    </row>
    <row r="103" spans="5:5" x14ac:dyDescent="0.25">
      <c r="E103" s="14">
        <f>DAY(Data!I101)</f>
        <v>0</v>
      </c>
    </row>
    <row r="104" spans="5:5" x14ac:dyDescent="0.25">
      <c r="E104" s="14">
        <f>DAY(Data!I102)</f>
        <v>0</v>
      </c>
    </row>
    <row r="105" spans="5:5" x14ac:dyDescent="0.25">
      <c r="E105" s="14">
        <f>DAY(Data!I103)</f>
        <v>0</v>
      </c>
    </row>
    <row r="106" spans="5:5" x14ac:dyDescent="0.25">
      <c r="E106" s="14">
        <f>DAY(Data!I104)</f>
        <v>0</v>
      </c>
    </row>
    <row r="107" spans="5:5" x14ac:dyDescent="0.25">
      <c r="E107" s="14">
        <f>DAY(Data!I105)</f>
        <v>0</v>
      </c>
    </row>
    <row r="108" spans="5:5" x14ac:dyDescent="0.25">
      <c r="E108" s="14">
        <f>DAY(Data!I106)</f>
        <v>0</v>
      </c>
    </row>
    <row r="109" spans="5:5" x14ac:dyDescent="0.25">
      <c r="E109" s="14">
        <f>DAY(Data!I107)</f>
        <v>0</v>
      </c>
    </row>
    <row r="110" spans="5:5" x14ac:dyDescent="0.25">
      <c r="E110" s="14">
        <f>DAY(Data!I108)</f>
        <v>0</v>
      </c>
    </row>
    <row r="111" spans="5:5" x14ac:dyDescent="0.25">
      <c r="E111" s="14">
        <f>DAY(Data!I109)</f>
        <v>0</v>
      </c>
    </row>
    <row r="112" spans="5:5" x14ac:dyDescent="0.25">
      <c r="E112" s="14">
        <f>DAY(Data!I110)</f>
        <v>0</v>
      </c>
    </row>
    <row r="113" spans="5:5" x14ac:dyDescent="0.25">
      <c r="E113" s="14">
        <f>DAY(Data!I111)</f>
        <v>0</v>
      </c>
    </row>
    <row r="114" spans="5:5" x14ac:dyDescent="0.25">
      <c r="E114" s="14">
        <f>DAY(Data!I112)</f>
        <v>0</v>
      </c>
    </row>
    <row r="115" spans="5:5" x14ac:dyDescent="0.25">
      <c r="E115" s="14">
        <f>DAY(Data!I113)</f>
        <v>0</v>
      </c>
    </row>
    <row r="116" spans="5:5" x14ac:dyDescent="0.25">
      <c r="E116" s="14">
        <f>DAY(Data!I114)</f>
        <v>0</v>
      </c>
    </row>
    <row r="117" spans="5:5" x14ac:dyDescent="0.25">
      <c r="E117" s="14">
        <f>DAY(Data!I115)</f>
        <v>0</v>
      </c>
    </row>
    <row r="118" spans="5:5" x14ac:dyDescent="0.25">
      <c r="E118" s="14">
        <f>DAY(Data!I116)</f>
        <v>0</v>
      </c>
    </row>
    <row r="119" spans="5:5" x14ac:dyDescent="0.25">
      <c r="E119" s="14">
        <f>DAY(Data!I117)</f>
        <v>0</v>
      </c>
    </row>
    <row r="120" spans="5:5" x14ac:dyDescent="0.25">
      <c r="E120" s="14">
        <f>DAY(Data!I118)</f>
        <v>0</v>
      </c>
    </row>
    <row r="121" spans="5:5" x14ac:dyDescent="0.25">
      <c r="E121" s="14">
        <f>DAY(Data!I119)</f>
        <v>0</v>
      </c>
    </row>
    <row r="122" spans="5:5" x14ac:dyDescent="0.25">
      <c r="E122" s="14">
        <f>DAY(Data!I120)</f>
        <v>0</v>
      </c>
    </row>
    <row r="123" spans="5:5" x14ac:dyDescent="0.25">
      <c r="E123" s="14">
        <f>DAY(Data!I121)</f>
        <v>0</v>
      </c>
    </row>
    <row r="124" spans="5:5" x14ac:dyDescent="0.25">
      <c r="E124" s="14">
        <f>DAY(Data!I122)</f>
        <v>0</v>
      </c>
    </row>
    <row r="125" spans="5:5" x14ac:dyDescent="0.25">
      <c r="E125" s="14">
        <f>DAY(Data!I123)</f>
        <v>0</v>
      </c>
    </row>
    <row r="126" spans="5:5" x14ac:dyDescent="0.25">
      <c r="E126" s="14">
        <f>DAY(Data!I124)</f>
        <v>0</v>
      </c>
    </row>
    <row r="127" spans="5:5" x14ac:dyDescent="0.25">
      <c r="E127" s="14">
        <f>DAY(Data!I125)</f>
        <v>0</v>
      </c>
    </row>
    <row r="128" spans="5:5" x14ac:dyDescent="0.25">
      <c r="E128" s="14">
        <f>DAY(Data!I126)</f>
        <v>0</v>
      </c>
    </row>
    <row r="129" spans="5:5" x14ac:dyDescent="0.25">
      <c r="E129" s="14">
        <f>DAY(Data!I127)</f>
        <v>0</v>
      </c>
    </row>
    <row r="130" spans="5:5" x14ac:dyDescent="0.25">
      <c r="E130" s="14">
        <f>DAY(Data!I128)</f>
        <v>0</v>
      </c>
    </row>
    <row r="131" spans="5:5" x14ac:dyDescent="0.25">
      <c r="E131" s="14">
        <f>DAY(Data!I129)</f>
        <v>0</v>
      </c>
    </row>
    <row r="132" spans="5:5" x14ac:dyDescent="0.25">
      <c r="E132" s="14">
        <f>DAY(Data!I130)</f>
        <v>0</v>
      </c>
    </row>
    <row r="133" spans="5:5" x14ac:dyDescent="0.25">
      <c r="E133" s="14">
        <f>DAY(Data!I131)</f>
        <v>0</v>
      </c>
    </row>
    <row r="134" spans="5:5" x14ac:dyDescent="0.25">
      <c r="E134" s="14">
        <f>DAY(Data!I132)</f>
        <v>0</v>
      </c>
    </row>
    <row r="135" spans="5:5" x14ac:dyDescent="0.25">
      <c r="E135" s="14">
        <f>DAY(Data!I133)</f>
        <v>0</v>
      </c>
    </row>
    <row r="136" spans="5:5" x14ac:dyDescent="0.25">
      <c r="E136" s="14">
        <f>DAY(Data!I134)</f>
        <v>0</v>
      </c>
    </row>
    <row r="137" spans="5:5" x14ac:dyDescent="0.25">
      <c r="E137" s="14">
        <f>DAY(Data!I135)</f>
        <v>0</v>
      </c>
    </row>
    <row r="138" spans="5:5" x14ac:dyDescent="0.25">
      <c r="E138" s="14">
        <f>DAY(Data!I136)</f>
        <v>0</v>
      </c>
    </row>
    <row r="139" spans="5:5" x14ac:dyDescent="0.25">
      <c r="E139" s="14">
        <f>DAY(Data!I137)</f>
        <v>0</v>
      </c>
    </row>
    <row r="140" spans="5:5" x14ac:dyDescent="0.25">
      <c r="E140" s="14">
        <f>DAY(Data!I138)</f>
        <v>0</v>
      </c>
    </row>
    <row r="141" spans="5:5" x14ac:dyDescent="0.25">
      <c r="E141" s="14">
        <f>DAY(Data!I139)</f>
        <v>0</v>
      </c>
    </row>
    <row r="142" spans="5:5" x14ac:dyDescent="0.25">
      <c r="E142" s="14">
        <f>DAY(Data!I140)</f>
        <v>0</v>
      </c>
    </row>
    <row r="143" spans="5:5" x14ac:dyDescent="0.25">
      <c r="E143" s="14">
        <f>DAY(Data!I141)</f>
        <v>0</v>
      </c>
    </row>
    <row r="144" spans="5:5" x14ac:dyDescent="0.25">
      <c r="E144" s="14">
        <f>DAY(Data!I142)</f>
        <v>0</v>
      </c>
    </row>
    <row r="145" spans="5:5" x14ac:dyDescent="0.25">
      <c r="E145" s="14">
        <f>DAY(Data!I143)</f>
        <v>0</v>
      </c>
    </row>
    <row r="146" spans="5:5" x14ac:dyDescent="0.25">
      <c r="E146" s="14">
        <f>DAY(Data!I144)</f>
        <v>0</v>
      </c>
    </row>
    <row r="147" spans="5:5" x14ac:dyDescent="0.25">
      <c r="E147" s="14">
        <f>DAY(Data!I145)</f>
        <v>0</v>
      </c>
    </row>
    <row r="148" spans="5:5" x14ac:dyDescent="0.25">
      <c r="E148" s="14">
        <f>DAY(Data!I146)</f>
        <v>0</v>
      </c>
    </row>
    <row r="149" spans="5:5" x14ac:dyDescent="0.25">
      <c r="E149" s="14">
        <f>DAY(Data!I147)</f>
        <v>0</v>
      </c>
    </row>
    <row r="150" spans="5:5" x14ac:dyDescent="0.25">
      <c r="E150" s="14">
        <f>DAY(Data!I148)</f>
        <v>0</v>
      </c>
    </row>
    <row r="151" spans="5:5" x14ac:dyDescent="0.25">
      <c r="E151" s="14">
        <f>DAY(Data!I149)</f>
        <v>0</v>
      </c>
    </row>
    <row r="152" spans="5:5" x14ac:dyDescent="0.25">
      <c r="E152" s="14">
        <f>DAY(Data!I150)</f>
        <v>0</v>
      </c>
    </row>
    <row r="153" spans="5:5" x14ac:dyDescent="0.25">
      <c r="E153" s="14">
        <f>DAY(Data!I151)</f>
        <v>0</v>
      </c>
    </row>
    <row r="154" spans="5:5" x14ac:dyDescent="0.25">
      <c r="E154" s="14">
        <f>DAY(Data!I152)</f>
        <v>0</v>
      </c>
    </row>
    <row r="155" spans="5:5" x14ac:dyDescent="0.25">
      <c r="E155" s="14">
        <f>DAY(Data!I153)</f>
        <v>0</v>
      </c>
    </row>
    <row r="156" spans="5:5" x14ac:dyDescent="0.25">
      <c r="E156" s="14">
        <f>DAY(Data!I154)</f>
        <v>0</v>
      </c>
    </row>
    <row r="157" spans="5:5" x14ac:dyDescent="0.25">
      <c r="E157" s="14">
        <f>DAY(Data!I155)</f>
        <v>0</v>
      </c>
    </row>
    <row r="158" spans="5:5" x14ac:dyDescent="0.25">
      <c r="E158" s="14">
        <f>DAY(Data!I156)</f>
        <v>0</v>
      </c>
    </row>
    <row r="159" spans="5:5" x14ac:dyDescent="0.25">
      <c r="E159" s="14">
        <f>DAY(Data!I157)</f>
        <v>0</v>
      </c>
    </row>
    <row r="160" spans="5:5" x14ac:dyDescent="0.25">
      <c r="E160" s="14">
        <f>DAY(Data!I158)</f>
        <v>0</v>
      </c>
    </row>
    <row r="161" spans="5:5" x14ac:dyDescent="0.25">
      <c r="E161" s="14">
        <f>DAY(Data!I159)</f>
        <v>0</v>
      </c>
    </row>
    <row r="162" spans="5:5" x14ac:dyDescent="0.25">
      <c r="E162" s="14">
        <f>DAY(Data!I160)</f>
        <v>0</v>
      </c>
    </row>
    <row r="163" spans="5:5" x14ac:dyDescent="0.25">
      <c r="E163" s="14">
        <f>DAY(Data!I161)</f>
        <v>0</v>
      </c>
    </row>
    <row r="164" spans="5:5" x14ac:dyDescent="0.25">
      <c r="E164" s="14">
        <f>DAY(Data!I162)</f>
        <v>0</v>
      </c>
    </row>
    <row r="165" spans="5:5" x14ac:dyDescent="0.25">
      <c r="E165" s="14">
        <f>DAY(Data!I163)</f>
        <v>0</v>
      </c>
    </row>
    <row r="166" spans="5:5" x14ac:dyDescent="0.25">
      <c r="E166" s="14">
        <f>DAY(Data!I164)</f>
        <v>0</v>
      </c>
    </row>
    <row r="167" spans="5:5" x14ac:dyDescent="0.25">
      <c r="E167" s="14">
        <f>DAY(Data!I165)</f>
        <v>0</v>
      </c>
    </row>
    <row r="168" spans="5:5" x14ac:dyDescent="0.25">
      <c r="E168" s="14">
        <f>DAY(Data!I166)</f>
        <v>0</v>
      </c>
    </row>
    <row r="169" spans="5:5" x14ac:dyDescent="0.25">
      <c r="E169" s="14">
        <f>DAY(Data!I167)</f>
        <v>0</v>
      </c>
    </row>
    <row r="170" spans="5:5" x14ac:dyDescent="0.25">
      <c r="E170" s="14">
        <f>DAY(Data!I168)</f>
        <v>0</v>
      </c>
    </row>
    <row r="171" spans="5:5" x14ac:dyDescent="0.25">
      <c r="E171" s="14">
        <f>DAY(Data!I169)</f>
        <v>0</v>
      </c>
    </row>
    <row r="172" spans="5:5" x14ac:dyDescent="0.25">
      <c r="E172" s="14">
        <f>DAY(Data!I170)</f>
        <v>0</v>
      </c>
    </row>
    <row r="173" spans="5:5" x14ac:dyDescent="0.25">
      <c r="E173" s="14">
        <f>DAY(Data!I171)</f>
        <v>0</v>
      </c>
    </row>
    <row r="174" spans="5:5" x14ac:dyDescent="0.25">
      <c r="E174" s="14">
        <f>DAY(Data!I172)</f>
        <v>0</v>
      </c>
    </row>
    <row r="175" spans="5:5" x14ac:dyDescent="0.25">
      <c r="E175" s="14">
        <f>DAY(Data!I173)</f>
        <v>0</v>
      </c>
    </row>
    <row r="176" spans="5:5" x14ac:dyDescent="0.25">
      <c r="E176" s="14">
        <f>DAY(Data!I174)</f>
        <v>0</v>
      </c>
    </row>
    <row r="177" spans="5:5" x14ac:dyDescent="0.25">
      <c r="E177" s="14">
        <f>DAY(Data!I175)</f>
        <v>0</v>
      </c>
    </row>
    <row r="178" spans="5:5" x14ac:dyDescent="0.25">
      <c r="E178" s="14">
        <f>DAY(Data!I176)</f>
        <v>0</v>
      </c>
    </row>
    <row r="179" spans="5:5" x14ac:dyDescent="0.25">
      <c r="E179" s="14">
        <f>DAY(Data!I177)</f>
        <v>0</v>
      </c>
    </row>
    <row r="180" spans="5:5" x14ac:dyDescent="0.25">
      <c r="E180" s="14">
        <f>DAY(Data!I178)</f>
        <v>0</v>
      </c>
    </row>
    <row r="181" spans="5:5" x14ac:dyDescent="0.25">
      <c r="E181" s="14">
        <f>DAY(Data!I179)</f>
        <v>0</v>
      </c>
    </row>
    <row r="182" spans="5:5" x14ac:dyDescent="0.25">
      <c r="E182" s="14">
        <f>DAY(Data!I180)</f>
        <v>0</v>
      </c>
    </row>
    <row r="183" spans="5:5" x14ac:dyDescent="0.25">
      <c r="E183" s="14">
        <f>DAY(Data!I181)</f>
        <v>0</v>
      </c>
    </row>
    <row r="184" spans="5:5" x14ac:dyDescent="0.25">
      <c r="E184" s="14">
        <f>DAY(Data!I182)</f>
        <v>0</v>
      </c>
    </row>
    <row r="185" spans="5:5" x14ac:dyDescent="0.25">
      <c r="E185" s="14">
        <f>DAY(Data!I183)</f>
        <v>0</v>
      </c>
    </row>
    <row r="186" spans="5:5" x14ac:dyDescent="0.25">
      <c r="E186" s="14">
        <f>DAY(Data!I184)</f>
        <v>0</v>
      </c>
    </row>
    <row r="187" spans="5:5" x14ac:dyDescent="0.25">
      <c r="E187" s="14">
        <f>DAY(Data!I185)</f>
        <v>0</v>
      </c>
    </row>
    <row r="188" spans="5:5" x14ac:dyDescent="0.25">
      <c r="E188" s="14">
        <f>DAY(Data!I186)</f>
        <v>0</v>
      </c>
    </row>
    <row r="189" spans="5:5" x14ac:dyDescent="0.25">
      <c r="E189" s="14">
        <f>DAY(Data!I187)</f>
        <v>0</v>
      </c>
    </row>
    <row r="190" spans="5:5" x14ac:dyDescent="0.25">
      <c r="E190" s="14">
        <f>DAY(Data!I188)</f>
        <v>0</v>
      </c>
    </row>
    <row r="191" spans="5:5" x14ac:dyDescent="0.25">
      <c r="E191" s="14">
        <f>DAY(Data!I189)</f>
        <v>0</v>
      </c>
    </row>
    <row r="192" spans="5:5" x14ac:dyDescent="0.25">
      <c r="E192" s="14">
        <f>DAY(Data!I190)</f>
        <v>0</v>
      </c>
    </row>
    <row r="193" spans="5:5" x14ac:dyDescent="0.25">
      <c r="E193" s="14">
        <f>DAY(Data!I191)</f>
        <v>0</v>
      </c>
    </row>
    <row r="194" spans="5:5" x14ac:dyDescent="0.25">
      <c r="E194" s="14">
        <f>DAY(Data!I192)</f>
        <v>0</v>
      </c>
    </row>
    <row r="195" spans="5:5" x14ac:dyDescent="0.25">
      <c r="E195" s="14">
        <f>DAY(Data!I193)</f>
        <v>0</v>
      </c>
    </row>
    <row r="196" spans="5:5" x14ac:dyDescent="0.25">
      <c r="E196" s="14">
        <f>DAY(Data!I194)</f>
        <v>0</v>
      </c>
    </row>
    <row r="197" spans="5:5" x14ac:dyDescent="0.25">
      <c r="E197" s="14">
        <f>DAY(Data!I195)</f>
        <v>0</v>
      </c>
    </row>
    <row r="198" spans="5:5" x14ac:dyDescent="0.25">
      <c r="E198" s="14">
        <f>DAY(Data!I196)</f>
        <v>0</v>
      </c>
    </row>
    <row r="199" spans="5:5" x14ac:dyDescent="0.25">
      <c r="E199" s="14">
        <f>DAY(Data!I197)</f>
        <v>0</v>
      </c>
    </row>
    <row r="200" spans="5:5" x14ac:dyDescent="0.25">
      <c r="E200" s="14">
        <f>DAY(Data!I198)</f>
        <v>0</v>
      </c>
    </row>
    <row r="201" spans="5:5" x14ac:dyDescent="0.25">
      <c r="E201" s="14">
        <f>DAY(Data!I199)</f>
        <v>0</v>
      </c>
    </row>
    <row r="202" spans="5:5" x14ac:dyDescent="0.25">
      <c r="E202" s="14">
        <f>DAY(Data!I200)</f>
        <v>0</v>
      </c>
    </row>
    <row r="203" spans="5:5" x14ac:dyDescent="0.25">
      <c r="E203" s="14">
        <f>DAY(Data!I201)</f>
        <v>0</v>
      </c>
    </row>
    <row r="204" spans="5:5" x14ac:dyDescent="0.25">
      <c r="E204" s="14">
        <f>DAY(Data!I202)</f>
        <v>0</v>
      </c>
    </row>
    <row r="205" spans="5:5" x14ac:dyDescent="0.25">
      <c r="E205" s="14">
        <f>DAY(Data!I203)</f>
        <v>0</v>
      </c>
    </row>
    <row r="206" spans="5:5" x14ac:dyDescent="0.25">
      <c r="E206" s="14">
        <f>DAY(Data!I204)</f>
        <v>0</v>
      </c>
    </row>
    <row r="207" spans="5:5" x14ac:dyDescent="0.25">
      <c r="E207" s="14">
        <f>DAY(Data!I205)</f>
        <v>0</v>
      </c>
    </row>
    <row r="208" spans="5:5" x14ac:dyDescent="0.25">
      <c r="E208" s="14">
        <f>DAY(Data!I206)</f>
        <v>0</v>
      </c>
    </row>
    <row r="209" spans="5:5" x14ac:dyDescent="0.25">
      <c r="E209" s="14">
        <f>DAY(Data!I207)</f>
        <v>0</v>
      </c>
    </row>
    <row r="210" spans="5:5" x14ac:dyDescent="0.25">
      <c r="E210" s="14">
        <f>DAY(Data!I208)</f>
        <v>0</v>
      </c>
    </row>
    <row r="211" spans="5:5" x14ac:dyDescent="0.25">
      <c r="E211" s="14">
        <f>DAY(Data!I209)</f>
        <v>0</v>
      </c>
    </row>
    <row r="212" spans="5:5" x14ac:dyDescent="0.25">
      <c r="E212" s="14">
        <f>DAY(Data!I210)</f>
        <v>0</v>
      </c>
    </row>
    <row r="213" spans="5:5" x14ac:dyDescent="0.25">
      <c r="E213" s="14">
        <f>DAY(Data!I211)</f>
        <v>0</v>
      </c>
    </row>
    <row r="214" spans="5:5" x14ac:dyDescent="0.25">
      <c r="E214" s="14">
        <f>DAY(Data!I212)</f>
        <v>0</v>
      </c>
    </row>
    <row r="215" spans="5:5" x14ac:dyDescent="0.25">
      <c r="E215" s="14">
        <f>DAY(Data!I213)</f>
        <v>0</v>
      </c>
    </row>
    <row r="216" spans="5:5" x14ac:dyDescent="0.25">
      <c r="E216" s="14">
        <f>DAY(Data!I214)</f>
        <v>0</v>
      </c>
    </row>
    <row r="217" spans="5:5" x14ac:dyDescent="0.25">
      <c r="E217" s="14">
        <f>DAY(Data!I215)</f>
        <v>0</v>
      </c>
    </row>
    <row r="218" spans="5:5" x14ac:dyDescent="0.25">
      <c r="E218" s="14">
        <f>DAY(Data!I216)</f>
        <v>0</v>
      </c>
    </row>
    <row r="219" spans="5:5" x14ac:dyDescent="0.25">
      <c r="E219" s="14">
        <f>DAY(Data!I217)</f>
        <v>0</v>
      </c>
    </row>
    <row r="220" spans="5:5" x14ac:dyDescent="0.25">
      <c r="E220" s="14">
        <f>DAY(Data!I218)</f>
        <v>0</v>
      </c>
    </row>
    <row r="221" spans="5:5" x14ac:dyDescent="0.25">
      <c r="E221" s="14">
        <f>DAY(Data!I219)</f>
        <v>0</v>
      </c>
    </row>
    <row r="222" spans="5:5" x14ac:dyDescent="0.25">
      <c r="E222" s="14">
        <f>DAY(Data!I220)</f>
        <v>0</v>
      </c>
    </row>
    <row r="223" spans="5:5" x14ac:dyDescent="0.25">
      <c r="E223" s="14">
        <f>DAY(Data!I221)</f>
        <v>0</v>
      </c>
    </row>
    <row r="224" spans="5:5" x14ac:dyDescent="0.25">
      <c r="E224" s="14">
        <f>DAY(Data!I222)</f>
        <v>0</v>
      </c>
    </row>
    <row r="225" spans="5:5" x14ac:dyDescent="0.25">
      <c r="E225" s="14">
        <f>DAY(Data!I223)</f>
        <v>0</v>
      </c>
    </row>
    <row r="226" spans="5:5" x14ac:dyDescent="0.25">
      <c r="E226" s="14">
        <f>DAY(Data!I224)</f>
        <v>0</v>
      </c>
    </row>
    <row r="227" spans="5:5" x14ac:dyDescent="0.25">
      <c r="E227" s="14">
        <f>DAY(Data!I225)</f>
        <v>0</v>
      </c>
    </row>
    <row r="228" spans="5:5" x14ac:dyDescent="0.25">
      <c r="E228" s="14">
        <f>DAY(Data!I226)</f>
        <v>0</v>
      </c>
    </row>
    <row r="229" spans="5:5" x14ac:dyDescent="0.25">
      <c r="E229" s="14">
        <f>DAY(Data!I227)</f>
        <v>0</v>
      </c>
    </row>
    <row r="230" spans="5:5" x14ac:dyDescent="0.25">
      <c r="E230" s="14">
        <f>DAY(Data!I228)</f>
        <v>0</v>
      </c>
    </row>
    <row r="231" spans="5:5" x14ac:dyDescent="0.25">
      <c r="E231" s="14">
        <f>DAY(Data!I229)</f>
        <v>0</v>
      </c>
    </row>
    <row r="232" spans="5:5" x14ac:dyDescent="0.25">
      <c r="E232" s="14">
        <f>DAY(Data!I230)</f>
        <v>0</v>
      </c>
    </row>
    <row r="233" spans="5:5" x14ac:dyDescent="0.25">
      <c r="E233" s="14">
        <f>DAY(Data!I231)</f>
        <v>0</v>
      </c>
    </row>
    <row r="234" spans="5:5" x14ac:dyDescent="0.25">
      <c r="E234" s="14">
        <f>DAY(Data!I232)</f>
        <v>0</v>
      </c>
    </row>
    <row r="235" spans="5:5" x14ac:dyDescent="0.25">
      <c r="E235" s="14">
        <f>DAY(Data!I233)</f>
        <v>0</v>
      </c>
    </row>
    <row r="236" spans="5:5" x14ac:dyDescent="0.25">
      <c r="E236" s="14">
        <f>DAY(Data!I234)</f>
        <v>0</v>
      </c>
    </row>
    <row r="237" spans="5:5" x14ac:dyDescent="0.25">
      <c r="E237" s="14">
        <f>DAY(Data!I235)</f>
        <v>0</v>
      </c>
    </row>
    <row r="238" spans="5:5" x14ac:dyDescent="0.25">
      <c r="E238" s="14">
        <f>DAY(Data!I236)</f>
        <v>0</v>
      </c>
    </row>
    <row r="239" spans="5:5" x14ac:dyDescent="0.25">
      <c r="E239" s="14">
        <f>DAY(Data!I237)</f>
        <v>0</v>
      </c>
    </row>
    <row r="240" spans="5:5" x14ac:dyDescent="0.25">
      <c r="E240" s="14">
        <f>DAY(Data!I238)</f>
        <v>0</v>
      </c>
    </row>
    <row r="241" spans="5:5" x14ac:dyDescent="0.25">
      <c r="E241" s="14">
        <f>DAY(Data!I239)</f>
        <v>0</v>
      </c>
    </row>
    <row r="242" spans="5:5" x14ac:dyDescent="0.25">
      <c r="E242" s="14">
        <f>DAY(Data!I240)</f>
        <v>0</v>
      </c>
    </row>
    <row r="243" spans="5:5" x14ac:dyDescent="0.25">
      <c r="E243" s="14">
        <f>DAY(Data!I241)</f>
        <v>0</v>
      </c>
    </row>
    <row r="244" spans="5:5" x14ac:dyDescent="0.25">
      <c r="E244" s="14">
        <f>DAY(Data!I242)</f>
        <v>0</v>
      </c>
    </row>
    <row r="245" spans="5:5" x14ac:dyDescent="0.25">
      <c r="E245" s="14">
        <f>DAY(Data!I243)</f>
        <v>0</v>
      </c>
    </row>
    <row r="246" spans="5:5" x14ac:dyDescent="0.25">
      <c r="E246" s="14">
        <f>DAY(Data!I244)</f>
        <v>0</v>
      </c>
    </row>
    <row r="247" spans="5:5" x14ac:dyDescent="0.25">
      <c r="E247" s="14">
        <f>DAY(Data!I245)</f>
        <v>0</v>
      </c>
    </row>
    <row r="248" spans="5:5" x14ac:dyDescent="0.25">
      <c r="E248" s="14">
        <f>DAY(Data!I246)</f>
        <v>0</v>
      </c>
    </row>
    <row r="249" spans="5:5" x14ac:dyDescent="0.25">
      <c r="E249" s="14">
        <f>DAY(Data!I247)</f>
        <v>0</v>
      </c>
    </row>
    <row r="250" spans="5:5" x14ac:dyDescent="0.25">
      <c r="E250" s="14">
        <f>DAY(Data!I248)</f>
        <v>0</v>
      </c>
    </row>
    <row r="251" spans="5:5" x14ac:dyDescent="0.25">
      <c r="E251" s="14">
        <f>DAY(Data!I249)</f>
        <v>0</v>
      </c>
    </row>
    <row r="252" spans="5:5" x14ac:dyDescent="0.25">
      <c r="E252" s="14">
        <f>DAY(Data!I250)</f>
        <v>0</v>
      </c>
    </row>
    <row r="253" spans="5:5" x14ac:dyDescent="0.25">
      <c r="E253" s="14">
        <f>DAY(Data!I251)</f>
        <v>0</v>
      </c>
    </row>
    <row r="254" spans="5:5" x14ac:dyDescent="0.25">
      <c r="E254" s="14">
        <f>DAY(Data!I252)</f>
        <v>0</v>
      </c>
    </row>
    <row r="255" spans="5:5" x14ac:dyDescent="0.25">
      <c r="E255" s="14">
        <f>DAY(Data!I253)</f>
        <v>0</v>
      </c>
    </row>
    <row r="256" spans="5:5" x14ac:dyDescent="0.25">
      <c r="E256" s="14">
        <f>DAY(Data!I254)</f>
        <v>0</v>
      </c>
    </row>
    <row r="257" spans="5:5" x14ac:dyDescent="0.25">
      <c r="E257" s="14">
        <f>DAY(Data!I255)</f>
        <v>0</v>
      </c>
    </row>
    <row r="258" spans="5:5" x14ac:dyDescent="0.25">
      <c r="E258" s="14">
        <f>DAY(Data!I256)</f>
        <v>0</v>
      </c>
    </row>
    <row r="259" spans="5:5" x14ac:dyDescent="0.25">
      <c r="E259" s="14">
        <f>DAY(Data!I257)</f>
        <v>0</v>
      </c>
    </row>
    <row r="260" spans="5:5" x14ac:dyDescent="0.25">
      <c r="E260" s="14">
        <f>DAY(Data!I258)</f>
        <v>0</v>
      </c>
    </row>
    <row r="261" spans="5:5" x14ac:dyDescent="0.25">
      <c r="E261" s="14">
        <f>DAY(Data!I259)</f>
        <v>0</v>
      </c>
    </row>
    <row r="262" spans="5:5" x14ac:dyDescent="0.25">
      <c r="E262" s="14">
        <f>DAY(Data!I260)</f>
        <v>0</v>
      </c>
    </row>
    <row r="263" spans="5:5" x14ac:dyDescent="0.25">
      <c r="E263" s="14">
        <f>DAY(Data!I261)</f>
        <v>0</v>
      </c>
    </row>
    <row r="264" spans="5:5" x14ac:dyDescent="0.25">
      <c r="E264" s="14">
        <f>DAY(Data!I262)</f>
        <v>0</v>
      </c>
    </row>
    <row r="265" spans="5:5" x14ac:dyDescent="0.25">
      <c r="E265" s="14">
        <f>DAY(Data!I263)</f>
        <v>0</v>
      </c>
    </row>
    <row r="266" spans="5:5" x14ac:dyDescent="0.25">
      <c r="E266" s="14">
        <f>DAY(Data!I264)</f>
        <v>0</v>
      </c>
    </row>
    <row r="267" spans="5:5" x14ac:dyDescent="0.25">
      <c r="E267" s="14">
        <f>DAY(Data!I265)</f>
        <v>0</v>
      </c>
    </row>
    <row r="268" spans="5:5" x14ac:dyDescent="0.25">
      <c r="E268" s="14">
        <f>DAY(Data!I266)</f>
        <v>0</v>
      </c>
    </row>
    <row r="269" spans="5:5" x14ac:dyDescent="0.25">
      <c r="E269" s="14">
        <f>DAY(Data!I267)</f>
        <v>0</v>
      </c>
    </row>
    <row r="270" spans="5:5" x14ac:dyDescent="0.25">
      <c r="E270" s="14">
        <f>DAY(Data!I268)</f>
        <v>0</v>
      </c>
    </row>
    <row r="271" spans="5:5" x14ac:dyDescent="0.25">
      <c r="E271" s="14">
        <f>DAY(Data!I269)</f>
        <v>0</v>
      </c>
    </row>
    <row r="272" spans="5:5" x14ac:dyDescent="0.25">
      <c r="E272" s="14">
        <f>DAY(Data!I270)</f>
        <v>0</v>
      </c>
    </row>
    <row r="273" spans="5:5" x14ac:dyDescent="0.25">
      <c r="E273" s="14">
        <f>DAY(Data!I271)</f>
        <v>0</v>
      </c>
    </row>
    <row r="274" spans="5:5" x14ac:dyDescent="0.25">
      <c r="E274" s="14">
        <f>DAY(Data!I272)</f>
        <v>0</v>
      </c>
    </row>
    <row r="275" spans="5:5" x14ac:dyDescent="0.25">
      <c r="E275" s="14">
        <f>DAY(Data!I273)</f>
        <v>0</v>
      </c>
    </row>
    <row r="276" spans="5:5" x14ac:dyDescent="0.25">
      <c r="E276" s="14">
        <f>DAY(Data!I274)</f>
        <v>0</v>
      </c>
    </row>
    <row r="277" spans="5:5" x14ac:dyDescent="0.25">
      <c r="E277" s="14">
        <f>DAY(Data!I275)</f>
        <v>0</v>
      </c>
    </row>
    <row r="278" spans="5:5" x14ac:dyDescent="0.25">
      <c r="E278" s="14">
        <f>DAY(Data!I276)</f>
        <v>0</v>
      </c>
    </row>
    <row r="279" spans="5:5" x14ac:dyDescent="0.25">
      <c r="E279" s="14">
        <f>DAY(Data!I277)</f>
        <v>0</v>
      </c>
    </row>
    <row r="280" spans="5:5" x14ac:dyDescent="0.25">
      <c r="E280" s="14">
        <f>DAY(Data!I278)</f>
        <v>0</v>
      </c>
    </row>
    <row r="281" spans="5:5" x14ac:dyDescent="0.25">
      <c r="E281" s="14">
        <f>DAY(Data!I279)</f>
        <v>0</v>
      </c>
    </row>
    <row r="282" spans="5:5" x14ac:dyDescent="0.25">
      <c r="E282" s="14">
        <f>DAY(Data!I280)</f>
        <v>0</v>
      </c>
    </row>
    <row r="283" spans="5:5" x14ac:dyDescent="0.25">
      <c r="E283" s="14">
        <f>DAY(Data!I281)</f>
        <v>0</v>
      </c>
    </row>
    <row r="284" spans="5:5" x14ac:dyDescent="0.25">
      <c r="E284" s="14">
        <f>DAY(Data!I282)</f>
        <v>0</v>
      </c>
    </row>
    <row r="285" spans="5:5" x14ac:dyDescent="0.25">
      <c r="E285" s="14">
        <f>DAY(Data!I283)</f>
        <v>0</v>
      </c>
    </row>
    <row r="286" spans="5:5" x14ac:dyDescent="0.25">
      <c r="E286" s="14">
        <f>DAY(Data!I284)</f>
        <v>0</v>
      </c>
    </row>
    <row r="287" spans="5:5" x14ac:dyDescent="0.25">
      <c r="E287" s="14">
        <f>DAY(Data!I285)</f>
        <v>0</v>
      </c>
    </row>
    <row r="288" spans="5:5" x14ac:dyDescent="0.25">
      <c r="E288" s="14">
        <f>DAY(Data!I286)</f>
        <v>0</v>
      </c>
    </row>
    <row r="289" spans="5:5" x14ac:dyDescent="0.25">
      <c r="E289" s="14">
        <f>DAY(Data!I287)</f>
        <v>0</v>
      </c>
    </row>
    <row r="290" spans="5:5" x14ac:dyDescent="0.25">
      <c r="E290" s="14">
        <f>DAY(Data!I288)</f>
        <v>0</v>
      </c>
    </row>
    <row r="291" spans="5:5" x14ac:dyDescent="0.25">
      <c r="E291" s="14">
        <f>DAY(Data!I289)</f>
        <v>0</v>
      </c>
    </row>
    <row r="292" spans="5:5" x14ac:dyDescent="0.25">
      <c r="E292" s="14">
        <f>DAY(Data!I290)</f>
        <v>0</v>
      </c>
    </row>
    <row r="293" spans="5:5" x14ac:dyDescent="0.25">
      <c r="E293" s="14">
        <f>DAY(Data!I291)</f>
        <v>0</v>
      </c>
    </row>
    <row r="294" spans="5:5" x14ac:dyDescent="0.25">
      <c r="E294" s="14">
        <f>DAY(Data!I292)</f>
        <v>0</v>
      </c>
    </row>
    <row r="295" spans="5:5" x14ac:dyDescent="0.25">
      <c r="E295" s="14">
        <f>DAY(Data!I293)</f>
        <v>0</v>
      </c>
    </row>
    <row r="296" spans="5:5" x14ac:dyDescent="0.25">
      <c r="E296" s="14">
        <f>DAY(Data!I294)</f>
        <v>0</v>
      </c>
    </row>
    <row r="297" spans="5:5" x14ac:dyDescent="0.25">
      <c r="E297" s="14">
        <f>DAY(Data!I295)</f>
        <v>0</v>
      </c>
    </row>
    <row r="298" spans="5:5" x14ac:dyDescent="0.25">
      <c r="E298" s="14">
        <f>DAY(Data!I296)</f>
        <v>0</v>
      </c>
    </row>
    <row r="299" spans="5:5" x14ac:dyDescent="0.25">
      <c r="E299" s="14">
        <f>DAY(Data!I297)</f>
        <v>0</v>
      </c>
    </row>
    <row r="300" spans="5:5" x14ac:dyDescent="0.25">
      <c r="E300" s="14">
        <f>DAY(Data!I298)</f>
        <v>0</v>
      </c>
    </row>
    <row r="301" spans="5:5" x14ac:dyDescent="0.25">
      <c r="E301" s="14">
        <f>DAY(Data!I299)</f>
        <v>0</v>
      </c>
    </row>
    <row r="302" spans="5:5" x14ac:dyDescent="0.25">
      <c r="E302" s="14">
        <f>DAY(Data!I300)</f>
        <v>0</v>
      </c>
    </row>
    <row r="303" spans="5:5" x14ac:dyDescent="0.25">
      <c r="E303" s="14">
        <f>DAY(Data!I301)</f>
        <v>0</v>
      </c>
    </row>
    <row r="304" spans="5:5" x14ac:dyDescent="0.25">
      <c r="E304" s="14">
        <f>DAY(Data!I302)</f>
        <v>0</v>
      </c>
    </row>
    <row r="305" spans="5:5" x14ac:dyDescent="0.25">
      <c r="E305" s="14">
        <f>DAY(Data!I303)</f>
        <v>0</v>
      </c>
    </row>
    <row r="306" spans="5:5" x14ac:dyDescent="0.25">
      <c r="E306" s="14">
        <f>DAY(Data!I304)</f>
        <v>0</v>
      </c>
    </row>
    <row r="307" spans="5:5" x14ac:dyDescent="0.25">
      <c r="E307" s="14">
        <f>DAY(Data!I305)</f>
        <v>0</v>
      </c>
    </row>
    <row r="308" spans="5:5" x14ac:dyDescent="0.25">
      <c r="E308" s="14">
        <f>DAY(Data!I306)</f>
        <v>0</v>
      </c>
    </row>
    <row r="309" spans="5:5" x14ac:dyDescent="0.25">
      <c r="E309" s="14">
        <f>DAY(Data!I307)</f>
        <v>0</v>
      </c>
    </row>
    <row r="310" spans="5:5" x14ac:dyDescent="0.25">
      <c r="E310" s="14">
        <f>DAY(Data!I308)</f>
        <v>0</v>
      </c>
    </row>
    <row r="311" spans="5:5" x14ac:dyDescent="0.25">
      <c r="E311" s="14">
        <f>DAY(Data!I309)</f>
        <v>0</v>
      </c>
    </row>
    <row r="312" spans="5:5" x14ac:dyDescent="0.25">
      <c r="E312" s="14">
        <f>DAY(Data!I310)</f>
        <v>0</v>
      </c>
    </row>
    <row r="313" spans="5:5" x14ac:dyDescent="0.25">
      <c r="E313" s="14">
        <f>DAY(Data!I311)</f>
        <v>0</v>
      </c>
    </row>
    <row r="314" spans="5:5" x14ac:dyDescent="0.25">
      <c r="E314" s="14">
        <f>DAY(Data!I312)</f>
        <v>0</v>
      </c>
    </row>
    <row r="315" spans="5:5" x14ac:dyDescent="0.25">
      <c r="E315" s="14">
        <f>DAY(Data!I313)</f>
        <v>0</v>
      </c>
    </row>
    <row r="316" spans="5:5" x14ac:dyDescent="0.25">
      <c r="E316" s="14">
        <f>DAY(Data!I314)</f>
        <v>0</v>
      </c>
    </row>
    <row r="317" spans="5:5" x14ac:dyDescent="0.25">
      <c r="E317" s="14">
        <f>DAY(Data!I315)</f>
        <v>0</v>
      </c>
    </row>
    <row r="318" spans="5:5" x14ac:dyDescent="0.25">
      <c r="E318" s="14">
        <f>DAY(Data!I316)</f>
        <v>0</v>
      </c>
    </row>
    <row r="319" spans="5:5" x14ac:dyDescent="0.25">
      <c r="E319" s="14">
        <f>DAY(Data!I317)</f>
        <v>0</v>
      </c>
    </row>
    <row r="320" spans="5:5" x14ac:dyDescent="0.25">
      <c r="E320" s="14">
        <f>DAY(Data!I318)</f>
        <v>0</v>
      </c>
    </row>
    <row r="321" spans="5:5" x14ac:dyDescent="0.25">
      <c r="E321" s="14">
        <f>DAY(Data!I319)</f>
        <v>0</v>
      </c>
    </row>
    <row r="322" spans="5:5" x14ac:dyDescent="0.25">
      <c r="E322" s="14">
        <f>DAY(Data!I320)</f>
        <v>0</v>
      </c>
    </row>
    <row r="323" spans="5:5" x14ac:dyDescent="0.25">
      <c r="E323" s="14">
        <f>DAY(Data!I321)</f>
        <v>0</v>
      </c>
    </row>
    <row r="324" spans="5:5" x14ac:dyDescent="0.25">
      <c r="E324" s="14">
        <f>DAY(Data!I322)</f>
        <v>0</v>
      </c>
    </row>
    <row r="325" spans="5:5" x14ac:dyDescent="0.25">
      <c r="E325" s="14">
        <f>DAY(Data!I323)</f>
        <v>0</v>
      </c>
    </row>
    <row r="326" spans="5:5" x14ac:dyDescent="0.25">
      <c r="E326" s="14">
        <f>DAY(Data!I324)</f>
        <v>0</v>
      </c>
    </row>
    <row r="327" spans="5:5" x14ac:dyDescent="0.25">
      <c r="E327" s="14">
        <f>DAY(Data!I325)</f>
        <v>0</v>
      </c>
    </row>
    <row r="328" spans="5:5" x14ac:dyDescent="0.25">
      <c r="E328" s="14">
        <f>DAY(Data!I326)</f>
        <v>0</v>
      </c>
    </row>
    <row r="329" spans="5:5" x14ac:dyDescent="0.25">
      <c r="E329" s="14">
        <f>DAY(Data!I327)</f>
        <v>0</v>
      </c>
    </row>
    <row r="330" spans="5:5" x14ac:dyDescent="0.25">
      <c r="E330" s="14">
        <f>DAY(Data!I328)</f>
        <v>0</v>
      </c>
    </row>
    <row r="331" spans="5:5" x14ac:dyDescent="0.25">
      <c r="E331" s="14">
        <f>DAY(Data!I329)</f>
        <v>0</v>
      </c>
    </row>
    <row r="332" spans="5:5" x14ac:dyDescent="0.25">
      <c r="E332" s="14">
        <f>DAY(Data!I330)</f>
        <v>0</v>
      </c>
    </row>
    <row r="333" spans="5:5" x14ac:dyDescent="0.25">
      <c r="E333" s="14">
        <f>DAY(Data!I331)</f>
        <v>0</v>
      </c>
    </row>
    <row r="334" spans="5:5" x14ac:dyDescent="0.25">
      <c r="E334" s="14">
        <f>DAY(Data!I332)</f>
        <v>0</v>
      </c>
    </row>
    <row r="335" spans="5:5" x14ac:dyDescent="0.25">
      <c r="E335" s="14">
        <f>DAY(Data!I333)</f>
        <v>0</v>
      </c>
    </row>
    <row r="336" spans="5:5" x14ac:dyDescent="0.25">
      <c r="E336" s="14">
        <f>DAY(Data!I334)</f>
        <v>0</v>
      </c>
    </row>
    <row r="337" spans="5:5" x14ac:dyDescent="0.25">
      <c r="E337" s="14">
        <f>DAY(Data!I335)</f>
        <v>0</v>
      </c>
    </row>
    <row r="338" spans="5:5" x14ac:dyDescent="0.25">
      <c r="E338" s="14">
        <f>DAY(Data!I336)</f>
        <v>0</v>
      </c>
    </row>
    <row r="339" spans="5:5" x14ac:dyDescent="0.25">
      <c r="E339" s="14">
        <f>DAY(Data!I337)</f>
        <v>0</v>
      </c>
    </row>
    <row r="340" spans="5:5" x14ac:dyDescent="0.25">
      <c r="E340" s="14">
        <f>DAY(Data!I338)</f>
        <v>0</v>
      </c>
    </row>
    <row r="341" spans="5:5" x14ac:dyDescent="0.25">
      <c r="E341" s="14">
        <f>DAY(Data!I339)</f>
        <v>0</v>
      </c>
    </row>
    <row r="342" spans="5:5" x14ac:dyDescent="0.25">
      <c r="E342" s="14">
        <f>DAY(Data!I340)</f>
        <v>0</v>
      </c>
    </row>
    <row r="343" spans="5:5" x14ac:dyDescent="0.25">
      <c r="E343" s="14">
        <f>DAY(Data!I341)</f>
        <v>0</v>
      </c>
    </row>
    <row r="344" spans="5:5" x14ac:dyDescent="0.25">
      <c r="E344" s="14">
        <f>DAY(Data!I342)</f>
        <v>0</v>
      </c>
    </row>
    <row r="345" spans="5:5" x14ac:dyDescent="0.25">
      <c r="E345" s="14">
        <f>DAY(Data!I343)</f>
        <v>0</v>
      </c>
    </row>
    <row r="346" spans="5:5" x14ac:dyDescent="0.25">
      <c r="E346" s="14">
        <f>DAY(Data!I344)</f>
        <v>0</v>
      </c>
    </row>
    <row r="347" spans="5:5" x14ac:dyDescent="0.25">
      <c r="E347" s="14">
        <f>DAY(Data!I345)</f>
        <v>0</v>
      </c>
    </row>
    <row r="348" spans="5:5" x14ac:dyDescent="0.25">
      <c r="E348" s="14">
        <f>DAY(Data!I346)</f>
        <v>0</v>
      </c>
    </row>
    <row r="349" spans="5:5" x14ac:dyDescent="0.25">
      <c r="E349" s="14">
        <f>DAY(Data!I347)</f>
        <v>0</v>
      </c>
    </row>
    <row r="350" spans="5:5" x14ac:dyDescent="0.25">
      <c r="E350" s="14">
        <f>DAY(Data!I348)</f>
        <v>0</v>
      </c>
    </row>
    <row r="351" spans="5:5" x14ac:dyDescent="0.25">
      <c r="E351" s="14">
        <f>DAY(Data!I349)</f>
        <v>0</v>
      </c>
    </row>
    <row r="352" spans="5:5" x14ac:dyDescent="0.25">
      <c r="E352" s="14">
        <f>DAY(Data!I350)</f>
        <v>0</v>
      </c>
    </row>
    <row r="353" spans="5:5" x14ac:dyDescent="0.25">
      <c r="E353" s="14">
        <f>DAY(Data!I351)</f>
        <v>0</v>
      </c>
    </row>
    <row r="354" spans="5:5" x14ac:dyDescent="0.25">
      <c r="E354" s="14">
        <f>DAY(Data!I352)</f>
        <v>0</v>
      </c>
    </row>
    <row r="355" spans="5:5" x14ac:dyDescent="0.25">
      <c r="E355" s="14">
        <f>DAY(Data!I353)</f>
        <v>0</v>
      </c>
    </row>
    <row r="356" spans="5:5" x14ac:dyDescent="0.25">
      <c r="E356" s="14">
        <f>DAY(Data!I354)</f>
        <v>0</v>
      </c>
    </row>
    <row r="357" spans="5:5" x14ac:dyDescent="0.25">
      <c r="E357" s="14">
        <f>DAY(Data!I355)</f>
        <v>0</v>
      </c>
    </row>
    <row r="358" spans="5:5" x14ac:dyDescent="0.25">
      <c r="E358" s="14">
        <f>DAY(Data!I356)</f>
        <v>0</v>
      </c>
    </row>
    <row r="359" spans="5:5" x14ac:dyDescent="0.25">
      <c r="E359" s="14">
        <f>DAY(Data!I357)</f>
        <v>0</v>
      </c>
    </row>
    <row r="360" spans="5:5" x14ac:dyDescent="0.25">
      <c r="E360" s="14">
        <f>DAY(Data!I358)</f>
        <v>0</v>
      </c>
    </row>
    <row r="361" spans="5:5" x14ac:dyDescent="0.25">
      <c r="E361" s="14">
        <f>DAY(Data!I359)</f>
        <v>0</v>
      </c>
    </row>
    <row r="362" spans="5:5" x14ac:dyDescent="0.25">
      <c r="E362" s="14">
        <f>DAY(Data!I360)</f>
        <v>0</v>
      </c>
    </row>
    <row r="363" spans="5:5" x14ac:dyDescent="0.25">
      <c r="E363" s="14">
        <f>DAY(Data!I361)</f>
        <v>0</v>
      </c>
    </row>
    <row r="364" spans="5:5" x14ac:dyDescent="0.25">
      <c r="E364" s="14">
        <f>DAY(Data!I362)</f>
        <v>0</v>
      </c>
    </row>
    <row r="365" spans="5:5" x14ac:dyDescent="0.25">
      <c r="E365" s="14">
        <f>DAY(Data!I363)</f>
        <v>0</v>
      </c>
    </row>
    <row r="366" spans="5:5" x14ac:dyDescent="0.25">
      <c r="E366" s="14">
        <f>DAY(Data!I364)</f>
        <v>0</v>
      </c>
    </row>
    <row r="367" spans="5:5" x14ac:dyDescent="0.25">
      <c r="E367" s="14">
        <f>DAY(Data!I365)</f>
        <v>0</v>
      </c>
    </row>
    <row r="368" spans="5:5" x14ac:dyDescent="0.25">
      <c r="E368" s="14">
        <f>DAY(Data!I366)</f>
        <v>0</v>
      </c>
    </row>
    <row r="369" spans="5:5" x14ac:dyDescent="0.25">
      <c r="E369" s="14">
        <f>DAY(Data!I367)</f>
        <v>0</v>
      </c>
    </row>
    <row r="370" spans="5:5" x14ac:dyDescent="0.25">
      <c r="E370" s="14">
        <f>DAY(Data!I368)</f>
        <v>0</v>
      </c>
    </row>
    <row r="371" spans="5:5" x14ac:dyDescent="0.25">
      <c r="E371" s="14">
        <f>DAY(Data!I369)</f>
        <v>0</v>
      </c>
    </row>
    <row r="372" spans="5:5" x14ac:dyDescent="0.25">
      <c r="E372" s="14">
        <f>DAY(Data!I370)</f>
        <v>0</v>
      </c>
    </row>
    <row r="373" spans="5:5" x14ac:dyDescent="0.25">
      <c r="E373" s="14">
        <f>DAY(Data!I371)</f>
        <v>0</v>
      </c>
    </row>
    <row r="374" spans="5:5" x14ac:dyDescent="0.25">
      <c r="E374" s="14">
        <f>DAY(Data!I372)</f>
        <v>0</v>
      </c>
    </row>
    <row r="375" spans="5:5" x14ac:dyDescent="0.25">
      <c r="E375" s="14">
        <f>DAY(Data!I373)</f>
        <v>0</v>
      </c>
    </row>
    <row r="376" spans="5:5" x14ac:dyDescent="0.25">
      <c r="E376" s="14">
        <f>DAY(Data!I374)</f>
        <v>0</v>
      </c>
    </row>
    <row r="377" spans="5:5" x14ac:dyDescent="0.25">
      <c r="E377" s="14">
        <f>DAY(Data!I375)</f>
        <v>0</v>
      </c>
    </row>
    <row r="378" spans="5:5" x14ac:dyDescent="0.25">
      <c r="E378" s="14">
        <f>DAY(Data!I376)</f>
        <v>0</v>
      </c>
    </row>
    <row r="379" spans="5:5" x14ac:dyDescent="0.25">
      <c r="E379" s="14">
        <f>DAY(Data!I377)</f>
        <v>0</v>
      </c>
    </row>
    <row r="380" spans="5:5" x14ac:dyDescent="0.25">
      <c r="E380" s="14">
        <f>DAY(Data!I378)</f>
        <v>0</v>
      </c>
    </row>
    <row r="381" spans="5:5" x14ac:dyDescent="0.25">
      <c r="E381" s="14">
        <f>DAY(Data!I379)</f>
        <v>0</v>
      </c>
    </row>
    <row r="382" spans="5:5" x14ac:dyDescent="0.25">
      <c r="E382" s="14">
        <f>DAY(Data!I380)</f>
        <v>0</v>
      </c>
    </row>
    <row r="383" spans="5:5" x14ac:dyDescent="0.25">
      <c r="E383" s="14">
        <f>DAY(Data!I381)</f>
        <v>0</v>
      </c>
    </row>
    <row r="384" spans="5:5" x14ac:dyDescent="0.25">
      <c r="E384" s="14">
        <f>DAY(Data!I382)</f>
        <v>0</v>
      </c>
    </row>
    <row r="385" spans="5:5" x14ac:dyDescent="0.25">
      <c r="E385" s="14">
        <f>DAY(Data!I383)</f>
        <v>0</v>
      </c>
    </row>
    <row r="386" spans="5:5" x14ac:dyDescent="0.25">
      <c r="E386" s="14">
        <f>DAY(Data!I384)</f>
        <v>0</v>
      </c>
    </row>
    <row r="387" spans="5:5" x14ac:dyDescent="0.25">
      <c r="E387" s="14">
        <f>DAY(Data!I385)</f>
        <v>0</v>
      </c>
    </row>
    <row r="388" spans="5:5" x14ac:dyDescent="0.25">
      <c r="E388" s="14">
        <f>DAY(Data!I386)</f>
        <v>0</v>
      </c>
    </row>
    <row r="389" spans="5:5" x14ac:dyDescent="0.25">
      <c r="E389" s="14">
        <f>DAY(Data!I387)</f>
        <v>0</v>
      </c>
    </row>
    <row r="390" spans="5:5" x14ac:dyDescent="0.25">
      <c r="E390" s="14">
        <f>DAY(Data!I388)</f>
        <v>0</v>
      </c>
    </row>
    <row r="391" spans="5:5" x14ac:dyDescent="0.25">
      <c r="E391" s="14">
        <f>DAY(Data!I389)</f>
        <v>0</v>
      </c>
    </row>
    <row r="392" spans="5:5" x14ac:dyDescent="0.25">
      <c r="E392" s="14">
        <f>DAY(Data!I390)</f>
        <v>0</v>
      </c>
    </row>
    <row r="393" spans="5:5" x14ac:dyDescent="0.25">
      <c r="E393" s="14">
        <f>DAY(Data!I391)</f>
        <v>0</v>
      </c>
    </row>
    <row r="394" spans="5:5" x14ac:dyDescent="0.25">
      <c r="E394" s="14">
        <f>DAY(Data!I392)</f>
        <v>0</v>
      </c>
    </row>
    <row r="395" spans="5:5" x14ac:dyDescent="0.25">
      <c r="E395" s="14">
        <f>DAY(Data!I393)</f>
        <v>0</v>
      </c>
    </row>
    <row r="396" spans="5:5" x14ac:dyDescent="0.25">
      <c r="E396" s="14">
        <f>DAY(Data!I394)</f>
        <v>0</v>
      </c>
    </row>
    <row r="397" spans="5:5" x14ac:dyDescent="0.25">
      <c r="E397" s="14">
        <f>DAY(Data!I395)</f>
        <v>0</v>
      </c>
    </row>
    <row r="398" spans="5:5" x14ac:dyDescent="0.25">
      <c r="E398" s="14">
        <f>DAY(Data!I396)</f>
        <v>0</v>
      </c>
    </row>
    <row r="399" spans="5:5" x14ac:dyDescent="0.25">
      <c r="E399" s="14">
        <f>DAY(Data!I397)</f>
        <v>0</v>
      </c>
    </row>
    <row r="400" spans="5:5" x14ac:dyDescent="0.25">
      <c r="E400" s="14">
        <f>DAY(Data!I398)</f>
        <v>0</v>
      </c>
    </row>
    <row r="401" spans="5:5" x14ac:dyDescent="0.25">
      <c r="E401" s="14">
        <f>DAY(Data!I399)</f>
        <v>0</v>
      </c>
    </row>
    <row r="402" spans="5:5" x14ac:dyDescent="0.25">
      <c r="E402" s="14">
        <f>DAY(Data!I400)</f>
        <v>0</v>
      </c>
    </row>
    <row r="403" spans="5:5" x14ac:dyDescent="0.25">
      <c r="E403" s="14">
        <f>DAY(Data!I401)</f>
        <v>0</v>
      </c>
    </row>
    <row r="404" spans="5:5" x14ac:dyDescent="0.25">
      <c r="E404" s="14">
        <f>DAY(Data!I402)</f>
        <v>0</v>
      </c>
    </row>
    <row r="405" spans="5:5" x14ac:dyDescent="0.25">
      <c r="E405" s="14">
        <f>DAY(Data!I403)</f>
        <v>0</v>
      </c>
    </row>
    <row r="406" spans="5:5" x14ac:dyDescent="0.25">
      <c r="E406" s="14">
        <f>DAY(Data!I404)</f>
        <v>0</v>
      </c>
    </row>
    <row r="407" spans="5:5" x14ac:dyDescent="0.25">
      <c r="E407" s="14">
        <f>DAY(Data!I405)</f>
        <v>0</v>
      </c>
    </row>
    <row r="408" spans="5:5" x14ac:dyDescent="0.25">
      <c r="E408" s="14">
        <f>DAY(Data!I406)</f>
        <v>0</v>
      </c>
    </row>
    <row r="409" spans="5:5" x14ac:dyDescent="0.25">
      <c r="E409" s="14">
        <f>DAY(Data!I407)</f>
        <v>0</v>
      </c>
    </row>
    <row r="410" spans="5:5" x14ac:dyDescent="0.25">
      <c r="E410" s="14">
        <f>DAY(Data!I408)</f>
        <v>0</v>
      </c>
    </row>
    <row r="411" spans="5:5" x14ac:dyDescent="0.25">
      <c r="E411" s="14">
        <f>DAY(Data!I409)</f>
        <v>0</v>
      </c>
    </row>
    <row r="412" spans="5:5" x14ac:dyDescent="0.25">
      <c r="E412" s="14">
        <f>DAY(Data!I410)</f>
        <v>0</v>
      </c>
    </row>
    <row r="413" spans="5:5" x14ac:dyDescent="0.25">
      <c r="E413" s="14">
        <f>DAY(Data!I411)</f>
        <v>0</v>
      </c>
    </row>
    <row r="414" spans="5:5" x14ac:dyDescent="0.25">
      <c r="E414" s="14">
        <f>DAY(Data!I412)</f>
        <v>0</v>
      </c>
    </row>
    <row r="415" spans="5:5" x14ac:dyDescent="0.25">
      <c r="E415" s="14">
        <f>DAY(Data!I413)</f>
        <v>0</v>
      </c>
    </row>
    <row r="416" spans="5:5" x14ac:dyDescent="0.25">
      <c r="E416" s="14">
        <f>DAY(Data!I414)</f>
        <v>0</v>
      </c>
    </row>
    <row r="417" spans="5:5" x14ac:dyDescent="0.25">
      <c r="E417" s="14">
        <f>DAY(Data!I415)</f>
        <v>0</v>
      </c>
    </row>
    <row r="418" spans="5:5" x14ac:dyDescent="0.25">
      <c r="E418" s="14">
        <f>DAY(Data!I416)</f>
        <v>0</v>
      </c>
    </row>
    <row r="419" spans="5:5" x14ac:dyDescent="0.25">
      <c r="E419" s="14">
        <f>DAY(Data!I417)</f>
        <v>0</v>
      </c>
    </row>
    <row r="420" spans="5:5" x14ac:dyDescent="0.25">
      <c r="E420" s="14">
        <f>DAY(Data!I418)</f>
        <v>0</v>
      </c>
    </row>
    <row r="421" spans="5:5" x14ac:dyDescent="0.25">
      <c r="E421" s="14">
        <f>DAY(Data!I419)</f>
        <v>0</v>
      </c>
    </row>
    <row r="422" spans="5:5" x14ac:dyDescent="0.25">
      <c r="E422" s="14">
        <f>DAY(Data!I420)</f>
        <v>0</v>
      </c>
    </row>
    <row r="423" spans="5:5" x14ac:dyDescent="0.25">
      <c r="E423" s="14">
        <f>DAY(Data!I421)</f>
        <v>0</v>
      </c>
    </row>
    <row r="424" spans="5:5" x14ac:dyDescent="0.25">
      <c r="E424" s="14">
        <f>DAY(Data!I422)</f>
        <v>0</v>
      </c>
    </row>
    <row r="425" spans="5:5" x14ac:dyDescent="0.25">
      <c r="E425" s="14">
        <f>DAY(Data!I423)</f>
        <v>0</v>
      </c>
    </row>
    <row r="426" spans="5:5" x14ac:dyDescent="0.25">
      <c r="E426" s="14">
        <f>DAY(Data!I424)</f>
        <v>0</v>
      </c>
    </row>
    <row r="427" spans="5:5" x14ac:dyDescent="0.25">
      <c r="E427" s="14">
        <f>DAY(Data!I425)</f>
        <v>0</v>
      </c>
    </row>
    <row r="428" spans="5:5" x14ac:dyDescent="0.25">
      <c r="E428" s="14">
        <f>DAY(Data!I426)</f>
        <v>0</v>
      </c>
    </row>
    <row r="429" spans="5:5" x14ac:dyDescent="0.25">
      <c r="E429" s="14">
        <f>DAY(Data!I427)</f>
        <v>0</v>
      </c>
    </row>
    <row r="430" spans="5:5" x14ac:dyDescent="0.25">
      <c r="E430" s="14">
        <f>DAY(Data!I428)</f>
        <v>0</v>
      </c>
    </row>
    <row r="431" spans="5:5" x14ac:dyDescent="0.25">
      <c r="E431" s="14">
        <f>DAY(Data!I429)</f>
        <v>0</v>
      </c>
    </row>
    <row r="432" spans="5:5" x14ac:dyDescent="0.25">
      <c r="E432" s="14">
        <f>DAY(Data!I430)</f>
        <v>0</v>
      </c>
    </row>
    <row r="433" spans="5:5" x14ac:dyDescent="0.25">
      <c r="E433" s="14">
        <f>DAY(Data!I431)</f>
        <v>0</v>
      </c>
    </row>
    <row r="434" spans="5:5" x14ac:dyDescent="0.25">
      <c r="E434" s="14">
        <f>DAY(Data!I432)</f>
        <v>0</v>
      </c>
    </row>
    <row r="435" spans="5:5" x14ac:dyDescent="0.25">
      <c r="E435" s="14">
        <f>DAY(Data!I433)</f>
        <v>0</v>
      </c>
    </row>
    <row r="436" spans="5:5" x14ac:dyDescent="0.25">
      <c r="E436" s="14">
        <f>DAY(Data!I434)</f>
        <v>0</v>
      </c>
    </row>
    <row r="437" spans="5:5" x14ac:dyDescent="0.25">
      <c r="E437" s="14">
        <f>DAY(Data!I435)</f>
        <v>0</v>
      </c>
    </row>
    <row r="438" spans="5:5" x14ac:dyDescent="0.25">
      <c r="E438" s="14">
        <f>DAY(Data!I436)</f>
        <v>0</v>
      </c>
    </row>
    <row r="439" spans="5:5" x14ac:dyDescent="0.25">
      <c r="E439" s="14">
        <f>DAY(Data!I437)</f>
        <v>0</v>
      </c>
    </row>
    <row r="440" spans="5:5" x14ac:dyDescent="0.25">
      <c r="E440" s="14">
        <f>DAY(Data!I438)</f>
        <v>0</v>
      </c>
    </row>
    <row r="441" spans="5:5" x14ac:dyDescent="0.25">
      <c r="E441" s="14">
        <f>DAY(Data!I439)</f>
        <v>0</v>
      </c>
    </row>
    <row r="442" spans="5:5" x14ac:dyDescent="0.25">
      <c r="E442" s="14">
        <f>DAY(Data!I440)</f>
        <v>0</v>
      </c>
    </row>
    <row r="443" spans="5:5" x14ac:dyDescent="0.25">
      <c r="E443" s="14">
        <f>DAY(Data!I441)</f>
        <v>0</v>
      </c>
    </row>
    <row r="444" spans="5:5" x14ac:dyDescent="0.25">
      <c r="E444" s="14">
        <f>DAY(Data!I442)</f>
        <v>0</v>
      </c>
    </row>
    <row r="445" spans="5:5" x14ac:dyDescent="0.25">
      <c r="E445" s="14">
        <f>DAY(Data!I443)</f>
        <v>0</v>
      </c>
    </row>
    <row r="446" spans="5:5" x14ac:dyDescent="0.25">
      <c r="E446" s="14">
        <f>DAY(Data!I444)</f>
        <v>0</v>
      </c>
    </row>
    <row r="447" spans="5:5" x14ac:dyDescent="0.25">
      <c r="E447" s="14">
        <f>DAY(Data!I445)</f>
        <v>0</v>
      </c>
    </row>
    <row r="448" spans="5:5" x14ac:dyDescent="0.25">
      <c r="E448" s="14">
        <f>DAY(Data!I446)</f>
        <v>0</v>
      </c>
    </row>
    <row r="449" spans="5:5" x14ac:dyDescent="0.25">
      <c r="E449" s="14">
        <f>DAY(Data!I447)</f>
        <v>0</v>
      </c>
    </row>
    <row r="450" spans="5:5" x14ac:dyDescent="0.25">
      <c r="E450" s="14">
        <f>DAY(Data!I448)</f>
        <v>0</v>
      </c>
    </row>
    <row r="451" spans="5:5" x14ac:dyDescent="0.25">
      <c r="E451" s="14">
        <f>DAY(Data!I449)</f>
        <v>0</v>
      </c>
    </row>
    <row r="452" spans="5:5" x14ac:dyDescent="0.25">
      <c r="E452" s="14">
        <f>DAY(Data!I450)</f>
        <v>0</v>
      </c>
    </row>
    <row r="453" spans="5:5" x14ac:dyDescent="0.25">
      <c r="E453" s="14">
        <f>DAY(Data!I451)</f>
        <v>0</v>
      </c>
    </row>
    <row r="454" spans="5:5" x14ac:dyDescent="0.25">
      <c r="E454" s="14">
        <f>DAY(Data!I452)</f>
        <v>0</v>
      </c>
    </row>
    <row r="455" spans="5:5" x14ac:dyDescent="0.25">
      <c r="E455" s="14">
        <f>DAY(Data!I453)</f>
        <v>0</v>
      </c>
    </row>
    <row r="456" spans="5:5" x14ac:dyDescent="0.25">
      <c r="E456" s="14">
        <f>DAY(Data!I454)</f>
        <v>0</v>
      </c>
    </row>
    <row r="457" spans="5:5" x14ac:dyDescent="0.25">
      <c r="E457" s="14">
        <f>DAY(Data!I455)</f>
        <v>0</v>
      </c>
    </row>
    <row r="458" spans="5:5" x14ac:dyDescent="0.25">
      <c r="E458" s="14">
        <f>DAY(Data!I456)</f>
        <v>0</v>
      </c>
    </row>
    <row r="459" spans="5:5" x14ac:dyDescent="0.25">
      <c r="E459" s="14">
        <f>DAY(Data!I457)</f>
        <v>0</v>
      </c>
    </row>
    <row r="460" spans="5:5" x14ac:dyDescent="0.25">
      <c r="E460" s="14">
        <f>DAY(Data!I458)</f>
        <v>0</v>
      </c>
    </row>
    <row r="461" spans="5:5" x14ac:dyDescent="0.25">
      <c r="E461" s="14">
        <f>DAY(Data!I459)</f>
        <v>0</v>
      </c>
    </row>
    <row r="462" spans="5:5" x14ac:dyDescent="0.25">
      <c r="E462" s="14">
        <f>DAY(Data!I460)</f>
        <v>0</v>
      </c>
    </row>
    <row r="463" spans="5:5" x14ac:dyDescent="0.25">
      <c r="E463" s="14">
        <f>DAY(Data!I461)</f>
        <v>0</v>
      </c>
    </row>
    <row r="464" spans="5:5" x14ac:dyDescent="0.25">
      <c r="E464" s="14">
        <f>DAY(Data!I462)</f>
        <v>0</v>
      </c>
    </row>
    <row r="465" spans="5:5" x14ac:dyDescent="0.25">
      <c r="E465" s="14">
        <f>DAY(Data!I463)</f>
        <v>0</v>
      </c>
    </row>
    <row r="466" spans="5:5" x14ac:dyDescent="0.25">
      <c r="E466" s="14">
        <f>DAY(Data!I464)</f>
        <v>0</v>
      </c>
    </row>
    <row r="467" spans="5:5" x14ac:dyDescent="0.25">
      <c r="E467" s="14">
        <f>DAY(Data!I465)</f>
        <v>0</v>
      </c>
    </row>
    <row r="468" spans="5:5" x14ac:dyDescent="0.25">
      <c r="E468" s="14">
        <f>DAY(Data!I466)</f>
        <v>0</v>
      </c>
    </row>
    <row r="469" spans="5:5" x14ac:dyDescent="0.25">
      <c r="E469" s="14">
        <f>DAY(Data!I467)</f>
        <v>0</v>
      </c>
    </row>
    <row r="470" spans="5:5" x14ac:dyDescent="0.25">
      <c r="E470" s="14">
        <f>DAY(Data!I468)</f>
        <v>0</v>
      </c>
    </row>
    <row r="471" spans="5:5" x14ac:dyDescent="0.25">
      <c r="E471" s="14">
        <f>DAY(Data!I469)</f>
        <v>0</v>
      </c>
    </row>
    <row r="472" spans="5:5" x14ac:dyDescent="0.25">
      <c r="E472" s="14">
        <f>DAY(Data!I470)</f>
        <v>0</v>
      </c>
    </row>
    <row r="473" spans="5:5" x14ac:dyDescent="0.25">
      <c r="E473" s="14">
        <f>DAY(Data!I471)</f>
        <v>0</v>
      </c>
    </row>
    <row r="474" spans="5:5" x14ac:dyDescent="0.25">
      <c r="E474" s="14">
        <f>DAY(Data!I472)</f>
        <v>0</v>
      </c>
    </row>
    <row r="475" spans="5:5" x14ac:dyDescent="0.25">
      <c r="E475" s="14">
        <f>DAY(Data!I473)</f>
        <v>0</v>
      </c>
    </row>
    <row r="476" spans="5:5" x14ac:dyDescent="0.25">
      <c r="E476" s="14">
        <f>DAY(Data!I474)</f>
        <v>0</v>
      </c>
    </row>
    <row r="477" spans="5:5" x14ac:dyDescent="0.25">
      <c r="E477" s="14">
        <f>DAY(Data!I475)</f>
        <v>0</v>
      </c>
    </row>
    <row r="478" spans="5:5" x14ac:dyDescent="0.25">
      <c r="E478" s="14">
        <f>DAY(Data!I476)</f>
        <v>0</v>
      </c>
    </row>
    <row r="479" spans="5:5" x14ac:dyDescent="0.25">
      <c r="E479" s="14">
        <f>DAY(Data!I477)</f>
        <v>0</v>
      </c>
    </row>
    <row r="480" spans="5:5" x14ac:dyDescent="0.25">
      <c r="E480" s="14">
        <f>DAY(Data!I478)</f>
        <v>0</v>
      </c>
    </row>
    <row r="481" spans="5:5" x14ac:dyDescent="0.25">
      <c r="E481" s="14">
        <f>DAY(Data!I479)</f>
        <v>0</v>
      </c>
    </row>
    <row r="482" spans="5:5" x14ac:dyDescent="0.25">
      <c r="E482" s="14">
        <f>DAY(Data!I480)</f>
        <v>0</v>
      </c>
    </row>
    <row r="483" spans="5:5" x14ac:dyDescent="0.25">
      <c r="E483" s="14">
        <f>DAY(Data!I481)</f>
        <v>0</v>
      </c>
    </row>
    <row r="484" spans="5:5" x14ac:dyDescent="0.25">
      <c r="E484" s="14">
        <f>DAY(Data!I482)</f>
        <v>0</v>
      </c>
    </row>
    <row r="485" spans="5:5" x14ac:dyDescent="0.25">
      <c r="E485" s="14">
        <f>DAY(Data!I483)</f>
        <v>0</v>
      </c>
    </row>
    <row r="486" spans="5:5" x14ac:dyDescent="0.25">
      <c r="E486" s="14">
        <f>DAY(Data!I484)</f>
        <v>0</v>
      </c>
    </row>
    <row r="487" spans="5:5" x14ac:dyDescent="0.25">
      <c r="E487" s="14">
        <f>DAY(Data!I485)</f>
        <v>0</v>
      </c>
    </row>
    <row r="488" spans="5:5" x14ac:dyDescent="0.25">
      <c r="E488" s="14">
        <f>DAY(Data!I486)</f>
        <v>0</v>
      </c>
    </row>
    <row r="489" spans="5:5" x14ac:dyDescent="0.25">
      <c r="E489" s="14">
        <f>DAY(Data!I487)</f>
        <v>0</v>
      </c>
    </row>
    <row r="490" spans="5:5" x14ac:dyDescent="0.25">
      <c r="E490" s="14">
        <f>DAY(Data!I488)</f>
        <v>0</v>
      </c>
    </row>
    <row r="491" spans="5:5" x14ac:dyDescent="0.25">
      <c r="E491" s="14">
        <f>DAY(Data!I489)</f>
        <v>0</v>
      </c>
    </row>
    <row r="492" spans="5:5" x14ac:dyDescent="0.25">
      <c r="E492" s="14">
        <f>DAY(Data!I490)</f>
        <v>0</v>
      </c>
    </row>
    <row r="493" spans="5:5" x14ac:dyDescent="0.25">
      <c r="E493" s="14">
        <f>DAY(Data!I491)</f>
        <v>0</v>
      </c>
    </row>
    <row r="494" spans="5:5" x14ac:dyDescent="0.25">
      <c r="E494" s="14">
        <f>DAY(Data!I492)</f>
        <v>0</v>
      </c>
    </row>
    <row r="495" spans="5:5" x14ac:dyDescent="0.25">
      <c r="E495" s="14">
        <f>DAY(Data!I493)</f>
        <v>0</v>
      </c>
    </row>
    <row r="496" spans="5:5" x14ac:dyDescent="0.25">
      <c r="E496" s="14">
        <f>DAY(Data!I494)</f>
        <v>0</v>
      </c>
    </row>
    <row r="497" spans="5:5" x14ac:dyDescent="0.25">
      <c r="E497" s="14">
        <f>DAY(Data!I495)</f>
        <v>0</v>
      </c>
    </row>
    <row r="498" spans="5:5" x14ac:dyDescent="0.25">
      <c r="E498" s="14">
        <f>DAY(Data!I496)</f>
        <v>0</v>
      </c>
    </row>
    <row r="499" spans="5:5" x14ac:dyDescent="0.25">
      <c r="E499" s="14">
        <f>DAY(Data!I497)</f>
        <v>0</v>
      </c>
    </row>
    <row r="500" spans="5:5" x14ac:dyDescent="0.25">
      <c r="E500" s="14">
        <f>DAY(Data!I498)</f>
        <v>0</v>
      </c>
    </row>
    <row r="501" spans="5:5" x14ac:dyDescent="0.25">
      <c r="E501" s="14">
        <f>DAY(Data!I499)</f>
        <v>0</v>
      </c>
    </row>
    <row r="502" spans="5:5" x14ac:dyDescent="0.25">
      <c r="E502" s="14">
        <f>DAY(Data!I500)</f>
        <v>0</v>
      </c>
    </row>
    <row r="503" spans="5:5" x14ac:dyDescent="0.25">
      <c r="E503" s="14">
        <f>DAY(Data!I501)</f>
        <v>0</v>
      </c>
    </row>
    <row r="504" spans="5:5" x14ac:dyDescent="0.25">
      <c r="E504" s="14">
        <f>DAY(Data!I502)</f>
        <v>0</v>
      </c>
    </row>
    <row r="505" spans="5:5" x14ac:dyDescent="0.25">
      <c r="E505" s="14">
        <f>DAY(Data!I503)</f>
        <v>0</v>
      </c>
    </row>
    <row r="506" spans="5:5" x14ac:dyDescent="0.25">
      <c r="E506" s="14">
        <f>DAY(Data!I504)</f>
        <v>0</v>
      </c>
    </row>
    <row r="507" spans="5:5" x14ac:dyDescent="0.25">
      <c r="E507" s="14">
        <f>DAY(Data!I505)</f>
        <v>0</v>
      </c>
    </row>
    <row r="508" spans="5:5" x14ac:dyDescent="0.25">
      <c r="E508" s="14">
        <f>DAY(Data!I506)</f>
        <v>0</v>
      </c>
    </row>
    <row r="509" spans="5:5" x14ac:dyDescent="0.25">
      <c r="E509" s="14">
        <f>DAY(Data!I507)</f>
        <v>0</v>
      </c>
    </row>
    <row r="510" spans="5:5" x14ac:dyDescent="0.25">
      <c r="E510" s="14">
        <f>DAY(Data!I508)</f>
        <v>0</v>
      </c>
    </row>
    <row r="511" spans="5:5" x14ac:dyDescent="0.25">
      <c r="E511" s="14">
        <f>DAY(Data!I509)</f>
        <v>0</v>
      </c>
    </row>
    <row r="512" spans="5:5" x14ac:dyDescent="0.25">
      <c r="E512" s="14">
        <f>DAY(Data!I510)</f>
        <v>0</v>
      </c>
    </row>
    <row r="513" spans="5:5" x14ac:dyDescent="0.25">
      <c r="E513" s="14">
        <f>DAY(Data!I511)</f>
        <v>0</v>
      </c>
    </row>
    <row r="514" spans="5:5" x14ac:dyDescent="0.25">
      <c r="E514" s="14">
        <f>DAY(Data!I512)</f>
        <v>0</v>
      </c>
    </row>
    <row r="515" spans="5:5" x14ac:dyDescent="0.25">
      <c r="E515" s="14">
        <f>DAY(Data!I513)</f>
        <v>0</v>
      </c>
    </row>
    <row r="516" spans="5:5" x14ac:dyDescent="0.25">
      <c r="E516" s="14">
        <f>DAY(Data!I514)</f>
        <v>0</v>
      </c>
    </row>
    <row r="517" spans="5:5" x14ac:dyDescent="0.25">
      <c r="E517" s="14">
        <f>DAY(Data!I515)</f>
        <v>0</v>
      </c>
    </row>
    <row r="518" spans="5:5" x14ac:dyDescent="0.25">
      <c r="E518" s="14">
        <f>DAY(Data!I516)</f>
        <v>0</v>
      </c>
    </row>
    <row r="519" spans="5:5" x14ac:dyDescent="0.25">
      <c r="E519" s="14">
        <f>DAY(Data!I517)</f>
        <v>0</v>
      </c>
    </row>
    <row r="520" spans="5:5" x14ac:dyDescent="0.25">
      <c r="E520" s="14">
        <f>DAY(Data!I518)</f>
        <v>0</v>
      </c>
    </row>
    <row r="521" spans="5:5" x14ac:dyDescent="0.25">
      <c r="E521" s="14">
        <f>DAY(Data!I519)</f>
        <v>0</v>
      </c>
    </row>
    <row r="522" spans="5:5" x14ac:dyDescent="0.25">
      <c r="E522" s="14">
        <f>DAY(Data!I520)</f>
        <v>0</v>
      </c>
    </row>
    <row r="523" spans="5:5" x14ac:dyDescent="0.25">
      <c r="E523" s="14">
        <f>DAY(Data!I521)</f>
        <v>0</v>
      </c>
    </row>
    <row r="524" spans="5:5" x14ac:dyDescent="0.25">
      <c r="E524" s="14">
        <f>DAY(Data!I522)</f>
        <v>0</v>
      </c>
    </row>
    <row r="525" spans="5:5" x14ac:dyDescent="0.25">
      <c r="E525" s="14">
        <f>DAY(Data!I523)</f>
        <v>0</v>
      </c>
    </row>
    <row r="526" spans="5:5" x14ac:dyDescent="0.25">
      <c r="E526" s="14">
        <f>DAY(Data!I524)</f>
        <v>0</v>
      </c>
    </row>
    <row r="527" spans="5:5" x14ac:dyDescent="0.25">
      <c r="E527" s="14">
        <f>DAY(Data!I525)</f>
        <v>0</v>
      </c>
    </row>
    <row r="528" spans="5:5" x14ac:dyDescent="0.25">
      <c r="E528" s="14">
        <f>DAY(Data!I526)</f>
        <v>0</v>
      </c>
    </row>
    <row r="529" spans="5:5" x14ac:dyDescent="0.25">
      <c r="E529" s="14">
        <f>DAY(Data!I527)</f>
        <v>0</v>
      </c>
    </row>
    <row r="530" spans="5:5" x14ac:dyDescent="0.25">
      <c r="E530" s="14">
        <f>DAY(Data!I528)</f>
        <v>0</v>
      </c>
    </row>
    <row r="531" spans="5:5" x14ac:dyDescent="0.25">
      <c r="E531" s="14">
        <f>DAY(Data!I529)</f>
        <v>0</v>
      </c>
    </row>
    <row r="532" spans="5:5" x14ac:dyDescent="0.25">
      <c r="E532" s="14">
        <f>DAY(Data!I530)</f>
        <v>0</v>
      </c>
    </row>
    <row r="533" spans="5:5" x14ac:dyDescent="0.25">
      <c r="E533" s="14">
        <f>DAY(Data!I531)</f>
        <v>0</v>
      </c>
    </row>
    <row r="534" spans="5:5" x14ac:dyDescent="0.25">
      <c r="E534" s="14">
        <f>DAY(Data!I532)</f>
        <v>0</v>
      </c>
    </row>
    <row r="535" spans="5:5" x14ac:dyDescent="0.25">
      <c r="E535" s="14">
        <f>DAY(Data!I533)</f>
        <v>0</v>
      </c>
    </row>
    <row r="536" spans="5:5" x14ac:dyDescent="0.25">
      <c r="E536" s="14">
        <f>DAY(Data!I534)</f>
        <v>0</v>
      </c>
    </row>
    <row r="537" spans="5:5" x14ac:dyDescent="0.25">
      <c r="E537" s="14">
        <f>DAY(Data!I535)</f>
        <v>0</v>
      </c>
    </row>
    <row r="538" spans="5:5" x14ac:dyDescent="0.25">
      <c r="E538" s="14">
        <f>DAY(Data!I536)</f>
        <v>0</v>
      </c>
    </row>
    <row r="539" spans="5:5" x14ac:dyDescent="0.25">
      <c r="E539" s="14">
        <f>DAY(Data!I537)</f>
        <v>0</v>
      </c>
    </row>
    <row r="540" spans="5:5" x14ac:dyDescent="0.25">
      <c r="E540" s="14">
        <f>DAY(Data!I538)</f>
        <v>0</v>
      </c>
    </row>
    <row r="541" spans="5:5" x14ac:dyDescent="0.25">
      <c r="E541" s="14">
        <f>DAY(Data!I539)</f>
        <v>0</v>
      </c>
    </row>
    <row r="542" spans="5:5" x14ac:dyDescent="0.25">
      <c r="E542" s="14">
        <f>DAY(Data!I540)</f>
        <v>0</v>
      </c>
    </row>
    <row r="543" spans="5:5" x14ac:dyDescent="0.25">
      <c r="E543" s="14">
        <f>DAY(Data!I541)</f>
        <v>0</v>
      </c>
    </row>
    <row r="544" spans="5:5" x14ac:dyDescent="0.25">
      <c r="E544" s="14">
        <f>DAY(Data!I542)</f>
        <v>0</v>
      </c>
    </row>
    <row r="545" spans="5:5" x14ac:dyDescent="0.25">
      <c r="E545" s="14">
        <f>DAY(Data!I543)</f>
        <v>0</v>
      </c>
    </row>
    <row r="546" spans="5:5" x14ac:dyDescent="0.25">
      <c r="E546" s="14">
        <f>DAY(Data!I544)</f>
        <v>0</v>
      </c>
    </row>
    <row r="547" spans="5:5" x14ac:dyDescent="0.25">
      <c r="E547" s="14">
        <f>DAY(Data!I545)</f>
        <v>0</v>
      </c>
    </row>
    <row r="548" spans="5:5" x14ac:dyDescent="0.25">
      <c r="E548" s="14">
        <f>DAY(Data!I546)</f>
        <v>0</v>
      </c>
    </row>
    <row r="549" spans="5:5" x14ac:dyDescent="0.25">
      <c r="E549" s="14">
        <f>DAY(Data!I547)</f>
        <v>0</v>
      </c>
    </row>
    <row r="550" spans="5:5" x14ac:dyDescent="0.25">
      <c r="E550" s="14">
        <f>DAY(Data!I548)</f>
        <v>0</v>
      </c>
    </row>
    <row r="551" spans="5:5" x14ac:dyDescent="0.25">
      <c r="E551" s="14">
        <f>DAY(Data!I549)</f>
        <v>0</v>
      </c>
    </row>
    <row r="552" spans="5:5" x14ac:dyDescent="0.25">
      <c r="E552" s="14">
        <f>DAY(Data!I550)</f>
        <v>0</v>
      </c>
    </row>
    <row r="553" spans="5:5" x14ac:dyDescent="0.25">
      <c r="E553" s="14">
        <f>DAY(Data!I551)</f>
        <v>0</v>
      </c>
    </row>
    <row r="554" spans="5:5" x14ac:dyDescent="0.25">
      <c r="E554" s="14">
        <f>DAY(Data!I552)</f>
        <v>0</v>
      </c>
    </row>
    <row r="555" spans="5:5" x14ac:dyDescent="0.25">
      <c r="E555" s="14">
        <f>DAY(Data!I553)</f>
        <v>0</v>
      </c>
    </row>
    <row r="556" spans="5:5" x14ac:dyDescent="0.25">
      <c r="E556" s="14">
        <f>DAY(Data!I554)</f>
        <v>0</v>
      </c>
    </row>
    <row r="557" spans="5:5" x14ac:dyDescent="0.25">
      <c r="E557" s="14">
        <f>DAY(Data!I555)</f>
        <v>0</v>
      </c>
    </row>
    <row r="558" spans="5:5" x14ac:dyDescent="0.25">
      <c r="E558" s="14">
        <f>DAY(Data!I556)</f>
        <v>0</v>
      </c>
    </row>
    <row r="559" spans="5:5" x14ac:dyDescent="0.25">
      <c r="E559" s="14">
        <f>DAY(Data!I557)</f>
        <v>0</v>
      </c>
    </row>
    <row r="560" spans="5:5" x14ac:dyDescent="0.25">
      <c r="E560" s="14">
        <f>DAY(Data!I558)</f>
        <v>0</v>
      </c>
    </row>
    <row r="561" spans="5:5" x14ac:dyDescent="0.25">
      <c r="E561" s="14">
        <f>DAY(Data!I559)</f>
        <v>0</v>
      </c>
    </row>
    <row r="562" spans="5:5" x14ac:dyDescent="0.25">
      <c r="E562" s="14">
        <f>DAY(Data!I560)</f>
        <v>0</v>
      </c>
    </row>
    <row r="563" spans="5:5" x14ac:dyDescent="0.25">
      <c r="E563" s="14">
        <f>DAY(Data!I561)</f>
        <v>0</v>
      </c>
    </row>
    <row r="564" spans="5:5" x14ac:dyDescent="0.25">
      <c r="E564" s="14">
        <f>DAY(Data!I562)</f>
        <v>0</v>
      </c>
    </row>
    <row r="565" spans="5:5" x14ac:dyDescent="0.25">
      <c r="E565" s="14">
        <f>DAY(Data!I563)</f>
        <v>0</v>
      </c>
    </row>
    <row r="566" spans="5:5" x14ac:dyDescent="0.25">
      <c r="E566" s="14">
        <f>DAY(Data!I564)</f>
        <v>0</v>
      </c>
    </row>
    <row r="567" spans="5:5" x14ac:dyDescent="0.25">
      <c r="E567" s="14">
        <f>DAY(Data!I565)</f>
        <v>0</v>
      </c>
    </row>
    <row r="568" spans="5:5" x14ac:dyDescent="0.25">
      <c r="E568" s="14">
        <f>DAY(Data!I566)</f>
        <v>0</v>
      </c>
    </row>
    <row r="569" spans="5:5" x14ac:dyDescent="0.25">
      <c r="E569" s="14">
        <f>DAY(Data!I567)</f>
        <v>0</v>
      </c>
    </row>
    <row r="570" spans="5:5" x14ac:dyDescent="0.25">
      <c r="E570" s="14">
        <f>DAY(Data!I568)</f>
        <v>0</v>
      </c>
    </row>
    <row r="571" spans="5:5" x14ac:dyDescent="0.25">
      <c r="E571" s="14">
        <f>DAY(Data!I569)</f>
        <v>0</v>
      </c>
    </row>
    <row r="572" spans="5:5" x14ac:dyDescent="0.25">
      <c r="E572" s="14">
        <f>DAY(Data!I570)</f>
        <v>0</v>
      </c>
    </row>
    <row r="573" spans="5:5" x14ac:dyDescent="0.25">
      <c r="E573" s="14">
        <f>DAY(Data!I571)</f>
        <v>0</v>
      </c>
    </row>
    <row r="574" spans="5:5" x14ac:dyDescent="0.25">
      <c r="E574" s="14">
        <f>DAY(Data!I572)</f>
        <v>0</v>
      </c>
    </row>
    <row r="575" spans="5:5" x14ac:dyDescent="0.25">
      <c r="E575" s="14">
        <f>DAY(Data!I573)</f>
        <v>0</v>
      </c>
    </row>
    <row r="576" spans="5:5" x14ac:dyDescent="0.25">
      <c r="E576" s="14">
        <f>DAY(Data!I574)</f>
        <v>0</v>
      </c>
    </row>
    <row r="577" spans="5:5" x14ac:dyDescent="0.25">
      <c r="E577" s="14">
        <f>DAY(Data!I575)</f>
        <v>0</v>
      </c>
    </row>
    <row r="578" spans="5:5" x14ac:dyDescent="0.25">
      <c r="E578" s="14">
        <f>DAY(Data!I576)</f>
        <v>0</v>
      </c>
    </row>
    <row r="579" spans="5:5" x14ac:dyDescent="0.25">
      <c r="E579" s="14">
        <f>DAY(Data!I577)</f>
        <v>0</v>
      </c>
    </row>
    <row r="580" spans="5:5" x14ac:dyDescent="0.25">
      <c r="E580" s="14">
        <f>DAY(Data!I578)</f>
        <v>0</v>
      </c>
    </row>
    <row r="581" spans="5:5" x14ac:dyDescent="0.25">
      <c r="E581" s="14">
        <f>DAY(Data!I579)</f>
        <v>0</v>
      </c>
    </row>
    <row r="582" spans="5:5" x14ac:dyDescent="0.25">
      <c r="E582" s="14">
        <f>DAY(Data!I580)</f>
        <v>0</v>
      </c>
    </row>
    <row r="583" spans="5:5" x14ac:dyDescent="0.25">
      <c r="E583" s="14">
        <f>DAY(Data!I581)</f>
        <v>0</v>
      </c>
    </row>
    <row r="584" spans="5:5" x14ac:dyDescent="0.25">
      <c r="E584" s="14">
        <f>DAY(Data!I582)</f>
        <v>0</v>
      </c>
    </row>
    <row r="585" spans="5:5" x14ac:dyDescent="0.25">
      <c r="E585" s="14">
        <f>DAY(Data!I583)</f>
        <v>0</v>
      </c>
    </row>
    <row r="586" spans="5:5" x14ac:dyDescent="0.25">
      <c r="E586" s="14">
        <f>DAY(Data!I584)</f>
        <v>0</v>
      </c>
    </row>
    <row r="587" spans="5:5" x14ac:dyDescent="0.25">
      <c r="E587" s="14">
        <f>DAY(Data!I585)</f>
        <v>0</v>
      </c>
    </row>
    <row r="588" spans="5:5" x14ac:dyDescent="0.25">
      <c r="E588" s="14">
        <f>DAY(Data!I586)</f>
        <v>0</v>
      </c>
    </row>
    <row r="589" spans="5:5" x14ac:dyDescent="0.25">
      <c r="E589" s="14">
        <f>DAY(Data!I587)</f>
        <v>0</v>
      </c>
    </row>
    <row r="590" spans="5:5" x14ac:dyDescent="0.25">
      <c r="E590" s="14">
        <f>DAY(Data!I588)</f>
        <v>0</v>
      </c>
    </row>
    <row r="591" spans="5:5" x14ac:dyDescent="0.25">
      <c r="E591" s="14">
        <f>DAY(Data!I589)</f>
        <v>0</v>
      </c>
    </row>
    <row r="592" spans="5:5" x14ac:dyDescent="0.25">
      <c r="E592" s="14">
        <f>DAY(Data!I590)</f>
        <v>0</v>
      </c>
    </row>
    <row r="593" spans="5:5" x14ac:dyDescent="0.25">
      <c r="E593" s="14">
        <f>DAY(Data!I591)</f>
        <v>0</v>
      </c>
    </row>
    <row r="594" spans="5:5" x14ac:dyDescent="0.25">
      <c r="E594" s="14">
        <f>DAY(Data!I592)</f>
        <v>0</v>
      </c>
    </row>
    <row r="595" spans="5:5" x14ac:dyDescent="0.25">
      <c r="E595" s="14">
        <f>DAY(Data!I593)</f>
        <v>0</v>
      </c>
    </row>
    <row r="596" spans="5:5" x14ac:dyDescent="0.25">
      <c r="E596" s="14">
        <f>DAY(Data!I594)</f>
        <v>0</v>
      </c>
    </row>
    <row r="597" spans="5:5" x14ac:dyDescent="0.25">
      <c r="E597" s="14">
        <f>DAY(Data!I595)</f>
        <v>0</v>
      </c>
    </row>
    <row r="598" spans="5:5" x14ac:dyDescent="0.25">
      <c r="E598" s="14">
        <f>DAY(Data!I596)</f>
        <v>0</v>
      </c>
    </row>
    <row r="599" spans="5:5" x14ac:dyDescent="0.25">
      <c r="E599" s="14">
        <f>DAY(Data!I597)</f>
        <v>0</v>
      </c>
    </row>
    <row r="600" spans="5:5" x14ac:dyDescent="0.25">
      <c r="E600" s="14">
        <f>DAY(Data!I598)</f>
        <v>0</v>
      </c>
    </row>
    <row r="601" spans="5:5" x14ac:dyDescent="0.25">
      <c r="E601" s="14">
        <f>DAY(Data!I599)</f>
        <v>0</v>
      </c>
    </row>
    <row r="602" spans="5:5" x14ac:dyDescent="0.25">
      <c r="E602" s="14">
        <f>DAY(Data!I600)</f>
        <v>0</v>
      </c>
    </row>
    <row r="603" spans="5:5" x14ac:dyDescent="0.25">
      <c r="E603" s="14">
        <f>DAY(Data!I601)</f>
        <v>0</v>
      </c>
    </row>
    <row r="604" spans="5:5" x14ac:dyDescent="0.25">
      <c r="E604" s="14">
        <f>DAY(Data!I602)</f>
        <v>0</v>
      </c>
    </row>
    <row r="605" spans="5:5" x14ac:dyDescent="0.25">
      <c r="E605" s="14">
        <f>DAY(Data!I603)</f>
        <v>0</v>
      </c>
    </row>
    <row r="606" spans="5:5" x14ac:dyDescent="0.25">
      <c r="E606" s="14">
        <f>DAY(Data!I604)</f>
        <v>0</v>
      </c>
    </row>
    <row r="607" spans="5:5" x14ac:dyDescent="0.25">
      <c r="E607" s="14">
        <f>DAY(Data!I605)</f>
        <v>0</v>
      </c>
    </row>
    <row r="608" spans="5:5" x14ac:dyDescent="0.25">
      <c r="E608" s="14">
        <f>DAY(Data!I606)</f>
        <v>0</v>
      </c>
    </row>
    <row r="609" spans="5:5" x14ac:dyDescent="0.25">
      <c r="E609" s="14">
        <f>DAY(Data!I607)</f>
        <v>0</v>
      </c>
    </row>
    <row r="610" spans="5:5" x14ac:dyDescent="0.25">
      <c r="E610" s="14">
        <f>DAY(Data!I608)</f>
        <v>0</v>
      </c>
    </row>
    <row r="611" spans="5:5" x14ac:dyDescent="0.25">
      <c r="E611" s="14">
        <f>DAY(Data!I609)</f>
        <v>0</v>
      </c>
    </row>
    <row r="612" spans="5:5" x14ac:dyDescent="0.25">
      <c r="E612" s="14">
        <f>DAY(Data!I610)</f>
        <v>0</v>
      </c>
    </row>
    <row r="613" spans="5:5" x14ac:dyDescent="0.25">
      <c r="E613" s="14">
        <f>DAY(Data!I611)</f>
        <v>0</v>
      </c>
    </row>
    <row r="614" spans="5:5" x14ac:dyDescent="0.25">
      <c r="E614" s="14">
        <f>DAY(Data!I612)</f>
        <v>0</v>
      </c>
    </row>
    <row r="615" spans="5:5" x14ac:dyDescent="0.25">
      <c r="E615" s="14">
        <f>DAY(Data!I613)</f>
        <v>0</v>
      </c>
    </row>
    <row r="616" spans="5:5" x14ac:dyDescent="0.25">
      <c r="E616" s="14">
        <f>DAY(Data!I614)</f>
        <v>0</v>
      </c>
    </row>
    <row r="617" spans="5:5" x14ac:dyDescent="0.25">
      <c r="E617" s="14">
        <f>DAY(Data!I615)</f>
        <v>0</v>
      </c>
    </row>
    <row r="618" spans="5:5" x14ac:dyDescent="0.25">
      <c r="E618" s="14">
        <f>DAY(Data!I616)</f>
        <v>0</v>
      </c>
    </row>
    <row r="619" spans="5:5" x14ac:dyDescent="0.25">
      <c r="E619" s="14">
        <f>DAY(Data!I617)</f>
        <v>0</v>
      </c>
    </row>
    <row r="620" spans="5:5" x14ac:dyDescent="0.25">
      <c r="E620" s="14">
        <f>DAY(Data!I618)</f>
        <v>0</v>
      </c>
    </row>
    <row r="621" spans="5:5" x14ac:dyDescent="0.25">
      <c r="E621" s="14">
        <f>DAY(Data!I619)</f>
        <v>0</v>
      </c>
    </row>
    <row r="622" spans="5:5" x14ac:dyDescent="0.25">
      <c r="E622" s="14">
        <f>DAY(Data!I620)</f>
        <v>0</v>
      </c>
    </row>
    <row r="623" spans="5:5" x14ac:dyDescent="0.25">
      <c r="E623" s="14">
        <f>DAY(Data!I621)</f>
        <v>0</v>
      </c>
    </row>
    <row r="624" spans="5:5" x14ac:dyDescent="0.25">
      <c r="E624" s="14">
        <f>DAY(Data!I622)</f>
        <v>0</v>
      </c>
    </row>
    <row r="625" spans="5:5" x14ac:dyDescent="0.25">
      <c r="E625" s="14">
        <f>DAY(Data!I623)</f>
        <v>0</v>
      </c>
    </row>
    <row r="626" spans="5:5" x14ac:dyDescent="0.25">
      <c r="E626" s="14">
        <f>DAY(Data!I624)</f>
        <v>0</v>
      </c>
    </row>
    <row r="627" spans="5:5" x14ac:dyDescent="0.25">
      <c r="E627" s="14">
        <f>DAY(Data!I625)</f>
        <v>0</v>
      </c>
    </row>
    <row r="628" spans="5:5" x14ac:dyDescent="0.25">
      <c r="E628" s="14">
        <f>DAY(Data!I626)</f>
        <v>0</v>
      </c>
    </row>
    <row r="629" spans="5:5" x14ac:dyDescent="0.25">
      <c r="E629" s="14">
        <f>DAY(Data!I627)</f>
        <v>0</v>
      </c>
    </row>
    <row r="630" spans="5:5" x14ac:dyDescent="0.25">
      <c r="E630" s="14">
        <f>DAY(Data!I628)</f>
        <v>0</v>
      </c>
    </row>
    <row r="631" spans="5:5" x14ac:dyDescent="0.25">
      <c r="E631" s="14">
        <f>DAY(Data!I629)</f>
        <v>0</v>
      </c>
    </row>
    <row r="632" spans="5:5" x14ac:dyDescent="0.25">
      <c r="E632" s="14">
        <f>DAY(Data!I630)</f>
        <v>0</v>
      </c>
    </row>
    <row r="633" spans="5:5" x14ac:dyDescent="0.25">
      <c r="E633" s="14">
        <f>DAY(Data!I631)</f>
        <v>0</v>
      </c>
    </row>
    <row r="634" spans="5:5" x14ac:dyDescent="0.25">
      <c r="E634" s="14">
        <f>DAY(Data!I632)</f>
        <v>0</v>
      </c>
    </row>
    <row r="635" spans="5:5" x14ac:dyDescent="0.25">
      <c r="E635" s="14">
        <f>DAY(Data!I633)</f>
        <v>0</v>
      </c>
    </row>
    <row r="636" spans="5:5" x14ac:dyDescent="0.25">
      <c r="E636" s="14">
        <f>DAY(Data!I634)</f>
        <v>0</v>
      </c>
    </row>
    <row r="637" spans="5:5" x14ac:dyDescent="0.25">
      <c r="E637" s="14">
        <f>DAY(Data!I635)</f>
        <v>0</v>
      </c>
    </row>
    <row r="638" spans="5:5" x14ac:dyDescent="0.25">
      <c r="E638" s="14">
        <f>DAY(Data!I636)</f>
        <v>0</v>
      </c>
    </row>
    <row r="639" spans="5:5" x14ac:dyDescent="0.25">
      <c r="E639" s="14">
        <f>DAY(Data!I637)</f>
        <v>0</v>
      </c>
    </row>
    <row r="640" spans="5:5" x14ac:dyDescent="0.25">
      <c r="E640" s="14">
        <f>DAY(Data!I638)</f>
        <v>0</v>
      </c>
    </row>
    <row r="641" spans="5:5" x14ac:dyDescent="0.25">
      <c r="E641" s="14">
        <f>DAY(Data!I639)</f>
        <v>0</v>
      </c>
    </row>
    <row r="642" spans="5:5" x14ac:dyDescent="0.25">
      <c r="E642" s="14">
        <f>DAY(Data!I640)</f>
        <v>0</v>
      </c>
    </row>
    <row r="643" spans="5:5" x14ac:dyDescent="0.25">
      <c r="E643" s="14">
        <f>DAY(Data!I641)</f>
        <v>0</v>
      </c>
    </row>
    <row r="644" spans="5:5" x14ac:dyDescent="0.25">
      <c r="E644" s="14">
        <f>DAY(Data!I642)</f>
        <v>0</v>
      </c>
    </row>
    <row r="645" spans="5:5" x14ac:dyDescent="0.25">
      <c r="E645" s="14">
        <f>DAY(Data!I643)</f>
        <v>0</v>
      </c>
    </row>
    <row r="646" spans="5:5" x14ac:dyDescent="0.25">
      <c r="E646" s="14">
        <f>DAY(Data!I644)</f>
        <v>0</v>
      </c>
    </row>
    <row r="647" spans="5:5" x14ac:dyDescent="0.25">
      <c r="E647" s="14">
        <f>DAY(Data!I645)</f>
        <v>0</v>
      </c>
    </row>
    <row r="648" spans="5:5" x14ac:dyDescent="0.25">
      <c r="E648" s="14">
        <f>DAY(Data!I646)</f>
        <v>0</v>
      </c>
    </row>
    <row r="649" spans="5:5" x14ac:dyDescent="0.25">
      <c r="E649" s="14">
        <f>DAY(Data!I647)</f>
        <v>0</v>
      </c>
    </row>
    <row r="650" spans="5:5" x14ac:dyDescent="0.25">
      <c r="E650" s="14">
        <f>DAY(Data!I648)</f>
        <v>0</v>
      </c>
    </row>
    <row r="651" spans="5:5" x14ac:dyDescent="0.25">
      <c r="E651" s="14">
        <f>DAY(Data!I649)</f>
        <v>0</v>
      </c>
    </row>
    <row r="652" spans="5:5" x14ac:dyDescent="0.25">
      <c r="E652" s="14">
        <f>DAY(Data!I650)</f>
        <v>0</v>
      </c>
    </row>
    <row r="653" spans="5:5" x14ac:dyDescent="0.25">
      <c r="E653" s="14">
        <f>DAY(Data!I651)</f>
        <v>0</v>
      </c>
    </row>
    <row r="654" spans="5:5" x14ac:dyDescent="0.25">
      <c r="E654" s="14">
        <f>DAY(Data!I652)</f>
        <v>0</v>
      </c>
    </row>
    <row r="655" spans="5:5" x14ac:dyDescent="0.25">
      <c r="E655" s="14">
        <f>DAY(Data!I653)</f>
        <v>0</v>
      </c>
    </row>
    <row r="656" spans="5:5" x14ac:dyDescent="0.25">
      <c r="E656" s="14">
        <f>DAY(Data!I654)</f>
        <v>0</v>
      </c>
    </row>
    <row r="657" spans="5:5" x14ac:dyDescent="0.25">
      <c r="E657" s="14">
        <f>DAY(Data!I655)</f>
        <v>0</v>
      </c>
    </row>
    <row r="658" spans="5:5" x14ac:dyDescent="0.25">
      <c r="E658" s="14">
        <f>DAY(Data!I656)</f>
        <v>0</v>
      </c>
    </row>
    <row r="659" spans="5:5" x14ac:dyDescent="0.25">
      <c r="E659" s="14">
        <f>DAY(Data!I657)</f>
        <v>0</v>
      </c>
    </row>
    <row r="660" spans="5:5" x14ac:dyDescent="0.25">
      <c r="E660" s="14">
        <f>DAY(Data!I658)</f>
        <v>0</v>
      </c>
    </row>
    <row r="661" spans="5:5" x14ac:dyDescent="0.25">
      <c r="E661" s="14">
        <f>DAY(Data!I659)</f>
        <v>0</v>
      </c>
    </row>
    <row r="662" spans="5:5" x14ac:dyDescent="0.25">
      <c r="E662" s="14">
        <f>DAY(Data!I660)</f>
        <v>0</v>
      </c>
    </row>
    <row r="663" spans="5:5" x14ac:dyDescent="0.25">
      <c r="E663" s="14">
        <f>DAY(Data!I661)</f>
        <v>0</v>
      </c>
    </row>
    <row r="664" spans="5:5" x14ac:dyDescent="0.25">
      <c r="E664" s="14">
        <f>DAY(Data!I662)</f>
        <v>0</v>
      </c>
    </row>
    <row r="665" spans="5:5" x14ac:dyDescent="0.25">
      <c r="E665" s="14">
        <f>DAY(Data!I663)</f>
        <v>0</v>
      </c>
    </row>
    <row r="666" spans="5:5" x14ac:dyDescent="0.25">
      <c r="E666" s="14">
        <f>DAY(Data!I664)</f>
        <v>0</v>
      </c>
    </row>
    <row r="667" spans="5:5" x14ac:dyDescent="0.25">
      <c r="E667" s="14">
        <f>DAY(Data!I665)</f>
        <v>0</v>
      </c>
    </row>
    <row r="668" spans="5:5" x14ac:dyDescent="0.25">
      <c r="E668" s="14">
        <f>DAY(Data!I666)</f>
        <v>0</v>
      </c>
    </row>
    <row r="669" spans="5:5" x14ac:dyDescent="0.25">
      <c r="E669" s="14">
        <f>DAY(Data!I667)</f>
        <v>0</v>
      </c>
    </row>
    <row r="670" spans="5:5" x14ac:dyDescent="0.25">
      <c r="E670" s="14">
        <f>DAY(Data!I668)</f>
        <v>0</v>
      </c>
    </row>
    <row r="671" spans="5:5" x14ac:dyDescent="0.25">
      <c r="E671" s="14">
        <f>DAY(Data!I669)</f>
        <v>0</v>
      </c>
    </row>
    <row r="672" spans="5:5" x14ac:dyDescent="0.25">
      <c r="E672" s="14">
        <f>DAY(Data!I670)</f>
        <v>0</v>
      </c>
    </row>
    <row r="673" spans="5:5" x14ac:dyDescent="0.25">
      <c r="E673" s="14">
        <f>DAY(Data!I671)</f>
        <v>0</v>
      </c>
    </row>
    <row r="674" spans="5:5" x14ac:dyDescent="0.25">
      <c r="E674" s="14">
        <f>DAY(Data!I672)</f>
        <v>0</v>
      </c>
    </row>
    <row r="675" spans="5:5" x14ac:dyDescent="0.25">
      <c r="E675" s="14">
        <f>DAY(Data!I673)</f>
        <v>0</v>
      </c>
    </row>
    <row r="676" spans="5:5" x14ac:dyDescent="0.25">
      <c r="E676" s="14">
        <f>DAY(Data!I674)</f>
        <v>0</v>
      </c>
    </row>
    <row r="677" spans="5:5" x14ac:dyDescent="0.25">
      <c r="E677" s="14">
        <f>DAY(Data!I675)</f>
        <v>0</v>
      </c>
    </row>
    <row r="678" spans="5:5" x14ac:dyDescent="0.25">
      <c r="E678" s="14">
        <f>DAY(Data!I676)</f>
        <v>0</v>
      </c>
    </row>
    <row r="679" spans="5:5" x14ac:dyDescent="0.25">
      <c r="E679" s="14">
        <f>DAY(Data!I677)</f>
        <v>0</v>
      </c>
    </row>
    <row r="680" spans="5:5" x14ac:dyDescent="0.25">
      <c r="E680" s="14">
        <f>DAY(Data!I678)</f>
        <v>0</v>
      </c>
    </row>
    <row r="681" spans="5:5" x14ac:dyDescent="0.25">
      <c r="E681" s="14">
        <f>DAY(Data!I679)</f>
        <v>0</v>
      </c>
    </row>
    <row r="682" spans="5:5" x14ac:dyDescent="0.25">
      <c r="E682" s="14">
        <f>DAY(Data!I680)</f>
        <v>0</v>
      </c>
    </row>
    <row r="683" spans="5:5" x14ac:dyDescent="0.25">
      <c r="E683" s="14">
        <f>DAY(Data!I681)</f>
        <v>0</v>
      </c>
    </row>
    <row r="684" spans="5:5" x14ac:dyDescent="0.25">
      <c r="E684" s="14">
        <f>DAY(Data!I682)</f>
        <v>0</v>
      </c>
    </row>
    <row r="685" spans="5:5" x14ac:dyDescent="0.25">
      <c r="E685" s="14">
        <f>DAY(Data!I683)</f>
        <v>0</v>
      </c>
    </row>
    <row r="686" spans="5:5" x14ac:dyDescent="0.25">
      <c r="E686" s="14">
        <f>DAY(Data!I684)</f>
        <v>0</v>
      </c>
    </row>
    <row r="687" spans="5:5" x14ac:dyDescent="0.25">
      <c r="E687" s="14">
        <f>DAY(Data!I685)</f>
        <v>0</v>
      </c>
    </row>
    <row r="688" spans="5:5" x14ac:dyDescent="0.25">
      <c r="E688" s="14">
        <f>DAY(Data!I686)</f>
        <v>0</v>
      </c>
    </row>
    <row r="689" spans="5:5" x14ac:dyDescent="0.25">
      <c r="E689" s="14">
        <f>DAY(Data!I687)</f>
        <v>0</v>
      </c>
    </row>
    <row r="690" spans="5:5" x14ac:dyDescent="0.25">
      <c r="E690" s="14">
        <f>DAY(Data!I688)</f>
        <v>0</v>
      </c>
    </row>
    <row r="691" spans="5:5" x14ac:dyDescent="0.25">
      <c r="E691" s="14">
        <f>DAY(Data!I689)</f>
        <v>0</v>
      </c>
    </row>
    <row r="692" spans="5:5" x14ac:dyDescent="0.25">
      <c r="E692" s="14">
        <f>DAY(Data!I690)</f>
        <v>0</v>
      </c>
    </row>
    <row r="693" spans="5:5" x14ac:dyDescent="0.25">
      <c r="E693" s="14">
        <f>DAY(Data!I691)</f>
        <v>0</v>
      </c>
    </row>
    <row r="694" spans="5:5" x14ac:dyDescent="0.25">
      <c r="E694" s="14">
        <f>DAY(Data!I692)</f>
        <v>0</v>
      </c>
    </row>
    <row r="695" spans="5:5" x14ac:dyDescent="0.25">
      <c r="E695" s="14">
        <f>DAY(Data!I693)</f>
        <v>0</v>
      </c>
    </row>
    <row r="696" spans="5:5" x14ac:dyDescent="0.25">
      <c r="E696" s="14">
        <f>DAY(Data!I694)</f>
        <v>0</v>
      </c>
    </row>
    <row r="697" spans="5:5" x14ac:dyDescent="0.25">
      <c r="E697" s="14">
        <f>DAY(Data!I695)</f>
        <v>0</v>
      </c>
    </row>
    <row r="698" spans="5:5" x14ac:dyDescent="0.25">
      <c r="E698" s="14">
        <f>DAY(Data!I696)</f>
        <v>0</v>
      </c>
    </row>
    <row r="699" spans="5:5" x14ac:dyDescent="0.25">
      <c r="E699" s="14">
        <f>DAY(Data!I697)</f>
        <v>0</v>
      </c>
    </row>
    <row r="700" spans="5:5" x14ac:dyDescent="0.25">
      <c r="E700" s="14">
        <f>DAY(Data!I698)</f>
        <v>0</v>
      </c>
    </row>
    <row r="701" spans="5:5" x14ac:dyDescent="0.25">
      <c r="E701" s="14">
        <f>DAY(Data!I699)</f>
        <v>0</v>
      </c>
    </row>
    <row r="702" spans="5:5" x14ac:dyDescent="0.25">
      <c r="E702" s="14">
        <f>DAY(Data!I700)</f>
        <v>0</v>
      </c>
    </row>
    <row r="703" spans="5:5" x14ac:dyDescent="0.25">
      <c r="E703" s="14">
        <f>DAY(Data!I701)</f>
        <v>0</v>
      </c>
    </row>
    <row r="704" spans="5:5" x14ac:dyDescent="0.25">
      <c r="E704" s="14">
        <f>DAY(Data!I702)</f>
        <v>0</v>
      </c>
    </row>
    <row r="705" spans="5:5" x14ac:dyDescent="0.25">
      <c r="E705" s="14">
        <f>DAY(Data!I703)</f>
        <v>0</v>
      </c>
    </row>
    <row r="706" spans="5:5" x14ac:dyDescent="0.25">
      <c r="E706" s="14">
        <f>DAY(Data!I704)</f>
        <v>0</v>
      </c>
    </row>
    <row r="707" spans="5:5" x14ac:dyDescent="0.25">
      <c r="E707" s="14">
        <f>DAY(Data!I705)</f>
        <v>0</v>
      </c>
    </row>
    <row r="708" spans="5:5" x14ac:dyDescent="0.25">
      <c r="E708" s="14">
        <f>DAY(Data!I706)</f>
        <v>0</v>
      </c>
    </row>
    <row r="709" spans="5:5" x14ac:dyDescent="0.25">
      <c r="E709" s="14">
        <f>DAY(Data!I707)</f>
        <v>0</v>
      </c>
    </row>
    <row r="710" spans="5:5" x14ac:dyDescent="0.25">
      <c r="E710" s="14">
        <f>DAY(Data!I708)</f>
        <v>0</v>
      </c>
    </row>
    <row r="711" spans="5:5" x14ac:dyDescent="0.25">
      <c r="E711" s="14">
        <f>DAY(Data!I709)</f>
        <v>0</v>
      </c>
    </row>
    <row r="712" spans="5:5" x14ac:dyDescent="0.25">
      <c r="E712" s="14">
        <f>DAY(Data!I710)</f>
        <v>0</v>
      </c>
    </row>
    <row r="713" spans="5:5" x14ac:dyDescent="0.25">
      <c r="E713" s="14">
        <f>DAY(Data!I711)</f>
        <v>0</v>
      </c>
    </row>
    <row r="714" spans="5:5" x14ac:dyDescent="0.25">
      <c r="E714" s="14">
        <f>DAY(Data!I712)</f>
        <v>0</v>
      </c>
    </row>
    <row r="715" spans="5:5" x14ac:dyDescent="0.25">
      <c r="E715" s="14">
        <f>DAY(Data!I713)</f>
        <v>0</v>
      </c>
    </row>
    <row r="716" spans="5:5" x14ac:dyDescent="0.25">
      <c r="E716" s="14">
        <f>DAY(Data!I714)</f>
        <v>0</v>
      </c>
    </row>
    <row r="717" spans="5:5" x14ac:dyDescent="0.25">
      <c r="E717" s="14">
        <f>DAY(Data!I715)</f>
        <v>0</v>
      </c>
    </row>
    <row r="718" spans="5:5" x14ac:dyDescent="0.25">
      <c r="E718" s="14">
        <f>DAY(Data!I716)</f>
        <v>0</v>
      </c>
    </row>
    <row r="719" spans="5:5" x14ac:dyDescent="0.25">
      <c r="E719" s="14">
        <f>DAY(Data!I717)</f>
        <v>0</v>
      </c>
    </row>
    <row r="720" spans="5:5" x14ac:dyDescent="0.25">
      <c r="E720" s="14">
        <f>DAY(Data!I718)</f>
        <v>0</v>
      </c>
    </row>
    <row r="721" spans="5:5" x14ac:dyDescent="0.25">
      <c r="E721" s="14">
        <f>DAY(Data!I719)</f>
        <v>0</v>
      </c>
    </row>
    <row r="722" spans="5:5" x14ac:dyDescent="0.25">
      <c r="E722" s="14">
        <f>DAY(Data!I720)</f>
        <v>0</v>
      </c>
    </row>
    <row r="723" spans="5:5" x14ac:dyDescent="0.25">
      <c r="E723" s="14">
        <f>DAY(Data!I721)</f>
        <v>0</v>
      </c>
    </row>
    <row r="724" spans="5:5" x14ac:dyDescent="0.25">
      <c r="E724" s="14">
        <f>DAY(Data!I722)</f>
        <v>0</v>
      </c>
    </row>
    <row r="725" spans="5:5" x14ac:dyDescent="0.25">
      <c r="E725" s="14">
        <f>DAY(Data!I723)</f>
        <v>0</v>
      </c>
    </row>
    <row r="726" spans="5:5" x14ac:dyDescent="0.25">
      <c r="E726" s="14">
        <f>DAY(Data!I724)</f>
        <v>0</v>
      </c>
    </row>
    <row r="727" spans="5:5" x14ac:dyDescent="0.25">
      <c r="E727" s="14">
        <f>DAY(Data!I725)</f>
        <v>0</v>
      </c>
    </row>
    <row r="728" spans="5:5" x14ac:dyDescent="0.25">
      <c r="E728" s="14">
        <f>DAY(Data!I726)</f>
        <v>0</v>
      </c>
    </row>
    <row r="729" spans="5:5" x14ac:dyDescent="0.25">
      <c r="E729" s="14">
        <f>DAY(Data!I727)</f>
        <v>0</v>
      </c>
    </row>
    <row r="730" spans="5:5" x14ac:dyDescent="0.25">
      <c r="E730" s="14">
        <f>DAY(Data!I728)</f>
        <v>0</v>
      </c>
    </row>
    <row r="731" spans="5:5" x14ac:dyDescent="0.25">
      <c r="E731" s="14">
        <f>DAY(Data!I729)</f>
        <v>0</v>
      </c>
    </row>
    <row r="732" spans="5:5" x14ac:dyDescent="0.25">
      <c r="E732" s="14">
        <f>DAY(Data!I730)</f>
        <v>0</v>
      </c>
    </row>
    <row r="733" spans="5:5" x14ac:dyDescent="0.25">
      <c r="E733" s="14">
        <f>DAY(Data!I731)</f>
        <v>0</v>
      </c>
    </row>
    <row r="734" spans="5:5" x14ac:dyDescent="0.25">
      <c r="E734" s="14">
        <f>DAY(Data!I732)</f>
        <v>0</v>
      </c>
    </row>
    <row r="735" spans="5:5" x14ac:dyDescent="0.25">
      <c r="E735" s="14">
        <f>DAY(Data!I733)</f>
        <v>0</v>
      </c>
    </row>
    <row r="736" spans="5:5" x14ac:dyDescent="0.25">
      <c r="E736" s="14">
        <f>DAY(Data!I734)</f>
        <v>0</v>
      </c>
    </row>
    <row r="737" spans="5:5" x14ac:dyDescent="0.25">
      <c r="E737" s="14">
        <f>DAY(Data!I735)</f>
        <v>0</v>
      </c>
    </row>
    <row r="738" spans="5:5" x14ac:dyDescent="0.25">
      <c r="E738" s="14">
        <f>DAY(Data!I736)</f>
        <v>0</v>
      </c>
    </row>
    <row r="739" spans="5:5" x14ac:dyDescent="0.25">
      <c r="E739" s="14">
        <f>DAY(Data!I737)</f>
        <v>0</v>
      </c>
    </row>
    <row r="740" spans="5:5" x14ac:dyDescent="0.25">
      <c r="E740" s="14">
        <f>DAY(Data!I738)</f>
        <v>0</v>
      </c>
    </row>
    <row r="741" spans="5:5" x14ac:dyDescent="0.25">
      <c r="E741" s="14">
        <f>DAY(Data!I739)</f>
        <v>0</v>
      </c>
    </row>
    <row r="742" spans="5:5" x14ac:dyDescent="0.25">
      <c r="E742" s="14">
        <f>DAY(Data!I740)</f>
        <v>0</v>
      </c>
    </row>
    <row r="743" spans="5:5" x14ac:dyDescent="0.25">
      <c r="E743" s="14">
        <f>DAY(Data!I741)</f>
        <v>0</v>
      </c>
    </row>
    <row r="744" spans="5:5" x14ac:dyDescent="0.25">
      <c r="E744" s="14">
        <f>DAY(Data!I742)</f>
        <v>0</v>
      </c>
    </row>
    <row r="745" spans="5:5" x14ac:dyDescent="0.25">
      <c r="E745" s="14">
        <f>DAY(Data!I743)</f>
        <v>0</v>
      </c>
    </row>
    <row r="746" spans="5:5" x14ac:dyDescent="0.25">
      <c r="E746" s="14">
        <f>DAY(Data!I744)</f>
        <v>0</v>
      </c>
    </row>
    <row r="747" spans="5:5" x14ac:dyDescent="0.25">
      <c r="E747" s="14">
        <f>DAY(Data!I745)</f>
        <v>0</v>
      </c>
    </row>
    <row r="748" spans="5:5" x14ac:dyDescent="0.25">
      <c r="E748" s="14">
        <f>DAY(Data!I746)</f>
        <v>0</v>
      </c>
    </row>
    <row r="749" spans="5:5" x14ac:dyDescent="0.25">
      <c r="E749" s="14">
        <f>DAY(Data!I747)</f>
        <v>0</v>
      </c>
    </row>
    <row r="750" spans="5:5" x14ac:dyDescent="0.25">
      <c r="E750" s="14">
        <f>DAY(Data!I748)</f>
        <v>0</v>
      </c>
    </row>
    <row r="751" spans="5:5" x14ac:dyDescent="0.25">
      <c r="E751" s="14">
        <f>DAY(Data!I749)</f>
        <v>0</v>
      </c>
    </row>
    <row r="752" spans="5:5" x14ac:dyDescent="0.25">
      <c r="E752" s="14">
        <f>DAY(Data!I750)</f>
        <v>0</v>
      </c>
    </row>
    <row r="753" spans="5:5" x14ac:dyDescent="0.25">
      <c r="E753" s="14">
        <f>DAY(Data!I751)</f>
        <v>0</v>
      </c>
    </row>
    <row r="754" spans="5:5" x14ac:dyDescent="0.25">
      <c r="E754" s="14">
        <f>DAY(Data!I752)</f>
        <v>0</v>
      </c>
    </row>
    <row r="755" spans="5:5" x14ac:dyDescent="0.25">
      <c r="E755" s="14">
        <f>DAY(Data!I753)</f>
        <v>0</v>
      </c>
    </row>
    <row r="756" spans="5:5" x14ac:dyDescent="0.25">
      <c r="E756" s="14">
        <f>DAY(Data!I754)</f>
        <v>0</v>
      </c>
    </row>
    <row r="757" spans="5:5" x14ac:dyDescent="0.25">
      <c r="E757" s="14">
        <f>DAY(Data!I755)</f>
        <v>0</v>
      </c>
    </row>
    <row r="758" spans="5:5" x14ac:dyDescent="0.25">
      <c r="E758" s="14">
        <f>DAY(Data!I756)</f>
        <v>0</v>
      </c>
    </row>
    <row r="759" spans="5:5" x14ac:dyDescent="0.25">
      <c r="E759" s="14">
        <f>DAY(Data!I757)</f>
        <v>0</v>
      </c>
    </row>
    <row r="760" spans="5:5" x14ac:dyDescent="0.25">
      <c r="E760" s="14">
        <f>DAY(Data!I758)</f>
        <v>0</v>
      </c>
    </row>
    <row r="761" spans="5:5" x14ac:dyDescent="0.25">
      <c r="E761" s="14">
        <f>DAY(Data!I759)</f>
        <v>0</v>
      </c>
    </row>
    <row r="762" spans="5:5" x14ac:dyDescent="0.25">
      <c r="E762" s="14">
        <f>DAY(Data!I760)</f>
        <v>0</v>
      </c>
    </row>
    <row r="763" spans="5:5" x14ac:dyDescent="0.25">
      <c r="E763" s="14">
        <f>DAY(Data!I761)</f>
        <v>0</v>
      </c>
    </row>
    <row r="764" spans="5:5" x14ac:dyDescent="0.25">
      <c r="E764" s="14">
        <f>DAY(Data!I762)</f>
        <v>0</v>
      </c>
    </row>
    <row r="765" spans="5:5" x14ac:dyDescent="0.25">
      <c r="E765" s="14">
        <f>DAY(Data!I763)</f>
        <v>0</v>
      </c>
    </row>
    <row r="766" spans="5:5" x14ac:dyDescent="0.25">
      <c r="E766" s="14">
        <f>DAY(Data!I764)</f>
        <v>0</v>
      </c>
    </row>
    <row r="767" spans="5:5" x14ac:dyDescent="0.25">
      <c r="E767" s="14">
        <f>DAY(Data!I765)</f>
        <v>0</v>
      </c>
    </row>
    <row r="768" spans="5:5" x14ac:dyDescent="0.25">
      <c r="E768" s="14">
        <f>DAY(Data!I766)</f>
        <v>0</v>
      </c>
    </row>
    <row r="769" spans="5:5" x14ac:dyDescent="0.25">
      <c r="E769" s="14">
        <f>DAY(Data!I767)</f>
        <v>0</v>
      </c>
    </row>
    <row r="770" spans="5:5" x14ac:dyDescent="0.25">
      <c r="E770" s="14">
        <f>DAY(Data!I768)</f>
        <v>0</v>
      </c>
    </row>
    <row r="771" spans="5:5" x14ac:dyDescent="0.25">
      <c r="E771" s="14">
        <f>DAY(Data!I769)</f>
        <v>0</v>
      </c>
    </row>
    <row r="772" spans="5:5" x14ac:dyDescent="0.25">
      <c r="E772" s="14">
        <f>DAY(Data!I770)</f>
        <v>0</v>
      </c>
    </row>
    <row r="773" spans="5:5" x14ac:dyDescent="0.25">
      <c r="E773" s="14">
        <f>DAY(Data!I771)</f>
        <v>0</v>
      </c>
    </row>
    <row r="774" spans="5:5" x14ac:dyDescent="0.25">
      <c r="E774" s="14">
        <f>DAY(Data!I772)</f>
        <v>0</v>
      </c>
    </row>
    <row r="775" spans="5:5" x14ac:dyDescent="0.25">
      <c r="E775" s="14">
        <f>DAY(Data!I773)</f>
        <v>0</v>
      </c>
    </row>
    <row r="776" spans="5:5" x14ac:dyDescent="0.25">
      <c r="E776" s="14">
        <f>DAY(Data!I774)</f>
        <v>0</v>
      </c>
    </row>
    <row r="777" spans="5:5" x14ac:dyDescent="0.25">
      <c r="E777" s="14">
        <f>DAY(Data!I775)</f>
        <v>0</v>
      </c>
    </row>
    <row r="778" spans="5:5" x14ac:dyDescent="0.25">
      <c r="E778" s="14">
        <f>DAY(Data!I776)</f>
        <v>0</v>
      </c>
    </row>
    <row r="779" spans="5:5" x14ac:dyDescent="0.25">
      <c r="E779" s="14">
        <f>DAY(Data!I777)</f>
        <v>0</v>
      </c>
    </row>
    <row r="780" spans="5:5" x14ac:dyDescent="0.25">
      <c r="E780" s="14">
        <f>DAY(Data!I778)</f>
        <v>0</v>
      </c>
    </row>
    <row r="781" spans="5:5" x14ac:dyDescent="0.25">
      <c r="E781" s="14">
        <f>DAY(Data!I779)</f>
        <v>0</v>
      </c>
    </row>
    <row r="782" spans="5:5" x14ac:dyDescent="0.25">
      <c r="E782" s="14">
        <f>DAY(Data!I780)</f>
        <v>0</v>
      </c>
    </row>
    <row r="783" spans="5:5" x14ac:dyDescent="0.25">
      <c r="E783" s="14">
        <f>DAY(Data!I781)</f>
        <v>0</v>
      </c>
    </row>
    <row r="784" spans="5:5" x14ac:dyDescent="0.25">
      <c r="E784" s="14">
        <f>DAY(Data!I782)</f>
        <v>0</v>
      </c>
    </row>
    <row r="785" spans="5:5" x14ac:dyDescent="0.25">
      <c r="E785" s="14">
        <f>DAY(Data!I783)</f>
        <v>0</v>
      </c>
    </row>
    <row r="786" spans="5:5" x14ac:dyDescent="0.25">
      <c r="E786" s="14">
        <f>DAY(Data!I784)</f>
        <v>0</v>
      </c>
    </row>
    <row r="787" spans="5:5" x14ac:dyDescent="0.25">
      <c r="E787" s="14">
        <f>DAY(Data!I785)</f>
        <v>0</v>
      </c>
    </row>
    <row r="788" spans="5:5" x14ac:dyDescent="0.25">
      <c r="E788" s="14">
        <f>DAY(Data!I786)</f>
        <v>0</v>
      </c>
    </row>
    <row r="789" spans="5:5" x14ac:dyDescent="0.25">
      <c r="E789" s="14">
        <f>DAY(Data!I787)</f>
        <v>0</v>
      </c>
    </row>
    <row r="790" spans="5:5" x14ac:dyDescent="0.25">
      <c r="E790" s="14">
        <f>DAY(Data!I788)</f>
        <v>0</v>
      </c>
    </row>
    <row r="791" spans="5:5" x14ac:dyDescent="0.25">
      <c r="E791" s="14">
        <f>DAY(Data!I789)</f>
        <v>0</v>
      </c>
    </row>
    <row r="792" spans="5:5" x14ac:dyDescent="0.25">
      <c r="E792" s="14">
        <f>DAY(Data!I790)</f>
        <v>0</v>
      </c>
    </row>
    <row r="793" spans="5:5" x14ac:dyDescent="0.25">
      <c r="E793" s="14">
        <f>DAY(Data!I791)</f>
        <v>0</v>
      </c>
    </row>
    <row r="794" spans="5:5" x14ac:dyDescent="0.25">
      <c r="E794" s="14">
        <f>DAY(Data!I792)</f>
        <v>0</v>
      </c>
    </row>
    <row r="795" spans="5:5" x14ac:dyDescent="0.25">
      <c r="E795" s="14">
        <f>DAY(Data!I793)</f>
        <v>0</v>
      </c>
    </row>
    <row r="796" spans="5:5" x14ac:dyDescent="0.25">
      <c r="E796" s="14">
        <f>DAY(Data!I794)</f>
        <v>0</v>
      </c>
    </row>
    <row r="797" spans="5:5" x14ac:dyDescent="0.25">
      <c r="E797" s="14">
        <f>DAY(Data!I795)</f>
        <v>0</v>
      </c>
    </row>
    <row r="798" spans="5:5" x14ac:dyDescent="0.25">
      <c r="E798" s="14">
        <f>DAY(Data!I796)</f>
        <v>0</v>
      </c>
    </row>
    <row r="799" spans="5:5" x14ac:dyDescent="0.25">
      <c r="E799" s="14">
        <f>DAY(Data!I797)</f>
        <v>0</v>
      </c>
    </row>
    <row r="800" spans="5:5" x14ac:dyDescent="0.25">
      <c r="E800" s="14">
        <f>DAY(Data!I798)</f>
        <v>0</v>
      </c>
    </row>
    <row r="801" spans="5:5" x14ac:dyDescent="0.25">
      <c r="E801" s="14">
        <f>DAY(Data!I799)</f>
        <v>0</v>
      </c>
    </row>
    <row r="802" spans="5:5" x14ac:dyDescent="0.25">
      <c r="E802" s="14">
        <f>DAY(Data!I800)</f>
        <v>0</v>
      </c>
    </row>
    <row r="803" spans="5:5" x14ac:dyDescent="0.25">
      <c r="E803" s="14">
        <f>DAY(Data!I801)</f>
        <v>0</v>
      </c>
    </row>
    <row r="804" spans="5:5" x14ac:dyDescent="0.25">
      <c r="E804" s="14">
        <f>DAY(Data!I802)</f>
        <v>0</v>
      </c>
    </row>
    <row r="805" spans="5:5" x14ac:dyDescent="0.25">
      <c r="E805" s="14">
        <f>DAY(Data!I803)</f>
        <v>0</v>
      </c>
    </row>
    <row r="806" spans="5:5" x14ac:dyDescent="0.25">
      <c r="E806" s="14">
        <f>DAY(Data!I804)</f>
        <v>0</v>
      </c>
    </row>
    <row r="807" spans="5:5" x14ac:dyDescent="0.25">
      <c r="E807" s="14">
        <f>DAY(Data!I805)</f>
        <v>0</v>
      </c>
    </row>
    <row r="808" spans="5:5" x14ac:dyDescent="0.25">
      <c r="E808" s="14">
        <f>DAY(Data!I806)</f>
        <v>0</v>
      </c>
    </row>
    <row r="809" spans="5:5" x14ac:dyDescent="0.25">
      <c r="E809" s="14">
        <f>DAY(Data!I807)</f>
        <v>0</v>
      </c>
    </row>
    <row r="810" spans="5:5" x14ac:dyDescent="0.25">
      <c r="E810" s="14">
        <f>DAY(Data!I808)</f>
        <v>0</v>
      </c>
    </row>
    <row r="811" spans="5:5" x14ac:dyDescent="0.25">
      <c r="E811" s="14">
        <f>DAY(Data!I809)</f>
        <v>0</v>
      </c>
    </row>
    <row r="812" spans="5:5" x14ac:dyDescent="0.25">
      <c r="E812" s="14">
        <f>DAY(Data!I810)</f>
        <v>0</v>
      </c>
    </row>
    <row r="813" spans="5:5" x14ac:dyDescent="0.25">
      <c r="E813" s="14">
        <f>DAY(Data!I811)</f>
        <v>0</v>
      </c>
    </row>
    <row r="814" spans="5:5" x14ac:dyDescent="0.25">
      <c r="E814" s="14">
        <f>DAY(Data!I812)</f>
        <v>0</v>
      </c>
    </row>
    <row r="815" spans="5:5" x14ac:dyDescent="0.25">
      <c r="E815" s="14">
        <f>DAY(Data!I813)</f>
        <v>0</v>
      </c>
    </row>
    <row r="816" spans="5:5" x14ac:dyDescent="0.25">
      <c r="E816" s="14">
        <f>DAY(Data!I814)</f>
        <v>0</v>
      </c>
    </row>
    <row r="817" spans="5:5" x14ac:dyDescent="0.25">
      <c r="E817" s="14">
        <f>DAY(Data!I815)</f>
        <v>0</v>
      </c>
    </row>
    <row r="818" spans="5:5" x14ac:dyDescent="0.25">
      <c r="E818" s="14">
        <f>DAY(Data!I816)</f>
        <v>0</v>
      </c>
    </row>
    <row r="819" spans="5:5" x14ac:dyDescent="0.25">
      <c r="E819" s="14">
        <f>DAY(Data!I817)</f>
        <v>0</v>
      </c>
    </row>
    <row r="820" spans="5:5" x14ac:dyDescent="0.25">
      <c r="E820" s="14">
        <f>DAY(Data!I818)</f>
        <v>0</v>
      </c>
    </row>
    <row r="821" spans="5:5" x14ac:dyDescent="0.25">
      <c r="E821" s="14">
        <f>DAY(Data!I819)</f>
        <v>0</v>
      </c>
    </row>
    <row r="822" spans="5:5" x14ac:dyDescent="0.25">
      <c r="E822" s="14">
        <f>DAY(Data!I820)</f>
        <v>0</v>
      </c>
    </row>
    <row r="823" spans="5:5" x14ac:dyDescent="0.25">
      <c r="E823" s="14">
        <f>DAY(Data!I821)</f>
        <v>0</v>
      </c>
    </row>
    <row r="824" spans="5:5" x14ac:dyDescent="0.25">
      <c r="E824" s="14">
        <f>DAY(Data!I822)</f>
        <v>0</v>
      </c>
    </row>
    <row r="825" spans="5:5" x14ac:dyDescent="0.25">
      <c r="E825" s="14">
        <f>DAY(Data!I823)</f>
        <v>0</v>
      </c>
    </row>
    <row r="826" spans="5:5" x14ac:dyDescent="0.25">
      <c r="E826" s="14">
        <f>DAY(Data!I824)</f>
        <v>0</v>
      </c>
    </row>
    <row r="827" spans="5:5" x14ac:dyDescent="0.25">
      <c r="E827" s="14">
        <f>DAY(Data!I825)</f>
        <v>0</v>
      </c>
    </row>
    <row r="828" spans="5:5" x14ac:dyDescent="0.25">
      <c r="E828" s="14">
        <f>DAY(Data!I826)</f>
        <v>0</v>
      </c>
    </row>
    <row r="829" spans="5:5" x14ac:dyDescent="0.25">
      <c r="E829" s="14">
        <f>DAY(Data!I827)</f>
        <v>0</v>
      </c>
    </row>
    <row r="830" spans="5:5" x14ac:dyDescent="0.25">
      <c r="E830" s="14">
        <f>DAY(Data!I828)</f>
        <v>0</v>
      </c>
    </row>
    <row r="831" spans="5:5" x14ac:dyDescent="0.25">
      <c r="E831" s="14">
        <f>DAY(Data!I829)</f>
        <v>0</v>
      </c>
    </row>
    <row r="832" spans="5:5" x14ac:dyDescent="0.25">
      <c r="E832" s="14">
        <f>DAY(Data!I830)</f>
        <v>0</v>
      </c>
    </row>
    <row r="833" spans="5:5" x14ac:dyDescent="0.25">
      <c r="E833" s="14">
        <f>DAY(Data!I831)</f>
        <v>0</v>
      </c>
    </row>
    <row r="834" spans="5:5" x14ac:dyDescent="0.25">
      <c r="E834" s="14">
        <f>DAY(Data!I832)</f>
        <v>0</v>
      </c>
    </row>
    <row r="835" spans="5:5" x14ac:dyDescent="0.25">
      <c r="E835" s="14">
        <f>DAY(Data!I833)</f>
        <v>0</v>
      </c>
    </row>
    <row r="836" spans="5:5" x14ac:dyDescent="0.25">
      <c r="E836" s="14">
        <f>DAY(Data!I834)</f>
        <v>0</v>
      </c>
    </row>
    <row r="837" spans="5:5" x14ac:dyDescent="0.25">
      <c r="E837" s="14">
        <f>DAY(Data!I835)</f>
        <v>0</v>
      </c>
    </row>
    <row r="838" spans="5:5" x14ac:dyDescent="0.25">
      <c r="E838" s="14">
        <f>DAY(Data!I836)</f>
        <v>0</v>
      </c>
    </row>
    <row r="839" spans="5:5" x14ac:dyDescent="0.25">
      <c r="E839" s="14">
        <f>DAY(Data!I837)</f>
        <v>0</v>
      </c>
    </row>
    <row r="840" spans="5:5" x14ac:dyDescent="0.25">
      <c r="E840" s="14">
        <f>DAY(Data!I838)</f>
        <v>0</v>
      </c>
    </row>
    <row r="841" spans="5:5" x14ac:dyDescent="0.25">
      <c r="E841" s="14">
        <f>DAY(Data!I839)</f>
        <v>0</v>
      </c>
    </row>
    <row r="842" spans="5:5" x14ac:dyDescent="0.25">
      <c r="E842" s="14">
        <f>DAY(Data!I840)</f>
        <v>0</v>
      </c>
    </row>
    <row r="843" spans="5:5" x14ac:dyDescent="0.25">
      <c r="E843" s="14">
        <f>DAY(Data!I841)</f>
        <v>0</v>
      </c>
    </row>
    <row r="844" spans="5:5" x14ac:dyDescent="0.25">
      <c r="E844" s="14">
        <f>DAY(Data!I842)</f>
        <v>0</v>
      </c>
    </row>
    <row r="845" spans="5:5" x14ac:dyDescent="0.25">
      <c r="E845" s="14">
        <f>DAY(Data!I843)</f>
        <v>0</v>
      </c>
    </row>
    <row r="846" spans="5:5" x14ac:dyDescent="0.25">
      <c r="E846" s="14">
        <f>DAY(Data!I844)</f>
        <v>0</v>
      </c>
    </row>
    <row r="847" spans="5:5" x14ac:dyDescent="0.25">
      <c r="E847" s="14">
        <f>DAY(Data!I845)</f>
        <v>0</v>
      </c>
    </row>
    <row r="848" spans="5:5" x14ac:dyDescent="0.25">
      <c r="E848" s="14">
        <f>DAY(Data!I846)</f>
        <v>0</v>
      </c>
    </row>
    <row r="849" spans="5:5" x14ac:dyDescent="0.25">
      <c r="E849" s="14">
        <f>DAY(Data!I847)</f>
        <v>0</v>
      </c>
    </row>
    <row r="850" spans="5:5" x14ac:dyDescent="0.25">
      <c r="E850" s="14">
        <f>DAY(Data!I848)</f>
        <v>0</v>
      </c>
    </row>
    <row r="851" spans="5:5" x14ac:dyDescent="0.25">
      <c r="E851" s="14">
        <f>DAY(Data!I849)</f>
        <v>0</v>
      </c>
    </row>
    <row r="852" spans="5:5" x14ac:dyDescent="0.25">
      <c r="E852" s="14">
        <f>DAY(Data!I850)</f>
        <v>0</v>
      </c>
    </row>
    <row r="853" spans="5:5" x14ac:dyDescent="0.25">
      <c r="E853" s="14">
        <f>DAY(Data!I851)</f>
        <v>0</v>
      </c>
    </row>
    <row r="854" spans="5:5" x14ac:dyDescent="0.25">
      <c r="E854" s="14">
        <f>DAY(Data!I852)</f>
        <v>0</v>
      </c>
    </row>
    <row r="855" spans="5:5" x14ac:dyDescent="0.25">
      <c r="E855" s="14">
        <f>DAY(Data!I853)</f>
        <v>0</v>
      </c>
    </row>
    <row r="856" spans="5:5" x14ac:dyDescent="0.25">
      <c r="E856" s="14">
        <f>DAY(Data!I854)</f>
        <v>0</v>
      </c>
    </row>
    <row r="857" spans="5:5" x14ac:dyDescent="0.25">
      <c r="E857" s="14">
        <f>DAY(Data!I855)</f>
        <v>0</v>
      </c>
    </row>
    <row r="858" spans="5:5" x14ac:dyDescent="0.25">
      <c r="E858" s="14">
        <f>DAY(Data!I856)</f>
        <v>0</v>
      </c>
    </row>
    <row r="859" spans="5:5" x14ac:dyDescent="0.25">
      <c r="E859" s="14">
        <f>DAY(Data!I857)</f>
        <v>0</v>
      </c>
    </row>
    <row r="860" spans="5:5" x14ac:dyDescent="0.25">
      <c r="E860" s="14">
        <f>DAY(Data!I858)</f>
        <v>0</v>
      </c>
    </row>
    <row r="861" spans="5:5" x14ac:dyDescent="0.25">
      <c r="E861" s="14">
        <f>DAY(Data!I859)</f>
        <v>0</v>
      </c>
    </row>
    <row r="862" spans="5:5" x14ac:dyDescent="0.25">
      <c r="E862" s="14">
        <f>DAY(Data!I860)</f>
        <v>0</v>
      </c>
    </row>
    <row r="863" spans="5:5" x14ac:dyDescent="0.25">
      <c r="E863" s="14">
        <f>DAY(Data!I861)</f>
        <v>0</v>
      </c>
    </row>
    <row r="864" spans="5:5" x14ac:dyDescent="0.25">
      <c r="E864" s="14">
        <f>DAY(Data!I862)</f>
        <v>0</v>
      </c>
    </row>
    <row r="865" spans="5:5" x14ac:dyDescent="0.25">
      <c r="E865" s="14">
        <f>DAY(Data!I863)</f>
        <v>0</v>
      </c>
    </row>
    <row r="866" spans="5:5" x14ac:dyDescent="0.25">
      <c r="E866" s="14">
        <f>DAY(Data!I864)</f>
        <v>0</v>
      </c>
    </row>
    <row r="867" spans="5:5" x14ac:dyDescent="0.25">
      <c r="E867" s="14">
        <f>DAY(Data!I865)</f>
        <v>0</v>
      </c>
    </row>
    <row r="868" spans="5:5" x14ac:dyDescent="0.25">
      <c r="E868" s="14">
        <f>DAY(Data!I866)</f>
        <v>0</v>
      </c>
    </row>
    <row r="869" spans="5:5" x14ac:dyDescent="0.25">
      <c r="E869" s="14">
        <f>DAY(Data!I867)</f>
        <v>0</v>
      </c>
    </row>
    <row r="870" spans="5:5" x14ac:dyDescent="0.25">
      <c r="E870" s="14">
        <f>DAY(Data!I868)</f>
        <v>0</v>
      </c>
    </row>
    <row r="871" spans="5:5" x14ac:dyDescent="0.25">
      <c r="E871" s="14">
        <f>DAY(Data!I869)</f>
        <v>0</v>
      </c>
    </row>
    <row r="872" spans="5:5" x14ac:dyDescent="0.25">
      <c r="E872" s="14">
        <f>DAY(Data!I870)</f>
        <v>0</v>
      </c>
    </row>
    <row r="873" spans="5:5" x14ac:dyDescent="0.25">
      <c r="E873" s="14">
        <f>DAY(Data!I871)</f>
        <v>0</v>
      </c>
    </row>
    <row r="874" spans="5:5" x14ac:dyDescent="0.25">
      <c r="E874" s="14">
        <f>DAY(Data!I872)</f>
        <v>0</v>
      </c>
    </row>
    <row r="875" spans="5:5" x14ac:dyDescent="0.25">
      <c r="E875" s="14">
        <f>DAY(Data!I873)</f>
        <v>0</v>
      </c>
    </row>
    <row r="876" spans="5:5" x14ac:dyDescent="0.25">
      <c r="E876" s="14">
        <f>DAY(Data!I874)</f>
        <v>0</v>
      </c>
    </row>
    <row r="877" spans="5:5" x14ac:dyDescent="0.25">
      <c r="E877" s="14">
        <f>DAY(Data!I875)</f>
        <v>0</v>
      </c>
    </row>
    <row r="878" spans="5:5" x14ac:dyDescent="0.25">
      <c r="E878" s="14">
        <f>DAY(Data!I876)</f>
        <v>0</v>
      </c>
    </row>
    <row r="879" spans="5:5" x14ac:dyDescent="0.25">
      <c r="E879" s="14">
        <f>DAY(Data!I877)</f>
        <v>0</v>
      </c>
    </row>
    <row r="880" spans="5:5" x14ac:dyDescent="0.25">
      <c r="E880" s="14">
        <f>DAY(Data!I878)</f>
        <v>0</v>
      </c>
    </row>
    <row r="881" spans="5:5" x14ac:dyDescent="0.25">
      <c r="E881" s="14">
        <f>DAY(Data!I879)</f>
        <v>0</v>
      </c>
    </row>
    <row r="882" spans="5:5" x14ac:dyDescent="0.25">
      <c r="E882" s="14">
        <f>DAY(Data!I880)</f>
        <v>0</v>
      </c>
    </row>
    <row r="883" spans="5:5" x14ac:dyDescent="0.25">
      <c r="E883" s="14">
        <f>DAY(Data!I881)</f>
        <v>0</v>
      </c>
    </row>
    <row r="884" spans="5:5" x14ac:dyDescent="0.25">
      <c r="E884" s="14">
        <f>DAY(Data!I882)</f>
        <v>0</v>
      </c>
    </row>
    <row r="885" spans="5:5" x14ac:dyDescent="0.25">
      <c r="E885" s="14">
        <f>DAY(Data!I883)</f>
        <v>0</v>
      </c>
    </row>
    <row r="886" spans="5:5" x14ac:dyDescent="0.25">
      <c r="E886" s="14">
        <f>DAY(Data!I884)</f>
        <v>0</v>
      </c>
    </row>
    <row r="887" spans="5:5" x14ac:dyDescent="0.25">
      <c r="E887" s="14">
        <f>DAY(Data!I885)</f>
        <v>0</v>
      </c>
    </row>
    <row r="888" spans="5:5" x14ac:dyDescent="0.25">
      <c r="E888" s="14">
        <f>DAY(Data!I886)</f>
        <v>0</v>
      </c>
    </row>
    <row r="889" spans="5:5" x14ac:dyDescent="0.25">
      <c r="E889" s="14">
        <f>DAY(Data!I887)</f>
        <v>0</v>
      </c>
    </row>
    <row r="890" spans="5:5" x14ac:dyDescent="0.25">
      <c r="E890" s="14">
        <f>DAY(Data!I888)</f>
        <v>0</v>
      </c>
    </row>
    <row r="891" spans="5:5" x14ac:dyDescent="0.25">
      <c r="E891" s="14">
        <f>DAY(Data!I889)</f>
        <v>0</v>
      </c>
    </row>
    <row r="892" spans="5:5" x14ac:dyDescent="0.25">
      <c r="E892" s="14">
        <f>DAY(Data!I890)</f>
        <v>0</v>
      </c>
    </row>
    <row r="893" spans="5:5" x14ac:dyDescent="0.25">
      <c r="E893" s="14">
        <f>DAY(Data!I891)</f>
        <v>0</v>
      </c>
    </row>
    <row r="894" spans="5:5" x14ac:dyDescent="0.25">
      <c r="E894" s="14">
        <f>DAY(Data!I892)</f>
        <v>0</v>
      </c>
    </row>
    <row r="895" spans="5:5" x14ac:dyDescent="0.25">
      <c r="E895" s="14">
        <f>DAY(Data!I893)</f>
        <v>0</v>
      </c>
    </row>
    <row r="896" spans="5:5" x14ac:dyDescent="0.25">
      <c r="E896" s="14">
        <f>DAY(Data!I894)</f>
        <v>0</v>
      </c>
    </row>
    <row r="897" spans="5:5" x14ac:dyDescent="0.25">
      <c r="E897" s="14">
        <f>DAY(Data!I895)</f>
        <v>0</v>
      </c>
    </row>
    <row r="898" spans="5:5" x14ac:dyDescent="0.25">
      <c r="E898" s="14">
        <f>DAY(Data!I896)</f>
        <v>0</v>
      </c>
    </row>
    <row r="899" spans="5:5" x14ac:dyDescent="0.25">
      <c r="E899" s="14">
        <f>DAY(Data!I897)</f>
        <v>0</v>
      </c>
    </row>
    <row r="900" spans="5:5" x14ac:dyDescent="0.25">
      <c r="E900" s="14">
        <f>DAY(Data!I898)</f>
        <v>0</v>
      </c>
    </row>
    <row r="901" spans="5:5" x14ac:dyDescent="0.25">
      <c r="E901" s="14">
        <f>DAY(Data!I899)</f>
        <v>0</v>
      </c>
    </row>
    <row r="902" spans="5:5" x14ac:dyDescent="0.25">
      <c r="E902" s="14">
        <f>DAY(Data!I900)</f>
        <v>0</v>
      </c>
    </row>
    <row r="903" spans="5:5" x14ac:dyDescent="0.25">
      <c r="E903" s="14">
        <f>DAY(Data!I901)</f>
        <v>0</v>
      </c>
    </row>
    <row r="904" spans="5:5" x14ac:dyDescent="0.25">
      <c r="E904" s="14">
        <f>DAY(Data!I902)</f>
        <v>0</v>
      </c>
    </row>
    <row r="905" spans="5:5" x14ac:dyDescent="0.25">
      <c r="E905" s="14">
        <f>DAY(Data!I903)</f>
        <v>0</v>
      </c>
    </row>
    <row r="906" spans="5:5" x14ac:dyDescent="0.25">
      <c r="E906" s="14">
        <f>DAY(Data!I904)</f>
        <v>0</v>
      </c>
    </row>
    <row r="907" spans="5:5" x14ac:dyDescent="0.25">
      <c r="E907" s="14">
        <f>DAY(Data!I905)</f>
        <v>0</v>
      </c>
    </row>
    <row r="908" spans="5:5" x14ac:dyDescent="0.25">
      <c r="E908" s="14">
        <f>DAY(Data!I906)</f>
        <v>0</v>
      </c>
    </row>
    <row r="909" spans="5:5" x14ac:dyDescent="0.25">
      <c r="E909" s="14">
        <f>DAY(Data!I907)</f>
        <v>0</v>
      </c>
    </row>
    <row r="910" spans="5:5" x14ac:dyDescent="0.25">
      <c r="E910" s="14">
        <f>DAY(Data!I908)</f>
        <v>0</v>
      </c>
    </row>
    <row r="911" spans="5:5" x14ac:dyDescent="0.25">
      <c r="E911" s="14">
        <f>DAY(Data!I909)</f>
        <v>0</v>
      </c>
    </row>
    <row r="912" spans="5:5" x14ac:dyDescent="0.25">
      <c r="E912" s="14">
        <f>DAY(Data!I910)</f>
        <v>0</v>
      </c>
    </row>
    <row r="913" spans="5:5" x14ac:dyDescent="0.25">
      <c r="E913" s="14">
        <f>DAY(Data!I911)</f>
        <v>0</v>
      </c>
    </row>
    <row r="914" spans="5:5" x14ac:dyDescent="0.25">
      <c r="E914" s="14">
        <f>DAY(Data!I912)</f>
        <v>0</v>
      </c>
    </row>
    <row r="915" spans="5:5" x14ac:dyDescent="0.25">
      <c r="E915" s="14">
        <f>DAY(Data!I913)</f>
        <v>0</v>
      </c>
    </row>
    <row r="916" spans="5:5" x14ac:dyDescent="0.25">
      <c r="E916" s="14">
        <f>DAY(Data!I914)</f>
        <v>0</v>
      </c>
    </row>
    <row r="917" spans="5:5" x14ac:dyDescent="0.25">
      <c r="E917" s="14">
        <f>DAY(Data!I915)</f>
        <v>0</v>
      </c>
    </row>
    <row r="918" spans="5:5" x14ac:dyDescent="0.25">
      <c r="E918" s="14">
        <f>DAY(Data!I916)</f>
        <v>0</v>
      </c>
    </row>
    <row r="919" spans="5:5" x14ac:dyDescent="0.25">
      <c r="E919" s="14">
        <f>DAY(Data!I917)</f>
        <v>0</v>
      </c>
    </row>
    <row r="920" spans="5:5" x14ac:dyDescent="0.25">
      <c r="E920" s="14">
        <f>DAY(Data!I918)</f>
        <v>0</v>
      </c>
    </row>
    <row r="921" spans="5:5" x14ac:dyDescent="0.25">
      <c r="E921" s="14">
        <f>DAY(Data!I919)</f>
        <v>0</v>
      </c>
    </row>
    <row r="922" spans="5:5" x14ac:dyDescent="0.25">
      <c r="E922" s="14">
        <f>DAY(Data!I920)</f>
        <v>0</v>
      </c>
    </row>
    <row r="923" spans="5:5" x14ac:dyDescent="0.25">
      <c r="E923" s="14">
        <f>DAY(Data!I921)</f>
        <v>0</v>
      </c>
    </row>
    <row r="924" spans="5:5" x14ac:dyDescent="0.25">
      <c r="E924" s="14">
        <f>DAY(Data!I922)</f>
        <v>0</v>
      </c>
    </row>
    <row r="925" spans="5:5" x14ac:dyDescent="0.25">
      <c r="E925" s="14">
        <f>DAY(Data!I923)</f>
        <v>0</v>
      </c>
    </row>
    <row r="926" spans="5:5" x14ac:dyDescent="0.25">
      <c r="E926" s="14">
        <f>DAY(Data!I924)</f>
        <v>0</v>
      </c>
    </row>
    <row r="927" spans="5:5" x14ac:dyDescent="0.25">
      <c r="E927" s="14">
        <f>DAY(Data!I925)</f>
        <v>0</v>
      </c>
    </row>
    <row r="928" spans="5:5" x14ac:dyDescent="0.25">
      <c r="E928" s="14">
        <f>DAY(Data!I926)</f>
        <v>0</v>
      </c>
    </row>
    <row r="929" spans="5:5" x14ac:dyDescent="0.25">
      <c r="E929" s="14">
        <f>DAY(Data!I927)</f>
        <v>0</v>
      </c>
    </row>
    <row r="930" spans="5:5" x14ac:dyDescent="0.25">
      <c r="E930" s="14">
        <f>DAY(Data!I928)</f>
        <v>0</v>
      </c>
    </row>
    <row r="931" spans="5:5" x14ac:dyDescent="0.25">
      <c r="E931" s="14">
        <f>DAY(Data!I929)</f>
        <v>0</v>
      </c>
    </row>
    <row r="932" spans="5:5" x14ac:dyDescent="0.25">
      <c r="E932" s="14">
        <f>DAY(Data!I930)</f>
        <v>0</v>
      </c>
    </row>
    <row r="933" spans="5:5" x14ac:dyDescent="0.25">
      <c r="E933" s="14">
        <f>DAY(Data!I931)</f>
        <v>0</v>
      </c>
    </row>
    <row r="934" spans="5:5" x14ac:dyDescent="0.25">
      <c r="E934" s="14">
        <f>DAY(Data!I932)</f>
        <v>0</v>
      </c>
    </row>
    <row r="935" spans="5:5" x14ac:dyDescent="0.25">
      <c r="E935" s="14">
        <f>DAY(Data!I933)</f>
        <v>0</v>
      </c>
    </row>
    <row r="936" spans="5:5" x14ac:dyDescent="0.25">
      <c r="E936" s="14">
        <f>DAY(Data!I934)</f>
        <v>0</v>
      </c>
    </row>
    <row r="937" spans="5:5" x14ac:dyDescent="0.25">
      <c r="E937" s="14">
        <f>DAY(Data!I935)</f>
        <v>0</v>
      </c>
    </row>
    <row r="938" spans="5:5" x14ac:dyDescent="0.25">
      <c r="E938" s="14">
        <f>DAY(Data!I936)</f>
        <v>0</v>
      </c>
    </row>
    <row r="939" spans="5:5" x14ac:dyDescent="0.25">
      <c r="E939" s="14">
        <f>DAY(Data!I937)</f>
        <v>0</v>
      </c>
    </row>
    <row r="940" spans="5:5" x14ac:dyDescent="0.25">
      <c r="E940" s="14">
        <f>DAY(Data!I938)</f>
        <v>0</v>
      </c>
    </row>
    <row r="941" spans="5:5" x14ac:dyDescent="0.25">
      <c r="E941" s="14">
        <f>DAY(Data!I939)</f>
        <v>0</v>
      </c>
    </row>
    <row r="942" spans="5:5" x14ac:dyDescent="0.25">
      <c r="E942" s="14">
        <f>DAY(Data!I940)</f>
        <v>0</v>
      </c>
    </row>
    <row r="943" spans="5:5" x14ac:dyDescent="0.25">
      <c r="E943" s="14">
        <f>DAY(Data!I941)</f>
        <v>0</v>
      </c>
    </row>
    <row r="944" spans="5:5" x14ac:dyDescent="0.25">
      <c r="E944" s="14">
        <f>DAY(Data!I942)</f>
        <v>0</v>
      </c>
    </row>
    <row r="945" spans="5:5" x14ac:dyDescent="0.25">
      <c r="E945" s="14">
        <f>DAY(Data!I943)</f>
        <v>0</v>
      </c>
    </row>
    <row r="946" spans="5:5" x14ac:dyDescent="0.25">
      <c r="E946" s="14">
        <f>DAY(Data!I944)</f>
        <v>0</v>
      </c>
    </row>
    <row r="947" spans="5:5" x14ac:dyDescent="0.25">
      <c r="E947" s="14">
        <f>DAY(Data!I945)</f>
        <v>0</v>
      </c>
    </row>
    <row r="948" spans="5:5" x14ac:dyDescent="0.25">
      <c r="E948" s="14">
        <f>DAY(Data!I946)</f>
        <v>0</v>
      </c>
    </row>
    <row r="949" spans="5:5" x14ac:dyDescent="0.25">
      <c r="E949" s="14">
        <f>DAY(Data!I947)</f>
        <v>0</v>
      </c>
    </row>
    <row r="950" spans="5:5" x14ac:dyDescent="0.25">
      <c r="E950" s="14">
        <f>DAY(Data!I948)</f>
        <v>0</v>
      </c>
    </row>
    <row r="951" spans="5:5" x14ac:dyDescent="0.25">
      <c r="E951" s="14">
        <f>DAY(Data!I949)</f>
        <v>0</v>
      </c>
    </row>
    <row r="952" spans="5:5" x14ac:dyDescent="0.25">
      <c r="E952" s="14">
        <f>DAY(Data!I950)</f>
        <v>0</v>
      </c>
    </row>
    <row r="953" spans="5:5" x14ac:dyDescent="0.25">
      <c r="E953" s="14">
        <f>DAY(Data!I951)</f>
        <v>0</v>
      </c>
    </row>
    <row r="954" spans="5:5" x14ac:dyDescent="0.25">
      <c r="E954" s="14">
        <f>DAY(Data!I952)</f>
        <v>0</v>
      </c>
    </row>
    <row r="955" spans="5:5" x14ac:dyDescent="0.25">
      <c r="E955" s="14">
        <f>DAY(Data!I953)</f>
        <v>0</v>
      </c>
    </row>
    <row r="956" spans="5:5" x14ac:dyDescent="0.25">
      <c r="E956" s="14">
        <f>DAY(Data!I954)</f>
        <v>0</v>
      </c>
    </row>
    <row r="957" spans="5:5" x14ac:dyDescent="0.25">
      <c r="E957" s="14">
        <f>DAY(Data!I955)</f>
        <v>0</v>
      </c>
    </row>
    <row r="958" spans="5:5" x14ac:dyDescent="0.25">
      <c r="E958" s="14">
        <f>DAY(Data!I956)</f>
        <v>0</v>
      </c>
    </row>
    <row r="959" spans="5:5" x14ac:dyDescent="0.25">
      <c r="E959" s="14">
        <f>DAY(Data!I957)</f>
        <v>0</v>
      </c>
    </row>
    <row r="960" spans="5:5" x14ac:dyDescent="0.25">
      <c r="E960" s="14">
        <f>DAY(Data!I958)</f>
        <v>0</v>
      </c>
    </row>
    <row r="961" spans="5:5" x14ac:dyDescent="0.25">
      <c r="E961" s="14">
        <f>DAY(Data!I959)</f>
        <v>0</v>
      </c>
    </row>
    <row r="962" spans="5:5" x14ac:dyDescent="0.25">
      <c r="E962" s="14">
        <f>DAY(Data!I960)</f>
        <v>0</v>
      </c>
    </row>
    <row r="963" spans="5:5" x14ac:dyDescent="0.25">
      <c r="E963" s="14">
        <f>DAY(Data!I961)</f>
        <v>0</v>
      </c>
    </row>
    <row r="964" spans="5:5" x14ac:dyDescent="0.25">
      <c r="E964" s="14">
        <f>DAY(Data!I962)</f>
        <v>0</v>
      </c>
    </row>
    <row r="965" spans="5:5" x14ac:dyDescent="0.25">
      <c r="E965" s="14">
        <f>DAY(Data!I963)</f>
        <v>0</v>
      </c>
    </row>
    <row r="966" spans="5:5" x14ac:dyDescent="0.25">
      <c r="E966" s="14">
        <f>DAY(Data!I964)</f>
        <v>0</v>
      </c>
    </row>
    <row r="967" spans="5:5" x14ac:dyDescent="0.25">
      <c r="E967" s="14">
        <f>DAY(Data!I965)</f>
        <v>0</v>
      </c>
    </row>
    <row r="968" spans="5:5" x14ac:dyDescent="0.25">
      <c r="E968" s="14">
        <f>DAY(Data!I966)</f>
        <v>0</v>
      </c>
    </row>
    <row r="969" spans="5:5" x14ac:dyDescent="0.25">
      <c r="E969" s="14">
        <f>DAY(Data!I967)</f>
        <v>0</v>
      </c>
    </row>
    <row r="970" spans="5:5" x14ac:dyDescent="0.25">
      <c r="E970" s="14">
        <f>DAY(Data!I968)</f>
        <v>0</v>
      </c>
    </row>
    <row r="971" spans="5:5" x14ac:dyDescent="0.25">
      <c r="E971" s="14">
        <f>DAY(Data!I969)</f>
        <v>0</v>
      </c>
    </row>
    <row r="972" spans="5:5" x14ac:dyDescent="0.25">
      <c r="E972" s="14">
        <f>DAY(Data!I970)</f>
        <v>0</v>
      </c>
    </row>
    <row r="973" spans="5:5" x14ac:dyDescent="0.25">
      <c r="E973" s="14">
        <f>DAY(Data!I971)</f>
        <v>0</v>
      </c>
    </row>
    <row r="974" spans="5:5" x14ac:dyDescent="0.25">
      <c r="E974" s="14">
        <f>DAY(Data!I972)</f>
        <v>0</v>
      </c>
    </row>
    <row r="975" spans="5:5" x14ac:dyDescent="0.25">
      <c r="E975" s="14">
        <f>DAY(Data!I973)</f>
        <v>0</v>
      </c>
    </row>
    <row r="976" spans="5:5" x14ac:dyDescent="0.25">
      <c r="E976" s="14">
        <f>DAY(Data!I974)</f>
        <v>0</v>
      </c>
    </row>
    <row r="977" spans="5:5" x14ac:dyDescent="0.25">
      <c r="E977" s="14">
        <f>DAY(Data!I975)</f>
        <v>0</v>
      </c>
    </row>
    <row r="978" spans="5:5" x14ac:dyDescent="0.25">
      <c r="E978" s="14">
        <f>DAY(Data!I976)</f>
        <v>0</v>
      </c>
    </row>
    <row r="979" spans="5:5" x14ac:dyDescent="0.25">
      <c r="E979" s="14">
        <f>DAY(Data!I977)</f>
        <v>0</v>
      </c>
    </row>
    <row r="980" spans="5:5" x14ac:dyDescent="0.25">
      <c r="E980" s="14">
        <f>DAY(Data!I978)</f>
        <v>0</v>
      </c>
    </row>
    <row r="981" spans="5:5" x14ac:dyDescent="0.25">
      <c r="E981" s="14">
        <f>DAY(Data!I979)</f>
        <v>0</v>
      </c>
    </row>
    <row r="982" spans="5:5" x14ac:dyDescent="0.25">
      <c r="E982" s="14">
        <f>DAY(Data!I980)</f>
        <v>0</v>
      </c>
    </row>
    <row r="983" spans="5:5" x14ac:dyDescent="0.25">
      <c r="E983" s="14">
        <f>DAY(Data!I981)</f>
        <v>0</v>
      </c>
    </row>
    <row r="984" spans="5:5" x14ac:dyDescent="0.25">
      <c r="E984" s="14">
        <f>DAY(Data!I982)</f>
        <v>0</v>
      </c>
    </row>
    <row r="985" spans="5:5" x14ac:dyDescent="0.25">
      <c r="E985" s="14">
        <f>DAY(Data!I983)</f>
        <v>0</v>
      </c>
    </row>
    <row r="986" spans="5:5" x14ac:dyDescent="0.25">
      <c r="E986" s="14">
        <f>DAY(Data!I984)</f>
        <v>0</v>
      </c>
    </row>
    <row r="987" spans="5:5" x14ac:dyDescent="0.25">
      <c r="E987" s="14">
        <f>DAY(Data!I985)</f>
        <v>0</v>
      </c>
    </row>
    <row r="988" spans="5:5" x14ac:dyDescent="0.25">
      <c r="E988" s="14">
        <f>DAY(Data!I986)</f>
        <v>0</v>
      </c>
    </row>
    <row r="989" spans="5:5" x14ac:dyDescent="0.25">
      <c r="E989" s="14">
        <f>DAY(Data!I987)</f>
        <v>0</v>
      </c>
    </row>
    <row r="990" spans="5:5" x14ac:dyDescent="0.25">
      <c r="E990" s="14">
        <f>DAY(Data!I988)</f>
        <v>0</v>
      </c>
    </row>
    <row r="991" spans="5:5" x14ac:dyDescent="0.25">
      <c r="E991" s="14">
        <f>DAY(Data!I989)</f>
        <v>0</v>
      </c>
    </row>
    <row r="992" spans="5:5" x14ac:dyDescent="0.25">
      <c r="E992" s="14">
        <f>DAY(Data!I990)</f>
        <v>0</v>
      </c>
    </row>
    <row r="993" spans="5:5" x14ac:dyDescent="0.25">
      <c r="E993" s="14">
        <f>DAY(Data!I991)</f>
        <v>0</v>
      </c>
    </row>
    <row r="994" spans="5:5" x14ac:dyDescent="0.25">
      <c r="E994" s="14">
        <f>DAY(Data!I992)</f>
        <v>0</v>
      </c>
    </row>
    <row r="995" spans="5:5" x14ac:dyDescent="0.25">
      <c r="E995" s="14">
        <f>DAY(Data!I993)</f>
        <v>0</v>
      </c>
    </row>
    <row r="996" spans="5:5" x14ac:dyDescent="0.25">
      <c r="E996" s="14">
        <f>DAY(Data!I994)</f>
        <v>0</v>
      </c>
    </row>
    <row r="997" spans="5:5" x14ac:dyDescent="0.25">
      <c r="E997" s="14">
        <f>DAY(Data!I995)</f>
        <v>0</v>
      </c>
    </row>
    <row r="998" spans="5:5" x14ac:dyDescent="0.25">
      <c r="E998" s="14">
        <f>DAY(Data!I996)</f>
        <v>0</v>
      </c>
    </row>
    <row r="999" spans="5:5" x14ac:dyDescent="0.25">
      <c r="E999" s="14">
        <f>DAY(Data!I997)</f>
        <v>0</v>
      </c>
    </row>
    <row r="1000" spans="5:5" x14ac:dyDescent="0.25">
      <c r="E1000" s="14">
        <f>DAY(Data!I998)</f>
        <v>0</v>
      </c>
    </row>
  </sheetData>
  <mergeCells count="2">
    <mergeCell ref="F15:H15"/>
    <mergeCell ref="F16:H16"/>
  </mergeCells>
  <pageMargins left="0.7" right="0.7" top="0.75" bottom="0.75" header="0.3" footer="0.3"/>
  <pageSetup paperSize="9" orientation="portrait"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dimension ref="A1:X1452"/>
  <sheetViews>
    <sheetView topLeftCell="A144" workbookViewId="0">
      <selection activeCell="X1" sqref="X1"/>
    </sheetView>
  </sheetViews>
  <sheetFormatPr defaultColWidth="11.5546875" defaultRowHeight="14.4" x14ac:dyDescent="0.3"/>
  <cols>
    <col min="1" max="1" width="42.6640625" style="56" customWidth="1"/>
    <col min="2" max="2" width="39.6640625" style="56" bestFit="1" customWidth="1"/>
    <col min="3" max="3" width="45.33203125" style="56" bestFit="1" customWidth="1"/>
    <col min="4" max="4" width="17.33203125" style="56" bestFit="1" customWidth="1"/>
    <col min="5" max="6" width="11.5546875" style="56"/>
    <col min="7" max="7" width="11.5546875" style="57"/>
    <col min="8" max="8" width="11.5546875" style="56"/>
    <col min="9" max="9" width="43.109375" style="56" customWidth="1"/>
    <col min="10" max="10" width="25.5546875" style="56" customWidth="1"/>
    <col min="11" max="11" width="28.5546875" style="56" customWidth="1"/>
    <col min="12" max="12" width="16.109375" style="56" customWidth="1"/>
    <col min="13" max="13" width="13" style="56" customWidth="1"/>
    <col min="14" max="14" width="14.5546875" style="56" customWidth="1"/>
    <col min="15" max="16" width="13.6640625" style="56" customWidth="1"/>
    <col min="17" max="17" width="13" style="56" customWidth="1"/>
    <col min="18" max="18" width="15" style="56" customWidth="1"/>
    <col min="19" max="19" width="13.88671875" style="56" customWidth="1"/>
    <col min="20" max="20" width="16.33203125" style="56" customWidth="1"/>
    <col min="21" max="21" width="15.6640625" style="56" customWidth="1"/>
    <col min="22" max="22" width="33.88671875" style="56" customWidth="1"/>
    <col min="23" max="23" width="18.5546875" style="56" customWidth="1"/>
    <col min="24" max="16384" width="11.5546875" style="56"/>
  </cols>
  <sheetData>
    <row r="1" spans="1:24" x14ac:dyDescent="0.3">
      <c r="A1" s="245" t="s">
        <v>21</v>
      </c>
      <c r="B1" s="245" t="s">
        <v>319</v>
      </c>
      <c r="C1" s="245" t="s">
        <v>318</v>
      </c>
      <c r="D1" s="245" t="s">
        <v>317</v>
      </c>
      <c r="E1" s="245" t="s">
        <v>316</v>
      </c>
      <c r="F1" s="245" t="s">
        <v>315</v>
      </c>
      <c r="G1" s="246"/>
      <c r="H1" s="245"/>
      <c r="I1" s="245" t="s">
        <v>21</v>
      </c>
      <c r="J1" s="245" t="s">
        <v>22</v>
      </c>
      <c r="K1" s="245" t="s">
        <v>23</v>
      </c>
      <c r="L1" s="245" t="s">
        <v>4711</v>
      </c>
      <c r="M1" s="336" t="s">
        <v>4712</v>
      </c>
      <c r="N1" s="245" t="s">
        <v>4713</v>
      </c>
      <c r="O1" s="336" t="s">
        <v>4714</v>
      </c>
      <c r="P1" s="245" t="s">
        <v>4715</v>
      </c>
      <c r="Q1" s="336" t="s">
        <v>4716</v>
      </c>
      <c r="R1" s="245" t="s">
        <v>4717</v>
      </c>
      <c r="S1" s="336" t="s">
        <v>4718</v>
      </c>
      <c r="T1" s="245" t="s">
        <v>15</v>
      </c>
      <c r="U1" s="245" t="s">
        <v>4719</v>
      </c>
      <c r="V1" s="245" t="s">
        <v>4720</v>
      </c>
      <c r="W1" s="245" t="s">
        <v>4721</v>
      </c>
      <c r="X1" s="245"/>
    </row>
    <row r="2" spans="1:24" x14ac:dyDescent="0.3">
      <c r="A2" s="56" t="s">
        <v>36</v>
      </c>
      <c r="B2" s="56" t="s">
        <v>97</v>
      </c>
      <c r="C2" s="56" t="s">
        <v>312</v>
      </c>
      <c r="D2" s="56">
        <v>23</v>
      </c>
      <c r="E2" s="56">
        <v>272187967.13999999</v>
      </c>
      <c r="F2" s="56">
        <v>1.643</v>
      </c>
      <c r="G2" s="247"/>
      <c r="H2" s="248"/>
      <c r="I2" s="56" t="s">
        <v>36</v>
      </c>
      <c r="J2" s="56" t="s">
        <v>97</v>
      </c>
      <c r="K2" s="56" t="s">
        <v>1809</v>
      </c>
      <c r="M2" s="337"/>
      <c r="O2" s="337"/>
      <c r="Q2" s="337"/>
      <c r="S2" s="337"/>
      <c r="T2" s="56">
        <v>18294672.07</v>
      </c>
      <c r="U2" s="56" t="s">
        <v>2673</v>
      </c>
      <c r="V2" s="56" t="s">
        <v>2691</v>
      </c>
      <c r="W2" s="56" t="s">
        <v>2692</v>
      </c>
    </row>
    <row r="3" spans="1:24" x14ac:dyDescent="0.3">
      <c r="A3" s="56" t="s">
        <v>36</v>
      </c>
      <c r="B3" s="56" t="s">
        <v>97</v>
      </c>
      <c r="C3" s="56" t="s">
        <v>313</v>
      </c>
      <c r="D3" s="56">
        <v>7</v>
      </c>
      <c r="E3" s="56">
        <v>66165077.079999998</v>
      </c>
      <c r="F3" s="56">
        <v>0.39939999999999998</v>
      </c>
      <c r="G3" s="247"/>
      <c r="H3" s="248"/>
      <c r="I3" s="56" t="s">
        <v>36</v>
      </c>
      <c r="J3" s="56" t="s">
        <v>97</v>
      </c>
      <c r="K3" s="56" t="s">
        <v>5234</v>
      </c>
      <c r="M3" s="337"/>
      <c r="O3" s="337"/>
      <c r="Q3" s="337"/>
      <c r="S3" s="337"/>
      <c r="T3" s="56">
        <v>1992851.37</v>
      </c>
      <c r="U3" s="56" t="s">
        <v>5233</v>
      </c>
      <c r="V3" s="56" t="s">
        <v>5239</v>
      </c>
      <c r="W3" s="56" t="s">
        <v>5240</v>
      </c>
    </row>
    <row r="4" spans="1:24" x14ac:dyDescent="0.3">
      <c r="A4" s="56" t="s">
        <v>36</v>
      </c>
      <c r="B4" s="56" t="s">
        <v>97</v>
      </c>
      <c r="C4" s="56" t="s">
        <v>314</v>
      </c>
      <c r="D4" s="56">
        <v>5</v>
      </c>
      <c r="E4" s="56">
        <v>22306467.710000001</v>
      </c>
      <c r="F4" s="56">
        <v>0.1346</v>
      </c>
      <c r="G4" s="247"/>
      <c r="H4" s="248"/>
      <c r="I4" s="56" t="s">
        <v>36</v>
      </c>
      <c r="J4" s="56" t="s">
        <v>97</v>
      </c>
      <c r="K4" s="338" t="s">
        <v>1811</v>
      </c>
      <c r="M4" s="337"/>
      <c r="O4" s="337"/>
      <c r="Q4" s="337"/>
      <c r="S4" s="337"/>
      <c r="T4" s="56">
        <v>11796162.1</v>
      </c>
      <c r="U4" s="56" t="s">
        <v>2187</v>
      </c>
      <c r="V4" s="56" t="s">
        <v>2207</v>
      </c>
      <c r="W4" s="56" t="s">
        <v>2208</v>
      </c>
    </row>
    <row r="5" spans="1:24" x14ac:dyDescent="0.3">
      <c r="A5" s="56" t="s">
        <v>36</v>
      </c>
      <c r="B5" s="56" t="s">
        <v>97</v>
      </c>
      <c r="C5" s="56" t="s">
        <v>343</v>
      </c>
      <c r="D5" s="56">
        <v>3</v>
      </c>
      <c r="E5" s="56">
        <v>9531388.5</v>
      </c>
      <c r="F5" s="56">
        <v>5.7500000000000002E-2</v>
      </c>
      <c r="G5" s="247"/>
      <c r="H5" s="248"/>
      <c r="I5" s="56" t="s">
        <v>36</v>
      </c>
      <c r="J5" s="56" t="s">
        <v>97</v>
      </c>
      <c r="K5" s="56" t="s">
        <v>1811</v>
      </c>
      <c r="L5" s="56">
        <v>14382713.42</v>
      </c>
      <c r="M5" s="337">
        <v>0.57530853679999994</v>
      </c>
      <c r="N5" s="56">
        <v>14382713.42</v>
      </c>
      <c r="O5" s="337">
        <v>0.57530853679999994</v>
      </c>
      <c r="Q5" s="337"/>
      <c r="S5" s="337"/>
      <c r="T5" s="56">
        <v>14382713.42</v>
      </c>
      <c r="U5" s="56" t="s">
        <v>2611</v>
      </c>
      <c r="V5" s="56" t="s">
        <v>2631</v>
      </c>
      <c r="W5" s="56" t="s">
        <v>2632</v>
      </c>
    </row>
    <row r="6" spans="1:24" x14ac:dyDescent="0.3">
      <c r="A6" s="56" t="s">
        <v>36</v>
      </c>
      <c r="B6" s="56" t="s">
        <v>1023</v>
      </c>
      <c r="C6" s="56" t="s">
        <v>312</v>
      </c>
      <c r="D6" s="56">
        <v>8</v>
      </c>
      <c r="E6" s="56">
        <v>85553210.870000005</v>
      </c>
      <c r="F6" s="56">
        <v>0.51639999999999997</v>
      </c>
      <c r="G6" s="247"/>
      <c r="H6" s="248"/>
      <c r="I6" s="56" t="s">
        <v>36</v>
      </c>
      <c r="J6" s="56" t="s">
        <v>97</v>
      </c>
      <c r="K6" s="56" t="s">
        <v>1811</v>
      </c>
      <c r="L6" s="56">
        <v>2701112.61</v>
      </c>
      <c r="M6" s="337">
        <v>0.22509271750000001</v>
      </c>
      <c r="N6" s="56">
        <v>2701112.61</v>
      </c>
      <c r="O6" s="337">
        <v>0.22509271750000001</v>
      </c>
      <c r="Q6" s="337"/>
      <c r="S6" s="337"/>
      <c r="T6" s="56">
        <v>2701112.61</v>
      </c>
      <c r="U6" s="56" t="s">
        <v>3751</v>
      </c>
      <c r="V6" s="56" t="s">
        <v>3774</v>
      </c>
      <c r="W6" s="56" t="s">
        <v>3775</v>
      </c>
    </row>
    <row r="7" spans="1:24" x14ac:dyDescent="0.3">
      <c r="A7" s="56" t="s">
        <v>36</v>
      </c>
      <c r="B7" s="56" t="s">
        <v>1023</v>
      </c>
      <c r="C7" s="56" t="s">
        <v>313</v>
      </c>
      <c r="D7" s="56">
        <v>2</v>
      </c>
      <c r="E7" s="56">
        <v>39178397.960000001</v>
      </c>
      <c r="F7" s="56">
        <v>0.2364</v>
      </c>
      <c r="G7" s="247"/>
      <c r="H7" s="248"/>
      <c r="I7" s="56" t="s">
        <v>36</v>
      </c>
      <c r="J7" s="56" t="s">
        <v>97</v>
      </c>
      <c r="K7" s="56" t="s">
        <v>1811</v>
      </c>
      <c r="M7" s="337"/>
      <c r="O7" s="337"/>
      <c r="Q7" s="337"/>
      <c r="S7" s="337"/>
      <c r="T7" s="56">
        <v>3404486.45</v>
      </c>
      <c r="U7" s="56" t="s">
        <v>5748</v>
      </c>
      <c r="V7" s="56" t="s">
        <v>5759</v>
      </c>
      <c r="W7" s="56" t="s">
        <v>5760</v>
      </c>
    </row>
    <row r="8" spans="1:24" x14ac:dyDescent="0.3">
      <c r="A8" s="56" t="s">
        <v>36</v>
      </c>
      <c r="B8" s="56" t="s">
        <v>1023</v>
      </c>
      <c r="C8" s="56" t="s">
        <v>314</v>
      </c>
      <c r="D8" s="56">
        <v>1</v>
      </c>
      <c r="E8" s="56">
        <v>1913905.56</v>
      </c>
      <c r="F8" s="56">
        <v>1.15E-2</v>
      </c>
      <c r="G8" s="247"/>
      <c r="H8" s="248"/>
      <c r="I8" s="56" t="s">
        <v>36</v>
      </c>
      <c r="J8" s="56" t="s">
        <v>97</v>
      </c>
      <c r="K8" s="56" t="s">
        <v>98</v>
      </c>
      <c r="M8" s="337"/>
      <c r="O8" s="337"/>
      <c r="Q8" s="337"/>
      <c r="S8" s="337"/>
      <c r="T8" s="56">
        <v>9246013.3000000007</v>
      </c>
      <c r="U8" s="56" t="s">
        <v>487</v>
      </c>
      <c r="V8" s="56" t="s">
        <v>488</v>
      </c>
      <c r="W8" s="56" t="s">
        <v>489</v>
      </c>
    </row>
    <row r="9" spans="1:24" x14ac:dyDescent="0.3">
      <c r="A9" s="56" t="s">
        <v>36</v>
      </c>
      <c r="B9" s="56" t="s">
        <v>1023</v>
      </c>
      <c r="C9" s="56" t="s">
        <v>343</v>
      </c>
      <c r="D9" s="56">
        <v>1</v>
      </c>
      <c r="E9" s="56">
        <v>23336195.68</v>
      </c>
      <c r="F9" s="56">
        <v>0.14080000000000001</v>
      </c>
      <c r="G9" s="247"/>
      <c r="H9" s="248"/>
      <c r="I9" s="56" t="s">
        <v>36</v>
      </c>
      <c r="J9" s="56" t="s">
        <v>97</v>
      </c>
      <c r="K9" s="56" t="s">
        <v>98</v>
      </c>
      <c r="L9" s="56">
        <v>6286514.0700000003</v>
      </c>
      <c r="M9" s="337">
        <v>0.35922937542857142</v>
      </c>
      <c r="N9" s="56">
        <v>6286514.0700000003</v>
      </c>
      <c r="O9" s="337">
        <v>0.35922937542857142</v>
      </c>
      <c r="P9" s="56">
        <v>6286514.0700000003</v>
      </c>
      <c r="Q9" s="337">
        <v>0.35922937542857142</v>
      </c>
      <c r="S9" s="337"/>
      <c r="T9" s="56">
        <v>6286514.0700000003</v>
      </c>
      <c r="U9" s="56" t="s">
        <v>500</v>
      </c>
      <c r="V9" s="56" t="s">
        <v>501</v>
      </c>
      <c r="W9" s="56" t="s">
        <v>502</v>
      </c>
    </row>
    <row r="10" spans="1:24" x14ac:dyDescent="0.3">
      <c r="A10" s="56" t="s">
        <v>36</v>
      </c>
      <c r="B10" s="56" t="s">
        <v>3461</v>
      </c>
      <c r="C10" s="56" t="s">
        <v>312</v>
      </c>
      <c r="D10" s="56">
        <v>1</v>
      </c>
      <c r="E10" s="56">
        <v>43867352.810000002</v>
      </c>
      <c r="F10" s="56">
        <v>0.26479999999999998</v>
      </c>
      <c r="G10" s="247"/>
      <c r="H10" s="248"/>
      <c r="I10" s="56" t="s">
        <v>36</v>
      </c>
      <c r="J10" s="56" t="s">
        <v>97</v>
      </c>
      <c r="K10" s="56" t="s">
        <v>98</v>
      </c>
      <c r="L10" s="56">
        <v>1496244.82</v>
      </c>
      <c r="M10" s="337">
        <v>9.9749654666666659E-2</v>
      </c>
      <c r="N10" s="56">
        <v>1496244.82</v>
      </c>
      <c r="O10" s="337">
        <v>9.9749654666666659E-2</v>
      </c>
      <c r="Q10" s="337"/>
      <c r="S10" s="337"/>
      <c r="T10" s="56">
        <v>1496244.82</v>
      </c>
      <c r="U10" s="56" t="s">
        <v>326</v>
      </c>
      <c r="V10" s="56" t="s">
        <v>333</v>
      </c>
      <c r="W10" s="56" t="s">
        <v>334</v>
      </c>
    </row>
    <row r="11" spans="1:24" x14ac:dyDescent="0.3">
      <c r="A11" s="56" t="s">
        <v>36</v>
      </c>
      <c r="B11" s="56" t="s">
        <v>118</v>
      </c>
      <c r="C11" s="56" t="s">
        <v>312</v>
      </c>
      <c r="D11" s="56">
        <v>4</v>
      </c>
      <c r="E11" s="56">
        <v>23899482.940000001</v>
      </c>
      <c r="F11" s="56">
        <v>0.14419999999999999</v>
      </c>
      <c r="G11" s="247"/>
      <c r="H11" s="248"/>
      <c r="I11" s="56" t="s">
        <v>36</v>
      </c>
      <c r="J11" s="56" t="s">
        <v>97</v>
      </c>
      <c r="K11" s="56" t="s">
        <v>98</v>
      </c>
      <c r="M11" s="337"/>
      <c r="O11" s="337"/>
      <c r="Q11" s="337"/>
      <c r="S11" s="337"/>
      <c r="T11" s="56">
        <v>6279386.0099999998</v>
      </c>
      <c r="U11" s="56" t="s">
        <v>3861</v>
      </c>
      <c r="V11" s="56" t="s">
        <v>3862</v>
      </c>
      <c r="W11" s="56" t="s">
        <v>3863</v>
      </c>
    </row>
    <row r="12" spans="1:24" x14ac:dyDescent="0.3">
      <c r="A12" s="56" t="s">
        <v>36</v>
      </c>
      <c r="B12" s="56" t="s">
        <v>118</v>
      </c>
      <c r="C12" s="56" t="s">
        <v>313</v>
      </c>
      <c r="D12" s="56">
        <v>3</v>
      </c>
      <c r="E12" s="56">
        <v>6414445.9699999997</v>
      </c>
      <c r="F12" s="56">
        <v>3.8699999999999998E-2</v>
      </c>
      <c r="G12" s="247"/>
      <c r="H12" s="248"/>
      <c r="I12" s="56" t="s">
        <v>36</v>
      </c>
      <c r="J12" s="56" t="s">
        <v>97</v>
      </c>
      <c r="K12" s="56" t="s">
        <v>98</v>
      </c>
      <c r="M12" s="337"/>
      <c r="O12" s="337"/>
      <c r="Q12" s="337"/>
      <c r="S12" s="337"/>
      <c r="T12" s="56">
        <v>711293.86</v>
      </c>
      <c r="U12" s="56" t="s">
        <v>4041</v>
      </c>
      <c r="V12" s="56" t="s">
        <v>4043</v>
      </c>
      <c r="W12" s="56" t="s">
        <v>4044</v>
      </c>
    </row>
    <row r="13" spans="1:24" x14ac:dyDescent="0.3">
      <c r="A13" s="56" t="s">
        <v>36</v>
      </c>
      <c r="B13" s="56" t="s">
        <v>26</v>
      </c>
      <c r="C13" s="56" t="s">
        <v>312</v>
      </c>
      <c r="D13" s="56">
        <v>1</v>
      </c>
      <c r="E13" s="56">
        <v>9848596</v>
      </c>
      <c r="F13" s="56">
        <v>5.9400000000000001E-2</v>
      </c>
      <c r="G13" s="247"/>
      <c r="H13" s="248"/>
      <c r="I13" s="56" t="s">
        <v>36</v>
      </c>
      <c r="J13" s="56" t="s">
        <v>97</v>
      </c>
      <c r="K13" s="56" t="s">
        <v>98</v>
      </c>
      <c r="L13" s="56">
        <v>15951764.710000001</v>
      </c>
      <c r="M13" s="337">
        <v>0.79758823549999991</v>
      </c>
      <c r="O13" s="337"/>
      <c r="Q13" s="337"/>
      <c r="S13" s="337"/>
      <c r="T13" s="56">
        <v>15951764.710000001</v>
      </c>
      <c r="U13" s="56" t="s">
        <v>1051</v>
      </c>
      <c r="V13" s="56" t="s">
        <v>1052</v>
      </c>
      <c r="W13" s="56" t="s">
        <v>1053</v>
      </c>
    </row>
    <row r="14" spans="1:24" x14ac:dyDescent="0.3">
      <c r="A14" s="56" t="s">
        <v>36</v>
      </c>
      <c r="B14" s="56" t="s">
        <v>26</v>
      </c>
      <c r="C14" s="56" t="s">
        <v>313</v>
      </c>
      <c r="D14" s="56">
        <v>1</v>
      </c>
      <c r="E14" s="56">
        <v>27690200.07</v>
      </c>
      <c r="F14" s="56">
        <v>0.1671</v>
      </c>
      <c r="G14" s="247"/>
      <c r="H14" s="248"/>
      <c r="I14" s="56" t="s">
        <v>36</v>
      </c>
      <c r="J14" s="56" t="s">
        <v>97</v>
      </c>
      <c r="K14" s="56" t="s">
        <v>98</v>
      </c>
      <c r="L14" s="56">
        <v>18829491.420000002</v>
      </c>
      <c r="M14" s="337">
        <v>0.75317965679999999</v>
      </c>
      <c r="O14" s="337"/>
      <c r="Q14" s="337"/>
      <c r="S14" s="337"/>
      <c r="T14" s="56">
        <v>18829491.420000002</v>
      </c>
      <c r="U14" s="56" t="s">
        <v>993</v>
      </c>
      <c r="V14" s="56" t="s">
        <v>998</v>
      </c>
      <c r="W14" s="56" t="s">
        <v>999</v>
      </c>
    </row>
    <row r="15" spans="1:24" x14ac:dyDescent="0.3">
      <c r="A15" s="56" t="s">
        <v>35</v>
      </c>
      <c r="B15" s="56" t="s">
        <v>121</v>
      </c>
      <c r="C15" s="56" t="s">
        <v>312</v>
      </c>
      <c r="D15" s="56">
        <v>7</v>
      </c>
      <c r="E15" s="56">
        <v>145163012.13</v>
      </c>
      <c r="F15" s="56">
        <v>0.87619999999999998</v>
      </c>
      <c r="G15" s="247"/>
      <c r="H15" s="248"/>
      <c r="I15" s="56" t="s">
        <v>36</v>
      </c>
      <c r="J15" s="56" t="s">
        <v>97</v>
      </c>
      <c r="K15" s="56" t="s">
        <v>98</v>
      </c>
      <c r="M15" s="337"/>
      <c r="O15" s="337"/>
      <c r="Q15" s="337"/>
      <c r="S15" s="337"/>
      <c r="T15" s="56">
        <v>50479884.149999999</v>
      </c>
      <c r="U15" s="56" t="s">
        <v>1032</v>
      </c>
      <c r="V15" s="56" t="s">
        <v>1033</v>
      </c>
      <c r="W15" s="56" t="s">
        <v>1034</v>
      </c>
    </row>
    <row r="16" spans="1:24" x14ac:dyDescent="0.3">
      <c r="A16" s="56" t="s">
        <v>35</v>
      </c>
      <c r="B16" s="56" t="s">
        <v>121</v>
      </c>
      <c r="C16" s="56" t="s">
        <v>313</v>
      </c>
      <c r="D16" s="56">
        <v>6</v>
      </c>
      <c r="E16" s="56">
        <v>140743267.63999999</v>
      </c>
      <c r="F16" s="56">
        <v>0.84950000000000003</v>
      </c>
      <c r="G16" s="247"/>
      <c r="H16" s="248"/>
      <c r="I16" s="56" t="s">
        <v>36</v>
      </c>
      <c r="J16" s="56" t="s">
        <v>97</v>
      </c>
      <c r="K16" s="56" t="s">
        <v>98</v>
      </c>
      <c r="L16" s="56">
        <v>5883846.4699999997</v>
      </c>
      <c r="M16" s="337">
        <v>0.58838464700000004</v>
      </c>
      <c r="O16" s="337"/>
      <c r="Q16" s="337"/>
      <c r="S16" s="337"/>
      <c r="T16" s="56">
        <v>5883846.4699999997</v>
      </c>
      <c r="U16" s="56" t="s">
        <v>2910</v>
      </c>
      <c r="V16" s="56" t="s">
        <v>2911</v>
      </c>
      <c r="W16" s="56" t="s">
        <v>2912</v>
      </c>
    </row>
    <row r="17" spans="1:23" x14ac:dyDescent="0.3">
      <c r="A17" s="56" t="s">
        <v>35</v>
      </c>
      <c r="B17" s="56" t="s">
        <v>121</v>
      </c>
      <c r="C17" s="56" t="s">
        <v>314</v>
      </c>
      <c r="D17" s="56">
        <v>2</v>
      </c>
      <c r="E17" s="56">
        <v>87589734.430000007</v>
      </c>
      <c r="F17" s="56">
        <v>0.52869999999999995</v>
      </c>
      <c r="G17" s="247"/>
      <c r="H17" s="248"/>
      <c r="I17" s="56" t="s">
        <v>36</v>
      </c>
      <c r="J17" s="56" t="s">
        <v>97</v>
      </c>
      <c r="K17" s="56" t="s">
        <v>98</v>
      </c>
      <c r="M17" s="337"/>
      <c r="O17" s="337"/>
      <c r="Q17" s="337"/>
      <c r="S17" s="337"/>
      <c r="T17" s="56">
        <v>34037614.799999997</v>
      </c>
      <c r="U17" s="56" t="s">
        <v>1359</v>
      </c>
      <c r="V17" s="56" t="s">
        <v>1360</v>
      </c>
      <c r="W17" s="56" t="s">
        <v>1361</v>
      </c>
    </row>
    <row r="18" spans="1:23" x14ac:dyDescent="0.3">
      <c r="A18" s="56" t="s">
        <v>35</v>
      </c>
      <c r="B18" s="56" t="s">
        <v>121</v>
      </c>
      <c r="C18" s="56" t="s">
        <v>343</v>
      </c>
      <c r="D18" s="56">
        <v>2</v>
      </c>
      <c r="E18" s="56">
        <v>4747935.8</v>
      </c>
      <c r="F18" s="56">
        <v>2.86E-2</v>
      </c>
      <c r="G18" s="247"/>
      <c r="H18" s="248"/>
      <c r="I18" s="56" t="s">
        <v>36</v>
      </c>
      <c r="J18" s="56" t="s">
        <v>97</v>
      </c>
      <c r="K18" s="56" t="s">
        <v>98</v>
      </c>
      <c r="M18" s="337"/>
      <c r="O18" s="337"/>
      <c r="Q18" s="337"/>
      <c r="S18" s="337"/>
      <c r="T18" s="56">
        <v>4587800.0999999996</v>
      </c>
      <c r="U18" s="56" t="s">
        <v>2233</v>
      </c>
      <c r="V18" s="56" t="s">
        <v>2238</v>
      </c>
      <c r="W18" s="56" t="s">
        <v>2239</v>
      </c>
    </row>
    <row r="19" spans="1:23" x14ac:dyDescent="0.3">
      <c r="A19" s="56" t="s">
        <v>35</v>
      </c>
      <c r="B19" s="56" t="s">
        <v>26</v>
      </c>
      <c r="C19" s="56" t="s">
        <v>312</v>
      </c>
      <c r="D19" s="56">
        <v>3</v>
      </c>
      <c r="E19" s="56">
        <v>46026651.880000003</v>
      </c>
      <c r="F19" s="56">
        <v>0.27779999999999999</v>
      </c>
      <c r="G19" s="247"/>
      <c r="H19" s="248"/>
      <c r="I19" s="56" t="s">
        <v>36</v>
      </c>
      <c r="J19" s="56" t="s">
        <v>97</v>
      </c>
      <c r="K19" s="56" t="s">
        <v>98</v>
      </c>
      <c r="L19" s="56">
        <v>413059.12</v>
      </c>
      <c r="M19" s="337">
        <v>7.5101658181818187E-2</v>
      </c>
      <c r="O19" s="337"/>
      <c r="Q19" s="337"/>
      <c r="S19" s="337"/>
      <c r="T19" s="56">
        <v>413059.12</v>
      </c>
      <c r="U19" s="56" t="s">
        <v>4060</v>
      </c>
      <c r="V19" s="56" t="s">
        <v>4062</v>
      </c>
      <c r="W19" s="56" t="s">
        <v>4063</v>
      </c>
    </row>
    <row r="20" spans="1:23" x14ac:dyDescent="0.3">
      <c r="A20" s="56" t="s">
        <v>35</v>
      </c>
      <c r="B20" s="56" t="s">
        <v>26</v>
      </c>
      <c r="C20" s="56" t="s">
        <v>313</v>
      </c>
      <c r="D20" s="56">
        <v>2</v>
      </c>
      <c r="E20" s="56">
        <v>31319456.52</v>
      </c>
      <c r="F20" s="56">
        <v>0.189</v>
      </c>
      <c r="G20" s="247"/>
      <c r="H20" s="248"/>
      <c r="I20" s="56" t="s">
        <v>36</v>
      </c>
      <c r="J20" s="56" t="s">
        <v>97</v>
      </c>
      <c r="K20" s="56" t="s">
        <v>98</v>
      </c>
      <c r="M20" s="337"/>
      <c r="O20" s="337"/>
      <c r="Q20" s="337"/>
      <c r="S20" s="337"/>
      <c r="T20" s="56">
        <v>13928317.18</v>
      </c>
      <c r="U20" s="56" t="s">
        <v>1857</v>
      </c>
      <c r="V20" s="56" t="s">
        <v>1860</v>
      </c>
      <c r="W20" s="56" t="s">
        <v>1861</v>
      </c>
    </row>
    <row r="21" spans="1:23" x14ac:dyDescent="0.3">
      <c r="A21" s="56" t="s">
        <v>35</v>
      </c>
      <c r="B21" s="56" t="s">
        <v>26</v>
      </c>
      <c r="C21" s="56" t="s">
        <v>314</v>
      </c>
      <c r="D21" s="56">
        <v>1</v>
      </c>
      <c r="E21" s="56">
        <v>2175614.12</v>
      </c>
      <c r="F21" s="56">
        <v>1.3100000000000001E-2</v>
      </c>
      <c r="G21" s="247"/>
      <c r="H21" s="248"/>
      <c r="I21" s="56" t="s">
        <v>36</v>
      </c>
      <c r="J21" s="56" t="s">
        <v>97</v>
      </c>
      <c r="K21" s="56" t="s">
        <v>98</v>
      </c>
      <c r="M21" s="337"/>
      <c r="O21" s="337"/>
      <c r="Q21" s="337"/>
      <c r="S21" s="337"/>
      <c r="T21" s="56">
        <v>28775494.780000001</v>
      </c>
      <c r="U21" s="56" t="s">
        <v>2311</v>
      </c>
      <c r="V21" s="56" t="s">
        <v>2323</v>
      </c>
      <c r="W21" s="56" t="s">
        <v>2324</v>
      </c>
    </row>
    <row r="22" spans="1:23" x14ac:dyDescent="0.3">
      <c r="A22" s="56" t="s">
        <v>45</v>
      </c>
      <c r="B22" s="56" t="s">
        <v>45</v>
      </c>
      <c r="C22" s="56" t="s">
        <v>312</v>
      </c>
      <c r="D22" s="56">
        <v>27</v>
      </c>
      <c r="E22" s="56">
        <v>473434854.24000001</v>
      </c>
      <c r="F22" s="56">
        <v>2.8578000000000001</v>
      </c>
      <c r="G22" s="247"/>
      <c r="H22" s="248"/>
      <c r="I22" s="56" t="s">
        <v>36</v>
      </c>
      <c r="J22" s="56" t="s">
        <v>97</v>
      </c>
      <c r="K22" s="56" t="s">
        <v>98</v>
      </c>
      <c r="M22" s="337"/>
      <c r="O22" s="337"/>
      <c r="Q22" s="337"/>
      <c r="S22" s="337"/>
      <c r="T22" s="56">
        <v>4640736.29</v>
      </c>
      <c r="U22" s="56" t="s">
        <v>2769</v>
      </c>
      <c r="V22" s="56" t="s">
        <v>2774</v>
      </c>
      <c r="W22" s="56" t="s">
        <v>2775</v>
      </c>
    </row>
    <row r="23" spans="1:23" x14ac:dyDescent="0.3">
      <c r="A23" s="56" t="s">
        <v>45</v>
      </c>
      <c r="B23" s="56" t="s">
        <v>45</v>
      </c>
      <c r="C23" s="56" t="s">
        <v>313</v>
      </c>
      <c r="D23" s="56">
        <v>9</v>
      </c>
      <c r="E23" s="56">
        <v>96699396.030000001</v>
      </c>
      <c r="F23" s="56">
        <v>0.5837</v>
      </c>
      <c r="G23" s="247"/>
      <c r="H23" s="248"/>
      <c r="I23" s="56" t="s">
        <v>36</v>
      </c>
      <c r="J23" s="56" t="s">
        <v>97</v>
      </c>
      <c r="K23" s="56" t="s">
        <v>98</v>
      </c>
      <c r="M23" s="337"/>
      <c r="O23" s="337"/>
      <c r="Q23" s="337"/>
      <c r="S23" s="337"/>
      <c r="T23" s="56">
        <v>1774151.84</v>
      </c>
      <c r="U23" s="56" t="s">
        <v>3045</v>
      </c>
      <c r="V23" s="56" t="s">
        <v>3068</v>
      </c>
      <c r="W23" s="56" t="s">
        <v>3069</v>
      </c>
    </row>
    <row r="24" spans="1:23" x14ac:dyDescent="0.3">
      <c r="A24" s="56" t="s">
        <v>45</v>
      </c>
      <c r="B24" s="56" t="s">
        <v>45</v>
      </c>
      <c r="C24" s="56" t="s">
        <v>314</v>
      </c>
      <c r="D24" s="56">
        <v>7</v>
      </c>
      <c r="E24" s="56">
        <v>66874228.240000002</v>
      </c>
      <c r="F24" s="56">
        <v>0.40360000000000001</v>
      </c>
      <c r="G24" s="247"/>
      <c r="H24" s="248"/>
      <c r="I24" s="56" t="s">
        <v>36</v>
      </c>
      <c r="J24" s="56" t="s">
        <v>97</v>
      </c>
      <c r="K24" s="56" t="s">
        <v>98</v>
      </c>
      <c r="L24" s="56">
        <v>314831.09999999998</v>
      </c>
      <c r="M24" s="337">
        <v>0.1049437</v>
      </c>
      <c r="N24" s="56">
        <v>314831.09999999998</v>
      </c>
      <c r="O24" s="337">
        <v>0.1049437</v>
      </c>
      <c r="Q24" s="337"/>
      <c r="S24" s="337"/>
      <c r="T24" s="56">
        <v>314831.09999999998</v>
      </c>
      <c r="U24" s="56" t="s">
        <v>2977</v>
      </c>
      <c r="V24" s="56" t="s">
        <v>2978</v>
      </c>
      <c r="W24" s="56" t="s">
        <v>2979</v>
      </c>
    </row>
    <row r="25" spans="1:23" x14ac:dyDescent="0.3">
      <c r="A25" s="56" t="s">
        <v>45</v>
      </c>
      <c r="B25" s="56" t="s">
        <v>45</v>
      </c>
      <c r="C25" s="56" t="s">
        <v>343</v>
      </c>
      <c r="D25" s="56">
        <v>5</v>
      </c>
      <c r="E25" s="56">
        <v>83749628</v>
      </c>
      <c r="F25" s="56">
        <v>0.50549999999999995</v>
      </c>
      <c r="G25" s="247"/>
      <c r="H25" s="248"/>
      <c r="I25" s="56" t="s">
        <v>36</v>
      </c>
      <c r="J25" s="56" t="s">
        <v>97</v>
      </c>
      <c r="K25" s="56" t="s">
        <v>98</v>
      </c>
      <c r="L25" s="56">
        <v>691035.23</v>
      </c>
      <c r="M25" s="337">
        <v>9.8719318571428571E-2</v>
      </c>
      <c r="O25" s="337"/>
      <c r="Q25" s="337"/>
      <c r="S25" s="337"/>
      <c r="T25" s="56">
        <v>691035.23</v>
      </c>
      <c r="U25" s="56" t="s">
        <v>3327</v>
      </c>
      <c r="V25" s="56" t="s">
        <v>3340</v>
      </c>
      <c r="W25" s="56" t="s">
        <v>3341</v>
      </c>
    </row>
    <row r="26" spans="1:23" x14ac:dyDescent="0.3">
      <c r="A26" s="56" t="s">
        <v>45</v>
      </c>
      <c r="B26" s="56" t="s">
        <v>26</v>
      </c>
      <c r="C26" s="56" t="s">
        <v>312</v>
      </c>
      <c r="D26" s="56">
        <v>1</v>
      </c>
      <c r="E26" s="56">
        <v>19299402.359999999</v>
      </c>
      <c r="F26" s="56">
        <v>0.11650000000000001</v>
      </c>
      <c r="G26" s="247"/>
      <c r="H26" s="248"/>
      <c r="I26" s="56" t="s">
        <v>36</v>
      </c>
      <c r="J26" s="56" t="s">
        <v>97</v>
      </c>
      <c r="K26" s="56" t="s">
        <v>98</v>
      </c>
      <c r="M26" s="337"/>
      <c r="O26" s="337"/>
      <c r="Q26" s="337"/>
      <c r="S26" s="337"/>
      <c r="T26" s="56">
        <v>41543237.329999998</v>
      </c>
      <c r="U26" s="56" t="s">
        <v>3524</v>
      </c>
      <c r="V26" s="56" t="s">
        <v>3543</v>
      </c>
      <c r="W26" s="56" t="s">
        <v>3544</v>
      </c>
    </row>
    <row r="27" spans="1:23" x14ac:dyDescent="0.3">
      <c r="A27" s="56" t="s">
        <v>43</v>
      </c>
      <c r="B27" s="56" t="s">
        <v>338</v>
      </c>
      <c r="C27" s="56" t="s">
        <v>312</v>
      </c>
      <c r="D27" s="56">
        <v>21</v>
      </c>
      <c r="E27" s="56">
        <v>279150756.5</v>
      </c>
      <c r="F27" s="56">
        <v>1.6850000000000001</v>
      </c>
      <c r="G27" s="247"/>
      <c r="H27" s="248"/>
      <c r="I27" s="56" t="s">
        <v>36</v>
      </c>
      <c r="J27" s="56" t="s">
        <v>97</v>
      </c>
      <c r="K27" s="56" t="s">
        <v>98</v>
      </c>
      <c r="L27" s="56">
        <v>3411565.76</v>
      </c>
      <c r="M27" s="337">
        <v>0.28429714666666667</v>
      </c>
      <c r="N27" s="56">
        <v>3411565.76</v>
      </c>
      <c r="O27" s="337">
        <v>0.28429714666666667</v>
      </c>
      <c r="Q27" s="337"/>
      <c r="S27" s="337"/>
      <c r="T27" s="56">
        <v>3411565.76</v>
      </c>
      <c r="U27" s="56" t="s">
        <v>3460</v>
      </c>
      <c r="V27" s="56" t="s">
        <v>3477</v>
      </c>
      <c r="W27" s="56" t="s">
        <v>3478</v>
      </c>
    </row>
    <row r="28" spans="1:23" x14ac:dyDescent="0.3">
      <c r="A28" s="56" t="s">
        <v>43</v>
      </c>
      <c r="B28" s="56" t="s">
        <v>338</v>
      </c>
      <c r="C28" s="56" t="s">
        <v>313</v>
      </c>
      <c r="D28" s="56">
        <v>2</v>
      </c>
      <c r="E28" s="56">
        <v>47599635.43</v>
      </c>
      <c r="F28" s="56">
        <v>0.2873</v>
      </c>
      <c r="G28" s="247"/>
      <c r="H28" s="248"/>
      <c r="I28" s="56" t="s">
        <v>36</v>
      </c>
      <c r="J28" s="56" t="s">
        <v>97</v>
      </c>
      <c r="K28" s="56" t="s">
        <v>98</v>
      </c>
      <c r="L28" s="56">
        <v>2262576.9</v>
      </c>
      <c r="M28" s="337">
        <v>0.565644225</v>
      </c>
      <c r="N28" s="56">
        <v>2262576.9</v>
      </c>
      <c r="O28" s="337">
        <v>0.565644225</v>
      </c>
      <c r="P28" s="56">
        <v>2262576.9</v>
      </c>
      <c r="Q28" s="337">
        <v>0.565644225</v>
      </c>
      <c r="S28" s="337"/>
      <c r="T28" s="56">
        <v>2262576.9</v>
      </c>
      <c r="U28" s="56" t="s">
        <v>3632</v>
      </c>
      <c r="V28" s="56" t="s">
        <v>3634</v>
      </c>
      <c r="W28" s="56" t="s">
        <v>3635</v>
      </c>
    </row>
    <row r="29" spans="1:23" x14ac:dyDescent="0.3">
      <c r="A29" s="56" t="s">
        <v>43</v>
      </c>
      <c r="B29" s="56" t="s">
        <v>338</v>
      </c>
      <c r="C29" s="56" t="s">
        <v>343</v>
      </c>
      <c r="D29" s="56">
        <v>1</v>
      </c>
      <c r="E29" s="56">
        <v>8898075.0199999996</v>
      </c>
      <c r="F29" s="56">
        <v>5.3699999999999998E-2</v>
      </c>
      <c r="G29" s="247"/>
      <c r="H29" s="248"/>
      <c r="I29" s="56" t="s">
        <v>36</v>
      </c>
      <c r="J29" s="56" t="s">
        <v>97</v>
      </c>
      <c r="K29" s="56" t="s">
        <v>98</v>
      </c>
      <c r="M29" s="337"/>
      <c r="O29" s="337"/>
      <c r="Q29" s="337"/>
      <c r="S29" s="337"/>
      <c r="T29" s="56">
        <v>4744815.45</v>
      </c>
      <c r="U29" s="56" t="s">
        <v>3525</v>
      </c>
      <c r="V29" s="56" t="s">
        <v>3533</v>
      </c>
      <c r="W29" s="56" t="s">
        <v>3534</v>
      </c>
    </row>
    <row r="30" spans="1:23" x14ac:dyDescent="0.3">
      <c r="A30" s="56" t="s">
        <v>43</v>
      </c>
      <c r="B30" s="56" t="s">
        <v>26</v>
      </c>
      <c r="C30" s="56" t="s">
        <v>313</v>
      </c>
      <c r="D30" s="56">
        <v>1</v>
      </c>
      <c r="E30" s="56">
        <v>4626744.96</v>
      </c>
      <c r="F30" s="56">
        <v>2.7900000000000001E-2</v>
      </c>
      <c r="G30" s="247"/>
      <c r="H30" s="248"/>
      <c r="I30" s="56" t="s">
        <v>36</v>
      </c>
      <c r="J30" s="56" t="s">
        <v>97</v>
      </c>
      <c r="K30" s="56" t="s">
        <v>98</v>
      </c>
      <c r="L30" s="56">
        <v>2363969.98</v>
      </c>
      <c r="M30" s="337">
        <v>0.39399499666666671</v>
      </c>
      <c r="O30" s="337"/>
      <c r="Q30" s="337"/>
      <c r="S30" s="337"/>
      <c r="T30" s="56">
        <v>2363969.98</v>
      </c>
      <c r="U30" s="56" t="s">
        <v>4009</v>
      </c>
      <c r="V30" s="56" t="s">
        <v>4025</v>
      </c>
      <c r="W30" s="56" t="s">
        <v>4026</v>
      </c>
    </row>
    <row r="31" spans="1:23" x14ac:dyDescent="0.3">
      <c r="A31" s="56" t="s">
        <v>46</v>
      </c>
      <c r="B31" s="56" t="s">
        <v>46</v>
      </c>
      <c r="C31" s="56" t="s">
        <v>312</v>
      </c>
      <c r="D31" s="56">
        <v>8</v>
      </c>
      <c r="E31" s="56">
        <v>170683483.81</v>
      </c>
      <c r="F31" s="56">
        <v>1.0303</v>
      </c>
      <c r="G31" s="247"/>
      <c r="H31" s="248"/>
      <c r="I31" s="56" t="s">
        <v>36</v>
      </c>
      <c r="J31" s="56" t="s">
        <v>97</v>
      </c>
      <c r="K31" s="56" t="s">
        <v>98</v>
      </c>
      <c r="M31" s="337"/>
      <c r="O31" s="337"/>
      <c r="Q31" s="337"/>
      <c r="S31" s="337"/>
      <c r="T31" s="56">
        <v>1522487.75</v>
      </c>
      <c r="U31" s="56" t="s">
        <v>3978</v>
      </c>
      <c r="V31" s="56" t="s">
        <v>3979</v>
      </c>
      <c r="W31" s="56" t="s">
        <v>3980</v>
      </c>
    </row>
    <row r="32" spans="1:23" x14ac:dyDescent="0.3">
      <c r="A32" s="56" t="s">
        <v>46</v>
      </c>
      <c r="B32" s="56" t="s">
        <v>46</v>
      </c>
      <c r="C32" s="56" t="s">
        <v>313</v>
      </c>
      <c r="D32" s="56">
        <v>5</v>
      </c>
      <c r="E32" s="56">
        <v>34320702.530000001</v>
      </c>
      <c r="F32" s="56">
        <v>0.20710000000000001</v>
      </c>
      <c r="G32" s="247"/>
      <c r="H32" s="248"/>
      <c r="I32" s="56" t="s">
        <v>36</v>
      </c>
      <c r="J32" s="56" t="s">
        <v>97</v>
      </c>
      <c r="K32" s="56" t="s">
        <v>98</v>
      </c>
      <c r="M32" s="337"/>
      <c r="O32" s="337"/>
      <c r="Q32" s="337"/>
      <c r="S32" s="337"/>
      <c r="T32" s="56">
        <v>5600686.96</v>
      </c>
      <c r="U32" s="56" t="s">
        <v>4067</v>
      </c>
      <c r="V32" s="56" t="s">
        <v>4068</v>
      </c>
      <c r="W32" s="56" t="s">
        <v>4069</v>
      </c>
    </row>
    <row r="33" spans="1:23" x14ac:dyDescent="0.3">
      <c r="A33" s="56" t="s">
        <v>46</v>
      </c>
      <c r="B33" s="56" t="s">
        <v>46</v>
      </c>
      <c r="C33" s="56" t="s">
        <v>314</v>
      </c>
      <c r="D33" s="56">
        <v>4</v>
      </c>
      <c r="E33" s="56">
        <v>18369082</v>
      </c>
      <c r="F33" s="56">
        <v>0.1108</v>
      </c>
      <c r="G33" s="247"/>
      <c r="H33" s="248"/>
      <c r="I33" s="56" t="s">
        <v>36</v>
      </c>
      <c r="J33" s="56" t="s">
        <v>97</v>
      </c>
      <c r="K33" s="56" t="s">
        <v>98</v>
      </c>
      <c r="L33" s="56">
        <v>982297.53</v>
      </c>
      <c r="M33" s="337">
        <v>0.49114876499999999</v>
      </c>
      <c r="N33" s="56">
        <v>982297.53</v>
      </c>
      <c r="O33" s="337">
        <v>0.49114876499999999</v>
      </c>
      <c r="P33" s="56">
        <v>982297.53</v>
      </c>
      <c r="Q33" s="337">
        <v>0.49114876499999999</v>
      </c>
      <c r="S33" s="337"/>
      <c r="T33" s="56">
        <v>982297.53</v>
      </c>
      <c r="U33" s="56" t="s">
        <v>4279</v>
      </c>
      <c r="V33" s="56" t="s">
        <v>4303</v>
      </c>
      <c r="W33" s="56" t="s">
        <v>4304</v>
      </c>
    </row>
    <row r="34" spans="1:23" x14ac:dyDescent="0.3">
      <c r="A34" s="56" t="s">
        <v>46</v>
      </c>
      <c r="B34" s="56" t="s">
        <v>46</v>
      </c>
      <c r="C34" s="56" t="s">
        <v>4040</v>
      </c>
      <c r="D34" s="56">
        <v>1</v>
      </c>
      <c r="E34" s="56">
        <v>1250308.6100000001</v>
      </c>
      <c r="F34" s="56">
        <v>7.4999999999999997E-3</v>
      </c>
      <c r="G34" s="247"/>
      <c r="H34" s="248"/>
      <c r="I34" s="56" t="s">
        <v>36</v>
      </c>
      <c r="J34" s="56" t="s">
        <v>97</v>
      </c>
      <c r="K34" s="56" t="s">
        <v>98</v>
      </c>
      <c r="L34" s="56">
        <v>22031910.149999999</v>
      </c>
      <c r="M34" s="337">
        <v>0.55079775375000006</v>
      </c>
      <c r="O34" s="337"/>
      <c r="Q34" s="337"/>
      <c r="S34" s="337"/>
      <c r="T34" s="56">
        <v>22031910.149999999</v>
      </c>
      <c r="U34" s="56" t="s">
        <v>4498</v>
      </c>
      <c r="V34" s="56" t="s">
        <v>4513</v>
      </c>
      <c r="W34" s="56" t="s">
        <v>4514</v>
      </c>
    </row>
    <row r="35" spans="1:23" x14ac:dyDescent="0.3">
      <c r="A35" s="56" t="s">
        <v>42</v>
      </c>
      <c r="B35" s="56" t="s">
        <v>26</v>
      </c>
      <c r="C35" s="56" t="s">
        <v>313</v>
      </c>
      <c r="D35" s="56">
        <v>2</v>
      </c>
      <c r="E35" s="56">
        <v>16869343.699999999</v>
      </c>
      <c r="F35" s="56">
        <v>0.1018</v>
      </c>
      <c r="G35" s="247"/>
      <c r="H35" s="248"/>
      <c r="I35" s="56" t="s">
        <v>36</v>
      </c>
      <c r="J35" s="56" t="s">
        <v>97</v>
      </c>
      <c r="K35" s="56" t="s">
        <v>98</v>
      </c>
      <c r="M35" s="337"/>
      <c r="O35" s="337"/>
      <c r="Q35" s="337"/>
      <c r="S35" s="337"/>
      <c r="T35" s="56">
        <v>19610025.949999999</v>
      </c>
      <c r="U35" s="56" t="s">
        <v>4456</v>
      </c>
      <c r="V35" s="56" t="s">
        <v>4457</v>
      </c>
      <c r="W35" s="56" t="s">
        <v>4458</v>
      </c>
    </row>
    <row r="36" spans="1:23" x14ac:dyDescent="0.3">
      <c r="A36" s="56" t="s">
        <v>42</v>
      </c>
      <c r="B36" s="56" t="s">
        <v>26</v>
      </c>
      <c r="C36" s="56" t="s">
        <v>314</v>
      </c>
      <c r="D36" s="56">
        <v>1</v>
      </c>
      <c r="E36" s="56">
        <v>20686130.359999999</v>
      </c>
      <c r="F36" s="56">
        <v>0.12479999999999999</v>
      </c>
      <c r="G36" s="247"/>
      <c r="H36" s="248"/>
      <c r="I36" s="56" t="s">
        <v>36</v>
      </c>
      <c r="J36" s="56" t="s">
        <v>97</v>
      </c>
      <c r="K36" s="56" t="s">
        <v>98</v>
      </c>
      <c r="M36" s="337"/>
      <c r="O36" s="337"/>
      <c r="Q36" s="337"/>
      <c r="S36" s="337"/>
      <c r="T36" s="56">
        <v>3748152.05</v>
      </c>
      <c r="U36" s="56" t="s">
        <v>5487</v>
      </c>
      <c r="V36" s="56" t="s">
        <v>5694</v>
      </c>
      <c r="W36" s="56" t="s">
        <v>5488</v>
      </c>
    </row>
    <row r="37" spans="1:23" x14ac:dyDescent="0.3">
      <c r="A37" s="56" t="s">
        <v>42</v>
      </c>
      <c r="B37" s="56" t="s">
        <v>26</v>
      </c>
      <c r="C37" s="56" t="s">
        <v>343</v>
      </c>
      <c r="D37" s="56">
        <v>1</v>
      </c>
      <c r="E37" s="56">
        <v>3623553.87</v>
      </c>
      <c r="F37" s="56">
        <v>2.18E-2</v>
      </c>
      <c r="G37" s="247"/>
      <c r="H37" s="248"/>
      <c r="I37" s="56" t="s">
        <v>36</v>
      </c>
      <c r="J37" s="56" t="s">
        <v>97</v>
      </c>
      <c r="K37" s="56" t="s">
        <v>98</v>
      </c>
      <c r="M37" s="337"/>
      <c r="O37" s="337"/>
      <c r="Q37" s="337"/>
      <c r="S37" s="337"/>
      <c r="T37" s="56">
        <v>2234137.79</v>
      </c>
      <c r="U37" s="56" t="s">
        <v>5241</v>
      </c>
      <c r="V37" s="56" t="s">
        <v>5247</v>
      </c>
      <c r="W37" s="56" t="s">
        <v>5248</v>
      </c>
    </row>
    <row r="38" spans="1:23" x14ac:dyDescent="0.3">
      <c r="A38" s="56" t="s">
        <v>42</v>
      </c>
      <c r="B38" s="56" t="s">
        <v>1244</v>
      </c>
      <c r="C38" s="56" t="s">
        <v>312</v>
      </c>
      <c r="D38" s="56">
        <v>3</v>
      </c>
      <c r="E38" s="56">
        <v>55556900.240000002</v>
      </c>
      <c r="F38" s="56">
        <v>0.33529999999999999</v>
      </c>
      <c r="G38" s="247"/>
      <c r="H38" s="248"/>
      <c r="I38" s="56" t="s">
        <v>36</v>
      </c>
      <c r="J38" s="56" t="s">
        <v>97</v>
      </c>
      <c r="K38" s="56" t="s">
        <v>98</v>
      </c>
      <c r="M38" s="337"/>
      <c r="O38" s="337"/>
      <c r="Q38" s="337"/>
      <c r="S38" s="337"/>
      <c r="T38" s="56">
        <v>2020966.59</v>
      </c>
      <c r="U38" s="56" t="s">
        <v>5750</v>
      </c>
      <c r="V38" s="56" t="s">
        <v>5762</v>
      </c>
      <c r="W38" s="56" t="s">
        <v>5763</v>
      </c>
    </row>
    <row r="39" spans="1:23" x14ac:dyDescent="0.3">
      <c r="A39" s="56" t="s">
        <v>31</v>
      </c>
      <c r="B39" s="56" t="s">
        <v>298</v>
      </c>
      <c r="C39" s="56" t="s">
        <v>312</v>
      </c>
      <c r="D39" s="56">
        <v>2</v>
      </c>
      <c r="E39" s="56">
        <v>55164799.009999998</v>
      </c>
      <c r="F39" s="56">
        <v>0.33300000000000002</v>
      </c>
      <c r="G39" s="247"/>
      <c r="H39" s="248"/>
      <c r="I39" s="56" t="s">
        <v>36</v>
      </c>
      <c r="J39" s="56" t="s">
        <v>97</v>
      </c>
      <c r="K39" s="56" t="s">
        <v>3961</v>
      </c>
      <c r="M39" s="337"/>
      <c r="O39" s="337"/>
      <c r="Q39" s="337"/>
      <c r="S39" s="337"/>
      <c r="T39" s="56">
        <v>1214592.97</v>
      </c>
      <c r="U39" s="56" t="s">
        <v>3960</v>
      </c>
      <c r="V39" s="56" t="s">
        <v>3962</v>
      </c>
      <c r="W39" s="56" t="s">
        <v>3963</v>
      </c>
    </row>
    <row r="40" spans="1:23" x14ac:dyDescent="0.3">
      <c r="A40" s="56" t="s">
        <v>31</v>
      </c>
      <c r="B40" s="56" t="s">
        <v>1815</v>
      </c>
      <c r="C40" s="56" t="s">
        <v>312</v>
      </c>
      <c r="D40" s="56">
        <v>1</v>
      </c>
      <c r="E40" s="56">
        <v>27791794.84</v>
      </c>
      <c r="F40" s="56">
        <v>0.16769999999999999</v>
      </c>
      <c r="G40" s="247"/>
      <c r="H40" s="248"/>
      <c r="I40" s="56" t="s">
        <v>36</v>
      </c>
      <c r="J40" s="56" t="s">
        <v>1023</v>
      </c>
      <c r="K40" s="56" t="s">
        <v>4042</v>
      </c>
      <c r="M40" s="337"/>
      <c r="O40" s="337"/>
      <c r="Q40" s="337"/>
      <c r="S40" s="337"/>
      <c r="T40" s="56">
        <v>14098084.359999999</v>
      </c>
      <c r="U40" s="56" t="s">
        <v>478</v>
      </c>
      <c r="V40" s="56" t="s">
        <v>479</v>
      </c>
      <c r="W40" s="56" t="s">
        <v>480</v>
      </c>
    </row>
    <row r="41" spans="1:23" x14ac:dyDescent="0.3">
      <c r="A41" s="56" t="s">
        <v>31</v>
      </c>
      <c r="B41" s="56" t="s">
        <v>1815</v>
      </c>
      <c r="C41" s="56" t="s">
        <v>313</v>
      </c>
      <c r="D41" s="56">
        <v>1</v>
      </c>
      <c r="E41" s="56">
        <v>14805544.539999999</v>
      </c>
      <c r="F41" s="56">
        <v>8.9300000000000004E-2</v>
      </c>
      <c r="G41" s="247"/>
      <c r="H41" s="248"/>
      <c r="I41" s="56" t="s">
        <v>36</v>
      </c>
      <c r="J41" s="56" t="s">
        <v>1023</v>
      </c>
      <c r="K41" s="56" t="s">
        <v>4042</v>
      </c>
      <c r="M41" s="337"/>
      <c r="O41" s="337"/>
      <c r="Q41" s="337"/>
      <c r="S41" s="337"/>
      <c r="T41" s="56">
        <v>2365535.84</v>
      </c>
      <c r="U41" s="56" t="s">
        <v>2099</v>
      </c>
      <c r="V41" s="56" t="s">
        <v>2117</v>
      </c>
      <c r="W41" s="56" t="s">
        <v>2118</v>
      </c>
    </row>
    <row r="42" spans="1:23" x14ac:dyDescent="0.3">
      <c r="A42" s="56" t="s">
        <v>31</v>
      </c>
      <c r="B42" s="56" t="s">
        <v>509</v>
      </c>
      <c r="C42" s="56" t="s">
        <v>312</v>
      </c>
      <c r="D42" s="56">
        <v>2</v>
      </c>
      <c r="E42" s="56">
        <v>26009931.620000001</v>
      </c>
      <c r="F42" s="56">
        <v>0.157</v>
      </c>
      <c r="G42" s="247"/>
      <c r="H42" s="248"/>
      <c r="I42" s="56" t="s">
        <v>36</v>
      </c>
      <c r="J42" s="56" t="s">
        <v>1023</v>
      </c>
      <c r="K42" s="56" t="s">
        <v>4042</v>
      </c>
      <c r="M42" s="337"/>
      <c r="O42" s="337"/>
      <c r="Q42" s="337"/>
      <c r="S42" s="337"/>
      <c r="T42" s="56">
        <v>5919991.9199999999</v>
      </c>
      <c r="U42" s="56" t="s">
        <v>2968</v>
      </c>
      <c r="V42" s="56" t="s">
        <v>2969</v>
      </c>
      <c r="W42" s="56" t="s">
        <v>2970</v>
      </c>
    </row>
    <row r="43" spans="1:23" x14ac:dyDescent="0.3">
      <c r="A43" s="56" t="s">
        <v>31</v>
      </c>
      <c r="B43" s="56" t="s">
        <v>509</v>
      </c>
      <c r="C43" s="56" t="s">
        <v>314</v>
      </c>
      <c r="D43" s="56">
        <v>1</v>
      </c>
      <c r="E43" s="56">
        <v>2360581.64</v>
      </c>
      <c r="F43" s="56">
        <v>1.4200000000000001E-2</v>
      </c>
      <c r="G43" s="247"/>
      <c r="H43" s="248"/>
      <c r="I43" s="56" t="s">
        <v>36</v>
      </c>
      <c r="J43" s="56" t="s">
        <v>1023</v>
      </c>
      <c r="K43" s="56" t="s">
        <v>4042</v>
      </c>
      <c r="L43" s="56">
        <v>23336195.68</v>
      </c>
      <c r="M43" s="337">
        <v>0.93344782720000008</v>
      </c>
      <c r="N43" s="56">
        <v>23336195.68</v>
      </c>
      <c r="O43" s="337">
        <v>0.93344782720000008</v>
      </c>
      <c r="P43" s="56">
        <v>23336195.68</v>
      </c>
      <c r="Q43" s="337">
        <v>0.93344782720000008</v>
      </c>
      <c r="S43" s="337"/>
      <c r="T43" s="56">
        <v>23336195.68</v>
      </c>
      <c r="U43" s="56" t="s">
        <v>4444</v>
      </c>
      <c r="V43" s="56" t="s">
        <v>4449</v>
      </c>
      <c r="W43" s="56" t="s">
        <v>4450</v>
      </c>
    </row>
    <row r="44" spans="1:23" x14ac:dyDescent="0.3">
      <c r="A44" s="56" t="s">
        <v>31</v>
      </c>
      <c r="B44" s="56" t="s">
        <v>509</v>
      </c>
      <c r="C44" s="56" t="s">
        <v>343</v>
      </c>
      <c r="D44" s="56">
        <v>1</v>
      </c>
      <c r="E44" s="56">
        <v>5400586.4299999997</v>
      </c>
      <c r="F44" s="56">
        <v>3.2599999999999997E-2</v>
      </c>
      <c r="G44" s="247"/>
      <c r="H44" s="248"/>
      <c r="I44" s="56" t="s">
        <v>36</v>
      </c>
      <c r="J44" s="56" t="s">
        <v>1023</v>
      </c>
      <c r="K44" s="56" t="s">
        <v>4042</v>
      </c>
      <c r="L44" s="56">
        <v>37358593.020000003</v>
      </c>
      <c r="M44" s="337">
        <v>0.67924714581818191</v>
      </c>
      <c r="O44" s="337"/>
      <c r="Q44" s="337"/>
      <c r="S44" s="337"/>
      <c r="T44" s="56">
        <v>37358593.020000003</v>
      </c>
      <c r="U44" s="56" t="s">
        <v>4277</v>
      </c>
      <c r="V44" s="56" t="s">
        <v>4298</v>
      </c>
      <c r="W44" s="56" t="s">
        <v>4299</v>
      </c>
    </row>
    <row r="45" spans="1:23" x14ac:dyDescent="0.3">
      <c r="A45" s="56" t="s">
        <v>31</v>
      </c>
      <c r="B45" s="56" t="s">
        <v>293</v>
      </c>
      <c r="C45" s="56" t="s">
        <v>312</v>
      </c>
      <c r="D45" s="56">
        <v>1</v>
      </c>
      <c r="E45" s="56">
        <v>28696864.579999998</v>
      </c>
      <c r="F45" s="56">
        <v>0.17319999999999999</v>
      </c>
      <c r="G45" s="247"/>
      <c r="H45" s="248"/>
      <c r="I45" s="56" t="s">
        <v>36</v>
      </c>
      <c r="J45" s="56" t="s">
        <v>1023</v>
      </c>
      <c r="K45" s="56" t="s">
        <v>1810</v>
      </c>
      <c r="M45" s="337"/>
      <c r="O45" s="337"/>
      <c r="Q45" s="337"/>
      <c r="S45" s="337"/>
      <c r="T45" s="56">
        <v>19500000</v>
      </c>
      <c r="U45" s="56" t="s">
        <v>2677</v>
      </c>
      <c r="V45" s="56" t="s">
        <v>2685</v>
      </c>
      <c r="W45" s="56" t="s">
        <v>2686</v>
      </c>
    </row>
    <row r="46" spans="1:23" x14ac:dyDescent="0.3">
      <c r="A46" s="56" t="s">
        <v>31</v>
      </c>
      <c r="B46" s="56" t="s">
        <v>293</v>
      </c>
      <c r="C46" s="56" t="s">
        <v>314</v>
      </c>
      <c r="D46" s="56">
        <v>1</v>
      </c>
      <c r="E46" s="56">
        <v>21578331.32</v>
      </c>
      <c r="F46" s="56">
        <v>0.13020000000000001</v>
      </c>
      <c r="G46" s="247"/>
      <c r="H46" s="248"/>
      <c r="I46" s="56" t="s">
        <v>36</v>
      </c>
      <c r="J46" s="56" t="s">
        <v>1023</v>
      </c>
      <c r="K46" s="56" t="s">
        <v>1810</v>
      </c>
      <c r="M46" s="337"/>
      <c r="O46" s="337"/>
      <c r="Q46" s="337"/>
      <c r="S46" s="337"/>
      <c r="T46" s="56">
        <v>14216871.66</v>
      </c>
      <c r="U46" s="56" t="s">
        <v>3020</v>
      </c>
      <c r="V46" s="56" t="s">
        <v>3029</v>
      </c>
      <c r="W46" s="56" t="s">
        <v>3030</v>
      </c>
    </row>
    <row r="47" spans="1:23" x14ac:dyDescent="0.3">
      <c r="A47" s="56" t="s">
        <v>31</v>
      </c>
      <c r="B47" s="56" t="s">
        <v>5390</v>
      </c>
      <c r="C47" s="56" t="s">
        <v>312</v>
      </c>
      <c r="D47" s="56">
        <v>1</v>
      </c>
      <c r="E47" s="56">
        <v>781983.27</v>
      </c>
      <c r="F47" s="56">
        <v>4.7000000000000002E-3</v>
      </c>
      <c r="G47" s="247"/>
      <c r="H47" s="248"/>
      <c r="I47" s="56" t="s">
        <v>36</v>
      </c>
      <c r="J47" s="56" t="s">
        <v>1023</v>
      </c>
      <c r="K47" s="56" t="s">
        <v>1810</v>
      </c>
      <c r="M47" s="337"/>
      <c r="O47" s="337"/>
      <c r="Q47" s="337"/>
      <c r="S47" s="337"/>
      <c r="T47" s="56">
        <v>2978850.4</v>
      </c>
      <c r="U47" s="56" t="s">
        <v>5150</v>
      </c>
      <c r="V47" s="56" t="s">
        <v>5158</v>
      </c>
      <c r="W47" s="56" t="s">
        <v>5159</v>
      </c>
    </row>
    <row r="48" spans="1:23" x14ac:dyDescent="0.3">
      <c r="A48" s="56" t="s">
        <v>31</v>
      </c>
      <c r="B48" s="56" t="s">
        <v>416</v>
      </c>
      <c r="C48" s="56" t="s">
        <v>313</v>
      </c>
      <c r="D48" s="56">
        <v>1</v>
      </c>
      <c r="E48" s="56">
        <v>52485275.039999999</v>
      </c>
      <c r="F48" s="56">
        <v>0.31680000000000003</v>
      </c>
      <c r="G48" s="247"/>
      <c r="H48" s="248"/>
      <c r="I48" s="56" t="s">
        <v>36</v>
      </c>
      <c r="J48" s="56" t="s">
        <v>1023</v>
      </c>
      <c r="K48" s="56" t="s">
        <v>26</v>
      </c>
      <c r="L48" s="56">
        <v>1913905.56</v>
      </c>
      <c r="M48" s="337">
        <v>0.47847639000000003</v>
      </c>
      <c r="N48" s="56">
        <v>1913905.56</v>
      </c>
      <c r="O48" s="337">
        <v>0.47847639000000003</v>
      </c>
      <c r="Q48" s="337"/>
      <c r="S48" s="337"/>
      <c r="T48" s="56">
        <v>1913905.56</v>
      </c>
      <c r="U48" s="56" t="s">
        <v>4278</v>
      </c>
      <c r="V48" s="56" t="s">
        <v>4285</v>
      </c>
      <c r="W48" s="56" t="s">
        <v>4286</v>
      </c>
    </row>
    <row r="49" spans="1:23" x14ac:dyDescent="0.3">
      <c r="A49" s="56" t="s">
        <v>31</v>
      </c>
      <c r="B49" s="56" t="s">
        <v>416</v>
      </c>
      <c r="C49" s="56" t="s">
        <v>314</v>
      </c>
      <c r="D49" s="56">
        <v>1</v>
      </c>
      <c r="E49" s="56">
        <v>21707697.300000001</v>
      </c>
      <c r="F49" s="56">
        <v>0.13100000000000001</v>
      </c>
      <c r="G49" s="247"/>
      <c r="H49" s="248"/>
      <c r="I49" s="56" t="s">
        <v>36</v>
      </c>
      <c r="J49" s="56" t="s">
        <v>1023</v>
      </c>
      <c r="K49" s="56" t="s">
        <v>26</v>
      </c>
      <c r="M49" s="337"/>
      <c r="O49" s="337"/>
      <c r="Q49" s="337"/>
      <c r="S49" s="337"/>
      <c r="T49" s="56">
        <v>17831541.02</v>
      </c>
      <c r="U49" s="56" t="s">
        <v>2380</v>
      </c>
      <c r="V49" s="56" t="s">
        <v>2392</v>
      </c>
      <c r="W49" s="56" t="s">
        <v>2393</v>
      </c>
    </row>
    <row r="50" spans="1:23" x14ac:dyDescent="0.3">
      <c r="A50" s="56" t="s">
        <v>31</v>
      </c>
      <c r="B50" s="56" t="s">
        <v>26</v>
      </c>
      <c r="C50" s="56" t="s">
        <v>312</v>
      </c>
      <c r="D50" s="56">
        <v>1</v>
      </c>
      <c r="E50" s="56">
        <v>48956677.560000002</v>
      </c>
      <c r="F50" s="56">
        <v>0.29549999999999998</v>
      </c>
      <c r="G50" s="247"/>
      <c r="H50" s="248"/>
      <c r="I50" s="56" t="s">
        <v>36</v>
      </c>
      <c r="J50" s="56" t="s">
        <v>1023</v>
      </c>
      <c r="K50" s="56" t="s">
        <v>26</v>
      </c>
      <c r="L50" s="56">
        <v>1819804.94</v>
      </c>
      <c r="M50" s="337">
        <v>0.3033008233333333</v>
      </c>
      <c r="O50" s="337"/>
      <c r="Q50" s="337"/>
      <c r="S50" s="337"/>
      <c r="T50" s="56">
        <v>1819804.94</v>
      </c>
      <c r="U50" s="56" t="s">
        <v>4093</v>
      </c>
      <c r="V50" s="56" t="s">
        <v>4099</v>
      </c>
      <c r="W50" s="56" t="s">
        <v>4100</v>
      </c>
    </row>
    <row r="51" spans="1:23" x14ac:dyDescent="0.3">
      <c r="A51" s="56" t="s">
        <v>31</v>
      </c>
      <c r="B51" s="56" t="s">
        <v>26</v>
      </c>
      <c r="C51" s="56" t="s">
        <v>313</v>
      </c>
      <c r="D51" s="56">
        <v>1</v>
      </c>
      <c r="E51" s="56">
        <v>619690.30000000005</v>
      </c>
      <c r="F51" s="56">
        <v>3.7000000000000002E-3</v>
      </c>
      <c r="G51" s="247"/>
      <c r="H51" s="248"/>
      <c r="I51" s="56" t="s">
        <v>36</v>
      </c>
      <c r="J51" s="56" t="s">
        <v>1023</v>
      </c>
      <c r="K51" s="56" t="s">
        <v>26</v>
      </c>
      <c r="M51" s="337"/>
      <c r="O51" s="337"/>
      <c r="Q51" s="337"/>
      <c r="S51" s="337"/>
      <c r="T51" s="56">
        <v>8642335.6699999999</v>
      </c>
      <c r="U51" s="56" t="s">
        <v>4207</v>
      </c>
      <c r="V51" s="56" t="s">
        <v>4226</v>
      </c>
      <c r="W51" s="56" t="s">
        <v>4227</v>
      </c>
    </row>
    <row r="52" spans="1:23" x14ac:dyDescent="0.3">
      <c r="A52" s="56" t="s">
        <v>31</v>
      </c>
      <c r="B52" s="56" t="s">
        <v>2586</v>
      </c>
      <c r="C52" s="56" t="s">
        <v>314</v>
      </c>
      <c r="D52" s="56">
        <v>1</v>
      </c>
      <c r="E52" s="56">
        <v>14456376.6</v>
      </c>
      <c r="F52" s="56">
        <v>8.72E-2</v>
      </c>
      <c r="G52" s="247"/>
      <c r="H52" s="248"/>
      <c r="I52" s="56" t="s">
        <v>36</v>
      </c>
      <c r="J52" s="56" t="s">
        <v>3461</v>
      </c>
      <c r="K52" s="56" t="s">
        <v>3462</v>
      </c>
      <c r="M52" s="337"/>
      <c r="O52" s="337"/>
      <c r="Q52" s="337"/>
      <c r="S52" s="337"/>
      <c r="T52" s="56">
        <v>43867352.810000002</v>
      </c>
      <c r="U52" s="56" t="s">
        <v>1022</v>
      </c>
      <c r="V52" s="56" t="s">
        <v>1025</v>
      </c>
      <c r="W52" s="56" t="s">
        <v>1026</v>
      </c>
    </row>
    <row r="53" spans="1:23" x14ac:dyDescent="0.3">
      <c r="A53" s="56" t="s">
        <v>31</v>
      </c>
      <c r="B53" s="56" t="s">
        <v>5187</v>
      </c>
      <c r="C53" s="56" t="s">
        <v>312</v>
      </c>
      <c r="D53" s="56">
        <v>1</v>
      </c>
      <c r="E53" s="56">
        <v>5179992.92</v>
      </c>
      <c r="F53" s="56">
        <v>3.1199999999999999E-2</v>
      </c>
      <c r="G53" s="247"/>
      <c r="H53" s="248"/>
      <c r="I53" s="56" t="s">
        <v>36</v>
      </c>
      <c r="J53" s="56" t="s">
        <v>118</v>
      </c>
      <c r="K53" s="56" t="s">
        <v>119</v>
      </c>
      <c r="L53" s="56">
        <v>1419397.29</v>
      </c>
      <c r="M53" s="337">
        <v>0.20277104142857141</v>
      </c>
      <c r="O53" s="337"/>
      <c r="Q53" s="337"/>
      <c r="S53" s="337"/>
      <c r="T53" s="56">
        <v>1419397.29</v>
      </c>
      <c r="U53" s="56" t="s">
        <v>651</v>
      </c>
      <c r="V53" s="56" t="s">
        <v>652</v>
      </c>
      <c r="W53" s="56" t="s">
        <v>653</v>
      </c>
    </row>
    <row r="54" spans="1:23" x14ac:dyDescent="0.3">
      <c r="A54" s="56" t="s">
        <v>31</v>
      </c>
      <c r="B54" s="56" t="s">
        <v>4416</v>
      </c>
      <c r="C54" s="56" t="s">
        <v>313</v>
      </c>
      <c r="D54" s="56">
        <v>1</v>
      </c>
      <c r="E54" s="56">
        <v>1362114.19</v>
      </c>
      <c r="F54" s="56">
        <v>8.2000000000000007E-3</v>
      </c>
      <c r="G54" s="247"/>
      <c r="H54" s="248"/>
      <c r="I54" s="56" t="s">
        <v>36</v>
      </c>
      <c r="J54" s="56" t="s">
        <v>118</v>
      </c>
      <c r="K54" s="56" t="s">
        <v>119</v>
      </c>
      <c r="L54" s="56">
        <v>3603961.3</v>
      </c>
      <c r="M54" s="337">
        <v>0.11441146984126983</v>
      </c>
      <c r="O54" s="337"/>
      <c r="Q54" s="337"/>
      <c r="S54" s="337"/>
      <c r="T54" s="56">
        <v>3603961.3</v>
      </c>
      <c r="U54" s="56" t="s">
        <v>802</v>
      </c>
      <c r="V54" s="56" t="s">
        <v>803</v>
      </c>
      <c r="W54" s="56" t="s">
        <v>804</v>
      </c>
    </row>
    <row r="55" spans="1:23" x14ac:dyDescent="0.3">
      <c r="A55" s="56" t="s">
        <v>31</v>
      </c>
      <c r="B55" s="56" t="s">
        <v>2309</v>
      </c>
      <c r="C55" s="56" t="s">
        <v>312</v>
      </c>
      <c r="D55" s="56">
        <v>1</v>
      </c>
      <c r="E55" s="56">
        <v>2345949.7799999998</v>
      </c>
      <c r="F55" s="56">
        <v>1.41E-2</v>
      </c>
      <c r="G55" s="247"/>
      <c r="H55" s="248"/>
      <c r="I55" s="56" t="s">
        <v>36</v>
      </c>
      <c r="J55" s="56" t="s">
        <v>118</v>
      </c>
      <c r="K55" s="56" t="s">
        <v>119</v>
      </c>
      <c r="M55" s="337"/>
      <c r="O55" s="337"/>
      <c r="Q55" s="337"/>
      <c r="S55" s="337"/>
      <c r="T55" s="56">
        <v>3991423.86</v>
      </c>
      <c r="U55" s="56" t="s">
        <v>5122</v>
      </c>
      <c r="V55" s="56" t="s">
        <v>5130</v>
      </c>
      <c r="W55" s="56" t="s">
        <v>5131</v>
      </c>
    </row>
    <row r="56" spans="1:23" x14ac:dyDescent="0.3">
      <c r="A56" s="56" t="s">
        <v>31</v>
      </c>
      <c r="B56" s="56" t="s">
        <v>2309</v>
      </c>
      <c r="C56" s="56" t="s">
        <v>314</v>
      </c>
      <c r="D56" s="56">
        <v>1</v>
      </c>
      <c r="E56" s="56">
        <v>5113650.09</v>
      </c>
      <c r="F56" s="56">
        <v>3.0800000000000001E-2</v>
      </c>
      <c r="G56" s="247"/>
      <c r="H56" s="248"/>
      <c r="I56" s="56" t="s">
        <v>36</v>
      </c>
      <c r="J56" s="56" t="s">
        <v>118</v>
      </c>
      <c r="K56" s="56" t="s">
        <v>119</v>
      </c>
      <c r="M56" s="337"/>
      <c r="O56" s="337"/>
      <c r="Q56" s="337"/>
      <c r="S56" s="337"/>
      <c r="T56" s="56">
        <v>1232210.03</v>
      </c>
      <c r="U56" s="56" t="s">
        <v>3886</v>
      </c>
      <c r="V56" s="56" t="s">
        <v>3894</v>
      </c>
      <c r="W56" s="56" t="s">
        <v>3895</v>
      </c>
    </row>
    <row r="57" spans="1:23" x14ac:dyDescent="0.3">
      <c r="A57" s="56" t="s">
        <v>41</v>
      </c>
      <c r="B57" s="56" t="s">
        <v>1189</v>
      </c>
      <c r="C57" s="56" t="s">
        <v>312</v>
      </c>
      <c r="D57" s="56">
        <v>2</v>
      </c>
      <c r="E57" s="56">
        <v>67208602.450000003</v>
      </c>
      <c r="F57" s="56">
        <v>0.40570000000000001</v>
      </c>
      <c r="G57" s="247"/>
      <c r="H57" s="248"/>
      <c r="I57" s="56" t="s">
        <v>36</v>
      </c>
      <c r="J57" s="56" t="s">
        <v>118</v>
      </c>
      <c r="K57" s="56" t="s">
        <v>119</v>
      </c>
      <c r="M57" s="337"/>
      <c r="O57" s="337"/>
      <c r="Q57" s="337"/>
      <c r="S57" s="337"/>
      <c r="T57" s="56">
        <v>17000000</v>
      </c>
      <c r="U57" s="56" t="s">
        <v>4546</v>
      </c>
      <c r="V57" s="56" t="s">
        <v>4552</v>
      </c>
      <c r="W57" s="56" t="s">
        <v>4553</v>
      </c>
    </row>
    <row r="58" spans="1:23" x14ac:dyDescent="0.3">
      <c r="A58" s="56" t="s">
        <v>28</v>
      </c>
      <c r="B58" s="56" t="s">
        <v>26</v>
      </c>
      <c r="C58" s="56" t="s">
        <v>312</v>
      </c>
      <c r="D58" s="56">
        <v>11</v>
      </c>
      <c r="E58" s="56">
        <v>56937868.289999999</v>
      </c>
      <c r="F58" s="56">
        <v>0.34370000000000001</v>
      </c>
      <c r="G58" s="247"/>
      <c r="H58" s="248"/>
      <c r="I58" s="56" t="s">
        <v>36</v>
      </c>
      <c r="J58" s="56" t="s">
        <v>118</v>
      </c>
      <c r="K58" s="56" t="s">
        <v>119</v>
      </c>
      <c r="M58" s="337"/>
      <c r="O58" s="337"/>
      <c r="Q58" s="337"/>
      <c r="S58" s="337"/>
      <c r="T58" s="56">
        <v>1675849.05</v>
      </c>
      <c r="U58" s="56" t="s">
        <v>5101</v>
      </c>
      <c r="V58" s="56" t="s">
        <v>5106</v>
      </c>
      <c r="W58" s="56" t="s">
        <v>5107</v>
      </c>
    </row>
    <row r="59" spans="1:23" x14ac:dyDescent="0.3">
      <c r="A59" s="56" t="s">
        <v>28</v>
      </c>
      <c r="B59" s="56" t="s">
        <v>26</v>
      </c>
      <c r="C59" s="56" t="s">
        <v>313</v>
      </c>
      <c r="D59" s="56">
        <v>1</v>
      </c>
      <c r="E59" s="56">
        <v>10667138.1</v>
      </c>
      <c r="F59" s="56">
        <v>6.4299999999999996E-2</v>
      </c>
      <c r="G59" s="247"/>
      <c r="H59" s="248"/>
      <c r="I59" s="56" t="s">
        <v>36</v>
      </c>
      <c r="J59" s="56" t="s">
        <v>118</v>
      </c>
      <c r="K59" s="56" t="s">
        <v>119</v>
      </c>
      <c r="L59" s="56">
        <v>1391087.38</v>
      </c>
      <c r="M59" s="337">
        <v>0.69554369000000005</v>
      </c>
      <c r="O59" s="337"/>
      <c r="Q59" s="337"/>
      <c r="S59" s="337"/>
      <c r="T59" s="56">
        <v>1391087.38</v>
      </c>
      <c r="U59" s="56" t="s">
        <v>5173</v>
      </c>
      <c r="V59" s="56" t="s">
        <v>5178</v>
      </c>
      <c r="W59" s="56" t="s">
        <v>5179</v>
      </c>
    </row>
    <row r="60" spans="1:23" x14ac:dyDescent="0.3">
      <c r="A60" s="56" t="s">
        <v>28</v>
      </c>
      <c r="B60" s="56" t="s">
        <v>26</v>
      </c>
      <c r="C60" s="56" t="s">
        <v>314</v>
      </c>
      <c r="D60" s="56">
        <v>1</v>
      </c>
      <c r="E60" s="56">
        <v>8344405.3499999996</v>
      </c>
      <c r="F60" s="56">
        <v>5.0299999999999997E-2</v>
      </c>
      <c r="G60" s="247"/>
      <c r="H60" s="248"/>
      <c r="I60" s="56" t="s">
        <v>36</v>
      </c>
      <c r="J60" s="56" t="s">
        <v>26</v>
      </c>
      <c r="K60" s="56" t="s">
        <v>26</v>
      </c>
      <c r="M60" s="337"/>
      <c r="O60" s="337"/>
      <c r="Q60" s="337"/>
      <c r="S60" s="337"/>
      <c r="T60" s="56">
        <v>9848596</v>
      </c>
      <c r="U60" s="56" t="s">
        <v>3425</v>
      </c>
      <c r="V60" s="56" t="s">
        <v>3430</v>
      </c>
      <c r="W60" s="56" t="s">
        <v>3431</v>
      </c>
    </row>
    <row r="61" spans="1:23" x14ac:dyDescent="0.3">
      <c r="A61" s="56" t="s">
        <v>28</v>
      </c>
      <c r="B61" s="56" t="s">
        <v>108</v>
      </c>
      <c r="C61" s="56" t="s">
        <v>312</v>
      </c>
      <c r="D61" s="56">
        <v>12</v>
      </c>
      <c r="E61" s="56">
        <v>26974016.739999998</v>
      </c>
      <c r="F61" s="56">
        <v>0.1628</v>
      </c>
      <c r="G61" s="247"/>
      <c r="H61" s="248"/>
      <c r="I61" s="56" t="s">
        <v>36</v>
      </c>
      <c r="J61" s="56" t="s">
        <v>26</v>
      </c>
      <c r="K61" s="56" t="s">
        <v>26</v>
      </c>
      <c r="L61" s="56">
        <v>27690200.07</v>
      </c>
      <c r="M61" s="337">
        <v>0.79114857342857137</v>
      </c>
      <c r="O61" s="337"/>
      <c r="Q61" s="337"/>
      <c r="S61" s="337"/>
      <c r="T61" s="56">
        <v>27690200.07</v>
      </c>
      <c r="U61" s="56" t="s">
        <v>4174</v>
      </c>
      <c r="V61" s="56" t="s">
        <v>4176</v>
      </c>
      <c r="W61" s="56" t="s">
        <v>4177</v>
      </c>
    </row>
    <row r="62" spans="1:23" x14ac:dyDescent="0.3">
      <c r="A62" s="56" t="s">
        <v>28</v>
      </c>
      <c r="B62" s="56" t="s">
        <v>755</v>
      </c>
      <c r="C62" s="56" t="s">
        <v>313</v>
      </c>
      <c r="D62" s="56">
        <v>1</v>
      </c>
      <c r="E62" s="56">
        <v>3431151.96</v>
      </c>
      <c r="F62" s="56">
        <v>2.07E-2</v>
      </c>
      <c r="G62" s="247"/>
      <c r="H62" s="248"/>
      <c r="I62" s="56" t="s">
        <v>35</v>
      </c>
      <c r="J62" s="56" t="s">
        <v>121</v>
      </c>
      <c r="K62" s="56" t="s">
        <v>299</v>
      </c>
      <c r="L62" s="56">
        <v>4124940.56</v>
      </c>
      <c r="M62" s="337">
        <v>8.1359774358974346E-2</v>
      </c>
      <c r="N62" s="56">
        <v>4124940.56</v>
      </c>
      <c r="O62" s="337">
        <v>8.1359774358974346E-2</v>
      </c>
      <c r="P62" s="56">
        <v>4124940.56</v>
      </c>
      <c r="Q62" s="337">
        <v>8.1359774358974346E-2</v>
      </c>
      <c r="S62" s="337"/>
      <c r="T62" s="56">
        <v>4124940.56</v>
      </c>
      <c r="U62" s="56" t="s">
        <v>144</v>
      </c>
      <c r="V62" s="56" t="s">
        <v>145</v>
      </c>
      <c r="W62" s="56" t="s">
        <v>146</v>
      </c>
    </row>
    <row r="63" spans="1:23" x14ac:dyDescent="0.3">
      <c r="A63" s="56" t="s">
        <v>44</v>
      </c>
      <c r="B63" s="56" t="s">
        <v>26</v>
      </c>
      <c r="C63" s="56" t="s">
        <v>312</v>
      </c>
      <c r="D63" s="56">
        <v>7</v>
      </c>
      <c r="E63" s="56">
        <v>58451033.57</v>
      </c>
      <c r="F63" s="56">
        <v>0.3528</v>
      </c>
      <c r="G63" s="247"/>
      <c r="H63" s="248"/>
      <c r="I63" s="56" t="s">
        <v>35</v>
      </c>
      <c r="J63" s="56" t="s">
        <v>121</v>
      </c>
      <c r="K63" s="56" t="s">
        <v>299</v>
      </c>
      <c r="L63" s="56">
        <v>3959509.52</v>
      </c>
      <c r="M63" s="337">
        <v>0.56564421714285706</v>
      </c>
      <c r="O63" s="337"/>
      <c r="Q63" s="337"/>
      <c r="S63" s="337"/>
      <c r="T63" s="56">
        <v>3959509.52</v>
      </c>
      <c r="U63" s="56" t="s">
        <v>4535</v>
      </c>
      <c r="V63" s="56" t="s">
        <v>4541</v>
      </c>
      <c r="W63" s="56" t="s">
        <v>4542</v>
      </c>
    </row>
    <row r="64" spans="1:23" x14ac:dyDescent="0.3">
      <c r="A64" s="56" t="s">
        <v>44</v>
      </c>
      <c r="B64" s="56" t="s">
        <v>26</v>
      </c>
      <c r="C64" s="56" t="s">
        <v>313</v>
      </c>
      <c r="D64" s="56">
        <v>1</v>
      </c>
      <c r="E64" s="56">
        <v>28100045.739999998</v>
      </c>
      <c r="F64" s="56">
        <v>0.1696</v>
      </c>
      <c r="G64" s="247"/>
      <c r="H64" s="248"/>
      <c r="I64" s="56" t="s">
        <v>35</v>
      </c>
      <c r="J64" s="56" t="s">
        <v>121</v>
      </c>
      <c r="K64" s="56" t="s">
        <v>299</v>
      </c>
      <c r="L64" s="56">
        <v>35619244.359999999</v>
      </c>
      <c r="M64" s="337">
        <v>0.79975347581311862</v>
      </c>
      <c r="O64" s="337"/>
      <c r="Q64" s="337"/>
      <c r="S64" s="337"/>
      <c r="T64" s="56">
        <v>35619244.359999999</v>
      </c>
      <c r="U64" s="56" t="s">
        <v>2036</v>
      </c>
      <c r="V64" s="56" t="s">
        <v>2047</v>
      </c>
      <c r="W64" s="56" t="s">
        <v>1278</v>
      </c>
    </row>
    <row r="65" spans="1:23" x14ac:dyDescent="0.3">
      <c r="A65" s="56" t="s">
        <v>44</v>
      </c>
      <c r="B65" s="56" t="s">
        <v>26</v>
      </c>
      <c r="C65" s="56" t="s">
        <v>343</v>
      </c>
      <c r="D65" s="56">
        <v>1</v>
      </c>
      <c r="E65" s="56">
        <v>5259874.79</v>
      </c>
      <c r="F65" s="56">
        <v>3.1699999999999999E-2</v>
      </c>
      <c r="G65" s="247"/>
      <c r="H65" s="248"/>
      <c r="I65" s="56" t="s">
        <v>35</v>
      </c>
      <c r="J65" s="56" t="s">
        <v>121</v>
      </c>
      <c r="K65" s="56" t="s">
        <v>26</v>
      </c>
      <c r="M65" s="337"/>
      <c r="O65" s="337"/>
      <c r="Q65" s="337"/>
      <c r="S65" s="337"/>
      <c r="T65" s="56">
        <v>38769731.990000002</v>
      </c>
      <c r="U65" s="56" t="s">
        <v>230</v>
      </c>
      <c r="V65" s="56" t="s">
        <v>231</v>
      </c>
      <c r="W65" s="56" t="s">
        <v>232</v>
      </c>
    </row>
    <row r="66" spans="1:23" x14ac:dyDescent="0.3">
      <c r="A66" s="56" t="s">
        <v>44</v>
      </c>
      <c r="B66" s="56" t="s">
        <v>92</v>
      </c>
      <c r="C66" s="56" t="s">
        <v>312</v>
      </c>
      <c r="D66" s="56">
        <v>41</v>
      </c>
      <c r="E66" s="56">
        <v>658438652.54999995</v>
      </c>
      <c r="F66" s="56">
        <v>3.9746000000000001</v>
      </c>
      <c r="G66" s="247"/>
      <c r="H66" s="248"/>
      <c r="I66" s="56" t="s">
        <v>35</v>
      </c>
      <c r="J66" s="56" t="s">
        <v>121</v>
      </c>
      <c r="K66" s="56" t="s">
        <v>26</v>
      </c>
      <c r="L66" s="56">
        <v>55626405.399999999</v>
      </c>
      <c r="M66" s="337">
        <v>0.85579085230769225</v>
      </c>
      <c r="O66" s="337"/>
      <c r="Q66" s="337"/>
      <c r="S66" s="337"/>
      <c r="T66" s="56">
        <v>55626405.399999999</v>
      </c>
      <c r="U66" s="56" t="s">
        <v>579</v>
      </c>
      <c r="V66" s="56" t="s">
        <v>584</v>
      </c>
      <c r="W66" s="56" t="s">
        <v>585</v>
      </c>
    </row>
    <row r="67" spans="1:23" x14ac:dyDescent="0.3">
      <c r="A67" s="56" t="s">
        <v>44</v>
      </c>
      <c r="B67" s="56" t="s">
        <v>92</v>
      </c>
      <c r="C67" s="56" t="s">
        <v>313</v>
      </c>
      <c r="D67" s="56">
        <v>17</v>
      </c>
      <c r="E67" s="56">
        <v>317872358.19</v>
      </c>
      <c r="F67" s="56">
        <v>1.9188000000000001</v>
      </c>
      <c r="G67" s="247"/>
      <c r="H67" s="248"/>
      <c r="I67" s="56" t="s">
        <v>35</v>
      </c>
      <c r="J67" s="56" t="s">
        <v>121</v>
      </c>
      <c r="K67" s="56" t="s">
        <v>26</v>
      </c>
      <c r="L67" s="56">
        <v>37211861.189999998</v>
      </c>
      <c r="M67" s="337">
        <v>0.51891000915012775</v>
      </c>
      <c r="N67" s="56">
        <v>37211861.189999998</v>
      </c>
      <c r="O67" s="337">
        <v>0.51891000915012775</v>
      </c>
      <c r="Q67" s="337"/>
      <c r="S67" s="337"/>
      <c r="T67" s="56">
        <v>37211861.189999998</v>
      </c>
      <c r="U67" s="56" t="s">
        <v>1151</v>
      </c>
      <c r="V67" s="56" t="s">
        <v>1152</v>
      </c>
      <c r="W67" s="56" t="s">
        <v>1153</v>
      </c>
    </row>
    <row r="68" spans="1:23" x14ac:dyDescent="0.3">
      <c r="A68" s="56" t="s">
        <v>44</v>
      </c>
      <c r="B68" s="56" t="s">
        <v>92</v>
      </c>
      <c r="C68" s="56" t="s">
        <v>314</v>
      </c>
      <c r="D68" s="56">
        <v>13</v>
      </c>
      <c r="E68" s="56">
        <v>127577969.04000001</v>
      </c>
      <c r="F68" s="56">
        <v>0.77010000000000001</v>
      </c>
      <c r="G68" s="247"/>
      <c r="H68" s="248"/>
      <c r="I68" s="56" t="s">
        <v>35</v>
      </c>
      <c r="J68" s="56" t="s">
        <v>121</v>
      </c>
      <c r="K68" s="56" t="s">
        <v>26</v>
      </c>
      <c r="M68" s="337"/>
      <c r="O68" s="337"/>
      <c r="Q68" s="337"/>
      <c r="S68" s="337"/>
      <c r="T68" s="56">
        <v>15849705.220000001</v>
      </c>
      <c r="U68" s="56" t="s">
        <v>1301</v>
      </c>
      <c r="V68" s="56" t="s">
        <v>1302</v>
      </c>
      <c r="W68" s="56" t="s">
        <v>1303</v>
      </c>
    </row>
    <row r="69" spans="1:23" x14ac:dyDescent="0.3">
      <c r="A69" s="56" t="s">
        <v>44</v>
      </c>
      <c r="B69" s="56" t="s">
        <v>92</v>
      </c>
      <c r="C69" s="56" t="s">
        <v>343</v>
      </c>
      <c r="D69" s="56">
        <v>4</v>
      </c>
      <c r="E69" s="56">
        <v>73302109.790000007</v>
      </c>
      <c r="F69" s="56">
        <v>0.44240000000000002</v>
      </c>
      <c r="G69" s="247"/>
      <c r="H69" s="248"/>
      <c r="I69" s="56" t="s">
        <v>35</v>
      </c>
      <c r="J69" s="56" t="s">
        <v>121</v>
      </c>
      <c r="K69" s="56" t="s">
        <v>26</v>
      </c>
      <c r="L69" s="56">
        <v>4600869.3899999997</v>
      </c>
      <c r="M69" s="337">
        <v>0.46008693900000003</v>
      </c>
      <c r="O69" s="337"/>
      <c r="Q69" s="337"/>
      <c r="S69" s="337"/>
      <c r="T69" s="56">
        <v>4600869.3899999997</v>
      </c>
      <c r="U69" s="56" t="s">
        <v>1608</v>
      </c>
      <c r="V69" s="56" t="s">
        <v>1628</v>
      </c>
      <c r="W69" s="56" t="s">
        <v>1629</v>
      </c>
    </row>
    <row r="70" spans="1:23" x14ac:dyDescent="0.3">
      <c r="A70" s="56" t="s">
        <v>44</v>
      </c>
      <c r="B70" s="56" t="s">
        <v>92</v>
      </c>
      <c r="C70" s="56" t="s">
        <v>4040</v>
      </c>
      <c r="D70" s="56">
        <v>2</v>
      </c>
      <c r="E70" s="56">
        <v>1436657.76</v>
      </c>
      <c r="F70" s="56">
        <v>8.6E-3</v>
      </c>
      <c r="G70" s="247"/>
      <c r="H70" s="248"/>
      <c r="I70" s="56" t="s">
        <v>35</v>
      </c>
      <c r="J70" s="56" t="s">
        <v>121</v>
      </c>
      <c r="K70" s="56" t="s">
        <v>26</v>
      </c>
      <c r="L70" s="56">
        <v>22992719.140000001</v>
      </c>
      <c r="M70" s="337">
        <v>0.74170061741935489</v>
      </c>
      <c r="O70" s="337"/>
      <c r="Q70" s="337"/>
      <c r="S70" s="337"/>
      <c r="T70" s="56">
        <v>22992719.140000001</v>
      </c>
      <c r="U70" s="56" t="s">
        <v>2124</v>
      </c>
      <c r="V70" s="56" t="s">
        <v>2126</v>
      </c>
      <c r="W70" s="56" t="s">
        <v>2127</v>
      </c>
    </row>
    <row r="71" spans="1:23" x14ac:dyDescent="0.3">
      <c r="A71" s="56" t="s">
        <v>44</v>
      </c>
      <c r="B71" s="56" t="s">
        <v>75</v>
      </c>
      <c r="C71" s="56" t="s">
        <v>312</v>
      </c>
      <c r="D71" s="56">
        <v>145</v>
      </c>
      <c r="E71" s="56">
        <v>2089010806.1600001</v>
      </c>
      <c r="F71" s="56">
        <v>12.610200000000001</v>
      </c>
      <c r="G71" s="247"/>
      <c r="H71" s="248"/>
      <c r="I71" s="56" t="s">
        <v>35</v>
      </c>
      <c r="J71" s="56" t="s">
        <v>121</v>
      </c>
      <c r="K71" s="56" t="s">
        <v>26</v>
      </c>
      <c r="L71" s="56">
        <v>622995.24</v>
      </c>
      <c r="M71" s="337">
        <v>0.10383254</v>
      </c>
      <c r="N71" s="56">
        <v>622995.24</v>
      </c>
      <c r="O71" s="337">
        <v>0.10383254</v>
      </c>
      <c r="P71" s="56">
        <v>622995.24</v>
      </c>
      <c r="Q71" s="337">
        <v>0.10383254</v>
      </c>
      <c r="S71" s="337"/>
      <c r="T71" s="56">
        <v>622995.24</v>
      </c>
      <c r="U71" s="56" t="s">
        <v>2227</v>
      </c>
      <c r="V71" s="56" t="s">
        <v>2228</v>
      </c>
      <c r="W71" s="56" t="s">
        <v>2229</v>
      </c>
    </row>
    <row r="72" spans="1:23" x14ac:dyDescent="0.3">
      <c r="A72" s="56" t="s">
        <v>44</v>
      </c>
      <c r="B72" s="56" t="s">
        <v>75</v>
      </c>
      <c r="C72" s="56" t="s">
        <v>313</v>
      </c>
      <c r="D72" s="56">
        <v>91</v>
      </c>
      <c r="E72" s="56">
        <v>1359882667.77</v>
      </c>
      <c r="F72" s="56">
        <v>8.2088000000000001</v>
      </c>
      <c r="G72" s="247"/>
      <c r="H72" s="248"/>
      <c r="I72" s="56" t="s">
        <v>35</v>
      </c>
      <c r="J72" s="56" t="s">
        <v>121</v>
      </c>
      <c r="K72" s="56" t="s">
        <v>26</v>
      </c>
      <c r="M72" s="337"/>
      <c r="O72" s="337"/>
      <c r="Q72" s="337"/>
      <c r="S72" s="337"/>
      <c r="T72" s="56">
        <v>2371756.7400000002</v>
      </c>
      <c r="U72" s="56" t="s">
        <v>4499</v>
      </c>
      <c r="V72" s="56" t="s">
        <v>4516</v>
      </c>
      <c r="W72" s="56" t="s">
        <v>4517</v>
      </c>
    </row>
    <row r="73" spans="1:23" x14ac:dyDescent="0.3">
      <c r="A73" s="56" t="s">
        <v>44</v>
      </c>
      <c r="B73" s="56" t="s">
        <v>75</v>
      </c>
      <c r="C73" s="56" t="s">
        <v>314</v>
      </c>
      <c r="D73" s="56">
        <v>26</v>
      </c>
      <c r="E73" s="56">
        <v>224611545.22999999</v>
      </c>
      <c r="F73" s="56">
        <v>1.3557999999999999</v>
      </c>
      <c r="G73" s="247"/>
      <c r="H73" s="248"/>
      <c r="I73" s="56" t="s">
        <v>35</v>
      </c>
      <c r="J73" s="56" t="s">
        <v>121</v>
      </c>
      <c r="K73" s="56" t="s">
        <v>26</v>
      </c>
      <c r="M73" s="337"/>
      <c r="O73" s="337"/>
      <c r="Q73" s="337"/>
      <c r="S73" s="337"/>
      <c r="T73" s="56">
        <v>1358912.85</v>
      </c>
      <c r="U73" s="56" t="s">
        <v>2517</v>
      </c>
      <c r="V73" s="56" t="s">
        <v>2522</v>
      </c>
      <c r="W73" s="56" t="s">
        <v>2523</v>
      </c>
    </row>
    <row r="74" spans="1:23" x14ac:dyDescent="0.3">
      <c r="A74" s="56" t="s">
        <v>44</v>
      </c>
      <c r="B74" s="56" t="s">
        <v>75</v>
      </c>
      <c r="C74" s="56" t="s">
        <v>343</v>
      </c>
      <c r="D74" s="56">
        <v>15</v>
      </c>
      <c r="E74" s="56">
        <v>62063879.780000001</v>
      </c>
      <c r="F74" s="56">
        <v>0.37459999999999999</v>
      </c>
      <c r="G74" s="247"/>
      <c r="H74" s="248"/>
      <c r="I74" s="56" t="s">
        <v>35</v>
      </c>
      <c r="J74" s="56" t="s">
        <v>121</v>
      </c>
      <c r="K74" s="56" t="s">
        <v>26</v>
      </c>
      <c r="M74" s="337"/>
      <c r="O74" s="337"/>
      <c r="Q74" s="337"/>
      <c r="S74" s="337"/>
      <c r="T74" s="56">
        <v>26082449.420000002</v>
      </c>
      <c r="U74" s="56" t="s">
        <v>4731</v>
      </c>
      <c r="V74" s="56" t="s">
        <v>4734</v>
      </c>
      <c r="W74" s="56" t="s">
        <v>4735</v>
      </c>
    </row>
    <row r="75" spans="1:23" x14ac:dyDescent="0.3">
      <c r="A75" s="56" t="s">
        <v>44</v>
      </c>
      <c r="B75" s="56" t="s">
        <v>75</v>
      </c>
      <c r="C75" s="56" t="s">
        <v>4040</v>
      </c>
      <c r="D75" s="56">
        <v>5</v>
      </c>
      <c r="E75" s="56">
        <v>28916580.699999999</v>
      </c>
      <c r="F75" s="56">
        <v>0.17449999999999999</v>
      </c>
      <c r="G75" s="247"/>
      <c r="H75" s="248"/>
      <c r="I75" s="56" t="s">
        <v>35</v>
      </c>
      <c r="J75" s="56" t="s">
        <v>121</v>
      </c>
      <c r="K75" s="56" t="s">
        <v>122</v>
      </c>
      <c r="M75" s="337"/>
      <c r="O75" s="337"/>
      <c r="Q75" s="337"/>
      <c r="S75" s="337"/>
      <c r="T75" s="56">
        <v>29332124.379999999</v>
      </c>
      <c r="U75" s="56" t="s">
        <v>1376</v>
      </c>
      <c r="V75" s="56" t="s">
        <v>1377</v>
      </c>
      <c r="W75" s="56" t="s">
        <v>1378</v>
      </c>
    </row>
    <row r="76" spans="1:23" x14ac:dyDescent="0.3">
      <c r="A76" s="56" t="s">
        <v>29</v>
      </c>
      <c r="B76" s="56" t="s">
        <v>96</v>
      </c>
      <c r="C76" s="56" t="s">
        <v>312</v>
      </c>
      <c r="D76" s="56">
        <v>8</v>
      </c>
      <c r="E76" s="56">
        <v>143337756.65000001</v>
      </c>
      <c r="F76" s="56">
        <v>0.86519999999999997</v>
      </c>
      <c r="G76" s="247"/>
      <c r="H76" s="248"/>
      <c r="I76" s="56" t="s">
        <v>35</v>
      </c>
      <c r="J76" s="56" t="s">
        <v>121</v>
      </c>
      <c r="K76" s="56" t="s">
        <v>122</v>
      </c>
      <c r="L76" s="56">
        <v>50377873.240000002</v>
      </c>
      <c r="M76" s="337">
        <v>0.77504420369230764</v>
      </c>
      <c r="N76" s="56">
        <v>50377873.240000002</v>
      </c>
      <c r="O76" s="337">
        <v>0.77504420369230764</v>
      </c>
      <c r="Q76" s="337"/>
      <c r="S76" s="337"/>
      <c r="T76" s="56">
        <v>50377873.240000002</v>
      </c>
      <c r="U76" s="56" t="s">
        <v>1899</v>
      </c>
      <c r="V76" s="56" t="s">
        <v>1901</v>
      </c>
      <c r="W76" s="56" t="s">
        <v>1902</v>
      </c>
    </row>
    <row r="77" spans="1:23" x14ac:dyDescent="0.3">
      <c r="A77" s="56" t="s">
        <v>29</v>
      </c>
      <c r="B77" s="56" t="s">
        <v>96</v>
      </c>
      <c r="C77" s="56" t="s">
        <v>313</v>
      </c>
      <c r="D77" s="56">
        <v>1</v>
      </c>
      <c r="E77" s="56">
        <v>33221911.890000001</v>
      </c>
      <c r="F77" s="56">
        <v>0.20050000000000001</v>
      </c>
      <c r="G77" s="247"/>
      <c r="H77" s="248"/>
      <c r="I77" s="56" t="s">
        <v>35</v>
      </c>
      <c r="J77" s="56" t="s">
        <v>121</v>
      </c>
      <c r="K77" s="56" t="s">
        <v>122</v>
      </c>
      <c r="L77" s="56">
        <v>17944519.829999998</v>
      </c>
      <c r="M77" s="337">
        <v>0.35889039659999999</v>
      </c>
      <c r="O77" s="337"/>
      <c r="Q77" s="337"/>
      <c r="S77" s="337"/>
      <c r="T77" s="56">
        <v>17944519.829999998</v>
      </c>
      <c r="U77" s="56" t="s">
        <v>2048</v>
      </c>
      <c r="V77" s="56" t="s">
        <v>2054</v>
      </c>
      <c r="W77" s="56" t="s">
        <v>2055</v>
      </c>
    </row>
    <row r="78" spans="1:23" x14ac:dyDescent="0.3">
      <c r="A78" s="56" t="s">
        <v>29</v>
      </c>
      <c r="B78" s="56" t="s">
        <v>26</v>
      </c>
      <c r="C78" s="56" t="s">
        <v>312</v>
      </c>
      <c r="D78" s="56">
        <v>2</v>
      </c>
      <c r="E78" s="56">
        <v>33207313.059999999</v>
      </c>
      <c r="F78" s="56">
        <v>0.20039999999999999</v>
      </c>
      <c r="G78" s="247"/>
      <c r="H78" s="248"/>
      <c r="I78" s="56" t="s">
        <v>35</v>
      </c>
      <c r="J78" s="56" t="s">
        <v>121</v>
      </c>
      <c r="K78" s="56" t="s">
        <v>122</v>
      </c>
      <c r="M78" s="337"/>
      <c r="O78" s="337"/>
      <c r="Q78" s="337"/>
      <c r="S78" s="337"/>
      <c r="T78" s="56">
        <v>31398331.530000001</v>
      </c>
      <c r="U78" s="56" t="s">
        <v>2537</v>
      </c>
      <c r="V78" s="56" t="s">
        <v>2550</v>
      </c>
      <c r="W78" s="56" t="s">
        <v>2551</v>
      </c>
    </row>
    <row r="79" spans="1:23" x14ac:dyDescent="0.3">
      <c r="A79" s="56" t="s">
        <v>29</v>
      </c>
      <c r="B79" s="56" t="s">
        <v>30</v>
      </c>
      <c r="C79" s="56" t="s">
        <v>312</v>
      </c>
      <c r="D79" s="56">
        <v>10</v>
      </c>
      <c r="E79" s="56">
        <v>105658770.84999999</v>
      </c>
      <c r="F79" s="56">
        <v>0.63780000000000003</v>
      </c>
      <c r="G79" s="247"/>
      <c r="H79" s="248"/>
      <c r="I79" s="56" t="s">
        <v>35</v>
      </c>
      <c r="J79" s="56" t="s">
        <v>26</v>
      </c>
      <c r="K79" s="56" t="s">
        <v>26</v>
      </c>
      <c r="M79" s="337"/>
      <c r="O79" s="337"/>
      <c r="Q79" s="337"/>
      <c r="S79" s="337"/>
      <c r="T79" s="56">
        <v>35390840.109999999</v>
      </c>
      <c r="U79" s="56" t="s">
        <v>415</v>
      </c>
      <c r="V79" s="56" t="s">
        <v>417</v>
      </c>
      <c r="W79" s="56" t="s">
        <v>418</v>
      </c>
    </row>
    <row r="80" spans="1:23" x14ac:dyDescent="0.3">
      <c r="A80" s="56" t="s">
        <v>29</v>
      </c>
      <c r="B80" s="56" t="s">
        <v>30</v>
      </c>
      <c r="C80" s="56" t="s">
        <v>313</v>
      </c>
      <c r="D80" s="56">
        <v>5</v>
      </c>
      <c r="E80" s="56">
        <v>62108827.68</v>
      </c>
      <c r="F80" s="56">
        <v>0.37490000000000001</v>
      </c>
      <c r="G80" s="247"/>
      <c r="H80" s="248"/>
      <c r="I80" s="56" t="s">
        <v>35</v>
      </c>
      <c r="J80" s="56" t="s">
        <v>26</v>
      </c>
      <c r="K80" s="56" t="s">
        <v>26</v>
      </c>
      <c r="M80" s="337"/>
      <c r="O80" s="337"/>
      <c r="Q80" s="337"/>
      <c r="S80" s="337"/>
      <c r="T80" s="56">
        <v>10121571.390000001</v>
      </c>
      <c r="U80" s="56" t="s">
        <v>621</v>
      </c>
      <c r="V80" s="56" t="s">
        <v>623</v>
      </c>
      <c r="W80" s="56" t="s">
        <v>624</v>
      </c>
    </row>
    <row r="81" spans="1:23" x14ac:dyDescent="0.3">
      <c r="A81" s="56" t="s">
        <v>29</v>
      </c>
      <c r="B81" s="56" t="s">
        <v>30</v>
      </c>
      <c r="C81" s="56" t="s">
        <v>314</v>
      </c>
      <c r="D81" s="56">
        <v>1</v>
      </c>
      <c r="E81" s="56">
        <v>1433967.43</v>
      </c>
      <c r="F81" s="56">
        <v>8.6E-3</v>
      </c>
      <c r="G81" s="247"/>
      <c r="H81" s="248"/>
      <c r="I81" s="56" t="s">
        <v>35</v>
      </c>
      <c r="J81" s="56" t="s">
        <v>26</v>
      </c>
      <c r="K81" s="56" t="s">
        <v>26</v>
      </c>
      <c r="L81" s="56">
        <v>6510659.5899999999</v>
      </c>
      <c r="M81" s="337">
        <v>0.10016399369230769</v>
      </c>
      <c r="O81" s="337"/>
      <c r="Q81" s="337"/>
      <c r="S81" s="337"/>
      <c r="T81" s="56">
        <v>6510659.5899999999</v>
      </c>
      <c r="U81" s="56" t="s">
        <v>3487</v>
      </c>
      <c r="V81" s="56" t="s">
        <v>3491</v>
      </c>
      <c r="W81" s="56" t="s">
        <v>3492</v>
      </c>
    </row>
    <row r="82" spans="1:23" x14ac:dyDescent="0.3">
      <c r="A82" s="56" t="s">
        <v>29</v>
      </c>
      <c r="B82" s="56" t="s">
        <v>30</v>
      </c>
      <c r="C82" s="56" t="s">
        <v>343</v>
      </c>
      <c r="D82" s="56">
        <v>1</v>
      </c>
      <c r="E82" s="56">
        <v>309379.08</v>
      </c>
      <c r="F82" s="56">
        <v>1.8E-3</v>
      </c>
      <c r="G82" s="247"/>
      <c r="H82" s="248"/>
      <c r="I82" s="56" t="s">
        <v>35</v>
      </c>
      <c r="J82" s="56" t="s">
        <v>26</v>
      </c>
      <c r="K82" s="56" t="s">
        <v>26</v>
      </c>
      <c r="L82" s="56">
        <v>24808796.93</v>
      </c>
      <c r="M82" s="337">
        <v>0.62021992324999997</v>
      </c>
      <c r="O82" s="337"/>
      <c r="Q82" s="337"/>
      <c r="S82" s="337"/>
      <c r="T82" s="56">
        <v>24808796.93</v>
      </c>
      <c r="U82" s="56" t="s">
        <v>2189</v>
      </c>
      <c r="V82" s="56" t="s">
        <v>2196</v>
      </c>
      <c r="W82" s="56" t="s">
        <v>2197</v>
      </c>
    </row>
    <row r="83" spans="1:23" x14ac:dyDescent="0.3">
      <c r="A83" s="56" t="s">
        <v>25</v>
      </c>
      <c r="B83" s="56" t="s">
        <v>103</v>
      </c>
      <c r="C83" s="56" t="s">
        <v>312</v>
      </c>
      <c r="D83" s="56">
        <v>15</v>
      </c>
      <c r="E83" s="56">
        <v>135601030.75</v>
      </c>
      <c r="F83" s="56">
        <v>0.81850000000000001</v>
      </c>
      <c r="G83" s="247"/>
      <c r="H83" s="248"/>
      <c r="I83" s="56" t="s">
        <v>35</v>
      </c>
      <c r="J83" s="56" t="s">
        <v>26</v>
      </c>
      <c r="K83" s="56" t="s">
        <v>26</v>
      </c>
      <c r="M83" s="337"/>
      <c r="O83" s="337"/>
      <c r="Q83" s="337"/>
      <c r="S83" s="337"/>
      <c r="T83" s="56">
        <v>514240.38</v>
      </c>
      <c r="U83" s="56" t="s">
        <v>1740</v>
      </c>
      <c r="V83" s="56" t="s">
        <v>1741</v>
      </c>
      <c r="W83" s="56" t="s">
        <v>1742</v>
      </c>
    </row>
    <row r="84" spans="1:23" x14ac:dyDescent="0.3">
      <c r="A84" s="56" t="s">
        <v>25</v>
      </c>
      <c r="B84" s="56" t="s">
        <v>103</v>
      </c>
      <c r="C84" s="56" t="s">
        <v>313</v>
      </c>
      <c r="D84" s="56">
        <v>14</v>
      </c>
      <c r="E84" s="56">
        <v>177678486.83000001</v>
      </c>
      <c r="F84" s="56">
        <v>1.0725</v>
      </c>
      <c r="G84" s="247"/>
      <c r="H84" s="248"/>
      <c r="I84" s="56" t="s">
        <v>35</v>
      </c>
      <c r="J84" s="56" t="s">
        <v>26</v>
      </c>
      <c r="K84" s="56" t="s">
        <v>26</v>
      </c>
      <c r="L84" s="56">
        <v>2175614.12</v>
      </c>
      <c r="M84" s="337">
        <v>0.54390353000000002</v>
      </c>
      <c r="N84" s="56">
        <v>2175614.12</v>
      </c>
      <c r="O84" s="337">
        <v>0.54390353000000002</v>
      </c>
      <c r="Q84" s="337"/>
      <c r="S84" s="337"/>
      <c r="T84" s="56">
        <v>2175614.12</v>
      </c>
      <c r="U84" s="56" t="s">
        <v>4775</v>
      </c>
      <c r="V84" s="56" t="s">
        <v>4789</v>
      </c>
      <c r="W84" s="56" t="s">
        <v>4790</v>
      </c>
    </row>
    <row r="85" spans="1:23" x14ac:dyDescent="0.3">
      <c r="A85" s="56" t="s">
        <v>25</v>
      </c>
      <c r="B85" s="56" t="s">
        <v>103</v>
      </c>
      <c r="C85" s="56" t="s">
        <v>314</v>
      </c>
      <c r="D85" s="56">
        <v>3</v>
      </c>
      <c r="E85" s="56">
        <v>56102742.780000001</v>
      </c>
      <c r="F85" s="56">
        <v>0.33860000000000001</v>
      </c>
      <c r="G85" s="247"/>
      <c r="H85" s="248"/>
      <c r="I85" s="56" t="s">
        <v>45</v>
      </c>
      <c r="J85" s="56" t="s">
        <v>45</v>
      </c>
      <c r="K85" s="56" t="s">
        <v>1658</v>
      </c>
      <c r="L85" s="56">
        <v>6594714.0300000003</v>
      </c>
      <c r="M85" s="337">
        <v>0.94210200428571433</v>
      </c>
      <c r="O85" s="337"/>
      <c r="Q85" s="337"/>
      <c r="S85" s="337"/>
      <c r="T85" s="56">
        <v>6594714.0300000003</v>
      </c>
      <c r="U85" s="56" t="s">
        <v>405</v>
      </c>
      <c r="V85" s="56" t="s">
        <v>406</v>
      </c>
      <c r="W85" s="56" t="s">
        <v>407</v>
      </c>
    </row>
    <row r="86" spans="1:23" x14ac:dyDescent="0.3">
      <c r="A86" s="56" t="s">
        <v>25</v>
      </c>
      <c r="B86" s="56" t="s">
        <v>103</v>
      </c>
      <c r="C86" s="56" t="s">
        <v>343</v>
      </c>
      <c r="D86" s="56">
        <v>1</v>
      </c>
      <c r="E86" s="56">
        <v>1956822.75</v>
      </c>
      <c r="F86" s="56">
        <v>1.18E-2</v>
      </c>
      <c r="G86" s="247"/>
      <c r="H86" s="248"/>
      <c r="I86" s="56" t="s">
        <v>45</v>
      </c>
      <c r="J86" s="56" t="s">
        <v>45</v>
      </c>
      <c r="K86" s="56" t="s">
        <v>1658</v>
      </c>
      <c r="L86" s="56">
        <v>1139260.83</v>
      </c>
      <c r="M86" s="337">
        <v>7.3500698709677417E-2</v>
      </c>
      <c r="N86" s="56">
        <v>1139260.83</v>
      </c>
      <c r="O86" s="337">
        <v>7.3500698709677417E-2</v>
      </c>
      <c r="P86" s="56">
        <v>1139260.83</v>
      </c>
      <c r="Q86" s="337">
        <v>7.3500698709677417E-2</v>
      </c>
      <c r="S86" s="337"/>
      <c r="T86" s="56">
        <v>1139260.83</v>
      </c>
      <c r="U86" s="56" t="s">
        <v>1656</v>
      </c>
      <c r="V86" s="56" t="s">
        <v>1659</v>
      </c>
      <c r="W86" s="56" t="s">
        <v>1660</v>
      </c>
    </row>
    <row r="87" spans="1:23" x14ac:dyDescent="0.3">
      <c r="A87" s="56" t="s">
        <v>25</v>
      </c>
      <c r="B87" s="56" t="s">
        <v>32</v>
      </c>
      <c r="C87" s="56" t="s">
        <v>312</v>
      </c>
      <c r="D87" s="56">
        <v>8</v>
      </c>
      <c r="E87" s="56">
        <v>60889052.189999998</v>
      </c>
      <c r="F87" s="56">
        <v>0.36749999999999999</v>
      </c>
      <c r="G87" s="247"/>
      <c r="H87" s="248"/>
      <c r="I87" s="56" t="s">
        <v>45</v>
      </c>
      <c r="J87" s="56" t="s">
        <v>45</v>
      </c>
      <c r="K87" s="56" t="s">
        <v>1658</v>
      </c>
      <c r="M87" s="337"/>
      <c r="O87" s="337"/>
      <c r="Q87" s="337"/>
      <c r="S87" s="337"/>
      <c r="T87" s="56">
        <v>24348842.100000001</v>
      </c>
      <c r="U87" s="56" t="s">
        <v>2506</v>
      </c>
      <c r="V87" s="56" t="s">
        <v>2509</v>
      </c>
      <c r="W87" s="56" t="s">
        <v>2510</v>
      </c>
    </row>
    <row r="88" spans="1:23" x14ac:dyDescent="0.3">
      <c r="A88" s="56" t="s">
        <v>25</v>
      </c>
      <c r="B88" s="56" t="s">
        <v>32</v>
      </c>
      <c r="C88" s="56" t="s">
        <v>313</v>
      </c>
      <c r="D88" s="56">
        <v>7</v>
      </c>
      <c r="E88" s="56">
        <v>27296678.600000001</v>
      </c>
      <c r="F88" s="56">
        <v>0.16470000000000001</v>
      </c>
      <c r="G88" s="247"/>
      <c r="H88" s="248"/>
      <c r="I88" s="56" t="s">
        <v>45</v>
      </c>
      <c r="J88" s="56" t="s">
        <v>45</v>
      </c>
      <c r="K88" s="56" t="s">
        <v>1658</v>
      </c>
      <c r="L88" s="56">
        <v>4883290.75</v>
      </c>
      <c r="M88" s="337">
        <v>0.97665815</v>
      </c>
      <c r="O88" s="337"/>
      <c r="Q88" s="337"/>
      <c r="S88" s="337"/>
      <c r="T88" s="56">
        <v>4883290.75</v>
      </c>
      <c r="U88" s="56" t="s">
        <v>3255</v>
      </c>
      <c r="V88" s="56" t="s">
        <v>3259</v>
      </c>
      <c r="W88" s="56" t="s">
        <v>3260</v>
      </c>
    </row>
    <row r="89" spans="1:23" x14ac:dyDescent="0.3">
      <c r="A89" s="56" t="s">
        <v>25</v>
      </c>
      <c r="B89" s="56" t="s">
        <v>32</v>
      </c>
      <c r="C89" s="56" t="s">
        <v>314</v>
      </c>
      <c r="D89" s="56">
        <v>1</v>
      </c>
      <c r="E89" s="56">
        <v>25109756.34</v>
      </c>
      <c r="F89" s="56">
        <v>0.1515</v>
      </c>
      <c r="G89" s="247"/>
      <c r="H89" s="248"/>
      <c r="I89" s="56" t="s">
        <v>45</v>
      </c>
      <c r="J89" s="56" t="s">
        <v>45</v>
      </c>
      <c r="K89" s="56" t="s">
        <v>1658</v>
      </c>
      <c r="L89" s="56">
        <v>18789731.27</v>
      </c>
      <c r="M89" s="337">
        <v>0.93948656350000004</v>
      </c>
      <c r="O89" s="337"/>
      <c r="Q89" s="337"/>
      <c r="S89" s="337"/>
      <c r="T89" s="56">
        <v>18789731.27</v>
      </c>
      <c r="U89" s="56" t="s">
        <v>4016</v>
      </c>
      <c r="V89" s="56" t="s">
        <v>4034</v>
      </c>
      <c r="W89" s="56" t="s">
        <v>4035</v>
      </c>
    </row>
    <row r="90" spans="1:23" x14ac:dyDescent="0.3">
      <c r="A90" s="56" t="s">
        <v>25</v>
      </c>
      <c r="B90" s="56" t="s">
        <v>32</v>
      </c>
      <c r="C90" s="56" t="s">
        <v>343</v>
      </c>
      <c r="D90" s="56">
        <v>2</v>
      </c>
      <c r="E90" s="56">
        <v>14473335.84</v>
      </c>
      <c r="F90" s="56">
        <v>8.7300000000000003E-2</v>
      </c>
      <c r="G90" s="247"/>
      <c r="H90" s="248"/>
      <c r="I90" s="56" t="s">
        <v>45</v>
      </c>
      <c r="J90" s="56" t="s">
        <v>45</v>
      </c>
      <c r="K90" s="56" t="s">
        <v>26</v>
      </c>
      <c r="L90" s="56">
        <v>1358781.2</v>
      </c>
      <c r="M90" s="337">
        <v>0.11323176666666666</v>
      </c>
      <c r="O90" s="337"/>
      <c r="Q90" s="337"/>
      <c r="S90" s="337"/>
      <c r="T90" s="56">
        <v>1358781.2</v>
      </c>
      <c r="U90" s="56" t="s">
        <v>192</v>
      </c>
      <c r="V90" s="56" t="s">
        <v>193</v>
      </c>
      <c r="W90" s="56" t="s">
        <v>194</v>
      </c>
    </row>
    <row r="91" spans="1:23" x14ac:dyDescent="0.3">
      <c r="A91" s="56" t="s">
        <v>25</v>
      </c>
      <c r="B91" s="56" t="s">
        <v>290</v>
      </c>
      <c r="C91" s="56" t="s">
        <v>312</v>
      </c>
      <c r="D91" s="56">
        <v>11</v>
      </c>
      <c r="E91" s="56">
        <v>34093428.689999998</v>
      </c>
      <c r="F91" s="56">
        <v>0.20580000000000001</v>
      </c>
      <c r="G91" s="247"/>
      <c r="H91" s="248"/>
      <c r="I91" s="56" t="s">
        <v>45</v>
      </c>
      <c r="J91" s="56" t="s">
        <v>45</v>
      </c>
      <c r="K91" s="56" t="s">
        <v>26</v>
      </c>
      <c r="M91" s="337"/>
      <c r="O91" s="337"/>
      <c r="Q91" s="337"/>
      <c r="S91" s="337"/>
      <c r="T91" s="56">
        <v>30558896.16</v>
      </c>
      <c r="U91" s="56" t="s">
        <v>233</v>
      </c>
      <c r="V91" s="56" t="s">
        <v>234</v>
      </c>
      <c r="W91" s="56" t="s">
        <v>235</v>
      </c>
    </row>
    <row r="92" spans="1:23" x14ac:dyDescent="0.3">
      <c r="A92" s="56" t="s">
        <v>25</v>
      </c>
      <c r="B92" s="56" t="s">
        <v>290</v>
      </c>
      <c r="C92" s="56" t="s">
        <v>313</v>
      </c>
      <c r="D92" s="56">
        <v>8</v>
      </c>
      <c r="E92" s="56">
        <v>54084185.259999998</v>
      </c>
      <c r="F92" s="56">
        <v>0.32640000000000002</v>
      </c>
      <c r="G92" s="247"/>
      <c r="H92" s="248"/>
      <c r="I92" s="56" t="s">
        <v>45</v>
      </c>
      <c r="J92" s="56" t="s">
        <v>45</v>
      </c>
      <c r="K92" s="56" t="s">
        <v>26</v>
      </c>
      <c r="L92" s="56">
        <v>29369158.379999999</v>
      </c>
      <c r="M92" s="337">
        <v>0.48948597299999996</v>
      </c>
      <c r="N92" s="56">
        <v>29369158.379999999</v>
      </c>
      <c r="O92" s="337">
        <v>0.48948597299999996</v>
      </c>
      <c r="Q92" s="337"/>
      <c r="S92" s="337"/>
      <c r="T92" s="56">
        <v>29369158.379999999</v>
      </c>
      <c r="U92" s="56" t="s">
        <v>215</v>
      </c>
      <c r="V92" s="56" t="s">
        <v>216</v>
      </c>
      <c r="W92" s="56" t="s">
        <v>217</v>
      </c>
    </row>
    <row r="93" spans="1:23" x14ac:dyDescent="0.3">
      <c r="A93" s="56" t="s">
        <v>25</v>
      </c>
      <c r="B93" s="56" t="s">
        <v>290</v>
      </c>
      <c r="C93" s="56" t="s">
        <v>314</v>
      </c>
      <c r="D93" s="56">
        <v>1</v>
      </c>
      <c r="E93" s="56">
        <v>6329044.9100000001</v>
      </c>
      <c r="F93" s="56">
        <v>3.8199999999999998E-2</v>
      </c>
      <c r="G93" s="247"/>
      <c r="H93" s="248"/>
      <c r="I93" s="56" t="s">
        <v>45</v>
      </c>
      <c r="J93" s="56" t="s">
        <v>45</v>
      </c>
      <c r="K93" s="56" t="s">
        <v>26</v>
      </c>
      <c r="M93" s="337"/>
      <c r="O93" s="337"/>
      <c r="Q93" s="337"/>
      <c r="S93" s="337"/>
      <c r="T93" s="56">
        <v>21909314.940000001</v>
      </c>
      <c r="U93" s="56" t="s">
        <v>474</v>
      </c>
      <c r="V93" s="56" t="s">
        <v>475</v>
      </c>
      <c r="W93" s="56" t="s">
        <v>476</v>
      </c>
    </row>
    <row r="94" spans="1:23" x14ac:dyDescent="0.3">
      <c r="A94" s="56" t="s">
        <v>25</v>
      </c>
      <c r="B94" s="56" t="s">
        <v>290</v>
      </c>
      <c r="C94" s="56" t="s">
        <v>343</v>
      </c>
      <c r="D94" s="56">
        <v>3</v>
      </c>
      <c r="E94" s="56">
        <v>4087605.05</v>
      </c>
      <c r="F94" s="56">
        <v>2.46E-2</v>
      </c>
      <c r="G94" s="247"/>
      <c r="H94" s="248"/>
      <c r="I94" s="56" t="s">
        <v>45</v>
      </c>
      <c r="J94" s="56" t="s">
        <v>45</v>
      </c>
      <c r="K94" s="56" t="s">
        <v>26</v>
      </c>
      <c r="M94" s="337"/>
      <c r="O94" s="337"/>
      <c r="Q94" s="337"/>
      <c r="S94" s="337"/>
      <c r="T94" s="56">
        <v>40817830.979999997</v>
      </c>
      <c r="U94" s="56" t="s">
        <v>615</v>
      </c>
      <c r="V94" s="56" t="s">
        <v>619</v>
      </c>
      <c r="W94" s="56" t="s">
        <v>620</v>
      </c>
    </row>
    <row r="95" spans="1:23" x14ac:dyDescent="0.3">
      <c r="A95" s="56" t="s">
        <v>25</v>
      </c>
      <c r="B95" s="56" t="s">
        <v>290</v>
      </c>
      <c r="C95" s="56" t="s">
        <v>4040</v>
      </c>
      <c r="D95" s="56">
        <v>1</v>
      </c>
      <c r="E95" s="56">
        <v>10535979.98</v>
      </c>
      <c r="F95" s="56">
        <v>6.3600000000000004E-2</v>
      </c>
      <c r="G95" s="247"/>
      <c r="H95" s="248"/>
      <c r="I95" s="56" t="s">
        <v>45</v>
      </c>
      <c r="J95" s="56" t="s">
        <v>45</v>
      </c>
      <c r="K95" s="56" t="s">
        <v>26</v>
      </c>
      <c r="L95" s="56">
        <v>21619863.559999999</v>
      </c>
      <c r="M95" s="337">
        <v>0.34870747677419356</v>
      </c>
      <c r="N95" s="56">
        <v>21619863.559999999</v>
      </c>
      <c r="O95" s="337">
        <v>0.34870747677419356</v>
      </c>
      <c r="Q95" s="337"/>
      <c r="S95" s="337"/>
      <c r="T95" s="56">
        <v>21619863.559999999</v>
      </c>
      <c r="U95" s="56" t="s">
        <v>626</v>
      </c>
      <c r="V95" s="56" t="s">
        <v>627</v>
      </c>
      <c r="W95" s="56" t="s">
        <v>628</v>
      </c>
    </row>
    <row r="96" spans="1:23" x14ac:dyDescent="0.3">
      <c r="A96" s="56" t="s">
        <v>25</v>
      </c>
      <c r="B96" s="56" t="s">
        <v>295</v>
      </c>
      <c r="C96" s="56" t="s">
        <v>312</v>
      </c>
      <c r="D96" s="56">
        <v>5</v>
      </c>
      <c r="E96" s="56">
        <v>50697647.020000003</v>
      </c>
      <c r="F96" s="56">
        <v>0.30599999999999999</v>
      </c>
      <c r="G96" s="247"/>
      <c r="H96" s="248"/>
      <c r="I96" s="56" t="s">
        <v>45</v>
      </c>
      <c r="J96" s="56" t="s">
        <v>45</v>
      </c>
      <c r="K96" s="56" t="s">
        <v>26</v>
      </c>
      <c r="M96" s="337"/>
      <c r="O96" s="337"/>
      <c r="Q96" s="337"/>
      <c r="S96" s="337"/>
      <c r="T96" s="56">
        <v>30725333.050000001</v>
      </c>
      <c r="U96" s="56" t="s">
        <v>1044</v>
      </c>
      <c r="V96" s="56" t="s">
        <v>1045</v>
      </c>
      <c r="W96" s="56" t="s">
        <v>1046</v>
      </c>
    </row>
    <row r="97" spans="1:23" x14ac:dyDescent="0.3">
      <c r="A97" s="56" t="s">
        <v>25</v>
      </c>
      <c r="B97" s="56" t="s">
        <v>295</v>
      </c>
      <c r="C97" s="56" t="s">
        <v>313</v>
      </c>
      <c r="D97" s="56">
        <v>3</v>
      </c>
      <c r="E97" s="56">
        <v>51182304.490000002</v>
      </c>
      <c r="F97" s="56">
        <v>0.30890000000000001</v>
      </c>
      <c r="G97" s="247"/>
      <c r="H97" s="248"/>
      <c r="I97" s="56" t="s">
        <v>45</v>
      </c>
      <c r="J97" s="56" t="s">
        <v>45</v>
      </c>
      <c r="K97" s="56" t="s">
        <v>26</v>
      </c>
      <c r="L97" s="56">
        <v>42851075.539999999</v>
      </c>
      <c r="M97" s="337">
        <v>0.8570215108</v>
      </c>
      <c r="N97" s="56">
        <v>42851075.539999999</v>
      </c>
      <c r="O97" s="337">
        <v>0.8570215108</v>
      </c>
      <c r="P97" s="56">
        <v>42851075.539999999</v>
      </c>
      <c r="Q97" s="337">
        <v>0.8570215108</v>
      </c>
      <c r="S97" s="337"/>
      <c r="T97" s="56">
        <v>42851075.539999999</v>
      </c>
      <c r="U97" s="56" t="s">
        <v>1109</v>
      </c>
      <c r="V97" s="56" t="s">
        <v>1110</v>
      </c>
      <c r="W97" s="56" t="s">
        <v>1111</v>
      </c>
    </row>
    <row r="98" spans="1:23" x14ac:dyDescent="0.3">
      <c r="A98" s="56" t="s">
        <v>25</v>
      </c>
      <c r="B98" s="56" t="s">
        <v>295</v>
      </c>
      <c r="C98" s="56" t="s">
        <v>314</v>
      </c>
      <c r="D98" s="56">
        <v>3</v>
      </c>
      <c r="E98" s="56">
        <v>22552425.129999999</v>
      </c>
      <c r="F98" s="56">
        <v>0.1361</v>
      </c>
      <c r="G98" s="247"/>
      <c r="H98" s="248"/>
      <c r="I98" s="56" t="s">
        <v>45</v>
      </c>
      <c r="J98" s="56" t="s">
        <v>45</v>
      </c>
      <c r="K98" s="56" t="s">
        <v>26</v>
      </c>
      <c r="L98" s="56">
        <v>10357297.82</v>
      </c>
      <c r="M98" s="337">
        <v>0.37243070190578925</v>
      </c>
      <c r="N98" s="56">
        <v>10357297.82</v>
      </c>
      <c r="O98" s="337">
        <v>0.37243070190578925</v>
      </c>
      <c r="Q98" s="337"/>
      <c r="S98" s="337"/>
      <c r="T98" s="56">
        <v>10357297.82</v>
      </c>
      <c r="U98" s="56" t="s">
        <v>1108</v>
      </c>
      <c r="V98" s="56" t="s">
        <v>1112</v>
      </c>
      <c r="W98" s="56" t="s">
        <v>1113</v>
      </c>
    </row>
    <row r="99" spans="1:23" x14ac:dyDescent="0.3">
      <c r="A99" s="56" t="s">
        <v>25</v>
      </c>
      <c r="B99" s="56" t="s">
        <v>295</v>
      </c>
      <c r="C99" s="56" t="s">
        <v>343</v>
      </c>
      <c r="D99" s="56">
        <v>3</v>
      </c>
      <c r="E99" s="56">
        <v>12065685.73</v>
      </c>
      <c r="F99" s="56">
        <v>7.2800000000000004E-2</v>
      </c>
      <c r="G99" s="247"/>
      <c r="H99" s="248"/>
      <c r="I99" s="56" t="s">
        <v>45</v>
      </c>
      <c r="J99" s="56" t="s">
        <v>45</v>
      </c>
      <c r="K99" s="56" t="s">
        <v>26</v>
      </c>
      <c r="L99" s="56">
        <v>11930860.960000001</v>
      </c>
      <c r="M99" s="337">
        <v>0.35582235647391597</v>
      </c>
      <c r="N99" s="56">
        <v>11930860.960000001</v>
      </c>
      <c r="O99" s="337">
        <v>0.35582235647391597</v>
      </c>
      <c r="P99" s="56">
        <v>11930860.960000001</v>
      </c>
      <c r="Q99" s="337">
        <v>0.35582235647391597</v>
      </c>
      <c r="S99" s="337"/>
      <c r="T99" s="56">
        <v>11930860.960000001</v>
      </c>
      <c r="U99" s="56" t="s">
        <v>1423</v>
      </c>
      <c r="V99" s="56" t="s">
        <v>1424</v>
      </c>
      <c r="W99" s="56" t="s">
        <v>1425</v>
      </c>
    </row>
    <row r="100" spans="1:23" x14ac:dyDescent="0.3">
      <c r="A100" s="56" t="s">
        <v>25</v>
      </c>
      <c r="B100" s="56" t="s">
        <v>3923</v>
      </c>
      <c r="C100" s="56" t="s">
        <v>312</v>
      </c>
      <c r="D100" s="56">
        <v>1</v>
      </c>
      <c r="E100" s="56">
        <v>24839300.879999999</v>
      </c>
      <c r="F100" s="56">
        <v>0.14990000000000001</v>
      </c>
      <c r="G100" s="247"/>
      <c r="H100" s="248"/>
      <c r="I100" s="56" t="s">
        <v>45</v>
      </c>
      <c r="J100" s="56" t="s">
        <v>45</v>
      </c>
      <c r="K100" s="56" t="s">
        <v>26</v>
      </c>
      <c r="M100" s="337"/>
      <c r="O100" s="337"/>
      <c r="Q100" s="337"/>
      <c r="S100" s="337"/>
      <c r="T100" s="56">
        <v>24773348.710000001</v>
      </c>
      <c r="U100" s="56" t="s">
        <v>1743</v>
      </c>
      <c r="V100" s="56" t="s">
        <v>1744</v>
      </c>
      <c r="W100" s="56" t="s">
        <v>1745</v>
      </c>
    </row>
    <row r="101" spans="1:23" x14ac:dyDescent="0.3">
      <c r="A101" s="56" t="s">
        <v>25</v>
      </c>
      <c r="B101" s="56" t="s">
        <v>88</v>
      </c>
      <c r="C101" s="56" t="s">
        <v>312</v>
      </c>
      <c r="D101" s="56">
        <v>242</v>
      </c>
      <c r="E101" s="56">
        <v>1810652195.3399999</v>
      </c>
      <c r="F101" s="56">
        <v>10.9299</v>
      </c>
      <c r="G101" s="247"/>
      <c r="H101" s="248"/>
      <c r="I101" s="56" t="s">
        <v>45</v>
      </c>
      <c r="J101" s="56" t="s">
        <v>45</v>
      </c>
      <c r="K101" s="56" t="s">
        <v>26</v>
      </c>
      <c r="M101" s="337"/>
      <c r="O101" s="337"/>
      <c r="Q101" s="337"/>
      <c r="S101" s="337"/>
      <c r="T101" s="56">
        <v>5487555.21</v>
      </c>
      <c r="U101" s="56" t="s">
        <v>2558</v>
      </c>
      <c r="V101" s="56" t="s">
        <v>2559</v>
      </c>
      <c r="W101" s="56" t="s">
        <v>2560</v>
      </c>
    </row>
    <row r="102" spans="1:23" x14ac:dyDescent="0.3">
      <c r="A102" s="56" t="s">
        <v>25</v>
      </c>
      <c r="B102" s="56" t="s">
        <v>88</v>
      </c>
      <c r="C102" s="56" t="s">
        <v>313</v>
      </c>
      <c r="D102" s="56">
        <v>80</v>
      </c>
      <c r="E102" s="56">
        <v>704602205.42999995</v>
      </c>
      <c r="F102" s="56">
        <v>4.2533000000000003</v>
      </c>
      <c r="G102" s="247"/>
      <c r="H102" s="248"/>
      <c r="I102" s="56" t="s">
        <v>45</v>
      </c>
      <c r="J102" s="56" t="s">
        <v>45</v>
      </c>
      <c r="K102" s="56" t="s">
        <v>26</v>
      </c>
      <c r="L102" s="56">
        <v>2259329.16</v>
      </c>
      <c r="M102" s="337">
        <v>0.56483229000000001</v>
      </c>
      <c r="N102" s="56">
        <v>2259329.16</v>
      </c>
      <c r="O102" s="337">
        <v>0.56483229000000001</v>
      </c>
      <c r="Q102" s="337"/>
      <c r="S102" s="337"/>
      <c r="T102" s="56">
        <v>2259329.16</v>
      </c>
      <c r="U102" s="56" t="s">
        <v>4240</v>
      </c>
      <c r="V102" s="56" t="s">
        <v>4241</v>
      </c>
      <c r="W102" s="56" t="s">
        <v>4242</v>
      </c>
    </row>
    <row r="103" spans="1:23" x14ac:dyDescent="0.3">
      <c r="A103" s="56" t="s">
        <v>25</v>
      </c>
      <c r="B103" s="56" t="s">
        <v>88</v>
      </c>
      <c r="C103" s="56" t="s">
        <v>314</v>
      </c>
      <c r="D103" s="56">
        <v>21</v>
      </c>
      <c r="E103" s="56">
        <v>225142779.49000001</v>
      </c>
      <c r="F103" s="56">
        <v>1.359</v>
      </c>
      <c r="G103" s="247"/>
      <c r="H103" s="248"/>
      <c r="I103" s="56" t="s">
        <v>45</v>
      </c>
      <c r="J103" s="56" t="s">
        <v>45</v>
      </c>
      <c r="K103" s="56" t="s">
        <v>26</v>
      </c>
      <c r="M103" s="337"/>
      <c r="O103" s="337"/>
      <c r="Q103" s="337"/>
      <c r="S103" s="337"/>
      <c r="T103" s="56">
        <v>20137114.530000001</v>
      </c>
      <c r="U103" s="56" t="s">
        <v>1843</v>
      </c>
      <c r="V103" s="56" t="s">
        <v>1844</v>
      </c>
      <c r="W103" s="56" t="s">
        <v>1845</v>
      </c>
    </row>
    <row r="104" spans="1:23" x14ac:dyDescent="0.3">
      <c r="A104" s="56" t="s">
        <v>25</v>
      </c>
      <c r="B104" s="56" t="s">
        <v>88</v>
      </c>
      <c r="C104" s="56" t="s">
        <v>343</v>
      </c>
      <c r="D104" s="56">
        <v>6</v>
      </c>
      <c r="E104" s="56">
        <v>79589440.099999994</v>
      </c>
      <c r="F104" s="56">
        <v>0.48039999999999999</v>
      </c>
      <c r="G104" s="247"/>
      <c r="H104" s="248"/>
      <c r="I104" s="56" t="s">
        <v>45</v>
      </c>
      <c r="J104" s="56" t="s">
        <v>45</v>
      </c>
      <c r="K104" s="56" t="s">
        <v>26</v>
      </c>
      <c r="L104" s="56">
        <v>1153762.44</v>
      </c>
      <c r="M104" s="337">
        <v>7.4436286451612904E-2</v>
      </c>
      <c r="O104" s="337"/>
      <c r="Q104" s="337"/>
      <c r="S104" s="337"/>
      <c r="T104" s="56">
        <v>1153762.44</v>
      </c>
      <c r="U104" s="56" t="s">
        <v>2105</v>
      </c>
      <c r="V104" s="56" t="s">
        <v>2115</v>
      </c>
      <c r="W104" s="56" t="s">
        <v>2116</v>
      </c>
    </row>
    <row r="105" spans="1:23" x14ac:dyDescent="0.3">
      <c r="A105" s="56" t="s">
        <v>25</v>
      </c>
      <c r="B105" s="56" t="s">
        <v>88</v>
      </c>
      <c r="C105" s="56" t="s">
        <v>4040</v>
      </c>
      <c r="D105" s="56">
        <v>3</v>
      </c>
      <c r="E105" s="56">
        <v>7060024.71</v>
      </c>
      <c r="F105" s="56">
        <v>4.2599999999999999E-2</v>
      </c>
      <c r="G105" s="247"/>
      <c r="H105" s="248"/>
      <c r="I105" s="56" t="s">
        <v>45</v>
      </c>
      <c r="J105" s="56" t="s">
        <v>45</v>
      </c>
      <c r="K105" s="56" t="s">
        <v>26</v>
      </c>
      <c r="L105" s="56">
        <v>7589621.4900000002</v>
      </c>
      <c r="M105" s="337">
        <v>0.47435134312499999</v>
      </c>
      <c r="O105" s="337"/>
      <c r="Q105" s="337"/>
      <c r="S105" s="337"/>
      <c r="T105" s="56">
        <v>7589621.4900000002</v>
      </c>
      <c r="U105" s="56" t="s">
        <v>4236</v>
      </c>
      <c r="V105" s="56" t="s">
        <v>4237</v>
      </c>
      <c r="W105" s="56" t="s">
        <v>4238</v>
      </c>
    </row>
    <row r="106" spans="1:23" x14ac:dyDescent="0.3">
      <c r="A106" s="56" t="s">
        <v>25</v>
      </c>
      <c r="B106" s="56" t="s">
        <v>286</v>
      </c>
      <c r="C106" s="56" t="s">
        <v>312</v>
      </c>
      <c r="D106" s="56">
        <v>6</v>
      </c>
      <c r="E106" s="56">
        <v>41410020.189999998</v>
      </c>
      <c r="F106" s="56">
        <v>0.24990000000000001</v>
      </c>
      <c r="G106" s="247"/>
      <c r="H106" s="248"/>
      <c r="I106" s="56" t="s">
        <v>45</v>
      </c>
      <c r="J106" s="56" t="s">
        <v>45</v>
      </c>
      <c r="K106" s="56" t="s">
        <v>26</v>
      </c>
      <c r="M106" s="337"/>
      <c r="O106" s="337"/>
      <c r="Q106" s="337"/>
      <c r="S106" s="337"/>
      <c r="T106" s="56">
        <v>2063399.01</v>
      </c>
      <c r="U106" s="56" t="s">
        <v>4332</v>
      </c>
      <c r="V106" s="56" t="s">
        <v>4346</v>
      </c>
      <c r="W106" s="56" t="s">
        <v>4347</v>
      </c>
    </row>
    <row r="107" spans="1:23" x14ac:dyDescent="0.3">
      <c r="A107" s="56" t="s">
        <v>25</v>
      </c>
      <c r="B107" s="56" t="s">
        <v>286</v>
      </c>
      <c r="C107" s="56" t="s">
        <v>313</v>
      </c>
      <c r="D107" s="56">
        <v>1</v>
      </c>
      <c r="E107" s="56">
        <v>3837077.99</v>
      </c>
      <c r="F107" s="56">
        <v>2.3099999999999999E-2</v>
      </c>
      <c r="G107" s="247"/>
      <c r="H107" s="248"/>
      <c r="I107" s="56" t="s">
        <v>45</v>
      </c>
      <c r="J107" s="56" t="s">
        <v>45</v>
      </c>
      <c r="K107" s="56" t="s">
        <v>89</v>
      </c>
      <c r="L107" s="56">
        <v>954818.3</v>
      </c>
      <c r="M107" s="337">
        <v>9.5481830000000004E-2</v>
      </c>
      <c r="N107" s="56">
        <v>954818.3</v>
      </c>
      <c r="O107" s="337">
        <v>9.5481830000000004E-2</v>
      </c>
      <c r="Q107" s="337"/>
      <c r="S107" s="337"/>
      <c r="T107" s="56">
        <v>954818.3</v>
      </c>
      <c r="U107" s="56" t="s">
        <v>1071</v>
      </c>
      <c r="V107" s="56" t="s">
        <v>1073</v>
      </c>
      <c r="W107" s="56" t="s">
        <v>1074</v>
      </c>
    </row>
    <row r="108" spans="1:23" x14ac:dyDescent="0.3">
      <c r="A108" s="56" t="s">
        <v>25</v>
      </c>
      <c r="B108" s="56" t="s">
        <v>286</v>
      </c>
      <c r="C108" s="56" t="s">
        <v>343</v>
      </c>
      <c r="D108" s="56">
        <v>1</v>
      </c>
      <c r="E108" s="56">
        <v>605533.28</v>
      </c>
      <c r="F108" s="56">
        <v>3.5999999999999999E-3</v>
      </c>
      <c r="G108" s="247"/>
      <c r="H108" s="248"/>
      <c r="I108" s="56" t="s">
        <v>45</v>
      </c>
      <c r="J108" s="56" t="s">
        <v>45</v>
      </c>
      <c r="K108" s="56" t="s">
        <v>89</v>
      </c>
      <c r="L108" s="56">
        <v>1492287.63</v>
      </c>
      <c r="M108" s="337">
        <v>9.9485842000000005E-2</v>
      </c>
      <c r="N108" s="56">
        <v>1492287.63</v>
      </c>
      <c r="O108" s="337">
        <v>9.9485842000000005E-2</v>
      </c>
      <c r="Q108" s="337"/>
      <c r="S108" s="337"/>
      <c r="T108" s="56">
        <v>1492287.63</v>
      </c>
      <c r="U108" s="56" t="s">
        <v>3052</v>
      </c>
      <c r="V108" s="56" t="s">
        <v>3054</v>
      </c>
      <c r="W108" s="56" t="s">
        <v>3055</v>
      </c>
    </row>
    <row r="109" spans="1:23" x14ac:dyDescent="0.3">
      <c r="A109" s="56" t="s">
        <v>25</v>
      </c>
      <c r="B109" s="56" t="s">
        <v>289</v>
      </c>
      <c r="C109" s="56" t="s">
        <v>312</v>
      </c>
      <c r="D109" s="56">
        <v>5</v>
      </c>
      <c r="E109" s="56">
        <v>102110650.45999999</v>
      </c>
      <c r="F109" s="56">
        <v>0.61629999999999996</v>
      </c>
      <c r="G109" s="247"/>
      <c r="H109" s="248"/>
      <c r="I109" s="56" t="s">
        <v>45</v>
      </c>
      <c r="J109" s="56" t="s">
        <v>45</v>
      </c>
      <c r="K109" s="56" t="s">
        <v>89</v>
      </c>
      <c r="L109" s="56">
        <v>524718.64</v>
      </c>
      <c r="M109" s="337">
        <v>0.104943728</v>
      </c>
      <c r="N109" s="56">
        <v>524718.64</v>
      </c>
      <c r="O109" s="337">
        <v>0.104943728</v>
      </c>
      <c r="P109" s="56">
        <v>524718.64</v>
      </c>
      <c r="Q109" s="337">
        <v>0.104943728</v>
      </c>
      <c r="S109" s="337"/>
      <c r="T109" s="56">
        <v>524718.64</v>
      </c>
      <c r="U109" s="56" t="s">
        <v>2513</v>
      </c>
      <c r="V109" s="56" t="s">
        <v>2514</v>
      </c>
      <c r="W109" s="56" t="s">
        <v>2515</v>
      </c>
    </row>
    <row r="110" spans="1:23" x14ac:dyDescent="0.3">
      <c r="A110" s="56" t="s">
        <v>25</v>
      </c>
      <c r="B110" s="56" t="s">
        <v>289</v>
      </c>
      <c r="C110" s="56" t="s">
        <v>313</v>
      </c>
      <c r="D110" s="56">
        <v>8</v>
      </c>
      <c r="E110" s="56">
        <v>129675930.59999999</v>
      </c>
      <c r="F110" s="56">
        <v>0.78269999999999995</v>
      </c>
      <c r="G110" s="247"/>
      <c r="H110" s="248"/>
      <c r="I110" s="56" t="s">
        <v>45</v>
      </c>
      <c r="J110" s="56" t="s">
        <v>45</v>
      </c>
      <c r="K110" s="56" t="s">
        <v>89</v>
      </c>
      <c r="M110" s="337"/>
      <c r="O110" s="337"/>
      <c r="Q110" s="337"/>
      <c r="S110" s="337"/>
      <c r="T110" s="56">
        <v>24047074.66</v>
      </c>
      <c r="U110" s="56" t="s">
        <v>1670</v>
      </c>
      <c r="V110" s="56" t="s">
        <v>1671</v>
      </c>
      <c r="W110" s="56" t="s">
        <v>1672</v>
      </c>
    </row>
    <row r="111" spans="1:23" x14ac:dyDescent="0.3">
      <c r="A111" s="56" t="s">
        <v>25</v>
      </c>
      <c r="B111" s="56" t="s">
        <v>289</v>
      </c>
      <c r="C111" s="56" t="s">
        <v>314</v>
      </c>
      <c r="D111" s="56">
        <v>3</v>
      </c>
      <c r="E111" s="56">
        <v>6878899.8300000001</v>
      </c>
      <c r="F111" s="56">
        <v>4.1500000000000002E-2</v>
      </c>
      <c r="G111" s="247"/>
      <c r="H111" s="248"/>
      <c r="I111" s="56" t="s">
        <v>45</v>
      </c>
      <c r="J111" s="56" t="s">
        <v>45</v>
      </c>
      <c r="K111" s="56" t="s">
        <v>89</v>
      </c>
      <c r="M111" s="337"/>
      <c r="O111" s="337"/>
      <c r="Q111" s="337"/>
      <c r="S111" s="337"/>
      <c r="T111" s="56">
        <v>10506255.109999999</v>
      </c>
      <c r="U111" s="56" t="s">
        <v>1565</v>
      </c>
      <c r="V111" s="56" t="s">
        <v>1594</v>
      </c>
      <c r="W111" s="56" t="s">
        <v>1595</v>
      </c>
    </row>
    <row r="112" spans="1:23" x14ac:dyDescent="0.3">
      <c r="A112" s="56" t="s">
        <v>25</v>
      </c>
      <c r="B112" s="56" t="s">
        <v>106</v>
      </c>
      <c r="C112" s="56" t="s">
        <v>312</v>
      </c>
      <c r="D112" s="56">
        <v>10</v>
      </c>
      <c r="E112" s="56">
        <v>130961524.23</v>
      </c>
      <c r="F112" s="56">
        <v>0.79049999999999998</v>
      </c>
      <c r="G112" s="247"/>
      <c r="H112" s="248"/>
      <c r="I112" s="56" t="s">
        <v>45</v>
      </c>
      <c r="J112" s="56" t="s">
        <v>45</v>
      </c>
      <c r="K112" s="56" t="s">
        <v>89</v>
      </c>
      <c r="L112" s="56">
        <v>27303712.030000001</v>
      </c>
      <c r="M112" s="337">
        <v>0.71851873763157892</v>
      </c>
      <c r="N112" s="56">
        <v>27303712.030000001</v>
      </c>
      <c r="O112" s="337">
        <v>0.71851873763157892</v>
      </c>
      <c r="P112" s="56">
        <v>27303712.030000001</v>
      </c>
      <c r="Q112" s="337">
        <v>0.71851873763157892</v>
      </c>
      <c r="S112" s="337"/>
      <c r="T112" s="56">
        <v>27303712.030000001</v>
      </c>
      <c r="U112" s="56" t="s">
        <v>2942</v>
      </c>
      <c r="V112" s="56" t="s">
        <v>2943</v>
      </c>
      <c r="W112" s="56" t="s">
        <v>2944</v>
      </c>
    </row>
    <row r="113" spans="1:23" x14ac:dyDescent="0.3">
      <c r="A113" s="56" t="s">
        <v>25</v>
      </c>
      <c r="B113" s="56" t="s">
        <v>106</v>
      </c>
      <c r="C113" s="56" t="s">
        <v>313</v>
      </c>
      <c r="D113" s="56">
        <v>6</v>
      </c>
      <c r="E113" s="56">
        <v>66249642.149999999</v>
      </c>
      <c r="F113" s="56">
        <v>0.39989999999999998</v>
      </c>
      <c r="G113" s="247"/>
      <c r="H113" s="248"/>
      <c r="I113" s="56" t="s">
        <v>45</v>
      </c>
      <c r="J113" s="56" t="s">
        <v>45</v>
      </c>
      <c r="K113" s="56" t="s">
        <v>89</v>
      </c>
      <c r="L113" s="56">
        <v>821473.39</v>
      </c>
      <c r="M113" s="337">
        <v>0.20536834749999999</v>
      </c>
      <c r="N113" s="56">
        <v>821473.39</v>
      </c>
      <c r="O113" s="337">
        <v>0.20536834749999999</v>
      </c>
      <c r="Q113" s="337"/>
      <c r="S113" s="337"/>
      <c r="T113" s="56">
        <v>821473.39</v>
      </c>
      <c r="U113" s="56" t="s">
        <v>3351</v>
      </c>
      <c r="V113" s="56" t="s">
        <v>3352</v>
      </c>
      <c r="W113" s="56" t="s">
        <v>3353</v>
      </c>
    </row>
    <row r="114" spans="1:23" x14ac:dyDescent="0.3">
      <c r="A114" s="56" t="s">
        <v>25</v>
      </c>
      <c r="B114" s="56" t="s">
        <v>106</v>
      </c>
      <c r="C114" s="56" t="s">
        <v>314</v>
      </c>
      <c r="D114" s="56">
        <v>3</v>
      </c>
      <c r="E114" s="56">
        <v>16426369.390000001</v>
      </c>
      <c r="F114" s="56">
        <v>9.9099999999999994E-2</v>
      </c>
      <c r="G114" s="247"/>
      <c r="H114" s="248"/>
      <c r="I114" s="56" t="s">
        <v>45</v>
      </c>
      <c r="J114" s="56" t="s">
        <v>45</v>
      </c>
      <c r="K114" s="56" t="s">
        <v>89</v>
      </c>
      <c r="M114" s="337"/>
      <c r="O114" s="337"/>
      <c r="Q114" s="337"/>
      <c r="S114" s="337"/>
      <c r="T114" s="56">
        <v>9573154.6099999994</v>
      </c>
      <c r="U114" s="56" t="s">
        <v>3888</v>
      </c>
      <c r="V114" s="56" t="s">
        <v>3889</v>
      </c>
      <c r="W114" s="56" t="s">
        <v>3890</v>
      </c>
    </row>
    <row r="115" spans="1:23" x14ac:dyDescent="0.3">
      <c r="A115" s="56" t="s">
        <v>25</v>
      </c>
      <c r="B115" s="56" t="s">
        <v>106</v>
      </c>
      <c r="C115" s="56" t="s">
        <v>343</v>
      </c>
      <c r="D115" s="56">
        <v>1</v>
      </c>
      <c r="E115" s="56">
        <v>23635006.18</v>
      </c>
      <c r="F115" s="56">
        <v>0.1426</v>
      </c>
      <c r="G115" s="247"/>
      <c r="H115" s="248"/>
      <c r="I115" s="56" t="s">
        <v>45</v>
      </c>
      <c r="J115" s="56" t="s">
        <v>45</v>
      </c>
      <c r="K115" s="56" t="s">
        <v>89</v>
      </c>
      <c r="L115" s="56">
        <v>16478968.02</v>
      </c>
      <c r="M115" s="337">
        <v>0.823948401</v>
      </c>
      <c r="O115" s="337"/>
      <c r="Q115" s="337"/>
      <c r="S115" s="337"/>
      <c r="T115" s="56">
        <v>16478968.02</v>
      </c>
      <c r="U115" s="56" t="s">
        <v>1649</v>
      </c>
      <c r="V115" s="56" t="s">
        <v>1653</v>
      </c>
      <c r="W115" s="56" t="s">
        <v>1654</v>
      </c>
    </row>
    <row r="116" spans="1:23" x14ac:dyDescent="0.3">
      <c r="A116" s="56" t="s">
        <v>25</v>
      </c>
      <c r="B116" s="56" t="s">
        <v>101</v>
      </c>
      <c r="C116" s="56" t="s">
        <v>312</v>
      </c>
      <c r="D116" s="56">
        <v>7</v>
      </c>
      <c r="E116" s="56">
        <v>80152359.890000001</v>
      </c>
      <c r="F116" s="56">
        <v>0.48380000000000001</v>
      </c>
      <c r="G116" s="247"/>
      <c r="H116" s="248"/>
      <c r="I116" s="56" t="s">
        <v>45</v>
      </c>
      <c r="J116" s="56" t="s">
        <v>45</v>
      </c>
      <c r="K116" s="56" t="s">
        <v>89</v>
      </c>
      <c r="M116" s="337"/>
      <c r="O116" s="337"/>
      <c r="Q116" s="337"/>
      <c r="S116" s="337"/>
      <c r="T116" s="56">
        <v>38284314.530000001</v>
      </c>
      <c r="U116" s="56" t="s">
        <v>2020</v>
      </c>
      <c r="V116" s="56" t="s">
        <v>2021</v>
      </c>
      <c r="W116" s="56" t="s">
        <v>2022</v>
      </c>
    </row>
    <row r="117" spans="1:23" x14ac:dyDescent="0.3">
      <c r="A117" s="56" t="s">
        <v>25</v>
      </c>
      <c r="B117" s="56" t="s">
        <v>101</v>
      </c>
      <c r="C117" s="56" t="s">
        <v>313</v>
      </c>
      <c r="D117" s="56">
        <v>5</v>
      </c>
      <c r="E117" s="56">
        <v>47618134.18</v>
      </c>
      <c r="F117" s="56">
        <v>0.28739999999999999</v>
      </c>
      <c r="G117" s="247"/>
      <c r="H117" s="248"/>
      <c r="I117" s="56" t="s">
        <v>45</v>
      </c>
      <c r="J117" s="56" t="s">
        <v>45</v>
      </c>
      <c r="K117" s="56" t="s">
        <v>89</v>
      </c>
      <c r="L117" s="56">
        <v>11113808.76</v>
      </c>
      <c r="M117" s="337">
        <v>0.69461304750000008</v>
      </c>
      <c r="O117" s="337"/>
      <c r="Q117" s="337"/>
      <c r="S117" s="337"/>
      <c r="T117" s="56">
        <v>11113808.76</v>
      </c>
      <c r="U117" s="56" t="s">
        <v>2074</v>
      </c>
      <c r="V117" s="56" t="s">
        <v>2077</v>
      </c>
      <c r="W117" s="56" t="s">
        <v>2078</v>
      </c>
    </row>
    <row r="118" spans="1:23" x14ac:dyDescent="0.3">
      <c r="A118" s="56" t="s">
        <v>25</v>
      </c>
      <c r="B118" s="56" t="s">
        <v>101</v>
      </c>
      <c r="C118" s="56" t="s">
        <v>314</v>
      </c>
      <c r="D118" s="56">
        <v>1</v>
      </c>
      <c r="E118" s="56">
        <v>12807037.58</v>
      </c>
      <c r="F118" s="56">
        <v>7.7299999999999994E-2</v>
      </c>
      <c r="G118" s="247"/>
      <c r="H118" s="248"/>
      <c r="I118" s="56" t="s">
        <v>45</v>
      </c>
      <c r="J118" s="56" t="s">
        <v>45</v>
      </c>
      <c r="K118" s="56" t="s">
        <v>89</v>
      </c>
      <c r="M118" s="337"/>
      <c r="O118" s="337"/>
      <c r="Q118" s="337"/>
      <c r="S118" s="337"/>
      <c r="T118" s="56">
        <v>3867732.21</v>
      </c>
      <c r="U118" s="56" t="s">
        <v>2195</v>
      </c>
      <c r="V118" s="56" t="s">
        <v>2198</v>
      </c>
      <c r="W118" s="56" t="s">
        <v>2199</v>
      </c>
    </row>
    <row r="119" spans="1:23" x14ac:dyDescent="0.3">
      <c r="A119" s="56" t="s">
        <v>25</v>
      </c>
      <c r="B119" s="56" t="s">
        <v>26</v>
      </c>
      <c r="C119" s="56" t="s">
        <v>312</v>
      </c>
      <c r="D119" s="56">
        <v>54</v>
      </c>
      <c r="E119" s="56">
        <v>370414633.47000003</v>
      </c>
      <c r="F119" s="56">
        <v>2.2359</v>
      </c>
      <c r="G119" s="247"/>
      <c r="H119" s="248"/>
      <c r="I119" s="56" t="s">
        <v>45</v>
      </c>
      <c r="J119" s="56" t="s">
        <v>45</v>
      </c>
      <c r="K119" s="56" t="s">
        <v>89</v>
      </c>
      <c r="L119" s="56">
        <v>28736718.07</v>
      </c>
      <c r="M119" s="337">
        <v>0.71841795175000001</v>
      </c>
      <c r="O119" s="337"/>
      <c r="Q119" s="337"/>
      <c r="S119" s="337"/>
      <c r="T119" s="56">
        <v>28736718.07</v>
      </c>
      <c r="U119" s="56" t="s">
        <v>2343</v>
      </c>
      <c r="V119" s="56" t="s">
        <v>2344</v>
      </c>
      <c r="W119" s="56" t="s">
        <v>2345</v>
      </c>
    </row>
    <row r="120" spans="1:23" x14ac:dyDescent="0.3">
      <c r="A120" s="56" t="s">
        <v>25</v>
      </c>
      <c r="B120" s="56" t="s">
        <v>26</v>
      </c>
      <c r="C120" s="56" t="s">
        <v>313</v>
      </c>
      <c r="D120" s="56">
        <v>44</v>
      </c>
      <c r="E120" s="56">
        <v>418247661.42000002</v>
      </c>
      <c r="F120" s="56">
        <v>2.5247000000000002</v>
      </c>
      <c r="G120" s="247"/>
      <c r="H120" s="248"/>
      <c r="I120" s="56" t="s">
        <v>45</v>
      </c>
      <c r="J120" s="56" t="s">
        <v>45</v>
      </c>
      <c r="K120" s="56" t="s">
        <v>89</v>
      </c>
      <c r="M120" s="337"/>
      <c r="O120" s="337"/>
      <c r="Q120" s="337"/>
      <c r="S120" s="337"/>
      <c r="T120" s="56">
        <v>525471.80000000005</v>
      </c>
      <c r="U120" s="56" t="s">
        <v>3468</v>
      </c>
      <c r="V120" s="56" t="s">
        <v>3472</v>
      </c>
      <c r="W120" s="56" t="s">
        <v>3473</v>
      </c>
    </row>
    <row r="121" spans="1:23" x14ac:dyDescent="0.3">
      <c r="A121" s="56" t="s">
        <v>25</v>
      </c>
      <c r="B121" s="56" t="s">
        <v>26</v>
      </c>
      <c r="C121" s="56" t="s">
        <v>314</v>
      </c>
      <c r="D121" s="56">
        <v>18</v>
      </c>
      <c r="E121" s="56">
        <v>195598609.78999999</v>
      </c>
      <c r="F121" s="56">
        <v>1.1807000000000001</v>
      </c>
      <c r="G121" s="247"/>
      <c r="H121" s="248"/>
      <c r="I121" s="56" t="s">
        <v>45</v>
      </c>
      <c r="J121" s="56" t="s">
        <v>45</v>
      </c>
      <c r="K121" s="56" t="s">
        <v>89</v>
      </c>
      <c r="M121" s="337"/>
      <c r="O121" s="337"/>
      <c r="Q121" s="337"/>
      <c r="S121" s="337"/>
      <c r="T121" s="56">
        <v>10299259.609999999</v>
      </c>
      <c r="U121" s="56" t="s">
        <v>2452</v>
      </c>
      <c r="V121" s="56" t="s">
        <v>2453</v>
      </c>
      <c r="W121" s="56" t="s">
        <v>2454</v>
      </c>
    </row>
    <row r="122" spans="1:23" x14ac:dyDescent="0.3">
      <c r="A122" s="56" t="s">
        <v>25</v>
      </c>
      <c r="B122" s="56" t="s">
        <v>26</v>
      </c>
      <c r="C122" s="56" t="s">
        <v>343</v>
      </c>
      <c r="D122" s="56">
        <v>9</v>
      </c>
      <c r="E122" s="56">
        <v>93076285.659999996</v>
      </c>
      <c r="F122" s="56">
        <v>0.56179999999999997</v>
      </c>
      <c r="G122" s="247"/>
      <c r="H122" s="248"/>
      <c r="I122" s="56" t="s">
        <v>45</v>
      </c>
      <c r="J122" s="56" t="s">
        <v>45</v>
      </c>
      <c r="K122" s="56" t="s">
        <v>89</v>
      </c>
      <c r="M122" s="337"/>
      <c r="O122" s="337"/>
      <c r="Q122" s="337"/>
      <c r="S122" s="337"/>
      <c r="T122" s="56">
        <v>20029030.98</v>
      </c>
      <c r="U122" s="56" t="s">
        <v>2679</v>
      </c>
      <c r="V122" s="56" t="s">
        <v>2693</v>
      </c>
      <c r="W122" s="56" t="s">
        <v>2694</v>
      </c>
    </row>
    <row r="123" spans="1:23" x14ac:dyDescent="0.3">
      <c r="A123" s="56" t="s">
        <v>25</v>
      </c>
      <c r="B123" s="56" t="s">
        <v>26</v>
      </c>
      <c r="C123" s="56" t="s">
        <v>4040</v>
      </c>
      <c r="D123" s="56">
        <v>1</v>
      </c>
      <c r="E123" s="56">
        <v>48442901.219999999</v>
      </c>
      <c r="F123" s="56">
        <v>0.29239999999999999</v>
      </c>
      <c r="G123" s="247"/>
      <c r="H123" s="248"/>
      <c r="I123" s="56" t="s">
        <v>45</v>
      </c>
      <c r="J123" s="56" t="s">
        <v>45</v>
      </c>
      <c r="K123" s="56" t="s">
        <v>89</v>
      </c>
      <c r="M123" s="337"/>
      <c r="O123" s="337"/>
      <c r="Q123" s="337"/>
      <c r="S123" s="337"/>
      <c r="T123" s="56">
        <v>12422815.15</v>
      </c>
      <c r="U123" s="56" t="s">
        <v>3314</v>
      </c>
      <c r="V123" s="56" t="s">
        <v>3321</v>
      </c>
      <c r="W123" s="56" t="s">
        <v>3322</v>
      </c>
    </row>
    <row r="124" spans="1:23" x14ac:dyDescent="0.3">
      <c r="A124" s="56" t="s">
        <v>25</v>
      </c>
      <c r="B124" s="56" t="s">
        <v>94</v>
      </c>
      <c r="C124" s="56" t="s">
        <v>312</v>
      </c>
      <c r="D124" s="56">
        <v>17</v>
      </c>
      <c r="E124" s="56">
        <v>83035797.090000004</v>
      </c>
      <c r="F124" s="56">
        <v>0.50119999999999998</v>
      </c>
      <c r="G124" s="247"/>
      <c r="H124" s="248"/>
      <c r="I124" s="56" t="s">
        <v>45</v>
      </c>
      <c r="J124" s="56" t="s">
        <v>45</v>
      </c>
      <c r="K124" s="56" t="s">
        <v>89</v>
      </c>
      <c r="M124" s="337"/>
      <c r="O124" s="337"/>
      <c r="Q124" s="337"/>
      <c r="S124" s="337"/>
      <c r="T124" s="56">
        <v>21197175.530000001</v>
      </c>
      <c r="U124" s="56" t="s">
        <v>3442</v>
      </c>
      <c r="V124" s="56" t="s">
        <v>3444</v>
      </c>
      <c r="W124" s="56" t="s">
        <v>3445</v>
      </c>
    </row>
    <row r="125" spans="1:23" x14ac:dyDescent="0.3">
      <c r="A125" s="56" t="s">
        <v>25</v>
      </c>
      <c r="B125" s="56" t="s">
        <v>94</v>
      </c>
      <c r="C125" s="56" t="s">
        <v>313</v>
      </c>
      <c r="D125" s="56">
        <v>4</v>
      </c>
      <c r="E125" s="56">
        <v>39433383.829999998</v>
      </c>
      <c r="F125" s="56">
        <v>0.23799999999999999</v>
      </c>
      <c r="G125" s="247"/>
      <c r="H125" s="248"/>
      <c r="I125" s="56" t="s">
        <v>45</v>
      </c>
      <c r="J125" s="56" t="s">
        <v>45</v>
      </c>
      <c r="K125" s="56" t="s">
        <v>89</v>
      </c>
      <c r="M125" s="337"/>
      <c r="O125" s="337"/>
      <c r="Q125" s="337"/>
      <c r="S125" s="337"/>
      <c r="T125" s="56">
        <v>48242615.479999997</v>
      </c>
      <c r="U125" s="56" t="s">
        <v>3560</v>
      </c>
      <c r="V125" s="56" t="s">
        <v>3606</v>
      </c>
      <c r="W125" s="56" t="s">
        <v>3607</v>
      </c>
    </row>
    <row r="126" spans="1:23" x14ac:dyDescent="0.3">
      <c r="A126" s="56" t="s">
        <v>25</v>
      </c>
      <c r="B126" s="56" t="s">
        <v>94</v>
      </c>
      <c r="C126" s="56" t="s">
        <v>314</v>
      </c>
      <c r="D126" s="56">
        <v>1</v>
      </c>
      <c r="E126" s="56">
        <v>851743.54</v>
      </c>
      <c r="F126" s="56">
        <v>5.1000000000000004E-3</v>
      </c>
      <c r="G126" s="247"/>
      <c r="H126" s="248"/>
      <c r="I126" s="56" t="s">
        <v>45</v>
      </c>
      <c r="J126" s="56" t="s">
        <v>45</v>
      </c>
      <c r="K126" s="56" t="s">
        <v>89</v>
      </c>
      <c r="M126" s="337"/>
      <c r="O126" s="337"/>
      <c r="Q126" s="337"/>
      <c r="S126" s="337"/>
      <c r="T126" s="56">
        <v>2959995.95</v>
      </c>
      <c r="U126" s="56" t="s">
        <v>3708</v>
      </c>
      <c r="V126" s="56" t="s">
        <v>3722</v>
      </c>
      <c r="W126" s="56" t="s">
        <v>3723</v>
      </c>
    </row>
    <row r="127" spans="1:23" x14ac:dyDescent="0.3">
      <c r="A127" s="56" t="s">
        <v>25</v>
      </c>
      <c r="B127" s="56" t="s">
        <v>94</v>
      </c>
      <c r="C127" s="56" t="s">
        <v>343</v>
      </c>
      <c r="D127" s="56">
        <v>2</v>
      </c>
      <c r="E127" s="56">
        <v>1157304.01</v>
      </c>
      <c r="F127" s="56">
        <v>6.8999999999999999E-3</v>
      </c>
      <c r="G127" s="247"/>
      <c r="H127" s="248"/>
      <c r="I127" s="56" t="s">
        <v>45</v>
      </c>
      <c r="J127" s="56" t="s">
        <v>45</v>
      </c>
      <c r="K127" s="56" t="s">
        <v>89</v>
      </c>
      <c r="M127" s="337"/>
      <c r="O127" s="337"/>
      <c r="Q127" s="337"/>
      <c r="S127" s="337"/>
      <c r="T127" s="56">
        <v>16893372.43</v>
      </c>
      <c r="U127" s="56" t="s">
        <v>3783</v>
      </c>
      <c r="V127" s="56" t="s">
        <v>3792</v>
      </c>
      <c r="W127" s="56" t="s">
        <v>3793</v>
      </c>
    </row>
    <row r="128" spans="1:23" x14ac:dyDescent="0.3">
      <c r="A128" s="56" t="s">
        <v>37</v>
      </c>
      <c r="B128" s="56" t="s">
        <v>38</v>
      </c>
      <c r="C128" s="56" t="s">
        <v>312</v>
      </c>
      <c r="D128" s="56">
        <v>19</v>
      </c>
      <c r="E128" s="56">
        <v>165919687.66999999</v>
      </c>
      <c r="F128" s="56">
        <v>1.0015000000000001</v>
      </c>
      <c r="G128" s="247"/>
      <c r="H128" s="248"/>
      <c r="I128" s="56" t="s">
        <v>45</v>
      </c>
      <c r="J128" s="56" t="s">
        <v>45</v>
      </c>
      <c r="K128" s="56" t="s">
        <v>89</v>
      </c>
      <c r="M128" s="337"/>
      <c r="O128" s="337"/>
      <c r="Q128" s="337"/>
      <c r="S128" s="337"/>
      <c r="T128" s="56">
        <v>20784052.870000001</v>
      </c>
      <c r="U128" s="56" t="s">
        <v>3901</v>
      </c>
      <c r="V128" s="56" t="s">
        <v>3911</v>
      </c>
      <c r="W128" s="56" t="s">
        <v>3912</v>
      </c>
    </row>
    <row r="129" spans="1:23" x14ac:dyDescent="0.3">
      <c r="A129" s="56" t="s">
        <v>37</v>
      </c>
      <c r="B129" s="56" t="s">
        <v>38</v>
      </c>
      <c r="C129" s="56" t="s">
        <v>313</v>
      </c>
      <c r="D129" s="56">
        <v>10</v>
      </c>
      <c r="E129" s="56">
        <v>142427801.88999999</v>
      </c>
      <c r="F129" s="56">
        <v>0.85970000000000002</v>
      </c>
      <c r="G129" s="247"/>
      <c r="H129" s="248"/>
      <c r="I129" s="56" t="s">
        <v>45</v>
      </c>
      <c r="J129" s="56" t="s">
        <v>45</v>
      </c>
      <c r="K129" s="56" t="s">
        <v>89</v>
      </c>
      <c r="M129" s="337"/>
      <c r="O129" s="337"/>
      <c r="Q129" s="337"/>
      <c r="S129" s="337"/>
      <c r="T129" s="56">
        <v>3014512.29</v>
      </c>
      <c r="U129" s="56" t="s">
        <v>3902</v>
      </c>
      <c r="V129" s="56" t="s">
        <v>3909</v>
      </c>
      <c r="W129" s="56" t="s">
        <v>3910</v>
      </c>
    </row>
    <row r="130" spans="1:23" x14ac:dyDescent="0.3">
      <c r="A130" s="56" t="s">
        <v>37</v>
      </c>
      <c r="B130" s="56" t="s">
        <v>38</v>
      </c>
      <c r="C130" s="56" t="s">
        <v>314</v>
      </c>
      <c r="D130" s="56">
        <v>6</v>
      </c>
      <c r="E130" s="56">
        <v>43102744.560000002</v>
      </c>
      <c r="F130" s="56">
        <v>0.2601</v>
      </c>
      <c r="G130" s="247"/>
      <c r="H130" s="248"/>
      <c r="I130" s="56" t="s">
        <v>45</v>
      </c>
      <c r="J130" s="56" t="s">
        <v>45</v>
      </c>
      <c r="K130" s="56" t="s">
        <v>89</v>
      </c>
      <c r="M130" s="337"/>
      <c r="O130" s="337"/>
      <c r="Q130" s="337"/>
      <c r="S130" s="337"/>
      <c r="T130" s="56">
        <v>1785699.53</v>
      </c>
      <c r="U130" s="56" t="s">
        <v>4130</v>
      </c>
      <c r="V130" s="56" t="s">
        <v>4149</v>
      </c>
      <c r="W130" s="56" t="s">
        <v>4150</v>
      </c>
    </row>
    <row r="131" spans="1:23" x14ac:dyDescent="0.3">
      <c r="A131" s="56" t="s">
        <v>37</v>
      </c>
      <c r="B131" s="56" t="s">
        <v>38</v>
      </c>
      <c r="C131" s="56" t="s">
        <v>343</v>
      </c>
      <c r="D131" s="56">
        <v>2</v>
      </c>
      <c r="E131" s="56">
        <v>71730185.920000002</v>
      </c>
      <c r="F131" s="56">
        <v>0.43290000000000001</v>
      </c>
      <c r="G131" s="247"/>
      <c r="H131" s="248"/>
      <c r="I131" s="56" t="s">
        <v>45</v>
      </c>
      <c r="J131" s="56" t="s">
        <v>45</v>
      </c>
      <c r="K131" s="56" t="s">
        <v>89</v>
      </c>
      <c r="M131" s="337"/>
      <c r="O131" s="337"/>
      <c r="Q131" s="337"/>
      <c r="S131" s="337"/>
      <c r="T131" s="56">
        <v>23725290.16</v>
      </c>
      <c r="U131" s="56" t="s">
        <v>4776</v>
      </c>
      <c r="V131" s="56" t="s">
        <v>4795</v>
      </c>
      <c r="W131" s="56" t="s">
        <v>4796</v>
      </c>
    </row>
    <row r="132" spans="1:23" x14ac:dyDescent="0.3">
      <c r="A132" s="56" t="s">
        <v>37</v>
      </c>
      <c r="B132" s="56" t="s">
        <v>2192</v>
      </c>
      <c r="C132" s="56" t="s">
        <v>313</v>
      </c>
      <c r="D132" s="56">
        <v>1</v>
      </c>
      <c r="E132" s="56">
        <v>4501411.18</v>
      </c>
      <c r="F132" s="56">
        <v>2.7099999999999999E-2</v>
      </c>
      <c r="G132" s="247"/>
      <c r="H132" s="248"/>
      <c r="I132" s="56" t="s">
        <v>45</v>
      </c>
      <c r="J132" s="56" t="s">
        <v>45</v>
      </c>
      <c r="K132" s="56" t="s">
        <v>89</v>
      </c>
      <c r="M132" s="337"/>
      <c r="O132" s="337"/>
      <c r="Q132" s="337"/>
      <c r="S132" s="337"/>
      <c r="T132" s="56">
        <v>4455396.6500000004</v>
      </c>
      <c r="U132" s="56" t="s">
        <v>5127</v>
      </c>
      <c r="V132" s="56" t="s">
        <v>5138</v>
      </c>
      <c r="W132" s="56" t="s">
        <v>5139</v>
      </c>
    </row>
    <row r="133" spans="1:23" x14ac:dyDescent="0.3">
      <c r="A133" s="56" t="s">
        <v>37</v>
      </c>
      <c r="B133" s="56" t="s">
        <v>26</v>
      </c>
      <c r="C133" s="56" t="s">
        <v>312</v>
      </c>
      <c r="D133" s="56">
        <v>1</v>
      </c>
      <c r="E133" s="56">
        <v>1026841.7</v>
      </c>
      <c r="F133" s="56">
        <v>6.1000000000000004E-3</v>
      </c>
      <c r="G133" s="247"/>
      <c r="H133" s="248"/>
      <c r="I133" s="56" t="s">
        <v>45</v>
      </c>
      <c r="J133" s="56" t="s">
        <v>26</v>
      </c>
      <c r="K133" s="56" t="s">
        <v>26</v>
      </c>
      <c r="M133" s="337"/>
      <c r="O133" s="337"/>
      <c r="Q133" s="337"/>
      <c r="S133" s="337"/>
      <c r="T133" s="56">
        <v>19299402.359999999</v>
      </c>
      <c r="U133" s="56" t="s">
        <v>1262</v>
      </c>
      <c r="V133" s="56" t="s">
        <v>1263</v>
      </c>
      <c r="W133" s="56" t="s">
        <v>1264</v>
      </c>
    </row>
    <row r="134" spans="1:23" x14ac:dyDescent="0.3">
      <c r="A134" s="56" t="s">
        <v>37</v>
      </c>
      <c r="B134" s="56" t="s">
        <v>26</v>
      </c>
      <c r="C134" s="56" t="s">
        <v>313</v>
      </c>
      <c r="D134" s="56">
        <v>1</v>
      </c>
      <c r="E134" s="56">
        <v>11942392.939999999</v>
      </c>
      <c r="F134" s="56">
        <v>7.1999999999999995E-2</v>
      </c>
      <c r="G134" s="247"/>
      <c r="H134" s="248"/>
      <c r="I134" s="56" t="s">
        <v>43</v>
      </c>
      <c r="J134" s="56" t="s">
        <v>338</v>
      </c>
      <c r="K134" s="56" t="s">
        <v>4724</v>
      </c>
      <c r="M134" s="337"/>
      <c r="O134" s="337"/>
      <c r="Q134" s="337"/>
      <c r="S134" s="337"/>
      <c r="T134" s="56">
        <v>12341899.75</v>
      </c>
      <c r="U134" s="56" t="s">
        <v>4723</v>
      </c>
      <c r="V134" s="56" t="s">
        <v>4725</v>
      </c>
      <c r="W134" s="56" t="s">
        <v>4726</v>
      </c>
    </row>
    <row r="135" spans="1:23" x14ac:dyDescent="0.3">
      <c r="A135" s="56" t="s">
        <v>37</v>
      </c>
      <c r="B135" s="56" t="s">
        <v>26</v>
      </c>
      <c r="C135" s="56" t="s">
        <v>314</v>
      </c>
      <c r="D135" s="56">
        <v>1</v>
      </c>
      <c r="E135" s="56">
        <v>15219031</v>
      </c>
      <c r="F135" s="56">
        <v>9.1800000000000007E-2</v>
      </c>
      <c r="G135" s="247"/>
      <c r="H135" s="248"/>
      <c r="I135" s="56" t="s">
        <v>43</v>
      </c>
      <c r="J135" s="56" t="s">
        <v>338</v>
      </c>
      <c r="K135" s="56" t="s">
        <v>339</v>
      </c>
      <c r="M135" s="337"/>
      <c r="O135" s="337"/>
      <c r="Q135" s="337"/>
      <c r="S135" s="337"/>
      <c r="T135" s="56">
        <v>9037977.4499999993</v>
      </c>
      <c r="U135" s="56" t="s">
        <v>1144</v>
      </c>
      <c r="V135" s="56" t="s">
        <v>1318</v>
      </c>
      <c r="W135" s="56" t="s">
        <v>1319</v>
      </c>
    </row>
    <row r="136" spans="1:23" x14ac:dyDescent="0.3">
      <c r="A136" s="56" t="s">
        <v>37</v>
      </c>
      <c r="B136" s="56" t="s">
        <v>288</v>
      </c>
      <c r="C136" s="56" t="s">
        <v>312</v>
      </c>
      <c r="D136" s="56">
        <v>9</v>
      </c>
      <c r="E136" s="56">
        <v>157469908.18000001</v>
      </c>
      <c r="F136" s="56">
        <v>0.95050000000000001</v>
      </c>
      <c r="G136" s="247"/>
      <c r="H136" s="248"/>
      <c r="I136" s="56" t="s">
        <v>43</v>
      </c>
      <c r="J136" s="56" t="s">
        <v>338</v>
      </c>
      <c r="K136" s="56" t="s">
        <v>339</v>
      </c>
      <c r="M136" s="337"/>
      <c r="O136" s="337"/>
      <c r="Q136" s="337"/>
      <c r="S136" s="337"/>
      <c r="T136" s="56">
        <v>1939877.81</v>
      </c>
      <c r="U136" s="56" t="s">
        <v>650</v>
      </c>
      <c r="V136" s="56" t="s">
        <v>656</v>
      </c>
      <c r="W136" s="56" t="s">
        <v>657</v>
      </c>
    </row>
    <row r="137" spans="1:23" x14ac:dyDescent="0.3">
      <c r="A137" s="56" t="s">
        <v>37</v>
      </c>
      <c r="B137" s="56" t="s">
        <v>288</v>
      </c>
      <c r="C137" s="56" t="s">
        <v>313</v>
      </c>
      <c r="D137" s="56">
        <v>6</v>
      </c>
      <c r="E137" s="56">
        <v>87850769.760000005</v>
      </c>
      <c r="F137" s="56">
        <v>0.53029999999999999</v>
      </c>
      <c r="G137" s="247"/>
      <c r="H137" s="248"/>
      <c r="I137" s="56" t="s">
        <v>43</v>
      </c>
      <c r="J137" s="56" t="s">
        <v>338</v>
      </c>
      <c r="K137" s="56" t="s">
        <v>339</v>
      </c>
      <c r="M137" s="337"/>
      <c r="O137" s="337"/>
      <c r="Q137" s="337"/>
      <c r="S137" s="337"/>
      <c r="T137" s="56">
        <v>2353744.7999999998</v>
      </c>
      <c r="U137" s="56" t="s">
        <v>1410</v>
      </c>
      <c r="V137" s="56" t="s">
        <v>2841</v>
      </c>
      <c r="W137" s="56" t="s">
        <v>2842</v>
      </c>
    </row>
    <row r="138" spans="1:23" x14ac:dyDescent="0.3">
      <c r="A138" s="56" t="s">
        <v>37</v>
      </c>
      <c r="B138" s="56" t="s">
        <v>288</v>
      </c>
      <c r="C138" s="56" t="s">
        <v>314</v>
      </c>
      <c r="D138" s="56">
        <v>5</v>
      </c>
      <c r="E138" s="56">
        <v>126442761.20999999</v>
      </c>
      <c r="F138" s="56">
        <v>0.76319999999999999</v>
      </c>
      <c r="G138" s="247"/>
      <c r="H138" s="248"/>
      <c r="I138" s="56" t="s">
        <v>43</v>
      </c>
      <c r="J138" s="56" t="s">
        <v>338</v>
      </c>
      <c r="K138" s="56" t="s">
        <v>339</v>
      </c>
      <c r="M138" s="337"/>
      <c r="O138" s="337"/>
      <c r="Q138" s="337"/>
      <c r="S138" s="337"/>
      <c r="T138" s="56">
        <v>9905521.0899999999</v>
      </c>
      <c r="U138" s="56" t="s">
        <v>1600</v>
      </c>
      <c r="V138" s="56" t="s">
        <v>1923</v>
      </c>
      <c r="W138" s="56" t="s">
        <v>1924</v>
      </c>
    </row>
    <row r="139" spans="1:23" x14ac:dyDescent="0.3">
      <c r="A139" s="56" t="s">
        <v>37</v>
      </c>
      <c r="B139" s="56" t="s">
        <v>288</v>
      </c>
      <c r="C139" s="56" t="s">
        <v>343</v>
      </c>
      <c r="D139" s="56">
        <v>2</v>
      </c>
      <c r="E139" s="56">
        <v>7487476.4199999999</v>
      </c>
      <c r="F139" s="56">
        <v>4.5100000000000001E-2</v>
      </c>
      <c r="G139" s="247"/>
      <c r="H139" s="248"/>
      <c r="I139" s="56" t="s">
        <v>43</v>
      </c>
      <c r="J139" s="56" t="s">
        <v>338</v>
      </c>
      <c r="K139" s="56" t="s">
        <v>339</v>
      </c>
      <c r="M139" s="337"/>
      <c r="O139" s="337"/>
      <c r="Q139" s="337"/>
      <c r="S139" s="337"/>
      <c r="T139" s="56">
        <v>9929962.5099999998</v>
      </c>
      <c r="U139" s="56" t="s">
        <v>913</v>
      </c>
      <c r="V139" s="56" t="s">
        <v>2424</v>
      </c>
      <c r="W139" s="56" t="s">
        <v>2425</v>
      </c>
    </row>
    <row r="140" spans="1:23" x14ac:dyDescent="0.3">
      <c r="A140" s="56" t="s">
        <v>37</v>
      </c>
      <c r="B140" s="56" t="s">
        <v>288</v>
      </c>
      <c r="C140" s="56" t="s">
        <v>4040</v>
      </c>
      <c r="D140" s="56">
        <v>1</v>
      </c>
      <c r="E140" s="56">
        <v>33157684.32</v>
      </c>
      <c r="F140" s="56">
        <v>0.2001</v>
      </c>
      <c r="G140" s="247"/>
      <c r="H140" s="248"/>
      <c r="I140" s="56" t="s">
        <v>43</v>
      </c>
      <c r="J140" s="56" t="s">
        <v>338</v>
      </c>
      <c r="K140" s="56" t="s">
        <v>339</v>
      </c>
      <c r="L140" s="56">
        <v>8898075.0199999996</v>
      </c>
      <c r="M140" s="337">
        <v>0.72072358644843726</v>
      </c>
      <c r="N140" s="56">
        <v>8898075.0199999996</v>
      </c>
      <c r="O140" s="337">
        <v>0.72072358644843726</v>
      </c>
      <c r="P140" s="56">
        <v>8898075.0199999996</v>
      </c>
      <c r="Q140" s="337">
        <v>0.72072358644843726</v>
      </c>
      <c r="S140" s="337"/>
      <c r="T140" s="56">
        <v>8898075.0199999996</v>
      </c>
      <c r="U140" s="56" t="s">
        <v>1255</v>
      </c>
      <c r="V140" s="56" t="s">
        <v>1973</v>
      </c>
      <c r="W140" s="56" t="s">
        <v>1523</v>
      </c>
    </row>
    <row r="141" spans="1:23" x14ac:dyDescent="0.3">
      <c r="A141" s="56" t="s">
        <v>37</v>
      </c>
      <c r="B141" s="56" t="s">
        <v>686</v>
      </c>
      <c r="C141" s="56" t="s">
        <v>312</v>
      </c>
      <c r="D141" s="56">
        <v>2</v>
      </c>
      <c r="E141" s="56">
        <v>40260001.770000003</v>
      </c>
      <c r="F141" s="56">
        <v>0.24299999999999999</v>
      </c>
      <c r="G141" s="247"/>
      <c r="H141" s="248"/>
      <c r="I141" s="56" t="s">
        <v>43</v>
      </c>
      <c r="J141" s="56" t="s">
        <v>338</v>
      </c>
      <c r="K141" s="56" t="s">
        <v>339</v>
      </c>
      <c r="M141" s="337"/>
      <c r="O141" s="337"/>
      <c r="Q141" s="337"/>
      <c r="S141" s="337"/>
      <c r="T141" s="56">
        <v>3973137.41</v>
      </c>
      <c r="U141" s="56" t="s">
        <v>1641</v>
      </c>
      <c r="V141" s="56" t="s">
        <v>1643</v>
      </c>
      <c r="W141" s="56" t="s">
        <v>1644</v>
      </c>
    </row>
    <row r="142" spans="1:23" x14ac:dyDescent="0.3">
      <c r="A142" s="56" t="s">
        <v>37</v>
      </c>
      <c r="B142" s="56" t="s">
        <v>686</v>
      </c>
      <c r="C142" s="56" t="s">
        <v>313</v>
      </c>
      <c r="D142" s="56">
        <v>3</v>
      </c>
      <c r="E142" s="56">
        <v>42598946.880000003</v>
      </c>
      <c r="F142" s="56">
        <v>0.2571</v>
      </c>
      <c r="G142" s="247"/>
      <c r="H142" s="248"/>
      <c r="I142" s="56" t="s">
        <v>43</v>
      </c>
      <c r="J142" s="56" t="s">
        <v>338</v>
      </c>
      <c r="K142" s="56" t="s">
        <v>339</v>
      </c>
      <c r="L142" s="56">
        <v>11039485.130000001</v>
      </c>
      <c r="M142" s="337">
        <v>0.4415794052</v>
      </c>
      <c r="O142" s="337"/>
      <c r="Q142" s="337"/>
      <c r="S142" s="337"/>
      <c r="T142" s="56">
        <v>11039485.130000001</v>
      </c>
      <c r="U142" s="56" t="s">
        <v>2326</v>
      </c>
      <c r="V142" s="56" t="s">
        <v>2328</v>
      </c>
      <c r="W142" s="56" t="s">
        <v>128</v>
      </c>
    </row>
    <row r="143" spans="1:23" x14ac:dyDescent="0.3">
      <c r="A143" s="56" t="s">
        <v>27</v>
      </c>
      <c r="B143" s="56" t="s">
        <v>81</v>
      </c>
      <c r="C143" s="56" t="s">
        <v>312</v>
      </c>
      <c r="D143" s="56">
        <v>28</v>
      </c>
      <c r="E143" s="56">
        <v>379013953.13</v>
      </c>
      <c r="F143" s="56">
        <v>2.2879</v>
      </c>
      <c r="G143" s="247"/>
      <c r="H143" s="248"/>
      <c r="I143" s="56" t="s">
        <v>43</v>
      </c>
      <c r="J143" s="56" t="s">
        <v>338</v>
      </c>
      <c r="K143" s="56" t="s">
        <v>339</v>
      </c>
      <c r="M143" s="337"/>
      <c r="O143" s="337"/>
      <c r="Q143" s="337"/>
      <c r="S143" s="337"/>
      <c r="T143" s="56">
        <v>3408168.64</v>
      </c>
      <c r="U143" s="56" t="s">
        <v>4850</v>
      </c>
      <c r="V143" s="56" t="s">
        <v>340</v>
      </c>
      <c r="W143" s="56" t="s">
        <v>341</v>
      </c>
    </row>
    <row r="144" spans="1:23" x14ac:dyDescent="0.3">
      <c r="A144" s="56" t="s">
        <v>27</v>
      </c>
      <c r="B144" s="56" t="s">
        <v>81</v>
      </c>
      <c r="C144" s="56" t="s">
        <v>313</v>
      </c>
      <c r="D144" s="56">
        <v>13</v>
      </c>
      <c r="E144" s="56">
        <v>215113523.83000001</v>
      </c>
      <c r="F144" s="56">
        <v>1.2985</v>
      </c>
      <c r="G144" s="247"/>
      <c r="H144" s="248"/>
      <c r="I144" s="56" t="s">
        <v>43</v>
      </c>
      <c r="J144" s="56" t="s">
        <v>338</v>
      </c>
      <c r="K144" s="56" t="s">
        <v>339</v>
      </c>
      <c r="M144" s="337"/>
      <c r="O144" s="337"/>
      <c r="Q144" s="337"/>
      <c r="S144" s="337"/>
      <c r="T144" s="56">
        <v>38596808.380000003</v>
      </c>
      <c r="U144" s="56" t="s">
        <v>1854</v>
      </c>
      <c r="V144" s="56" t="s">
        <v>1855</v>
      </c>
      <c r="W144" s="56" t="s">
        <v>1856</v>
      </c>
    </row>
    <row r="145" spans="1:23" x14ac:dyDescent="0.3">
      <c r="A145" s="56" t="s">
        <v>27</v>
      </c>
      <c r="B145" s="56" t="s">
        <v>81</v>
      </c>
      <c r="C145" s="56" t="s">
        <v>314</v>
      </c>
      <c r="D145" s="56">
        <v>5</v>
      </c>
      <c r="E145" s="56">
        <v>85346124.700000003</v>
      </c>
      <c r="F145" s="56">
        <v>0.5151</v>
      </c>
      <c r="G145" s="247"/>
      <c r="H145" s="248"/>
      <c r="I145" s="56" t="s">
        <v>43</v>
      </c>
      <c r="J145" s="56" t="s">
        <v>338</v>
      </c>
      <c r="K145" s="56" t="s">
        <v>339</v>
      </c>
      <c r="L145" s="56">
        <v>36560150.299999997</v>
      </c>
      <c r="M145" s="337">
        <v>0.95298066677093107</v>
      </c>
      <c r="O145" s="337"/>
      <c r="Q145" s="337"/>
      <c r="S145" s="337"/>
      <c r="T145" s="56">
        <v>36560150.299999997</v>
      </c>
      <c r="U145" s="56" t="s">
        <v>1992</v>
      </c>
      <c r="V145" s="56" t="s">
        <v>1993</v>
      </c>
      <c r="W145" s="56" t="s">
        <v>1994</v>
      </c>
    </row>
    <row r="146" spans="1:23" x14ac:dyDescent="0.3">
      <c r="A146" s="56" t="s">
        <v>27</v>
      </c>
      <c r="B146" s="56" t="s">
        <v>81</v>
      </c>
      <c r="C146" s="56" t="s">
        <v>343</v>
      </c>
      <c r="D146" s="56">
        <v>2</v>
      </c>
      <c r="E146" s="56">
        <v>25135498.239999998</v>
      </c>
      <c r="F146" s="56">
        <v>0.1517</v>
      </c>
      <c r="G146" s="247"/>
      <c r="H146" s="248"/>
      <c r="I146" s="56" t="s">
        <v>43</v>
      </c>
      <c r="J146" s="56" t="s">
        <v>338</v>
      </c>
      <c r="K146" s="56" t="s">
        <v>339</v>
      </c>
      <c r="M146" s="337"/>
      <c r="O146" s="337"/>
      <c r="Q146" s="337"/>
      <c r="S146" s="337"/>
      <c r="T146" s="56">
        <v>9953772.6699999999</v>
      </c>
      <c r="U146" s="56" t="s">
        <v>2593</v>
      </c>
      <c r="V146" s="56" t="s">
        <v>2599</v>
      </c>
      <c r="W146" s="56" t="s">
        <v>2600</v>
      </c>
    </row>
    <row r="147" spans="1:23" x14ac:dyDescent="0.3">
      <c r="A147" s="56" t="s">
        <v>27</v>
      </c>
      <c r="B147" s="56" t="s">
        <v>81</v>
      </c>
      <c r="C147" s="56" t="s">
        <v>4040</v>
      </c>
      <c r="D147" s="56">
        <v>1</v>
      </c>
      <c r="E147" s="56">
        <v>22352970.59</v>
      </c>
      <c r="F147" s="56">
        <v>0.13489999999999999</v>
      </c>
      <c r="G147" s="247"/>
      <c r="H147" s="248"/>
      <c r="I147" s="56" t="s">
        <v>43</v>
      </c>
      <c r="J147" s="56" t="s">
        <v>338</v>
      </c>
      <c r="K147" s="56" t="s">
        <v>339</v>
      </c>
      <c r="M147" s="337"/>
      <c r="O147" s="337"/>
      <c r="Q147" s="337"/>
      <c r="S147" s="337"/>
      <c r="T147" s="56">
        <v>8902000</v>
      </c>
      <c r="U147" s="56" t="s">
        <v>4567</v>
      </c>
      <c r="V147" s="56" t="s">
        <v>1192</v>
      </c>
      <c r="W147" s="56" t="s">
        <v>4573</v>
      </c>
    </row>
    <row r="148" spans="1:23" x14ac:dyDescent="0.3">
      <c r="A148" s="56" t="s">
        <v>27</v>
      </c>
      <c r="B148" s="56" t="s">
        <v>116</v>
      </c>
      <c r="C148" s="56" t="s">
        <v>312</v>
      </c>
      <c r="D148" s="56">
        <v>14</v>
      </c>
      <c r="E148" s="56">
        <v>246379357.81999999</v>
      </c>
      <c r="F148" s="56">
        <v>1.4872000000000001</v>
      </c>
      <c r="G148" s="247"/>
      <c r="H148" s="248"/>
      <c r="I148" s="56" t="s">
        <v>43</v>
      </c>
      <c r="J148" s="56" t="s">
        <v>338</v>
      </c>
      <c r="K148" s="56" t="s">
        <v>339</v>
      </c>
      <c r="M148" s="337"/>
      <c r="O148" s="337"/>
      <c r="Q148" s="337"/>
      <c r="S148" s="337"/>
      <c r="T148" s="56">
        <v>5718054.1200000001</v>
      </c>
      <c r="U148" s="56" t="s">
        <v>4548</v>
      </c>
      <c r="V148" s="56" t="s">
        <v>4550</v>
      </c>
      <c r="W148" s="56" t="s">
        <v>4551</v>
      </c>
    </row>
    <row r="149" spans="1:23" x14ac:dyDescent="0.3">
      <c r="A149" s="56" t="s">
        <v>27</v>
      </c>
      <c r="B149" s="56" t="s">
        <v>116</v>
      </c>
      <c r="C149" s="56" t="s">
        <v>313</v>
      </c>
      <c r="D149" s="56">
        <v>5</v>
      </c>
      <c r="E149" s="56">
        <v>98499235.420000002</v>
      </c>
      <c r="F149" s="56">
        <v>0.59450000000000003</v>
      </c>
      <c r="G149" s="247"/>
      <c r="H149" s="248"/>
      <c r="I149" s="56" t="s">
        <v>43</v>
      </c>
      <c r="J149" s="56" t="s">
        <v>338</v>
      </c>
      <c r="K149" s="56" t="s">
        <v>339</v>
      </c>
      <c r="M149" s="337"/>
      <c r="O149" s="337"/>
      <c r="Q149" s="337"/>
      <c r="S149" s="337"/>
      <c r="T149" s="56">
        <v>18372668.670000002</v>
      </c>
      <c r="U149" s="56" t="s">
        <v>5543</v>
      </c>
      <c r="V149" s="56" t="s">
        <v>1547</v>
      </c>
      <c r="W149" s="56" t="s">
        <v>1548</v>
      </c>
    </row>
    <row r="150" spans="1:23" x14ac:dyDescent="0.3">
      <c r="A150" s="56" t="s">
        <v>27</v>
      </c>
      <c r="B150" s="56" t="s">
        <v>116</v>
      </c>
      <c r="C150" s="56" t="s">
        <v>314</v>
      </c>
      <c r="D150" s="56">
        <v>2</v>
      </c>
      <c r="E150" s="56">
        <v>47587521.969999999</v>
      </c>
      <c r="F150" s="56">
        <v>0.28720000000000001</v>
      </c>
      <c r="G150" s="247"/>
      <c r="H150" s="248"/>
      <c r="I150" s="56" t="s">
        <v>43</v>
      </c>
      <c r="J150" s="56" t="s">
        <v>338</v>
      </c>
      <c r="K150" s="56" t="s">
        <v>339</v>
      </c>
      <c r="M150" s="337"/>
      <c r="O150" s="337"/>
      <c r="Q150" s="337"/>
      <c r="S150" s="337"/>
      <c r="T150" s="56">
        <v>31593451.030000001</v>
      </c>
      <c r="U150" s="56" t="s">
        <v>1655</v>
      </c>
      <c r="V150" s="56" t="s">
        <v>1069</v>
      </c>
      <c r="W150" s="56" t="s">
        <v>1070</v>
      </c>
    </row>
    <row r="151" spans="1:23" x14ac:dyDescent="0.3">
      <c r="A151" s="56" t="s">
        <v>27</v>
      </c>
      <c r="B151" s="56" t="s">
        <v>116</v>
      </c>
      <c r="C151" s="56" t="s">
        <v>343</v>
      </c>
      <c r="D151" s="56">
        <v>2</v>
      </c>
      <c r="E151" s="56">
        <v>1301420.98</v>
      </c>
      <c r="F151" s="56">
        <v>7.7999999999999996E-3</v>
      </c>
      <c r="G151" s="247"/>
      <c r="H151" s="248"/>
      <c r="I151" s="56" t="s">
        <v>43</v>
      </c>
      <c r="J151" s="56" t="s">
        <v>338</v>
      </c>
      <c r="K151" s="56" t="s">
        <v>339</v>
      </c>
      <c r="M151" s="337"/>
      <c r="O151" s="337"/>
      <c r="Q151" s="337"/>
      <c r="S151" s="337"/>
      <c r="T151" s="56">
        <v>3782209.81</v>
      </c>
      <c r="U151" s="56" t="s">
        <v>2971</v>
      </c>
      <c r="V151" s="56" t="s">
        <v>2972</v>
      </c>
      <c r="W151" s="56" t="s">
        <v>2973</v>
      </c>
    </row>
    <row r="152" spans="1:23" x14ac:dyDescent="0.3">
      <c r="A152" s="56" t="s">
        <v>27</v>
      </c>
      <c r="B152" s="56" t="s">
        <v>116</v>
      </c>
      <c r="C152" s="56" t="s">
        <v>4040</v>
      </c>
      <c r="D152" s="56">
        <v>3</v>
      </c>
      <c r="E152" s="56">
        <v>39881048.93</v>
      </c>
      <c r="F152" s="56">
        <v>0.2407</v>
      </c>
      <c r="G152" s="247"/>
      <c r="H152" s="248"/>
      <c r="I152" s="56" t="s">
        <v>43</v>
      </c>
      <c r="J152" s="56" t="s">
        <v>338</v>
      </c>
      <c r="K152" s="56" t="s">
        <v>26</v>
      </c>
      <c r="M152" s="337"/>
      <c r="O152" s="337"/>
      <c r="Q152" s="337"/>
      <c r="S152" s="337"/>
      <c r="T152" s="56">
        <v>34861966.829999998</v>
      </c>
      <c r="U152" s="56" t="s">
        <v>1124</v>
      </c>
      <c r="V152" s="56" t="s">
        <v>1127</v>
      </c>
      <c r="W152" s="56" t="s">
        <v>1128</v>
      </c>
    </row>
    <row r="153" spans="1:23" x14ac:dyDescent="0.3">
      <c r="A153" s="56" t="s">
        <v>27</v>
      </c>
      <c r="B153" s="56" t="s">
        <v>26</v>
      </c>
      <c r="C153" s="56" t="s">
        <v>312</v>
      </c>
      <c r="D153" s="56">
        <v>16</v>
      </c>
      <c r="E153" s="56">
        <v>216484950.66</v>
      </c>
      <c r="F153" s="56">
        <v>1.3068</v>
      </c>
      <c r="G153" s="247"/>
      <c r="H153" s="248"/>
      <c r="I153" s="56" t="s">
        <v>43</v>
      </c>
      <c r="J153" s="56" t="s">
        <v>338</v>
      </c>
      <c r="K153" s="56" t="s">
        <v>26</v>
      </c>
      <c r="M153" s="337"/>
      <c r="O153" s="337"/>
      <c r="Q153" s="337"/>
      <c r="S153" s="337"/>
      <c r="T153" s="56">
        <v>9843742.1099999994</v>
      </c>
      <c r="U153" s="56" t="s">
        <v>1601</v>
      </c>
      <c r="V153" s="56" t="s">
        <v>1614</v>
      </c>
      <c r="W153" s="56" t="s">
        <v>1615</v>
      </c>
    </row>
    <row r="154" spans="1:23" x14ac:dyDescent="0.3">
      <c r="A154" s="56" t="s">
        <v>27</v>
      </c>
      <c r="B154" s="56" t="s">
        <v>26</v>
      </c>
      <c r="C154" s="56" t="s">
        <v>313</v>
      </c>
      <c r="D154" s="56">
        <v>12</v>
      </c>
      <c r="E154" s="56">
        <v>241771322.77000001</v>
      </c>
      <c r="F154" s="56">
        <v>1.4594</v>
      </c>
      <c r="G154" s="247"/>
      <c r="H154" s="248"/>
      <c r="I154" s="56" t="s">
        <v>43</v>
      </c>
      <c r="J154" s="56" t="s">
        <v>338</v>
      </c>
      <c r="K154" s="56" t="s">
        <v>26</v>
      </c>
      <c r="M154" s="337"/>
      <c r="O154" s="337"/>
      <c r="Q154" s="337"/>
      <c r="S154" s="337"/>
      <c r="T154" s="56">
        <v>1201566.93</v>
      </c>
      <c r="U154" s="56" t="s">
        <v>2483</v>
      </c>
      <c r="V154" s="56" t="s">
        <v>2484</v>
      </c>
      <c r="W154" s="56" t="s">
        <v>2485</v>
      </c>
    </row>
    <row r="155" spans="1:23" x14ac:dyDescent="0.3">
      <c r="A155" s="56" t="s">
        <v>27</v>
      </c>
      <c r="B155" s="56" t="s">
        <v>26</v>
      </c>
      <c r="C155" s="56" t="s">
        <v>314</v>
      </c>
      <c r="D155" s="56">
        <v>3</v>
      </c>
      <c r="E155" s="56">
        <v>68305668</v>
      </c>
      <c r="F155" s="56">
        <v>0.4123</v>
      </c>
      <c r="G155" s="247"/>
      <c r="H155" s="248"/>
      <c r="I155" s="56" t="s">
        <v>43</v>
      </c>
      <c r="J155" s="56" t="s">
        <v>338</v>
      </c>
      <c r="K155" s="56" t="s">
        <v>26</v>
      </c>
      <c r="M155" s="337"/>
      <c r="O155" s="337"/>
      <c r="Q155" s="337"/>
      <c r="S155" s="337"/>
      <c r="T155" s="56">
        <v>23223436.140000001</v>
      </c>
      <c r="U155" s="56" t="s">
        <v>1746</v>
      </c>
      <c r="V155" s="56" t="s">
        <v>403</v>
      </c>
      <c r="W155" s="56" t="s">
        <v>404</v>
      </c>
    </row>
    <row r="156" spans="1:23" x14ac:dyDescent="0.3">
      <c r="A156" s="56" t="s">
        <v>27</v>
      </c>
      <c r="B156" s="56" t="s">
        <v>26</v>
      </c>
      <c r="C156" s="56" t="s">
        <v>343</v>
      </c>
      <c r="D156" s="56">
        <v>1</v>
      </c>
      <c r="E156" s="56">
        <v>4462763.1399999997</v>
      </c>
      <c r="F156" s="56">
        <v>2.69E-2</v>
      </c>
      <c r="G156" s="247"/>
      <c r="H156" s="248"/>
      <c r="I156" s="56" t="s">
        <v>43</v>
      </c>
      <c r="J156" s="56" t="s">
        <v>338</v>
      </c>
      <c r="K156" s="56" t="s">
        <v>26</v>
      </c>
      <c r="M156" s="337"/>
      <c r="O156" s="337"/>
      <c r="Q156" s="337"/>
      <c r="S156" s="337"/>
      <c r="T156" s="56">
        <v>30210790.350000001</v>
      </c>
      <c r="U156" s="56" t="s">
        <v>2446</v>
      </c>
      <c r="V156" s="56" t="s">
        <v>2447</v>
      </c>
      <c r="W156" s="56" t="s">
        <v>2448</v>
      </c>
    </row>
    <row r="157" spans="1:23" x14ac:dyDescent="0.3">
      <c r="G157" s="247"/>
      <c r="H157" s="248"/>
      <c r="I157" s="56" t="s">
        <v>43</v>
      </c>
      <c r="J157" s="56" t="s">
        <v>338</v>
      </c>
      <c r="K157" s="56" t="s">
        <v>26</v>
      </c>
      <c r="M157" s="337"/>
      <c r="O157" s="337"/>
      <c r="Q157" s="337"/>
      <c r="S157" s="337"/>
      <c r="T157" s="56">
        <v>10000000</v>
      </c>
      <c r="U157" s="56" t="s">
        <v>4373</v>
      </c>
      <c r="V157" s="56" t="s">
        <v>4380</v>
      </c>
      <c r="W157" s="56" t="s">
        <v>4381</v>
      </c>
    </row>
    <row r="158" spans="1:23" x14ac:dyDescent="0.3">
      <c r="G158" s="247"/>
      <c r="H158" s="248"/>
      <c r="I158" s="56" t="s">
        <v>43</v>
      </c>
      <c r="J158" s="56" t="s">
        <v>26</v>
      </c>
      <c r="K158" s="56" t="s">
        <v>26</v>
      </c>
      <c r="L158" s="56">
        <v>4626744.96</v>
      </c>
      <c r="M158" s="337">
        <v>0.33048178285714286</v>
      </c>
      <c r="O158" s="337"/>
      <c r="Q158" s="337"/>
      <c r="S158" s="337"/>
      <c r="T158" s="56">
        <v>4626744.96</v>
      </c>
      <c r="U158" s="56" t="s">
        <v>1145</v>
      </c>
      <c r="V158" s="56" t="s">
        <v>1270</v>
      </c>
      <c r="W158" s="56" t="s">
        <v>1271</v>
      </c>
    </row>
    <row r="159" spans="1:23" x14ac:dyDescent="0.3">
      <c r="G159" s="247"/>
      <c r="H159" s="248"/>
      <c r="I159" s="56" t="s">
        <v>46</v>
      </c>
      <c r="J159" s="56" t="s">
        <v>46</v>
      </c>
      <c r="K159" s="56" t="s">
        <v>112</v>
      </c>
      <c r="M159" s="337"/>
      <c r="O159" s="337"/>
      <c r="Q159" s="337"/>
      <c r="S159" s="337"/>
      <c r="T159" s="56">
        <v>26836079.52</v>
      </c>
      <c r="U159" s="56" t="s">
        <v>5443</v>
      </c>
      <c r="V159" s="56" t="s">
        <v>5446</v>
      </c>
      <c r="W159" s="56" t="s">
        <v>5447</v>
      </c>
    </row>
    <row r="160" spans="1:23" x14ac:dyDescent="0.3">
      <c r="G160" s="247"/>
      <c r="H160" s="248"/>
      <c r="I160" s="56" t="s">
        <v>46</v>
      </c>
      <c r="J160" s="56" t="s">
        <v>46</v>
      </c>
      <c r="K160" s="56" t="s">
        <v>112</v>
      </c>
      <c r="M160" s="337"/>
      <c r="O160" s="337"/>
      <c r="Q160" s="337"/>
      <c r="S160" s="337"/>
      <c r="T160" s="56">
        <v>49385354.020000003</v>
      </c>
      <c r="U160" s="56" t="s">
        <v>1604</v>
      </c>
      <c r="V160" s="56" t="s">
        <v>1609</v>
      </c>
      <c r="W160" s="56" t="s">
        <v>1610</v>
      </c>
    </row>
    <row r="161" spans="7:23" x14ac:dyDescent="0.3">
      <c r="G161" s="247"/>
      <c r="H161" s="248"/>
      <c r="I161" s="56" t="s">
        <v>46</v>
      </c>
      <c r="J161" s="56" t="s">
        <v>46</v>
      </c>
      <c r="K161" s="56" t="s">
        <v>112</v>
      </c>
      <c r="L161" s="56">
        <v>465821.2</v>
      </c>
      <c r="M161" s="337">
        <v>0.18632847999999999</v>
      </c>
      <c r="N161" s="56">
        <v>465821.2</v>
      </c>
      <c r="O161" s="337">
        <v>0.18632847999999999</v>
      </c>
      <c r="Q161" s="337"/>
      <c r="S161" s="337"/>
      <c r="T161" s="56">
        <v>465821.2</v>
      </c>
      <c r="U161" s="56" t="s">
        <v>4374</v>
      </c>
      <c r="V161" s="56" t="s">
        <v>4378</v>
      </c>
      <c r="W161" s="56" t="s">
        <v>4379</v>
      </c>
    </row>
    <row r="162" spans="7:23" x14ac:dyDescent="0.3">
      <c r="G162" s="247"/>
      <c r="H162" s="248"/>
      <c r="I162" s="56" t="s">
        <v>46</v>
      </c>
      <c r="J162" s="56" t="s">
        <v>46</v>
      </c>
      <c r="K162" s="56" t="s">
        <v>112</v>
      </c>
      <c r="M162" s="337"/>
      <c r="O162" s="337"/>
      <c r="Q162" s="337"/>
      <c r="S162" s="337"/>
      <c r="T162" s="56">
        <v>49965967.280000001</v>
      </c>
      <c r="U162" s="56" t="s">
        <v>4596</v>
      </c>
      <c r="V162" s="56" t="s">
        <v>4597</v>
      </c>
      <c r="W162" s="56" t="s">
        <v>4598</v>
      </c>
    </row>
    <row r="163" spans="7:23" x14ac:dyDescent="0.3">
      <c r="G163" s="247"/>
      <c r="H163" s="248"/>
      <c r="I163" s="56" t="s">
        <v>46</v>
      </c>
      <c r="J163" s="56" t="s">
        <v>46</v>
      </c>
      <c r="K163" s="56" t="s">
        <v>112</v>
      </c>
      <c r="L163" s="56">
        <v>4318653.4000000004</v>
      </c>
      <c r="M163" s="337">
        <v>0.53983167499999996</v>
      </c>
      <c r="O163" s="337"/>
      <c r="Q163" s="337"/>
      <c r="S163" s="337"/>
      <c r="T163" s="56">
        <v>4318653.4000000004</v>
      </c>
      <c r="U163" s="56" t="s">
        <v>2383</v>
      </c>
      <c r="V163" s="56" t="s">
        <v>2397</v>
      </c>
      <c r="W163" s="56" t="s">
        <v>2398</v>
      </c>
    </row>
    <row r="164" spans="7:23" x14ac:dyDescent="0.3">
      <c r="G164" s="247"/>
      <c r="H164" s="248"/>
      <c r="I164" s="56" t="s">
        <v>46</v>
      </c>
      <c r="J164" s="56" t="s">
        <v>46</v>
      </c>
      <c r="K164" s="56" t="s">
        <v>112</v>
      </c>
      <c r="L164" s="56">
        <v>2342643.98</v>
      </c>
      <c r="M164" s="337">
        <v>0.10648381727272727</v>
      </c>
      <c r="O164" s="337"/>
      <c r="Q164" s="337"/>
      <c r="S164" s="337"/>
      <c r="T164" s="56">
        <v>2342643.98</v>
      </c>
      <c r="U164" s="56" t="s">
        <v>3743</v>
      </c>
      <c r="V164" s="56" t="s">
        <v>3744</v>
      </c>
      <c r="W164" s="56" t="s">
        <v>3745</v>
      </c>
    </row>
    <row r="165" spans="7:23" x14ac:dyDescent="0.3">
      <c r="G165" s="247"/>
      <c r="H165" s="248"/>
      <c r="I165" s="56" t="s">
        <v>46</v>
      </c>
      <c r="J165" s="56" t="s">
        <v>46</v>
      </c>
      <c r="K165" s="56" t="s">
        <v>112</v>
      </c>
      <c r="M165" s="337"/>
      <c r="O165" s="337"/>
      <c r="Q165" s="337"/>
      <c r="S165" s="337"/>
      <c r="T165" s="56">
        <v>10000000</v>
      </c>
      <c r="U165" s="56" t="s">
        <v>4861</v>
      </c>
      <c r="V165" s="56" t="s">
        <v>4865</v>
      </c>
      <c r="W165" s="56" t="s">
        <v>4866</v>
      </c>
    </row>
    <row r="166" spans="7:23" x14ac:dyDescent="0.3">
      <c r="G166" s="247"/>
      <c r="H166" s="248"/>
      <c r="I166" s="56" t="s">
        <v>46</v>
      </c>
      <c r="J166" s="56" t="s">
        <v>46</v>
      </c>
      <c r="K166" s="56" t="s">
        <v>112</v>
      </c>
      <c r="M166" s="337"/>
      <c r="O166" s="337"/>
      <c r="Q166" s="337"/>
      <c r="S166" s="337"/>
      <c r="T166" s="56">
        <v>25219284.5</v>
      </c>
      <c r="U166" s="56" t="s">
        <v>4869</v>
      </c>
      <c r="V166" s="56" t="s">
        <v>4870</v>
      </c>
      <c r="W166" s="56" t="s">
        <v>4871</v>
      </c>
    </row>
    <row r="167" spans="7:23" x14ac:dyDescent="0.3">
      <c r="G167" s="247"/>
      <c r="H167" s="248"/>
      <c r="I167" s="56" t="s">
        <v>46</v>
      </c>
      <c r="J167" s="56" t="s">
        <v>46</v>
      </c>
      <c r="K167" s="56" t="s">
        <v>844</v>
      </c>
      <c r="L167" s="56">
        <v>629662.35</v>
      </c>
      <c r="M167" s="337">
        <v>0.104943725</v>
      </c>
      <c r="O167" s="337"/>
      <c r="Q167" s="337"/>
      <c r="S167" s="337"/>
      <c r="T167" s="56">
        <v>629662.35</v>
      </c>
      <c r="U167" s="56" t="s">
        <v>3402</v>
      </c>
      <c r="V167" s="56" t="s">
        <v>3421</v>
      </c>
      <c r="W167" s="56" t="s">
        <v>3422</v>
      </c>
    </row>
    <row r="168" spans="7:23" x14ac:dyDescent="0.3">
      <c r="G168" s="247"/>
      <c r="H168" s="248"/>
      <c r="I168" s="56" t="s">
        <v>46</v>
      </c>
      <c r="J168" s="56" t="s">
        <v>46</v>
      </c>
      <c r="K168" s="56" t="s">
        <v>1812</v>
      </c>
      <c r="L168" s="56">
        <v>18153043.07</v>
      </c>
      <c r="M168" s="337">
        <v>0.72612172280000009</v>
      </c>
      <c r="O168" s="337"/>
      <c r="Q168" s="337"/>
      <c r="S168" s="337"/>
      <c r="T168" s="56">
        <v>18153043.07</v>
      </c>
      <c r="U168" s="56" t="s">
        <v>2137</v>
      </c>
      <c r="V168" s="56" t="s">
        <v>2142</v>
      </c>
      <c r="W168" s="56" t="s">
        <v>2143</v>
      </c>
    </row>
    <row r="169" spans="7:23" x14ac:dyDescent="0.3">
      <c r="G169" s="247"/>
      <c r="H169" s="248"/>
      <c r="I169" s="56" t="s">
        <v>46</v>
      </c>
      <c r="J169" s="56" t="s">
        <v>46</v>
      </c>
      <c r="K169" s="56" t="s">
        <v>1812</v>
      </c>
      <c r="L169" s="56">
        <v>1250308.6100000001</v>
      </c>
      <c r="M169" s="337">
        <v>0.41676953666666672</v>
      </c>
      <c r="N169" s="56">
        <v>1250308.6100000001</v>
      </c>
      <c r="O169" s="337">
        <v>0.41676953666666672</v>
      </c>
      <c r="P169" s="56">
        <v>1250308.6100000001</v>
      </c>
      <c r="Q169" s="337">
        <v>0.41676953666666672</v>
      </c>
      <c r="R169" s="56">
        <v>1250308.6100000001</v>
      </c>
      <c r="S169" s="337">
        <v>0.41676953666666672</v>
      </c>
      <c r="T169" s="56">
        <v>1250308.6100000001</v>
      </c>
      <c r="U169" s="56" t="s">
        <v>3261</v>
      </c>
      <c r="V169" s="56" t="s">
        <v>3265</v>
      </c>
      <c r="W169" s="56" t="s">
        <v>3266</v>
      </c>
    </row>
    <row r="170" spans="7:23" x14ac:dyDescent="0.3">
      <c r="G170" s="247"/>
      <c r="H170" s="248"/>
      <c r="I170" s="56" t="s">
        <v>46</v>
      </c>
      <c r="J170" s="56" t="s">
        <v>46</v>
      </c>
      <c r="K170" s="56" t="s">
        <v>3840</v>
      </c>
      <c r="M170" s="337"/>
      <c r="O170" s="337"/>
      <c r="Q170" s="337"/>
      <c r="S170" s="337"/>
      <c r="T170" s="56">
        <v>3102634.04</v>
      </c>
      <c r="U170" s="56" t="s">
        <v>3836</v>
      </c>
      <c r="V170" s="56" t="s">
        <v>3837</v>
      </c>
      <c r="W170" s="56" t="s">
        <v>3838</v>
      </c>
    </row>
    <row r="171" spans="7:23" x14ac:dyDescent="0.3">
      <c r="G171" s="247"/>
      <c r="H171" s="248"/>
      <c r="I171" s="56" t="s">
        <v>46</v>
      </c>
      <c r="J171" s="56" t="s">
        <v>46</v>
      </c>
      <c r="K171" s="56" t="s">
        <v>26</v>
      </c>
      <c r="M171" s="337"/>
      <c r="O171" s="337"/>
      <c r="Q171" s="337"/>
      <c r="S171" s="337"/>
      <c r="T171" s="56">
        <v>1203339.55</v>
      </c>
      <c r="U171" s="56" t="s">
        <v>975</v>
      </c>
      <c r="V171" s="56" t="s">
        <v>976</v>
      </c>
      <c r="W171" s="56" t="s">
        <v>977</v>
      </c>
    </row>
    <row r="172" spans="7:23" x14ac:dyDescent="0.3">
      <c r="G172" s="247"/>
      <c r="H172" s="248"/>
      <c r="I172" s="56" t="s">
        <v>46</v>
      </c>
      <c r="J172" s="56" t="s">
        <v>46</v>
      </c>
      <c r="K172" s="56" t="s">
        <v>26</v>
      </c>
      <c r="L172" s="56">
        <v>8876699.7300000004</v>
      </c>
      <c r="M172" s="337">
        <v>0.59177998199999993</v>
      </c>
      <c r="O172" s="337"/>
      <c r="Q172" s="337"/>
      <c r="S172" s="337"/>
      <c r="T172" s="56">
        <v>8876699.7300000004</v>
      </c>
      <c r="U172" s="56" t="s">
        <v>1116</v>
      </c>
      <c r="V172" s="56" t="s">
        <v>1117</v>
      </c>
      <c r="W172" s="56" t="s">
        <v>1118</v>
      </c>
    </row>
    <row r="173" spans="7:23" x14ac:dyDescent="0.3">
      <c r="G173" s="247"/>
      <c r="H173" s="248"/>
      <c r="I173" s="56" t="s">
        <v>46</v>
      </c>
      <c r="J173" s="56" t="s">
        <v>46</v>
      </c>
      <c r="K173" s="56" t="s">
        <v>26</v>
      </c>
      <c r="M173" s="337"/>
      <c r="O173" s="337"/>
      <c r="Q173" s="337"/>
      <c r="S173" s="337"/>
      <c r="T173" s="56">
        <v>4970824.9000000004</v>
      </c>
      <c r="U173" s="56" t="s">
        <v>1157</v>
      </c>
      <c r="V173" s="56" t="s">
        <v>1161</v>
      </c>
      <c r="W173" s="56" t="s">
        <v>1162</v>
      </c>
    </row>
    <row r="174" spans="7:23" x14ac:dyDescent="0.3">
      <c r="G174" s="247"/>
      <c r="H174" s="248"/>
      <c r="I174" s="56" t="s">
        <v>46</v>
      </c>
      <c r="J174" s="56" t="s">
        <v>46</v>
      </c>
      <c r="K174" s="56" t="s">
        <v>26</v>
      </c>
      <c r="L174" s="56">
        <v>13494346.41</v>
      </c>
      <c r="M174" s="337">
        <v>0.6747173205</v>
      </c>
      <c r="N174" s="56">
        <v>13494346.41</v>
      </c>
      <c r="O174" s="337">
        <v>0.6747173205</v>
      </c>
      <c r="Q174" s="337"/>
      <c r="S174" s="337"/>
      <c r="T174" s="56">
        <v>13494346.41</v>
      </c>
      <c r="U174" s="56" t="s">
        <v>2138</v>
      </c>
      <c r="V174" s="56" t="s">
        <v>2156</v>
      </c>
      <c r="W174" s="56" t="s">
        <v>2157</v>
      </c>
    </row>
    <row r="175" spans="7:23" x14ac:dyDescent="0.3">
      <c r="G175" s="247"/>
      <c r="H175" s="248"/>
      <c r="I175" s="56" t="s">
        <v>46</v>
      </c>
      <c r="J175" s="56" t="s">
        <v>46</v>
      </c>
      <c r="K175" s="56" t="s">
        <v>26</v>
      </c>
      <c r="L175" s="56">
        <v>1967151.37</v>
      </c>
      <c r="M175" s="337">
        <v>0.39343027400000002</v>
      </c>
      <c r="N175" s="56">
        <v>1967151.37</v>
      </c>
      <c r="O175" s="337">
        <v>0.39343027400000002</v>
      </c>
      <c r="Q175" s="337"/>
      <c r="S175" s="337"/>
      <c r="T175" s="56">
        <v>1967151.37</v>
      </c>
      <c r="U175" s="56" t="s">
        <v>3935</v>
      </c>
      <c r="V175" s="56" t="s">
        <v>3936</v>
      </c>
      <c r="W175" s="56" t="s">
        <v>3937</v>
      </c>
    </row>
    <row r="176" spans="7:23" x14ac:dyDescent="0.3">
      <c r="G176" s="247"/>
      <c r="H176" s="248"/>
      <c r="I176" s="56" t="s">
        <v>46</v>
      </c>
      <c r="J176" s="56" t="s">
        <v>46</v>
      </c>
      <c r="K176" s="56" t="s">
        <v>26</v>
      </c>
      <c r="L176" s="56">
        <v>2441763.02</v>
      </c>
      <c r="M176" s="337">
        <v>0.40696050333333333</v>
      </c>
      <c r="N176" s="56">
        <v>2441763.02</v>
      </c>
      <c r="O176" s="337">
        <v>0.40696050333333333</v>
      </c>
      <c r="Q176" s="337"/>
      <c r="S176" s="337"/>
      <c r="T176" s="56">
        <v>2441763.02</v>
      </c>
      <c r="U176" s="56" t="s">
        <v>4111</v>
      </c>
      <c r="V176" s="56" t="s">
        <v>4115</v>
      </c>
      <c r="W176" s="56" t="s">
        <v>4116</v>
      </c>
    </row>
    <row r="177" spans="7:23" x14ac:dyDescent="0.3">
      <c r="G177" s="247"/>
      <c r="H177" s="248"/>
      <c r="I177" s="56" t="s">
        <v>42</v>
      </c>
      <c r="J177" s="56" t="s">
        <v>26</v>
      </c>
      <c r="K177" s="56" t="s">
        <v>26</v>
      </c>
      <c r="L177" s="56">
        <v>3623553.87</v>
      </c>
      <c r="M177" s="337">
        <v>0.20130854833333334</v>
      </c>
      <c r="N177" s="56">
        <v>3623553.87</v>
      </c>
      <c r="O177" s="337">
        <v>0.20130854833333334</v>
      </c>
      <c r="P177" s="56">
        <v>3623553.87</v>
      </c>
      <c r="Q177" s="337">
        <v>0.20130854833333334</v>
      </c>
      <c r="S177" s="337"/>
      <c r="T177" s="56">
        <v>3623553.87</v>
      </c>
      <c r="U177" s="56" t="s">
        <v>846</v>
      </c>
      <c r="V177" s="56" t="s">
        <v>847</v>
      </c>
      <c r="W177" s="56" t="s">
        <v>848</v>
      </c>
    </row>
    <row r="178" spans="7:23" x14ac:dyDescent="0.3">
      <c r="G178" s="247"/>
      <c r="H178" s="248"/>
      <c r="I178" s="56" t="s">
        <v>42</v>
      </c>
      <c r="J178" s="56" t="s">
        <v>26</v>
      </c>
      <c r="K178" s="56" t="s">
        <v>26</v>
      </c>
      <c r="L178" s="56">
        <v>7198622.1799999997</v>
      </c>
      <c r="M178" s="337">
        <v>0.47990814533333331</v>
      </c>
      <c r="O178" s="337"/>
      <c r="Q178" s="337"/>
      <c r="S178" s="337"/>
      <c r="T178" s="56">
        <v>7198622.1799999997</v>
      </c>
      <c r="U178" s="56" t="s">
        <v>1511</v>
      </c>
      <c r="V178" s="56" t="s">
        <v>1514</v>
      </c>
      <c r="W178" s="56" t="s">
        <v>1515</v>
      </c>
    </row>
    <row r="179" spans="7:23" x14ac:dyDescent="0.3">
      <c r="G179" s="247"/>
      <c r="H179" s="248"/>
      <c r="I179" s="56" t="s">
        <v>42</v>
      </c>
      <c r="J179" s="56" t="s">
        <v>26</v>
      </c>
      <c r="K179" s="56" t="s">
        <v>26</v>
      </c>
      <c r="L179" s="56">
        <v>20686130.359999999</v>
      </c>
      <c r="M179" s="337">
        <v>0.68953767866666671</v>
      </c>
      <c r="N179" s="56">
        <v>20686130.359999999</v>
      </c>
      <c r="O179" s="337">
        <v>0.68953767866666671</v>
      </c>
      <c r="Q179" s="337"/>
      <c r="S179" s="337"/>
      <c r="T179" s="56">
        <v>20686130.359999999</v>
      </c>
      <c r="U179" s="56" t="s">
        <v>3611</v>
      </c>
      <c r="V179" s="56" t="s">
        <v>3614</v>
      </c>
      <c r="W179" s="56" t="s">
        <v>3615</v>
      </c>
    </row>
    <row r="180" spans="7:23" x14ac:dyDescent="0.3">
      <c r="G180" s="247"/>
      <c r="H180" s="248"/>
      <c r="I180" s="56" t="s">
        <v>42</v>
      </c>
      <c r="J180" s="56" t="s">
        <v>26</v>
      </c>
      <c r="K180" s="56" t="s">
        <v>26</v>
      </c>
      <c r="L180" s="56">
        <v>9670721.5199999996</v>
      </c>
      <c r="M180" s="337">
        <v>0.56886597176470588</v>
      </c>
      <c r="O180" s="337"/>
      <c r="Q180" s="337"/>
      <c r="S180" s="337"/>
      <c r="T180" s="56">
        <v>9670721.5199999996</v>
      </c>
      <c r="U180" s="56" t="s">
        <v>1846</v>
      </c>
      <c r="V180" s="56" t="s">
        <v>1847</v>
      </c>
      <c r="W180" s="56" t="s">
        <v>1848</v>
      </c>
    </row>
    <row r="181" spans="7:23" x14ac:dyDescent="0.3">
      <c r="G181" s="247"/>
      <c r="H181" s="248"/>
      <c r="I181" s="56" t="s">
        <v>42</v>
      </c>
      <c r="J181" s="56" t="s">
        <v>1244</v>
      </c>
      <c r="K181" s="56" t="s">
        <v>1813</v>
      </c>
      <c r="M181" s="337"/>
      <c r="O181" s="337"/>
      <c r="Q181" s="337"/>
      <c r="S181" s="337"/>
      <c r="T181" s="56">
        <v>28551797.800000001</v>
      </c>
      <c r="U181" s="56" t="s">
        <v>1415</v>
      </c>
      <c r="V181" s="56" t="s">
        <v>1416</v>
      </c>
      <c r="W181" s="56" t="s">
        <v>1417</v>
      </c>
    </row>
    <row r="182" spans="7:23" x14ac:dyDescent="0.3">
      <c r="G182" s="247"/>
      <c r="H182" s="248"/>
      <c r="I182" s="56" t="s">
        <v>42</v>
      </c>
      <c r="J182" s="56" t="s">
        <v>1244</v>
      </c>
      <c r="K182" s="56" t="s">
        <v>26</v>
      </c>
      <c r="M182" s="337"/>
      <c r="O182" s="337"/>
      <c r="Q182" s="337"/>
      <c r="S182" s="337"/>
      <c r="T182" s="56">
        <v>17522656.920000002</v>
      </c>
      <c r="U182" s="56" t="s">
        <v>2379</v>
      </c>
      <c r="V182" s="56" t="s">
        <v>2389</v>
      </c>
      <c r="W182" s="56" t="s">
        <v>2390</v>
      </c>
    </row>
    <row r="183" spans="7:23" x14ac:dyDescent="0.3">
      <c r="G183" s="247"/>
      <c r="H183" s="248"/>
      <c r="I183" s="56" t="s">
        <v>42</v>
      </c>
      <c r="J183" s="56" t="s">
        <v>1244</v>
      </c>
      <c r="K183" s="56" t="s">
        <v>26</v>
      </c>
      <c r="M183" s="337"/>
      <c r="O183" s="337"/>
      <c r="Q183" s="337"/>
      <c r="S183" s="337"/>
      <c r="T183" s="56">
        <v>9482445.5199999996</v>
      </c>
      <c r="U183" s="56" t="s">
        <v>3650</v>
      </c>
      <c r="V183" s="56" t="s">
        <v>3655</v>
      </c>
      <c r="W183" s="56" t="s">
        <v>3656</v>
      </c>
    </row>
    <row r="184" spans="7:23" x14ac:dyDescent="0.3">
      <c r="G184" s="247"/>
      <c r="H184" s="248"/>
      <c r="I184" s="56" t="s">
        <v>31</v>
      </c>
      <c r="J184" s="56" t="s">
        <v>298</v>
      </c>
      <c r="K184" s="56" t="s">
        <v>298</v>
      </c>
      <c r="M184" s="337"/>
      <c r="O184" s="337"/>
      <c r="Q184" s="337"/>
      <c r="S184" s="337"/>
      <c r="T184" s="56">
        <v>50421285.609999999</v>
      </c>
      <c r="U184" s="56" t="s">
        <v>3393</v>
      </c>
      <c r="V184" s="56" t="s">
        <v>3406</v>
      </c>
      <c r="W184" s="56" t="s">
        <v>3407</v>
      </c>
    </row>
    <row r="185" spans="7:23" x14ac:dyDescent="0.3">
      <c r="G185" s="247"/>
      <c r="H185" s="248"/>
      <c r="I185" s="56" t="s">
        <v>31</v>
      </c>
      <c r="J185" s="56" t="s">
        <v>298</v>
      </c>
      <c r="K185" s="56" t="s">
        <v>26</v>
      </c>
      <c r="M185" s="337"/>
      <c r="O185" s="337"/>
      <c r="Q185" s="337"/>
      <c r="S185" s="337"/>
      <c r="T185" s="56">
        <v>4743513.4000000004</v>
      </c>
      <c r="U185" s="56" t="s">
        <v>2674</v>
      </c>
      <c r="V185" s="56" t="s">
        <v>2680</v>
      </c>
      <c r="W185" s="56" t="s">
        <v>2681</v>
      </c>
    </row>
    <row r="186" spans="7:23" x14ac:dyDescent="0.3">
      <c r="G186" s="247"/>
      <c r="H186" s="248"/>
      <c r="I186" s="56" t="s">
        <v>31</v>
      </c>
      <c r="J186" s="56" t="s">
        <v>1815</v>
      </c>
      <c r="K186" s="56" t="s">
        <v>1815</v>
      </c>
      <c r="L186" s="56">
        <v>14805544.539999999</v>
      </c>
      <c r="M186" s="337">
        <v>0.59222178160000005</v>
      </c>
      <c r="O186" s="337"/>
      <c r="Q186" s="337"/>
      <c r="S186" s="337"/>
      <c r="T186" s="56">
        <v>14805544.539999999</v>
      </c>
      <c r="U186" s="56" t="s">
        <v>4677</v>
      </c>
      <c r="V186" s="56" t="s">
        <v>4678</v>
      </c>
      <c r="W186" s="56" t="s">
        <v>4679</v>
      </c>
    </row>
    <row r="187" spans="7:23" x14ac:dyDescent="0.3">
      <c r="G187" s="247"/>
      <c r="H187" s="248"/>
      <c r="I187" s="56" t="s">
        <v>31</v>
      </c>
      <c r="J187" s="56" t="s">
        <v>1815</v>
      </c>
      <c r="K187" s="56" t="s">
        <v>26</v>
      </c>
      <c r="M187" s="337"/>
      <c r="O187" s="337"/>
      <c r="Q187" s="337"/>
      <c r="S187" s="337"/>
      <c r="T187" s="56">
        <v>27791794.84</v>
      </c>
      <c r="U187" s="56" t="s">
        <v>3136</v>
      </c>
      <c r="V187" s="56" t="s">
        <v>3144</v>
      </c>
      <c r="W187" s="56" t="s">
        <v>3145</v>
      </c>
    </row>
    <row r="188" spans="7:23" x14ac:dyDescent="0.3">
      <c r="G188" s="247"/>
      <c r="H188" s="248"/>
      <c r="I188" s="56" t="s">
        <v>31</v>
      </c>
      <c r="J188" s="56" t="s">
        <v>509</v>
      </c>
      <c r="K188" s="56" t="s">
        <v>1814</v>
      </c>
      <c r="L188" s="56">
        <v>5400586.4299999997</v>
      </c>
      <c r="M188" s="337">
        <v>0.34842493096774196</v>
      </c>
      <c r="N188" s="56">
        <v>5400586.4299999997</v>
      </c>
      <c r="O188" s="337">
        <v>0.34842493096774196</v>
      </c>
      <c r="P188" s="56">
        <v>5400586.4299999997</v>
      </c>
      <c r="Q188" s="337">
        <v>0.34842493096774196</v>
      </c>
      <c r="S188" s="337"/>
      <c r="T188" s="56">
        <v>5400586.4299999997</v>
      </c>
      <c r="U188" s="56" t="s">
        <v>2100</v>
      </c>
      <c r="V188" s="56" t="s">
        <v>2113</v>
      </c>
      <c r="W188" s="56" t="s">
        <v>2114</v>
      </c>
    </row>
    <row r="189" spans="7:23" x14ac:dyDescent="0.3">
      <c r="G189" s="247"/>
      <c r="H189" s="248"/>
      <c r="I189" s="56" t="s">
        <v>31</v>
      </c>
      <c r="J189" s="56" t="s">
        <v>509</v>
      </c>
      <c r="K189" s="56" t="s">
        <v>26</v>
      </c>
      <c r="M189" s="337"/>
      <c r="O189" s="337"/>
      <c r="Q189" s="337"/>
      <c r="S189" s="337"/>
      <c r="T189" s="56">
        <v>23345107.75</v>
      </c>
      <c r="U189" s="56" t="s">
        <v>3103</v>
      </c>
      <c r="V189" s="56" t="s">
        <v>3104</v>
      </c>
      <c r="W189" s="56" t="s">
        <v>3105</v>
      </c>
    </row>
    <row r="190" spans="7:23" x14ac:dyDescent="0.3">
      <c r="G190" s="247"/>
      <c r="H190" s="248"/>
      <c r="I190" s="56" t="s">
        <v>31</v>
      </c>
      <c r="J190" s="56" t="s">
        <v>509</v>
      </c>
      <c r="K190" s="56" t="s">
        <v>26</v>
      </c>
      <c r="M190" s="337"/>
      <c r="O190" s="337"/>
      <c r="Q190" s="337"/>
      <c r="S190" s="337"/>
      <c r="T190" s="56">
        <v>2664823.87</v>
      </c>
      <c r="U190" s="56" t="s">
        <v>5243</v>
      </c>
      <c r="V190" s="56" t="s">
        <v>5245</v>
      </c>
      <c r="W190" s="56" t="s">
        <v>5246</v>
      </c>
    </row>
    <row r="191" spans="7:23" x14ac:dyDescent="0.3">
      <c r="G191" s="247"/>
      <c r="H191" s="248"/>
      <c r="I191" s="56" t="s">
        <v>31</v>
      </c>
      <c r="J191" s="56" t="s">
        <v>509</v>
      </c>
      <c r="K191" s="56" t="s">
        <v>26</v>
      </c>
      <c r="L191" s="56">
        <v>2360581.64</v>
      </c>
      <c r="M191" s="337">
        <v>0.3934302733333333</v>
      </c>
      <c r="N191" s="56">
        <v>2360581.64</v>
      </c>
      <c r="O191" s="337">
        <v>0.3934302733333333</v>
      </c>
      <c r="Q191" s="337"/>
      <c r="S191" s="337"/>
      <c r="T191" s="56">
        <v>2360581.64</v>
      </c>
      <c r="U191" s="56" t="s">
        <v>3841</v>
      </c>
      <c r="V191" s="56" t="s">
        <v>3845</v>
      </c>
      <c r="W191" s="56" t="s">
        <v>3846</v>
      </c>
    </row>
    <row r="192" spans="7:23" x14ac:dyDescent="0.3">
      <c r="G192" s="247"/>
      <c r="H192" s="248"/>
      <c r="I192" s="56" t="s">
        <v>31</v>
      </c>
      <c r="J192" s="56" t="s">
        <v>293</v>
      </c>
      <c r="K192" s="56" t="s">
        <v>26</v>
      </c>
      <c r="M192" s="337"/>
      <c r="O192" s="337"/>
      <c r="Q192" s="337"/>
      <c r="S192" s="337"/>
      <c r="T192" s="56">
        <v>28696864.579999998</v>
      </c>
      <c r="U192" s="56" t="s">
        <v>1173</v>
      </c>
      <c r="V192" s="56" t="s">
        <v>1177</v>
      </c>
      <c r="W192" s="56" t="s">
        <v>1178</v>
      </c>
    </row>
    <row r="193" spans="7:23" x14ac:dyDescent="0.3">
      <c r="G193" s="247"/>
      <c r="H193" s="248"/>
      <c r="I193" s="56" t="s">
        <v>31</v>
      </c>
      <c r="J193" s="56" t="s">
        <v>293</v>
      </c>
      <c r="K193" s="56" t="s">
        <v>26</v>
      </c>
      <c r="L193" s="56">
        <v>21578331.32</v>
      </c>
      <c r="M193" s="337">
        <v>0.46909415913043478</v>
      </c>
      <c r="N193" s="56">
        <v>21578331.32</v>
      </c>
      <c r="O193" s="337">
        <v>0.46909415913043478</v>
      </c>
      <c r="Q193" s="337"/>
      <c r="S193" s="337"/>
      <c r="T193" s="56">
        <v>21578331.32</v>
      </c>
      <c r="U193" s="56" t="s">
        <v>2256</v>
      </c>
      <c r="V193" s="56" t="s">
        <v>2264</v>
      </c>
      <c r="W193" s="56" t="s">
        <v>2265</v>
      </c>
    </row>
    <row r="194" spans="7:23" x14ac:dyDescent="0.3">
      <c r="G194" s="247"/>
      <c r="H194" s="248"/>
      <c r="I194" s="56" t="s">
        <v>31</v>
      </c>
      <c r="J194" s="56" t="s">
        <v>5390</v>
      </c>
      <c r="K194" s="56" t="s">
        <v>5391</v>
      </c>
      <c r="M194" s="337"/>
      <c r="O194" s="337"/>
      <c r="Q194" s="337"/>
      <c r="S194" s="337"/>
      <c r="T194" s="56">
        <v>781983.27</v>
      </c>
      <c r="U194" s="56" t="s">
        <v>5389</v>
      </c>
      <c r="V194" s="56" t="s">
        <v>5395</v>
      </c>
      <c r="W194" s="56" t="s">
        <v>5396</v>
      </c>
    </row>
    <row r="195" spans="7:23" x14ac:dyDescent="0.3">
      <c r="G195" s="247"/>
      <c r="H195" s="248"/>
      <c r="I195" s="56" t="s">
        <v>31</v>
      </c>
      <c r="J195" s="56" t="s">
        <v>416</v>
      </c>
      <c r="K195" s="56" t="s">
        <v>3920</v>
      </c>
      <c r="L195" s="56">
        <v>21707697.300000001</v>
      </c>
      <c r="M195" s="337">
        <v>0.62021992285714278</v>
      </c>
      <c r="N195" s="56">
        <v>21707697.300000001</v>
      </c>
      <c r="O195" s="337">
        <v>0.62021992285714278</v>
      </c>
      <c r="Q195" s="337"/>
      <c r="S195" s="337"/>
      <c r="T195" s="56">
        <v>21707697.300000001</v>
      </c>
      <c r="U195" s="56" t="s">
        <v>408</v>
      </c>
      <c r="V195" s="56" t="s">
        <v>412</v>
      </c>
      <c r="W195" s="56" t="s">
        <v>413</v>
      </c>
    </row>
    <row r="196" spans="7:23" x14ac:dyDescent="0.3">
      <c r="G196" s="247"/>
      <c r="H196" s="248"/>
      <c r="I196" s="56" t="s">
        <v>31</v>
      </c>
      <c r="J196" s="56" t="s">
        <v>416</v>
      </c>
      <c r="K196" s="56" t="s">
        <v>518</v>
      </c>
      <c r="L196" s="56">
        <v>52485275.039999999</v>
      </c>
      <c r="M196" s="337">
        <v>0.80746576984615392</v>
      </c>
      <c r="O196" s="337"/>
      <c r="Q196" s="337"/>
      <c r="S196" s="337"/>
      <c r="T196" s="56">
        <v>52485275.039999999</v>
      </c>
      <c r="U196" s="56" t="s">
        <v>3394</v>
      </c>
      <c r="V196" s="56" t="s">
        <v>3409</v>
      </c>
      <c r="W196" s="56" t="s">
        <v>3410</v>
      </c>
    </row>
    <row r="197" spans="7:23" x14ac:dyDescent="0.3">
      <c r="G197" s="247"/>
      <c r="H197" s="248"/>
      <c r="I197" s="56" t="s">
        <v>31</v>
      </c>
      <c r="J197" s="56" t="s">
        <v>26</v>
      </c>
      <c r="K197" s="56" t="s">
        <v>26</v>
      </c>
      <c r="M197" s="337"/>
      <c r="O197" s="337"/>
      <c r="Q197" s="337"/>
      <c r="S197" s="337"/>
      <c r="T197" s="56">
        <v>48956677.560000002</v>
      </c>
      <c r="U197" s="56" t="s">
        <v>926</v>
      </c>
      <c r="V197" s="56" t="s">
        <v>942</v>
      </c>
      <c r="W197" s="56" t="s">
        <v>943</v>
      </c>
    </row>
    <row r="198" spans="7:23" x14ac:dyDescent="0.3">
      <c r="G198" s="247"/>
      <c r="H198" s="248"/>
      <c r="I198" s="56" t="s">
        <v>31</v>
      </c>
      <c r="J198" s="56" t="s">
        <v>26</v>
      </c>
      <c r="K198" s="56" t="s">
        <v>26</v>
      </c>
      <c r="L198" s="56">
        <v>619690.30000000005</v>
      </c>
      <c r="M198" s="337">
        <v>0.10328171666666666</v>
      </c>
      <c r="O198" s="337"/>
      <c r="Q198" s="337"/>
      <c r="S198" s="337"/>
      <c r="T198" s="56">
        <v>619690.30000000005</v>
      </c>
      <c r="U198" s="56" t="s">
        <v>3272</v>
      </c>
      <c r="V198" s="56" t="s">
        <v>3273</v>
      </c>
      <c r="W198" s="56" t="s">
        <v>3274</v>
      </c>
    </row>
    <row r="199" spans="7:23" x14ac:dyDescent="0.3">
      <c r="G199" s="247"/>
      <c r="H199" s="248"/>
      <c r="I199" s="56" t="s">
        <v>31</v>
      </c>
      <c r="J199" s="56" t="s">
        <v>2586</v>
      </c>
      <c r="K199" s="56" t="s">
        <v>1816</v>
      </c>
      <c r="L199" s="56">
        <v>14456376.6</v>
      </c>
      <c r="M199" s="337">
        <v>0.57825506399999993</v>
      </c>
      <c r="N199" s="56">
        <v>14456376.6</v>
      </c>
      <c r="O199" s="337">
        <v>0.57825506399999993</v>
      </c>
      <c r="Q199" s="337"/>
      <c r="S199" s="337"/>
      <c r="T199" s="56">
        <v>14456376.6</v>
      </c>
      <c r="U199" s="56" t="s">
        <v>2585</v>
      </c>
      <c r="V199" s="56" t="s">
        <v>2601</v>
      </c>
      <c r="W199" s="56" t="s">
        <v>2602</v>
      </c>
    </row>
    <row r="200" spans="7:23" x14ac:dyDescent="0.3">
      <c r="G200" s="247"/>
      <c r="H200" s="248"/>
      <c r="I200" s="56" t="s">
        <v>31</v>
      </c>
      <c r="J200" s="56" t="s">
        <v>5187</v>
      </c>
      <c r="K200" s="56" t="s">
        <v>5188</v>
      </c>
      <c r="M200" s="337"/>
      <c r="O200" s="337"/>
      <c r="Q200" s="337"/>
      <c r="S200" s="337"/>
      <c r="T200" s="56">
        <v>5179992.92</v>
      </c>
      <c r="U200" s="56" t="s">
        <v>3940</v>
      </c>
      <c r="V200" s="56" t="s">
        <v>3958</v>
      </c>
      <c r="W200" s="56" t="s">
        <v>3959</v>
      </c>
    </row>
    <row r="201" spans="7:23" x14ac:dyDescent="0.3">
      <c r="G201" s="247"/>
      <c r="H201" s="248"/>
      <c r="I201" s="56" t="s">
        <v>31</v>
      </c>
      <c r="J201" s="56" t="s">
        <v>4416</v>
      </c>
      <c r="K201" s="56" t="s">
        <v>26</v>
      </c>
      <c r="L201" s="56">
        <v>1362114.19</v>
      </c>
      <c r="M201" s="337">
        <v>0.4540380633333333</v>
      </c>
      <c r="O201" s="337"/>
      <c r="Q201" s="337"/>
      <c r="S201" s="337"/>
      <c r="T201" s="56">
        <v>1362114.19</v>
      </c>
      <c r="U201" s="56" t="s">
        <v>4415</v>
      </c>
      <c r="V201" s="56" t="s">
        <v>4434</v>
      </c>
      <c r="W201" s="56" t="s">
        <v>4435</v>
      </c>
    </row>
    <row r="202" spans="7:23" x14ac:dyDescent="0.3">
      <c r="G202" s="247"/>
      <c r="H202" s="248"/>
      <c r="I202" s="56" t="s">
        <v>31</v>
      </c>
      <c r="J202" s="56" t="s">
        <v>2309</v>
      </c>
      <c r="K202" s="56" t="s">
        <v>5116</v>
      </c>
      <c r="L202" s="56">
        <v>5113650.09</v>
      </c>
      <c r="M202" s="337">
        <v>0.85227501500000002</v>
      </c>
      <c r="N202" s="56">
        <v>5113650.09</v>
      </c>
      <c r="O202" s="337">
        <v>0.85227501500000002</v>
      </c>
      <c r="Q202" s="337"/>
      <c r="S202" s="337"/>
      <c r="T202" s="56">
        <v>5113650.09</v>
      </c>
      <c r="U202" s="56" t="s">
        <v>5115</v>
      </c>
      <c r="V202" s="56" t="s">
        <v>5120</v>
      </c>
      <c r="W202" s="56" t="s">
        <v>5121</v>
      </c>
    </row>
    <row r="203" spans="7:23" x14ac:dyDescent="0.3">
      <c r="G203" s="247"/>
      <c r="H203" s="248"/>
      <c r="I203" s="56" t="s">
        <v>31</v>
      </c>
      <c r="J203" s="56" t="s">
        <v>2309</v>
      </c>
      <c r="K203" s="56" t="s">
        <v>5116</v>
      </c>
      <c r="M203" s="337"/>
      <c r="O203" s="337"/>
      <c r="Q203" s="337"/>
      <c r="S203" s="337"/>
      <c r="T203" s="56">
        <v>2345949.7799999998</v>
      </c>
      <c r="U203" s="56" t="s">
        <v>5408</v>
      </c>
      <c r="V203" s="56" t="s">
        <v>5411</v>
      </c>
      <c r="W203" s="56" t="s">
        <v>5412</v>
      </c>
    </row>
    <row r="204" spans="7:23" x14ac:dyDescent="0.3">
      <c r="G204" s="247"/>
      <c r="H204" s="248"/>
      <c r="I204" s="56" t="s">
        <v>41</v>
      </c>
      <c r="J204" s="56" t="s">
        <v>1189</v>
      </c>
      <c r="K204" s="56" t="s">
        <v>1817</v>
      </c>
      <c r="M204" s="337"/>
      <c r="O204" s="337"/>
      <c r="Q204" s="337"/>
      <c r="S204" s="337"/>
      <c r="T204" s="56">
        <v>28084094.899999999</v>
      </c>
      <c r="U204" s="56" t="s">
        <v>2960</v>
      </c>
      <c r="V204" s="56" t="s">
        <v>2961</v>
      </c>
      <c r="W204" s="56" t="s">
        <v>2962</v>
      </c>
    </row>
    <row r="205" spans="7:23" x14ac:dyDescent="0.3">
      <c r="G205" s="247"/>
      <c r="H205" s="248"/>
      <c r="I205" s="56" t="s">
        <v>41</v>
      </c>
      <c r="J205" s="56" t="s">
        <v>1189</v>
      </c>
      <c r="K205" s="56" t="s">
        <v>1190</v>
      </c>
      <c r="M205" s="337"/>
      <c r="O205" s="337"/>
      <c r="Q205" s="337"/>
      <c r="S205" s="337"/>
      <c r="T205" s="56">
        <v>39124507.549999997</v>
      </c>
      <c r="U205" s="56" t="s">
        <v>1188</v>
      </c>
      <c r="V205" s="56" t="s">
        <v>1193</v>
      </c>
      <c r="W205" s="56" t="s">
        <v>1194</v>
      </c>
    </row>
    <row r="206" spans="7:23" x14ac:dyDescent="0.3">
      <c r="G206" s="247"/>
      <c r="H206" s="248"/>
      <c r="I206" s="56" t="s">
        <v>28</v>
      </c>
      <c r="J206" s="56" t="s">
        <v>26</v>
      </c>
      <c r="K206" s="56" t="s">
        <v>26</v>
      </c>
      <c r="L206" s="56">
        <v>10667138.1</v>
      </c>
      <c r="M206" s="337">
        <v>0.42668552400000004</v>
      </c>
      <c r="O206" s="337"/>
      <c r="Q206" s="337"/>
      <c r="S206" s="337"/>
      <c r="T206" s="56">
        <v>10667138.1</v>
      </c>
      <c r="U206" s="56" t="s">
        <v>335</v>
      </c>
      <c r="V206" s="56" t="s">
        <v>336</v>
      </c>
      <c r="W206" s="56" t="s">
        <v>337</v>
      </c>
    </row>
    <row r="207" spans="7:23" x14ac:dyDescent="0.3">
      <c r="G207" s="247"/>
      <c r="H207" s="248"/>
      <c r="I207" s="56" t="s">
        <v>28</v>
      </c>
      <c r="J207" s="56" t="s">
        <v>26</v>
      </c>
      <c r="K207" s="56" t="s">
        <v>26</v>
      </c>
      <c r="M207" s="337"/>
      <c r="O207" s="337"/>
      <c r="Q207" s="337"/>
      <c r="S207" s="337"/>
      <c r="T207" s="56">
        <v>6228825.7699999996</v>
      </c>
      <c r="U207" s="56" t="s">
        <v>5307</v>
      </c>
      <c r="V207" s="56" t="s">
        <v>5311</v>
      </c>
      <c r="W207" s="56" t="s">
        <v>5312</v>
      </c>
    </row>
    <row r="208" spans="7:23" x14ac:dyDescent="0.3">
      <c r="G208" s="247"/>
      <c r="H208" s="248"/>
      <c r="I208" s="56" t="s">
        <v>28</v>
      </c>
      <c r="J208" s="56" t="s">
        <v>26</v>
      </c>
      <c r="K208" s="56" t="s">
        <v>26</v>
      </c>
      <c r="M208" s="337"/>
      <c r="O208" s="337"/>
      <c r="Q208" s="337"/>
      <c r="S208" s="337"/>
      <c r="T208" s="56">
        <v>753039.43</v>
      </c>
      <c r="U208" s="56" t="s">
        <v>5974</v>
      </c>
      <c r="V208" s="56" t="s">
        <v>5980</v>
      </c>
      <c r="W208" s="56" t="s">
        <v>5981</v>
      </c>
    </row>
    <row r="209" spans="7:23" x14ac:dyDescent="0.3">
      <c r="G209" s="247"/>
      <c r="H209" s="248"/>
      <c r="I209" s="56" t="s">
        <v>28</v>
      </c>
      <c r="J209" s="56" t="s">
        <v>26</v>
      </c>
      <c r="K209" s="56" t="s">
        <v>26</v>
      </c>
      <c r="M209" s="337"/>
      <c r="O209" s="337"/>
      <c r="Q209" s="337"/>
      <c r="S209" s="337"/>
      <c r="T209" s="56">
        <v>789800.11</v>
      </c>
      <c r="U209" s="56" t="s">
        <v>5151</v>
      </c>
      <c r="V209" s="56" t="s">
        <v>5153</v>
      </c>
      <c r="W209" s="56" t="s">
        <v>5154</v>
      </c>
    </row>
    <row r="210" spans="7:23" x14ac:dyDescent="0.3">
      <c r="G210" s="247"/>
      <c r="H210" s="248"/>
      <c r="I210" s="56" t="s">
        <v>28</v>
      </c>
      <c r="J210" s="56" t="s">
        <v>26</v>
      </c>
      <c r="K210" s="56" t="s">
        <v>26</v>
      </c>
      <c r="M210" s="337"/>
      <c r="O210" s="337"/>
      <c r="Q210" s="337"/>
      <c r="S210" s="337"/>
      <c r="T210" s="56">
        <v>347408.68</v>
      </c>
      <c r="U210" s="56" t="s">
        <v>4994</v>
      </c>
      <c r="V210" s="56" t="s">
        <v>4995</v>
      </c>
      <c r="W210" s="56" t="s">
        <v>4996</v>
      </c>
    </row>
    <row r="211" spans="7:23" x14ac:dyDescent="0.3">
      <c r="G211" s="247"/>
      <c r="H211" s="248"/>
      <c r="I211" s="56" t="s">
        <v>28</v>
      </c>
      <c r="J211" s="56" t="s">
        <v>26</v>
      </c>
      <c r="K211" s="56" t="s">
        <v>26</v>
      </c>
      <c r="L211" s="56">
        <v>8344405.3499999996</v>
      </c>
      <c r="M211" s="337">
        <v>0.19378161570903626</v>
      </c>
      <c r="N211" s="56">
        <v>8344405.3499999996</v>
      </c>
      <c r="O211" s="337">
        <v>0.19378161570903626</v>
      </c>
      <c r="Q211" s="337"/>
      <c r="S211" s="337"/>
      <c r="T211" s="56">
        <v>8344405.3499999996</v>
      </c>
      <c r="U211" s="56" t="s">
        <v>717</v>
      </c>
      <c r="V211" s="56" t="s">
        <v>718</v>
      </c>
      <c r="W211" s="56" t="s">
        <v>719</v>
      </c>
    </row>
    <row r="212" spans="7:23" x14ac:dyDescent="0.3">
      <c r="G212" s="247"/>
      <c r="H212" s="248"/>
      <c r="I212" s="56" t="s">
        <v>28</v>
      </c>
      <c r="J212" s="56" t="s">
        <v>26</v>
      </c>
      <c r="K212" s="56" t="s">
        <v>26</v>
      </c>
      <c r="M212" s="337"/>
      <c r="O212" s="337"/>
      <c r="Q212" s="337"/>
      <c r="S212" s="337"/>
      <c r="T212" s="56">
        <v>3358058</v>
      </c>
      <c r="U212" s="56" t="s">
        <v>1747</v>
      </c>
      <c r="V212" s="56" t="s">
        <v>1958</v>
      </c>
      <c r="W212" s="56" t="s">
        <v>1959</v>
      </c>
    </row>
    <row r="213" spans="7:23" x14ac:dyDescent="0.3">
      <c r="G213" s="247"/>
      <c r="H213" s="248"/>
      <c r="I213" s="56" t="s">
        <v>28</v>
      </c>
      <c r="J213" s="56" t="s">
        <v>26</v>
      </c>
      <c r="K213" s="56" t="s">
        <v>26</v>
      </c>
      <c r="M213" s="337"/>
      <c r="O213" s="337"/>
      <c r="Q213" s="337"/>
      <c r="S213" s="337"/>
      <c r="T213" s="56">
        <v>13115333.039999999</v>
      </c>
      <c r="U213" s="56" t="s">
        <v>3562</v>
      </c>
      <c r="V213" s="56" t="s">
        <v>3571</v>
      </c>
      <c r="W213" s="56" t="s">
        <v>3572</v>
      </c>
    </row>
    <row r="214" spans="7:23" x14ac:dyDescent="0.3">
      <c r="G214" s="247"/>
      <c r="H214" s="248"/>
      <c r="I214" s="56" t="s">
        <v>28</v>
      </c>
      <c r="J214" s="56" t="s">
        <v>26</v>
      </c>
      <c r="K214" s="56" t="s">
        <v>26</v>
      </c>
      <c r="M214" s="337"/>
      <c r="O214" s="337"/>
      <c r="Q214" s="337"/>
      <c r="S214" s="337"/>
      <c r="T214" s="56">
        <v>7336894.8300000001</v>
      </c>
      <c r="U214" s="56" t="s">
        <v>1886</v>
      </c>
      <c r="V214" s="56" t="s">
        <v>1889</v>
      </c>
      <c r="W214" s="56" t="s">
        <v>1890</v>
      </c>
    </row>
    <row r="215" spans="7:23" x14ac:dyDescent="0.3">
      <c r="G215" s="247"/>
      <c r="H215" s="248"/>
      <c r="I215" s="56" t="s">
        <v>28</v>
      </c>
      <c r="J215" s="56" t="s">
        <v>26</v>
      </c>
      <c r="K215" s="56" t="s">
        <v>26</v>
      </c>
      <c r="M215" s="337"/>
      <c r="O215" s="337"/>
      <c r="Q215" s="337"/>
      <c r="S215" s="337"/>
      <c r="T215" s="56">
        <v>757210.05</v>
      </c>
      <c r="U215" s="56" t="s">
        <v>3169</v>
      </c>
      <c r="V215" s="56" t="s">
        <v>3173</v>
      </c>
      <c r="W215" s="56" t="s">
        <v>3174</v>
      </c>
    </row>
    <row r="216" spans="7:23" x14ac:dyDescent="0.3">
      <c r="G216" s="247"/>
      <c r="H216" s="248"/>
      <c r="I216" s="56" t="s">
        <v>28</v>
      </c>
      <c r="J216" s="56" t="s">
        <v>26</v>
      </c>
      <c r="K216" s="56" t="s">
        <v>26</v>
      </c>
      <c r="M216" s="337"/>
      <c r="O216" s="337"/>
      <c r="Q216" s="337"/>
      <c r="S216" s="337"/>
      <c r="T216" s="56">
        <v>1029856.2</v>
      </c>
      <c r="U216" s="56" t="s">
        <v>5822</v>
      </c>
      <c r="V216" s="56" t="s">
        <v>5828</v>
      </c>
      <c r="W216" s="56" t="s">
        <v>5829</v>
      </c>
    </row>
    <row r="217" spans="7:23" x14ac:dyDescent="0.3">
      <c r="G217" s="247"/>
      <c r="H217" s="248"/>
      <c r="I217" s="56" t="s">
        <v>28</v>
      </c>
      <c r="J217" s="56" t="s">
        <v>26</v>
      </c>
      <c r="K217" s="56" t="s">
        <v>26</v>
      </c>
      <c r="M217" s="337"/>
      <c r="O217" s="337"/>
      <c r="Q217" s="337"/>
      <c r="S217" s="337"/>
      <c r="T217" s="56">
        <v>1783071.03</v>
      </c>
      <c r="U217" s="56" t="s">
        <v>4401</v>
      </c>
      <c r="V217" s="56" t="s">
        <v>4410</v>
      </c>
      <c r="W217" s="56" t="s">
        <v>4411</v>
      </c>
    </row>
    <row r="218" spans="7:23" x14ac:dyDescent="0.3">
      <c r="G218" s="247"/>
      <c r="H218" s="248"/>
      <c r="I218" s="56" t="s">
        <v>28</v>
      </c>
      <c r="J218" s="56" t="s">
        <v>26</v>
      </c>
      <c r="K218" s="56" t="s">
        <v>26</v>
      </c>
      <c r="M218" s="337"/>
      <c r="O218" s="337"/>
      <c r="Q218" s="337"/>
      <c r="S218" s="337"/>
      <c r="T218" s="56">
        <v>21438371.149999999</v>
      </c>
      <c r="U218" s="56" t="s">
        <v>4846</v>
      </c>
      <c r="V218" s="56" t="s">
        <v>4847</v>
      </c>
      <c r="W218" s="56" t="s">
        <v>4848</v>
      </c>
    </row>
    <row r="219" spans="7:23" x14ac:dyDescent="0.3">
      <c r="G219" s="247"/>
      <c r="H219" s="248"/>
      <c r="I219" s="56" t="s">
        <v>28</v>
      </c>
      <c r="J219" s="56" t="s">
        <v>108</v>
      </c>
      <c r="K219" s="56" t="s">
        <v>26</v>
      </c>
      <c r="M219" s="337"/>
      <c r="O219" s="337"/>
      <c r="Q219" s="337"/>
      <c r="S219" s="337"/>
      <c r="T219" s="56">
        <v>3835466.65</v>
      </c>
      <c r="U219" s="56" t="s">
        <v>6000</v>
      </c>
      <c r="V219" s="56" t="s">
        <v>6002</v>
      </c>
      <c r="W219" s="56" t="s">
        <v>6003</v>
      </c>
    </row>
    <row r="220" spans="7:23" x14ac:dyDescent="0.3">
      <c r="G220" s="247"/>
      <c r="H220" s="248"/>
      <c r="I220" s="56" t="s">
        <v>28</v>
      </c>
      <c r="J220" s="56" t="s">
        <v>108</v>
      </c>
      <c r="K220" s="56" t="s">
        <v>26</v>
      </c>
      <c r="M220" s="337"/>
      <c r="O220" s="337"/>
      <c r="Q220" s="337"/>
      <c r="S220" s="337"/>
      <c r="T220" s="56">
        <v>1604784.23</v>
      </c>
      <c r="U220" s="56" t="s">
        <v>4284</v>
      </c>
      <c r="V220" s="56" t="s">
        <v>4301</v>
      </c>
      <c r="W220" s="56" t="s">
        <v>4302</v>
      </c>
    </row>
    <row r="221" spans="7:23" x14ac:dyDescent="0.3">
      <c r="G221" s="247"/>
      <c r="H221" s="248"/>
      <c r="I221" s="56" t="s">
        <v>28</v>
      </c>
      <c r="J221" s="56" t="s">
        <v>108</v>
      </c>
      <c r="K221" s="56" t="s">
        <v>26</v>
      </c>
      <c r="M221" s="337"/>
      <c r="O221" s="337"/>
      <c r="Q221" s="337"/>
      <c r="S221" s="337"/>
      <c r="T221" s="56">
        <v>1610825.38</v>
      </c>
      <c r="U221" s="56" t="s">
        <v>4549</v>
      </c>
      <c r="V221" s="56" t="s">
        <v>4558</v>
      </c>
      <c r="W221" s="56" t="s">
        <v>4559</v>
      </c>
    </row>
    <row r="222" spans="7:23" x14ac:dyDescent="0.3">
      <c r="G222" s="247"/>
      <c r="H222" s="248"/>
      <c r="I222" s="56" t="s">
        <v>28</v>
      </c>
      <c r="J222" s="56" t="s">
        <v>108</v>
      </c>
      <c r="K222" s="56" t="s">
        <v>26</v>
      </c>
      <c r="M222" s="337"/>
      <c r="O222" s="337"/>
      <c r="Q222" s="337"/>
      <c r="S222" s="337"/>
      <c r="T222" s="56">
        <v>3093610.93</v>
      </c>
      <c r="U222" s="56" t="s">
        <v>1738</v>
      </c>
      <c r="V222" s="56" t="s">
        <v>2756</v>
      </c>
      <c r="W222" s="56" t="s">
        <v>2757</v>
      </c>
    </row>
    <row r="223" spans="7:23" x14ac:dyDescent="0.3">
      <c r="G223" s="247"/>
      <c r="H223" s="248"/>
      <c r="I223" s="56" t="s">
        <v>28</v>
      </c>
      <c r="J223" s="56" t="s">
        <v>108</v>
      </c>
      <c r="K223" s="56" t="s">
        <v>26</v>
      </c>
      <c r="M223" s="337"/>
      <c r="O223" s="337"/>
      <c r="Q223" s="337"/>
      <c r="S223" s="337"/>
      <c r="T223" s="56">
        <v>2374621.64</v>
      </c>
      <c r="U223" s="56" t="s">
        <v>5567</v>
      </c>
      <c r="V223" s="56" t="s">
        <v>5577</v>
      </c>
      <c r="W223" s="56" t="s">
        <v>5578</v>
      </c>
    </row>
    <row r="224" spans="7:23" x14ac:dyDescent="0.3">
      <c r="G224" s="247"/>
      <c r="H224" s="248"/>
      <c r="I224" s="56" t="s">
        <v>28</v>
      </c>
      <c r="J224" s="56" t="s">
        <v>108</v>
      </c>
      <c r="K224" s="56" t="s">
        <v>26</v>
      </c>
      <c r="M224" s="337"/>
      <c r="O224" s="337"/>
      <c r="Q224" s="337"/>
      <c r="S224" s="337"/>
      <c r="T224" s="56">
        <v>5969098.1399999997</v>
      </c>
      <c r="U224" s="56" t="s">
        <v>1948</v>
      </c>
      <c r="V224" s="56" t="s">
        <v>917</v>
      </c>
      <c r="W224" s="56" t="s">
        <v>1952</v>
      </c>
    </row>
    <row r="225" spans="7:23" x14ac:dyDescent="0.3">
      <c r="G225" s="247"/>
      <c r="H225" s="248"/>
      <c r="I225" s="56" t="s">
        <v>28</v>
      </c>
      <c r="J225" s="56" t="s">
        <v>108</v>
      </c>
      <c r="K225" s="56" t="s">
        <v>26</v>
      </c>
      <c r="M225" s="337"/>
      <c r="O225" s="337"/>
      <c r="Q225" s="337"/>
      <c r="S225" s="337"/>
      <c r="T225" s="56">
        <v>831497.3</v>
      </c>
      <c r="U225" s="56" t="s">
        <v>5180</v>
      </c>
      <c r="V225" s="56" t="s">
        <v>5181</v>
      </c>
      <c r="W225" s="56" t="s">
        <v>5182</v>
      </c>
    </row>
    <row r="226" spans="7:23" x14ac:dyDescent="0.3">
      <c r="G226" s="247"/>
      <c r="H226" s="248"/>
      <c r="I226" s="56" t="s">
        <v>28</v>
      </c>
      <c r="J226" s="56" t="s">
        <v>108</v>
      </c>
      <c r="K226" s="56" t="s">
        <v>26</v>
      </c>
      <c r="M226" s="337"/>
      <c r="O226" s="337"/>
      <c r="Q226" s="337"/>
      <c r="S226" s="337"/>
      <c r="T226" s="56">
        <v>3337442.36</v>
      </c>
      <c r="U226" s="56" t="s">
        <v>2748</v>
      </c>
      <c r="V226" s="56" t="s">
        <v>2752</v>
      </c>
      <c r="W226" s="56" t="s">
        <v>2753</v>
      </c>
    </row>
    <row r="227" spans="7:23" x14ac:dyDescent="0.3">
      <c r="G227" s="247"/>
      <c r="H227" s="248"/>
      <c r="I227" s="56" t="s">
        <v>28</v>
      </c>
      <c r="J227" s="56" t="s">
        <v>108</v>
      </c>
      <c r="K227" s="56" t="s">
        <v>26</v>
      </c>
      <c r="M227" s="337"/>
      <c r="O227" s="337"/>
      <c r="Q227" s="337"/>
      <c r="S227" s="337"/>
      <c r="T227" s="56">
        <v>2481377.81</v>
      </c>
      <c r="U227" s="56" t="s">
        <v>5732</v>
      </c>
      <c r="V227" s="56" t="s">
        <v>5744</v>
      </c>
      <c r="W227" s="56" t="s">
        <v>5745</v>
      </c>
    </row>
    <row r="228" spans="7:23" x14ac:dyDescent="0.3">
      <c r="G228" s="247"/>
      <c r="H228" s="248"/>
      <c r="I228" s="56" t="s">
        <v>28</v>
      </c>
      <c r="J228" s="56" t="s">
        <v>108</v>
      </c>
      <c r="K228" s="56" t="s">
        <v>26</v>
      </c>
      <c r="M228" s="337"/>
      <c r="O228" s="337"/>
      <c r="Q228" s="337"/>
      <c r="S228" s="337"/>
      <c r="T228" s="56">
        <v>1213736.6399999999</v>
      </c>
      <c r="U228" s="56" t="s">
        <v>5713</v>
      </c>
      <c r="V228" s="56" t="s">
        <v>5718</v>
      </c>
      <c r="W228" s="56" t="s">
        <v>5719</v>
      </c>
    </row>
    <row r="229" spans="7:23" x14ac:dyDescent="0.3">
      <c r="G229" s="247"/>
      <c r="H229" s="248"/>
      <c r="I229" s="56" t="s">
        <v>28</v>
      </c>
      <c r="J229" s="56" t="s">
        <v>108</v>
      </c>
      <c r="K229" s="56" t="s">
        <v>26</v>
      </c>
      <c r="M229" s="337"/>
      <c r="O229" s="337"/>
      <c r="Q229" s="337"/>
      <c r="S229" s="337"/>
      <c r="T229" s="56">
        <v>303290.34999999998</v>
      </c>
      <c r="U229" s="56" t="s">
        <v>5143</v>
      </c>
      <c r="V229" s="56" t="s">
        <v>5148</v>
      </c>
      <c r="W229" s="56" t="s">
        <v>5149</v>
      </c>
    </row>
    <row r="230" spans="7:23" x14ac:dyDescent="0.3">
      <c r="G230" s="247"/>
      <c r="H230" s="248"/>
      <c r="I230" s="56" t="s">
        <v>28</v>
      </c>
      <c r="J230" s="56" t="s">
        <v>108</v>
      </c>
      <c r="K230" s="56" t="s">
        <v>26</v>
      </c>
      <c r="M230" s="337"/>
      <c r="O230" s="337"/>
      <c r="Q230" s="337"/>
      <c r="S230" s="337"/>
      <c r="T230" s="56">
        <v>318265.31</v>
      </c>
      <c r="U230" s="56" t="s">
        <v>5781</v>
      </c>
      <c r="V230" s="56" t="s">
        <v>5799</v>
      </c>
      <c r="W230" s="56" t="s">
        <v>5800</v>
      </c>
    </row>
    <row r="231" spans="7:23" x14ac:dyDescent="0.3">
      <c r="G231" s="247"/>
      <c r="H231" s="248"/>
      <c r="I231" s="56" t="s">
        <v>28</v>
      </c>
      <c r="J231" s="56" t="s">
        <v>755</v>
      </c>
      <c r="K231" s="56" t="s">
        <v>26</v>
      </c>
      <c r="L231" s="56">
        <v>3431151.96</v>
      </c>
      <c r="M231" s="337">
        <v>0.22377472524569944</v>
      </c>
      <c r="O231" s="337"/>
      <c r="Q231" s="337"/>
      <c r="S231" s="337"/>
      <c r="T231" s="56">
        <v>3431151.96</v>
      </c>
      <c r="U231" s="56" t="s">
        <v>139</v>
      </c>
      <c r="V231" s="56" t="s">
        <v>140</v>
      </c>
      <c r="W231" s="56" t="s">
        <v>141</v>
      </c>
    </row>
    <row r="232" spans="7:23" x14ac:dyDescent="0.3">
      <c r="G232" s="247"/>
      <c r="H232" s="248"/>
      <c r="I232" s="56" t="s">
        <v>44</v>
      </c>
      <c r="J232" s="56" t="s">
        <v>26</v>
      </c>
      <c r="K232" s="56" t="s">
        <v>26</v>
      </c>
      <c r="M232" s="337"/>
      <c r="O232" s="337"/>
      <c r="Q232" s="337"/>
      <c r="S232" s="337"/>
      <c r="T232" s="56">
        <v>13823434.369999999</v>
      </c>
      <c r="U232" s="56" t="s">
        <v>4903</v>
      </c>
      <c r="V232" s="56" t="s">
        <v>4905</v>
      </c>
      <c r="W232" s="56" t="s">
        <v>4906</v>
      </c>
    </row>
    <row r="233" spans="7:23" x14ac:dyDescent="0.3">
      <c r="G233" s="247"/>
      <c r="H233" s="248"/>
      <c r="I233" s="56" t="s">
        <v>44</v>
      </c>
      <c r="J233" s="56" t="s">
        <v>26</v>
      </c>
      <c r="K233" s="56" t="s">
        <v>26</v>
      </c>
      <c r="L233" s="56">
        <v>28100045.739999998</v>
      </c>
      <c r="M233" s="337">
        <v>0.59787331361702134</v>
      </c>
      <c r="O233" s="337"/>
      <c r="Q233" s="337"/>
      <c r="S233" s="337"/>
      <c r="T233" s="56">
        <v>28100045.739999998</v>
      </c>
      <c r="U233" s="56" t="s">
        <v>1878</v>
      </c>
      <c r="V233" s="56" t="s">
        <v>1879</v>
      </c>
      <c r="W233" s="56" t="s">
        <v>1880</v>
      </c>
    </row>
    <row r="234" spans="7:23" x14ac:dyDescent="0.3">
      <c r="G234" s="247"/>
      <c r="H234" s="248"/>
      <c r="I234" s="56" t="s">
        <v>44</v>
      </c>
      <c r="J234" s="56" t="s">
        <v>26</v>
      </c>
      <c r="K234" s="56" t="s">
        <v>26</v>
      </c>
      <c r="M234" s="337"/>
      <c r="O234" s="337"/>
      <c r="Q234" s="337"/>
      <c r="S234" s="337"/>
      <c r="T234" s="56">
        <v>4442839.51</v>
      </c>
      <c r="U234" s="56" t="s">
        <v>1705</v>
      </c>
      <c r="V234" s="56" t="s">
        <v>1906</v>
      </c>
      <c r="W234" s="56" t="s">
        <v>1907</v>
      </c>
    </row>
    <row r="235" spans="7:23" x14ac:dyDescent="0.3">
      <c r="G235" s="247"/>
      <c r="H235" s="248"/>
      <c r="I235" s="56" t="s">
        <v>44</v>
      </c>
      <c r="J235" s="56" t="s">
        <v>26</v>
      </c>
      <c r="K235" s="56" t="s">
        <v>26</v>
      </c>
      <c r="L235" s="56">
        <v>5259874.79</v>
      </c>
      <c r="M235" s="337">
        <v>0.52598747899999998</v>
      </c>
      <c r="N235" s="56">
        <v>5259874.79</v>
      </c>
      <c r="O235" s="337">
        <v>0.52598747899999998</v>
      </c>
      <c r="P235" s="56">
        <v>5259874.79</v>
      </c>
      <c r="Q235" s="337">
        <v>0.52598747899999998</v>
      </c>
      <c r="S235" s="337"/>
      <c r="T235" s="56">
        <v>5259874.79</v>
      </c>
      <c r="U235" s="56" t="s">
        <v>2023</v>
      </c>
      <c r="V235" s="56" t="s">
        <v>2024</v>
      </c>
      <c r="W235" s="56" t="s">
        <v>2025</v>
      </c>
    </row>
    <row r="236" spans="7:23" x14ac:dyDescent="0.3">
      <c r="G236" s="247"/>
      <c r="H236" s="248"/>
      <c r="I236" s="56" t="s">
        <v>44</v>
      </c>
      <c r="J236" s="56" t="s">
        <v>26</v>
      </c>
      <c r="K236" s="56" t="s">
        <v>26</v>
      </c>
      <c r="M236" s="337"/>
      <c r="O236" s="337"/>
      <c r="Q236" s="337"/>
      <c r="S236" s="337"/>
      <c r="T236" s="56">
        <v>9457231.7100000009</v>
      </c>
      <c r="U236" s="56" t="s">
        <v>4938</v>
      </c>
      <c r="V236" s="56" t="s">
        <v>4940</v>
      </c>
      <c r="W236" s="56" t="s">
        <v>4941</v>
      </c>
    </row>
    <row r="237" spans="7:23" x14ac:dyDescent="0.3">
      <c r="G237" s="247"/>
      <c r="H237" s="248"/>
      <c r="I237" s="56" t="s">
        <v>44</v>
      </c>
      <c r="J237" s="56" t="s">
        <v>26</v>
      </c>
      <c r="K237" s="56" t="s">
        <v>26</v>
      </c>
      <c r="M237" s="337"/>
      <c r="O237" s="337"/>
      <c r="Q237" s="337"/>
      <c r="S237" s="337"/>
      <c r="T237" s="56">
        <v>1360161.78</v>
      </c>
      <c r="U237" s="56" t="s">
        <v>4800</v>
      </c>
      <c r="V237" s="56" t="s">
        <v>4805</v>
      </c>
      <c r="W237" s="56" t="s">
        <v>4806</v>
      </c>
    </row>
    <row r="238" spans="7:23" x14ac:dyDescent="0.3">
      <c r="G238" s="247"/>
      <c r="H238" s="248"/>
      <c r="I238" s="56" t="s">
        <v>44</v>
      </c>
      <c r="J238" s="56" t="s">
        <v>26</v>
      </c>
      <c r="K238" s="56" t="s">
        <v>26</v>
      </c>
      <c r="M238" s="337"/>
      <c r="O238" s="337"/>
      <c r="Q238" s="337"/>
      <c r="S238" s="337"/>
      <c r="T238" s="56">
        <v>1135658.06</v>
      </c>
      <c r="U238" s="56" t="s">
        <v>4779</v>
      </c>
      <c r="V238" s="56" t="s">
        <v>4792</v>
      </c>
      <c r="W238" s="56" t="s">
        <v>4793</v>
      </c>
    </row>
    <row r="239" spans="7:23" x14ac:dyDescent="0.3">
      <c r="G239" s="247"/>
      <c r="H239" s="248"/>
      <c r="I239" s="56" t="s">
        <v>44</v>
      </c>
      <c r="J239" s="56" t="s">
        <v>26</v>
      </c>
      <c r="K239" s="56" t="s">
        <v>26</v>
      </c>
      <c r="M239" s="337"/>
      <c r="O239" s="337"/>
      <c r="Q239" s="337"/>
      <c r="S239" s="337"/>
      <c r="T239" s="56">
        <v>19719988.949999999</v>
      </c>
      <c r="U239" s="56" t="s">
        <v>4929</v>
      </c>
      <c r="V239" s="56" t="s">
        <v>4935</v>
      </c>
      <c r="W239" s="56" t="s">
        <v>4936</v>
      </c>
    </row>
    <row r="240" spans="7:23" x14ac:dyDescent="0.3">
      <c r="G240" s="247"/>
      <c r="H240" s="248"/>
      <c r="I240" s="56" t="s">
        <v>44</v>
      </c>
      <c r="J240" s="56" t="s">
        <v>26</v>
      </c>
      <c r="K240" s="56" t="s">
        <v>26</v>
      </c>
      <c r="M240" s="337"/>
      <c r="O240" s="337"/>
      <c r="Q240" s="337"/>
      <c r="S240" s="337"/>
      <c r="T240" s="56">
        <v>8511719.1899999995</v>
      </c>
      <c r="U240" s="56" t="s">
        <v>4990</v>
      </c>
      <c r="V240" s="56" t="s">
        <v>4991</v>
      </c>
      <c r="W240" s="56" t="s">
        <v>4992</v>
      </c>
    </row>
    <row r="241" spans="7:23" x14ac:dyDescent="0.3">
      <c r="G241" s="247"/>
      <c r="H241" s="248"/>
      <c r="I241" s="56" t="s">
        <v>44</v>
      </c>
      <c r="J241" s="56" t="s">
        <v>92</v>
      </c>
      <c r="K241" s="56" t="s">
        <v>26</v>
      </c>
      <c r="L241" s="56">
        <v>20876300.52</v>
      </c>
      <c r="M241" s="337">
        <v>0.45725910101386263</v>
      </c>
      <c r="N241" s="56">
        <v>20876300.52</v>
      </c>
      <c r="O241" s="337">
        <v>0.45725910101386263</v>
      </c>
      <c r="Q241" s="337"/>
      <c r="S241" s="337"/>
      <c r="T241" s="56">
        <v>20876300.52</v>
      </c>
      <c r="U241" s="56" t="s">
        <v>824</v>
      </c>
      <c r="V241" s="56" t="s">
        <v>729</v>
      </c>
      <c r="W241" s="56" t="s">
        <v>828</v>
      </c>
    </row>
    <row r="242" spans="7:23" x14ac:dyDescent="0.3">
      <c r="G242" s="247"/>
      <c r="H242" s="248"/>
      <c r="I242" s="56" t="s">
        <v>44</v>
      </c>
      <c r="J242" s="56" t="s">
        <v>92</v>
      </c>
      <c r="K242" s="56" t="s">
        <v>26</v>
      </c>
      <c r="M242" s="337"/>
      <c r="O242" s="337"/>
      <c r="Q242" s="337"/>
      <c r="S242" s="337"/>
      <c r="T242" s="56">
        <v>4815621.8499999996</v>
      </c>
      <c r="U242" s="56" t="s">
        <v>614</v>
      </c>
      <c r="V242" s="56" t="s">
        <v>616</v>
      </c>
      <c r="W242" s="56" t="s">
        <v>617</v>
      </c>
    </row>
    <row r="243" spans="7:23" x14ac:dyDescent="0.3">
      <c r="G243" s="247"/>
      <c r="H243" s="248"/>
      <c r="I243" s="56" t="s">
        <v>44</v>
      </c>
      <c r="J243" s="56" t="s">
        <v>92</v>
      </c>
      <c r="K243" s="56" t="s">
        <v>26</v>
      </c>
      <c r="M243" s="337"/>
      <c r="O243" s="337"/>
      <c r="Q243" s="337"/>
      <c r="S243" s="337"/>
      <c r="T243" s="56">
        <v>12914223.6</v>
      </c>
      <c r="U243" s="56" t="s">
        <v>87</v>
      </c>
      <c r="V243" s="56" t="s">
        <v>249</v>
      </c>
      <c r="W243" s="56" t="s">
        <v>250</v>
      </c>
    </row>
    <row r="244" spans="7:23" x14ac:dyDescent="0.3">
      <c r="G244" s="247"/>
      <c r="H244" s="248"/>
      <c r="I244" s="56" t="s">
        <v>44</v>
      </c>
      <c r="J244" s="56" t="s">
        <v>92</v>
      </c>
      <c r="K244" s="56" t="s">
        <v>26</v>
      </c>
      <c r="L244" s="56">
        <v>6896243.7000000002</v>
      </c>
      <c r="M244" s="337">
        <v>0.1724060925</v>
      </c>
      <c r="N244" s="56">
        <v>6896243.7000000002</v>
      </c>
      <c r="O244" s="337">
        <v>0.1724060925</v>
      </c>
      <c r="Q244" s="337"/>
      <c r="S244" s="337"/>
      <c r="T244" s="56">
        <v>6896243.7000000002</v>
      </c>
      <c r="U244" s="56" t="s">
        <v>120</v>
      </c>
      <c r="V244" s="56" t="s">
        <v>279</v>
      </c>
      <c r="W244" s="56" t="s">
        <v>280</v>
      </c>
    </row>
    <row r="245" spans="7:23" x14ac:dyDescent="0.3">
      <c r="G245" s="247"/>
      <c r="H245" s="248"/>
      <c r="I245" s="56" t="s">
        <v>44</v>
      </c>
      <c r="J245" s="56" t="s">
        <v>92</v>
      </c>
      <c r="K245" s="56" t="s">
        <v>26</v>
      </c>
      <c r="L245" s="56">
        <v>597121.59</v>
      </c>
      <c r="M245" s="337">
        <v>7.4640198749999997E-2</v>
      </c>
      <c r="N245" s="56">
        <v>597121.59</v>
      </c>
      <c r="O245" s="337">
        <v>7.4640198749999997E-2</v>
      </c>
      <c r="Q245" s="337"/>
      <c r="S245" s="337"/>
      <c r="T245" s="56">
        <v>597121.59</v>
      </c>
      <c r="U245" s="56" t="s">
        <v>453</v>
      </c>
      <c r="V245" s="56" t="s">
        <v>2144</v>
      </c>
      <c r="W245" s="56" t="s">
        <v>2145</v>
      </c>
    </row>
    <row r="246" spans="7:23" x14ac:dyDescent="0.3">
      <c r="G246" s="247"/>
      <c r="H246" s="248"/>
      <c r="I246" s="56" t="s">
        <v>44</v>
      </c>
      <c r="J246" s="56" t="s">
        <v>92</v>
      </c>
      <c r="K246" s="56" t="s">
        <v>26</v>
      </c>
      <c r="M246" s="337"/>
      <c r="O246" s="337"/>
      <c r="Q246" s="337"/>
      <c r="S246" s="337"/>
      <c r="T246" s="56">
        <v>30179879.940000001</v>
      </c>
      <c r="U246" s="56" t="s">
        <v>598</v>
      </c>
      <c r="V246" s="56" t="s">
        <v>599</v>
      </c>
      <c r="W246" s="56" t="s">
        <v>600</v>
      </c>
    </row>
    <row r="247" spans="7:23" x14ac:dyDescent="0.3">
      <c r="G247" s="247"/>
      <c r="H247" s="248"/>
      <c r="I247" s="56" t="s">
        <v>44</v>
      </c>
      <c r="J247" s="56" t="s">
        <v>92</v>
      </c>
      <c r="K247" s="56" t="s">
        <v>26</v>
      </c>
      <c r="M247" s="337"/>
      <c r="O247" s="337"/>
      <c r="Q247" s="337"/>
      <c r="S247" s="337"/>
      <c r="T247" s="56">
        <v>31785396.940000001</v>
      </c>
      <c r="U247" s="56" t="s">
        <v>645</v>
      </c>
      <c r="V247" s="56" t="s">
        <v>646</v>
      </c>
      <c r="W247" s="56" t="s">
        <v>647</v>
      </c>
    </row>
    <row r="248" spans="7:23" x14ac:dyDescent="0.3">
      <c r="G248" s="247"/>
      <c r="H248" s="248"/>
      <c r="I248" s="56" t="s">
        <v>44</v>
      </c>
      <c r="J248" s="56" t="s">
        <v>92</v>
      </c>
      <c r="K248" s="56" t="s">
        <v>26</v>
      </c>
      <c r="L248" s="56">
        <v>34666001.640000001</v>
      </c>
      <c r="M248" s="337">
        <v>0.51740300955223884</v>
      </c>
      <c r="N248" s="56">
        <v>34666001.640000001</v>
      </c>
      <c r="O248" s="337">
        <v>0.51740300955223884</v>
      </c>
      <c r="Q248" s="337"/>
      <c r="S248" s="337"/>
      <c r="T248" s="56">
        <v>34666001.640000001</v>
      </c>
      <c r="U248" s="56" t="s">
        <v>817</v>
      </c>
      <c r="V248" s="56" t="s">
        <v>820</v>
      </c>
      <c r="W248" s="56" t="s">
        <v>821</v>
      </c>
    </row>
    <row r="249" spans="7:23" x14ac:dyDescent="0.3">
      <c r="G249" s="247"/>
      <c r="H249" s="248"/>
      <c r="I249" s="56" t="s">
        <v>44</v>
      </c>
      <c r="J249" s="56" t="s">
        <v>92</v>
      </c>
      <c r="K249" s="56" t="s">
        <v>26</v>
      </c>
      <c r="L249" s="56">
        <v>11376146.18</v>
      </c>
      <c r="M249" s="337">
        <v>0.45504584720000002</v>
      </c>
      <c r="O249" s="337"/>
      <c r="Q249" s="337"/>
      <c r="S249" s="337"/>
      <c r="T249" s="56">
        <v>11376146.18</v>
      </c>
      <c r="U249" s="56" t="s">
        <v>721</v>
      </c>
      <c r="V249" s="56" t="s">
        <v>723</v>
      </c>
      <c r="W249" s="56" t="s">
        <v>724</v>
      </c>
    </row>
    <row r="250" spans="7:23" x14ac:dyDescent="0.3">
      <c r="G250" s="247"/>
      <c r="H250" s="248"/>
      <c r="I250" s="56" t="s">
        <v>44</v>
      </c>
      <c r="J250" s="56" t="s">
        <v>92</v>
      </c>
      <c r="K250" s="56" t="s">
        <v>26</v>
      </c>
      <c r="L250" s="56">
        <v>10671998.07</v>
      </c>
      <c r="M250" s="337">
        <v>0.53359990350000008</v>
      </c>
      <c r="O250" s="337"/>
      <c r="Q250" s="337"/>
      <c r="S250" s="337"/>
      <c r="T250" s="56">
        <v>10671998.07</v>
      </c>
      <c r="U250" s="56" t="s">
        <v>767</v>
      </c>
      <c r="V250" s="56" t="s">
        <v>771</v>
      </c>
      <c r="W250" s="56" t="s">
        <v>772</v>
      </c>
    </row>
    <row r="251" spans="7:23" x14ac:dyDescent="0.3">
      <c r="G251" s="247"/>
      <c r="H251" s="248"/>
      <c r="I251" s="56" t="s">
        <v>44</v>
      </c>
      <c r="J251" s="56" t="s">
        <v>92</v>
      </c>
      <c r="K251" s="56" t="s">
        <v>26</v>
      </c>
      <c r="M251" s="337"/>
      <c r="O251" s="337"/>
      <c r="Q251" s="337"/>
      <c r="S251" s="337"/>
      <c r="T251" s="56">
        <v>30325175.940000001</v>
      </c>
      <c r="U251" s="56" t="s">
        <v>1504</v>
      </c>
      <c r="V251" s="56" t="s">
        <v>1505</v>
      </c>
      <c r="W251" s="56" t="s">
        <v>1506</v>
      </c>
    </row>
    <row r="252" spans="7:23" x14ac:dyDescent="0.3">
      <c r="G252" s="247"/>
      <c r="H252" s="248"/>
      <c r="I252" s="56" t="s">
        <v>44</v>
      </c>
      <c r="J252" s="56" t="s">
        <v>92</v>
      </c>
      <c r="K252" s="56" t="s">
        <v>26</v>
      </c>
      <c r="M252" s="337"/>
      <c r="O252" s="337"/>
      <c r="Q252" s="337"/>
      <c r="S252" s="337"/>
      <c r="T252" s="56">
        <v>7825722.2000000002</v>
      </c>
      <c r="U252" s="56" t="s">
        <v>894</v>
      </c>
      <c r="V252" s="56" t="s">
        <v>899</v>
      </c>
      <c r="W252" s="56" t="s">
        <v>900</v>
      </c>
    </row>
    <row r="253" spans="7:23" x14ac:dyDescent="0.3">
      <c r="G253" s="247"/>
      <c r="H253" s="248"/>
      <c r="I253" s="56" t="s">
        <v>44</v>
      </c>
      <c r="J253" s="56" t="s">
        <v>92</v>
      </c>
      <c r="K253" s="56" t="s">
        <v>26</v>
      </c>
      <c r="L253" s="56">
        <v>32858913.73</v>
      </c>
      <c r="M253" s="337">
        <v>0.45637380180555553</v>
      </c>
      <c r="N253" s="56">
        <v>32858913.73</v>
      </c>
      <c r="O253" s="337">
        <v>0.45637380180555553</v>
      </c>
      <c r="P253" s="56">
        <v>32858913.73</v>
      </c>
      <c r="Q253" s="337">
        <v>0.45637380180555553</v>
      </c>
      <c r="S253" s="337"/>
      <c r="T253" s="56">
        <v>32858913.73</v>
      </c>
      <c r="U253" s="56" t="s">
        <v>912</v>
      </c>
      <c r="V253" s="56" t="s">
        <v>915</v>
      </c>
      <c r="W253" s="56" t="s">
        <v>916</v>
      </c>
    </row>
    <row r="254" spans="7:23" x14ac:dyDescent="0.3">
      <c r="G254" s="247"/>
      <c r="H254" s="248"/>
      <c r="I254" s="56" t="s">
        <v>44</v>
      </c>
      <c r="J254" s="56" t="s">
        <v>92</v>
      </c>
      <c r="K254" s="56" t="s">
        <v>26</v>
      </c>
      <c r="L254" s="56">
        <v>9479857.4000000004</v>
      </c>
      <c r="M254" s="337">
        <v>0.72921979999999997</v>
      </c>
      <c r="N254" s="56">
        <v>9479857.4000000004</v>
      </c>
      <c r="O254" s="337">
        <v>0.72921979999999997</v>
      </c>
      <c r="P254" s="56">
        <v>9479857.4000000004</v>
      </c>
      <c r="Q254" s="337">
        <v>0.72921979999999997</v>
      </c>
      <c r="S254" s="337"/>
      <c r="T254" s="56">
        <v>9479857.4000000004</v>
      </c>
      <c r="U254" s="56" t="s">
        <v>974</v>
      </c>
      <c r="V254" s="56" t="s">
        <v>979</v>
      </c>
      <c r="W254" s="56" t="s">
        <v>980</v>
      </c>
    </row>
    <row r="255" spans="7:23" x14ac:dyDescent="0.3">
      <c r="G255" s="247"/>
      <c r="H255" s="248"/>
      <c r="I255" s="56" t="s">
        <v>44</v>
      </c>
      <c r="J255" s="56" t="s">
        <v>92</v>
      </c>
      <c r="K255" s="56" t="s">
        <v>26</v>
      </c>
      <c r="M255" s="337"/>
      <c r="O255" s="337"/>
      <c r="Q255" s="337"/>
      <c r="S255" s="337"/>
      <c r="T255" s="56">
        <v>29849867.420000002</v>
      </c>
      <c r="U255" s="56" t="s">
        <v>1091</v>
      </c>
      <c r="V255" s="56" t="s">
        <v>1092</v>
      </c>
      <c r="W255" s="56" t="s">
        <v>1093</v>
      </c>
    </row>
    <row r="256" spans="7:23" x14ac:dyDescent="0.3">
      <c r="G256" s="247"/>
      <c r="H256" s="248"/>
      <c r="I256" s="56" t="s">
        <v>44</v>
      </c>
      <c r="J256" s="56" t="s">
        <v>92</v>
      </c>
      <c r="K256" s="56" t="s">
        <v>26</v>
      </c>
      <c r="M256" s="337"/>
      <c r="O256" s="337"/>
      <c r="Q256" s="337"/>
      <c r="S256" s="337"/>
      <c r="T256" s="56">
        <v>33080880.539999999</v>
      </c>
      <c r="U256" s="56" t="s">
        <v>1256</v>
      </c>
      <c r="V256" s="56" t="s">
        <v>1257</v>
      </c>
      <c r="W256" s="56" t="s">
        <v>1258</v>
      </c>
    </row>
    <row r="257" spans="7:23" x14ac:dyDescent="0.3">
      <c r="G257" s="247"/>
      <c r="H257" s="248"/>
      <c r="I257" s="56" t="s">
        <v>44</v>
      </c>
      <c r="J257" s="56" t="s">
        <v>92</v>
      </c>
      <c r="K257" s="56" t="s">
        <v>26</v>
      </c>
      <c r="L257" s="56">
        <v>7044717.6100000003</v>
      </c>
      <c r="M257" s="337">
        <v>0.46964784066666665</v>
      </c>
      <c r="N257" s="56">
        <v>7044717.6100000003</v>
      </c>
      <c r="O257" s="337">
        <v>0.46964784066666665</v>
      </c>
      <c r="Q257" s="337"/>
      <c r="S257" s="337"/>
      <c r="T257" s="56">
        <v>7044717.6100000003</v>
      </c>
      <c r="U257" s="56" t="s">
        <v>1454</v>
      </c>
      <c r="V257" s="56" t="s">
        <v>1473</v>
      </c>
      <c r="W257" s="56" t="s">
        <v>1474</v>
      </c>
    </row>
    <row r="258" spans="7:23" x14ac:dyDescent="0.3">
      <c r="G258" s="247"/>
      <c r="H258" s="248"/>
      <c r="I258" s="56" t="s">
        <v>44</v>
      </c>
      <c r="J258" s="56" t="s">
        <v>92</v>
      </c>
      <c r="K258" s="56" t="s">
        <v>26</v>
      </c>
      <c r="M258" s="337"/>
      <c r="O258" s="337"/>
      <c r="Q258" s="337"/>
      <c r="S258" s="337"/>
      <c r="T258" s="56">
        <v>16066040.01</v>
      </c>
      <c r="U258" s="56" t="s">
        <v>1512</v>
      </c>
      <c r="V258" s="56" t="s">
        <v>1516</v>
      </c>
      <c r="W258" s="56" t="s">
        <v>1517</v>
      </c>
    </row>
    <row r="259" spans="7:23" x14ac:dyDescent="0.3">
      <c r="G259" s="247"/>
      <c r="H259" s="248"/>
      <c r="I259" s="56" t="s">
        <v>44</v>
      </c>
      <c r="J259" s="56" t="s">
        <v>92</v>
      </c>
      <c r="K259" s="56" t="s">
        <v>26</v>
      </c>
      <c r="M259" s="337"/>
      <c r="O259" s="337"/>
      <c r="Q259" s="337"/>
      <c r="S259" s="337"/>
      <c r="T259" s="56">
        <v>20417599.690000001</v>
      </c>
      <c r="U259" s="56" t="s">
        <v>1530</v>
      </c>
      <c r="V259" s="56" t="s">
        <v>1533</v>
      </c>
      <c r="W259" s="56" t="s">
        <v>1534</v>
      </c>
    </row>
    <row r="260" spans="7:23" x14ac:dyDescent="0.3">
      <c r="G260" s="247"/>
      <c r="H260" s="248"/>
      <c r="I260" s="56" t="s">
        <v>44</v>
      </c>
      <c r="J260" s="56" t="s">
        <v>92</v>
      </c>
      <c r="K260" s="56" t="s">
        <v>26</v>
      </c>
      <c r="M260" s="337"/>
      <c r="O260" s="337"/>
      <c r="Q260" s="337"/>
      <c r="S260" s="337"/>
      <c r="T260" s="56">
        <v>16413521.43</v>
      </c>
      <c r="U260" s="56" t="s">
        <v>1562</v>
      </c>
      <c r="V260" s="56" t="s">
        <v>1589</v>
      </c>
      <c r="W260" s="56" t="s">
        <v>1590</v>
      </c>
    </row>
    <row r="261" spans="7:23" x14ac:dyDescent="0.3">
      <c r="G261" s="247"/>
      <c r="H261" s="248"/>
      <c r="I261" s="56" t="s">
        <v>44</v>
      </c>
      <c r="J261" s="56" t="s">
        <v>92</v>
      </c>
      <c r="K261" s="56" t="s">
        <v>26</v>
      </c>
      <c r="L261" s="56">
        <v>7681324.2800000003</v>
      </c>
      <c r="M261" s="337">
        <v>0.51208828533333339</v>
      </c>
      <c r="N261" s="56">
        <v>7681324.2800000003</v>
      </c>
      <c r="O261" s="337">
        <v>0.51208828533333339</v>
      </c>
      <c r="Q261" s="337"/>
      <c r="S261" s="337"/>
      <c r="T261" s="56">
        <v>7681324.2800000003</v>
      </c>
      <c r="U261" s="56" t="s">
        <v>1553</v>
      </c>
      <c r="V261" s="56" t="s">
        <v>1567</v>
      </c>
      <c r="W261" s="56" t="s">
        <v>1568</v>
      </c>
    </row>
    <row r="262" spans="7:23" x14ac:dyDescent="0.3">
      <c r="G262" s="247"/>
      <c r="H262" s="248"/>
      <c r="I262" s="56" t="s">
        <v>44</v>
      </c>
      <c r="J262" s="56" t="s">
        <v>92</v>
      </c>
      <c r="K262" s="56" t="s">
        <v>26</v>
      </c>
      <c r="M262" s="337"/>
      <c r="O262" s="337"/>
      <c r="Q262" s="337"/>
      <c r="S262" s="337"/>
      <c r="T262" s="56">
        <v>3356659.52</v>
      </c>
      <c r="U262" s="56" t="s">
        <v>1748</v>
      </c>
      <c r="V262" s="56" t="s">
        <v>1749</v>
      </c>
      <c r="W262" s="56" t="s">
        <v>1750</v>
      </c>
    </row>
    <row r="263" spans="7:23" x14ac:dyDescent="0.3">
      <c r="G263" s="247"/>
      <c r="H263" s="248"/>
      <c r="I263" s="56" t="s">
        <v>44</v>
      </c>
      <c r="J263" s="56" t="s">
        <v>92</v>
      </c>
      <c r="K263" s="56" t="s">
        <v>26</v>
      </c>
      <c r="M263" s="337"/>
      <c r="O263" s="337"/>
      <c r="Q263" s="337"/>
      <c r="S263" s="337"/>
      <c r="T263" s="56">
        <v>15742332.01</v>
      </c>
      <c r="U263" s="56" t="s">
        <v>3226</v>
      </c>
      <c r="V263" s="56" t="s">
        <v>3233</v>
      </c>
      <c r="W263" s="56" t="s">
        <v>3234</v>
      </c>
    </row>
    <row r="264" spans="7:23" x14ac:dyDescent="0.3">
      <c r="G264" s="247"/>
      <c r="H264" s="248"/>
      <c r="I264" s="56" t="s">
        <v>44</v>
      </c>
      <c r="J264" s="56" t="s">
        <v>92</v>
      </c>
      <c r="K264" s="56" t="s">
        <v>26</v>
      </c>
      <c r="L264" s="56">
        <v>983575.67</v>
      </c>
      <c r="M264" s="337">
        <v>0.39343026800000003</v>
      </c>
      <c r="O264" s="337"/>
      <c r="Q264" s="337"/>
      <c r="S264" s="337"/>
      <c r="T264" s="56">
        <v>983575.67</v>
      </c>
      <c r="U264" s="56" t="s">
        <v>4161</v>
      </c>
      <c r="V264" s="56" t="s">
        <v>4162</v>
      </c>
      <c r="W264" s="56" t="s">
        <v>4163</v>
      </c>
    </row>
    <row r="265" spans="7:23" x14ac:dyDescent="0.3">
      <c r="G265" s="247"/>
      <c r="H265" s="248"/>
      <c r="I265" s="56" t="s">
        <v>44</v>
      </c>
      <c r="J265" s="56" t="s">
        <v>92</v>
      </c>
      <c r="K265" s="56" t="s">
        <v>26</v>
      </c>
      <c r="L265" s="56">
        <v>10950711.75</v>
      </c>
      <c r="M265" s="337">
        <v>0.55335239383279811</v>
      </c>
      <c r="O265" s="337"/>
      <c r="Q265" s="337"/>
      <c r="S265" s="337"/>
      <c r="T265" s="56">
        <v>10950711.75</v>
      </c>
      <c r="U265" s="56" t="s">
        <v>1698</v>
      </c>
      <c r="V265" s="56" t="s">
        <v>1699</v>
      </c>
      <c r="W265" s="56" t="s">
        <v>1700</v>
      </c>
    </row>
    <row r="266" spans="7:23" x14ac:dyDescent="0.3">
      <c r="G266" s="247"/>
      <c r="H266" s="248"/>
      <c r="I266" s="56" t="s">
        <v>44</v>
      </c>
      <c r="J266" s="56" t="s">
        <v>92</v>
      </c>
      <c r="K266" s="56" t="s">
        <v>26</v>
      </c>
      <c r="L266" s="56">
        <v>9269205.2300000004</v>
      </c>
      <c r="M266" s="337">
        <v>0.46346026149999997</v>
      </c>
      <c r="N266" s="56">
        <v>9269205.2300000004</v>
      </c>
      <c r="O266" s="337">
        <v>0.46346026149999997</v>
      </c>
      <c r="Q266" s="337"/>
      <c r="S266" s="337"/>
      <c r="T266" s="56">
        <v>9269205.2300000004</v>
      </c>
      <c r="U266" s="56" t="s">
        <v>3093</v>
      </c>
      <c r="V266" s="56" t="s">
        <v>3094</v>
      </c>
      <c r="W266" s="56" t="s">
        <v>3095</v>
      </c>
    </row>
    <row r="267" spans="7:23" x14ac:dyDescent="0.3">
      <c r="G267" s="247"/>
      <c r="H267" s="248"/>
      <c r="I267" s="56" t="s">
        <v>44</v>
      </c>
      <c r="J267" s="56" t="s">
        <v>92</v>
      </c>
      <c r="K267" s="56" t="s">
        <v>26</v>
      </c>
      <c r="L267" s="56">
        <v>9970307.7200000007</v>
      </c>
      <c r="M267" s="337">
        <v>0.55390598444444439</v>
      </c>
      <c r="N267" s="56">
        <v>9970307.7200000007</v>
      </c>
      <c r="O267" s="337">
        <v>0.55390598444444439</v>
      </c>
      <c r="P267" s="56">
        <v>9970307.7200000007</v>
      </c>
      <c r="Q267" s="337">
        <v>0.55390598444444439</v>
      </c>
      <c r="S267" s="337"/>
      <c r="T267" s="56">
        <v>9970307.7200000007</v>
      </c>
      <c r="U267" s="56" t="s">
        <v>3801</v>
      </c>
      <c r="V267" s="56" t="s">
        <v>3802</v>
      </c>
      <c r="W267" s="56" t="s">
        <v>3803</v>
      </c>
    </row>
    <row r="268" spans="7:23" x14ac:dyDescent="0.3">
      <c r="G268" s="247"/>
      <c r="H268" s="248"/>
      <c r="I268" s="56" t="s">
        <v>44</v>
      </c>
      <c r="J268" s="56" t="s">
        <v>92</v>
      </c>
      <c r="K268" s="56" t="s">
        <v>26</v>
      </c>
      <c r="L268" s="56">
        <v>12690609.689999999</v>
      </c>
      <c r="M268" s="337">
        <v>0.63453048449999994</v>
      </c>
      <c r="N268" s="56">
        <v>12690609.689999999</v>
      </c>
      <c r="O268" s="337">
        <v>0.63453048449999994</v>
      </c>
      <c r="Q268" s="337"/>
      <c r="S268" s="337"/>
      <c r="T268" s="56">
        <v>12690609.689999999</v>
      </c>
      <c r="U268" s="56" t="s">
        <v>3865</v>
      </c>
      <c r="V268" s="56" t="s">
        <v>3874</v>
      </c>
      <c r="W268" s="56" t="s">
        <v>3875</v>
      </c>
    </row>
    <row r="269" spans="7:23" x14ac:dyDescent="0.3">
      <c r="G269" s="247"/>
      <c r="H269" s="248"/>
      <c r="I269" s="56" t="s">
        <v>44</v>
      </c>
      <c r="J269" s="56" t="s">
        <v>92</v>
      </c>
      <c r="K269" s="56" t="s">
        <v>26</v>
      </c>
      <c r="M269" s="337"/>
      <c r="O269" s="337"/>
      <c r="Q269" s="337"/>
      <c r="S269" s="337"/>
      <c r="T269" s="56">
        <v>13558293.689999999</v>
      </c>
      <c r="U269" s="56" t="s">
        <v>3899</v>
      </c>
      <c r="V269" s="56" t="s">
        <v>3914</v>
      </c>
      <c r="W269" s="56" t="s">
        <v>3915</v>
      </c>
    </row>
    <row r="270" spans="7:23" x14ac:dyDescent="0.3">
      <c r="G270" s="247"/>
      <c r="H270" s="248"/>
      <c r="I270" s="56" t="s">
        <v>44</v>
      </c>
      <c r="J270" s="56" t="s">
        <v>92</v>
      </c>
      <c r="K270" s="56" t="s">
        <v>26</v>
      </c>
      <c r="M270" s="337"/>
      <c r="O270" s="337"/>
      <c r="Q270" s="337"/>
      <c r="S270" s="337"/>
      <c r="T270" s="56">
        <v>4596987.9800000004</v>
      </c>
      <c r="U270" s="56" t="s">
        <v>4052</v>
      </c>
      <c r="V270" s="56" t="s">
        <v>4053</v>
      </c>
      <c r="W270" s="56" t="s">
        <v>4054</v>
      </c>
    </row>
    <row r="271" spans="7:23" x14ac:dyDescent="0.3">
      <c r="G271" s="247"/>
      <c r="H271" s="248"/>
      <c r="I271" s="56" t="s">
        <v>44</v>
      </c>
      <c r="J271" s="56" t="s">
        <v>92</v>
      </c>
      <c r="K271" s="56" t="s">
        <v>26</v>
      </c>
      <c r="M271" s="337"/>
      <c r="O271" s="337"/>
      <c r="Q271" s="337"/>
      <c r="S271" s="337"/>
      <c r="T271" s="56">
        <v>23355586.120000001</v>
      </c>
      <c r="U271" s="56" t="s">
        <v>4904</v>
      </c>
      <c r="V271" s="56" t="s">
        <v>4907</v>
      </c>
      <c r="W271" s="56" t="s">
        <v>4908</v>
      </c>
    </row>
    <row r="272" spans="7:23" x14ac:dyDescent="0.3">
      <c r="G272" s="247"/>
      <c r="H272" s="248"/>
      <c r="I272" s="56" t="s">
        <v>44</v>
      </c>
      <c r="J272" s="56" t="s">
        <v>92</v>
      </c>
      <c r="K272" s="56" t="s">
        <v>92</v>
      </c>
      <c r="L272" s="56">
        <v>269587.37</v>
      </c>
      <c r="M272" s="337">
        <v>3.851248142857143E-2</v>
      </c>
      <c r="N272" s="56">
        <v>269587.37</v>
      </c>
      <c r="O272" s="337">
        <v>3.851248142857143E-2</v>
      </c>
      <c r="Q272" s="337"/>
      <c r="S272" s="337"/>
      <c r="T272" s="56">
        <v>269587.37</v>
      </c>
      <c r="U272" s="56" t="s">
        <v>199</v>
      </c>
      <c r="V272" s="56" t="s">
        <v>1482</v>
      </c>
      <c r="W272" s="56" t="s">
        <v>1483</v>
      </c>
    </row>
    <row r="273" spans="7:23" x14ac:dyDescent="0.3">
      <c r="G273" s="247"/>
      <c r="H273" s="248"/>
      <c r="I273" s="56" t="s">
        <v>44</v>
      </c>
      <c r="J273" s="56" t="s">
        <v>92</v>
      </c>
      <c r="K273" s="56" t="s">
        <v>92</v>
      </c>
      <c r="L273" s="56">
        <v>24775096.48</v>
      </c>
      <c r="M273" s="337">
        <v>0.79919666064516137</v>
      </c>
      <c r="O273" s="337"/>
      <c r="Q273" s="337"/>
      <c r="S273" s="337"/>
      <c r="T273" s="56">
        <v>24775096.48</v>
      </c>
      <c r="U273" s="56" t="s">
        <v>195</v>
      </c>
      <c r="V273" s="56" t="s">
        <v>196</v>
      </c>
      <c r="W273" s="56" t="s">
        <v>197</v>
      </c>
    </row>
    <row r="274" spans="7:23" x14ac:dyDescent="0.3">
      <c r="G274" s="247"/>
      <c r="H274" s="248"/>
      <c r="I274" s="56" t="s">
        <v>44</v>
      </c>
      <c r="J274" s="56" t="s">
        <v>92</v>
      </c>
      <c r="K274" s="56" t="s">
        <v>92</v>
      </c>
      <c r="L274" s="56">
        <v>8561213.2300000004</v>
      </c>
      <c r="M274" s="337">
        <v>0.42806066150000005</v>
      </c>
      <c r="N274" s="56">
        <v>8561213.2300000004</v>
      </c>
      <c r="O274" s="337">
        <v>0.42806066150000005</v>
      </c>
      <c r="Q274" s="337"/>
      <c r="S274" s="337"/>
      <c r="T274" s="56">
        <v>8561213.2300000004</v>
      </c>
      <c r="U274" s="56" t="s">
        <v>352</v>
      </c>
      <c r="V274" s="56" t="s">
        <v>2089</v>
      </c>
      <c r="W274" s="56" t="s">
        <v>2090</v>
      </c>
    </row>
    <row r="275" spans="7:23" x14ac:dyDescent="0.3">
      <c r="G275" s="247"/>
      <c r="H275" s="248"/>
      <c r="I275" s="56" t="s">
        <v>44</v>
      </c>
      <c r="J275" s="56" t="s">
        <v>92</v>
      </c>
      <c r="K275" s="56" t="s">
        <v>92</v>
      </c>
      <c r="M275" s="337"/>
      <c r="O275" s="337"/>
      <c r="Q275" s="337"/>
      <c r="S275" s="337"/>
      <c r="T275" s="56">
        <v>33849774.689999998</v>
      </c>
      <c r="U275" s="56" t="s">
        <v>410</v>
      </c>
      <c r="V275" s="56" t="s">
        <v>342</v>
      </c>
      <c r="W275" s="56" t="s">
        <v>411</v>
      </c>
    </row>
    <row r="276" spans="7:23" x14ac:dyDescent="0.3">
      <c r="G276" s="247"/>
      <c r="H276" s="248"/>
      <c r="I276" s="56" t="s">
        <v>44</v>
      </c>
      <c r="J276" s="56" t="s">
        <v>92</v>
      </c>
      <c r="K276" s="56" t="s">
        <v>92</v>
      </c>
      <c r="M276" s="337"/>
      <c r="O276" s="337"/>
      <c r="Q276" s="337"/>
      <c r="S276" s="337"/>
      <c r="T276" s="56">
        <v>15118720.9</v>
      </c>
      <c r="U276" s="56" t="s">
        <v>519</v>
      </c>
      <c r="V276" s="56" t="s">
        <v>520</v>
      </c>
      <c r="W276" s="56" t="s">
        <v>521</v>
      </c>
    </row>
    <row r="277" spans="7:23" x14ac:dyDescent="0.3">
      <c r="G277" s="247"/>
      <c r="H277" s="248"/>
      <c r="I277" s="56" t="s">
        <v>44</v>
      </c>
      <c r="J277" s="56" t="s">
        <v>92</v>
      </c>
      <c r="K277" s="56" t="s">
        <v>92</v>
      </c>
      <c r="L277" s="56">
        <v>16531356.49</v>
      </c>
      <c r="M277" s="337">
        <v>0.5420116881967213</v>
      </c>
      <c r="O277" s="337"/>
      <c r="Q277" s="337"/>
      <c r="S277" s="337"/>
      <c r="T277" s="56">
        <v>16531356.49</v>
      </c>
      <c r="U277" s="56" t="s">
        <v>590</v>
      </c>
      <c r="V277" s="56" t="s">
        <v>2111</v>
      </c>
      <c r="W277" s="56" t="s">
        <v>2112</v>
      </c>
    </row>
    <row r="278" spans="7:23" x14ac:dyDescent="0.3">
      <c r="G278" s="247"/>
      <c r="H278" s="248"/>
      <c r="I278" s="56" t="s">
        <v>44</v>
      </c>
      <c r="J278" s="56" t="s">
        <v>92</v>
      </c>
      <c r="K278" s="56" t="s">
        <v>92</v>
      </c>
      <c r="M278" s="337"/>
      <c r="O278" s="337"/>
      <c r="Q278" s="337"/>
      <c r="S278" s="337"/>
      <c r="T278" s="56">
        <v>33362207.190000001</v>
      </c>
      <c r="U278" s="56" t="s">
        <v>710</v>
      </c>
      <c r="V278" s="56" t="s">
        <v>714</v>
      </c>
      <c r="W278" s="56" t="s">
        <v>715</v>
      </c>
    </row>
    <row r="279" spans="7:23" x14ac:dyDescent="0.3">
      <c r="G279" s="247"/>
      <c r="H279" s="248"/>
      <c r="I279" s="56" t="s">
        <v>44</v>
      </c>
      <c r="J279" s="56" t="s">
        <v>92</v>
      </c>
      <c r="K279" s="56" t="s">
        <v>92</v>
      </c>
      <c r="M279" s="337"/>
      <c r="O279" s="337"/>
      <c r="Q279" s="337"/>
      <c r="S279" s="337"/>
      <c r="T279" s="56">
        <v>43070421.020000003</v>
      </c>
      <c r="U279" s="56" t="s">
        <v>1016</v>
      </c>
      <c r="V279" s="56" t="s">
        <v>1017</v>
      </c>
      <c r="W279" s="56" t="s">
        <v>1018</v>
      </c>
    </row>
    <row r="280" spans="7:23" x14ac:dyDescent="0.3">
      <c r="G280" s="247"/>
      <c r="H280" s="248"/>
      <c r="I280" s="56" t="s">
        <v>44</v>
      </c>
      <c r="J280" s="56" t="s">
        <v>92</v>
      </c>
      <c r="K280" s="56" t="s">
        <v>92</v>
      </c>
      <c r="M280" s="337"/>
      <c r="O280" s="337"/>
      <c r="Q280" s="337"/>
      <c r="S280" s="337"/>
      <c r="T280" s="56">
        <v>9083233.8300000001</v>
      </c>
      <c r="U280" s="56" t="s">
        <v>1005</v>
      </c>
      <c r="V280" s="56" t="s">
        <v>1007</v>
      </c>
      <c r="W280" s="56" t="s">
        <v>1008</v>
      </c>
    </row>
    <row r="281" spans="7:23" x14ac:dyDescent="0.3">
      <c r="G281" s="247"/>
      <c r="H281" s="248"/>
      <c r="I281" s="56" t="s">
        <v>44</v>
      </c>
      <c r="J281" s="56" t="s">
        <v>92</v>
      </c>
      <c r="K281" s="56" t="s">
        <v>92</v>
      </c>
      <c r="L281" s="56">
        <v>409816.06</v>
      </c>
      <c r="M281" s="337">
        <v>0.10245401500000001</v>
      </c>
      <c r="N281" s="56">
        <v>409816.06</v>
      </c>
      <c r="O281" s="337">
        <v>0.10245401500000001</v>
      </c>
      <c r="P281" s="56">
        <v>409816.06</v>
      </c>
      <c r="Q281" s="337">
        <v>0.10245401500000001</v>
      </c>
      <c r="R281" s="56">
        <v>409816.06</v>
      </c>
      <c r="S281" s="337">
        <v>0.10245401500000001</v>
      </c>
      <c r="T281" s="56">
        <v>409816.06</v>
      </c>
      <c r="U281" s="56" t="s">
        <v>1036</v>
      </c>
      <c r="V281" s="56" t="s">
        <v>1037</v>
      </c>
      <c r="W281" s="56" t="s">
        <v>1038</v>
      </c>
    </row>
    <row r="282" spans="7:23" x14ac:dyDescent="0.3">
      <c r="G282" s="247"/>
      <c r="H282" s="248"/>
      <c r="I282" s="56" t="s">
        <v>44</v>
      </c>
      <c r="J282" s="56" t="s">
        <v>92</v>
      </c>
      <c r="K282" s="56" t="s">
        <v>92</v>
      </c>
      <c r="M282" s="337"/>
      <c r="O282" s="337"/>
      <c r="Q282" s="337"/>
      <c r="S282" s="337"/>
      <c r="T282" s="56">
        <v>23000000</v>
      </c>
      <c r="U282" s="56" t="s">
        <v>1064</v>
      </c>
      <c r="V282" s="56" t="s">
        <v>1065</v>
      </c>
      <c r="W282" s="56" t="s">
        <v>1066</v>
      </c>
    </row>
    <row r="283" spans="7:23" x14ac:dyDescent="0.3">
      <c r="G283" s="247"/>
      <c r="H283" s="248"/>
      <c r="I283" s="56" t="s">
        <v>44</v>
      </c>
      <c r="J283" s="56" t="s">
        <v>92</v>
      </c>
      <c r="K283" s="56" t="s">
        <v>92</v>
      </c>
      <c r="L283" s="56">
        <v>11780976.289999999</v>
      </c>
      <c r="M283" s="337">
        <v>0.39269920966666672</v>
      </c>
      <c r="N283" s="56">
        <v>11780976.289999999</v>
      </c>
      <c r="O283" s="337">
        <v>0.39269920966666672</v>
      </c>
      <c r="Q283" s="337"/>
      <c r="S283" s="337"/>
      <c r="T283" s="56">
        <v>11780976.289999999</v>
      </c>
      <c r="U283" s="56" t="s">
        <v>1101</v>
      </c>
      <c r="V283" s="56" t="s">
        <v>1103</v>
      </c>
      <c r="W283" s="56" t="s">
        <v>1104</v>
      </c>
    </row>
    <row r="284" spans="7:23" x14ac:dyDescent="0.3">
      <c r="G284" s="247"/>
      <c r="H284" s="248"/>
      <c r="I284" s="56" t="s">
        <v>44</v>
      </c>
      <c r="J284" s="56" t="s">
        <v>92</v>
      </c>
      <c r="K284" s="56" t="s">
        <v>92</v>
      </c>
      <c r="L284" s="56">
        <v>20993030.940000001</v>
      </c>
      <c r="M284" s="337">
        <v>0.83972123759999995</v>
      </c>
      <c r="N284" s="56">
        <v>20993030.940000001</v>
      </c>
      <c r="O284" s="337">
        <v>0.83972123759999995</v>
      </c>
      <c r="P284" s="56">
        <v>20993030.940000001</v>
      </c>
      <c r="Q284" s="337">
        <v>0.83972123759999995</v>
      </c>
      <c r="S284" s="337"/>
      <c r="T284" s="56">
        <v>20993030.940000001</v>
      </c>
      <c r="U284" s="56" t="s">
        <v>1172</v>
      </c>
      <c r="V284" s="56" t="s">
        <v>1179</v>
      </c>
      <c r="W284" s="56" t="s">
        <v>1180</v>
      </c>
    </row>
    <row r="285" spans="7:23" x14ac:dyDescent="0.3">
      <c r="G285" s="247"/>
      <c r="H285" s="248"/>
      <c r="I285" s="56" t="s">
        <v>44</v>
      </c>
      <c r="J285" s="56" t="s">
        <v>92</v>
      </c>
      <c r="K285" s="56" t="s">
        <v>92</v>
      </c>
      <c r="M285" s="337"/>
      <c r="O285" s="337"/>
      <c r="Q285" s="337"/>
      <c r="S285" s="337"/>
      <c r="T285" s="56">
        <v>6691704.0499999998</v>
      </c>
      <c r="U285" s="56" t="s">
        <v>1966</v>
      </c>
      <c r="V285" s="56" t="s">
        <v>1967</v>
      </c>
      <c r="W285" s="56" t="s">
        <v>1968</v>
      </c>
    </row>
    <row r="286" spans="7:23" x14ac:dyDescent="0.3">
      <c r="G286" s="247"/>
      <c r="H286" s="248"/>
      <c r="I286" s="56" t="s">
        <v>44</v>
      </c>
      <c r="J286" s="56" t="s">
        <v>92</v>
      </c>
      <c r="K286" s="56" t="s">
        <v>92</v>
      </c>
      <c r="L286" s="56">
        <v>1026841.7</v>
      </c>
      <c r="M286" s="337">
        <v>0.20536834000000001</v>
      </c>
      <c r="N286" s="56">
        <v>1026841.7</v>
      </c>
      <c r="O286" s="337">
        <v>0.20536834000000001</v>
      </c>
      <c r="P286" s="56">
        <v>1026841.7</v>
      </c>
      <c r="Q286" s="337">
        <v>0.20536834000000001</v>
      </c>
      <c r="R286" s="56">
        <v>1026841.7</v>
      </c>
      <c r="S286" s="337">
        <v>0.20536834000000001</v>
      </c>
      <c r="T286" s="56">
        <v>1026841.7</v>
      </c>
      <c r="U286" s="56" t="s">
        <v>2294</v>
      </c>
      <c r="V286" s="56" t="s">
        <v>2296</v>
      </c>
      <c r="W286" s="56" t="s">
        <v>2297</v>
      </c>
    </row>
    <row r="287" spans="7:23" x14ac:dyDescent="0.3">
      <c r="G287" s="247"/>
      <c r="H287" s="248"/>
      <c r="I287" s="56" t="s">
        <v>44</v>
      </c>
      <c r="J287" s="56" t="s">
        <v>92</v>
      </c>
      <c r="K287" s="56" t="s">
        <v>92</v>
      </c>
      <c r="M287" s="337"/>
      <c r="O287" s="337"/>
      <c r="Q287" s="337"/>
      <c r="S287" s="337"/>
      <c r="T287" s="56">
        <v>9806193.8499999996</v>
      </c>
      <c r="U287" s="56" t="s">
        <v>3925</v>
      </c>
      <c r="V287" s="56" t="s">
        <v>3929</v>
      </c>
      <c r="W287" s="56" t="s">
        <v>3930</v>
      </c>
    </row>
    <row r="288" spans="7:23" x14ac:dyDescent="0.3">
      <c r="G288" s="247"/>
      <c r="H288" s="248"/>
      <c r="I288" s="56" t="s">
        <v>44</v>
      </c>
      <c r="J288" s="56" t="s">
        <v>92</v>
      </c>
      <c r="K288" s="56" t="s">
        <v>92</v>
      </c>
      <c r="M288" s="337"/>
      <c r="O288" s="337"/>
      <c r="Q288" s="337"/>
      <c r="S288" s="337"/>
      <c r="T288" s="56">
        <v>19704021.75</v>
      </c>
      <c r="U288" s="56" t="s">
        <v>1541</v>
      </c>
      <c r="V288" s="56" t="s">
        <v>1551</v>
      </c>
      <c r="W288" s="56" t="s">
        <v>1552</v>
      </c>
    </row>
    <row r="289" spans="7:23" x14ac:dyDescent="0.3">
      <c r="G289" s="247"/>
      <c r="H289" s="248"/>
      <c r="I289" s="56" t="s">
        <v>44</v>
      </c>
      <c r="J289" s="56" t="s">
        <v>92</v>
      </c>
      <c r="K289" s="56" t="s">
        <v>92</v>
      </c>
      <c r="M289" s="337"/>
      <c r="O289" s="337"/>
      <c r="Q289" s="337"/>
      <c r="S289" s="337"/>
      <c r="T289" s="56">
        <v>29449895.48</v>
      </c>
      <c r="U289" s="56" t="s">
        <v>1555</v>
      </c>
      <c r="V289" s="56" t="s">
        <v>1574</v>
      </c>
      <c r="W289" s="56" t="s">
        <v>1575</v>
      </c>
    </row>
    <row r="290" spans="7:23" x14ac:dyDescent="0.3">
      <c r="G290" s="247"/>
      <c r="H290" s="248"/>
      <c r="I290" s="56" t="s">
        <v>44</v>
      </c>
      <c r="J290" s="56" t="s">
        <v>92</v>
      </c>
      <c r="K290" s="56" t="s">
        <v>92</v>
      </c>
      <c r="M290" s="337"/>
      <c r="O290" s="337"/>
      <c r="Q290" s="337"/>
      <c r="S290" s="337"/>
      <c r="T290" s="56">
        <v>23744478.52</v>
      </c>
      <c r="U290" s="56" t="s">
        <v>1624</v>
      </c>
      <c r="V290" s="56" t="s">
        <v>1638</v>
      </c>
      <c r="W290" s="56" t="s">
        <v>1639</v>
      </c>
    </row>
    <row r="291" spans="7:23" x14ac:dyDescent="0.3">
      <c r="G291" s="247"/>
      <c r="H291" s="248"/>
      <c r="I291" s="56" t="s">
        <v>44</v>
      </c>
      <c r="J291" s="56" t="s">
        <v>92</v>
      </c>
      <c r="K291" s="56" t="s">
        <v>92</v>
      </c>
      <c r="L291" s="56">
        <v>8831587.9800000004</v>
      </c>
      <c r="M291" s="337">
        <v>0.44157939899999998</v>
      </c>
      <c r="O291" s="337"/>
      <c r="Q291" s="337"/>
      <c r="S291" s="337"/>
      <c r="T291" s="56">
        <v>8831587.9800000004</v>
      </c>
      <c r="U291" s="56" t="s">
        <v>2280</v>
      </c>
      <c r="V291" s="56" t="s">
        <v>2282</v>
      </c>
      <c r="W291" s="56" t="s">
        <v>2283</v>
      </c>
    </row>
    <row r="292" spans="7:23" x14ac:dyDescent="0.3">
      <c r="G292" s="247"/>
      <c r="H292" s="248"/>
      <c r="I292" s="56" t="s">
        <v>44</v>
      </c>
      <c r="J292" s="56" t="s">
        <v>92</v>
      </c>
      <c r="K292" s="56" t="s">
        <v>92</v>
      </c>
      <c r="L292" s="56">
        <v>9334478.2699999996</v>
      </c>
      <c r="M292" s="337">
        <v>0.93344782699999995</v>
      </c>
      <c r="O292" s="337"/>
      <c r="Q292" s="337"/>
      <c r="S292" s="337"/>
      <c r="T292" s="56">
        <v>9334478.2699999996</v>
      </c>
      <c r="U292" s="56" t="s">
        <v>5484</v>
      </c>
      <c r="V292" s="56" t="s">
        <v>5485</v>
      </c>
      <c r="W292" s="56" t="s">
        <v>5486</v>
      </c>
    </row>
    <row r="293" spans="7:23" x14ac:dyDescent="0.3">
      <c r="G293" s="247"/>
      <c r="H293" s="248"/>
      <c r="I293" s="56" t="s">
        <v>44</v>
      </c>
      <c r="J293" s="56" t="s">
        <v>92</v>
      </c>
      <c r="K293" s="56" t="s">
        <v>92</v>
      </c>
      <c r="L293" s="56">
        <v>7982847.71</v>
      </c>
      <c r="M293" s="337">
        <v>0.79828477099999995</v>
      </c>
      <c r="O293" s="337"/>
      <c r="Q293" s="337"/>
      <c r="S293" s="337"/>
      <c r="T293" s="56">
        <v>7982847.71</v>
      </c>
      <c r="U293" s="56" t="s">
        <v>4982</v>
      </c>
      <c r="V293" s="56" t="s">
        <v>4983</v>
      </c>
      <c r="W293" s="56" t="s">
        <v>4984</v>
      </c>
    </row>
    <row r="294" spans="7:23" x14ac:dyDescent="0.3">
      <c r="G294" s="247"/>
      <c r="H294" s="248"/>
      <c r="I294" s="56" t="s">
        <v>44</v>
      </c>
      <c r="J294" s="56" t="s">
        <v>92</v>
      </c>
      <c r="K294" s="56" t="s">
        <v>92</v>
      </c>
      <c r="L294" s="56">
        <v>11170342.210000001</v>
      </c>
      <c r="M294" s="337">
        <v>0.93086185083333328</v>
      </c>
      <c r="O294" s="337"/>
      <c r="Q294" s="337"/>
      <c r="S294" s="337"/>
      <c r="T294" s="56">
        <v>11170342.210000001</v>
      </c>
      <c r="U294" s="56" t="s">
        <v>5458</v>
      </c>
      <c r="V294" s="56" t="s">
        <v>576</v>
      </c>
      <c r="W294" s="56" t="s">
        <v>5462</v>
      </c>
    </row>
    <row r="295" spans="7:23" x14ac:dyDescent="0.3">
      <c r="G295" s="247"/>
      <c r="H295" s="248"/>
      <c r="I295" s="56" t="s">
        <v>44</v>
      </c>
      <c r="J295" s="56" t="s">
        <v>92</v>
      </c>
      <c r="K295" s="56" t="s">
        <v>92</v>
      </c>
      <c r="M295" s="337"/>
      <c r="O295" s="337"/>
      <c r="Q295" s="337"/>
      <c r="S295" s="337"/>
      <c r="T295" s="56">
        <v>5612002.8700000001</v>
      </c>
      <c r="U295" s="56" t="s">
        <v>5565</v>
      </c>
      <c r="V295" s="56" t="s">
        <v>5571</v>
      </c>
      <c r="W295" s="56" t="s">
        <v>5572</v>
      </c>
    </row>
    <row r="296" spans="7:23" x14ac:dyDescent="0.3">
      <c r="G296" s="247"/>
      <c r="H296" s="248"/>
      <c r="I296" s="56" t="s">
        <v>44</v>
      </c>
      <c r="J296" s="56" t="s">
        <v>92</v>
      </c>
      <c r="K296" s="56" t="s">
        <v>92</v>
      </c>
      <c r="L296" s="56">
        <v>3457790.7</v>
      </c>
      <c r="M296" s="337">
        <v>0.98794020000000005</v>
      </c>
      <c r="N296" s="56">
        <v>3457790.7</v>
      </c>
      <c r="O296" s="337">
        <v>0.98794020000000005</v>
      </c>
      <c r="Q296" s="337"/>
      <c r="S296" s="337"/>
      <c r="T296" s="56">
        <v>3457790.7</v>
      </c>
      <c r="U296" s="56" t="s">
        <v>5519</v>
      </c>
      <c r="V296" s="56" t="s">
        <v>5520</v>
      </c>
      <c r="W296" s="56" t="s">
        <v>5521</v>
      </c>
    </row>
    <row r="297" spans="7:23" x14ac:dyDescent="0.3">
      <c r="G297" s="247"/>
      <c r="H297" s="248"/>
      <c r="I297" s="56" t="s">
        <v>44</v>
      </c>
      <c r="J297" s="56" t="s">
        <v>92</v>
      </c>
      <c r="K297" s="56" t="s">
        <v>92</v>
      </c>
      <c r="M297" s="337"/>
      <c r="O297" s="337"/>
      <c r="Q297" s="337"/>
      <c r="S297" s="337"/>
      <c r="T297" s="56">
        <v>23688354.879999999</v>
      </c>
      <c r="U297" s="56" t="s">
        <v>5714</v>
      </c>
      <c r="V297" s="56" t="s">
        <v>5715</v>
      </c>
      <c r="W297" s="56" t="s">
        <v>5716</v>
      </c>
    </row>
    <row r="298" spans="7:23" x14ac:dyDescent="0.3">
      <c r="G298" s="247"/>
      <c r="H298" s="248"/>
      <c r="I298" s="56" t="s">
        <v>44</v>
      </c>
      <c r="J298" s="56" t="s">
        <v>92</v>
      </c>
      <c r="K298" s="56" t="s">
        <v>92</v>
      </c>
      <c r="L298" s="56">
        <v>32219659.550000001</v>
      </c>
      <c r="M298" s="337">
        <v>0.76713475119047625</v>
      </c>
      <c r="O298" s="337"/>
      <c r="Q298" s="337"/>
      <c r="S298" s="337"/>
      <c r="T298" s="56">
        <v>32219659.550000001</v>
      </c>
      <c r="U298" s="56" t="s">
        <v>2194</v>
      </c>
      <c r="V298" s="56" t="s">
        <v>2203</v>
      </c>
      <c r="W298" s="56" t="s">
        <v>2204</v>
      </c>
    </row>
    <row r="299" spans="7:23" x14ac:dyDescent="0.3">
      <c r="G299" s="247"/>
      <c r="H299" s="248"/>
      <c r="I299" s="56" t="s">
        <v>44</v>
      </c>
      <c r="J299" s="56" t="s">
        <v>92</v>
      </c>
      <c r="K299" s="56" t="s">
        <v>92</v>
      </c>
      <c r="L299" s="56">
        <v>51893568.420000002</v>
      </c>
      <c r="M299" s="337">
        <v>0.79836259107692309</v>
      </c>
      <c r="O299" s="337"/>
      <c r="Q299" s="337"/>
      <c r="S299" s="337"/>
      <c r="T299" s="56">
        <v>51893568.420000002</v>
      </c>
      <c r="U299" s="56" t="s">
        <v>1728</v>
      </c>
      <c r="V299" s="56" t="s">
        <v>1729</v>
      </c>
      <c r="W299" s="56" t="s">
        <v>1730</v>
      </c>
    </row>
    <row r="300" spans="7:23" x14ac:dyDescent="0.3">
      <c r="G300" s="247"/>
      <c r="H300" s="248"/>
      <c r="I300" s="56" t="s">
        <v>44</v>
      </c>
      <c r="J300" s="56" t="s">
        <v>92</v>
      </c>
      <c r="K300" s="56" t="s">
        <v>92</v>
      </c>
      <c r="M300" s="337"/>
      <c r="O300" s="337"/>
      <c r="Q300" s="337"/>
      <c r="S300" s="337"/>
      <c r="T300" s="56">
        <v>16737767.310000001</v>
      </c>
      <c r="U300" s="56" t="s">
        <v>1995</v>
      </c>
      <c r="V300" s="56" t="s">
        <v>1996</v>
      </c>
      <c r="W300" s="56" t="s">
        <v>1997</v>
      </c>
    </row>
    <row r="301" spans="7:23" x14ac:dyDescent="0.3">
      <c r="G301" s="247"/>
      <c r="H301" s="248"/>
      <c r="I301" s="56" t="s">
        <v>44</v>
      </c>
      <c r="J301" s="56" t="s">
        <v>92</v>
      </c>
      <c r="K301" s="56" t="s">
        <v>92</v>
      </c>
      <c r="L301" s="56">
        <v>28964323.84</v>
      </c>
      <c r="M301" s="337">
        <v>0.64365164088888882</v>
      </c>
      <c r="O301" s="337"/>
      <c r="Q301" s="337"/>
      <c r="S301" s="337"/>
      <c r="T301" s="56">
        <v>28964323.84</v>
      </c>
      <c r="U301" s="56" t="s">
        <v>2103</v>
      </c>
      <c r="V301" s="56" t="s">
        <v>2120</v>
      </c>
      <c r="W301" s="56" t="s">
        <v>2121</v>
      </c>
    </row>
    <row r="302" spans="7:23" x14ac:dyDescent="0.3">
      <c r="G302" s="247"/>
      <c r="H302" s="248"/>
      <c r="I302" s="56" t="s">
        <v>44</v>
      </c>
      <c r="J302" s="56" t="s">
        <v>92</v>
      </c>
      <c r="K302" s="56" t="s">
        <v>92</v>
      </c>
      <c r="L302" s="56">
        <v>34933347.789999999</v>
      </c>
      <c r="M302" s="337">
        <v>0.69866695580000004</v>
      </c>
      <c r="O302" s="337"/>
      <c r="Q302" s="337"/>
      <c r="S302" s="337"/>
      <c r="T302" s="56">
        <v>34933347.789999999</v>
      </c>
      <c r="U302" s="56" t="s">
        <v>2166</v>
      </c>
      <c r="V302" s="56" t="s">
        <v>2172</v>
      </c>
      <c r="W302" s="56" t="s">
        <v>2173</v>
      </c>
    </row>
    <row r="303" spans="7:23" x14ac:dyDescent="0.3">
      <c r="G303" s="247"/>
      <c r="H303" s="248"/>
      <c r="I303" s="56" t="s">
        <v>44</v>
      </c>
      <c r="J303" s="56" t="s">
        <v>92</v>
      </c>
      <c r="K303" s="56" t="s">
        <v>92</v>
      </c>
      <c r="M303" s="337"/>
      <c r="O303" s="337"/>
      <c r="Q303" s="337"/>
      <c r="S303" s="337"/>
      <c r="T303" s="56">
        <v>3456934.27</v>
      </c>
      <c r="U303" s="56" t="s">
        <v>3022</v>
      </c>
      <c r="V303" s="56" t="s">
        <v>3031</v>
      </c>
      <c r="W303" s="56" t="s">
        <v>3032</v>
      </c>
    </row>
    <row r="304" spans="7:23" x14ac:dyDescent="0.3">
      <c r="G304" s="247"/>
      <c r="H304" s="248"/>
      <c r="I304" s="56" t="s">
        <v>44</v>
      </c>
      <c r="J304" s="56" t="s">
        <v>92</v>
      </c>
      <c r="K304" s="56" t="s">
        <v>92</v>
      </c>
      <c r="L304" s="56">
        <v>50421285.609999999</v>
      </c>
      <c r="M304" s="337">
        <v>0.77571208630769239</v>
      </c>
      <c r="O304" s="337"/>
      <c r="Q304" s="337"/>
      <c r="S304" s="337"/>
      <c r="T304" s="56">
        <v>50421285.609999999</v>
      </c>
      <c r="U304" s="56" t="s">
        <v>2416</v>
      </c>
      <c r="V304" s="56" t="s">
        <v>2417</v>
      </c>
      <c r="W304" s="56" t="s">
        <v>1378</v>
      </c>
    </row>
    <row r="305" spans="7:23" x14ac:dyDescent="0.3">
      <c r="G305" s="247"/>
      <c r="H305" s="248"/>
      <c r="I305" s="56" t="s">
        <v>44</v>
      </c>
      <c r="J305" s="56" t="s">
        <v>92</v>
      </c>
      <c r="K305" s="56" t="s">
        <v>92</v>
      </c>
      <c r="M305" s="337"/>
      <c r="O305" s="337"/>
      <c r="Q305" s="337"/>
      <c r="S305" s="337"/>
      <c r="T305" s="56">
        <v>1857112.85</v>
      </c>
      <c r="U305" s="56" t="s">
        <v>2480</v>
      </c>
      <c r="V305" s="56" t="s">
        <v>2481</v>
      </c>
      <c r="W305" s="56" t="s">
        <v>2482</v>
      </c>
    </row>
    <row r="306" spans="7:23" x14ac:dyDescent="0.3">
      <c r="G306" s="247"/>
      <c r="H306" s="248"/>
      <c r="I306" s="56" t="s">
        <v>44</v>
      </c>
      <c r="J306" s="56" t="s">
        <v>92</v>
      </c>
      <c r="K306" s="56" t="s">
        <v>92</v>
      </c>
      <c r="M306" s="337"/>
      <c r="O306" s="337"/>
      <c r="Q306" s="337"/>
      <c r="S306" s="337"/>
      <c r="T306" s="56">
        <v>2219996.98</v>
      </c>
      <c r="U306" s="56" t="s">
        <v>2733</v>
      </c>
      <c r="V306" s="56" t="s">
        <v>2736</v>
      </c>
      <c r="W306" s="56" t="s">
        <v>2737</v>
      </c>
    </row>
    <row r="307" spans="7:23" x14ac:dyDescent="0.3">
      <c r="G307" s="247"/>
      <c r="H307" s="248"/>
      <c r="I307" s="56" t="s">
        <v>44</v>
      </c>
      <c r="J307" s="56" t="s">
        <v>92</v>
      </c>
      <c r="K307" s="56" t="s">
        <v>92</v>
      </c>
      <c r="M307" s="337"/>
      <c r="O307" s="337"/>
      <c r="Q307" s="337"/>
      <c r="S307" s="337"/>
      <c r="T307" s="56">
        <v>21444849.199999999</v>
      </c>
      <c r="U307" s="56" t="s">
        <v>3147</v>
      </c>
      <c r="V307" s="56" t="s">
        <v>3148</v>
      </c>
      <c r="W307" s="56" t="s">
        <v>3149</v>
      </c>
    </row>
    <row r="308" spans="7:23" x14ac:dyDescent="0.3">
      <c r="G308" s="247"/>
      <c r="H308" s="248"/>
      <c r="I308" s="56" t="s">
        <v>44</v>
      </c>
      <c r="J308" s="56" t="s">
        <v>92</v>
      </c>
      <c r="K308" s="56" t="s">
        <v>92</v>
      </c>
      <c r="M308" s="337"/>
      <c r="O308" s="337"/>
      <c r="Q308" s="337"/>
      <c r="S308" s="337"/>
      <c r="T308" s="56">
        <v>5600686.96</v>
      </c>
      <c r="U308" s="56" t="s">
        <v>3441</v>
      </c>
      <c r="V308" s="56" t="s">
        <v>2160</v>
      </c>
      <c r="W308" s="56" t="s">
        <v>3443</v>
      </c>
    </row>
    <row r="309" spans="7:23" x14ac:dyDescent="0.3">
      <c r="G309" s="247"/>
      <c r="H309" s="248"/>
      <c r="I309" s="56" t="s">
        <v>44</v>
      </c>
      <c r="J309" s="56" t="s">
        <v>92</v>
      </c>
      <c r="K309" s="56" t="s">
        <v>92</v>
      </c>
      <c r="M309" s="337"/>
      <c r="O309" s="337"/>
      <c r="Q309" s="337"/>
      <c r="S309" s="337"/>
      <c r="T309" s="56">
        <v>16035369.15</v>
      </c>
      <c r="U309" s="56" t="s">
        <v>3204</v>
      </c>
      <c r="V309" s="56" t="s">
        <v>3213</v>
      </c>
      <c r="W309" s="56" t="s">
        <v>3214</v>
      </c>
    </row>
    <row r="310" spans="7:23" x14ac:dyDescent="0.3">
      <c r="G310" s="247"/>
      <c r="H310" s="248"/>
      <c r="I310" s="56" t="s">
        <v>44</v>
      </c>
      <c r="J310" s="56" t="s">
        <v>92</v>
      </c>
      <c r="K310" s="56" t="s">
        <v>92</v>
      </c>
      <c r="M310" s="337"/>
      <c r="O310" s="337"/>
      <c r="Q310" s="337"/>
      <c r="S310" s="337"/>
      <c r="T310" s="56">
        <v>2772877.6</v>
      </c>
      <c r="U310" s="56" t="s">
        <v>3228</v>
      </c>
      <c r="V310" s="56" t="s">
        <v>3248</v>
      </c>
      <c r="W310" s="56" t="s">
        <v>3249</v>
      </c>
    </row>
    <row r="311" spans="7:23" x14ac:dyDescent="0.3">
      <c r="G311" s="247"/>
      <c r="H311" s="248"/>
      <c r="I311" s="56" t="s">
        <v>44</v>
      </c>
      <c r="J311" s="56" t="s">
        <v>92</v>
      </c>
      <c r="K311" s="56" t="s">
        <v>92</v>
      </c>
      <c r="M311" s="337"/>
      <c r="O311" s="337"/>
      <c r="Q311" s="337"/>
      <c r="S311" s="337"/>
      <c r="T311" s="56">
        <v>1849997.48</v>
      </c>
      <c r="U311" s="56" t="s">
        <v>3374</v>
      </c>
      <c r="V311" s="56" t="s">
        <v>3379</v>
      </c>
      <c r="W311" s="56" t="s">
        <v>3380</v>
      </c>
    </row>
    <row r="312" spans="7:23" x14ac:dyDescent="0.3">
      <c r="G312" s="247"/>
      <c r="H312" s="248"/>
      <c r="I312" s="56" t="s">
        <v>44</v>
      </c>
      <c r="J312" s="56" t="s">
        <v>92</v>
      </c>
      <c r="K312" s="56" t="s">
        <v>92</v>
      </c>
      <c r="L312" s="56">
        <v>5704867.8099999996</v>
      </c>
      <c r="M312" s="337">
        <v>0.81498111571428578</v>
      </c>
      <c r="O312" s="337"/>
      <c r="Q312" s="337"/>
      <c r="S312" s="337"/>
      <c r="T312" s="56">
        <v>5704867.8099999996</v>
      </c>
      <c r="U312" s="56" t="s">
        <v>5126</v>
      </c>
      <c r="V312" s="56" t="s">
        <v>5135</v>
      </c>
      <c r="W312" s="56" t="s">
        <v>5136</v>
      </c>
    </row>
    <row r="313" spans="7:23" x14ac:dyDescent="0.3">
      <c r="G313" s="247"/>
      <c r="H313" s="248"/>
      <c r="I313" s="56" t="s">
        <v>44</v>
      </c>
      <c r="J313" s="56" t="s">
        <v>92</v>
      </c>
      <c r="K313" s="56" t="s">
        <v>92</v>
      </c>
      <c r="L313" s="56">
        <v>1127164.3600000001</v>
      </c>
      <c r="M313" s="337">
        <v>0.75144290666666669</v>
      </c>
      <c r="O313" s="337"/>
      <c r="Q313" s="337"/>
      <c r="S313" s="337"/>
      <c r="T313" s="56">
        <v>1127164.3600000001</v>
      </c>
      <c r="U313" s="56" t="s">
        <v>5274</v>
      </c>
      <c r="V313" s="56" t="s">
        <v>5275</v>
      </c>
      <c r="W313" s="56" t="s">
        <v>5276</v>
      </c>
    </row>
    <row r="314" spans="7:23" x14ac:dyDescent="0.3">
      <c r="G314" s="247"/>
      <c r="H314" s="248"/>
      <c r="I314" s="56" t="s">
        <v>44</v>
      </c>
      <c r="J314" s="56" t="s">
        <v>92</v>
      </c>
      <c r="K314" s="56" t="s">
        <v>92</v>
      </c>
      <c r="M314" s="337"/>
      <c r="O314" s="337"/>
      <c r="Q314" s="337"/>
      <c r="S314" s="337"/>
      <c r="T314" s="56">
        <v>5206545.87</v>
      </c>
      <c r="U314" s="56" t="s">
        <v>5509</v>
      </c>
      <c r="V314" s="56" t="s">
        <v>5514</v>
      </c>
      <c r="W314" s="56" t="s">
        <v>5515</v>
      </c>
    </row>
    <row r="315" spans="7:23" x14ac:dyDescent="0.3">
      <c r="G315" s="247"/>
      <c r="H315" s="248"/>
      <c r="I315" s="56" t="s">
        <v>44</v>
      </c>
      <c r="J315" s="56" t="s">
        <v>92</v>
      </c>
      <c r="K315" s="56" t="s">
        <v>92</v>
      </c>
      <c r="M315" s="337"/>
      <c r="O315" s="337"/>
      <c r="Q315" s="337"/>
      <c r="S315" s="337"/>
      <c r="T315" s="56">
        <v>5206545.87</v>
      </c>
      <c r="U315" s="56" t="s">
        <v>5457</v>
      </c>
      <c r="V315" s="56" t="s">
        <v>5469</v>
      </c>
      <c r="W315" s="56" t="s">
        <v>5470</v>
      </c>
    </row>
    <row r="316" spans="7:23" x14ac:dyDescent="0.3">
      <c r="G316" s="247"/>
      <c r="H316" s="248"/>
      <c r="I316" s="56" t="s">
        <v>44</v>
      </c>
      <c r="J316" s="56" t="s">
        <v>92</v>
      </c>
      <c r="K316" s="56" t="s">
        <v>92</v>
      </c>
      <c r="L316" s="56">
        <v>3786877.19</v>
      </c>
      <c r="M316" s="337">
        <v>0.94671929750000006</v>
      </c>
      <c r="N316" s="56">
        <v>3786877.19</v>
      </c>
      <c r="O316" s="337">
        <v>0.94671929750000006</v>
      </c>
      <c r="Q316" s="337"/>
      <c r="S316" s="337"/>
      <c r="T316" s="56">
        <v>3786877.19</v>
      </c>
      <c r="U316" s="56" t="s">
        <v>5541</v>
      </c>
      <c r="V316" s="56" t="s">
        <v>5551</v>
      </c>
      <c r="W316" s="56" t="s">
        <v>5552</v>
      </c>
    </row>
    <row r="317" spans="7:23" x14ac:dyDescent="0.3">
      <c r="G317" s="247"/>
      <c r="H317" s="248"/>
      <c r="I317" s="56" t="s">
        <v>44</v>
      </c>
      <c r="J317" s="56" t="s">
        <v>92</v>
      </c>
      <c r="K317" s="56" t="s">
        <v>92</v>
      </c>
      <c r="M317" s="337"/>
      <c r="O317" s="337"/>
      <c r="Q317" s="337"/>
      <c r="S317" s="337"/>
      <c r="T317" s="56">
        <v>5585171.0999999996</v>
      </c>
      <c r="U317" s="56" t="s">
        <v>5895</v>
      </c>
      <c r="V317" s="56" t="s">
        <v>5914</v>
      </c>
      <c r="W317" s="56" t="s">
        <v>5915</v>
      </c>
    </row>
    <row r="318" spans="7:23" x14ac:dyDescent="0.3">
      <c r="G318" s="247"/>
      <c r="H318" s="248"/>
      <c r="I318" s="56" t="s">
        <v>44</v>
      </c>
      <c r="J318" s="56" t="s">
        <v>75</v>
      </c>
      <c r="K318" s="56" t="s">
        <v>1442</v>
      </c>
      <c r="L318" s="56">
        <v>50535831.579999998</v>
      </c>
      <c r="M318" s="337">
        <v>0.77747433200000005</v>
      </c>
      <c r="O318" s="337"/>
      <c r="Q318" s="337"/>
      <c r="S318" s="337"/>
      <c r="T318" s="56">
        <v>50535831.579999998</v>
      </c>
      <c r="U318" s="56" t="s">
        <v>3849</v>
      </c>
      <c r="V318" s="56" t="s">
        <v>3852</v>
      </c>
      <c r="W318" s="56" t="s">
        <v>3853</v>
      </c>
    </row>
    <row r="319" spans="7:23" x14ac:dyDescent="0.3">
      <c r="G319" s="247"/>
      <c r="H319" s="248"/>
      <c r="I319" s="56" t="s">
        <v>44</v>
      </c>
      <c r="J319" s="56" t="s">
        <v>75</v>
      </c>
      <c r="K319" s="56" t="s">
        <v>1442</v>
      </c>
      <c r="L319" s="56">
        <v>12023537.32</v>
      </c>
      <c r="M319" s="337">
        <v>0.77571208516129031</v>
      </c>
      <c r="O319" s="337"/>
      <c r="Q319" s="337"/>
      <c r="S319" s="337"/>
      <c r="T319" s="56">
        <v>12023537.32</v>
      </c>
      <c r="U319" s="56" t="s">
        <v>181</v>
      </c>
      <c r="V319" s="56" t="s">
        <v>182</v>
      </c>
      <c r="W319" s="56" t="s">
        <v>183</v>
      </c>
    </row>
    <row r="320" spans="7:23" x14ac:dyDescent="0.3">
      <c r="G320" s="247"/>
      <c r="H320" s="248"/>
      <c r="I320" s="56" t="s">
        <v>44</v>
      </c>
      <c r="J320" s="56" t="s">
        <v>75</v>
      </c>
      <c r="K320" s="56" t="s">
        <v>1442</v>
      </c>
      <c r="M320" s="337"/>
      <c r="O320" s="337"/>
      <c r="Q320" s="337"/>
      <c r="S320" s="337"/>
      <c r="T320" s="56">
        <v>31965547.149999999</v>
      </c>
      <c r="U320" s="56" t="s">
        <v>5400</v>
      </c>
      <c r="V320" s="56" t="s">
        <v>5402</v>
      </c>
      <c r="W320" s="56" t="s">
        <v>5403</v>
      </c>
    </row>
    <row r="321" spans="7:23" x14ac:dyDescent="0.3">
      <c r="G321" s="247"/>
      <c r="H321" s="248"/>
      <c r="I321" s="56" t="s">
        <v>44</v>
      </c>
      <c r="J321" s="56" t="s">
        <v>75</v>
      </c>
      <c r="K321" s="56" t="s">
        <v>1442</v>
      </c>
      <c r="M321" s="337"/>
      <c r="O321" s="337"/>
      <c r="Q321" s="337"/>
      <c r="S321" s="337"/>
      <c r="T321" s="56">
        <v>3018377.05</v>
      </c>
      <c r="U321" s="56" t="s">
        <v>1142</v>
      </c>
      <c r="V321" s="56" t="s">
        <v>2349</v>
      </c>
      <c r="W321" s="56" t="s">
        <v>2350</v>
      </c>
    </row>
    <row r="322" spans="7:23" x14ac:dyDescent="0.3">
      <c r="G322" s="247"/>
      <c r="H322" s="248"/>
      <c r="I322" s="56" t="s">
        <v>44</v>
      </c>
      <c r="J322" s="56" t="s">
        <v>75</v>
      </c>
      <c r="K322" s="56" t="s">
        <v>1442</v>
      </c>
      <c r="M322" s="337"/>
      <c r="O322" s="337"/>
      <c r="Q322" s="337"/>
      <c r="S322" s="337"/>
      <c r="T322" s="56">
        <v>19418560.120000001</v>
      </c>
      <c r="U322" s="56" t="s">
        <v>1170</v>
      </c>
      <c r="V322" s="56" t="s">
        <v>1174</v>
      </c>
      <c r="W322" s="56" t="s">
        <v>1175</v>
      </c>
    </row>
    <row r="323" spans="7:23" x14ac:dyDescent="0.3">
      <c r="G323" s="247"/>
      <c r="H323" s="248"/>
      <c r="I323" s="56" t="s">
        <v>44</v>
      </c>
      <c r="J323" s="56" t="s">
        <v>75</v>
      </c>
      <c r="K323" s="56" t="s">
        <v>1442</v>
      </c>
      <c r="M323" s="337"/>
      <c r="O323" s="337"/>
      <c r="Q323" s="337"/>
      <c r="S323" s="337"/>
      <c r="T323" s="56">
        <v>17139239.329999998</v>
      </c>
      <c r="U323" s="56" t="s">
        <v>3053</v>
      </c>
      <c r="V323" s="56" t="s">
        <v>3059</v>
      </c>
      <c r="W323" s="56" t="s">
        <v>3060</v>
      </c>
    </row>
    <row r="324" spans="7:23" x14ac:dyDescent="0.3">
      <c r="G324" s="247"/>
      <c r="H324" s="248"/>
      <c r="I324" s="56" t="s">
        <v>44</v>
      </c>
      <c r="J324" s="56" t="s">
        <v>75</v>
      </c>
      <c r="K324" s="56" t="s">
        <v>1442</v>
      </c>
      <c r="L324" s="56">
        <v>32108559.550000001</v>
      </c>
      <c r="M324" s="337">
        <v>0.78313559878048777</v>
      </c>
      <c r="O324" s="337"/>
      <c r="Q324" s="337"/>
      <c r="S324" s="337"/>
      <c r="T324" s="56">
        <v>32108559.550000001</v>
      </c>
      <c r="U324" s="56" t="s">
        <v>392</v>
      </c>
      <c r="V324" s="56" t="s">
        <v>395</v>
      </c>
      <c r="W324" s="56" t="s">
        <v>396</v>
      </c>
    </row>
    <row r="325" spans="7:23" x14ac:dyDescent="0.3">
      <c r="G325" s="247"/>
      <c r="H325" s="248"/>
      <c r="I325" s="56" t="s">
        <v>44</v>
      </c>
      <c r="J325" s="56" t="s">
        <v>75</v>
      </c>
      <c r="K325" s="56" t="s">
        <v>1442</v>
      </c>
      <c r="M325" s="337"/>
      <c r="O325" s="337"/>
      <c r="Q325" s="337"/>
      <c r="S325" s="337"/>
      <c r="T325" s="56">
        <v>28949705.949999999</v>
      </c>
      <c r="U325" s="56" t="s">
        <v>4577</v>
      </c>
      <c r="V325" s="56" t="s">
        <v>4578</v>
      </c>
      <c r="W325" s="56" t="s">
        <v>4579</v>
      </c>
    </row>
    <row r="326" spans="7:23" x14ac:dyDescent="0.3">
      <c r="G326" s="247"/>
      <c r="H326" s="248"/>
      <c r="I326" s="56" t="s">
        <v>44</v>
      </c>
      <c r="J326" s="56" t="s">
        <v>75</v>
      </c>
      <c r="K326" s="56" t="s">
        <v>1442</v>
      </c>
      <c r="M326" s="337"/>
      <c r="O326" s="337"/>
      <c r="Q326" s="337"/>
      <c r="S326" s="337"/>
      <c r="T326" s="56">
        <v>2822112.45</v>
      </c>
      <c r="U326" s="56" t="s">
        <v>5613</v>
      </c>
      <c r="V326" s="56" t="s">
        <v>5621</v>
      </c>
      <c r="W326" s="56" t="s">
        <v>5622</v>
      </c>
    </row>
    <row r="327" spans="7:23" x14ac:dyDescent="0.3">
      <c r="G327" s="247"/>
      <c r="H327" s="248"/>
      <c r="I327" s="56" t="s">
        <v>44</v>
      </c>
      <c r="J327" s="56" t="s">
        <v>75</v>
      </c>
      <c r="K327" s="56" t="s">
        <v>1442</v>
      </c>
      <c r="L327" s="56">
        <v>413493.89</v>
      </c>
      <c r="M327" s="337">
        <v>0.10337347250000001</v>
      </c>
      <c r="N327" s="56">
        <v>413493.89</v>
      </c>
      <c r="O327" s="337">
        <v>0.10337347250000001</v>
      </c>
      <c r="P327" s="56">
        <v>413493.89</v>
      </c>
      <c r="Q327" s="337">
        <v>0.10337347250000001</v>
      </c>
      <c r="R327" s="56">
        <v>413493.89</v>
      </c>
      <c r="S327" s="337">
        <v>0.10337347250000001</v>
      </c>
      <c r="T327" s="56">
        <v>413493.89</v>
      </c>
      <c r="U327" s="56" t="s">
        <v>482</v>
      </c>
      <c r="V327" s="56" t="s">
        <v>483</v>
      </c>
      <c r="W327" s="56" t="s">
        <v>484</v>
      </c>
    </row>
    <row r="328" spans="7:23" x14ac:dyDescent="0.3">
      <c r="G328" s="247"/>
      <c r="H328" s="248"/>
      <c r="I328" s="56" t="s">
        <v>44</v>
      </c>
      <c r="J328" s="56" t="s">
        <v>75</v>
      </c>
      <c r="K328" s="56" t="s">
        <v>1442</v>
      </c>
      <c r="M328" s="337"/>
      <c r="O328" s="337"/>
      <c r="Q328" s="337"/>
      <c r="S328" s="337"/>
      <c r="T328" s="56">
        <v>18266026.940000001</v>
      </c>
      <c r="U328" s="56" t="s">
        <v>5497</v>
      </c>
      <c r="V328" s="56" t="s">
        <v>5498</v>
      </c>
      <c r="W328" s="56" t="s">
        <v>5499</v>
      </c>
    </row>
    <row r="329" spans="7:23" x14ac:dyDescent="0.3">
      <c r="G329" s="247"/>
      <c r="H329" s="248"/>
      <c r="I329" s="56" t="s">
        <v>44</v>
      </c>
      <c r="J329" s="56" t="s">
        <v>75</v>
      </c>
      <c r="K329" s="56" t="s">
        <v>1442</v>
      </c>
      <c r="L329" s="56">
        <v>31027359.940000001</v>
      </c>
      <c r="M329" s="337">
        <v>0.77568399850000003</v>
      </c>
      <c r="N329" s="56">
        <v>31027359.940000001</v>
      </c>
      <c r="O329" s="337">
        <v>0.77568399850000003</v>
      </c>
      <c r="Q329" s="337"/>
      <c r="S329" s="337"/>
      <c r="T329" s="56">
        <v>31027359.940000001</v>
      </c>
      <c r="U329" s="56" t="s">
        <v>556</v>
      </c>
      <c r="V329" s="56" t="s">
        <v>557</v>
      </c>
      <c r="W329" s="56" t="s">
        <v>558</v>
      </c>
    </row>
    <row r="330" spans="7:23" x14ac:dyDescent="0.3">
      <c r="G330" s="247"/>
      <c r="H330" s="248"/>
      <c r="I330" s="56" t="s">
        <v>44</v>
      </c>
      <c r="J330" s="56" t="s">
        <v>75</v>
      </c>
      <c r="K330" s="56" t="s">
        <v>1442</v>
      </c>
      <c r="M330" s="337"/>
      <c r="O330" s="337"/>
      <c r="Q330" s="337"/>
      <c r="S330" s="337"/>
      <c r="T330" s="56">
        <v>524718.64</v>
      </c>
      <c r="U330" s="56" t="s">
        <v>1119</v>
      </c>
      <c r="V330" s="56" t="s">
        <v>1120</v>
      </c>
      <c r="W330" s="56" t="s">
        <v>1121</v>
      </c>
    </row>
    <row r="331" spans="7:23" x14ac:dyDescent="0.3">
      <c r="G331" s="247"/>
      <c r="H331" s="248"/>
      <c r="I331" s="56" t="s">
        <v>44</v>
      </c>
      <c r="J331" s="56" t="s">
        <v>75</v>
      </c>
      <c r="K331" s="56" t="s">
        <v>1442</v>
      </c>
      <c r="M331" s="337"/>
      <c r="O331" s="337"/>
      <c r="Q331" s="337"/>
      <c r="S331" s="337"/>
      <c r="T331" s="56">
        <v>1774151.84</v>
      </c>
      <c r="U331" s="56" t="s">
        <v>732</v>
      </c>
      <c r="V331" s="56" t="s">
        <v>2069</v>
      </c>
      <c r="W331" s="56" t="s">
        <v>2070</v>
      </c>
    </row>
    <row r="332" spans="7:23" x14ac:dyDescent="0.3">
      <c r="G332" s="247"/>
      <c r="H332" s="248"/>
      <c r="I332" s="56" t="s">
        <v>44</v>
      </c>
      <c r="J332" s="56" t="s">
        <v>75</v>
      </c>
      <c r="K332" s="56" t="s">
        <v>1442</v>
      </c>
      <c r="L332" s="56">
        <v>1549076.36</v>
      </c>
      <c r="M332" s="337">
        <v>0.38726908999999998</v>
      </c>
      <c r="O332" s="337"/>
      <c r="Q332" s="337"/>
      <c r="S332" s="337"/>
      <c r="T332" s="56">
        <v>1549076.36</v>
      </c>
      <c r="U332" s="56" t="s">
        <v>4015</v>
      </c>
      <c r="V332" s="56" t="s">
        <v>4019</v>
      </c>
      <c r="W332" s="56" t="s">
        <v>4020</v>
      </c>
    </row>
    <row r="333" spans="7:23" x14ac:dyDescent="0.3">
      <c r="G333" s="247"/>
      <c r="H333" s="248"/>
      <c r="I333" s="56" t="s">
        <v>44</v>
      </c>
      <c r="J333" s="56" t="s">
        <v>75</v>
      </c>
      <c r="K333" s="56" t="s">
        <v>1442</v>
      </c>
      <c r="M333" s="337"/>
      <c r="O333" s="337"/>
      <c r="Q333" s="337"/>
      <c r="S333" s="337"/>
      <c r="T333" s="56">
        <v>33350196.440000001</v>
      </c>
      <c r="U333" s="56" t="s">
        <v>861</v>
      </c>
      <c r="V333" s="56" t="s">
        <v>865</v>
      </c>
      <c r="W333" s="56" t="s">
        <v>866</v>
      </c>
    </row>
    <row r="334" spans="7:23" x14ac:dyDescent="0.3">
      <c r="G334" s="247"/>
      <c r="H334" s="248"/>
      <c r="I334" s="56" t="s">
        <v>44</v>
      </c>
      <c r="J334" s="56" t="s">
        <v>75</v>
      </c>
      <c r="K334" s="56" t="s">
        <v>1442</v>
      </c>
      <c r="M334" s="337"/>
      <c r="O334" s="337"/>
      <c r="Q334" s="337"/>
      <c r="S334" s="337"/>
      <c r="T334" s="56">
        <v>15943917.039999999</v>
      </c>
      <c r="U334" s="56" t="s">
        <v>3558</v>
      </c>
      <c r="V334" s="56" t="s">
        <v>3586</v>
      </c>
      <c r="W334" s="56" t="s">
        <v>3587</v>
      </c>
    </row>
    <row r="335" spans="7:23" x14ac:dyDescent="0.3">
      <c r="G335" s="247"/>
      <c r="H335" s="248"/>
      <c r="I335" s="56" t="s">
        <v>44</v>
      </c>
      <c r="J335" s="56" t="s">
        <v>75</v>
      </c>
      <c r="K335" s="56" t="s">
        <v>1442</v>
      </c>
      <c r="L335" s="56">
        <v>16299883.449999999</v>
      </c>
      <c r="M335" s="337">
        <v>0.27166472416666665</v>
      </c>
      <c r="N335" s="56">
        <v>16299883.449999999</v>
      </c>
      <c r="O335" s="337">
        <v>0.27166472416666665</v>
      </c>
      <c r="Q335" s="337"/>
      <c r="S335" s="337"/>
      <c r="T335" s="56">
        <v>16299883.449999999</v>
      </c>
      <c r="U335" s="56" t="s">
        <v>1688</v>
      </c>
      <c r="V335" s="56" t="s">
        <v>1690</v>
      </c>
      <c r="W335" s="56" t="s">
        <v>1691</v>
      </c>
    </row>
    <row r="336" spans="7:23" x14ac:dyDescent="0.3">
      <c r="G336" s="247"/>
      <c r="H336" s="248"/>
      <c r="I336" s="56" t="s">
        <v>44</v>
      </c>
      <c r="J336" s="56" t="s">
        <v>75</v>
      </c>
      <c r="K336" s="56" t="s">
        <v>1442</v>
      </c>
      <c r="L336" s="56">
        <v>14771174.380000001</v>
      </c>
      <c r="M336" s="337">
        <v>0.73855871900000003</v>
      </c>
      <c r="O336" s="337"/>
      <c r="Q336" s="337"/>
      <c r="S336" s="337"/>
      <c r="T336" s="56">
        <v>14771174.380000001</v>
      </c>
      <c r="U336" s="56" t="s">
        <v>932</v>
      </c>
      <c r="V336" s="56" t="s">
        <v>954</v>
      </c>
      <c r="W336" s="56" t="s">
        <v>955</v>
      </c>
    </row>
    <row r="337" spans="7:23" x14ac:dyDescent="0.3">
      <c r="G337" s="247"/>
      <c r="H337" s="248"/>
      <c r="I337" s="56" t="s">
        <v>44</v>
      </c>
      <c r="J337" s="56" t="s">
        <v>75</v>
      </c>
      <c r="K337" s="56" t="s">
        <v>1442</v>
      </c>
      <c r="L337" s="56">
        <v>1425294.5</v>
      </c>
      <c r="M337" s="337">
        <v>0.2850589</v>
      </c>
      <c r="N337" s="56">
        <v>1425294.5</v>
      </c>
      <c r="O337" s="337">
        <v>0.2850589</v>
      </c>
      <c r="Q337" s="337"/>
      <c r="S337" s="337"/>
      <c r="T337" s="56">
        <v>1425294.5</v>
      </c>
      <c r="U337" s="56" t="s">
        <v>934</v>
      </c>
      <c r="V337" s="56" t="s">
        <v>946</v>
      </c>
      <c r="W337" s="56" t="s">
        <v>947</v>
      </c>
    </row>
    <row r="338" spans="7:23" x14ac:dyDescent="0.3">
      <c r="G338" s="247"/>
      <c r="H338" s="248"/>
      <c r="I338" s="56" t="s">
        <v>44</v>
      </c>
      <c r="J338" s="56" t="s">
        <v>75</v>
      </c>
      <c r="K338" s="56" t="s">
        <v>1442</v>
      </c>
      <c r="M338" s="337"/>
      <c r="O338" s="337"/>
      <c r="Q338" s="337"/>
      <c r="S338" s="337"/>
      <c r="T338" s="56">
        <v>35511680.869999997</v>
      </c>
      <c r="U338" s="56" t="s">
        <v>1006</v>
      </c>
      <c r="V338" s="56" t="s">
        <v>1009</v>
      </c>
      <c r="W338" s="56" t="s">
        <v>1010</v>
      </c>
    </row>
    <row r="339" spans="7:23" x14ac:dyDescent="0.3">
      <c r="G339" s="247"/>
      <c r="H339" s="248"/>
      <c r="I339" s="56" t="s">
        <v>44</v>
      </c>
      <c r="J339" s="56" t="s">
        <v>75</v>
      </c>
      <c r="K339" s="56" t="s">
        <v>1442</v>
      </c>
      <c r="M339" s="337"/>
      <c r="O339" s="337"/>
      <c r="Q339" s="337"/>
      <c r="S339" s="337"/>
      <c r="T339" s="56">
        <v>9945886.8599999994</v>
      </c>
      <c r="U339" s="56" t="s">
        <v>4110</v>
      </c>
      <c r="V339" s="56" t="s">
        <v>4112</v>
      </c>
      <c r="W339" s="56" t="s">
        <v>4113</v>
      </c>
    </row>
    <row r="340" spans="7:23" x14ac:dyDescent="0.3">
      <c r="G340" s="247"/>
      <c r="H340" s="248"/>
      <c r="I340" s="56" t="s">
        <v>44</v>
      </c>
      <c r="J340" s="56" t="s">
        <v>75</v>
      </c>
      <c r="K340" s="56" t="s">
        <v>1442</v>
      </c>
      <c r="M340" s="337"/>
      <c r="O340" s="337"/>
      <c r="Q340" s="337"/>
      <c r="S340" s="337"/>
      <c r="T340" s="56">
        <v>3320459.39</v>
      </c>
      <c r="U340" s="56" t="s">
        <v>1011</v>
      </c>
      <c r="V340" s="56" t="s">
        <v>1012</v>
      </c>
      <c r="W340" s="56" t="s">
        <v>1013</v>
      </c>
    </row>
    <row r="341" spans="7:23" x14ac:dyDescent="0.3">
      <c r="G341" s="247"/>
      <c r="H341" s="248"/>
      <c r="I341" s="56" t="s">
        <v>44</v>
      </c>
      <c r="J341" s="56" t="s">
        <v>75</v>
      </c>
      <c r="K341" s="56" t="s">
        <v>1442</v>
      </c>
      <c r="L341" s="56">
        <v>11183352.5</v>
      </c>
      <c r="M341" s="337">
        <v>0.50833420454545453</v>
      </c>
      <c r="N341" s="56">
        <v>11183352.5</v>
      </c>
      <c r="O341" s="337">
        <v>0.50833420454545453</v>
      </c>
      <c r="Q341" s="337"/>
      <c r="S341" s="337"/>
      <c r="T341" s="56">
        <v>11183352.5</v>
      </c>
      <c r="U341" s="56" t="s">
        <v>1434</v>
      </c>
      <c r="V341" s="56" t="s">
        <v>1435</v>
      </c>
      <c r="W341" s="56" t="s">
        <v>1436</v>
      </c>
    </row>
    <row r="342" spans="7:23" x14ac:dyDescent="0.3">
      <c r="G342" s="247"/>
      <c r="H342" s="248"/>
      <c r="I342" s="56" t="s">
        <v>44</v>
      </c>
      <c r="J342" s="56" t="s">
        <v>75</v>
      </c>
      <c r="K342" s="56" t="s">
        <v>1442</v>
      </c>
      <c r="M342" s="337"/>
      <c r="O342" s="337"/>
      <c r="Q342" s="337"/>
      <c r="S342" s="337"/>
      <c r="T342" s="56">
        <v>17000000</v>
      </c>
      <c r="U342" s="56" t="s">
        <v>1184</v>
      </c>
      <c r="V342" s="56" t="s">
        <v>1185</v>
      </c>
      <c r="W342" s="56" t="s">
        <v>1186</v>
      </c>
    </row>
    <row r="343" spans="7:23" x14ac:dyDescent="0.3">
      <c r="G343" s="247"/>
      <c r="H343" s="248"/>
      <c r="I343" s="56" t="s">
        <v>44</v>
      </c>
      <c r="J343" s="56" t="s">
        <v>75</v>
      </c>
      <c r="K343" s="56" t="s">
        <v>1442</v>
      </c>
      <c r="L343" s="56">
        <v>8698654.6600000001</v>
      </c>
      <c r="M343" s="337">
        <v>0.7248878883333334</v>
      </c>
      <c r="O343" s="337"/>
      <c r="Q343" s="337"/>
      <c r="S343" s="337"/>
      <c r="T343" s="56">
        <v>8698654.6600000001</v>
      </c>
      <c r="U343" s="56" t="s">
        <v>1135</v>
      </c>
      <c r="V343" s="56" t="s">
        <v>1136</v>
      </c>
      <c r="W343" s="56" t="s">
        <v>1137</v>
      </c>
    </row>
    <row r="344" spans="7:23" x14ac:dyDescent="0.3">
      <c r="G344" s="247"/>
      <c r="H344" s="248"/>
      <c r="I344" s="56" t="s">
        <v>44</v>
      </c>
      <c r="J344" s="56" t="s">
        <v>75</v>
      </c>
      <c r="K344" s="56" t="s">
        <v>1442</v>
      </c>
      <c r="L344" s="56">
        <v>27229000.399999999</v>
      </c>
      <c r="M344" s="337">
        <v>0.77797143999999996</v>
      </c>
      <c r="N344" s="56">
        <v>27229000.399999999</v>
      </c>
      <c r="O344" s="337">
        <v>0.77797143999999996</v>
      </c>
      <c r="Q344" s="337"/>
      <c r="S344" s="337"/>
      <c r="T344" s="56">
        <v>27229000.399999999</v>
      </c>
      <c r="U344" s="56" t="s">
        <v>1163</v>
      </c>
      <c r="V344" s="56" t="s">
        <v>1164</v>
      </c>
      <c r="W344" s="56" t="s">
        <v>1165</v>
      </c>
    </row>
    <row r="345" spans="7:23" x14ac:dyDescent="0.3">
      <c r="G345" s="247"/>
      <c r="H345" s="248"/>
      <c r="I345" s="56" t="s">
        <v>44</v>
      </c>
      <c r="J345" s="56" t="s">
        <v>75</v>
      </c>
      <c r="K345" s="56" t="s">
        <v>1442</v>
      </c>
      <c r="M345" s="337"/>
      <c r="O345" s="337"/>
      <c r="Q345" s="337"/>
      <c r="S345" s="337"/>
      <c r="T345" s="56">
        <v>491941.29</v>
      </c>
      <c r="U345" s="56" t="s">
        <v>3622</v>
      </c>
      <c r="V345" s="56" t="s">
        <v>3625</v>
      </c>
      <c r="W345" s="56" t="s">
        <v>3626</v>
      </c>
    </row>
    <row r="346" spans="7:23" x14ac:dyDescent="0.3">
      <c r="G346" s="247"/>
      <c r="H346" s="248"/>
      <c r="I346" s="56" t="s">
        <v>44</v>
      </c>
      <c r="J346" s="56" t="s">
        <v>75</v>
      </c>
      <c r="K346" s="56" t="s">
        <v>1442</v>
      </c>
      <c r="M346" s="337"/>
      <c r="O346" s="337"/>
      <c r="Q346" s="337"/>
      <c r="S346" s="337"/>
      <c r="T346" s="56">
        <v>53372255.450000003</v>
      </c>
      <c r="U346" s="56" t="s">
        <v>1287</v>
      </c>
      <c r="V346" s="56" t="s">
        <v>1288</v>
      </c>
      <c r="W346" s="56" t="s">
        <v>1289</v>
      </c>
    </row>
    <row r="347" spans="7:23" x14ac:dyDescent="0.3">
      <c r="G347" s="247"/>
      <c r="H347" s="248"/>
      <c r="I347" s="56" t="s">
        <v>44</v>
      </c>
      <c r="J347" s="56" t="s">
        <v>75</v>
      </c>
      <c r="K347" s="56" t="s">
        <v>1442</v>
      </c>
      <c r="M347" s="337"/>
      <c r="O347" s="337"/>
      <c r="Q347" s="337"/>
      <c r="S347" s="337"/>
      <c r="T347" s="56">
        <v>1052449.93</v>
      </c>
      <c r="U347" s="56" t="s">
        <v>3554</v>
      </c>
      <c r="V347" s="56" t="s">
        <v>3566</v>
      </c>
      <c r="W347" s="56" t="s">
        <v>3567</v>
      </c>
    </row>
    <row r="348" spans="7:23" x14ac:dyDescent="0.3">
      <c r="G348" s="247"/>
      <c r="H348" s="248"/>
      <c r="I348" s="56" t="s">
        <v>44</v>
      </c>
      <c r="J348" s="56" t="s">
        <v>75</v>
      </c>
      <c r="K348" s="56" t="s">
        <v>1442</v>
      </c>
      <c r="M348" s="337"/>
      <c r="O348" s="337"/>
      <c r="Q348" s="337"/>
      <c r="S348" s="337"/>
      <c r="T348" s="56">
        <v>15465074.65</v>
      </c>
      <c r="U348" s="56" t="s">
        <v>1380</v>
      </c>
      <c r="V348" s="56" t="s">
        <v>1381</v>
      </c>
      <c r="W348" s="56" t="s">
        <v>1382</v>
      </c>
    </row>
    <row r="349" spans="7:23" x14ac:dyDescent="0.3">
      <c r="G349" s="247"/>
      <c r="H349" s="248"/>
      <c r="I349" s="56" t="s">
        <v>44</v>
      </c>
      <c r="J349" s="56" t="s">
        <v>75</v>
      </c>
      <c r="K349" s="56" t="s">
        <v>1442</v>
      </c>
      <c r="L349" s="56">
        <v>53223768.729999997</v>
      </c>
      <c r="M349" s="337">
        <v>0.81882721123076918</v>
      </c>
      <c r="O349" s="337"/>
      <c r="Q349" s="337"/>
      <c r="S349" s="337"/>
      <c r="T349" s="56">
        <v>53223768.729999997</v>
      </c>
      <c r="U349" s="56" t="s">
        <v>3705</v>
      </c>
      <c r="V349" s="56" t="s">
        <v>3709</v>
      </c>
      <c r="W349" s="56" t="s">
        <v>3710</v>
      </c>
    </row>
    <row r="350" spans="7:23" x14ac:dyDescent="0.3">
      <c r="G350" s="247"/>
      <c r="H350" s="248"/>
      <c r="I350" s="56" t="s">
        <v>44</v>
      </c>
      <c r="J350" s="56" t="s">
        <v>75</v>
      </c>
      <c r="K350" s="56" t="s">
        <v>1442</v>
      </c>
      <c r="L350" s="56">
        <v>1205804.8700000001</v>
      </c>
      <c r="M350" s="337">
        <v>0.20096747833333334</v>
      </c>
      <c r="N350" s="56">
        <v>1205804.8700000001</v>
      </c>
      <c r="O350" s="337">
        <v>0.20096747833333334</v>
      </c>
      <c r="P350" s="56">
        <v>1205804.8700000001</v>
      </c>
      <c r="Q350" s="337">
        <v>0.20096747833333334</v>
      </c>
      <c r="S350" s="337"/>
      <c r="T350" s="56">
        <v>1205804.8700000001</v>
      </c>
      <c r="U350" s="56" t="s">
        <v>1668</v>
      </c>
      <c r="V350" s="56" t="s">
        <v>1675</v>
      </c>
      <c r="W350" s="56" t="s">
        <v>1676</v>
      </c>
    </row>
    <row r="351" spans="7:23" x14ac:dyDescent="0.3">
      <c r="G351" s="247"/>
      <c r="H351" s="248"/>
      <c r="I351" s="56" t="s">
        <v>44</v>
      </c>
      <c r="J351" s="56" t="s">
        <v>75</v>
      </c>
      <c r="K351" s="56" t="s">
        <v>1442</v>
      </c>
      <c r="M351" s="337"/>
      <c r="O351" s="337"/>
      <c r="Q351" s="337"/>
      <c r="S351" s="337"/>
      <c r="T351" s="56">
        <v>28313369.27</v>
      </c>
      <c r="U351" s="56" t="s">
        <v>2135</v>
      </c>
      <c r="V351" s="56" t="s">
        <v>2152</v>
      </c>
      <c r="W351" s="56" t="s">
        <v>2153</v>
      </c>
    </row>
    <row r="352" spans="7:23" x14ac:dyDescent="0.3">
      <c r="G352" s="247"/>
      <c r="H352" s="248"/>
      <c r="I352" s="56" t="s">
        <v>44</v>
      </c>
      <c r="J352" s="56" t="s">
        <v>75</v>
      </c>
      <c r="K352" s="56" t="s">
        <v>1442</v>
      </c>
      <c r="M352" s="337"/>
      <c r="O352" s="337"/>
      <c r="Q352" s="337"/>
      <c r="S352" s="337"/>
      <c r="T352" s="56">
        <v>32170744.59</v>
      </c>
      <c r="U352" s="56" t="s">
        <v>2050</v>
      </c>
      <c r="V352" s="56" t="s">
        <v>2051</v>
      </c>
      <c r="W352" s="56" t="s">
        <v>2052</v>
      </c>
    </row>
    <row r="353" spans="7:23" x14ac:dyDescent="0.3">
      <c r="G353" s="247"/>
      <c r="H353" s="248"/>
      <c r="I353" s="56" t="s">
        <v>44</v>
      </c>
      <c r="J353" s="56" t="s">
        <v>75</v>
      </c>
      <c r="K353" s="56" t="s">
        <v>1442</v>
      </c>
      <c r="L353" s="56">
        <v>20186644.280000001</v>
      </c>
      <c r="M353" s="337">
        <v>0.80746577120000007</v>
      </c>
      <c r="O353" s="337"/>
      <c r="Q353" s="337"/>
      <c r="S353" s="337"/>
      <c r="T353" s="56">
        <v>20186644.280000001</v>
      </c>
      <c r="U353" s="56" t="s">
        <v>3385</v>
      </c>
      <c r="V353" s="56" t="s">
        <v>3390</v>
      </c>
      <c r="W353" s="56" t="s">
        <v>3391</v>
      </c>
    </row>
    <row r="354" spans="7:23" x14ac:dyDescent="0.3">
      <c r="G354" s="247"/>
      <c r="H354" s="248"/>
      <c r="I354" s="56" t="s">
        <v>44</v>
      </c>
      <c r="J354" s="56" t="s">
        <v>75</v>
      </c>
      <c r="K354" s="56" t="s">
        <v>1442</v>
      </c>
      <c r="M354" s="337"/>
      <c r="O354" s="337"/>
      <c r="Q354" s="337"/>
      <c r="S354" s="337"/>
      <c r="T354" s="56">
        <v>17317769.809999999</v>
      </c>
      <c r="U354" s="56" t="s">
        <v>2258</v>
      </c>
      <c r="V354" s="56" t="s">
        <v>2260</v>
      </c>
      <c r="W354" s="56" t="s">
        <v>2261</v>
      </c>
    </row>
    <row r="355" spans="7:23" x14ac:dyDescent="0.3">
      <c r="G355" s="247"/>
      <c r="H355" s="248"/>
      <c r="I355" s="56" t="s">
        <v>44</v>
      </c>
      <c r="J355" s="56" t="s">
        <v>75</v>
      </c>
      <c r="K355" s="56" t="s">
        <v>1442</v>
      </c>
      <c r="L355" s="56">
        <v>3884898.3</v>
      </c>
      <c r="M355" s="337">
        <v>0.29883833076923078</v>
      </c>
      <c r="O355" s="337"/>
      <c r="Q355" s="337"/>
      <c r="S355" s="337"/>
      <c r="T355" s="56">
        <v>3884898.3</v>
      </c>
      <c r="U355" s="56" t="s">
        <v>2648</v>
      </c>
      <c r="V355" s="56" t="s">
        <v>2649</v>
      </c>
      <c r="W355" s="56" t="s">
        <v>2650</v>
      </c>
    </row>
    <row r="356" spans="7:23" x14ac:dyDescent="0.3">
      <c r="G356" s="247"/>
      <c r="H356" s="248"/>
      <c r="I356" s="56" t="s">
        <v>44</v>
      </c>
      <c r="J356" s="56" t="s">
        <v>75</v>
      </c>
      <c r="K356" s="56" t="s">
        <v>1442</v>
      </c>
      <c r="M356" s="337"/>
      <c r="O356" s="337"/>
      <c r="Q356" s="337"/>
      <c r="S356" s="337"/>
      <c r="T356" s="56">
        <v>4000000</v>
      </c>
      <c r="U356" s="56" t="s">
        <v>6016</v>
      </c>
      <c r="V356" s="56" t="s">
        <v>6020</v>
      </c>
      <c r="W356" s="56" t="s">
        <v>6021</v>
      </c>
    </row>
    <row r="357" spans="7:23" x14ac:dyDescent="0.3">
      <c r="G357" s="247"/>
      <c r="H357" s="248"/>
      <c r="I357" s="56" t="s">
        <v>44</v>
      </c>
      <c r="J357" s="56" t="s">
        <v>75</v>
      </c>
      <c r="K357" s="56" t="s">
        <v>1442</v>
      </c>
      <c r="L357" s="56">
        <v>1785699.53</v>
      </c>
      <c r="M357" s="337">
        <v>0.29761658833333332</v>
      </c>
      <c r="N357" s="56">
        <v>1785699.53</v>
      </c>
      <c r="O357" s="337">
        <v>0.29761658833333332</v>
      </c>
      <c r="Q357" s="337"/>
      <c r="S357" s="337"/>
      <c r="T357" s="56">
        <v>1785699.53</v>
      </c>
      <c r="U357" s="56" t="s">
        <v>3612</v>
      </c>
      <c r="V357" s="56" t="s">
        <v>3617</v>
      </c>
      <c r="W357" s="56" t="s">
        <v>3618</v>
      </c>
    </row>
    <row r="358" spans="7:23" x14ac:dyDescent="0.3">
      <c r="G358" s="247"/>
      <c r="H358" s="248"/>
      <c r="I358" s="56" t="s">
        <v>44</v>
      </c>
      <c r="J358" s="56" t="s">
        <v>75</v>
      </c>
      <c r="K358" s="56" t="s">
        <v>1442</v>
      </c>
      <c r="L358" s="56">
        <v>7282420.3399999999</v>
      </c>
      <c r="M358" s="337">
        <v>0.60686836166666669</v>
      </c>
      <c r="N358" s="56">
        <v>7282420.3399999999</v>
      </c>
      <c r="O358" s="337">
        <v>0.60686836166666669</v>
      </c>
      <c r="P358" s="56">
        <v>7282420.3399999999</v>
      </c>
      <c r="Q358" s="337">
        <v>0.60686836166666669</v>
      </c>
      <c r="S358" s="337"/>
      <c r="T358" s="56">
        <v>7282420.3399999999</v>
      </c>
      <c r="U358" s="56" t="s">
        <v>2746</v>
      </c>
      <c r="V358" s="56" t="s">
        <v>2749</v>
      </c>
      <c r="W358" s="56" t="s">
        <v>2750</v>
      </c>
    </row>
    <row r="359" spans="7:23" x14ac:dyDescent="0.3">
      <c r="G359" s="247"/>
      <c r="H359" s="248"/>
      <c r="I359" s="56" t="s">
        <v>44</v>
      </c>
      <c r="J359" s="56" t="s">
        <v>75</v>
      </c>
      <c r="K359" s="56" t="s">
        <v>1442</v>
      </c>
      <c r="M359" s="337"/>
      <c r="O359" s="337"/>
      <c r="Q359" s="337"/>
      <c r="S359" s="337"/>
      <c r="T359" s="56">
        <v>737567.53</v>
      </c>
      <c r="U359" s="56" t="s">
        <v>2928</v>
      </c>
      <c r="V359" s="56" t="s">
        <v>2929</v>
      </c>
      <c r="W359" s="56" t="s">
        <v>2930</v>
      </c>
    </row>
    <row r="360" spans="7:23" x14ac:dyDescent="0.3">
      <c r="G360" s="247"/>
      <c r="H360" s="248"/>
      <c r="I360" s="56" t="s">
        <v>44</v>
      </c>
      <c r="J360" s="56" t="s">
        <v>75</v>
      </c>
      <c r="K360" s="56" t="s">
        <v>1442</v>
      </c>
      <c r="L360" s="56">
        <v>524718.64</v>
      </c>
      <c r="M360" s="337">
        <v>0.104943728</v>
      </c>
      <c r="O360" s="337"/>
      <c r="Q360" s="337"/>
      <c r="S360" s="337"/>
      <c r="T360" s="56">
        <v>524718.64</v>
      </c>
      <c r="U360" s="56" t="s">
        <v>3268</v>
      </c>
      <c r="V360" s="56" t="s">
        <v>3275</v>
      </c>
      <c r="W360" s="56" t="s">
        <v>3276</v>
      </c>
    </row>
    <row r="361" spans="7:23" x14ac:dyDescent="0.3">
      <c r="G361" s="247"/>
      <c r="H361" s="248"/>
      <c r="I361" s="56" t="s">
        <v>44</v>
      </c>
      <c r="J361" s="56" t="s">
        <v>75</v>
      </c>
      <c r="K361" s="56" t="s">
        <v>1442</v>
      </c>
      <c r="M361" s="337"/>
      <c r="O361" s="337"/>
      <c r="Q361" s="337"/>
      <c r="S361" s="337"/>
      <c r="T361" s="56">
        <v>9202028.8800000008</v>
      </c>
      <c r="U361" s="56" t="s">
        <v>3049</v>
      </c>
      <c r="V361" s="56" t="s">
        <v>3062</v>
      </c>
      <c r="W361" s="56" t="s">
        <v>3063</v>
      </c>
    </row>
    <row r="362" spans="7:23" x14ac:dyDescent="0.3">
      <c r="G362" s="247"/>
      <c r="H362" s="248"/>
      <c r="I362" s="56" t="s">
        <v>44</v>
      </c>
      <c r="J362" s="56" t="s">
        <v>75</v>
      </c>
      <c r="K362" s="56" t="s">
        <v>1442</v>
      </c>
      <c r="L362" s="56">
        <v>3071598.41</v>
      </c>
      <c r="M362" s="337">
        <v>0.25596653416666665</v>
      </c>
      <c r="O362" s="337"/>
      <c r="Q362" s="337"/>
      <c r="S362" s="337"/>
      <c r="T362" s="56">
        <v>3071598.41</v>
      </c>
      <c r="U362" s="56" t="s">
        <v>3102</v>
      </c>
      <c r="V362" s="56" t="s">
        <v>3107</v>
      </c>
      <c r="W362" s="56" t="s">
        <v>3108</v>
      </c>
    </row>
    <row r="363" spans="7:23" x14ac:dyDescent="0.3">
      <c r="G363" s="247"/>
      <c r="H363" s="248"/>
      <c r="I363" s="56" t="s">
        <v>44</v>
      </c>
      <c r="J363" s="56" t="s">
        <v>75</v>
      </c>
      <c r="K363" s="56" t="s">
        <v>1442</v>
      </c>
      <c r="M363" s="337"/>
      <c r="O363" s="337"/>
      <c r="Q363" s="337"/>
      <c r="S363" s="337"/>
      <c r="T363" s="56">
        <v>7661300.5300000003</v>
      </c>
      <c r="U363" s="56" t="s">
        <v>3557</v>
      </c>
      <c r="V363" s="56" t="s">
        <v>3574</v>
      </c>
      <c r="W363" s="56" t="s">
        <v>3575</v>
      </c>
    </row>
    <row r="364" spans="7:23" x14ac:dyDescent="0.3">
      <c r="G364" s="247"/>
      <c r="H364" s="248"/>
      <c r="I364" s="56" t="s">
        <v>44</v>
      </c>
      <c r="J364" s="56" t="s">
        <v>75</v>
      </c>
      <c r="K364" s="56" t="s">
        <v>1442</v>
      </c>
      <c r="L364" s="56">
        <v>3500000</v>
      </c>
      <c r="M364" s="337">
        <v>1</v>
      </c>
      <c r="O364" s="337"/>
      <c r="Q364" s="337"/>
      <c r="S364" s="337"/>
      <c r="T364" s="56">
        <v>3500000</v>
      </c>
      <c r="U364" s="56" t="s">
        <v>3667</v>
      </c>
      <c r="V364" s="56" t="s">
        <v>3671</v>
      </c>
      <c r="W364" s="56" t="s">
        <v>3672</v>
      </c>
    </row>
    <row r="365" spans="7:23" x14ac:dyDescent="0.3">
      <c r="G365" s="247"/>
      <c r="H365" s="248"/>
      <c r="I365" s="56" t="s">
        <v>44</v>
      </c>
      <c r="J365" s="56" t="s">
        <v>75</v>
      </c>
      <c r="K365" s="56" t="s">
        <v>1442</v>
      </c>
      <c r="L365" s="56">
        <v>1232210.03</v>
      </c>
      <c r="M365" s="337">
        <v>0.20536833833333332</v>
      </c>
      <c r="O365" s="337"/>
      <c r="Q365" s="337"/>
      <c r="S365" s="337"/>
      <c r="T365" s="56">
        <v>1232210.03</v>
      </c>
      <c r="U365" s="56" t="s">
        <v>3641</v>
      </c>
      <c r="V365" s="56" t="s">
        <v>3642</v>
      </c>
      <c r="W365" s="56" t="s">
        <v>3643</v>
      </c>
    </row>
    <row r="366" spans="7:23" x14ac:dyDescent="0.3">
      <c r="G366" s="247"/>
      <c r="H366" s="248"/>
      <c r="I366" s="56" t="s">
        <v>44</v>
      </c>
      <c r="J366" s="56" t="s">
        <v>75</v>
      </c>
      <c r="K366" s="56" t="s">
        <v>1442</v>
      </c>
      <c r="L366" s="56">
        <v>652726.67000000004</v>
      </c>
      <c r="M366" s="337">
        <v>0.26109066799999997</v>
      </c>
      <c r="O366" s="337"/>
      <c r="Q366" s="337"/>
      <c r="S366" s="337"/>
      <c r="T366" s="56">
        <v>652726.67000000004</v>
      </c>
      <c r="U366" s="56" t="s">
        <v>4502</v>
      </c>
      <c r="V366" s="56" t="s">
        <v>4505</v>
      </c>
      <c r="W366" s="56" t="s">
        <v>4506</v>
      </c>
    </row>
    <row r="367" spans="7:23" x14ac:dyDescent="0.3">
      <c r="G367" s="247"/>
      <c r="H367" s="248"/>
      <c r="I367" s="56" t="s">
        <v>44</v>
      </c>
      <c r="J367" s="56" t="s">
        <v>75</v>
      </c>
      <c r="K367" s="56" t="s">
        <v>1442</v>
      </c>
      <c r="L367" s="56">
        <v>1967151.37</v>
      </c>
      <c r="M367" s="337">
        <v>0.39343027400000002</v>
      </c>
      <c r="O367" s="337"/>
      <c r="Q367" s="337"/>
      <c r="S367" s="337"/>
      <c r="T367" s="56">
        <v>1967151.37</v>
      </c>
      <c r="U367" s="56" t="s">
        <v>4126</v>
      </c>
      <c r="V367" s="56" t="s">
        <v>4140</v>
      </c>
      <c r="W367" s="56" t="s">
        <v>4141</v>
      </c>
    </row>
    <row r="368" spans="7:23" x14ac:dyDescent="0.3">
      <c r="G368" s="247"/>
      <c r="H368" s="248"/>
      <c r="I368" s="56" t="s">
        <v>44</v>
      </c>
      <c r="J368" s="56" t="s">
        <v>75</v>
      </c>
      <c r="K368" s="56" t="s">
        <v>1442</v>
      </c>
      <c r="L368" s="56">
        <v>3320345.89</v>
      </c>
      <c r="M368" s="337">
        <v>0.83008647250000001</v>
      </c>
      <c r="O368" s="337"/>
      <c r="Q368" s="337"/>
      <c r="S368" s="337"/>
      <c r="T368" s="56">
        <v>3320345.89</v>
      </c>
      <c r="U368" s="56" t="s">
        <v>4263</v>
      </c>
      <c r="V368" s="56" t="s">
        <v>4265</v>
      </c>
      <c r="W368" s="56" t="s">
        <v>4266</v>
      </c>
    </row>
    <row r="369" spans="7:23" x14ac:dyDescent="0.3">
      <c r="G369" s="247"/>
      <c r="H369" s="248"/>
      <c r="I369" s="56" t="s">
        <v>44</v>
      </c>
      <c r="J369" s="56" t="s">
        <v>75</v>
      </c>
      <c r="K369" s="56" t="s">
        <v>1442</v>
      </c>
      <c r="M369" s="337"/>
      <c r="O369" s="337"/>
      <c r="Q369" s="337"/>
      <c r="S369" s="337"/>
      <c r="T369" s="56">
        <v>22488912.27</v>
      </c>
      <c r="U369" s="56" t="s">
        <v>5641</v>
      </c>
      <c r="V369" s="56" t="s">
        <v>5654</v>
      </c>
      <c r="W369" s="56" t="s">
        <v>5655</v>
      </c>
    </row>
    <row r="370" spans="7:23" x14ac:dyDescent="0.3">
      <c r="G370" s="247"/>
      <c r="H370" s="248"/>
      <c r="I370" s="56" t="s">
        <v>44</v>
      </c>
      <c r="J370" s="56" t="s">
        <v>75</v>
      </c>
      <c r="K370" s="56" t="s">
        <v>1442</v>
      </c>
      <c r="M370" s="337"/>
      <c r="O370" s="337"/>
      <c r="Q370" s="337"/>
      <c r="S370" s="337"/>
      <c r="T370" s="56">
        <v>25881125.25</v>
      </c>
      <c r="U370" s="56" t="s">
        <v>5832</v>
      </c>
      <c r="V370" s="56" t="s">
        <v>5834</v>
      </c>
      <c r="W370" s="56" t="s">
        <v>5835</v>
      </c>
    </row>
    <row r="371" spans="7:23" x14ac:dyDescent="0.3">
      <c r="G371" s="247"/>
      <c r="H371" s="248"/>
      <c r="I371" s="56" t="s">
        <v>44</v>
      </c>
      <c r="J371" s="56" t="s">
        <v>75</v>
      </c>
      <c r="K371" s="56" t="s">
        <v>1442</v>
      </c>
      <c r="M371" s="337"/>
      <c r="O371" s="337"/>
      <c r="Q371" s="337"/>
      <c r="S371" s="337"/>
      <c r="T371" s="56">
        <v>3000000</v>
      </c>
      <c r="U371" s="56" t="s">
        <v>5956</v>
      </c>
      <c r="V371" s="56" t="s">
        <v>5963</v>
      </c>
      <c r="W371" s="56" t="s">
        <v>5964</v>
      </c>
    </row>
    <row r="372" spans="7:23" x14ac:dyDescent="0.3">
      <c r="G372" s="247"/>
      <c r="H372" s="248"/>
      <c r="I372" s="56" t="s">
        <v>44</v>
      </c>
      <c r="J372" s="56" t="s">
        <v>75</v>
      </c>
      <c r="K372" s="56" t="s">
        <v>1442</v>
      </c>
      <c r="M372" s="337"/>
      <c r="O372" s="337"/>
      <c r="Q372" s="337"/>
      <c r="S372" s="337"/>
      <c r="T372" s="56">
        <v>49337453.549999997</v>
      </c>
      <c r="U372" s="56" t="s">
        <v>1669</v>
      </c>
      <c r="V372" s="56" t="s">
        <v>1677</v>
      </c>
      <c r="W372" s="56" t="s">
        <v>1678</v>
      </c>
    </row>
    <row r="373" spans="7:23" x14ac:dyDescent="0.3">
      <c r="G373" s="247"/>
      <c r="H373" s="248"/>
      <c r="I373" s="56" t="s">
        <v>44</v>
      </c>
      <c r="J373" s="56" t="s">
        <v>75</v>
      </c>
      <c r="K373" s="56" t="s">
        <v>1442</v>
      </c>
      <c r="M373" s="337"/>
      <c r="O373" s="337"/>
      <c r="Q373" s="337"/>
      <c r="S373" s="337"/>
      <c r="T373" s="56">
        <v>2764230.38</v>
      </c>
      <c r="U373" s="56" t="s">
        <v>4799</v>
      </c>
      <c r="V373" s="56" t="s">
        <v>4808</v>
      </c>
      <c r="W373" s="56" t="s">
        <v>4809</v>
      </c>
    </row>
    <row r="374" spans="7:23" x14ac:dyDescent="0.3">
      <c r="G374" s="247"/>
      <c r="H374" s="248"/>
      <c r="I374" s="56" t="s">
        <v>44</v>
      </c>
      <c r="J374" s="56" t="s">
        <v>75</v>
      </c>
      <c r="K374" s="56" t="s">
        <v>1442</v>
      </c>
      <c r="M374" s="337"/>
      <c r="O374" s="337"/>
      <c r="Q374" s="337"/>
      <c r="S374" s="337"/>
      <c r="T374" s="56">
        <v>33864178.909999996</v>
      </c>
      <c r="U374" s="56" t="s">
        <v>1731</v>
      </c>
      <c r="V374" s="56" t="s">
        <v>1732</v>
      </c>
      <c r="W374" s="56" t="s">
        <v>1734</v>
      </c>
    </row>
    <row r="375" spans="7:23" x14ac:dyDescent="0.3">
      <c r="G375" s="247"/>
      <c r="H375" s="248"/>
      <c r="I375" s="56" t="s">
        <v>44</v>
      </c>
      <c r="J375" s="56" t="s">
        <v>75</v>
      </c>
      <c r="K375" s="56" t="s">
        <v>1442</v>
      </c>
      <c r="L375" s="56">
        <v>1748204.29</v>
      </c>
      <c r="M375" s="337">
        <v>0.29136738166666665</v>
      </c>
      <c r="N375" s="56">
        <v>1748204.29</v>
      </c>
      <c r="O375" s="337">
        <v>0.29136738166666665</v>
      </c>
      <c r="P375" s="56">
        <v>1748204.29</v>
      </c>
      <c r="Q375" s="337">
        <v>0.29136738166666665</v>
      </c>
      <c r="S375" s="337"/>
      <c r="T375" s="56">
        <v>1748204.29</v>
      </c>
      <c r="U375" s="56" t="s">
        <v>2974</v>
      </c>
      <c r="V375" s="56" t="s">
        <v>2975</v>
      </c>
      <c r="W375" s="56" t="s">
        <v>2976</v>
      </c>
    </row>
    <row r="376" spans="7:23" x14ac:dyDescent="0.3">
      <c r="G376" s="247"/>
      <c r="H376" s="248"/>
      <c r="I376" s="56" t="s">
        <v>44</v>
      </c>
      <c r="J376" s="56" t="s">
        <v>75</v>
      </c>
      <c r="K376" s="56" t="s">
        <v>1442</v>
      </c>
      <c r="L376" s="56">
        <v>17679498.629999999</v>
      </c>
      <c r="M376" s="337">
        <v>0.88397493150000006</v>
      </c>
      <c r="O376" s="337"/>
      <c r="Q376" s="337"/>
      <c r="S376" s="337"/>
      <c r="T376" s="56">
        <v>17679498.629999999</v>
      </c>
      <c r="U376" s="56" t="s">
        <v>1956</v>
      </c>
      <c r="V376" s="56" t="s">
        <v>2030</v>
      </c>
      <c r="W376" s="56" t="s">
        <v>2031</v>
      </c>
    </row>
    <row r="377" spans="7:23" x14ac:dyDescent="0.3">
      <c r="G377" s="247"/>
      <c r="H377" s="248"/>
      <c r="I377" s="56" t="s">
        <v>44</v>
      </c>
      <c r="J377" s="56" t="s">
        <v>75</v>
      </c>
      <c r="K377" s="56" t="s">
        <v>1442</v>
      </c>
      <c r="L377" s="56">
        <v>35005680.399999999</v>
      </c>
      <c r="M377" s="337">
        <v>0.700113608</v>
      </c>
      <c r="O377" s="337"/>
      <c r="Q377" s="337"/>
      <c r="S377" s="337"/>
      <c r="T377" s="56">
        <v>35005680.399999999</v>
      </c>
      <c r="U377" s="56" t="s">
        <v>1751</v>
      </c>
      <c r="V377" s="56" t="s">
        <v>1752</v>
      </c>
      <c r="W377" s="56" t="s">
        <v>1753</v>
      </c>
    </row>
    <row r="378" spans="7:23" x14ac:dyDescent="0.3">
      <c r="G378" s="247"/>
      <c r="H378" s="248"/>
      <c r="I378" s="56" t="s">
        <v>44</v>
      </c>
      <c r="J378" s="56" t="s">
        <v>75</v>
      </c>
      <c r="K378" s="56" t="s">
        <v>1442</v>
      </c>
      <c r="M378" s="337"/>
      <c r="O378" s="337"/>
      <c r="Q378" s="337"/>
      <c r="S378" s="337"/>
      <c r="T378" s="56">
        <v>4697157.33</v>
      </c>
      <c r="U378" s="56" t="s">
        <v>1900</v>
      </c>
      <c r="V378" s="56" t="s">
        <v>1904</v>
      </c>
      <c r="W378" s="56" t="s">
        <v>1905</v>
      </c>
    </row>
    <row r="379" spans="7:23" x14ac:dyDescent="0.3">
      <c r="G379" s="247"/>
      <c r="H379" s="248"/>
      <c r="I379" s="56" t="s">
        <v>44</v>
      </c>
      <c r="J379" s="56" t="s">
        <v>75</v>
      </c>
      <c r="K379" s="56" t="s">
        <v>1442</v>
      </c>
      <c r="L379" s="56">
        <v>4936424.45</v>
      </c>
      <c r="M379" s="337">
        <v>0.41136870416666665</v>
      </c>
      <c r="O379" s="337"/>
      <c r="Q379" s="337"/>
      <c r="S379" s="337"/>
      <c r="T379" s="56">
        <v>4936424.45</v>
      </c>
      <c r="U379" s="56" t="s">
        <v>4255</v>
      </c>
      <c r="V379" s="56" t="s">
        <v>4257</v>
      </c>
      <c r="W379" s="56" t="s">
        <v>4258</v>
      </c>
    </row>
    <row r="380" spans="7:23" x14ac:dyDescent="0.3">
      <c r="G380" s="247"/>
      <c r="H380" s="248"/>
      <c r="I380" s="56" t="s">
        <v>44</v>
      </c>
      <c r="J380" s="56" t="s">
        <v>75</v>
      </c>
      <c r="K380" s="56" t="s">
        <v>1442</v>
      </c>
      <c r="M380" s="337"/>
      <c r="O380" s="337"/>
      <c r="Q380" s="337"/>
      <c r="S380" s="337"/>
      <c r="T380" s="56">
        <v>1933866.15</v>
      </c>
      <c r="U380" s="56" t="s">
        <v>2061</v>
      </c>
      <c r="V380" s="56" t="s">
        <v>2064</v>
      </c>
      <c r="W380" s="56" t="s">
        <v>2065</v>
      </c>
    </row>
    <row r="381" spans="7:23" x14ac:dyDescent="0.3">
      <c r="G381" s="247"/>
      <c r="H381" s="248"/>
      <c r="I381" s="56" t="s">
        <v>44</v>
      </c>
      <c r="J381" s="56" t="s">
        <v>75</v>
      </c>
      <c r="K381" s="56" t="s">
        <v>1442</v>
      </c>
      <c r="M381" s="337"/>
      <c r="O381" s="337"/>
      <c r="Q381" s="337"/>
      <c r="S381" s="337"/>
      <c r="T381" s="56">
        <v>10000000</v>
      </c>
      <c r="U381" s="56" t="s">
        <v>1957</v>
      </c>
      <c r="V381" s="56" t="s">
        <v>2032</v>
      </c>
      <c r="W381" s="56" t="s">
        <v>2033</v>
      </c>
    </row>
    <row r="382" spans="7:23" x14ac:dyDescent="0.3">
      <c r="G382" s="247"/>
      <c r="H382" s="248"/>
      <c r="I382" s="56" t="s">
        <v>44</v>
      </c>
      <c r="J382" s="56" t="s">
        <v>75</v>
      </c>
      <c r="K382" s="56" t="s">
        <v>1442</v>
      </c>
      <c r="M382" s="337"/>
      <c r="O382" s="337"/>
      <c r="Q382" s="337"/>
      <c r="S382" s="337"/>
      <c r="T382" s="56">
        <v>18908178.629999999</v>
      </c>
      <c r="U382" s="56" t="s">
        <v>2037</v>
      </c>
      <c r="V382" s="56" t="s">
        <v>2042</v>
      </c>
      <c r="W382" s="56" t="s">
        <v>2043</v>
      </c>
    </row>
    <row r="383" spans="7:23" x14ac:dyDescent="0.3">
      <c r="G383" s="247"/>
      <c r="H383" s="248"/>
      <c r="I383" s="56" t="s">
        <v>44</v>
      </c>
      <c r="J383" s="56" t="s">
        <v>75</v>
      </c>
      <c r="K383" s="56" t="s">
        <v>1442</v>
      </c>
      <c r="M383" s="337"/>
      <c r="O383" s="337"/>
      <c r="Q383" s="337"/>
      <c r="S383" s="337"/>
      <c r="T383" s="56">
        <v>1607739.89</v>
      </c>
      <c r="U383" s="56" t="s">
        <v>2136</v>
      </c>
      <c r="V383" s="56" t="s">
        <v>2154</v>
      </c>
      <c r="W383" s="56" t="s">
        <v>2155</v>
      </c>
    </row>
    <row r="384" spans="7:23" x14ac:dyDescent="0.3">
      <c r="G384" s="247"/>
      <c r="H384" s="248"/>
      <c r="I384" s="56" t="s">
        <v>44</v>
      </c>
      <c r="J384" s="56" t="s">
        <v>75</v>
      </c>
      <c r="K384" s="56" t="s">
        <v>1442</v>
      </c>
      <c r="M384" s="337"/>
      <c r="O384" s="337"/>
      <c r="Q384" s="337"/>
      <c r="S384" s="337"/>
      <c r="T384" s="56">
        <v>3091189.58</v>
      </c>
      <c r="U384" s="56" t="s">
        <v>2950</v>
      </c>
      <c r="V384" s="56" t="s">
        <v>2951</v>
      </c>
      <c r="W384" s="56" t="s">
        <v>2952</v>
      </c>
    </row>
    <row r="385" spans="7:23" x14ac:dyDescent="0.3">
      <c r="G385" s="247"/>
      <c r="H385" s="248"/>
      <c r="I385" s="56" t="s">
        <v>44</v>
      </c>
      <c r="J385" s="56" t="s">
        <v>75</v>
      </c>
      <c r="K385" s="56" t="s">
        <v>1442</v>
      </c>
      <c r="L385" s="56">
        <v>14226881.300000001</v>
      </c>
      <c r="M385" s="337">
        <v>0.71134406500000003</v>
      </c>
      <c r="O385" s="337"/>
      <c r="Q385" s="337"/>
      <c r="S385" s="337"/>
      <c r="T385" s="56">
        <v>14226881.300000001</v>
      </c>
      <c r="U385" s="56" t="s">
        <v>4944</v>
      </c>
      <c r="V385" s="56" t="s">
        <v>4947</v>
      </c>
      <c r="W385" s="56" t="s">
        <v>4948</v>
      </c>
    </row>
    <row r="386" spans="7:23" x14ac:dyDescent="0.3">
      <c r="G386" s="247"/>
      <c r="H386" s="248"/>
      <c r="I386" s="56" t="s">
        <v>44</v>
      </c>
      <c r="J386" s="56" t="s">
        <v>75</v>
      </c>
      <c r="K386" s="56" t="s">
        <v>1442</v>
      </c>
      <c r="M386" s="337"/>
      <c r="O386" s="337"/>
      <c r="Q386" s="337"/>
      <c r="S386" s="337"/>
      <c r="T386" s="56">
        <v>19145826.079999998</v>
      </c>
      <c r="U386" s="56" t="s">
        <v>2270</v>
      </c>
      <c r="V386" s="56" t="s">
        <v>2275</v>
      </c>
      <c r="W386" s="56" t="s">
        <v>2276</v>
      </c>
    </row>
    <row r="387" spans="7:23" x14ac:dyDescent="0.3">
      <c r="G387" s="247"/>
      <c r="H387" s="248"/>
      <c r="I387" s="56" t="s">
        <v>44</v>
      </c>
      <c r="J387" s="56" t="s">
        <v>75</v>
      </c>
      <c r="K387" s="56" t="s">
        <v>1442</v>
      </c>
      <c r="L387" s="56">
        <v>21114844.629999999</v>
      </c>
      <c r="M387" s="337">
        <v>0.8121094088461539</v>
      </c>
      <c r="O387" s="337"/>
      <c r="Q387" s="337"/>
      <c r="S387" s="337"/>
      <c r="T387" s="56">
        <v>21114844.629999999</v>
      </c>
      <c r="U387" s="56" t="s">
        <v>2312</v>
      </c>
      <c r="V387" s="56" t="s">
        <v>2321</v>
      </c>
      <c r="W387" s="56" t="s">
        <v>2322</v>
      </c>
    </row>
    <row r="388" spans="7:23" x14ac:dyDescent="0.3">
      <c r="G388" s="247"/>
      <c r="H388" s="248"/>
      <c r="I388" s="56" t="s">
        <v>44</v>
      </c>
      <c r="J388" s="56" t="s">
        <v>75</v>
      </c>
      <c r="K388" s="56" t="s">
        <v>1442</v>
      </c>
      <c r="L388" s="56">
        <v>3867732.21</v>
      </c>
      <c r="M388" s="337">
        <v>0.386773221</v>
      </c>
      <c r="O388" s="337"/>
      <c r="Q388" s="337"/>
      <c r="S388" s="337"/>
      <c r="T388" s="56">
        <v>3867732.21</v>
      </c>
      <c r="U388" s="56" t="s">
        <v>2327</v>
      </c>
      <c r="V388" s="56" t="s">
        <v>2335</v>
      </c>
      <c r="W388" s="56" t="s">
        <v>2336</v>
      </c>
    </row>
    <row r="389" spans="7:23" x14ac:dyDescent="0.3">
      <c r="G389" s="247"/>
      <c r="H389" s="248"/>
      <c r="I389" s="56" t="s">
        <v>44</v>
      </c>
      <c r="J389" s="56" t="s">
        <v>75</v>
      </c>
      <c r="K389" s="56" t="s">
        <v>1442</v>
      </c>
      <c r="M389" s="337"/>
      <c r="O389" s="337"/>
      <c r="Q389" s="337"/>
      <c r="S389" s="337"/>
      <c r="T389" s="56">
        <v>3341744.36</v>
      </c>
      <c r="U389" s="56" t="s">
        <v>2493</v>
      </c>
      <c r="V389" s="56" t="s">
        <v>2496</v>
      </c>
      <c r="W389" s="56" t="s">
        <v>2497</v>
      </c>
    </row>
    <row r="390" spans="7:23" x14ac:dyDescent="0.3">
      <c r="G390" s="247"/>
      <c r="H390" s="248"/>
      <c r="I390" s="56" t="s">
        <v>44</v>
      </c>
      <c r="J390" s="56" t="s">
        <v>75</v>
      </c>
      <c r="K390" s="56" t="s">
        <v>1442</v>
      </c>
      <c r="L390" s="56">
        <v>33610502.960000001</v>
      </c>
      <c r="M390" s="337">
        <v>0.84026257400000004</v>
      </c>
      <c r="O390" s="337"/>
      <c r="Q390" s="337"/>
      <c r="S390" s="337"/>
      <c r="T390" s="56">
        <v>33610502.960000001</v>
      </c>
      <c r="U390" s="56" t="s">
        <v>2495</v>
      </c>
      <c r="V390" s="56" t="s">
        <v>2501</v>
      </c>
      <c r="W390" s="56" t="s">
        <v>2502</v>
      </c>
    </row>
    <row r="391" spans="7:23" x14ac:dyDescent="0.3">
      <c r="G391" s="247"/>
      <c r="H391" s="248"/>
      <c r="I391" s="56" t="s">
        <v>44</v>
      </c>
      <c r="J391" s="56" t="s">
        <v>75</v>
      </c>
      <c r="K391" s="56" t="s">
        <v>1442</v>
      </c>
      <c r="M391" s="337"/>
      <c r="O391" s="337"/>
      <c r="Q391" s="337"/>
      <c r="S391" s="337"/>
      <c r="T391" s="56">
        <v>1598829.92</v>
      </c>
      <c r="U391" s="56" t="s">
        <v>3179</v>
      </c>
      <c r="V391" s="56" t="s">
        <v>3183</v>
      </c>
      <c r="W391" s="56" t="s">
        <v>3184</v>
      </c>
    </row>
    <row r="392" spans="7:23" x14ac:dyDescent="0.3">
      <c r="G392" s="247"/>
      <c r="H392" s="248"/>
      <c r="I392" s="56" t="s">
        <v>44</v>
      </c>
      <c r="J392" s="56" t="s">
        <v>75</v>
      </c>
      <c r="K392" s="56" t="s">
        <v>1442</v>
      </c>
      <c r="M392" s="337"/>
      <c r="O392" s="337"/>
      <c r="Q392" s="337"/>
      <c r="S392" s="337"/>
      <c r="T392" s="56">
        <v>7923403.3499999996</v>
      </c>
      <c r="U392" s="56" t="s">
        <v>2575</v>
      </c>
      <c r="V392" s="56" t="s">
        <v>2579</v>
      </c>
      <c r="W392" s="56" t="s">
        <v>2580</v>
      </c>
    </row>
    <row r="393" spans="7:23" x14ac:dyDescent="0.3">
      <c r="G393" s="247"/>
      <c r="H393" s="248"/>
      <c r="I393" s="56" t="s">
        <v>44</v>
      </c>
      <c r="J393" s="56" t="s">
        <v>75</v>
      </c>
      <c r="K393" s="56" t="s">
        <v>1442</v>
      </c>
      <c r="M393" s="337"/>
      <c r="O393" s="337"/>
      <c r="Q393" s="337"/>
      <c r="S393" s="337"/>
      <c r="T393" s="56">
        <v>51943901.670000002</v>
      </c>
      <c r="U393" s="56" t="s">
        <v>2635</v>
      </c>
      <c r="V393" s="56" t="s">
        <v>2643</v>
      </c>
      <c r="W393" s="56" t="s">
        <v>2644</v>
      </c>
    </row>
    <row r="394" spans="7:23" x14ac:dyDescent="0.3">
      <c r="G394" s="247"/>
      <c r="H394" s="248"/>
      <c r="I394" s="56" t="s">
        <v>44</v>
      </c>
      <c r="J394" s="56" t="s">
        <v>75</v>
      </c>
      <c r="K394" s="56" t="s">
        <v>1442</v>
      </c>
      <c r="M394" s="337"/>
      <c r="O394" s="337"/>
      <c r="Q394" s="337"/>
      <c r="S394" s="337"/>
      <c r="T394" s="56">
        <v>14093038.710000001</v>
      </c>
      <c r="U394" s="56" t="s">
        <v>2894</v>
      </c>
      <c r="V394" s="56" t="s">
        <v>2896</v>
      </c>
      <c r="W394" s="56" t="s">
        <v>2897</v>
      </c>
    </row>
    <row r="395" spans="7:23" x14ac:dyDescent="0.3">
      <c r="G395" s="247"/>
      <c r="H395" s="248"/>
      <c r="I395" s="56" t="s">
        <v>44</v>
      </c>
      <c r="J395" s="56" t="s">
        <v>75</v>
      </c>
      <c r="K395" s="56" t="s">
        <v>1442</v>
      </c>
      <c r="M395" s="337"/>
      <c r="O395" s="337"/>
      <c r="Q395" s="337"/>
      <c r="S395" s="337"/>
      <c r="T395" s="56">
        <v>8281301.7999999998</v>
      </c>
      <c r="U395" s="56" t="s">
        <v>3944</v>
      </c>
      <c r="V395" s="56" t="s">
        <v>3953</v>
      </c>
      <c r="W395" s="56" t="s">
        <v>3954</v>
      </c>
    </row>
    <row r="396" spans="7:23" x14ac:dyDescent="0.3">
      <c r="G396" s="247"/>
      <c r="H396" s="248"/>
      <c r="I396" s="56" t="s">
        <v>44</v>
      </c>
      <c r="J396" s="56" t="s">
        <v>75</v>
      </c>
      <c r="K396" s="56" t="s">
        <v>1442</v>
      </c>
      <c r="M396" s="337"/>
      <c r="O396" s="337"/>
      <c r="Q396" s="337"/>
      <c r="S396" s="337"/>
      <c r="T396" s="56">
        <v>4493829.1500000004</v>
      </c>
      <c r="U396" s="56" t="s">
        <v>2810</v>
      </c>
      <c r="V396" s="56" t="s">
        <v>2823</v>
      </c>
      <c r="W396" s="56" t="s">
        <v>2824</v>
      </c>
    </row>
    <row r="397" spans="7:23" x14ac:dyDescent="0.3">
      <c r="G397" s="247"/>
      <c r="H397" s="248"/>
      <c r="I397" s="56" t="s">
        <v>44</v>
      </c>
      <c r="J397" s="56" t="s">
        <v>75</v>
      </c>
      <c r="K397" s="56" t="s">
        <v>1442</v>
      </c>
      <c r="L397" s="56">
        <v>11431392.869999999</v>
      </c>
      <c r="M397" s="337">
        <v>0.55762892048780488</v>
      </c>
      <c r="O397" s="337"/>
      <c r="Q397" s="337"/>
      <c r="S397" s="337"/>
      <c r="T397" s="56">
        <v>11431392.869999999</v>
      </c>
      <c r="U397" s="56" t="s">
        <v>2811</v>
      </c>
      <c r="V397" s="56" t="s">
        <v>2818</v>
      </c>
      <c r="W397" s="56" t="s">
        <v>2819</v>
      </c>
    </row>
    <row r="398" spans="7:23" x14ac:dyDescent="0.3">
      <c r="G398" s="247"/>
      <c r="H398" s="248"/>
      <c r="I398" s="56" t="s">
        <v>44</v>
      </c>
      <c r="J398" s="56" t="s">
        <v>75</v>
      </c>
      <c r="K398" s="56" t="s">
        <v>1442</v>
      </c>
      <c r="M398" s="337"/>
      <c r="O398" s="337"/>
      <c r="Q398" s="337"/>
      <c r="S398" s="337"/>
      <c r="T398" s="56">
        <v>14834777.609999999</v>
      </c>
      <c r="U398" s="56" t="s">
        <v>2964</v>
      </c>
      <c r="V398" s="56" t="s">
        <v>2965</v>
      </c>
      <c r="W398" s="56" t="s">
        <v>2966</v>
      </c>
    </row>
    <row r="399" spans="7:23" x14ac:dyDescent="0.3">
      <c r="G399" s="247"/>
      <c r="H399" s="248"/>
      <c r="I399" s="56" t="s">
        <v>44</v>
      </c>
      <c r="J399" s="56" t="s">
        <v>75</v>
      </c>
      <c r="K399" s="56" t="s">
        <v>1442</v>
      </c>
      <c r="M399" s="337"/>
      <c r="O399" s="337"/>
      <c r="Q399" s="337"/>
      <c r="S399" s="337"/>
      <c r="T399" s="56">
        <v>8146093.7300000004</v>
      </c>
      <c r="U399" s="56" t="s">
        <v>2980</v>
      </c>
      <c r="V399" s="56" t="s">
        <v>2981</v>
      </c>
      <c r="W399" s="56" t="s">
        <v>2982</v>
      </c>
    </row>
    <row r="400" spans="7:23" x14ac:dyDescent="0.3">
      <c r="G400" s="247"/>
      <c r="H400" s="248"/>
      <c r="I400" s="56" t="s">
        <v>44</v>
      </c>
      <c r="J400" s="56" t="s">
        <v>75</v>
      </c>
      <c r="K400" s="56" t="s">
        <v>1442</v>
      </c>
      <c r="M400" s="337"/>
      <c r="O400" s="337"/>
      <c r="Q400" s="337"/>
      <c r="S400" s="337"/>
      <c r="T400" s="56">
        <v>12197051.609999999</v>
      </c>
      <c r="U400" s="56" t="s">
        <v>3270</v>
      </c>
      <c r="V400" s="56" t="s">
        <v>3278</v>
      </c>
      <c r="W400" s="56" t="s">
        <v>3279</v>
      </c>
    </row>
    <row r="401" spans="7:23" x14ac:dyDescent="0.3">
      <c r="G401" s="247"/>
      <c r="H401" s="248"/>
      <c r="I401" s="56" t="s">
        <v>44</v>
      </c>
      <c r="J401" s="56" t="s">
        <v>75</v>
      </c>
      <c r="K401" s="56" t="s">
        <v>1442</v>
      </c>
      <c r="M401" s="337"/>
      <c r="O401" s="337"/>
      <c r="Q401" s="337"/>
      <c r="S401" s="337"/>
      <c r="T401" s="56">
        <v>35279429.539999999</v>
      </c>
      <c r="U401" s="56" t="s">
        <v>3203</v>
      </c>
      <c r="V401" s="56" t="s">
        <v>3210</v>
      </c>
      <c r="W401" s="56" t="s">
        <v>3211</v>
      </c>
    </row>
    <row r="402" spans="7:23" x14ac:dyDescent="0.3">
      <c r="G402" s="247"/>
      <c r="H402" s="248"/>
      <c r="I402" s="56" t="s">
        <v>44</v>
      </c>
      <c r="J402" s="56" t="s">
        <v>75</v>
      </c>
      <c r="K402" s="56" t="s">
        <v>1442</v>
      </c>
      <c r="L402" s="56">
        <v>7195896.4100000001</v>
      </c>
      <c r="M402" s="337">
        <v>0.719589641</v>
      </c>
      <c r="O402" s="337"/>
      <c r="Q402" s="337"/>
      <c r="S402" s="337"/>
      <c r="T402" s="56">
        <v>7195896.4100000001</v>
      </c>
      <c r="U402" s="56" t="s">
        <v>3311</v>
      </c>
      <c r="V402" s="56" t="s">
        <v>3315</v>
      </c>
      <c r="W402" s="56" t="s">
        <v>3316</v>
      </c>
    </row>
    <row r="403" spans="7:23" x14ac:dyDescent="0.3">
      <c r="G403" s="247"/>
      <c r="H403" s="248"/>
      <c r="I403" s="56" t="s">
        <v>44</v>
      </c>
      <c r="J403" s="56" t="s">
        <v>75</v>
      </c>
      <c r="K403" s="56" t="s">
        <v>1442</v>
      </c>
      <c r="L403" s="56">
        <v>1689849.42</v>
      </c>
      <c r="M403" s="337">
        <v>0.48281412000000007</v>
      </c>
      <c r="N403" s="56">
        <v>1689849.42</v>
      </c>
      <c r="O403" s="337">
        <v>0.48281412000000007</v>
      </c>
      <c r="P403" s="56">
        <v>1689849.42</v>
      </c>
      <c r="Q403" s="337">
        <v>0.48281412000000007</v>
      </c>
      <c r="S403" s="337"/>
      <c r="T403" s="56">
        <v>1689849.42</v>
      </c>
      <c r="U403" s="56" t="s">
        <v>3271</v>
      </c>
      <c r="V403" s="56" t="s">
        <v>3283</v>
      </c>
      <c r="W403" s="56" t="s">
        <v>3284</v>
      </c>
    </row>
    <row r="404" spans="7:23" x14ac:dyDescent="0.3">
      <c r="G404" s="247"/>
      <c r="H404" s="248"/>
      <c r="I404" s="56" t="s">
        <v>44</v>
      </c>
      <c r="J404" s="56" t="s">
        <v>75</v>
      </c>
      <c r="K404" s="56" t="s">
        <v>1442</v>
      </c>
      <c r="M404" s="337"/>
      <c r="O404" s="337"/>
      <c r="Q404" s="337"/>
      <c r="S404" s="337"/>
      <c r="T404" s="56">
        <v>5696369.46</v>
      </c>
      <c r="U404" s="56" t="s">
        <v>3348</v>
      </c>
      <c r="V404" s="56" t="s">
        <v>3358</v>
      </c>
      <c r="W404" s="56" t="s">
        <v>3359</v>
      </c>
    </row>
    <row r="405" spans="7:23" x14ac:dyDescent="0.3">
      <c r="G405" s="247"/>
      <c r="H405" s="248"/>
      <c r="I405" s="56" t="s">
        <v>44</v>
      </c>
      <c r="J405" s="56" t="s">
        <v>75</v>
      </c>
      <c r="K405" s="56" t="s">
        <v>1442</v>
      </c>
      <c r="M405" s="337"/>
      <c r="O405" s="337"/>
      <c r="Q405" s="337"/>
      <c r="S405" s="337"/>
      <c r="T405" s="56">
        <v>524718.64</v>
      </c>
      <c r="U405" s="56" t="s">
        <v>3728</v>
      </c>
      <c r="V405" s="56" t="s">
        <v>3735</v>
      </c>
      <c r="W405" s="56" t="s">
        <v>3736</v>
      </c>
    </row>
    <row r="406" spans="7:23" x14ac:dyDescent="0.3">
      <c r="G406" s="247"/>
      <c r="H406" s="248"/>
      <c r="I406" s="56" t="s">
        <v>44</v>
      </c>
      <c r="J406" s="56" t="s">
        <v>75</v>
      </c>
      <c r="K406" s="56" t="s">
        <v>1442</v>
      </c>
      <c r="L406" s="56">
        <v>6432897.4900000002</v>
      </c>
      <c r="M406" s="337">
        <v>0.80411218624999992</v>
      </c>
      <c r="N406" s="56">
        <v>6432897.4900000002</v>
      </c>
      <c r="O406" s="337">
        <v>0.80411218624999992</v>
      </c>
      <c r="P406" s="56">
        <v>6432897.4900000002</v>
      </c>
      <c r="Q406" s="337">
        <v>0.80411218624999992</v>
      </c>
      <c r="S406" s="337"/>
      <c r="T406" s="56">
        <v>6432897.4900000002</v>
      </c>
      <c r="U406" s="56" t="s">
        <v>3349</v>
      </c>
      <c r="V406" s="56" t="s">
        <v>3355</v>
      </c>
      <c r="W406" s="56" t="s">
        <v>3356</v>
      </c>
    </row>
    <row r="407" spans="7:23" x14ac:dyDescent="0.3">
      <c r="G407" s="247"/>
      <c r="H407" s="248"/>
      <c r="I407" s="56" t="s">
        <v>44</v>
      </c>
      <c r="J407" s="56" t="s">
        <v>75</v>
      </c>
      <c r="K407" s="56" t="s">
        <v>1442</v>
      </c>
      <c r="M407" s="337"/>
      <c r="O407" s="337"/>
      <c r="Q407" s="337"/>
      <c r="S407" s="337"/>
      <c r="T407" s="56">
        <v>20000000</v>
      </c>
      <c r="U407" s="56" t="s">
        <v>3330</v>
      </c>
      <c r="V407" s="56" t="s">
        <v>3343</v>
      </c>
      <c r="W407" s="56" t="s">
        <v>3344</v>
      </c>
    </row>
    <row r="408" spans="7:23" x14ac:dyDescent="0.3">
      <c r="G408" s="247"/>
      <c r="H408" s="248"/>
      <c r="I408" s="56" t="s">
        <v>44</v>
      </c>
      <c r="J408" s="56" t="s">
        <v>75</v>
      </c>
      <c r="K408" s="56" t="s">
        <v>1442</v>
      </c>
      <c r="M408" s="337"/>
      <c r="O408" s="337"/>
      <c r="Q408" s="337"/>
      <c r="S408" s="337"/>
      <c r="T408" s="56">
        <v>2558127.87</v>
      </c>
      <c r="U408" s="56" t="s">
        <v>3350</v>
      </c>
      <c r="V408" s="56" t="s">
        <v>3366</v>
      </c>
      <c r="W408" s="56" t="s">
        <v>3367</v>
      </c>
    </row>
    <row r="409" spans="7:23" x14ac:dyDescent="0.3">
      <c r="G409" s="247"/>
      <c r="H409" s="248"/>
      <c r="I409" s="56" t="s">
        <v>44</v>
      </c>
      <c r="J409" s="56" t="s">
        <v>75</v>
      </c>
      <c r="K409" s="56" t="s">
        <v>1442</v>
      </c>
      <c r="M409" s="337"/>
      <c r="O409" s="337"/>
      <c r="Q409" s="337"/>
      <c r="S409" s="337"/>
      <c r="T409" s="56">
        <v>19331343.32</v>
      </c>
      <c r="U409" s="56" t="s">
        <v>3401</v>
      </c>
      <c r="V409" s="56" t="s">
        <v>3417</v>
      </c>
      <c r="W409" s="56" t="s">
        <v>3418</v>
      </c>
    </row>
    <row r="410" spans="7:23" x14ac:dyDescent="0.3">
      <c r="G410" s="247"/>
      <c r="H410" s="248"/>
      <c r="I410" s="56" t="s">
        <v>44</v>
      </c>
      <c r="J410" s="56" t="s">
        <v>75</v>
      </c>
      <c r="K410" s="56" t="s">
        <v>1442</v>
      </c>
      <c r="L410" s="56">
        <v>3231150.28</v>
      </c>
      <c r="M410" s="337">
        <v>0.64623005600000005</v>
      </c>
      <c r="N410" s="56">
        <v>3231150.28</v>
      </c>
      <c r="O410" s="337">
        <v>0.64623005600000005</v>
      </c>
      <c r="P410" s="56">
        <v>3231150.28</v>
      </c>
      <c r="Q410" s="337">
        <v>0.64623005600000005</v>
      </c>
      <c r="R410" s="56">
        <v>3231150.28</v>
      </c>
      <c r="S410" s="337">
        <v>0.64623005600000005</v>
      </c>
      <c r="T410" s="56">
        <v>3231150.28</v>
      </c>
      <c r="U410" s="56" t="s">
        <v>3451</v>
      </c>
      <c r="V410" s="56" t="s">
        <v>3453</v>
      </c>
      <c r="W410" s="56" t="s">
        <v>3454</v>
      </c>
    </row>
    <row r="411" spans="7:23" x14ac:dyDescent="0.3">
      <c r="G411" s="247"/>
      <c r="H411" s="248"/>
      <c r="I411" s="56" t="s">
        <v>44</v>
      </c>
      <c r="J411" s="56" t="s">
        <v>75</v>
      </c>
      <c r="K411" s="56" t="s">
        <v>1442</v>
      </c>
      <c r="M411" s="337"/>
      <c r="O411" s="337"/>
      <c r="Q411" s="337"/>
      <c r="S411" s="337"/>
      <c r="T411" s="56">
        <v>35827178.759999998</v>
      </c>
      <c r="U411" s="56" t="s">
        <v>3428</v>
      </c>
      <c r="V411" s="56" t="s">
        <v>3438</v>
      </c>
      <c r="W411" s="56" t="s">
        <v>3439</v>
      </c>
    </row>
    <row r="412" spans="7:23" x14ac:dyDescent="0.3">
      <c r="G412" s="247"/>
      <c r="H412" s="248"/>
      <c r="I412" s="56" t="s">
        <v>44</v>
      </c>
      <c r="J412" s="56" t="s">
        <v>75</v>
      </c>
      <c r="K412" s="56" t="s">
        <v>1442</v>
      </c>
      <c r="M412" s="337"/>
      <c r="O412" s="337"/>
      <c r="Q412" s="337"/>
      <c r="S412" s="337"/>
      <c r="T412" s="56">
        <v>1698476.19</v>
      </c>
      <c r="U412" s="56" t="s">
        <v>3466</v>
      </c>
      <c r="V412" s="56" t="s">
        <v>3474</v>
      </c>
      <c r="W412" s="56" t="s">
        <v>3475</v>
      </c>
    </row>
    <row r="413" spans="7:23" x14ac:dyDescent="0.3">
      <c r="G413" s="247"/>
      <c r="H413" s="248"/>
      <c r="I413" s="56" t="s">
        <v>44</v>
      </c>
      <c r="J413" s="56" t="s">
        <v>75</v>
      </c>
      <c r="K413" s="56" t="s">
        <v>1442</v>
      </c>
      <c r="L413" s="56">
        <v>3254340.35</v>
      </c>
      <c r="M413" s="337">
        <v>0.65086807000000002</v>
      </c>
      <c r="N413" s="56">
        <v>3254340.35</v>
      </c>
      <c r="O413" s="337">
        <v>0.65086807000000002</v>
      </c>
      <c r="P413" s="56">
        <v>3254340.35</v>
      </c>
      <c r="Q413" s="337">
        <v>0.65086807000000002</v>
      </c>
      <c r="S413" s="337"/>
      <c r="T413" s="56">
        <v>3254340.35</v>
      </c>
      <c r="U413" s="56" t="s">
        <v>3502</v>
      </c>
      <c r="V413" s="56" t="s">
        <v>3507</v>
      </c>
      <c r="W413" s="56" t="s">
        <v>3508</v>
      </c>
    </row>
    <row r="414" spans="7:23" x14ac:dyDescent="0.3">
      <c r="G414" s="247"/>
      <c r="H414" s="248"/>
      <c r="I414" s="56" t="s">
        <v>44</v>
      </c>
      <c r="J414" s="56" t="s">
        <v>75</v>
      </c>
      <c r="K414" s="56" t="s">
        <v>1442</v>
      </c>
      <c r="L414" s="56">
        <v>17056856.73</v>
      </c>
      <c r="M414" s="337">
        <v>0.68227426920000001</v>
      </c>
      <c r="O414" s="337"/>
      <c r="Q414" s="337"/>
      <c r="S414" s="337"/>
      <c r="T414" s="56">
        <v>17056856.73</v>
      </c>
      <c r="U414" s="56" t="s">
        <v>3489</v>
      </c>
      <c r="V414" s="56" t="s">
        <v>3499</v>
      </c>
      <c r="W414" s="56" t="s">
        <v>3500</v>
      </c>
    </row>
    <row r="415" spans="7:23" x14ac:dyDescent="0.3">
      <c r="G415" s="247"/>
      <c r="H415" s="248"/>
      <c r="I415" s="56" t="s">
        <v>44</v>
      </c>
      <c r="J415" s="56" t="s">
        <v>75</v>
      </c>
      <c r="K415" s="56" t="s">
        <v>1442</v>
      </c>
      <c r="L415" s="56">
        <v>10720268.91</v>
      </c>
      <c r="M415" s="337">
        <v>0.71468459399999995</v>
      </c>
      <c r="N415" s="56">
        <v>10720268.91</v>
      </c>
      <c r="O415" s="337">
        <v>0.71468459399999995</v>
      </c>
      <c r="Q415" s="337"/>
      <c r="S415" s="337"/>
      <c r="T415" s="56">
        <v>10720268.91</v>
      </c>
      <c r="U415" s="56" t="s">
        <v>3556</v>
      </c>
      <c r="V415" s="56" t="s">
        <v>3599</v>
      </c>
      <c r="W415" s="56" t="s">
        <v>3600</v>
      </c>
    </row>
    <row r="416" spans="7:23" x14ac:dyDescent="0.3">
      <c r="G416" s="247"/>
      <c r="H416" s="248"/>
      <c r="I416" s="56" t="s">
        <v>44</v>
      </c>
      <c r="J416" s="56" t="s">
        <v>75</v>
      </c>
      <c r="K416" s="56" t="s">
        <v>1442</v>
      </c>
      <c r="L416" s="56">
        <v>54107832.090000004</v>
      </c>
      <c r="M416" s="337">
        <v>0.83242818600000001</v>
      </c>
      <c r="O416" s="337"/>
      <c r="Q416" s="337"/>
      <c r="S416" s="337"/>
      <c r="T416" s="56">
        <v>54107832.090000004</v>
      </c>
      <c r="U416" s="56" t="s">
        <v>3555</v>
      </c>
      <c r="V416" s="56" t="s">
        <v>3604</v>
      </c>
      <c r="W416" s="56" t="s">
        <v>3605</v>
      </c>
    </row>
    <row r="417" spans="7:23" x14ac:dyDescent="0.3">
      <c r="G417" s="247"/>
      <c r="H417" s="248"/>
      <c r="I417" s="56" t="s">
        <v>44</v>
      </c>
      <c r="J417" s="56" t="s">
        <v>75</v>
      </c>
      <c r="K417" s="56" t="s">
        <v>1442</v>
      </c>
      <c r="L417" s="56">
        <v>13005524.529999999</v>
      </c>
      <c r="M417" s="337">
        <v>0.86703496866666663</v>
      </c>
      <c r="N417" s="56">
        <v>13005524.529999999</v>
      </c>
      <c r="O417" s="337">
        <v>0.86703496866666663</v>
      </c>
      <c r="Q417" s="337"/>
      <c r="S417" s="337"/>
      <c r="T417" s="56">
        <v>13005524.529999999</v>
      </c>
      <c r="U417" s="56" t="s">
        <v>3842</v>
      </c>
      <c r="V417" s="56" t="s">
        <v>3843</v>
      </c>
      <c r="W417" s="56" t="s">
        <v>3844</v>
      </c>
    </row>
    <row r="418" spans="7:23" x14ac:dyDescent="0.3">
      <c r="G418" s="247"/>
      <c r="H418" s="248"/>
      <c r="I418" s="56" t="s">
        <v>44</v>
      </c>
      <c r="J418" s="56" t="s">
        <v>75</v>
      </c>
      <c r="K418" s="56" t="s">
        <v>1442</v>
      </c>
      <c r="M418" s="337"/>
      <c r="O418" s="337"/>
      <c r="Q418" s="337"/>
      <c r="S418" s="337"/>
      <c r="T418" s="56">
        <v>419774.94</v>
      </c>
      <c r="U418" s="56" t="s">
        <v>3633</v>
      </c>
      <c r="V418" s="56" t="s">
        <v>3637</v>
      </c>
      <c r="W418" s="56" t="s">
        <v>3638</v>
      </c>
    </row>
    <row r="419" spans="7:23" x14ac:dyDescent="0.3">
      <c r="G419" s="247"/>
      <c r="H419" s="248"/>
      <c r="I419" s="56" t="s">
        <v>44</v>
      </c>
      <c r="J419" s="56" t="s">
        <v>75</v>
      </c>
      <c r="K419" s="56" t="s">
        <v>1442</v>
      </c>
      <c r="M419" s="337"/>
      <c r="O419" s="337"/>
      <c r="Q419" s="337"/>
      <c r="S419" s="337"/>
      <c r="T419" s="56">
        <v>41409657.829999998</v>
      </c>
      <c r="U419" s="56" t="s">
        <v>3696</v>
      </c>
      <c r="V419" s="56" t="s">
        <v>3699</v>
      </c>
      <c r="W419" s="56" t="s">
        <v>3700</v>
      </c>
    </row>
    <row r="420" spans="7:23" x14ac:dyDescent="0.3">
      <c r="G420" s="247"/>
      <c r="H420" s="248"/>
      <c r="I420" s="56" t="s">
        <v>44</v>
      </c>
      <c r="J420" s="56" t="s">
        <v>75</v>
      </c>
      <c r="K420" s="56" t="s">
        <v>1442</v>
      </c>
      <c r="L420" s="56">
        <v>1180290.77</v>
      </c>
      <c r="M420" s="337">
        <v>0.39343025666666664</v>
      </c>
      <c r="O420" s="337"/>
      <c r="Q420" s="337"/>
      <c r="S420" s="337"/>
      <c r="T420" s="56">
        <v>1180290.77</v>
      </c>
      <c r="U420" s="56" t="s">
        <v>4175</v>
      </c>
      <c r="V420" s="56" t="s">
        <v>4179</v>
      </c>
      <c r="W420" s="56" t="s">
        <v>4180</v>
      </c>
    </row>
    <row r="421" spans="7:23" x14ac:dyDescent="0.3">
      <c r="G421" s="247"/>
      <c r="H421" s="248"/>
      <c r="I421" s="56" t="s">
        <v>44</v>
      </c>
      <c r="J421" s="56" t="s">
        <v>75</v>
      </c>
      <c r="K421" s="56" t="s">
        <v>1442</v>
      </c>
      <c r="M421" s="337"/>
      <c r="O421" s="337"/>
      <c r="Q421" s="337"/>
      <c r="S421" s="337"/>
      <c r="T421" s="56">
        <v>3699994.94</v>
      </c>
      <c r="U421" s="56" t="s">
        <v>3990</v>
      </c>
      <c r="V421" s="56" t="s">
        <v>3997</v>
      </c>
      <c r="W421" s="56" t="s">
        <v>3998</v>
      </c>
    </row>
    <row r="422" spans="7:23" x14ac:dyDescent="0.3">
      <c r="G422" s="247"/>
      <c r="H422" s="248"/>
      <c r="I422" s="56" t="s">
        <v>44</v>
      </c>
      <c r="J422" s="56" t="s">
        <v>75</v>
      </c>
      <c r="K422" s="56" t="s">
        <v>1442</v>
      </c>
      <c r="L422" s="56">
        <v>7957020.1600000001</v>
      </c>
      <c r="M422" s="337">
        <v>0.53046801066666671</v>
      </c>
      <c r="O422" s="337"/>
      <c r="Q422" s="337"/>
      <c r="S422" s="337"/>
      <c r="T422" s="56">
        <v>7957020.1600000001</v>
      </c>
      <c r="U422" s="56" t="s">
        <v>4256</v>
      </c>
      <c r="V422" s="56" t="s">
        <v>4260</v>
      </c>
      <c r="W422" s="56" t="s">
        <v>4261</v>
      </c>
    </row>
    <row r="423" spans="7:23" x14ac:dyDescent="0.3">
      <c r="G423" s="247"/>
      <c r="H423" s="248"/>
      <c r="I423" s="56" t="s">
        <v>44</v>
      </c>
      <c r="J423" s="56" t="s">
        <v>75</v>
      </c>
      <c r="K423" s="56" t="s">
        <v>1442</v>
      </c>
      <c r="L423" s="56">
        <v>23532031.129999999</v>
      </c>
      <c r="M423" s="337">
        <v>0.78440103766666669</v>
      </c>
      <c r="N423" s="56">
        <v>23532031.129999999</v>
      </c>
      <c r="O423" s="337">
        <v>0.78440103766666669</v>
      </c>
      <c r="Q423" s="337"/>
      <c r="S423" s="337"/>
      <c r="T423" s="56">
        <v>23532031.129999999</v>
      </c>
      <c r="U423" s="56" t="s">
        <v>4125</v>
      </c>
      <c r="V423" s="56" t="s">
        <v>4155</v>
      </c>
      <c r="W423" s="56" t="s">
        <v>4156</v>
      </c>
    </row>
    <row r="424" spans="7:23" x14ac:dyDescent="0.3">
      <c r="G424" s="247"/>
      <c r="H424" s="248"/>
      <c r="I424" s="56" t="s">
        <v>44</v>
      </c>
      <c r="J424" s="56" t="s">
        <v>75</v>
      </c>
      <c r="K424" s="56" t="s">
        <v>1442</v>
      </c>
      <c r="L424" s="56">
        <v>1967151.37</v>
      </c>
      <c r="M424" s="337">
        <v>0.39343027400000002</v>
      </c>
      <c r="O424" s="337"/>
      <c r="Q424" s="337"/>
      <c r="S424" s="337"/>
      <c r="T424" s="56">
        <v>1967151.37</v>
      </c>
      <c r="U424" s="56" t="s">
        <v>4124</v>
      </c>
      <c r="V424" s="56" t="s">
        <v>4152</v>
      </c>
      <c r="W424" s="56" t="s">
        <v>4153</v>
      </c>
    </row>
    <row r="425" spans="7:23" x14ac:dyDescent="0.3">
      <c r="G425" s="247"/>
      <c r="H425" s="248"/>
      <c r="I425" s="56" t="s">
        <v>44</v>
      </c>
      <c r="J425" s="56" t="s">
        <v>75</v>
      </c>
      <c r="K425" s="56" t="s">
        <v>1442</v>
      </c>
      <c r="L425" s="56">
        <v>3967809.01</v>
      </c>
      <c r="M425" s="337">
        <v>0.39678090100000002</v>
      </c>
      <c r="O425" s="337"/>
      <c r="Q425" s="337"/>
      <c r="S425" s="337"/>
      <c r="T425" s="56">
        <v>3967809.01</v>
      </c>
      <c r="U425" s="56" t="s">
        <v>4199</v>
      </c>
      <c r="V425" s="56" t="s">
        <v>4203</v>
      </c>
      <c r="W425" s="56" t="s">
        <v>4204</v>
      </c>
    </row>
    <row r="426" spans="7:23" x14ac:dyDescent="0.3">
      <c r="G426" s="247"/>
      <c r="H426" s="248"/>
      <c r="I426" s="56" t="s">
        <v>44</v>
      </c>
      <c r="J426" s="56" t="s">
        <v>75</v>
      </c>
      <c r="K426" s="56" t="s">
        <v>1442</v>
      </c>
      <c r="M426" s="337"/>
      <c r="O426" s="337"/>
      <c r="Q426" s="337"/>
      <c r="S426" s="337"/>
      <c r="T426" s="56">
        <v>992046.62</v>
      </c>
      <c r="U426" s="56" t="s">
        <v>4191</v>
      </c>
      <c r="V426" s="56" t="s">
        <v>4195</v>
      </c>
      <c r="W426" s="56" t="s">
        <v>4196</v>
      </c>
    </row>
    <row r="427" spans="7:23" x14ac:dyDescent="0.3">
      <c r="G427" s="247"/>
      <c r="H427" s="248"/>
      <c r="I427" s="56" t="s">
        <v>44</v>
      </c>
      <c r="J427" s="56" t="s">
        <v>75</v>
      </c>
      <c r="K427" s="56" t="s">
        <v>1442</v>
      </c>
      <c r="L427" s="56">
        <v>15824651.460000001</v>
      </c>
      <c r="M427" s="337">
        <v>0.93086185058823523</v>
      </c>
      <c r="O427" s="337"/>
      <c r="Q427" s="337"/>
      <c r="S427" s="337"/>
      <c r="T427" s="56">
        <v>15824651.460000001</v>
      </c>
      <c r="U427" s="56" t="s">
        <v>5475</v>
      </c>
      <c r="V427" s="56" t="s">
        <v>5481</v>
      </c>
      <c r="W427" s="56" t="s">
        <v>5482</v>
      </c>
    </row>
    <row r="428" spans="7:23" x14ac:dyDescent="0.3">
      <c r="G428" s="247"/>
      <c r="H428" s="248"/>
      <c r="I428" s="56" t="s">
        <v>44</v>
      </c>
      <c r="J428" s="56" t="s">
        <v>75</v>
      </c>
      <c r="K428" s="56" t="s">
        <v>1442</v>
      </c>
      <c r="L428" s="56">
        <v>1027270.28</v>
      </c>
      <c r="M428" s="337">
        <v>0.41090811199999999</v>
      </c>
      <c r="O428" s="337"/>
      <c r="Q428" s="337"/>
      <c r="S428" s="337"/>
      <c r="T428" s="56">
        <v>1027270.28</v>
      </c>
      <c r="U428" s="56" t="s">
        <v>4243</v>
      </c>
      <c r="V428" s="56" t="s">
        <v>4244</v>
      </c>
      <c r="W428" s="56" t="s">
        <v>4245</v>
      </c>
    </row>
    <row r="429" spans="7:23" x14ac:dyDescent="0.3">
      <c r="G429" s="247"/>
      <c r="H429" s="248"/>
      <c r="I429" s="56" t="s">
        <v>44</v>
      </c>
      <c r="J429" s="56" t="s">
        <v>75</v>
      </c>
      <c r="K429" s="56" t="s">
        <v>1442</v>
      </c>
      <c r="L429" s="56">
        <v>2407160.11</v>
      </c>
      <c r="M429" s="337">
        <v>0.48143202200000002</v>
      </c>
      <c r="O429" s="337"/>
      <c r="Q429" s="337"/>
      <c r="S429" s="337"/>
      <c r="T429" s="56">
        <v>2407160.11</v>
      </c>
      <c r="U429" s="56" t="s">
        <v>4308</v>
      </c>
      <c r="V429" s="56" t="s">
        <v>4314</v>
      </c>
      <c r="W429" s="56" t="s">
        <v>4315</v>
      </c>
    </row>
    <row r="430" spans="7:23" x14ac:dyDescent="0.3">
      <c r="G430" s="247"/>
      <c r="H430" s="248"/>
      <c r="I430" s="56" t="s">
        <v>44</v>
      </c>
      <c r="J430" s="56" t="s">
        <v>75</v>
      </c>
      <c r="K430" s="56" t="s">
        <v>1442</v>
      </c>
      <c r="M430" s="337"/>
      <c r="O430" s="337"/>
      <c r="Q430" s="337"/>
      <c r="S430" s="337"/>
      <c r="T430" s="56">
        <v>1393632.9</v>
      </c>
      <c r="U430" s="56" t="s">
        <v>4390</v>
      </c>
      <c r="V430" s="56" t="s">
        <v>4394</v>
      </c>
      <c r="W430" s="56" t="s">
        <v>4395</v>
      </c>
    </row>
    <row r="431" spans="7:23" x14ac:dyDescent="0.3">
      <c r="G431" s="247"/>
      <c r="H431" s="248"/>
      <c r="I431" s="56" t="s">
        <v>44</v>
      </c>
      <c r="J431" s="56" t="s">
        <v>75</v>
      </c>
      <c r="K431" s="56" t="s">
        <v>1442</v>
      </c>
      <c r="M431" s="337"/>
      <c r="O431" s="337"/>
      <c r="Q431" s="337"/>
      <c r="S431" s="337"/>
      <c r="T431" s="56">
        <v>1042232.59</v>
      </c>
      <c r="U431" s="56" t="s">
        <v>4491</v>
      </c>
      <c r="V431" s="56" t="s">
        <v>4495</v>
      </c>
      <c r="W431" s="56" t="s">
        <v>4496</v>
      </c>
    </row>
    <row r="432" spans="7:23" x14ac:dyDescent="0.3">
      <c r="G432" s="247"/>
      <c r="H432" s="248"/>
      <c r="I432" s="56" t="s">
        <v>44</v>
      </c>
      <c r="J432" s="56" t="s">
        <v>75</v>
      </c>
      <c r="K432" s="56" t="s">
        <v>1442</v>
      </c>
      <c r="M432" s="337"/>
      <c r="O432" s="337"/>
      <c r="Q432" s="337"/>
      <c r="S432" s="337"/>
      <c r="T432" s="56">
        <v>1203580.04</v>
      </c>
      <c r="U432" s="56" t="s">
        <v>4547</v>
      </c>
      <c r="V432" s="56" t="s">
        <v>4555</v>
      </c>
      <c r="W432" s="56" t="s">
        <v>4556</v>
      </c>
    </row>
    <row r="433" spans="7:23" x14ac:dyDescent="0.3">
      <c r="G433" s="247"/>
      <c r="H433" s="248"/>
      <c r="I433" s="56" t="s">
        <v>44</v>
      </c>
      <c r="J433" s="56" t="s">
        <v>75</v>
      </c>
      <c r="K433" s="56" t="s">
        <v>1442</v>
      </c>
      <c r="L433" s="56">
        <v>16624184.17</v>
      </c>
      <c r="M433" s="337">
        <v>0.33248368340000001</v>
      </c>
      <c r="N433" s="56">
        <v>16624184.17</v>
      </c>
      <c r="O433" s="337">
        <v>0.33248368340000001</v>
      </c>
      <c r="Q433" s="337"/>
      <c r="S433" s="337"/>
      <c r="T433" s="56">
        <v>16624184.17</v>
      </c>
      <c r="U433" s="56" t="s">
        <v>4537</v>
      </c>
      <c r="V433" s="56" t="s">
        <v>4544</v>
      </c>
      <c r="W433" s="56" t="s">
        <v>4545</v>
      </c>
    </row>
    <row r="434" spans="7:23" x14ac:dyDescent="0.3">
      <c r="G434" s="247"/>
      <c r="H434" s="248"/>
      <c r="I434" s="56" t="s">
        <v>44</v>
      </c>
      <c r="J434" s="56" t="s">
        <v>75</v>
      </c>
      <c r="K434" s="56" t="s">
        <v>1442</v>
      </c>
      <c r="M434" s="337"/>
      <c r="O434" s="337"/>
      <c r="Q434" s="337"/>
      <c r="S434" s="337"/>
      <c r="T434" s="56">
        <v>3000000</v>
      </c>
      <c r="U434" s="56" t="s">
        <v>6017</v>
      </c>
      <c r="V434" s="56" t="s">
        <v>6023</v>
      </c>
      <c r="W434" s="56" t="s">
        <v>6024</v>
      </c>
    </row>
    <row r="435" spans="7:23" x14ac:dyDescent="0.3">
      <c r="G435" s="247"/>
      <c r="H435" s="248"/>
      <c r="I435" s="56" t="s">
        <v>44</v>
      </c>
      <c r="J435" s="56" t="s">
        <v>75</v>
      </c>
      <c r="K435" s="56" t="s">
        <v>1442</v>
      </c>
      <c r="M435" s="337"/>
      <c r="O435" s="337"/>
      <c r="Q435" s="337"/>
      <c r="S435" s="337"/>
      <c r="T435" s="56">
        <v>8404781.6799999997</v>
      </c>
      <c r="U435" s="56" t="s">
        <v>5642</v>
      </c>
      <c r="V435" s="56" t="s">
        <v>5659</v>
      </c>
      <c r="W435" s="56" t="s">
        <v>5660</v>
      </c>
    </row>
    <row r="436" spans="7:23" x14ac:dyDescent="0.3">
      <c r="G436" s="247"/>
      <c r="H436" s="248"/>
      <c r="I436" s="56" t="s">
        <v>44</v>
      </c>
      <c r="J436" s="56" t="s">
        <v>75</v>
      </c>
      <c r="K436" s="56" t="s">
        <v>1442</v>
      </c>
      <c r="M436" s="337"/>
      <c r="O436" s="337"/>
      <c r="Q436" s="337"/>
      <c r="S436" s="337"/>
      <c r="T436" s="56">
        <v>13188654.27</v>
      </c>
      <c r="U436" s="56" t="s">
        <v>5596</v>
      </c>
      <c r="V436" s="56" t="s">
        <v>5606</v>
      </c>
      <c r="W436" s="56" t="s">
        <v>5607</v>
      </c>
    </row>
    <row r="437" spans="7:23" x14ac:dyDescent="0.3">
      <c r="G437" s="247"/>
      <c r="H437" s="248"/>
      <c r="I437" s="56" t="s">
        <v>44</v>
      </c>
      <c r="J437" s="56" t="s">
        <v>75</v>
      </c>
      <c r="K437" s="56" t="s">
        <v>1442</v>
      </c>
      <c r="M437" s="337"/>
      <c r="O437" s="337"/>
      <c r="Q437" s="337"/>
      <c r="S437" s="337"/>
      <c r="T437" s="56">
        <v>4619477.79</v>
      </c>
      <c r="U437" s="56" t="s">
        <v>5614</v>
      </c>
      <c r="V437" s="56" t="s">
        <v>5625</v>
      </c>
      <c r="W437" s="56" t="s">
        <v>5626</v>
      </c>
    </row>
    <row r="438" spans="7:23" x14ac:dyDescent="0.3">
      <c r="G438" s="247"/>
      <c r="H438" s="248"/>
      <c r="I438" s="56" t="s">
        <v>44</v>
      </c>
      <c r="J438" s="56" t="s">
        <v>75</v>
      </c>
      <c r="K438" s="56" t="s">
        <v>1442</v>
      </c>
      <c r="M438" s="337"/>
      <c r="O438" s="337"/>
      <c r="Q438" s="337"/>
      <c r="S438" s="337"/>
      <c r="T438" s="56">
        <v>4593105.8899999997</v>
      </c>
      <c r="U438" s="56" t="s">
        <v>5872</v>
      </c>
      <c r="V438" s="56" t="s">
        <v>5884</v>
      </c>
      <c r="W438" s="56" t="s">
        <v>5885</v>
      </c>
    </row>
    <row r="439" spans="7:23" x14ac:dyDescent="0.3">
      <c r="G439" s="247"/>
      <c r="H439" s="248"/>
      <c r="I439" s="56" t="s">
        <v>44</v>
      </c>
      <c r="J439" s="56" t="s">
        <v>75</v>
      </c>
      <c r="K439" s="56" t="s">
        <v>1442</v>
      </c>
      <c r="M439" s="337"/>
      <c r="O439" s="337"/>
      <c r="Q439" s="337"/>
      <c r="S439" s="337"/>
      <c r="T439" s="56">
        <v>25000000</v>
      </c>
      <c r="U439" s="56" t="s">
        <v>5944</v>
      </c>
      <c r="V439" s="56" t="s">
        <v>5951</v>
      </c>
      <c r="W439" s="56" t="s">
        <v>5952</v>
      </c>
    </row>
    <row r="440" spans="7:23" x14ac:dyDescent="0.3">
      <c r="G440" s="247"/>
      <c r="H440" s="248"/>
      <c r="I440" s="56" t="s">
        <v>44</v>
      </c>
      <c r="J440" s="56" t="s">
        <v>75</v>
      </c>
      <c r="K440" s="56" t="s">
        <v>4000</v>
      </c>
      <c r="M440" s="337"/>
      <c r="O440" s="337"/>
      <c r="Q440" s="337"/>
      <c r="S440" s="337"/>
      <c r="T440" s="56">
        <v>2721296.72</v>
      </c>
      <c r="U440" s="56" t="s">
        <v>173</v>
      </c>
      <c r="V440" s="56" t="s">
        <v>1989</v>
      </c>
      <c r="W440" s="56" t="s">
        <v>1990</v>
      </c>
    </row>
    <row r="441" spans="7:23" x14ac:dyDescent="0.3">
      <c r="G441" s="247"/>
      <c r="H441" s="248"/>
      <c r="I441" s="56" t="s">
        <v>44</v>
      </c>
      <c r="J441" s="56" t="s">
        <v>75</v>
      </c>
      <c r="K441" s="56" t="s">
        <v>4000</v>
      </c>
      <c r="M441" s="337"/>
      <c r="O441" s="337"/>
      <c r="Q441" s="337"/>
      <c r="S441" s="337"/>
      <c r="T441" s="56">
        <v>32484376.289999999</v>
      </c>
      <c r="U441" s="56" t="s">
        <v>113</v>
      </c>
      <c r="V441" s="56" t="s">
        <v>273</v>
      </c>
      <c r="W441" s="56" t="s">
        <v>274</v>
      </c>
    </row>
    <row r="442" spans="7:23" x14ac:dyDescent="0.3">
      <c r="G442" s="247"/>
      <c r="H442" s="248"/>
      <c r="I442" s="56" t="s">
        <v>44</v>
      </c>
      <c r="J442" s="56" t="s">
        <v>75</v>
      </c>
      <c r="K442" s="56" t="s">
        <v>4000</v>
      </c>
      <c r="M442" s="337"/>
      <c r="O442" s="337"/>
      <c r="Q442" s="337"/>
      <c r="S442" s="337"/>
      <c r="T442" s="56">
        <v>19610025.949999999</v>
      </c>
      <c r="U442" s="56" t="s">
        <v>4503</v>
      </c>
      <c r="V442" s="56" t="s">
        <v>4507</v>
      </c>
      <c r="W442" s="56" t="s">
        <v>4508</v>
      </c>
    </row>
    <row r="443" spans="7:23" x14ac:dyDescent="0.3">
      <c r="G443" s="247"/>
      <c r="H443" s="248"/>
      <c r="I443" s="56" t="s">
        <v>44</v>
      </c>
      <c r="J443" s="56" t="s">
        <v>75</v>
      </c>
      <c r="K443" s="56" t="s">
        <v>4000</v>
      </c>
      <c r="L443" s="56">
        <v>3508050.77</v>
      </c>
      <c r="M443" s="337">
        <v>0.35080507700000002</v>
      </c>
      <c r="O443" s="337"/>
      <c r="Q443" s="337"/>
      <c r="S443" s="337"/>
      <c r="T443" s="56">
        <v>3508050.77</v>
      </c>
      <c r="U443" s="56" t="s">
        <v>639</v>
      </c>
      <c r="V443" s="56" t="s">
        <v>640</v>
      </c>
      <c r="W443" s="56" t="s">
        <v>641</v>
      </c>
    </row>
    <row r="444" spans="7:23" x14ac:dyDescent="0.3">
      <c r="G444" s="247"/>
      <c r="H444" s="248"/>
      <c r="I444" s="56" t="s">
        <v>44</v>
      </c>
      <c r="J444" s="56" t="s">
        <v>75</v>
      </c>
      <c r="K444" s="56" t="s">
        <v>4000</v>
      </c>
      <c r="M444" s="337"/>
      <c r="O444" s="337"/>
      <c r="Q444" s="337"/>
      <c r="S444" s="337"/>
      <c r="T444" s="56">
        <v>4703140.9800000004</v>
      </c>
      <c r="U444" s="56" t="s">
        <v>4305</v>
      </c>
      <c r="V444" s="56" t="s">
        <v>4312</v>
      </c>
      <c r="W444" s="56" t="s">
        <v>4313</v>
      </c>
    </row>
    <row r="445" spans="7:23" x14ac:dyDescent="0.3">
      <c r="G445" s="247"/>
      <c r="H445" s="248"/>
      <c r="I445" s="56" t="s">
        <v>44</v>
      </c>
      <c r="J445" s="56" t="s">
        <v>75</v>
      </c>
      <c r="K445" s="56" t="s">
        <v>4000</v>
      </c>
      <c r="L445" s="56">
        <v>18950683.91</v>
      </c>
      <c r="M445" s="337">
        <v>0.94753419550000006</v>
      </c>
      <c r="O445" s="337"/>
      <c r="Q445" s="337"/>
      <c r="S445" s="337"/>
      <c r="T445" s="56">
        <v>18950683.91</v>
      </c>
      <c r="U445" s="56" t="s">
        <v>5542</v>
      </c>
      <c r="V445" s="56" t="s">
        <v>5544</v>
      </c>
      <c r="W445" s="56" t="s">
        <v>5545</v>
      </c>
    </row>
    <row r="446" spans="7:23" x14ac:dyDescent="0.3">
      <c r="G446" s="247"/>
      <c r="H446" s="248"/>
      <c r="I446" s="56" t="s">
        <v>44</v>
      </c>
      <c r="J446" s="56" t="s">
        <v>75</v>
      </c>
      <c r="K446" s="56" t="s">
        <v>26</v>
      </c>
      <c r="M446" s="337"/>
      <c r="O446" s="337"/>
      <c r="Q446" s="337"/>
      <c r="S446" s="337"/>
      <c r="T446" s="56">
        <v>5142447.18</v>
      </c>
      <c r="U446" s="56" t="s">
        <v>203</v>
      </c>
      <c r="V446" s="56" t="s">
        <v>204</v>
      </c>
      <c r="W446" s="56" t="s">
        <v>205</v>
      </c>
    </row>
    <row r="447" spans="7:23" x14ac:dyDescent="0.3">
      <c r="G447" s="247"/>
      <c r="H447" s="248"/>
      <c r="I447" s="56" t="s">
        <v>44</v>
      </c>
      <c r="J447" s="56" t="s">
        <v>75</v>
      </c>
      <c r="K447" s="56" t="s">
        <v>26</v>
      </c>
      <c r="M447" s="337"/>
      <c r="O447" s="337"/>
      <c r="Q447" s="337"/>
      <c r="S447" s="337"/>
      <c r="T447" s="56">
        <v>16587575.98</v>
      </c>
      <c r="U447" s="56" t="s">
        <v>151</v>
      </c>
      <c r="V447" s="56" t="s">
        <v>152</v>
      </c>
      <c r="W447" s="56" t="s">
        <v>153</v>
      </c>
    </row>
    <row r="448" spans="7:23" x14ac:dyDescent="0.3">
      <c r="G448" s="247"/>
      <c r="H448" s="248"/>
      <c r="I448" s="56" t="s">
        <v>44</v>
      </c>
      <c r="J448" s="56" t="s">
        <v>75</v>
      </c>
      <c r="K448" s="56" t="s">
        <v>26</v>
      </c>
      <c r="M448" s="337"/>
      <c r="O448" s="337"/>
      <c r="Q448" s="337"/>
      <c r="S448" s="337"/>
      <c r="T448" s="56">
        <v>28586065.690000001</v>
      </c>
      <c r="U448" s="56" t="s">
        <v>572</v>
      </c>
      <c r="V448" s="56" t="s">
        <v>573</v>
      </c>
      <c r="W448" s="56" t="s">
        <v>574</v>
      </c>
    </row>
    <row r="449" spans="7:23" x14ac:dyDescent="0.3">
      <c r="G449" s="247"/>
      <c r="H449" s="248"/>
      <c r="I449" s="56" t="s">
        <v>44</v>
      </c>
      <c r="J449" s="56" t="s">
        <v>75</v>
      </c>
      <c r="K449" s="56" t="s">
        <v>26</v>
      </c>
      <c r="M449" s="337"/>
      <c r="O449" s="337"/>
      <c r="Q449" s="337"/>
      <c r="S449" s="337"/>
      <c r="T449" s="56">
        <v>39703928.780000001</v>
      </c>
      <c r="U449" s="56" t="s">
        <v>163</v>
      </c>
      <c r="V449" s="56" t="s">
        <v>164</v>
      </c>
      <c r="W449" s="56" t="s">
        <v>165</v>
      </c>
    </row>
    <row r="450" spans="7:23" x14ac:dyDescent="0.3">
      <c r="G450" s="247"/>
      <c r="H450" s="248"/>
      <c r="I450" s="56" t="s">
        <v>44</v>
      </c>
      <c r="J450" s="56" t="s">
        <v>75</v>
      </c>
      <c r="K450" s="56" t="s">
        <v>26</v>
      </c>
      <c r="M450" s="337"/>
      <c r="O450" s="337"/>
      <c r="Q450" s="337"/>
      <c r="S450" s="337"/>
      <c r="T450" s="56">
        <v>15998386.050000001</v>
      </c>
      <c r="U450" s="56" t="s">
        <v>344</v>
      </c>
      <c r="V450" s="56" t="s">
        <v>345</v>
      </c>
      <c r="W450" s="56" t="s">
        <v>346</v>
      </c>
    </row>
    <row r="451" spans="7:23" x14ac:dyDescent="0.3">
      <c r="G451" s="247"/>
      <c r="H451" s="248"/>
      <c r="I451" s="56" t="s">
        <v>44</v>
      </c>
      <c r="J451" s="56" t="s">
        <v>75</v>
      </c>
      <c r="K451" s="56" t="s">
        <v>26</v>
      </c>
      <c r="L451" s="56">
        <v>307362.03000000003</v>
      </c>
      <c r="M451" s="337">
        <v>0.10245401</v>
      </c>
      <c r="O451" s="337"/>
      <c r="Q451" s="337"/>
      <c r="S451" s="337"/>
      <c r="T451" s="56">
        <v>307362.03000000003</v>
      </c>
      <c r="U451" s="56" t="s">
        <v>3446</v>
      </c>
      <c r="V451" s="56" t="s">
        <v>3447</v>
      </c>
      <c r="W451" s="56" t="s">
        <v>3448</v>
      </c>
    </row>
    <row r="452" spans="7:23" x14ac:dyDescent="0.3">
      <c r="G452" s="247"/>
      <c r="H452" s="248"/>
      <c r="I452" s="56" t="s">
        <v>44</v>
      </c>
      <c r="J452" s="56" t="s">
        <v>75</v>
      </c>
      <c r="K452" s="56" t="s">
        <v>26</v>
      </c>
      <c r="M452" s="337"/>
      <c r="O452" s="337"/>
      <c r="Q452" s="337"/>
      <c r="S452" s="337"/>
      <c r="T452" s="56">
        <v>2377838.12</v>
      </c>
      <c r="U452" s="56" t="s">
        <v>1143</v>
      </c>
      <c r="V452" s="56" t="s">
        <v>2351</v>
      </c>
      <c r="W452" s="56" t="s">
        <v>2352</v>
      </c>
    </row>
    <row r="453" spans="7:23" x14ac:dyDescent="0.3">
      <c r="G453" s="247"/>
      <c r="H453" s="248"/>
      <c r="I453" s="56" t="s">
        <v>44</v>
      </c>
      <c r="J453" s="56" t="s">
        <v>75</v>
      </c>
      <c r="K453" s="56" t="s">
        <v>26</v>
      </c>
      <c r="L453" s="56">
        <v>35106785.170000002</v>
      </c>
      <c r="M453" s="337">
        <v>0.48759423847222227</v>
      </c>
      <c r="O453" s="337"/>
      <c r="Q453" s="337"/>
      <c r="S453" s="337"/>
      <c r="T453" s="56">
        <v>35106785.170000002</v>
      </c>
      <c r="U453" s="56" t="s">
        <v>347</v>
      </c>
      <c r="V453" s="56" t="s">
        <v>348</v>
      </c>
      <c r="W453" s="56" t="s">
        <v>349</v>
      </c>
    </row>
    <row r="454" spans="7:23" x14ac:dyDescent="0.3">
      <c r="G454" s="247"/>
      <c r="H454" s="248"/>
      <c r="I454" s="56" t="s">
        <v>44</v>
      </c>
      <c r="J454" s="56" t="s">
        <v>75</v>
      </c>
      <c r="K454" s="56" t="s">
        <v>26</v>
      </c>
      <c r="L454" s="56">
        <v>34144992.619999997</v>
      </c>
      <c r="M454" s="337">
        <v>0.50962675552238801</v>
      </c>
      <c r="O454" s="337"/>
      <c r="Q454" s="337"/>
      <c r="S454" s="337"/>
      <c r="T454" s="56">
        <v>34144992.619999997</v>
      </c>
      <c r="U454" s="56" t="s">
        <v>368</v>
      </c>
      <c r="V454" s="56" t="s">
        <v>370</v>
      </c>
      <c r="W454" s="56" t="s">
        <v>371</v>
      </c>
    </row>
    <row r="455" spans="7:23" x14ac:dyDescent="0.3">
      <c r="G455" s="247"/>
      <c r="H455" s="248"/>
      <c r="I455" s="56" t="s">
        <v>44</v>
      </c>
      <c r="J455" s="56" t="s">
        <v>75</v>
      </c>
      <c r="K455" s="56" t="s">
        <v>26</v>
      </c>
      <c r="M455" s="337"/>
      <c r="O455" s="337"/>
      <c r="Q455" s="337"/>
      <c r="S455" s="337"/>
      <c r="T455" s="56">
        <v>21252828.609999999</v>
      </c>
      <c r="U455" s="56" t="s">
        <v>351</v>
      </c>
      <c r="V455" s="56" t="s">
        <v>353</v>
      </c>
      <c r="W455" s="56" t="s">
        <v>354</v>
      </c>
    </row>
    <row r="456" spans="7:23" x14ac:dyDescent="0.3">
      <c r="G456" s="247"/>
      <c r="H456" s="248"/>
      <c r="I456" s="56" t="s">
        <v>44</v>
      </c>
      <c r="J456" s="56" t="s">
        <v>75</v>
      </c>
      <c r="K456" s="56" t="s">
        <v>26</v>
      </c>
      <c r="M456" s="337"/>
      <c r="O456" s="337"/>
      <c r="Q456" s="337"/>
      <c r="S456" s="337"/>
      <c r="T456" s="56">
        <v>8610988.6300000008</v>
      </c>
      <c r="U456" s="56" t="s">
        <v>420</v>
      </c>
      <c r="V456" s="56" t="s">
        <v>421</v>
      </c>
      <c r="W456" s="56" t="s">
        <v>422</v>
      </c>
    </row>
    <row r="457" spans="7:23" x14ac:dyDescent="0.3">
      <c r="G457" s="247"/>
      <c r="H457" s="248"/>
      <c r="I457" s="56" t="s">
        <v>44</v>
      </c>
      <c r="J457" s="56" t="s">
        <v>75</v>
      </c>
      <c r="K457" s="56" t="s">
        <v>26</v>
      </c>
      <c r="M457" s="337"/>
      <c r="O457" s="337"/>
      <c r="Q457" s="337"/>
      <c r="S457" s="337"/>
      <c r="T457" s="56">
        <v>16319497.07</v>
      </c>
      <c r="U457" s="56" t="s">
        <v>399</v>
      </c>
      <c r="V457" s="56" t="s">
        <v>400</v>
      </c>
      <c r="W457" s="56" t="s">
        <v>401</v>
      </c>
    </row>
    <row r="458" spans="7:23" x14ac:dyDescent="0.3">
      <c r="G458" s="247"/>
      <c r="H458" s="248"/>
      <c r="I458" s="56" t="s">
        <v>44</v>
      </c>
      <c r="J458" s="56" t="s">
        <v>75</v>
      </c>
      <c r="K458" s="56" t="s">
        <v>26</v>
      </c>
      <c r="L458" s="56">
        <v>9477873.8399999999</v>
      </c>
      <c r="M458" s="337">
        <v>0.78982281999999993</v>
      </c>
      <c r="O458" s="337"/>
      <c r="Q458" s="337"/>
      <c r="S458" s="337"/>
      <c r="T458" s="56">
        <v>9477873.8399999999</v>
      </c>
      <c r="U458" s="56" t="s">
        <v>436</v>
      </c>
      <c r="V458" s="56" t="s">
        <v>1921</v>
      </c>
      <c r="W458" s="56" t="s">
        <v>1922</v>
      </c>
    </row>
    <row r="459" spans="7:23" x14ac:dyDescent="0.3">
      <c r="G459" s="247"/>
      <c r="H459" s="248"/>
      <c r="I459" s="56" t="s">
        <v>44</v>
      </c>
      <c r="J459" s="56" t="s">
        <v>75</v>
      </c>
      <c r="K459" s="56" t="s">
        <v>26</v>
      </c>
      <c r="L459" s="56">
        <v>438630.34</v>
      </c>
      <c r="M459" s="337">
        <v>7.3105056666666668E-2</v>
      </c>
      <c r="O459" s="337"/>
      <c r="Q459" s="337"/>
      <c r="S459" s="337"/>
      <c r="T459" s="56">
        <v>438630.34</v>
      </c>
      <c r="U459" s="56" t="s">
        <v>3331</v>
      </c>
      <c r="V459" s="56" t="s">
        <v>3332</v>
      </c>
      <c r="W459" s="56" t="s">
        <v>3333</v>
      </c>
    </row>
    <row r="460" spans="7:23" x14ac:dyDescent="0.3">
      <c r="G460" s="247"/>
      <c r="H460" s="248"/>
      <c r="I460" s="56" t="s">
        <v>44</v>
      </c>
      <c r="J460" s="56" t="s">
        <v>75</v>
      </c>
      <c r="K460" s="56" t="s">
        <v>26</v>
      </c>
      <c r="M460" s="337"/>
      <c r="O460" s="337"/>
      <c r="Q460" s="337"/>
      <c r="S460" s="337"/>
      <c r="T460" s="56">
        <v>9334478.2699999996</v>
      </c>
      <c r="U460" s="56" t="s">
        <v>438</v>
      </c>
      <c r="V460" s="56" t="s">
        <v>1228</v>
      </c>
      <c r="W460" s="56" t="s">
        <v>1229</v>
      </c>
    </row>
    <row r="461" spans="7:23" x14ac:dyDescent="0.3">
      <c r="G461" s="247"/>
      <c r="H461" s="248"/>
      <c r="I461" s="56" t="s">
        <v>44</v>
      </c>
      <c r="J461" s="56" t="s">
        <v>75</v>
      </c>
      <c r="K461" s="56" t="s">
        <v>26</v>
      </c>
      <c r="M461" s="337"/>
      <c r="O461" s="337"/>
      <c r="Q461" s="337"/>
      <c r="S461" s="337"/>
      <c r="T461" s="56">
        <v>13473869.890000001</v>
      </c>
      <c r="U461" s="56" t="s">
        <v>659</v>
      </c>
      <c r="V461" s="56" t="s">
        <v>660</v>
      </c>
      <c r="W461" s="56" t="s">
        <v>661</v>
      </c>
    </row>
    <row r="462" spans="7:23" x14ac:dyDescent="0.3">
      <c r="G462" s="247"/>
      <c r="H462" s="248"/>
      <c r="I462" s="56" t="s">
        <v>44</v>
      </c>
      <c r="J462" s="56" t="s">
        <v>75</v>
      </c>
      <c r="K462" s="56" t="s">
        <v>26</v>
      </c>
      <c r="L462" s="56">
        <v>23337204.469999999</v>
      </c>
      <c r="M462" s="337">
        <v>0.66677727057142855</v>
      </c>
      <c r="O462" s="337"/>
      <c r="Q462" s="337"/>
      <c r="S462" s="337"/>
      <c r="T462" s="56">
        <v>23337204.469999999</v>
      </c>
      <c r="U462" s="56" t="s">
        <v>1642</v>
      </c>
      <c r="V462" s="56" t="s">
        <v>1645</v>
      </c>
      <c r="W462" s="56" t="s">
        <v>1646</v>
      </c>
    </row>
    <row r="463" spans="7:23" x14ac:dyDescent="0.3">
      <c r="G463" s="247"/>
      <c r="H463" s="248"/>
      <c r="I463" s="56" t="s">
        <v>44</v>
      </c>
      <c r="J463" s="56" t="s">
        <v>75</v>
      </c>
      <c r="K463" s="56" t="s">
        <v>26</v>
      </c>
      <c r="M463" s="337"/>
      <c r="O463" s="337"/>
      <c r="Q463" s="337"/>
      <c r="S463" s="337"/>
      <c r="T463" s="56">
        <v>1787422.92</v>
      </c>
      <c r="U463" s="56" t="s">
        <v>602</v>
      </c>
      <c r="V463" s="56" t="s">
        <v>603</v>
      </c>
      <c r="W463" s="56" t="s">
        <v>604</v>
      </c>
    </row>
    <row r="464" spans="7:23" x14ac:dyDescent="0.3">
      <c r="G464" s="247"/>
      <c r="H464" s="248"/>
      <c r="I464" s="56" t="s">
        <v>44</v>
      </c>
      <c r="J464" s="56" t="s">
        <v>75</v>
      </c>
      <c r="K464" s="56" t="s">
        <v>26</v>
      </c>
      <c r="M464" s="337"/>
      <c r="O464" s="337"/>
      <c r="Q464" s="337"/>
      <c r="S464" s="337"/>
      <c r="T464" s="56">
        <v>31136888.829999998</v>
      </c>
      <c r="U464" s="56" t="s">
        <v>524</v>
      </c>
      <c r="V464" s="56" t="s">
        <v>525</v>
      </c>
      <c r="W464" s="56" t="s">
        <v>526</v>
      </c>
    </row>
    <row r="465" spans="7:23" x14ac:dyDescent="0.3">
      <c r="G465" s="247"/>
      <c r="H465" s="248"/>
      <c r="I465" s="56" t="s">
        <v>44</v>
      </c>
      <c r="J465" s="56" t="s">
        <v>75</v>
      </c>
      <c r="K465" s="56" t="s">
        <v>26</v>
      </c>
      <c r="L465" s="56">
        <v>1306377.28</v>
      </c>
      <c r="M465" s="337">
        <v>0.1187615709090909</v>
      </c>
      <c r="N465" s="56">
        <v>1306377.28</v>
      </c>
      <c r="O465" s="337">
        <v>0.1187615709090909</v>
      </c>
      <c r="Q465" s="337"/>
      <c r="S465" s="337"/>
      <c r="T465" s="56">
        <v>1306377.28</v>
      </c>
      <c r="U465" s="56" t="s">
        <v>566</v>
      </c>
      <c r="V465" s="56" t="s">
        <v>567</v>
      </c>
      <c r="W465" s="56" t="s">
        <v>568</v>
      </c>
    </row>
    <row r="466" spans="7:23" x14ac:dyDescent="0.3">
      <c r="G466" s="247"/>
      <c r="H466" s="248"/>
      <c r="I466" s="56" t="s">
        <v>44</v>
      </c>
      <c r="J466" s="56" t="s">
        <v>75</v>
      </c>
      <c r="K466" s="56" t="s">
        <v>26</v>
      </c>
      <c r="L466" s="56">
        <v>1348808.9</v>
      </c>
      <c r="M466" s="337">
        <v>4.4960296666666663E-2</v>
      </c>
      <c r="O466" s="337"/>
      <c r="Q466" s="337"/>
      <c r="S466" s="337"/>
      <c r="T466" s="56">
        <v>1348808.9</v>
      </c>
      <c r="U466" s="56" t="s">
        <v>595</v>
      </c>
      <c r="V466" s="56" t="s">
        <v>596</v>
      </c>
      <c r="W466" s="56" t="s">
        <v>597</v>
      </c>
    </row>
    <row r="467" spans="7:23" x14ac:dyDescent="0.3">
      <c r="G467" s="247"/>
      <c r="H467" s="248"/>
      <c r="I467" s="56" t="s">
        <v>44</v>
      </c>
      <c r="J467" s="56" t="s">
        <v>75</v>
      </c>
      <c r="K467" s="56" t="s">
        <v>26</v>
      </c>
      <c r="L467" s="56">
        <v>12523393.949999999</v>
      </c>
      <c r="M467" s="337">
        <v>0.68806076314488218</v>
      </c>
      <c r="O467" s="337"/>
      <c r="Q467" s="337"/>
      <c r="S467" s="337"/>
      <c r="T467" s="56">
        <v>12523393.949999999</v>
      </c>
      <c r="U467" s="56" t="s">
        <v>630</v>
      </c>
      <c r="V467" s="56" t="s">
        <v>631</v>
      </c>
      <c r="W467" s="56" t="s">
        <v>632</v>
      </c>
    </row>
    <row r="468" spans="7:23" x14ac:dyDescent="0.3">
      <c r="G468" s="247"/>
      <c r="H468" s="248"/>
      <c r="I468" s="56" t="s">
        <v>44</v>
      </c>
      <c r="J468" s="56" t="s">
        <v>75</v>
      </c>
      <c r="K468" s="56" t="s">
        <v>26</v>
      </c>
      <c r="L468" s="56">
        <v>28343734.399999999</v>
      </c>
      <c r="M468" s="337">
        <v>0.60305817872340428</v>
      </c>
      <c r="O468" s="337"/>
      <c r="Q468" s="337"/>
      <c r="S468" s="337"/>
      <c r="T468" s="56">
        <v>28343734.399999999</v>
      </c>
      <c r="U468" s="56" t="s">
        <v>622</v>
      </c>
      <c r="V468" s="56" t="s">
        <v>1277</v>
      </c>
      <c r="W468" s="56" t="s">
        <v>1278</v>
      </c>
    </row>
    <row r="469" spans="7:23" x14ac:dyDescent="0.3">
      <c r="G469" s="247"/>
      <c r="H469" s="248"/>
      <c r="I469" s="56" t="s">
        <v>44</v>
      </c>
      <c r="J469" s="56" t="s">
        <v>75</v>
      </c>
      <c r="K469" s="56" t="s">
        <v>26</v>
      </c>
      <c r="M469" s="337"/>
      <c r="O469" s="337"/>
      <c r="Q469" s="337"/>
      <c r="S469" s="337"/>
      <c r="T469" s="56">
        <v>22356682.059999999</v>
      </c>
      <c r="U469" s="56" t="s">
        <v>664</v>
      </c>
      <c r="V469" s="56" t="s">
        <v>669</v>
      </c>
      <c r="W469" s="56" t="s">
        <v>670</v>
      </c>
    </row>
    <row r="470" spans="7:23" x14ac:dyDescent="0.3">
      <c r="G470" s="247"/>
      <c r="H470" s="248"/>
      <c r="I470" s="56" t="s">
        <v>44</v>
      </c>
      <c r="J470" s="56" t="s">
        <v>75</v>
      </c>
      <c r="K470" s="56" t="s">
        <v>26</v>
      </c>
      <c r="M470" s="337"/>
      <c r="O470" s="337"/>
      <c r="Q470" s="337"/>
      <c r="S470" s="337"/>
      <c r="T470" s="56">
        <v>24114640.399999999</v>
      </c>
      <c r="U470" s="56" t="s">
        <v>698</v>
      </c>
      <c r="V470" s="56" t="s">
        <v>699</v>
      </c>
      <c r="W470" s="56" t="s">
        <v>700</v>
      </c>
    </row>
    <row r="471" spans="7:23" x14ac:dyDescent="0.3">
      <c r="G471" s="247"/>
      <c r="H471" s="248"/>
      <c r="I471" s="56" t="s">
        <v>44</v>
      </c>
      <c r="J471" s="56" t="s">
        <v>75</v>
      </c>
      <c r="K471" s="56" t="s">
        <v>26</v>
      </c>
      <c r="L471" s="56">
        <v>9430003.2799999993</v>
      </c>
      <c r="M471" s="337">
        <v>0.20955562844444445</v>
      </c>
      <c r="O471" s="337"/>
      <c r="Q471" s="337"/>
      <c r="S471" s="337"/>
      <c r="T471" s="56">
        <v>9430003.2799999993</v>
      </c>
      <c r="U471" s="56" t="s">
        <v>744</v>
      </c>
      <c r="V471" s="56" t="s">
        <v>745</v>
      </c>
      <c r="W471" s="56" t="s">
        <v>746</v>
      </c>
    </row>
    <row r="472" spans="7:23" x14ac:dyDescent="0.3">
      <c r="G472" s="247"/>
      <c r="H472" s="248"/>
      <c r="I472" s="56" t="s">
        <v>44</v>
      </c>
      <c r="J472" s="56" t="s">
        <v>75</v>
      </c>
      <c r="K472" s="56" t="s">
        <v>26</v>
      </c>
      <c r="L472" s="56">
        <v>10134166.34</v>
      </c>
      <c r="M472" s="337">
        <v>0.4788624646789208</v>
      </c>
      <c r="O472" s="337"/>
      <c r="Q472" s="337"/>
      <c r="S472" s="337"/>
      <c r="T472" s="56">
        <v>10134166.34</v>
      </c>
      <c r="U472" s="56" t="s">
        <v>731</v>
      </c>
      <c r="V472" s="56" t="s">
        <v>735</v>
      </c>
      <c r="W472" s="56" t="s">
        <v>736</v>
      </c>
    </row>
    <row r="473" spans="7:23" x14ac:dyDescent="0.3">
      <c r="G473" s="247"/>
      <c r="H473" s="248"/>
      <c r="I473" s="56" t="s">
        <v>44</v>
      </c>
      <c r="J473" s="56" t="s">
        <v>75</v>
      </c>
      <c r="K473" s="56" t="s">
        <v>26</v>
      </c>
      <c r="L473" s="56">
        <v>1855095.95</v>
      </c>
      <c r="M473" s="337">
        <v>0.185509595</v>
      </c>
      <c r="N473" s="56">
        <v>1855095.95</v>
      </c>
      <c r="O473" s="337">
        <v>0.185509595</v>
      </c>
      <c r="Q473" s="337"/>
      <c r="S473" s="337"/>
      <c r="T473" s="56">
        <v>1855095.95</v>
      </c>
      <c r="U473" s="56" t="s">
        <v>697</v>
      </c>
      <c r="V473" s="56" t="s">
        <v>702</v>
      </c>
      <c r="W473" s="56" t="s">
        <v>703</v>
      </c>
    </row>
    <row r="474" spans="7:23" x14ac:dyDescent="0.3">
      <c r="G474" s="247"/>
      <c r="H474" s="248"/>
      <c r="I474" s="56" t="s">
        <v>44</v>
      </c>
      <c r="J474" s="56" t="s">
        <v>75</v>
      </c>
      <c r="K474" s="56" t="s">
        <v>26</v>
      </c>
      <c r="L474" s="56">
        <v>21495779.050000001</v>
      </c>
      <c r="M474" s="337">
        <v>0.53739447625000003</v>
      </c>
      <c r="N474" s="56">
        <v>21495779.050000001</v>
      </c>
      <c r="O474" s="337">
        <v>0.53739447625000003</v>
      </c>
      <c r="Q474" s="337"/>
      <c r="S474" s="337"/>
      <c r="T474" s="56">
        <v>21495779.050000001</v>
      </c>
      <c r="U474" s="56" t="s">
        <v>777</v>
      </c>
      <c r="V474" s="56" t="s">
        <v>783</v>
      </c>
      <c r="W474" s="56" t="s">
        <v>784</v>
      </c>
    </row>
    <row r="475" spans="7:23" x14ac:dyDescent="0.3">
      <c r="G475" s="247"/>
      <c r="H475" s="248"/>
      <c r="I475" s="56" t="s">
        <v>44</v>
      </c>
      <c r="J475" s="56" t="s">
        <v>75</v>
      </c>
      <c r="K475" s="56" t="s">
        <v>26</v>
      </c>
      <c r="L475" s="56">
        <v>1298890.55</v>
      </c>
      <c r="M475" s="337">
        <v>8.659270333333334E-2</v>
      </c>
      <c r="O475" s="337"/>
      <c r="Q475" s="337"/>
      <c r="S475" s="337"/>
      <c r="T475" s="56">
        <v>1298890.55</v>
      </c>
      <c r="U475" s="56" t="s">
        <v>748</v>
      </c>
      <c r="V475" s="56" t="s">
        <v>1355</v>
      </c>
      <c r="W475" s="56" t="s">
        <v>749</v>
      </c>
    </row>
    <row r="476" spans="7:23" x14ac:dyDescent="0.3">
      <c r="G476" s="247"/>
      <c r="H476" s="248"/>
      <c r="I476" s="56" t="s">
        <v>44</v>
      </c>
      <c r="J476" s="56" t="s">
        <v>75</v>
      </c>
      <c r="K476" s="56" t="s">
        <v>26</v>
      </c>
      <c r="M476" s="337"/>
      <c r="O476" s="337"/>
      <c r="Q476" s="337"/>
      <c r="S476" s="337"/>
      <c r="T476" s="56">
        <v>56164676.759999998</v>
      </c>
      <c r="U476" s="56" t="s">
        <v>919</v>
      </c>
      <c r="V476" s="56" t="s">
        <v>920</v>
      </c>
      <c r="W476" s="56" t="s">
        <v>921</v>
      </c>
    </row>
    <row r="477" spans="7:23" x14ac:dyDescent="0.3">
      <c r="G477" s="247"/>
      <c r="H477" s="248"/>
      <c r="I477" s="56" t="s">
        <v>44</v>
      </c>
      <c r="J477" s="56" t="s">
        <v>75</v>
      </c>
      <c r="K477" s="56" t="s">
        <v>26</v>
      </c>
      <c r="M477" s="337"/>
      <c r="O477" s="337"/>
      <c r="Q477" s="337"/>
      <c r="S477" s="337"/>
      <c r="T477" s="56">
        <v>28313369.27</v>
      </c>
      <c r="U477" s="56" t="s">
        <v>3559</v>
      </c>
      <c r="V477" s="56" t="s">
        <v>3577</v>
      </c>
      <c r="W477" s="56" t="s">
        <v>3578</v>
      </c>
    </row>
    <row r="478" spans="7:23" x14ac:dyDescent="0.3">
      <c r="G478" s="247"/>
      <c r="H478" s="248"/>
      <c r="I478" s="56" t="s">
        <v>44</v>
      </c>
      <c r="J478" s="56" t="s">
        <v>75</v>
      </c>
      <c r="K478" s="56" t="s">
        <v>26</v>
      </c>
      <c r="L478" s="56">
        <v>9590763.6799999997</v>
      </c>
      <c r="M478" s="337">
        <v>0.69461304072900942</v>
      </c>
      <c r="O478" s="337"/>
      <c r="Q478" s="337"/>
      <c r="S478" s="337"/>
      <c r="T478" s="56">
        <v>9590763.6799999997</v>
      </c>
      <c r="U478" s="56" t="s">
        <v>860</v>
      </c>
      <c r="V478" s="56" t="s">
        <v>862</v>
      </c>
      <c r="W478" s="56" t="s">
        <v>863</v>
      </c>
    </row>
    <row r="479" spans="7:23" x14ac:dyDescent="0.3">
      <c r="G479" s="247"/>
      <c r="H479" s="248"/>
      <c r="I479" s="56" t="s">
        <v>44</v>
      </c>
      <c r="J479" s="56" t="s">
        <v>75</v>
      </c>
      <c r="K479" s="56" t="s">
        <v>26</v>
      </c>
      <c r="M479" s="337"/>
      <c r="O479" s="337"/>
      <c r="Q479" s="337"/>
      <c r="S479" s="337"/>
      <c r="T479" s="56">
        <v>16284900.460000001</v>
      </c>
      <c r="U479" s="56" t="s">
        <v>904</v>
      </c>
      <c r="V479" s="56" t="s">
        <v>905</v>
      </c>
      <c r="W479" s="56" t="s">
        <v>906</v>
      </c>
    </row>
    <row r="480" spans="7:23" x14ac:dyDescent="0.3">
      <c r="G480" s="247"/>
      <c r="H480" s="248"/>
      <c r="I480" s="56" t="s">
        <v>44</v>
      </c>
      <c r="J480" s="56" t="s">
        <v>75</v>
      </c>
      <c r="K480" s="56" t="s">
        <v>26</v>
      </c>
      <c r="L480" s="56">
        <v>4200515.22</v>
      </c>
      <c r="M480" s="337">
        <v>0.9334478266666667</v>
      </c>
      <c r="O480" s="337"/>
      <c r="Q480" s="337"/>
      <c r="S480" s="337"/>
      <c r="T480" s="56">
        <v>4200515.22</v>
      </c>
      <c r="U480" s="56" t="s">
        <v>2913</v>
      </c>
      <c r="V480" s="56" t="s">
        <v>2914</v>
      </c>
      <c r="W480" s="56" t="s">
        <v>2915</v>
      </c>
    </row>
    <row r="481" spans="7:23" x14ac:dyDescent="0.3">
      <c r="G481" s="247"/>
      <c r="H481" s="248"/>
      <c r="I481" s="56" t="s">
        <v>44</v>
      </c>
      <c r="J481" s="56" t="s">
        <v>75</v>
      </c>
      <c r="K481" s="56" t="s">
        <v>26</v>
      </c>
      <c r="M481" s="337"/>
      <c r="O481" s="337"/>
      <c r="Q481" s="337"/>
      <c r="S481" s="337"/>
      <c r="T481" s="56">
        <v>4174203.37</v>
      </c>
      <c r="U481" s="56" t="s">
        <v>994</v>
      </c>
      <c r="V481" s="56" t="s">
        <v>995</v>
      </c>
      <c r="W481" s="56" t="s">
        <v>996</v>
      </c>
    </row>
    <row r="482" spans="7:23" x14ac:dyDescent="0.3">
      <c r="G482" s="247"/>
      <c r="H482" s="248"/>
      <c r="I482" s="56" t="s">
        <v>44</v>
      </c>
      <c r="J482" s="56" t="s">
        <v>75</v>
      </c>
      <c r="K482" s="56" t="s">
        <v>26</v>
      </c>
      <c r="M482" s="337"/>
      <c r="O482" s="337"/>
      <c r="Q482" s="337"/>
      <c r="S482" s="337"/>
      <c r="T482" s="56">
        <v>22239297.010000002</v>
      </c>
      <c r="U482" s="56" t="s">
        <v>1063</v>
      </c>
      <c r="V482" s="56" t="s">
        <v>1067</v>
      </c>
      <c r="W482" s="56" t="s">
        <v>1068</v>
      </c>
    </row>
    <row r="483" spans="7:23" x14ac:dyDescent="0.3">
      <c r="G483" s="247"/>
      <c r="H483" s="248"/>
      <c r="I483" s="56" t="s">
        <v>44</v>
      </c>
      <c r="J483" s="56" t="s">
        <v>75</v>
      </c>
      <c r="K483" s="56" t="s">
        <v>26</v>
      </c>
      <c r="L483" s="56">
        <v>12627589.939999999</v>
      </c>
      <c r="M483" s="337">
        <v>0.36078828400000001</v>
      </c>
      <c r="O483" s="337"/>
      <c r="Q483" s="337"/>
      <c r="S483" s="337"/>
      <c r="T483" s="56">
        <v>12627589.939999999</v>
      </c>
      <c r="U483" s="56" t="s">
        <v>1079</v>
      </c>
      <c r="V483" s="56" t="s">
        <v>1080</v>
      </c>
      <c r="W483" s="56" t="s">
        <v>1081</v>
      </c>
    </row>
    <row r="484" spans="7:23" x14ac:dyDescent="0.3">
      <c r="G484" s="247"/>
      <c r="H484" s="248"/>
      <c r="I484" s="56" t="s">
        <v>44</v>
      </c>
      <c r="J484" s="56" t="s">
        <v>75</v>
      </c>
      <c r="K484" s="56" t="s">
        <v>26</v>
      </c>
      <c r="L484" s="56">
        <v>13672713.18</v>
      </c>
      <c r="M484" s="337">
        <v>0.85454457374999993</v>
      </c>
      <c r="O484" s="337"/>
      <c r="Q484" s="337"/>
      <c r="S484" s="337"/>
      <c r="T484" s="56">
        <v>13672713.18</v>
      </c>
      <c r="U484" s="56" t="s">
        <v>1239</v>
      </c>
      <c r="V484" s="56" t="s">
        <v>1245</v>
      </c>
      <c r="W484" s="56" t="s">
        <v>1246</v>
      </c>
    </row>
    <row r="485" spans="7:23" x14ac:dyDescent="0.3">
      <c r="G485" s="247"/>
      <c r="H485" s="248"/>
      <c r="I485" s="56" t="s">
        <v>44</v>
      </c>
      <c r="J485" s="56" t="s">
        <v>75</v>
      </c>
      <c r="K485" s="56" t="s">
        <v>26</v>
      </c>
      <c r="L485" s="56">
        <v>21579944.219999999</v>
      </c>
      <c r="M485" s="337">
        <v>0.53949860549999995</v>
      </c>
      <c r="O485" s="337"/>
      <c r="Q485" s="337"/>
      <c r="S485" s="337"/>
      <c r="T485" s="56">
        <v>21579944.219999999</v>
      </c>
      <c r="U485" s="56" t="s">
        <v>1107</v>
      </c>
      <c r="V485" s="56" t="s">
        <v>1114</v>
      </c>
      <c r="W485" s="56" t="s">
        <v>1115</v>
      </c>
    </row>
    <row r="486" spans="7:23" x14ac:dyDescent="0.3">
      <c r="G486" s="247"/>
      <c r="H486" s="248"/>
      <c r="I486" s="56" t="s">
        <v>44</v>
      </c>
      <c r="J486" s="56" t="s">
        <v>75</v>
      </c>
      <c r="K486" s="56" t="s">
        <v>26</v>
      </c>
      <c r="M486" s="337"/>
      <c r="O486" s="337"/>
      <c r="Q486" s="337"/>
      <c r="S486" s="337"/>
      <c r="T486" s="56">
        <v>8068862.0700000003</v>
      </c>
      <c r="U486" s="56" t="s">
        <v>1130</v>
      </c>
      <c r="V486" s="56" t="s">
        <v>1131</v>
      </c>
      <c r="W486" s="56" t="s">
        <v>1132</v>
      </c>
    </row>
    <row r="487" spans="7:23" x14ac:dyDescent="0.3">
      <c r="G487" s="247"/>
      <c r="H487" s="248"/>
      <c r="I487" s="56" t="s">
        <v>44</v>
      </c>
      <c r="J487" s="56" t="s">
        <v>75</v>
      </c>
      <c r="K487" s="56" t="s">
        <v>26</v>
      </c>
      <c r="M487" s="337"/>
      <c r="O487" s="337"/>
      <c r="Q487" s="337"/>
      <c r="S487" s="337"/>
      <c r="T487" s="56">
        <v>29227278.370000001</v>
      </c>
      <c r="U487" s="56" t="s">
        <v>1129</v>
      </c>
      <c r="V487" s="56" t="s">
        <v>1133</v>
      </c>
      <c r="W487" s="56" t="s">
        <v>1134</v>
      </c>
    </row>
    <row r="488" spans="7:23" x14ac:dyDescent="0.3">
      <c r="G488" s="247"/>
      <c r="H488" s="248"/>
      <c r="I488" s="56" t="s">
        <v>44</v>
      </c>
      <c r="J488" s="56" t="s">
        <v>75</v>
      </c>
      <c r="K488" s="56" t="s">
        <v>26</v>
      </c>
      <c r="M488" s="337"/>
      <c r="O488" s="337"/>
      <c r="Q488" s="337"/>
      <c r="S488" s="337"/>
      <c r="T488" s="56">
        <v>20691148.239999998</v>
      </c>
      <c r="U488" s="56" t="s">
        <v>1146</v>
      </c>
      <c r="V488" s="56" t="s">
        <v>1148</v>
      </c>
      <c r="W488" s="56" t="s">
        <v>1149</v>
      </c>
    </row>
    <row r="489" spans="7:23" x14ac:dyDescent="0.3">
      <c r="G489" s="247"/>
      <c r="H489" s="248"/>
      <c r="I489" s="56" t="s">
        <v>44</v>
      </c>
      <c r="J489" s="56" t="s">
        <v>75</v>
      </c>
      <c r="K489" s="56" t="s">
        <v>26</v>
      </c>
      <c r="L489" s="56">
        <v>3333418.48</v>
      </c>
      <c r="M489" s="337">
        <v>0.31909883939377492</v>
      </c>
      <c r="N489" s="56">
        <v>3333418.48</v>
      </c>
      <c r="O489" s="337">
        <v>0.31909883939377492</v>
      </c>
      <c r="Q489" s="337"/>
      <c r="S489" s="337"/>
      <c r="T489" s="56">
        <v>3333418.48</v>
      </c>
      <c r="U489" s="56" t="s">
        <v>1211</v>
      </c>
      <c r="V489" s="56" t="s">
        <v>1213</v>
      </c>
      <c r="W489" s="56" t="s">
        <v>1214</v>
      </c>
    </row>
    <row r="490" spans="7:23" x14ac:dyDescent="0.3">
      <c r="G490" s="247"/>
      <c r="H490" s="248"/>
      <c r="I490" s="56" t="s">
        <v>44</v>
      </c>
      <c r="J490" s="56" t="s">
        <v>75</v>
      </c>
      <c r="K490" s="56" t="s">
        <v>26</v>
      </c>
      <c r="M490" s="337"/>
      <c r="O490" s="337"/>
      <c r="Q490" s="337"/>
      <c r="S490" s="337"/>
      <c r="T490" s="56">
        <v>17633414.690000001</v>
      </c>
      <c r="U490" s="56" t="s">
        <v>1370</v>
      </c>
      <c r="V490" s="56" t="s">
        <v>1371</v>
      </c>
      <c r="W490" s="56" t="s">
        <v>1372</v>
      </c>
    </row>
    <row r="491" spans="7:23" x14ac:dyDescent="0.3">
      <c r="G491" s="247"/>
      <c r="H491" s="248"/>
      <c r="I491" s="56" t="s">
        <v>44</v>
      </c>
      <c r="J491" s="56" t="s">
        <v>75</v>
      </c>
      <c r="K491" s="56" t="s">
        <v>26</v>
      </c>
      <c r="M491" s="337"/>
      <c r="O491" s="337"/>
      <c r="Q491" s="337"/>
      <c r="S491" s="337"/>
      <c r="T491" s="56">
        <v>11087834.220000001</v>
      </c>
      <c r="U491" s="56" t="s">
        <v>1240</v>
      </c>
      <c r="V491" s="56" t="s">
        <v>1252</v>
      </c>
      <c r="W491" s="56" t="s">
        <v>1253</v>
      </c>
    </row>
    <row r="492" spans="7:23" x14ac:dyDescent="0.3">
      <c r="G492" s="247"/>
      <c r="H492" s="248"/>
      <c r="I492" s="56" t="s">
        <v>44</v>
      </c>
      <c r="J492" s="56" t="s">
        <v>75</v>
      </c>
      <c r="K492" s="56" t="s">
        <v>26</v>
      </c>
      <c r="L492" s="56">
        <v>7621404.0199999996</v>
      </c>
      <c r="M492" s="337">
        <v>0.20880558958904108</v>
      </c>
      <c r="O492" s="337"/>
      <c r="Q492" s="337"/>
      <c r="S492" s="337"/>
      <c r="T492" s="56">
        <v>7621404.0199999996</v>
      </c>
      <c r="U492" s="56" t="s">
        <v>1304</v>
      </c>
      <c r="V492" s="56" t="s">
        <v>1305</v>
      </c>
      <c r="W492" s="56" t="s">
        <v>1306</v>
      </c>
    </row>
    <row r="493" spans="7:23" x14ac:dyDescent="0.3">
      <c r="G493" s="247"/>
      <c r="H493" s="248"/>
      <c r="I493" s="56" t="s">
        <v>44</v>
      </c>
      <c r="J493" s="56" t="s">
        <v>75</v>
      </c>
      <c r="K493" s="56" t="s">
        <v>26</v>
      </c>
      <c r="L493" s="56">
        <v>34294432.770000003</v>
      </c>
      <c r="M493" s="337">
        <v>0.45725910359999999</v>
      </c>
      <c r="O493" s="337"/>
      <c r="Q493" s="337"/>
      <c r="S493" s="337"/>
      <c r="T493" s="56">
        <v>34294432.770000003</v>
      </c>
      <c r="U493" s="56" t="s">
        <v>1444</v>
      </c>
      <c r="V493" s="56" t="s">
        <v>1470</v>
      </c>
      <c r="W493" s="56" t="s">
        <v>1471</v>
      </c>
    </row>
    <row r="494" spans="7:23" x14ac:dyDescent="0.3">
      <c r="G494" s="247"/>
      <c r="H494" s="248"/>
      <c r="I494" s="56" t="s">
        <v>44</v>
      </c>
      <c r="J494" s="56" t="s">
        <v>75</v>
      </c>
      <c r="K494" s="56" t="s">
        <v>26</v>
      </c>
      <c r="L494" s="56">
        <v>38769731.990000002</v>
      </c>
      <c r="M494" s="337">
        <v>0.70490421800000003</v>
      </c>
      <c r="O494" s="337"/>
      <c r="Q494" s="337"/>
      <c r="S494" s="337"/>
      <c r="T494" s="56">
        <v>38769731.990000002</v>
      </c>
      <c r="U494" s="56" t="s">
        <v>1356</v>
      </c>
      <c r="V494" s="56" t="s">
        <v>1357</v>
      </c>
      <c r="W494" s="56" t="s">
        <v>1358</v>
      </c>
    </row>
    <row r="495" spans="7:23" x14ac:dyDescent="0.3">
      <c r="G495" s="247"/>
      <c r="H495" s="248"/>
      <c r="I495" s="56" t="s">
        <v>44</v>
      </c>
      <c r="J495" s="56" t="s">
        <v>75</v>
      </c>
      <c r="K495" s="56" t="s">
        <v>26</v>
      </c>
      <c r="L495" s="56">
        <v>12828956.289999999</v>
      </c>
      <c r="M495" s="337">
        <v>0.95029305851851842</v>
      </c>
      <c r="O495" s="337"/>
      <c r="Q495" s="337"/>
      <c r="S495" s="337"/>
      <c r="T495" s="56">
        <v>12828956.289999999</v>
      </c>
      <c r="U495" s="56" t="s">
        <v>1366</v>
      </c>
      <c r="V495" s="56" t="s">
        <v>1367</v>
      </c>
      <c r="W495" s="56" t="s">
        <v>1368</v>
      </c>
    </row>
    <row r="496" spans="7:23" x14ac:dyDescent="0.3">
      <c r="G496" s="247"/>
      <c r="H496" s="248"/>
      <c r="I496" s="56" t="s">
        <v>44</v>
      </c>
      <c r="J496" s="56" t="s">
        <v>75</v>
      </c>
      <c r="K496" s="56" t="s">
        <v>26</v>
      </c>
      <c r="L496" s="56">
        <v>19756376.18</v>
      </c>
      <c r="M496" s="337">
        <v>0.63730245741935487</v>
      </c>
      <c r="N496" s="56">
        <v>19756376.18</v>
      </c>
      <c r="O496" s="337">
        <v>0.63730245741935487</v>
      </c>
      <c r="P496" s="56">
        <v>19756376.18</v>
      </c>
      <c r="Q496" s="337">
        <v>0.63730245741935487</v>
      </c>
      <c r="R496" s="56">
        <v>19756376.18</v>
      </c>
      <c r="S496" s="337">
        <v>0.63730245741935487</v>
      </c>
      <c r="T496" s="56">
        <v>19756376.18</v>
      </c>
      <c r="U496" s="56" t="s">
        <v>1419</v>
      </c>
      <c r="V496" s="56" t="s">
        <v>1420</v>
      </c>
      <c r="W496" s="56" t="s">
        <v>1421</v>
      </c>
    </row>
    <row r="497" spans="7:23" x14ac:dyDescent="0.3">
      <c r="G497" s="247"/>
      <c r="H497" s="248"/>
      <c r="I497" s="56" t="s">
        <v>44</v>
      </c>
      <c r="J497" s="56" t="s">
        <v>75</v>
      </c>
      <c r="K497" s="56" t="s">
        <v>26</v>
      </c>
      <c r="L497" s="56">
        <v>32046511.23</v>
      </c>
      <c r="M497" s="337">
        <v>0.42728681639999999</v>
      </c>
      <c r="O497" s="337"/>
      <c r="Q497" s="337"/>
      <c r="S497" s="337"/>
      <c r="T497" s="56">
        <v>32046511.23</v>
      </c>
      <c r="U497" s="56" t="s">
        <v>1427</v>
      </c>
      <c r="V497" s="56" t="s">
        <v>1428</v>
      </c>
      <c r="W497" s="56" t="s">
        <v>1429</v>
      </c>
    </row>
    <row r="498" spans="7:23" x14ac:dyDescent="0.3">
      <c r="G498" s="247"/>
      <c r="H498" s="248"/>
      <c r="I498" s="56" t="s">
        <v>44</v>
      </c>
      <c r="J498" s="56" t="s">
        <v>75</v>
      </c>
      <c r="K498" s="56" t="s">
        <v>26</v>
      </c>
      <c r="L498" s="56">
        <v>18237245.899999999</v>
      </c>
      <c r="M498" s="337">
        <v>0.45593114750000002</v>
      </c>
      <c r="O498" s="337"/>
      <c r="Q498" s="337"/>
      <c r="S498" s="337"/>
      <c r="T498" s="56">
        <v>18237245.899999999</v>
      </c>
      <c r="U498" s="56" t="s">
        <v>1445</v>
      </c>
      <c r="V498" s="56" t="s">
        <v>1479</v>
      </c>
      <c r="W498" s="56" t="s">
        <v>1481</v>
      </c>
    </row>
    <row r="499" spans="7:23" x14ac:dyDescent="0.3">
      <c r="G499" s="247"/>
      <c r="H499" s="248"/>
      <c r="I499" s="56" t="s">
        <v>44</v>
      </c>
      <c r="J499" s="56" t="s">
        <v>75</v>
      </c>
      <c r="K499" s="56" t="s">
        <v>26</v>
      </c>
      <c r="L499" s="56">
        <v>52044568.159999996</v>
      </c>
      <c r="M499" s="337">
        <v>0.80068566400000007</v>
      </c>
      <c r="O499" s="337"/>
      <c r="Q499" s="337"/>
      <c r="S499" s="337"/>
      <c r="T499" s="56">
        <v>52044568.159999996</v>
      </c>
      <c r="U499" s="56" t="s">
        <v>1503</v>
      </c>
      <c r="V499" s="56" t="s">
        <v>2298</v>
      </c>
      <c r="W499" s="56" t="s">
        <v>2299</v>
      </c>
    </row>
    <row r="500" spans="7:23" x14ac:dyDescent="0.3">
      <c r="G500" s="247"/>
      <c r="H500" s="248"/>
      <c r="I500" s="56" t="s">
        <v>44</v>
      </c>
      <c r="J500" s="56" t="s">
        <v>75</v>
      </c>
      <c r="K500" s="56" t="s">
        <v>26</v>
      </c>
      <c r="L500" s="56">
        <v>15791541.779999999</v>
      </c>
      <c r="M500" s="337">
        <v>0.39255224306788478</v>
      </c>
      <c r="O500" s="337"/>
      <c r="Q500" s="337"/>
      <c r="S500" s="337"/>
      <c r="T500" s="56">
        <v>15791541.779999999</v>
      </c>
      <c r="U500" s="56" t="s">
        <v>1488</v>
      </c>
      <c r="V500" s="56" t="s">
        <v>1489</v>
      </c>
      <c r="W500" s="56" t="s">
        <v>1490</v>
      </c>
    </row>
    <row r="501" spans="7:23" x14ac:dyDescent="0.3">
      <c r="G501" s="247"/>
      <c r="H501" s="248"/>
      <c r="I501" s="56" t="s">
        <v>44</v>
      </c>
      <c r="J501" s="56" t="s">
        <v>75</v>
      </c>
      <c r="K501" s="56" t="s">
        <v>26</v>
      </c>
      <c r="M501" s="337"/>
      <c r="O501" s="337"/>
      <c r="Q501" s="337"/>
      <c r="S501" s="337"/>
      <c r="T501" s="56">
        <v>32836066.149999999</v>
      </c>
      <c r="U501" s="56" t="s">
        <v>1657</v>
      </c>
      <c r="V501" s="56" t="s">
        <v>1662</v>
      </c>
      <c r="W501" s="56" t="s">
        <v>1663</v>
      </c>
    </row>
    <row r="502" spans="7:23" x14ac:dyDescent="0.3">
      <c r="G502" s="247"/>
      <c r="H502" s="248"/>
      <c r="I502" s="56" t="s">
        <v>44</v>
      </c>
      <c r="J502" s="56" t="s">
        <v>75</v>
      </c>
      <c r="K502" s="56" t="s">
        <v>26</v>
      </c>
      <c r="L502" s="56">
        <v>873594.96</v>
      </c>
      <c r="M502" s="337">
        <v>5.8239663999999997E-2</v>
      </c>
      <c r="O502" s="337"/>
      <c r="Q502" s="337"/>
      <c r="S502" s="337"/>
      <c r="T502" s="56">
        <v>873594.96</v>
      </c>
      <c r="U502" s="56" t="s">
        <v>1603</v>
      </c>
      <c r="V502" s="56" t="s">
        <v>1625</v>
      </c>
      <c r="W502" s="56" t="s">
        <v>1626</v>
      </c>
    </row>
    <row r="503" spans="7:23" x14ac:dyDescent="0.3">
      <c r="G503" s="247"/>
      <c r="H503" s="248"/>
      <c r="I503" s="56" t="s">
        <v>44</v>
      </c>
      <c r="J503" s="56" t="s">
        <v>75</v>
      </c>
      <c r="K503" s="56" t="s">
        <v>26</v>
      </c>
      <c r="L503" s="56">
        <v>15739148.41</v>
      </c>
      <c r="M503" s="337">
        <v>0.62956593640000003</v>
      </c>
      <c r="O503" s="337"/>
      <c r="Q503" s="337"/>
      <c r="S503" s="337"/>
      <c r="T503" s="56">
        <v>15739148.41</v>
      </c>
      <c r="U503" s="56" t="s">
        <v>1558</v>
      </c>
      <c r="V503" s="56" t="s">
        <v>1582</v>
      </c>
      <c r="W503" s="56" t="s">
        <v>1583</v>
      </c>
    </row>
    <row r="504" spans="7:23" x14ac:dyDescent="0.3">
      <c r="G504" s="247"/>
      <c r="H504" s="248"/>
      <c r="I504" s="56" t="s">
        <v>44</v>
      </c>
      <c r="J504" s="56" t="s">
        <v>75</v>
      </c>
      <c r="K504" s="56" t="s">
        <v>26</v>
      </c>
      <c r="L504" s="56">
        <v>51843235.170000002</v>
      </c>
      <c r="M504" s="337">
        <v>0.79758823338461537</v>
      </c>
      <c r="O504" s="337"/>
      <c r="Q504" s="337"/>
      <c r="S504" s="337"/>
      <c r="T504" s="56">
        <v>51843235.170000002</v>
      </c>
      <c r="U504" s="56" t="s">
        <v>1561</v>
      </c>
      <c r="V504" s="56" t="s">
        <v>1587</v>
      </c>
      <c r="W504" s="56" t="s">
        <v>1588</v>
      </c>
    </row>
    <row r="505" spans="7:23" x14ac:dyDescent="0.3">
      <c r="G505" s="247"/>
      <c r="H505" s="248"/>
      <c r="I505" s="56" t="s">
        <v>44</v>
      </c>
      <c r="J505" s="56" t="s">
        <v>75</v>
      </c>
      <c r="K505" s="56" t="s">
        <v>26</v>
      </c>
      <c r="L505" s="56">
        <v>32315820.850000001</v>
      </c>
      <c r="M505" s="337">
        <v>0.85041633815789475</v>
      </c>
      <c r="O505" s="337"/>
      <c r="Q505" s="337"/>
      <c r="S505" s="337"/>
      <c r="T505" s="56">
        <v>32315820.850000001</v>
      </c>
      <c r="U505" s="56" t="s">
        <v>1563</v>
      </c>
      <c r="V505" s="56" t="s">
        <v>1592</v>
      </c>
      <c r="W505" s="56" t="s">
        <v>1593</v>
      </c>
    </row>
    <row r="506" spans="7:23" x14ac:dyDescent="0.3">
      <c r="G506" s="247"/>
      <c r="H506" s="248"/>
      <c r="I506" s="56" t="s">
        <v>44</v>
      </c>
      <c r="J506" s="56" t="s">
        <v>75</v>
      </c>
      <c r="K506" s="56" t="s">
        <v>26</v>
      </c>
      <c r="M506" s="337"/>
      <c r="O506" s="337"/>
      <c r="Q506" s="337"/>
      <c r="S506" s="337"/>
      <c r="T506" s="56">
        <v>29312406.25</v>
      </c>
      <c r="U506" s="56" t="s">
        <v>1631</v>
      </c>
      <c r="V506" s="56" t="s">
        <v>1632</v>
      </c>
      <c r="W506" s="56" t="s">
        <v>1633</v>
      </c>
    </row>
    <row r="507" spans="7:23" x14ac:dyDescent="0.3">
      <c r="G507" s="247"/>
      <c r="H507" s="248"/>
      <c r="I507" s="56" t="s">
        <v>44</v>
      </c>
      <c r="J507" s="56" t="s">
        <v>75</v>
      </c>
      <c r="K507" s="56" t="s">
        <v>26</v>
      </c>
      <c r="L507" s="56">
        <v>4551947.53</v>
      </c>
      <c r="M507" s="337">
        <v>0.45519475300000001</v>
      </c>
      <c r="O507" s="337"/>
      <c r="Q507" s="337"/>
      <c r="S507" s="337"/>
      <c r="T507" s="56">
        <v>4551947.53</v>
      </c>
      <c r="U507" s="56" t="s">
        <v>1689</v>
      </c>
      <c r="V507" s="56" t="s">
        <v>1692</v>
      </c>
      <c r="W507" s="56" t="s">
        <v>1693</v>
      </c>
    </row>
    <row r="508" spans="7:23" x14ac:dyDescent="0.3">
      <c r="G508" s="247"/>
      <c r="H508" s="248"/>
      <c r="I508" s="56" t="s">
        <v>44</v>
      </c>
      <c r="J508" s="56" t="s">
        <v>75</v>
      </c>
      <c r="K508" s="56" t="s">
        <v>26</v>
      </c>
      <c r="M508" s="337"/>
      <c r="O508" s="337"/>
      <c r="Q508" s="337"/>
      <c r="S508" s="337"/>
      <c r="T508" s="56">
        <v>5387739.1900000004</v>
      </c>
      <c r="U508" s="56" t="s">
        <v>1717</v>
      </c>
      <c r="V508" s="56" t="s">
        <v>1718</v>
      </c>
      <c r="W508" s="56" t="s">
        <v>1719</v>
      </c>
    </row>
    <row r="509" spans="7:23" x14ac:dyDescent="0.3">
      <c r="G509" s="247"/>
      <c r="H509" s="248"/>
      <c r="I509" s="56" t="s">
        <v>44</v>
      </c>
      <c r="J509" s="56" t="s">
        <v>75</v>
      </c>
      <c r="K509" s="56" t="s">
        <v>26</v>
      </c>
      <c r="M509" s="337"/>
      <c r="O509" s="337"/>
      <c r="Q509" s="337"/>
      <c r="S509" s="337"/>
      <c r="T509" s="56">
        <v>29717377.190000001</v>
      </c>
      <c r="U509" s="56" t="s">
        <v>1725</v>
      </c>
      <c r="V509" s="56" t="s">
        <v>1726</v>
      </c>
      <c r="W509" s="56" t="s">
        <v>1727</v>
      </c>
    </row>
    <row r="510" spans="7:23" x14ac:dyDescent="0.3">
      <c r="G510" s="247"/>
      <c r="H510" s="248"/>
      <c r="I510" s="56" t="s">
        <v>44</v>
      </c>
      <c r="J510" s="56" t="s">
        <v>75</v>
      </c>
      <c r="K510" s="56" t="s">
        <v>26</v>
      </c>
      <c r="L510" s="56">
        <v>4562663.53</v>
      </c>
      <c r="M510" s="337">
        <v>0.29436538903225806</v>
      </c>
      <c r="O510" s="337"/>
      <c r="Q510" s="337"/>
      <c r="S510" s="337"/>
      <c r="T510" s="56">
        <v>4562663.53</v>
      </c>
      <c r="U510" s="56" t="s">
        <v>1926</v>
      </c>
      <c r="V510" s="56" t="s">
        <v>1927</v>
      </c>
      <c r="W510" s="56" t="s">
        <v>1928</v>
      </c>
    </row>
    <row r="511" spans="7:23" x14ac:dyDescent="0.3">
      <c r="G511" s="247"/>
      <c r="H511" s="248"/>
      <c r="I511" s="56" t="s">
        <v>44</v>
      </c>
      <c r="J511" s="56" t="s">
        <v>75</v>
      </c>
      <c r="K511" s="56" t="s">
        <v>26</v>
      </c>
      <c r="L511" s="56">
        <v>33251222.120000001</v>
      </c>
      <c r="M511" s="337">
        <v>0.81100541756097566</v>
      </c>
      <c r="O511" s="337"/>
      <c r="Q511" s="337"/>
      <c r="S511" s="337"/>
      <c r="T511" s="56">
        <v>33251222.120000001</v>
      </c>
      <c r="U511" s="56" t="s">
        <v>1963</v>
      </c>
      <c r="V511" s="56" t="s">
        <v>1964</v>
      </c>
      <c r="W511" s="56" t="s">
        <v>1965</v>
      </c>
    </row>
    <row r="512" spans="7:23" x14ac:dyDescent="0.3">
      <c r="G512" s="247"/>
      <c r="H512" s="248"/>
      <c r="I512" s="56" t="s">
        <v>44</v>
      </c>
      <c r="J512" s="56" t="s">
        <v>75</v>
      </c>
      <c r="K512" s="56" t="s">
        <v>26</v>
      </c>
      <c r="L512" s="56">
        <v>3794918.66</v>
      </c>
      <c r="M512" s="337">
        <v>0.58383364000000004</v>
      </c>
      <c r="N512" s="56">
        <v>3794918.66</v>
      </c>
      <c r="O512" s="337">
        <v>0.58383364000000004</v>
      </c>
      <c r="P512" s="56">
        <v>3794918.66</v>
      </c>
      <c r="Q512" s="337">
        <v>0.58383364000000004</v>
      </c>
      <c r="S512" s="337"/>
      <c r="T512" s="56">
        <v>3794918.66</v>
      </c>
      <c r="U512" s="56" t="s">
        <v>1974</v>
      </c>
      <c r="V512" s="56" t="s">
        <v>1975</v>
      </c>
      <c r="W512" s="56" t="s">
        <v>1976</v>
      </c>
    </row>
    <row r="513" spans="7:23" x14ac:dyDescent="0.3">
      <c r="G513" s="247"/>
      <c r="H513" s="248"/>
      <c r="I513" s="56" t="s">
        <v>44</v>
      </c>
      <c r="J513" s="56" t="s">
        <v>75</v>
      </c>
      <c r="K513" s="56" t="s">
        <v>26</v>
      </c>
      <c r="M513" s="337"/>
      <c r="O513" s="337"/>
      <c r="Q513" s="337"/>
      <c r="S513" s="337"/>
      <c r="T513" s="56">
        <v>30444560.640000001</v>
      </c>
      <c r="U513" s="56" t="s">
        <v>2308</v>
      </c>
      <c r="V513" s="56" t="s">
        <v>2315</v>
      </c>
      <c r="W513" s="56" t="s">
        <v>2316</v>
      </c>
    </row>
    <row r="514" spans="7:23" x14ac:dyDescent="0.3">
      <c r="G514" s="247"/>
      <c r="H514" s="248"/>
      <c r="I514" s="56" t="s">
        <v>44</v>
      </c>
      <c r="J514" s="56" t="s">
        <v>75</v>
      </c>
      <c r="K514" s="56" t="s">
        <v>26</v>
      </c>
      <c r="L514" s="56">
        <v>2106431.0099999998</v>
      </c>
      <c r="M514" s="337">
        <v>0.421286202</v>
      </c>
      <c r="O514" s="337"/>
      <c r="Q514" s="337"/>
      <c r="S514" s="337"/>
      <c r="T514" s="56">
        <v>2106431.0099999998</v>
      </c>
      <c r="U514" s="56" t="s">
        <v>2337</v>
      </c>
      <c r="V514" s="56" t="s">
        <v>2339</v>
      </c>
      <c r="W514" s="56" t="s">
        <v>2340</v>
      </c>
    </row>
    <row r="515" spans="7:23" x14ac:dyDescent="0.3">
      <c r="G515" s="247"/>
      <c r="H515" s="248"/>
      <c r="I515" s="56" t="s">
        <v>44</v>
      </c>
      <c r="J515" s="56" t="s">
        <v>75</v>
      </c>
      <c r="K515" s="56" t="s">
        <v>26</v>
      </c>
      <c r="M515" s="337"/>
      <c r="O515" s="337"/>
      <c r="Q515" s="337"/>
      <c r="S515" s="337"/>
      <c r="T515" s="56">
        <v>25860721.039999999</v>
      </c>
      <c r="U515" s="56" t="s">
        <v>2531</v>
      </c>
      <c r="V515" s="56" t="s">
        <v>2534</v>
      </c>
      <c r="W515" s="56" t="s">
        <v>2535</v>
      </c>
    </row>
    <row r="516" spans="7:23" x14ac:dyDescent="0.3">
      <c r="G516" s="247"/>
      <c r="H516" s="248"/>
      <c r="I516" s="56" t="s">
        <v>44</v>
      </c>
      <c r="J516" s="56" t="s">
        <v>75</v>
      </c>
      <c r="K516" s="56" t="s">
        <v>26</v>
      </c>
      <c r="L516" s="56">
        <v>1410988.6</v>
      </c>
      <c r="M516" s="337">
        <v>0.176373575</v>
      </c>
      <c r="N516" s="56">
        <v>1410988.6</v>
      </c>
      <c r="O516" s="337">
        <v>0.176373575</v>
      </c>
      <c r="Q516" s="337"/>
      <c r="S516" s="337"/>
      <c r="T516" s="56">
        <v>1410988.6</v>
      </c>
      <c r="U516" s="56" t="s">
        <v>2615</v>
      </c>
      <c r="V516" s="56" t="s">
        <v>2618</v>
      </c>
      <c r="W516" s="56" t="s">
        <v>2619</v>
      </c>
    </row>
    <row r="517" spans="7:23" x14ac:dyDescent="0.3">
      <c r="G517" s="247"/>
      <c r="H517" s="248"/>
      <c r="I517" s="56" t="s">
        <v>44</v>
      </c>
      <c r="J517" s="56" t="s">
        <v>75</v>
      </c>
      <c r="K517" s="56" t="s">
        <v>26</v>
      </c>
      <c r="L517" s="56">
        <v>5152490.5599999996</v>
      </c>
      <c r="M517" s="337">
        <v>0.64406131999999994</v>
      </c>
      <c r="N517" s="56">
        <v>5152490.5599999996</v>
      </c>
      <c r="O517" s="337">
        <v>0.64406131999999994</v>
      </c>
      <c r="P517" s="56">
        <v>5152490.5599999996</v>
      </c>
      <c r="Q517" s="337">
        <v>0.64406131999999994</v>
      </c>
      <c r="R517" s="56">
        <v>5152490.5599999996</v>
      </c>
      <c r="S517" s="337">
        <v>0.64406131999999994</v>
      </c>
      <c r="T517" s="56">
        <v>5152490.5599999996</v>
      </c>
      <c r="U517" s="56" t="s">
        <v>2701</v>
      </c>
      <c r="V517" s="56" t="s">
        <v>2702</v>
      </c>
      <c r="W517" s="56" t="s">
        <v>2703</v>
      </c>
    </row>
    <row r="518" spans="7:23" x14ac:dyDescent="0.3">
      <c r="G518" s="247"/>
      <c r="H518" s="248"/>
      <c r="I518" s="56" t="s">
        <v>44</v>
      </c>
      <c r="J518" s="56" t="s">
        <v>75</v>
      </c>
      <c r="K518" s="56" t="s">
        <v>26</v>
      </c>
      <c r="M518" s="337"/>
      <c r="O518" s="337"/>
      <c r="Q518" s="337"/>
      <c r="S518" s="337"/>
      <c r="T518" s="56">
        <v>14952391.619999999</v>
      </c>
      <c r="U518" s="56" t="s">
        <v>2831</v>
      </c>
      <c r="V518" s="56" t="s">
        <v>2833</v>
      </c>
      <c r="W518" s="56" t="s">
        <v>2834</v>
      </c>
    </row>
    <row r="519" spans="7:23" x14ac:dyDescent="0.3">
      <c r="G519" s="247"/>
      <c r="H519" s="248"/>
      <c r="I519" s="56" t="s">
        <v>44</v>
      </c>
      <c r="J519" s="56" t="s">
        <v>75</v>
      </c>
      <c r="K519" s="56" t="s">
        <v>26</v>
      </c>
      <c r="L519" s="56">
        <v>478281.87</v>
      </c>
      <c r="M519" s="337">
        <v>0.13665196285714284</v>
      </c>
      <c r="N519" s="56">
        <v>478281.87</v>
      </c>
      <c r="O519" s="337">
        <v>0.13665196285714284</v>
      </c>
      <c r="P519" s="56">
        <v>478281.87</v>
      </c>
      <c r="Q519" s="337">
        <v>0.13665196285714284</v>
      </c>
      <c r="S519" s="337"/>
      <c r="T519" s="56">
        <v>478281.87</v>
      </c>
      <c r="U519" s="56" t="s">
        <v>2830</v>
      </c>
      <c r="V519" s="56" t="s">
        <v>2835</v>
      </c>
      <c r="W519" s="56" t="s">
        <v>2836</v>
      </c>
    </row>
    <row r="520" spans="7:23" x14ac:dyDescent="0.3">
      <c r="G520" s="247"/>
      <c r="H520" s="248"/>
      <c r="I520" s="56" t="s">
        <v>44</v>
      </c>
      <c r="J520" s="56" t="s">
        <v>75</v>
      </c>
      <c r="K520" s="56" t="s">
        <v>26</v>
      </c>
      <c r="L520" s="56">
        <v>302766.58</v>
      </c>
      <c r="M520" s="337">
        <v>0.30276658000000001</v>
      </c>
      <c r="N520" s="56">
        <v>302766.58</v>
      </c>
      <c r="O520" s="337">
        <v>0.30276658000000001</v>
      </c>
      <c r="P520" s="56">
        <v>302766.58</v>
      </c>
      <c r="Q520" s="337">
        <v>0.30276658000000001</v>
      </c>
      <c r="S520" s="337"/>
      <c r="T520" s="56">
        <v>302766.58</v>
      </c>
      <c r="U520" s="56" t="s">
        <v>2829</v>
      </c>
      <c r="V520" s="56" t="s">
        <v>2838</v>
      </c>
      <c r="W520" s="56" t="s">
        <v>2839</v>
      </c>
    </row>
    <row r="521" spans="7:23" x14ac:dyDescent="0.3">
      <c r="G521" s="247"/>
      <c r="H521" s="248"/>
      <c r="I521" s="56" t="s">
        <v>44</v>
      </c>
      <c r="J521" s="56" t="s">
        <v>75</v>
      </c>
      <c r="K521" s="56" t="s">
        <v>26</v>
      </c>
      <c r="L521" s="56">
        <v>226805.78</v>
      </c>
      <c r="M521" s="337">
        <v>9.0722311999999999E-2</v>
      </c>
      <c r="N521" s="56">
        <v>226805.78</v>
      </c>
      <c r="O521" s="337">
        <v>9.0722311999999999E-2</v>
      </c>
      <c r="Q521" s="337"/>
      <c r="S521" s="337"/>
      <c r="T521" s="56">
        <v>226805.78</v>
      </c>
      <c r="U521" s="56" t="s">
        <v>3050</v>
      </c>
      <c r="V521" s="56" t="s">
        <v>3057</v>
      </c>
      <c r="W521" s="56" t="s">
        <v>3058</v>
      </c>
    </row>
    <row r="522" spans="7:23" x14ac:dyDescent="0.3">
      <c r="G522" s="247"/>
      <c r="H522" s="248"/>
      <c r="I522" s="56" t="s">
        <v>44</v>
      </c>
      <c r="J522" s="56" t="s">
        <v>75</v>
      </c>
      <c r="K522" s="56" t="s">
        <v>26</v>
      </c>
      <c r="M522" s="337"/>
      <c r="O522" s="337"/>
      <c r="Q522" s="337"/>
      <c r="S522" s="337"/>
      <c r="T522" s="56">
        <v>10232515.77</v>
      </c>
      <c r="U522" s="56" t="s">
        <v>3231</v>
      </c>
      <c r="V522" s="56" t="s">
        <v>3235</v>
      </c>
      <c r="W522" s="56" t="s">
        <v>3236</v>
      </c>
    </row>
    <row r="523" spans="7:23" x14ac:dyDescent="0.3">
      <c r="G523" s="247"/>
      <c r="H523" s="248"/>
      <c r="I523" s="56" t="s">
        <v>44</v>
      </c>
      <c r="J523" s="56" t="s">
        <v>75</v>
      </c>
      <c r="K523" s="56" t="s">
        <v>26</v>
      </c>
      <c r="L523" s="56">
        <v>15224422.66</v>
      </c>
      <c r="M523" s="337">
        <v>0.69201921181818182</v>
      </c>
      <c r="N523" s="56">
        <v>15224422.66</v>
      </c>
      <c r="O523" s="337">
        <v>0.69201921181818182</v>
      </c>
      <c r="P523" s="56">
        <v>15224422.66</v>
      </c>
      <c r="Q523" s="337">
        <v>0.69201921181818182</v>
      </c>
      <c r="S523" s="337"/>
      <c r="T523" s="56">
        <v>15224422.66</v>
      </c>
      <c r="U523" s="56" t="s">
        <v>3706</v>
      </c>
      <c r="V523" s="56" t="s">
        <v>3714</v>
      </c>
      <c r="W523" s="56" t="s">
        <v>3715</v>
      </c>
    </row>
    <row r="524" spans="7:23" x14ac:dyDescent="0.3">
      <c r="G524" s="247"/>
      <c r="H524" s="248"/>
      <c r="I524" s="56" t="s">
        <v>44</v>
      </c>
      <c r="J524" s="56" t="s">
        <v>75</v>
      </c>
      <c r="K524" s="56" t="s">
        <v>26</v>
      </c>
      <c r="M524" s="337"/>
      <c r="O524" s="337"/>
      <c r="Q524" s="337"/>
      <c r="S524" s="337"/>
      <c r="T524" s="56">
        <v>2110279.12</v>
      </c>
      <c r="U524" s="56" t="s">
        <v>4104</v>
      </c>
      <c r="V524" s="56" t="s">
        <v>4105</v>
      </c>
      <c r="W524" s="56" t="s">
        <v>4106</v>
      </c>
    </row>
    <row r="525" spans="7:23" x14ac:dyDescent="0.3">
      <c r="G525" s="247"/>
      <c r="H525" s="248"/>
      <c r="I525" s="56" t="s">
        <v>44</v>
      </c>
      <c r="J525" s="56" t="s">
        <v>75</v>
      </c>
      <c r="K525" s="56" t="s">
        <v>26</v>
      </c>
      <c r="L525" s="56">
        <v>41214800.259999998</v>
      </c>
      <c r="M525" s="337">
        <v>0.74936000472727271</v>
      </c>
      <c r="O525" s="337"/>
      <c r="Q525" s="337"/>
      <c r="S525" s="337"/>
      <c r="T525" s="56">
        <v>41214800.259999998</v>
      </c>
      <c r="U525" s="56" t="s">
        <v>4128</v>
      </c>
      <c r="V525" s="56" t="s">
        <v>4131</v>
      </c>
      <c r="W525" s="56" t="s">
        <v>4132</v>
      </c>
    </row>
    <row r="526" spans="7:23" x14ac:dyDescent="0.3">
      <c r="G526" s="247"/>
      <c r="H526" s="248"/>
      <c r="I526" s="56" t="s">
        <v>44</v>
      </c>
      <c r="J526" s="56" t="s">
        <v>75</v>
      </c>
      <c r="K526" s="56" t="s">
        <v>26</v>
      </c>
      <c r="L526" s="56">
        <v>1903662.33</v>
      </c>
      <c r="M526" s="337">
        <v>0.54390352285714283</v>
      </c>
      <c r="N526" s="56">
        <v>1903662.33</v>
      </c>
      <c r="O526" s="337">
        <v>0.54390352285714283</v>
      </c>
      <c r="P526" s="56">
        <v>1903662.33</v>
      </c>
      <c r="Q526" s="337">
        <v>0.54390352285714283</v>
      </c>
      <c r="S526" s="337"/>
      <c r="T526" s="56">
        <v>1903662.33</v>
      </c>
      <c r="U526" s="56" t="s">
        <v>4206</v>
      </c>
      <c r="V526" s="56" t="s">
        <v>4213</v>
      </c>
      <c r="W526" s="56" t="s">
        <v>5833</v>
      </c>
    </row>
    <row r="527" spans="7:23" x14ac:dyDescent="0.3">
      <c r="G527" s="247"/>
      <c r="H527" s="248"/>
      <c r="I527" s="56" t="s">
        <v>44</v>
      </c>
      <c r="J527" s="56" t="s">
        <v>75</v>
      </c>
      <c r="K527" s="56" t="s">
        <v>26</v>
      </c>
      <c r="L527" s="56">
        <v>694821.79</v>
      </c>
      <c r="M527" s="337">
        <v>0.347410895</v>
      </c>
      <c r="O527" s="337"/>
      <c r="Q527" s="337"/>
      <c r="S527" s="337"/>
      <c r="T527" s="56">
        <v>694821.79</v>
      </c>
      <c r="U527" s="56" t="s">
        <v>4271</v>
      </c>
      <c r="V527" s="56" t="s">
        <v>4275</v>
      </c>
      <c r="W527" s="56" t="s">
        <v>4276</v>
      </c>
    </row>
    <row r="528" spans="7:23" x14ac:dyDescent="0.3">
      <c r="G528" s="247"/>
      <c r="H528" s="248"/>
      <c r="I528" s="56" t="s">
        <v>44</v>
      </c>
      <c r="J528" s="56" t="s">
        <v>75</v>
      </c>
      <c r="K528" s="56" t="s">
        <v>26</v>
      </c>
      <c r="L528" s="56">
        <v>3188562.22</v>
      </c>
      <c r="M528" s="337">
        <v>0.79714055499999992</v>
      </c>
      <c r="N528" s="56">
        <v>3188562.22</v>
      </c>
      <c r="O528" s="337">
        <v>0.79714055499999992</v>
      </c>
      <c r="Q528" s="337"/>
      <c r="S528" s="337"/>
      <c r="T528" s="56">
        <v>3188562.22</v>
      </c>
      <c r="U528" s="56" t="s">
        <v>4798</v>
      </c>
      <c r="V528" s="56" t="s">
        <v>4802</v>
      </c>
      <c r="W528" s="56" t="s">
        <v>4803</v>
      </c>
    </row>
    <row r="529" spans="7:23" x14ac:dyDescent="0.3">
      <c r="G529" s="247"/>
      <c r="H529" s="248"/>
      <c r="I529" s="56" t="s">
        <v>44</v>
      </c>
      <c r="J529" s="56" t="s">
        <v>75</v>
      </c>
      <c r="K529" s="56" t="s">
        <v>26</v>
      </c>
      <c r="M529" s="337"/>
      <c r="O529" s="337"/>
      <c r="Q529" s="337"/>
      <c r="S529" s="337"/>
      <c r="T529" s="56">
        <v>23336195.68</v>
      </c>
      <c r="U529" s="56" t="s">
        <v>5730</v>
      </c>
      <c r="V529" s="56" t="s">
        <v>5738</v>
      </c>
      <c r="W529" s="56" t="s">
        <v>5739</v>
      </c>
    </row>
    <row r="530" spans="7:23" x14ac:dyDescent="0.3">
      <c r="G530" s="247"/>
      <c r="H530" s="248"/>
      <c r="I530" s="56" t="s">
        <v>44</v>
      </c>
      <c r="J530" s="56" t="s">
        <v>75</v>
      </c>
      <c r="K530" s="56" t="s">
        <v>26</v>
      </c>
      <c r="M530" s="337"/>
      <c r="O530" s="337"/>
      <c r="Q530" s="337"/>
      <c r="S530" s="337"/>
      <c r="T530" s="56">
        <v>32802582.32</v>
      </c>
      <c r="U530" s="56" t="s">
        <v>1702</v>
      </c>
      <c r="V530" s="56" t="s">
        <v>1703</v>
      </c>
      <c r="W530" s="56" t="s">
        <v>1704</v>
      </c>
    </row>
    <row r="531" spans="7:23" x14ac:dyDescent="0.3">
      <c r="G531" s="247"/>
      <c r="H531" s="248"/>
      <c r="I531" s="56" t="s">
        <v>44</v>
      </c>
      <c r="J531" s="56" t="s">
        <v>75</v>
      </c>
      <c r="K531" s="56" t="s">
        <v>26</v>
      </c>
      <c r="L531" s="56">
        <v>13267280.039999999</v>
      </c>
      <c r="M531" s="337">
        <v>0.60305818363636365</v>
      </c>
      <c r="O531" s="337"/>
      <c r="Q531" s="337"/>
      <c r="S531" s="337"/>
      <c r="T531" s="56">
        <v>13267280.039999999</v>
      </c>
      <c r="U531" s="56" t="s">
        <v>1863</v>
      </c>
      <c r="V531" s="56" t="s">
        <v>1864</v>
      </c>
      <c r="W531" s="56" t="s">
        <v>1865</v>
      </c>
    </row>
    <row r="532" spans="7:23" x14ac:dyDescent="0.3">
      <c r="G532" s="247"/>
      <c r="H532" s="248"/>
      <c r="I532" s="56" t="s">
        <v>44</v>
      </c>
      <c r="J532" s="56" t="s">
        <v>75</v>
      </c>
      <c r="K532" s="56" t="s">
        <v>26</v>
      </c>
      <c r="M532" s="337"/>
      <c r="O532" s="337"/>
      <c r="Q532" s="337"/>
      <c r="S532" s="337"/>
      <c r="T532" s="56">
        <v>3330896.48</v>
      </c>
      <c r="U532" s="56" t="s">
        <v>1910</v>
      </c>
      <c r="V532" s="56" t="s">
        <v>1911</v>
      </c>
      <c r="W532" s="56" t="s">
        <v>1912</v>
      </c>
    </row>
    <row r="533" spans="7:23" x14ac:dyDescent="0.3">
      <c r="G533" s="247"/>
      <c r="H533" s="248"/>
      <c r="I533" s="56" t="s">
        <v>44</v>
      </c>
      <c r="J533" s="56" t="s">
        <v>75</v>
      </c>
      <c r="K533" s="56" t="s">
        <v>26</v>
      </c>
      <c r="L533" s="56">
        <v>653787.15</v>
      </c>
      <c r="M533" s="337">
        <v>9.3398164285714277E-2</v>
      </c>
      <c r="O533" s="337"/>
      <c r="Q533" s="337"/>
      <c r="S533" s="337"/>
      <c r="T533" s="56">
        <v>653787.15</v>
      </c>
      <c r="U533" s="56" t="s">
        <v>2007</v>
      </c>
      <c r="V533" s="56" t="s">
        <v>2008</v>
      </c>
      <c r="W533" s="56" t="s">
        <v>2009</v>
      </c>
    </row>
    <row r="534" spans="7:23" x14ac:dyDescent="0.3">
      <c r="G534" s="247"/>
      <c r="H534" s="248"/>
      <c r="I534" s="56" t="s">
        <v>44</v>
      </c>
      <c r="J534" s="56" t="s">
        <v>75</v>
      </c>
      <c r="K534" s="56" t="s">
        <v>26</v>
      </c>
      <c r="M534" s="337"/>
      <c r="O534" s="337"/>
      <c r="Q534" s="337"/>
      <c r="S534" s="337"/>
      <c r="T534" s="56">
        <v>4445166.99</v>
      </c>
      <c r="U534" s="56" t="s">
        <v>4898</v>
      </c>
      <c r="V534" s="56" t="s">
        <v>4899</v>
      </c>
      <c r="W534" s="56" t="s">
        <v>4900</v>
      </c>
    </row>
    <row r="535" spans="7:23" x14ac:dyDescent="0.3">
      <c r="G535" s="247"/>
      <c r="H535" s="248"/>
      <c r="I535" s="56" t="s">
        <v>44</v>
      </c>
      <c r="J535" s="56" t="s">
        <v>75</v>
      </c>
      <c r="K535" s="56" t="s">
        <v>26</v>
      </c>
      <c r="L535" s="56">
        <v>10708766.49</v>
      </c>
      <c r="M535" s="337">
        <v>0.7139177659999999</v>
      </c>
      <c r="N535" s="56">
        <v>10708766.49</v>
      </c>
      <c r="O535" s="337">
        <v>0.7139177659999999</v>
      </c>
      <c r="Q535" s="337"/>
      <c r="S535" s="337"/>
      <c r="T535" s="56">
        <v>10708766.49</v>
      </c>
      <c r="U535" s="56" t="s">
        <v>3232</v>
      </c>
      <c r="V535" s="56" t="s">
        <v>3247</v>
      </c>
      <c r="W535" s="56" t="s">
        <v>4108</v>
      </c>
    </row>
    <row r="536" spans="7:23" x14ac:dyDescent="0.3">
      <c r="G536" s="247"/>
      <c r="H536" s="248"/>
      <c r="I536" s="56" t="s">
        <v>44</v>
      </c>
      <c r="J536" s="56" t="s">
        <v>75</v>
      </c>
      <c r="K536" s="56" t="s">
        <v>26</v>
      </c>
      <c r="M536" s="337"/>
      <c r="O536" s="337"/>
      <c r="Q536" s="337"/>
      <c r="S536" s="337"/>
      <c r="T536" s="56">
        <v>20571537.48</v>
      </c>
      <c r="U536" s="56" t="s">
        <v>2084</v>
      </c>
      <c r="V536" s="56" t="s">
        <v>2091</v>
      </c>
      <c r="W536" s="56" t="s">
        <v>2092</v>
      </c>
    </row>
    <row r="537" spans="7:23" x14ac:dyDescent="0.3">
      <c r="G537" s="247"/>
      <c r="H537" s="248"/>
      <c r="I537" s="56" t="s">
        <v>44</v>
      </c>
      <c r="J537" s="56" t="s">
        <v>75</v>
      </c>
      <c r="K537" s="56" t="s">
        <v>26</v>
      </c>
      <c r="L537" s="56">
        <v>23649292.989999998</v>
      </c>
      <c r="M537" s="337">
        <v>0.67569408542857134</v>
      </c>
      <c r="O537" s="337"/>
      <c r="Q537" s="337"/>
      <c r="S537" s="337"/>
      <c r="T537" s="56">
        <v>23649292.989999998</v>
      </c>
      <c r="U537" s="56" t="s">
        <v>2068</v>
      </c>
      <c r="V537" s="56" t="s">
        <v>2071</v>
      </c>
      <c r="W537" s="56" t="s">
        <v>2072</v>
      </c>
    </row>
    <row r="538" spans="7:23" x14ac:dyDescent="0.3">
      <c r="G538" s="247"/>
      <c r="H538" s="248"/>
      <c r="I538" s="56" t="s">
        <v>44</v>
      </c>
      <c r="J538" s="56" t="s">
        <v>75</v>
      </c>
      <c r="K538" s="56" t="s">
        <v>26</v>
      </c>
      <c r="L538" s="56">
        <v>2846108.03</v>
      </c>
      <c r="M538" s="337">
        <v>0.47435133833333337</v>
      </c>
      <c r="O538" s="337"/>
      <c r="Q538" s="337"/>
      <c r="S538" s="337"/>
      <c r="T538" s="56">
        <v>2846108.03</v>
      </c>
      <c r="U538" s="56" t="s">
        <v>2235</v>
      </c>
      <c r="V538" s="56" t="s">
        <v>2243</v>
      </c>
      <c r="W538" s="56" t="s">
        <v>2244</v>
      </c>
    </row>
    <row r="539" spans="7:23" x14ac:dyDescent="0.3">
      <c r="G539" s="247"/>
      <c r="H539" s="248"/>
      <c r="I539" s="56" t="s">
        <v>44</v>
      </c>
      <c r="J539" s="56" t="s">
        <v>75</v>
      </c>
      <c r="K539" s="56" t="s">
        <v>26</v>
      </c>
      <c r="M539" s="337"/>
      <c r="O539" s="337"/>
      <c r="Q539" s="337"/>
      <c r="S539" s="337"/>
      <c r="T539" s="56">
        <v>3252159.47</v>
      </c>
      <c r="U539" s="56" t="s">
        <v>2259</v>
      </c>
      <c r="V539" s="56" t="s">
        <v>2262</v>
      </c>
      <c r="W539" s="56" t="s">
        <v>2263</v>
      </c>
    </row>
    <row r="540" spans="7:23" x14ac:dyDescent="0.3">
      <c r="G540" s="247"/>
      <c r="H540" s="248"/>
      <c r="I540" s="56" t="s">
        <v>44</v>
      </c>
      <c r="J540" s="56" t="s">
        <v>75</v>
      </c>
      <c r="K540" s="56" t="s">
        <v>26</v>
      </c>
      <c r="M540" s="337"/>
      <c r="O540" s="337"/>
      <c r="Q540" s="337"/>
      <c r="S540" s="337"/>
      <c r="T540" s="56">
        <v>1182767.92</v>
      </c>
      <c r="U540" s="56" t="s">
        <v>2469</v>
      </c>
      <c r="V540" s="56" t="s">
        <v>2470</v>
      </c>
      <c r="W540" s="56" t="s">
        <v>2471</v>
      </c>
    </row>
    <row r="541" spans="7:23" x14ac:dyDescent="0.3">
      <c r="G541" s="247"/>
      <c r="H541" s="248"/>
      <c r="I541" s="56" t="s">
        <v>44</v>
      </c>
      <c r="J541" s="56" t="s">
        <v>75</v>
      </c>
      <c r="K541" s="56" t="s">
        <v>26</v>
      </c>
      <c r="L541" s="56">
        <v>7697640.4299999997</v>
      </c>
      <c r="M541" s="337">
        <v>0.51317602866666667</v>
      </c>
      <c r="N541" s="56">
        <v>7697640.4299999997</v>
      </c>
      <c r="O541" s="337">
        <v>0.51317602866666667</v>
      </c>
      <c r="Q541" s="337"/>
      <c r="S541" s="337"/>
      <c r="T541" s="56">
        <v>7697640.4299999997</v>
      </c>
      <c r="U541" s="56" t="s">
        <v>2456</v>
      </c>
      <c r="V541" s="56" t="s">
        <v>2457</v>
      </c>
      <c r="W541" s="56" t="s">
        <v>2458</v>
      </c>
    </row>
    <row r="542" spans="7:23" x14ac:dyDescent="0.3">
      <c r="G542" s="247"/>
      <c r="H542" s="248"/>
      <c r="I542" s="56" t="s">
        <v>44</v>
      </c>
      <c r="J542" s="56" t="s">
        <v>75</v>
      </c>
      <c r="K542" s="56" t="s">
        <v>26</v>
      </c>
      <c r="L542" s="56">
        <v>4638567.24</v>
      </c>
      <c r="M542" s="337">
        <v>0.309237816</v>
      </c>
      <c r="N542" s="56">
        <v>4638567.24</v>
      </c>
      <c r="O542" s="337">
        <v>0.309237816</v>
      </c>
      <c r="Q542" s="337"/>
      <c r="S542" s="337"/>
      <c r="T542" s="56">
        <v>4638567.24</v>
      </c>
      <c r="U542" s="56" t="s">
        <v>2505</v>
      </c>
      <c r="V542" s="56" t="s">
        <v>2511</v>
      </c>
      <c r="W542" s="56" t="s">
        <v>2512</v>
      </c>
    </row>
    <row r="543" spans="7:23" x14ac:dyDescent="0.3">
      <c r="G543" s="247"/>
      <c r="H543" s="248"/>
      <c r="I543" s="56" t="s">
        <v>44</v>
      </c>
      <c r="J543" s="56" t="s">
        <v>75</v>
      </c>
      <c r="K543" s="56" t="s">
        <v>26</v>
      </c>
      <c r="L543" s="56">
        <v>8566048</v>
      </c>
      <c r="M543" s="337">
        <v>0.53537800000000002</v>
      </c>
      <c r="O543" s="337"/>
      <c r="Q543" s="337"/>
      <c r="S543" s="337"/>
      <c r="T543" s="56">
        <v>8566048</v>
      </c>
      <c r="U543" s="56" t="s">
        <v>2541</v>
      </c>
      <c r="V543" s="56" t="s">
        <v>2548</v>
      </c>
      <c r="W543" s="56" t="s">
        <v>2549</v>
      </c>
    </row>
    <row r="544" spans="7:23" x14ac:dyDescent="0.3">
      <c r="G544" s="247"/>
      <c r="H544" s="248"/>
      <c r="I544" s="56" t="s">
        <v>44</v>
      </c>
      <c r="J544" s="56" t="s">
        <v>75</v>
      </c>
      <c r="K544" s="56" t="s">
        <v>26</v>
      </c>
      <c r="L544" s="56">
        <v>14359731.98</v>
      </c>
      <c r="M544" s="337">
        <v>0.53184192518518514</v>
      </c>
      <c r="N544" s="56">
        <v>14359731.98</v>
      </c>
      <c r="O544" s="337">
        <v>0.53184192518518514</v>
      </c>
      <c r="P544" s="56">
        <v>14359731.98</v>
      </c>
      <c r="Q544" s="337">
        <v>0.53184192518518514</v>
      </c>
      <c r="S544" s="337"/>
      <c r="T544" s="56">
        <v>14359731.98</v>
      </c>
      <c r="U544" s="56" t="s">
        <v>2655</v>
      </c>
      <c r="V544" s="56" t="s">
        <v>2656</v>
      </c>
      <c r="W544" s="56" t="s">
        <v>2657</v>
      </c>
    </row>
    <row r="545" spans="7:23" x14ac:dyDescent="0.3">
      <c r="G545" s="247"/>
      <c r="H545" s="248"/>
      <c r="I545" s="56" t="s">
        <v>44</v>
      </c>
      <c r="J545" s="56" t="s">
        <v>75</v>
      </c>
      <c r="K545" s="56" t="s">
        <v>26</v>
      </c>
      <c r="M545" s="337"/>
      <c r="O545" s="337"/>
      <c r="Q545" s="337"/>
      <c r="S545" s="337"/>
      <c r="T545" s="56">
        <v>3890851.26</v>
      </c>
      <c r="U545" s="56" t="s">
        <v>3130</v>
      </c>
      <c r="V545" s="56" t="s">
        <v>3131</v>
      </c>
      <c r="W545" s="56" t="s">
        <v>3132</v>
      </c>
    </row>
    <row r="546" spans="7:23" x14ac:dyDescent="0.3">
      <c r="G546" s="247"/>
      <c r="H546" s="248"/>
      <c r="I546" s="56" t="s">
        <v>44</v>
      </c>
      <c r="J546" s="56" t="s">
        <v>75</v>
      </c>
      <c r="K546" s="56" t="s">
        <v>26</v>
      </c>
      <c r="L546" s="56">
        <v>392896.1</v>
      </c>
      <c r="M546" s="337">
        <v>7.8579219999999991E-2</v>
      </c>
      <c r="N546" s="56">
        <v>392896.1</v>
      </c>
      <c r="O546" s="337">
        <v>7.8579219999999991E-2</v>
      </c>
      <c r="Q546" s="337"/>
      <c r="S546" s="337"/>
      <c r="T546" s="56">
        <v>392896.1</v>
      </c>
      <c r="U546" s="56" t="s">
        <v>2828</v>
      </c>
      <c r="V546" s="56" t="s">
        <v>2845</v>
      </c>
      <c r="W546" s="56" t="s">
        <v>2846</v>
      </c>
    </row>
    <row r="547" spans="7:23" x14ac:dyDescent="0.3">
      <c r="G547" s="247"/>
      <c r="H547" s="248"/>
      <c r="I547" s="56" t="s">
        <v>44</v>
      </c>
      <c r="J547" s="56" t="s">
        <v>75</v>
      </c>
      <c r="K547" s="56" t="s">
        <v>26</v>
      </c>
      <c r="M547" s="337"/>
      <c r="O547" s="337"/>
      <c r="Q547" s="337"/>
      <c r="S547" s="337"/>
      <c r="T547" s="56">
        <v>24450276.539999999</v>
      </c>
      <c r="U547" s="56" t="s">
        <v>2614</v>
      </c>
      <c r="V547" s="56" t="s">
        <v>2628</v>
      </c>
      <c r="W547" s="56" t="s">
        <v>2629</v>
      </c>
    </row>
    <row r="548" spans="7:23" x14ac:dyDescent="0.3">
      <c r="G548" s="247"/>
      <c r="H548" s="248"/>
      <c r="I548" s="56" t="s">
        <v>44</v>
      </c>
      <c r="J548" s="56" t="s">
        <v>75</v>
      </c>
      <c r="K548" s="56" t="s">
        <v>26</v>
      </c>
      <c r="L548" s="56">
        <v>46518082.789999999</v>
      </c>
      <c r="M548" s="337">
        <v>0.84578332345454543</v>
      </c>
      <c r="O548" s="337"/>
      <c r="Q548" s="337"/>
      <c r="S548" s="337"/>
      <c r="T548" s="56">
        <v>46518082.789999999</v>
      </c>
      <c r="U548" s="56" t="s">
        <v>2617</v>
      </c>
      <c r="V548" s="56" t="s">
        <v>2625</v>
      </c>
      <c r="W548" s="56" t="s">
        <v>2626</v>
      </c>
    </row>
    <row r="549" spans="7:23" x14ac:dyDescent="0.3">
      <c r="G549" s="247"/>
      <c r="H549" s="248"/>
      <c r="I549" s="56" t="s">
        <v>44</v>
      </c>
      <c r="J549" s="56" t="s">
        <v>75</v>
      </c>
      <c r="K549" s="56" t="s">
        <v>26</v>
      </c>
      <c r="M549" s="337"/>
      <c r="O549" s="337"/>
      <c r="Q549" s="337"/>
      <c r="S549" s="337"/>
      <c r="T549" s="56">
        <v>1847521.33</v>
      </c>
      <c r="U549" s="56" t="s">
        <v>5582</v>
      </c>
      <c r="V549" s="56" t="s">
        <v>5590</v>
      </c>
      <c r="W549" s="56" t="s">
        <v>5591</v>
      </c>
    </row>
    <row r="550" spans="7:23" x14ac:dyDescent="0.3">
      <c r="G550" s="247"/>
      <c r="H550" s="248"/>
      <c r="I550" s="56" t="s">
        <v>44</v>
      </c>
      <c r="J550" s="56" t="s">
        <v>75</v>
      </c>
      <c r="K550" s="56" t="s">
        <v>26</v>
      </c>
      <c r="M550" s="337"/>
      <c r="O550" s="337"/>
      <c r="Q550" s="337"/>
      <c r="S550" s="337"/>
      <c r="T550" s="56">
        <v>16305264.58</v>
      </c>
      <c r="U550" s="56" t="s">
        <v>2678</v>
      </c>
      <c r="V550" s="56" t="s">
        <v>2688</v>
      </c>
      <c r="W550" s="56" t="s">
        <v>2689</v>
      </c>
    </row>
    <row r="551" spans="7:23" x14ac:dyDescent="0.3">
      <c r="G551" s="247"/>
      <c r="H551" s="248"/>
      <c r="I551" s="56" t="s">
        <v>44</v>
      </c>
      <c r="J551" s="56" t="s">
        <v>75</v>
      </c>
      <c r="K551" s="56" t="s">
        <v>26</v>
      </c>
      <c r="L551" s="56">
        <v>2519867.0299999998</v>
      </c>
      <c r="M551" s="337">
        <v>0.62996675750000009</v>
      </c>
      <c r="N551" s="56">
        <v>2519867.0299999998</v>
      </c>
      <c r="O551" s="337">
        <v>0.62996675750000009</v>
      </c>
      <c r="Q551" s="337"/>
      <c r="S551" s="337"/>
      <c r="T551" s="56">
        <v>2519867.0299999998</v>
      </c>
      <c r="U551" s="56" t="s">
        <v>2895</v>
      </c>
      <c r="V551" s="56" t="s">
        <v>2898</v>
      </c>
      <c r="W551" s="56" t="s">
        <v>2899</v>
      </c>
    </row>
    <row r="552" spans="7:23" x14ac:dyDescent="0.3">
      <c r="G552" s="247"/>
      <c r="H552" s="248"/>
      <c r="I552" s="56" t="s">
        <v>44</v>
      </c>
      <c r="J552" s="56" t="s">
        <v>75</v>
      </c>
      <c r="K552" s="56" t="s">
        <v>26</v>
      </c>
      <c r="L552" s="56">
        <v>40886099.460000001</v>
      </c>
      <c r="M552" s="337">
        <v>0.78627114346153848</v>
      </c>
      <c r="O552" s="337"/>
      <c r="Q552" s="337"/>
      <c r="S552" s="337"/>
      <c r="T552" s="56">
        <v>40886099.460000001</v>
      </c>
      <c r="U552" s="56" t="s">
        <v>2953</v>
      </c>
      <c r="V552" s="56" t="s">
        <v>2954</v>
      </c>
      <c r="W552" s="56" t="s">
        <v>2955</v>
      </c>
    </row>
    <row r="553" spans="7:23" x14ac:dyDescent="0.3">
      <c r="G553" s="247"/>
      <c r="H553" s="248"/>
      <c r="I553" s="56" t="s">
        <v>44</v>
      </c>
      <c r="J553" s="56" t="s">
        <v>75</v>
      </c>
      <c r="K553" s="56" t="s">
        <v>26</v>
      </c>
      <c r="M553" s="337"/>
      <c r="O553" s="337"/>
      <c r="Q553" s="337"/>
      <c r="S553" s="337"/>
      <c r="T553" s="56">
        <v>50421285.609999999</v>
      </c>
      <c r="U553" s="56" t="s">
        <v>3036</v>
      </c>
      <c r="V553" s="56" t="s">
        <v>3043</v>
      </c>
      <c r="W553" s="56" t="s">
        <v>3044</v>
      </c>
    </row>
    <row r="554" spans="7:23" x14ac:dyDescent="0.3">
      <c r="G554" s="247"/>
      <c r="H554" s="248"/>
      <c r="I554" s="56" t="s">
        <v>44</v>
      </c>
      <c r="J554" s="56" t="s">
        <v>75</v>
      </c>
      <c r="K554" s="56" t="s">
        <v>26</v>
      </c>
      <c r="L554" s="56">
        <v>916443.16</v>
      </c>
      <c r="M554" s="337">
        <v>0.36657726400000001</v>
      </c>
      <c r="N554" s="56">
        <v>916443.16</v>
      </c>
      <c r="O554" s="337">
        <v>0.36657726400000001</v>
      </c>
      <c r="P554" s="56">
        <v>916443.16</v>
      </c>
      <c r="Q554" s="337">
        <v>0.36657726400000001</v>
      </c>
      <c r="S554" s="337"/>
      <c r="T554" s="56">
        <v>916443.16</v>
      </c>
      <c r="U554" s="56" t="s">
        <v>3037</v>
      </c>
      <c r="V554" s="56" t="s">
        <v>3041</v>
      </c>
      <c r="W554" s="56" t="s">
        <v>3042</v>
      </c>
    </row>
    <row r="555" spans="7:23" x14ac:dyDescent="0.3">
      <c r="G555" s="247"/>
      <c r="H555" s="248"/>
      <c r="I555" s="56" t="s">
        <v>44</v>
      </c>
      <c r="J555" s="56" t="s">
        <v>75</v>
      </c>
      <c r="K555" s="56" t="s">
        <v>26</v>
      </c>
      <c r="L555" s="56">
        <v>1918595.89</v>
      </c>
      <c r="M555" s="337">
        <v>0.63953196333333329</v>
      </c>
      <c r="O555" s="337"/>
      <c r="Q555" s="337"/>
      <c r="S555" s="337"/>
      <c r="T555" s="56">
        <v>1918595.89</v>
      </c>
      <c r="U555" s="56" t="s">
        <v>3138</v>
      </c>
      <c r="V555" s="56" t="s">
        <v>3139</v>
      </c>
      <c r="W555" s="56" t="s">
        <v>3140</v>
      </c>
    </row>
    <row r="556" spans="7:23" x14ac:dyDescent="0.3">
      <c r="G556" s="247"/>
      <c r="H556" s="248"/>
      <c r="I556" s="56" t="s">
        <v>44</v>
      </c>
      <c r="J556" s="56" t="s">
        <v>75</v>
      </c>
      <c r="K556" s="56" t="s">
        <v>26</v>
      </c>
      <c r="M556" s="337"/>
      <c r="O556" s="337"/>
      <c r="Q556" s="337"/>
      <c r="S556" s="337"/>
      <c r="T556" s="56">
        <v>5592990.5999999996</v>
      </c>
      <c r="U556" s="56" t="s">
        <v>3110</v>
      </c>
      <c r="V556" s="56" t="s">
        <v>3111</v>
      </c>
      <c r="W556" s="56" t="s">
        <v>3112</v>
      </c>
    </row>
    <row r="557" spans="7:23" x14ac:dyDescent="0.3">
      <c r="G557" s="247"/>
      <c r="H557" s="248"/>
      <c r="I557" s="56" t="s">
        <v>44</v>
      </c>
      <c r="J557" s="56" t="s">
        <v>75</v>
      </c>
      <c r="K557" s="56" t="s">
        <v>26</v>
      </c>
      <c r="L557" s="56">
        <v>10754776.17</v>
      </c>
      <c r="M557" s="337">
        <v>0.716985078</v>
      </c>
      <c r="N557" s="56">
        <v>10754776.17</v>
      </c>
      <c r="O557" s="337">
        <v>0.716985078</v>
      </c>
      <c r="Q557" s="337"/>
      <c r="S557" s="337"/>
      <c r="T557" s="56">
        <v>10754776.17</v>
      </c>
      <c r="U557" s="56" t="s">
        <v>3187</v>
      </c>
      <c r="V557" s="56" t="s">
        <v>3190</v>
      </c>
      <c r="W557" s="56" t="s">
        <v>3191</v>
      </c>
    </row>
    <row r="558" spans="7:23" x14ac:dyDescent="0.3">
      <c r="G558" s="247"/>
      <c r="H558" s="248"/>
      <c r="I558" s="56" t="s">
        <v>44</v>
      </c>
      <c r="J558" s="56" t="s">
        <v>75</v>
      </c>
      <c r="K558" s="56" t="s">
        <v>26</v>
      </c>
      <c r="M558" s="337"/>
      <c r="O558" s="337"/>
      <c r="Q558" s="337"/>
      <c r="S558" s="337"/>
      <c r="T558" s="56">
        <v>34396651.450000003</v>
      </c>
      <c r="U558" s="56" t="s">
        <v>3161</v>
      </c>
      <c r="V558" s="56" t="s">
        <v>3165</v>
      </c>
      <c r="W558" s="56" t="s">
        <v>3166</v>
      </c>
    </row>
    <row r="559" spans="7:23" x14ac:dyDescent="0.3">
      <c r="G559" s="247"/>
      <c r="H559" s="248"/>
      <c r="I559" s="56" t="s">
        <v>44</v>
      </c>
      <c r="J559" s="56" t="s">
        <v>75</v>
      </c>
      <c r="K559" s="56" t="s">
        <v>26</v>
      </c>
      <c r="L559" s="56">
        <v>635562.06999999995</v>
      </c>
      <c r="M559" s="337">
        <v>0.12711241400000001</v>
      </c>
      <c r="N559" s="56">
        <v>635562.06999999995</v>
      </c>
      <c r="O559" s="337">
        <v>0.12711241400000001</v>
      </c>
      <c r="Q559" s="337"/>
      <c r="S559" s="337"/>
      <c r="T559" s="56">
        <v>635562.06999999995</v>
      </c>
      <c r="U559" s="56" t="s">
        <v>3229</v>
      </c>
      <c r="V559" s="56" t="s">
        <v>3251</v>
      </c>
      <c r="W559" s="56" t="s">
        <v>3252</v>
      </c>
    </row>
    <row r="560" spans="7:23" x14ac:dyDescent="0.3">
      <c r="G560" s="247"/>
      <c r="H560" s="248"/>
      <c r="I560" s="56" t="s">
        <v>44</v>
      </c>
      <c r="J560" s="56" t="s">
        <v>75</v>
      </c>
      <c r="K560" s="56" t="s">
        <v>26</v>
      </c>
      <c r="L560" s="56">
        <v>147614.32</v>
      </c>
      <c r="M560" s="337">
        <v>4.9204773333333333E-2</v>
      </c>
      <c r="O560" s="337"/>
      <c r="Q560" s="337"/>
      <c r="S560" s="337"/>
      <c r="T560" s="56">
        <v>147614.32</v>
      </c>
      <c r="U560" s="56" t="s">
        <v>3205</v>
      </c>
      <c r="V560" s="56" t="s">
        <v>3215</v>
      </c>
      <c r="W560" s="56" t="s">
        <v>3216</v>
      </c>
    </row>
    <row r="561" spans="7:23" x14ac:dyDescent="0.3">
      <c r="G561" s="247"/>
      <c r="H561" s="248"/>
      <c r="I561" s="56" t="s">
        <v>44</v>
      </c>
      <c r="J561" s="56" t="s">
        <v>75</v>
      </c>
      <c r="K561" s="56" t="s">
        <v>26</v>
      </c>
      <c r="M561" s="337"/>
      <c r="O561" s="337"/>
      <c r="Q561" s="337"/>
      <c r="S561" s="337"/>
      <c r="T561" s="56">
        <v>3699994.94</v>
      </c>
      <c r="U561" s="56" t="s">
        <v>4247</v>
      </c>
      <c r="V561" s="56" t="s">
        <v>4252</v>
      </c>
      <c r="W561" s="56" t="s">
        <v>4253</v>
      </c>
    </row>
    <row r="562" spans="7:23" x14ac:dyDescent="0.3">
      <c r="G562" s="247"/>
      <c r="H562" s="248"/>
      <c r="I562" s="56" t="s">
        <v>44</v>
      </c>
      <c r="J562" s="56" t="s">
        <v>75</v>
      </c>
      <c r="K562" s="56" t="s">
        <v>26</v>
      </c>
      <c r="M562" s="337"/>
      <c r="O562" s="337"/>
      <c r="Q562" s="337"/>
      <c r="S562" s="337"/>
      <c r="T562" s="56">
        <v>16218774.91</v>
      </c>
      <c r="U562" s="56" t="s">
        <v>3513</v>
      </c>
      <c r="V562" s="56" t="s">
        <v>3519</v>
      </c>
      <c r="W562" s="56" t="s">
        <v>3520</v>
      </c>
    </row>
    <row r="563" spans="7:23" x14ac:dyDescent="0.3">
      <c r="G563" s="247"/>
      <c r="H563" s="248"/>
      <c r="I563" s="56" t="s">
        <v>44</v>
      </c>
      <c r="J563" s="56" t="s">
        <v>75</v>
      </c>
      <c r="K563" s="56" t="s">
        <v>26</v>
      </c>
      <c r="L563" s="56">
        <v>2802990.9</v>
      </c>
      <c r="M563" s="337">
        <v>0.56059818000000006</v>
      </c>
      <c r="O563" s="337"/>
      <c r="Q563" s="337"/>
      <c r="S563" s="337"/>
      <c r="T563" s="56">
        <v>2802990.9</v>
      </c>
      <c r="U563" s="56" t="s">
        <v>3370</v>
      </c>
      <c r="V563" s="56" t="s">
        <v>3381</v>
      </c>
      <c r="W563" s="56" t="s">
        <v>3382</v>
      </c>
    </row>
    <row r="564" spans="7:23" x14ac:dyDescent="0.3">
      <c r="G564" s="247"/>
      <c r="H564" s="248"/>
      <c r="I564" s="56" t="s">
        <v>44</v>
      </c>
      <c r="J564" s="56" t="s">
        <v>75</v>
      </c>
      <c r="K564" s="56" t="s">
        <v>26</v>
      </c>
      <c r="M564" s="337"/>
      <c r="O564" s="337"/>
      <c r="Q564" s="337"/>
      <c r="S564" s="337"/>
      <c r="T564" s="56">
        <v>3580265.71</v>
      </c>
      <c r="U564" s="56" t="s">
        <v>3452</v>
      </c>
      <c r="V564" s="56" t="s">
        <v>3455</v>
      </c>
      <c r="W564" s="56" t="s">
        <v>3456</v>
      </c>
    </row>
    <row r="565" spans="7:23" x14ac:dyDescent="0.3">
      <c r="G565" s="247"/>
      <c r="H565" s="248"/>
      <c r="I565" s="56" t="s">
        <v>44</v>
      </c>
      <c r="J565" s="56" t="s">
        <v>75</v>
      </c>
      <c r="K565" s="56" t="s">
        <v>26</v>
      </c>
      <c r="L565" s="56">
        <v>1069238.57</v>
      </c>
      <c r="M565" s="337">
        <v>0.21384771399999999</v>
      </c>
      <c r="N565" s="56">
        <v>1069238.57</v>
      </c>
      <c r="O565" s="337">
        <v>0.21384771399999999</v>
      </c>
      <c r="Q565" s="337"/>
      <c r="S565" s="337"/>
      <c r="T565" s="56">
        <v>1069238.57</v>
      </c>
      <c r="U565" s="56" t="s">
        <v>3503</v>
      </c>
      <c r="V565" s="56" t="s">
        <v>3504</v>
      </c>
      <c r="W565" s="56" t="s">
        <v>3505</v>
      </c>
    </row>
    <row r="566" spans="7:23" x14ac:dyDescent="0.3">
      <c r="G566" s="247"/>
      <c r="H566" s="248"/>
      <c r="I566" s="56" t="s">
        <v>44</v>
      </c>
      <c r="J566" s="56" t="s">
        <v>75</v>
      </c>
      <c r="K566" s="56" t="s">
        <v>26</v>
      </c>
      <c r="M566" s="337"/>
      <c r="O566" s="337"/>
      <c r="Q566" s="337"/>
      <c r="S566" s="337"/>
      <c r="T566" s="56">
        <v>25373499.710000001</v>
      </c>
      <c r="U566" s="56" t="s">
        <v>3561</v>
      </c>
      <c r="V566" s="56" t="s">
        <v>3589</v>
      </c>
      <c r="W566" s="56" t="s">
        <v>3590</v>
      </c>
    </row>
    <row r="567" spans="7:23" x14ac:dyDescent="0.3">
      <c r="G567" s="247"/>
      <c r="H567" s="248"/>
      <c r="I567" s="56" t="s">
        <v>44</v>
      </c>
      <c r="J567" s="56" t="s">
        <v>75</v>
      </c>
      <c r="K567" s="56" t="s">
        <v>26</v>
      </c>
      <c r="M567" s="337"/>
      <c r="O567" s="337"/>
      <c r="Q567" s="337"/>
      <c r="S567" s="337"/>
      <c r="T567" s="56">
        <v>27802012.670000002</v>
      </c>
      <c r="U567" s="56" t="s">
        <v>3528</v>
      </c>
      <c r="V567" s="56" t="s">
        <v>3537</v>
      </c>
      <c r="W567" s="56" t="s">
        <v>3538</v>
      </c>
    </row>
    <row r="568" spans="7:23" x14ac:dyDescent="0.3">
      <c r="G568" s="247"/>
      <c r="H568" s="248"/>
      <c r="I568" s="56" t="s">
        <v>44</v>
      </c>
      <c r="J568" s="56" t="s">
        <v>75</v>
      </c>
      <c r="K568" s="56" t="s">
        <v>26</v>
      </c>
      <c r="M568" s="337"/>
      <c r="O568" s="337"/>
      <c r="Q568" s="337"/>
      <c r="S568" s="337"/>
      <c r="T568" s="56">
        <v>314831.09999999998</v>
      </c>
      <c r="U568" s="56" t="s">
        <v>3467</v>
      </c>
      <c r="V568" s="56" t="s">
        <v>3469</v>
      </c>
      <c r="W568" s="56" t="s">
        <v>3470</v>
      </c>
    </row>
    <row r="569" spans="7:23" x14ac:dyDescent="0.3">
      <c r="G569" s="247"/>
      <c r="H569" s="248"/>
      <c r="I569" s="56" t="s">
        <v>44</v>
      </c>
      <c r="J569" s="56" t="s">
        <v>75</v>
      </c>
      <c r="K569" s="56" t="s">
        <v>26</v>
      </c>
      <c r="M569" s="337"/>
      <c r="O569" s="337"/>
      <c r="Q569" s="337"/>
      <c r="S569" s="337"/>
      <c r="T569" s="56">
        <v>2376752.21</v>
      </c>
      <c r="U569" s="56" t="s">
        <v>3707</v>
      </c>
      <c r="V569" s="56" t="s">
        <v>3717</v>
      </c>
      <c r="W569" s="56" t="s">
        <v>3718</v>
      </c>
    </row>
    <row r="570" spans="7:23" x14ac:dyDescent="0.3">
      <c r="G570" s="247"/>
      <c r="H570" s="248"/>
      <c r="I570" s="56" t="s">
        <v>44</v>
      </c>
      <c r="J570" s="56" t="s">
        <v>75</v>
      </c>
      <c r="K570" s="56" t="s">
        <v>26</v>
      </c>
      <c r="L570" s="56">
        <v>363069.79</v>
      </c>
      <c r="M570" s="337">
        <v>0.36306979</v>
      </c>
      <c r="N570" s="56">
        <v>363069.79</v>
      </c>
      <c r="O570" s="337">
        <v>0.36306979</v>
      </c>
      <c r="P570" s="56">
        <v>363069.79</v>
      </c>
      <c r="Q570" s="337">
        <v>0.36306979</v>
      </c>
      <c r="R570" s="56">
        <v>363069.79</v>
      </c>
      <c r="S570" s="337">
        <v>0.36306979</v>
      </c>
      <c r="T570" s="56">
        <v>363069.79</v>
      </c>
      <c r="U570" s="56" t="s">
        <v>3669</v>
      </c>
      <c r="V570" s="56" t="s">
        <v>3678</v>
      </c>
      <c r="W570" s="56" t="s">
        <v>3679</v>
      </c>
    </row>
    <row r="571" spans="7:23" x14ac:dyDescent="0.3">
      <c r="G571" s="247"/>
      <c r="H571" s="248"/>
      <c r="I571" s="56" t="s">
        <v>44</v>
      </c>
      <c r="J571" s="56" t="s">
        <v>75</v>
      </c>
      <c r="K571" s="56" t="s">
        <v>26</v>
      </c>
      <c r="L571" s="56">
        <v>2166444.0699999998</v>
      </c>
      <c r="M571" s="337">
        <v>0.48143201555555559</v>
      </c>
      <c r="N571" s="56">
        <v>2166444.0699999998</v>
      </c>
      <c r="O571" s="337">
        <v>0.48143201555555559</v>
      </c>
      <c r="P571" s="56">
        <v>2166444.0699999998</v>
      </c>
      <c r="Q571" s="337">
        <v>0.48143201555555559</v>
      </c>
      <c r="S571" s="337"/>
      <c r="T571" s="56">
        <v>2166444.0699999998</v>
      </c>
      <c r="U571" s="56" t="s">
        <v>3729</v>
      </c>
      <c r="V571" s="56" t="s">
        <v>3730</v>
      </c>
      <c r="W571" s="56" t="s">
        <v>3731</v>
      </c>
    </row>
    <row r="572" spans="7:23" x14ac:dyDescent="0.3">
      <c r="G572" s="247"/>
      <c r="H572" s="248"/>
      <c r="I572" s="56" t="s">
        <v>44</v>
      </c>
      <c r="J572" s="56" t="s">
        <v>75</v>
      </c>
      <c r="K572" s="56" t="s">
        <v>26</v>
      </c>
      <c r="L572" s="56">
        <v>36567289.109999999</v>
      </c>
      <c r="M572" s="337">
        <v>0.91418222775000002</v>
      </c>
      <c r="O572" s="337"/>
      <c r="Q572" s="337"/>
      <c r="S572" s="337"/>
      <c r="T572" s="56">
        <v>36567289.109999999</v>
      </c>
      <c r="U572" s="56" t="s">
        <v>3850</v>
      </c>
      <c r="V572" s="56" t="s">
        <v>3855</v>
      </c>
      <c r="W572" s="56" t="s">
        <v>3856</v>
      </c>
    </row>
    <row r="573" spans="7:23" x14ac:dyDescent="0.3">
      <c r="G573" s="247"/>
      <c r="H573" s="248"/>
      <c r="I573" s="56" t="s">
        <v>44</v>
      </c>
      <c r="J573" s="56" t="s">
        <v>75</v>
      </c>
      <c r="K573" s="56" t="s">
        <v>26</v>
      </c>
      <c r="M573" s="337"/>
      <c r="O573" s="337"/>
      <c r="Q573" s="337"/>
      <c r="S573" s="337"/>
      <c r="T573" s="56">
        <v>4679206.41</v>
      </c>
      <c r="U573" s="56" t="s">
        <v>3966</v>
      </c>
      <c r="V573" s="56" t="s">
        <v>3973</v>
      </c>
      <c r="W573" s="56" t="s">
        <v>3974</v>
      </c>
    </row>
    <row r="574" spans="7:23" x14ac:dyDescent="0.3">
      <c r="G574" s="247"/>
      <c r="H574" s="248"/>
      <c r="I574" s="56" t="s">
        <v>44</v>
      </c>
      <c r="J574" s="56" t="s">
        <v>75</v>
      </c>
      <c r="K574" s="56" t="s">
        <v>26</v>
      </c>
      <c r="L574" s="56">
        <v>28746296.120000001</v>
      </c>
      <c r="M574" s="337">
        <v>0.82132274628571433</v>
      </c>
      <c r="O574" s="337"/>
      <c r="Q574" s="337"/>
      <c r="S574" s="337"/>
      <c r="T574" s="56">
        <v>28746296.120000001</v>
      </c>
      <c r="U574" s="56" t="s">
        <v>4084</v>
      </c>
      <c r="V574" s="56" t="s">
        <v>4091</v>
      </c>
      <c r="W574" s="56" t="s">
        <v>4092</v>
      </c>
    </row>
    <row r="575" spans="7:23" x14ac:dyDescent="0.3">
      <c r="G575" s="247"/>
      <c r="H575" s="248"/>
      <c r="I575" s="56" t="s">
        <v>44</v>
      </c>
      <c r="J575" s="56" t="s">
        <v>75</v>
      </c>
      <c r="K575" s="56" t="s">
        <v>26</v>
      </c>
      <c r="L575" s="56">
        <v>1787720.95</v>
      </c>
      <c r="M575" s="337">
        <v>0.29795349166666668</v>
      </c>
      <c r="O575" s="337"/>
      <c r="Q575" s="337"/>
      <c r="S575" s="337"/>
      <c r="T575" s="56">
        <v>1787720.95</v>
      </c>
      <c r="U575" s="56" t="s">
        <v>4072</v>
      </c>
      <c r="V575" s="56" t="s">
        <v>4079</v>
      </c>
      <c r="W575" s="56" t="s">
        <v>4080</v>
      </c>
    </row>
    <row r="576" spans="7:23" x14ac:dyDescent="0.3">
      <c r="G576" s="247"/>
      <c r="H576" s="248"/>
      <c r="I576" s="56" t="s">
        <v>44</v>
      </c>
      <c r="J576" s="56" t="s">
        <v>75</v>
      </c>
      <c r="K576" s="56" t="s">
        <v>26</v>
      </c>
      <c r="L576" s="56">
        <v>1303691.71</v>
      </c>
      <c r="M576" s="337">
        <v>0.65184585500000003</v>
      </c>
      <c r="N576" s="56">
        <v>1303691.71</v>
      </c>
      <c r="O576" s="337">
        <v>0.65184585500000003</v>
      </c>
      <c r="P576" s="56">
        <v>1303691.71</v>
      </c>
      <c r="Q576" s="337">
        <v>0.65184585500000003</v>
      </c>
      <c r="S576" s="337"/>
      <c r="T576" s="56">
        <v>1303691.71</v>
      </c>
      <c r="U576" s="56" t="s">
        <v>4129</v>
      </c>
      <c r="V576" s="56" t="s">
        <v>4147</v>
      </c>
      <c r="W576" s="56" t="s">
        <v>4148</v>
      </c>
    </row>
    <row r="577" spans="7:23" x14ac:dyDescent="0.3">
      <c r="G577" s="247"/>
      <c r="H577" s="248"/>
      <c r="I577" s="56" t="s">
        <v>44</v>
      </c>
      <c r="J577" s="56" t="s">
        <v>75</v>
      </c>
      <c r="K577" s="56" t="s">
        <v>26</v>
      </c>
      <c r="L577" s="56">
        <v>983575.67</v>
      </c>
      <c r="M577" s="337">
        <v>0.39343026800000003</v>
      </c>
      <c r="O577" s="337"/>
      <c r="Q577" s="337"/>
      <c r="S577" s="337"/>
      <c r="T577" s="56">
        <v>983575.67</v>
      </c>
      <c r="U577" s="56" t="s">
        <v>4127</v>
      </c>
      <c r="V577" s="56" t="s">
        <v>4144</v>
      </c>
      <c r="W577" s="56" t="s">
        <v>4145</v>
      </c>
    </row>
    <row r="578" spans="7:23" x14ac:dyDescent="0.3">
      <c r="G578" s="247"/>
      <c r="H578" s="248"/>
      <c r="I578" s="56" t="s">
        <v>44</v>
      </c>
      <c r="J578" s="56" t="s">
        <v>75</v>
      </c>
      <c r="K578" s="56" t="s">
        <v>26</v>
      </c>
      <c r="M578" s="337"/>
      <c r="O578" s="337"/>
      <c r="Q578" s="337"/>
      <c r="S578" s="337"/>
      <c r="T578" s="56">
        <v>26312205.27</v>
      </c>
      <c r="U578" s="56" t="s">
        <v>4222</v>
      </c>
      <c r="V578" s="56" t="s">
        <v>4223</v>
      </c>
      <c r="W578" s="56" t="s">
        <v>4224</v>
      </c>
    </row>
    <row r="579" spans="7:23" x14ac:dyDescent="0.3">
      <c r="G579" s="247"/>
      <c r="H579" s="248"/>
      <c r="I579" s="56" t="s">
        <v>44</v>
      </c>
      <c r="J579" s="56" t="s">
        <v>75</v>
      </c>
      <c r="K579" s="56" t="s">
        <v>26</v>
      </c>
      <c r="L579" s="56">
        <v>1573721.12</v>
      </c>
      <c r="M579" s="337">
        <v>0.39343028000000002</v>
      </c>
      <c r="O579" s="337"/>
      <c r="Q579" s="337"/>
      <c r="S579" s="337"/>
      <c r="T579" s="56">
        <v>1573721.12</v>
      </c>
      <c r="U579" s="56" t="s">
        <v>4171</v>
      </c>
      <c r="V579" s="56" t="s">
        <v>4172</v>
      </c>
      <c r="W579" s="56" t="s">
        <v>4173</v>
      </c>
    </row>
    <row r="580" spans="7:23" x14ac:dyDescent="0.3">
      <c r="G580" s="247"/>
      <c r="H580" s="248"/>
      <c r="I580" s="56" t="s">
        <v>44</v>
      </c>
      <c r="J580" s="56" t="s">
        <v>75</v>
      </c>
      <c r="K580" s="56" t="s">
        <v>26</v>
      </c>
      <c r="M580" s="337"/>
      <c r="O580" s="337"/>
      <c r="Q580" s="337"/>
      <c r="S580" s="337"/>
      <c r="T580" s="56">
        <v>2765871.25</v>
      </c>
      <c r="U580" s="56" t="s">
        <v>4218</v>
      </c>
      <c r="V580" s="56" t="s">
        <v>4219</v>
      </c>
      <c r="W580" s="56" t="s">
        <v>4220</v>
      </c>
    </row>
    <row r="581" spans="7:23" x14ac:dyDescent="0.3">
      <c r="G581" s="247"/>
      <c r="H581" s="248"/>
      <c r="I581" s="56" t="s">
        <v>44</v>
      </c>
      <c r="J581" s="56" t="s">
        <v>75</v>
      </c>
      <c r="K581" s="56" t="s">
        <v>26</v>
      </c>
      <c r="M581" s="337"/>
      <c r="O581" s="337"/>
      <c r="Q581" s="337"/>
      <c r="S581" s="337"/>
      <c r="T581" s="56">
        <v>1185373.3700000001</v>
      </c>
      <c r="U581" s="56" t="s">
        <v>4214</v>
      </c>
      <c r="V581" s="56" t="s">
        <v>4215</v>
      </c>
      <c r="W581" s="56" t="s">
        <v>4216</v>
      </c>
    </row>
    <row r="582" spans="7:23" x14ac:dyDescent="0.3">
      <c r="G582" s="247"/>
      <c r="H582" s="248"/>
      <c r="I582" s="56" t="s">
        <v>44</v>
      </c>
      <c r="J582" s="56" t="s">
        <v>75</v>
      </c>
      <c r="K582" s="56" t="s">
        <v>26</v>
      </c>
      <c r="M582" s="337"/>
      <c r="O582" s="337"/>
      <c r="Q582" s="337"/>
      <c r="S582" s="337"/>
      <c r="T582" s="56">
        <v>21515879.079999998</v>
      </c>
      <c r="U582" s="56" t="s">
        <v>4281</v>
      </c>
      <c r="V582" s="56" t="s">
        <v>4295</v>
      </c>
      <c r="W582" s="56" t="s">
        <v>4296</v>
      </c>
    </row>
    <row r="583" spans="7:23" x14ac:dyDescent="0.3">
      <c r="G583" s="247"/>
      <c r="H583" s="248"/>
      <c r="I583" s="56" t="s">
        <v>44</v>
      </c>
      <c r="J583" s="56" t="s">
        <v>75</v>
      </c>
      <c r="K583" s="56" t="s">
        <v>26</v>
      </c>
      <c r="M583" s="337"/>
      <c r="O583" s="337"/>
      <c r="Q583" s="337"/>
      <c r="S583" s="337"/>
      <c r="T583" s="56">
        <v>868527.23</v>
      </c>
      <c r="U583" s="56" t="s">
        <v>4455</v>
      </c>
      <c r="V583" s="56" t="s">
        <v>4460</v>
      </c>
      <c r="W583" s="56" t="s">
        <v>4461</v>
      </c>
    </row>
    <row r="584" spans="7:23" x14ac:dyDescent="0.3">
      <c r="G584" s="247"/>
      <c r="H584" s="248"/>
      <c r="I584" s="56" t="s">
        <v>44</v>
      </c>
      <c r="J584" s="56" t="s">
        <v>75</v>
      </c>
      <c r="K584" s="56" t="s">
        <v>26</v>
      </c>
      <c r="L584" s="56">
        <v>544604.71</v>
      </c>
      <c r="M584" s="337">
        <v>0.36306980666666666</v>
      </c>
      <c r="N584" s="56">
        <v>544604.71</v>
      </c>
      <c r="O584" s="337">
        <v>0.36306980666666666</v>
      </c>
      <c r="Q584" s="337"/>
      <c r="S584" s="337"/>
      <c r="T584" s="56">
        <v>544604.71</v>
      </c>
      <c r="U584" s="56" t="s">
        <v>4504</v>
      </c>
      <c r="V584" s="56" t="s">
        <v>4521</v>
      </c>
      <c r="W584" s="56" t="s">
        <v>4522</v>
      </c>
    </row>
    <row r="585" spans="7:23" x14ac:dyDescent="0.3">
      <c r="G585" s="247"/>
      <c r="H585" s="248"/>
      <c r="I585" s="56" t="s">
        <v>44</v>
      </c>
      <c r="J585" s="56" t="s">
        <v>75</v>
      </c>
      <c r="K585" s="56" t="s">
        <v>26</v>
      </c>
      <c r="M585" s="337"/>
      <c r="O585" s="337"/>
      <c r="Q585" s="337"/>
      <c r="S585" s="337"/>
      <c r="T585" s="56">
        <v>5697038.6100000003</v>
      </c>
      <c r="U585" s="56" t="s">
        <v>4594</v>
      </c>
      <c r="V585" s="56" t="s">
        <v>4608</v>
      </c>
      <c r="W585" s="56" t="s">
        <v>4609</v>
      </c>
    </row>
    <row r="586" spans="7:23" x14ac:dyDescent="0.3">
      <c r="G586" s="247"/>
      <c r="H586" s="248"/>
      <c r="I586" s="56" t="s">
        <v>44</v>
      </c>
      <c r="J586" s="56" t="s">
        <v>75</v>
      </c>
      <c r="K586" s="56" t="s">
        <v>26</v>
      </c>
      <c r="L586" s="56">
        <v>9737928.7699999996</v>
      </c>
      <c r="M586" s="337">
        <v>0.60862054812499999</v>
      </c>
      <c r="O586" s="337"/>
      <c r="Q586" s="337"/>
      <c r="S586" s="337"/>
      <c r="T586" s="56">
        <v>9737928.7699999996</v>
      </c>
      <c r="U586" s="56" t="s">
        <v>4652</v>
      </c>
      <c r="V586" s="56" t="s">
        <v>4664</v>
      </c>
      <c r="W586" s="56" t="s">
        <v>4665</v>
      </c>
    </row>
    <row r="587" spans="7:23" x14ac:dyDescent="0.3">
      <c r="G587" s="247"/>
      <c r="H587" s="248"/>
      <c r="I587" s="56" t="s">
        <v>44</v>
      </c>
      <c r="J587" s="56" t="s">
        <v>75</v>
      </c>
      <c r="K587" s="56" t="s">
        <v>26</v>
      </c>
      <c r="M587" s="337"/>
      <c r="O587" s="337"/>
      <c r="Q587" s="337"/>
      <c r="S587" s="337"/>
      <c r="T587" s="56">
        <v>571904.35</v>
      </c>
      <c r="U587" s="56" t="s">
        <v>4595</v>
      </c>
      <c r="V587" s="56" t="s">
        <v>4602</v>
      </c>
      <c r="W587" s="56" t="s">
        <v>4603</v>
      </c>
    </row>
    <row r="588" spans="7:23" x14ac:dyDescent="0.3">
      <c r="G588" s="247"/>
      <c r="H588" s="248"/>
      <c r="I588" s="56" t="s">
        <v>44</v>
      </c>
      <c r="J588" s="56" t="s">
        <v>75</v>
      </c>
      <c r="K588" s="56" t="s">
        <v>26</v>
      </c>
      <c r="L588" s="56">
        <v>465155.45</v>
      </c>
      <c r="M588" s="337">
        <v>0.18606218000000002</v>
      </c>
      <c r="O588" s="337"/>
      <c r="Q588" s="337"/>
      <c r="S588" s="337"/>
      <c r="T588" s="56">
        <v>465155.45</v>
      </c>
      <c r="U588" s="56" t="s">
        <v>4651</v>
      </c>
      <c r="V588" s="56" t="s">
        <v>4659</v>
      </c>
      <c r="W588" s="56" t="s">
        <v>4660</v>
      </c>
    </row>
    <row r="589" spans="7:23" x14ac:dyDescent="0.3">
      <c r="G589" s="247"/>
      <c r="H589" s="248"/>
      <c r="I589" s="56" t="s">
        <v>44</v>
      </c>
      <c r="J589" s="56" t="s">
        <v>75</v>
      </c>
      <c r="K589" s="56" t="s">
        <v>26</v>
      </c>
      <c r="L589" s="56">
        <v>6462300.5099999998</v>
      </c>
      <c r="M589" s="337">
        <v>0.64623005099999997</v>
      </c>
      <c r="O589" s="337"/>
      <c r="Q589" s="337"/>
      <c r="S589" s="337"/>
      <c r="T589" s="56">
        <v>6462300.5099999998</v>
      </c>
      <c r="U589" s="56" t="s">
        <v>4722</v>
      </c>
      <c r="V589" s="56" t="s">
        <v>4727</v>
      </c>
      <c r="W589" s="56" t="s">
        <v>4728</v>
      </c>
    </row>
    <row r="590" spans="7:23" x14ac:dyDescent="0.3">
      <c r="G590" s="247"/>
      <c r="H590" s="248"/>
      <c r="I590" s="56" t="s">
        <v>44</v>
      </c>
      <c r="J590" s="56" t="s">
        <v>75</v>
      </c>
      <c r="K590" s="56" t="s">
        <v>26</v>
      </c>
      <c r="M590" s="337"/>
      <c r="O590" s="337"/>
      <c r="Q590" s="337"/>
      <c r="S590" s="337"/>
      <c r="T590" s="56">
        <v>1331125.69</v>
      </c>
      <c r="U590" s="56" t="s">
        <v>5086</v>
      </c>
      <c r="V590" s="56" t="s">
        <v>5098</v>
      </c>
      <c r="W590" s="56" t="s">
        <v>5099</v>
      </c>
    </row>
    <row r="591" spans="7:23" x14ac:dyDescent="0.3">
      <c r="G591" s="247"/>
      <c r="H591" s="248"/>
      <c r="I591" s="56" t="s">
        <v>44</v>
      </c>
      <c r="J591" s="56" t="s">
        <v>75</v>
      </c>
      <c r="K591" s="56" t="s">
        <v>26</v>
      </c>
      <c r="M591" s="337"/>
      <c r="O591" s="337"/>
      <c r="Q591" s="337"/>
      <c r="S591" s="337"/>
      <c r="T591" s="56">
        <v>1954958.15</v>
      </c>
      <c r="U591" s="56" t="s">
        <v>5295</v>
      </c>
      <c r="V591" s="56" t="s">
        <v>5299</v>
      </c>
      <c r="W591" s="56" t="s">
        <v>5300</v>
      </c>
    </row>
    <row r="592" spans="7:23" x14ac:dyDescent="0.3">
      <c r="G592" s="247"/>
      <c r="H592" s="248"/>
      <c r="I592" s="56" t="s">
        <v>44</v>
      </c>
      <c r="J592" s="56" t="s">
        <v>75</v>
      </c>
      <c r="K592" s="56" t="s">
        <v>26</v>
      </c>
      <c r="M592" s="337"/>
      <c r="O592" s="337"/>
      <c r="Q592" s="337"/>
      <c r="S592" s="337"/>
      <c r="T592" s="56">
        <v>15519445.48</v>
      </c>
      <c r="U592" s="56" t="s">
        <v>5334</v>
      </c>
      <c r="V592" s="56" t="s">
        <v>5347</v>
      </c>
      <c r="W592" s="56" t="s">
        <v>5348</v>
      </c>
    </row>
    <row r="593" spans="7:23" x14ac:dyDescent="0.3">
      <c r="G593" s="247"/>
      <c r="H593" s="248"/>
      <c r="I593" s="56" t="s">
        <v>44</v>
      </c>
      <c r="J593" s="56" t="s">
        <v>75</v>
      </c>
      <c r="K593" s="56" t="s">
        <v>26</v>
      </c>
      <c r="M593" s="337"/>
      <c r="O593" s="337"/>
      <c r="Q593" s="337"/>
      <c r="S593" s="337"/>
      <c r="T593" s="56">
        <v>1331125.69</v>
      </c>
      <c r="U593" s="56" t="s">
        <v>5255</v>
      </c>
      <c r="V593" s="56" t="s">
        <v>5267</v>
      </c>
      <c r="W593" s="56" t="s">
        <v>5268</v>
      </c>
    </row>
    <row r="594" spans="7:23" x14ac:dyDescent="0.3">
      <c r="G594" s="247"/>
      <c r="H594" s="248"/>
      <c r="I594" s="56" t="s">
        <v>44</v>
      </c>
      <c r="J594" s="56" t="s">
        <v>75</v>
      </c>
      <c r="K594" s="56" t="s">
        <v>26</v>
      </c>
      <c r="M594" s="337"/>
      <c r="O594" s="337"/>
      <c r="Q594" s="337"/>
      <c r="S594" s="337"/>
      <c r="T594" s="56">
        <v>8640396.2799999993</v>
      </c>
      <c r="U594" s="56" t="s">
        <v>5321</v>
      </c>
      <c r="V594" s="56" t="s">
        <v>5322</v>
      </c>
      <c r="W594" s="56" t="s">
        <v>5323</v>
      </c>
    </row>
    <row r="595" spans="7:23" x14ac:dyDescent="0.3">
      <c r="G595" s="247"/>
      <c r="H595" s="248"/>
      <c r="I595" s="56" t="s">
        <v>44</v>
      </c>
      <c r="J595" s="56" t="s">
        <v>75</v>
      </c>
      <c r="K595" s="56" t="s">
        <v>26</v>
      </c>
      <c r="L595" s="56">
        <v>1304462.43</v>
      </c>
      <c r="M595" s="337">
        <v>0.72470135000000002</v>
      </c>
      <c r="O595" s="337"/>
      <c r="Q595" s="337"/>
      <c r="S595" s="337"/>
      <c r="T595" s="56">
        <v>1304462.43</v>
      </c>
      <c r="U595" s="56" t="s">
        <v>5555</v>
      </c>
      <c r="V595" s="56" t="s">
        <v>5560</v>
      </c>
      <c r="W595" s="56" t="s">
        <v>5561</v>
      </c>
    </row>
    <row r="596" spans="7:23" x14ac:dyDescent="0.3">
      <c r="G596" s="247"/>
      <c r="H596" s="248"/>
      <c r="I596" s="56" t="s">
        <v>44</v>
      </c>
      <c r="J596" s="56" t="s">
        <v>75</v>
      </c>
      <c r="K596" s="56" t="s">
        <v>26</v>
      </c>
      <c r="M596" s="337"/>
      <c r="O596" s="337"/>
      <c r="Q596" s="337"/>
      <c r="S596" s="337"/>
      <c r="T596" s="56">
        <v>9308618.5</v>
      </c>
      <c r="U596" s="56" t="s">
        <v>5566</v>
      </c>
      <c r="V596" s="56" t="s">
        <v>5574</v>
      </c>
      <c r="W596" s="56" t="s">
        <v>5575</v>
      </c>
    </row>
    <row r="597" spans="7:23" x14ac:dyDescent="0.3">
      <c r="G597" s="247"/>
      <c r="H597" s="248"/>
      <c r="I597" s="56" t="s">
        <v>44</v>
      </c>
      <c r="J597" s="56" t="s">
        <v>75</v>
      </c>
      <c r="K597" s="56" t="s">
        <v>4834</v>
      </c>
      <c r="M597" s="337"/>
      <c r="O597" s="337"/>
      <c r="Q597" s="337"/>
      <c r="S597" s="337"/>
      <c r="T597" s="56">
        <v>4150432.37</v>
      </c>
      <c r="U597" s="56" t="s">
        <v>3397</v>
      </c>
      <c r="V597" s="56" t="s">
        <v>3403</v>
      </c>
      <c r="W597" s="56" t="s">
        <v>3404</v>
      </c>
    </row>
    <row r="598" spans="7:23" x14ac:dyDescent="0.3">
      <c r="G598" s="247"/>
      <c r="H598" s="248"/>
      <c r="I598" s="56" t="s">
        <v>44</v>
      </c>
      <c r="J598" s="56" t="s">
        <v>75</v>
      </c>
      <c r="K598" s="56" t="s">
        <v>4834</v>
      </c>
      <c r="L598" s="56">
        <v>16372341.48</v>
      </c>
      <c r="M598" s="337">
        <v>0.81861707400000006</v>
      </c>
      <c r="O598" s="337"/>
      <c r="Q598" s="337"/>
      <c r="S598" s="337"/>
      <c r="T598" s="56">
        <v>16372341.48</v>
      </c>
      <c r="U598" s="56" t="s">
        <v>4833</v>
      </c>
      <c r="V598" s="56" t="s">
        <v>4839</v>
      </c>
      <c r="W598" s="56" t="s">
        <v>4840</v>
      </c>
    </row>
    <row r="599" spans="7:23" x14ac:dyDescent="0.3">
      <c r="G599" s="247"/>
      <c r="H599" s="248"/>
      <c r="I599" s="56" t="s">
        <v>44</v>
      </c>
      <c r="J599" s="56" t="s">
        <v>75</v>
      </c>
      <c r="K599" s="56" t="s">
        <v>4834</v>
      </c>
      <c r="M599" s="337"/>
      <c r="O599" s="337"/>
      <c r="Q599" s="337"/>
      <c r="S599" s="337"/>
      <c r="T599" s="56">
        <v>4753504.42</v>
      </c>
      <c r="U599" s="56" t="s">
        <v>2787</v>
      </c>
      <c r="V599" s="56" t="s">
        <v>2799</v>
      </c>
      <c r="W599" s="56" t="s">
        <v>2800</v>
      </c>
    </row>
    <row r="600" spans="7:23" x14ac:dyDescent="0.3">
      <c r="G600" s="247"/>
      <c r="H600" s="248"/>
      <c r="I600" s="56" t="s">
        <v>29</v>
      </c>
      <c r="J600" s="56" t="s">
        <v>96</v>
      </c>
      <c r="K600" s="56" t="s">
        <v>96</v>
      </c>
      <c r="M600" s="337"/>
      <c r="O600" s="337"/>
      <c r="Q600" s="337"/>
      <c r="S600" s="337"/>
      <c r="T600" s="56">
        <v>25870150.449999999</v>
      </c>
      <c r="U600" s="56" t="s">
        <v>677</v>
      </c>
      <c r="V600" s="56" t="s">
        <v>678</v>
      </c>
      <c r="W600" s="56" t="s">
        <v>679</v>
      </c>
    </row>
    <row r="601" spans="7:23" x14ac:dyDescent="0.3">
      <c r="G601" s="247"/>
      <c r="H601" s="248"/>
      <c r="I601" s="56" t="s">
        <v>29</v>
      </c>
      <c r="J601" s="56" t="s">
        <v>96</v>
      </c>
      <c r="K601" s="56" t="s">
        <v>96</v>
      </c>
      <c r="M601" s="337"/>
      <c r="O601" s="337"/>
      <c r="Q601" s="337"/>
      <c r="S601" s="337"/>
      <c r="T601" s="56">
        <v>4712721.71</v>
      </c>
      <c r="U601" s="56" t="s">
        <v>4375</v>
      </c>
      <c r="V601" s="56" t="s">
        <v>4376</v>
      </c>
      <c r="W601" s="56" t="s">
        <v>4377</v>
      </c>
    </row>
    <row r="602" spans="7:23" x14ac:dyDescent="0.3">
      <c r="G602" s="247"/>
      <c r="H602" s="248"/>
      <c r="I602" s="56" t="s">
        <v>29</v>
      </c>
      <c r="J602" s="56" t="s">
        <v>96</v>
      </c>
      <c r="K602" s="56" t="s">
        <v>96</v>
      </c>
      <c r="L602" s="56">
        <v>33221911.890000001</v>
      </c>
      <c r="M602" s="337">
        <v>0.72221547586956525</v>
      </c>
      <c r="O602" s="337"/>
      <c r="Q602" s="337"/>
      <c r="S602" s="337"/>
      <c r="T602" s="56">
        <v>33221911.890000001</v>
      </c>
      <c r="U602" s="56" t="s">
        <v>2347</v>
      </c>
      <c r="V602" s="56" t="s">
        <v>2354</v>
      </c>
      <c r="W602" s="56" t="s">
        <v>2355</v>
      </c>
    </row>
    <row r="603" spans="7:23" x14ac:dyDescent="0.3">
      <c r="G603" s="247"/>
      <c r="H603" s="248"/>
      <c r="I603" s="56" t="s">
        <v>29</v>
      </c>
      <c r="J603" s="56" t="s">
        <v>96</v>
      </c>
      <c r="K603" s="56" t="s">
        <v>96</v>
      </c>
      <c r="M603" s="337"/>
      <c r="O603" s="337"/>
      <c r="Q603" s="337"/>
      <c r="S603" s="337"/>
      <c r="T603" s="56">
        <v>21515879.079999998</v>
      </c>
      <c r="U603" s="56" t="s">
        <v>3038</v>
      </c>
      <c r="V603" s="56" t="s">
        <v>3039</v>
      </c>
      <c r="W603" s="56" t="s">
        <v>3040</v>
      </c>
    </row>
    <row r="604" spans="7:23" x14ac:dyDescent="0.3">
      <c r="G604" s="247"/>
      <c r="H604" s="248"/>
      <c r="I604" s="56" t="s">
        <v>29</v>
      </c>
      <c r="J604" s="56" t="s">
        <v>96</v>
      </c>
      <c r="K604" s="56" t="s">
        <v>96</v>
      </c>
      <c r="M604" s="337"/>
      <c r="O604" s="337"/>
      <c r="Q604" s="337"/>
      <c r="S604" s="337"/>
      <c r="T604" s="56">
        <v>21121764.120000001</v>
      </c>
      <c r="U604" s="56" t="s">
        <v>3153</v>
      </c>
      <c r="V604" s="56" t="s">
        <v>3154</v>
      </c>
      <c r="W604" s="56" t="s">
        <v>3155</v>
      </c>
    </row>
    <row r="605" spans="7:23" x14ac:dyDescent="0.3">
      <c r="G605" s="247"/>
      <c r="H605" s="248"/>
      <c r="I605" s="56" t="s">
        <v>29</v>
      </c>
      <c r="J605" s="56" t="s">
        <v>96</v>
      </c>
      <c r="K605" s="56" t="s">
        <v>96</v>
      </c>
      <c r="M605" s="337"/>
      <c r="O605" s="337"/>
      <c r="Q605" s="337"/>
      <c r="S605" s="337"/>
      <c r="T605" s="56">
        <v>28802385.940000001</v>
      </c>
      <c r="U605" s="56" t="s">
        <v>4421</v>
      </c>
      <c r="V605" s="56" t="s">
        <v>4442</v>
      </c>
      <c r="W605" s="56" t="s">
        <v>4443</v>
      </c>
    </row>
    <row r="606" spans="7:23" x14ac:dyDescent="0.3">
      <c r="G606" s="247"/>
      <c r="H606" s="248"/>
      <c r="I606" s="56" t="s">
        <v>29</v>
      </c>
      <c r="J606" s="56" t="s">
        <v>96</v>
      </c>
      <c r="K606" s="56" t="s">
        <v>26</v>
      </c>
      <c r="M606" s="337"/>
      <c r="O606" s="337"/>
      <c r="Q606" s="337"/>
      <c r="S606" s="337"/>
      <c r="T606" s="56">
        <v>28669164.699999999</v>
      </c>
      <c r="U606" s="56" t="s">
        <v>1087</v>
      </c>
      <c r="V606" s="56" t="s">
        <v>1088</v>
      </c>
      <c r="W606" s="56" t="s">
        <v>1089</v>
      </c>
    </row>
    <row r="607" spans="7:23" x14ac:dyDescent="0.3">
      <c r="G607" s="247"/>
      <c r="H607" s="248"/>
      <c r="I607" s="56" t="s">
        <v>29</v>
      </c>
      <c r="J607" s="56" t="s">
        <v>96</v>
      </c>
      <c r="K607" s="56" t="s">
        <v>26</v>
      </c>
      <c r="M607" s="337"/>
      <c r="O607" s="337"/>
      <c r="Q607" s="337"/>
      <c r="S607" s="337"/>
      <c r="T607" s="56">
        <v>9805290.6500000004</v>
      </c>
      <c r="U607" s="56" t="s">
        <v>3024</v>
      </c>
      <c r="V607" s="56" t="s">
        <v>3025</v>
      </c>
      <c r="W607" s="56" t="s">
        <v>3026</v>
      </c>
    </row>
    <row r="608" spans="7:23" x14ac:dyDescent="0.3">
      <c r="G608" s="247"/>
      <c r="H608" s="248"/>
      <c r="I608" s="56" t="s">
        <v>29</v>
      </c>
      <c r="J608" s="56" t="s">
        <v>96</v>
      </c>
      <c r="K608" s="56" t="s">
        <v>26</v>
      </c>
      <c r="M608" s="337"/>
      <c r="O608" s="337"/>
      <c r="Q608" s="337"/>
      <c r="S608" s="337"/>
      <c r="T608" s="56">
        <v>2840400</v>
      </c>
      <c r="U608" s="56" t="s">
        <v>4634</v>
      </c>
      <c r="V608" s="56" t="s">
        <v>4641</v>
      </c>
      <c r="W608" s="56" t="s">
        <v>4642</v>
      </c>
    </row>
    <row r="609" spans="7:23" x14ac:dyDescent="0.3">
      <c r="G609" s="247"/>
      <c r="H609" s="248"/>
      <c r="I609" s="56" t="s">
        <v>29</v>
      </c>
      <c r="J609" s="56" t="s">
        <v>26</v>
      </c>
      <c r="K609" s="56" t="s">
        <v>26</v>
      </c>
      <c r="M609" s="337"/>
      <c r="O609" s="337"/>
      <c r="Q609" s="337"/>
      <c r="S609" s="337"/>
      <c r="T609" s="56">
        <v>4638791.34</v>
      </c>
      <c r="U609" s="56" t="s">
        <v>4046</v>
      </c>
      <c r="V609" s="56" t="s">
        <v>4047</v>
      </c>
      <c r="W609" s="56" t="s">
        <v>4048</v>
      </c>
    </row>
    <row r="610" spans="7:23" x14ac:dyDescent="0.3">
      <c r="G610" s="247"/>
      <c r="H610" s="248"/>
      <c r="I610" s="56" t="s">
        <v>29</v>
      </c>
      <c r="J610" s="56" t="s">
        <v>26</v>
      </c>
      <c r="K610" s="56" t="s">
        <v>26</v>
      </c>
      <c r="M610" s="337"/>
      <c r="O610" s="337"/>
      <c r="Q610" s="337"/>
      <c r="S610" s="337"/>
      <c r="T610" s="56">
        <v>28568521.719999999</v>
      </c>
      <c r="U610" s="56" t="s">
        <v>854</v>
      </c>
      <c r="V610" s="56" t="s">
        <v>855</v>
      </c>
      <c r="W610" s="56" t="s">
        <v>856</v>
      </c>
    </row>
    <row r="611" spans="7:23" x14ac:dyDescent="0.3">
      <c r="G611" s="247"/>
      <c r="H611" s="248"/>
      <c r="I611" s="56" t="s">
        <v>29</v>
      </c>
      <c r="J611" s="56" t="s">
        <v>30</v>
      </c>
      <c r="K611" s="56" t="s">
        <v>1819</v>
      </c>
      <c r="M611" s="337"/>
      <c r="O611" s="337"/>
      <c r="Q611" s="337"/>
      <c r="S611" s="337"/>
      <c r="T611" s="56">
        <v>10005754.5</v>
      </c>
      <c r="U611" s="56" t="s">
        <v>1040</v>
      </c>
      <c r="V611" s="56" t="s">
        <v>1041</v>
      </c>
      <c r="W611" s="56" t="s">
        <v>1042</v>
      </c>
    </row>
    <row r="612" spans="7:23" x14ac:dyDescent="0.3">
      <c r="G612" s="247"/>
      <c r="H612" s="248"/>
      <c r="I612" s="56" t="s">
        <v>29</v>
      </c>
      <c r="J612" s="56" t="s">
        <v>30</v>
      </c>
      <c r="K612" s="56" t="s">
        <v>1819</v>
      </c>
      <c r="M612" s="337"/>
      <c r="O612" s="337"/>
      <c r="Q612" s="337"/>
      <c r="S612" s="337"/>
      <c r="T612" s="56">
        <v>2664823.87</v>
      </c>
      <c r="U612" s="56" t="s">
        <v>5256</v>
      </c>
      <c r="V612" s="56" t="s">
        <v>5263</v>
      </c>
      <c r="W612" s="56" t="s">
        <v>5264</v>
      </c>
    </row>
    <row r="613" spans="7:23" x14ac:dyDescent="0.3">
      <c r="G613" s="247"/>
      <c r="H613" s="248"/>
      <c r="I613" s="56" t="s">
        <v>29</v>
      </c>
      <c r="J613" s="56" t="s">
        <v>30</v>
      </c>
      <c r="K613" s="56" t="s">
        <v>1819</v>
      </c>
      <c r="M613" s="337"/>
      <c r="O613" s="337"/>
      <c r="Q613" s="337"/>
      <c r="S613" s="337"/>
      <c r="T613" s="56">
        <v>9000000</v>
      </c>
      <c r="U613" s="56" t="s">
        <v>5957</v>
      </c>
      <c r="V613" s="56" t="s">
        <v>5960</v>
      </c>
      <c r="W613" s="56" t="s">
        <v>5961</v>
      </c>
    </row>
    <row r="614" spans="7:23" x14ac:dyDescent="0.3">
      <c r="G614" s="247"/>
      <c r="H614" s="248"/>
      <c r="I614" s="56" t="s">
        <v>29</v>
      </c>
      <c r="J614" s="56" t="s">
        <v>30</v>
      </c>
      <c r="K614" s="56" t="s">
        <v>1819</v>
      </c>
      <c r="M614" s="337"/>
      <c r="O614" s="337"/>
      <c r="Q614" s="337"/>
      <c r="S614" s="337"/>
      <c r="T614" s="56">
        <v>4338788.2300000004</v>
      </c>
      <c r="U614" s="56" t="s">
        <v>5444</v>
      </c>
      <c r="V614" s="56" t="s">
        <v>5451</v>
      </c>
      <c r="W614" s="56" t="s">
        <v>5452</v>
      </c>
    </row>
    <row r="615" spans="7:23" x14ac:dyDescent="0.3">
      <c r="G615" s="247"/>
      <c r="H615" s="248"/>
      <c r="I615" s="56" t="s">
        <v>29</v>
      </c>
      <c r="J615" s="56" t="s">
        <v>30</v>
      </c>
      <c r="K615" s="56" t="s">
        <v>437</v>
      </c>
      <c r="L615" s="56">
        <v>12685999.300000001</v>
      </c>
      <c r="M615" s="337">
        <v>0.84573328666666669</v>
      </c>
      <c r="O615" s="337"/>
      <c r="Q615" s="337"/>
      <c r="S615" s="337"/>
      <c r="T615" s="56">
        <v>12685999.300000001</v>
      </c>
      <c r="U615" s="56" t="s">
        <v>5556</v>
      </c>
      <c r="V615" s="56" t="s">
        <v>5557</v>
      </c>
      <c r="W615" s="56" t="s">
        <v>5558</v>
      </c>
    </row>
    <row r="616" spans="7:23" x14ac:dyDescent="0.3">
      <c r="G616" s="247"/>
      <c r="H616" s="248"/>
      <c r="I616" s="56" t="s">
        <v>29</v>
      </c>
      <c r="J616" s="56" t="s">
        <v>30</v>
      </c>
      <c r="K616" s="56" t="s">
        <v>437</v>
      </c>
      <c r="M616" s="337"/>
      <c r="O616" s="337"/>
      <c r="Q616" s="337"/>
      <c r="S616" s="337"/>
      <c r="T616" s="56">
        <v>2296552.9500000002</v>
      </c>
      <c r="U616" s="56" t="s">
        <v>5896</v>
      </c>
      <c r="V616" s="56" t="s">
        <v>5897</v>
      </c>
      <c r="W616" s="56" t="s">
        <v>5898</v>
      </c>
    </row>
    <row r="617" spans="7:23" x14ac:dyDescent="0.3">
      <c r="G617" s="247"/>
      <c r="H617" s="248"/>
      <c r="I617" s="56" t="s">
        <v>29</v>
      </c>
      <c r="J617" s="56" t="s">
        <v>30</v>
      </c>
      <c r="K617" s="56" t="s">
        <v>437</v>
      </c>
      <c r="M617" s="337"/>
      <c r="O617" s="337"/>
      <c r="Q617" s="337"/>
      <c r="S617" s="337"/>
      <c r="T617" s="56">
        <v>28000000</v>
      </c>
      <c r="U617" s="56" t="s">
        <v>2248</v>
      </c>
      <c r="V617" s="56" t="s">
        <v>2249</v>
      </c>
      <c r="W617" s="56" t="s">
        <v>2250</v>
      </c>
    </row>
    <row r="618" spans="7:23" x14ac:dyDescent="0.3">
      <c r="G618" s="247"/>
      <c r="H618" s="248"/>
      <c r="I618" s="56" t="s">
        <v>29</v>
      </c>
      <c r="J618" s="56" t="s">
        <v>30</v>
      </c>
      <c r="K618" s="56" t="s">
        <v>437</v>
      </c>
      <c r="L618" s="56">
        <v>1433967.43</v>
      </c>
      <c r="M618" s="337">
        <v>0.23899457166666666</v>
      </c>
      <c r="N618" s="56">
        <v>1433967.43</v>
      </c>
      <c r="O618" s="337">
        <v>0.23899457166666666</v>
      </c>
      <c r="Q618" s="337"/>
      <c r="S618" s="337"/>
      <c r="T618" s="56">
        <v>1433967.43</v>
      </c>
      <c r="U618" s="56" t="s">
        <v>3670</v>
      </c>
      <c r="V618" s="56" t="s">
        <v>3676</v>
      </c>
      <c r="W618" s="56" t="s">
        <v>3677</v>
      </c>
    </row>
    <row r="619" spans="7:23" x14ac:dyDescent="0.3">
      <c r="G619" s="247"/>
      <c r="H619" s="248"/>
      <c r="I619" s="56" t="s">
        <v>29</v>
      </c>
      <c r="J619" s="56" t="s">
        <v>30</v>
      </c>
      <c r="K619" s="56" t="s">
        <v>26</v>
      </c>
      <c r="M619" s="337"/>
      <c r="O619" s="337"/>
      <c r="Q619" s="337"/>
      <c r="S619" s="337"/>
      <c r="T619" s="56">
        <v>11548818.5</v>
      </c>
      <c r="U619" s="56" t="s">
        <v>665</v>
      </c>
      <c r="V619" s="56" t="s">
        <v>666</v>
      </c>
      <c r="W619" s="56" t="s">
        <v>667</v>
      </c>
    </row>
    <row r="620" spans="7:23" x14ac:dyDescent="0.3">
      <c r="G620" s="247"/>
      <c r="H620" s="248"/>
      <c r="I620" s="56" t="s">
        <v>29</v>
      </c>
      <c r="J620" s="56" t="s">
        <v>30</v>
      </c>
      <c r="K620" s="56" t="s">
        <v>26</v>
      </c>
      <c r="L620" s="56">
        <v>16540720.689999999</v>
      </c>
      <c r="M620" s="337">
        <v>0.82703603449999996</v>
      </c>
      <c r="O620" s="337"/>
      <c r="Q620" s="337"/>
      <c r="S620" s="337"/>
      <c r="T620" s="56">
        <v>16540720.689999999</v>
      </c>
      <c r="U620" s="56" t="s">
        <v>1606</v>
      </c>
      <c r="V620" s="56" t="s">
        <v>1612</v>
      </c>
      <c r="W620" s="56" t="s">
        <v>1613</v>
      </c>
    </row>
    <row r="621" spans="7:23" x14ac:dyDescent="0.3">
      <c r="G621" s="247"/>
      <c r="H621" s="248"/>
      <c r="I621" s="56" t="s">
        <v>29</v>
      </c>
      <c r="J621" s="56" t="s">
        <v>30</v>
      </c>
      <c r="K621" s="56" t="s">
        <v>26</v>
      </c>
      <c r="L621" s="56">
        <v>22594046.489999998</v>
      </c>
      <c r="M621" s="337">
        <v>0.75313488299999998</v>
      </c>
      <c r="O621" s="337"/>
      <c r="Q621" s="337"/>
      <c r="S621" s="337"/>
      <c r="T621" s="56">
        <v>22594046.489999998</v>
      </c>
      <c r="U621" s="56" t="s">
        <v>2740</v>
      </c>
      <c r="V621" s="56" t="s">
        <v>2741</v>
      </c>
      <c r="W621" s="56" t="s">
        <v>2742</v>
      </c>
    </row>
    <row r="622" spans="7:23" x14ac:dyDescent="0.3">
      <c r="G622" s="247"/>
      <c r="H622" s="248"/>
      <c r="I622" s="56" t="s">
        <v>29</v>
      </c>
      <c r="J622" s="56" t="s">
        <v>30</v>
      </c>
      <c r="K622" s="56" t="s">
        <v>26</v>
      </c>
      <c r="L622" s="56">
        <v>1776573.94</v>
      </c>
      <c r="M622" s="337">
        <v>0.29609565666666671</v>
      </c>
      <c r="O622" s="337"/>
      <c r="Q622" s="337"/>
      <c r="S622" s="337"/>
      <c r="T622" s="56">
        <v>1776573.94</v>
      </c>
      <c r="U622" s="56" t="s">
        <v>2387</v>
      </c>
      <c r="V622" s="56" t="s">
        <v>2401</v>
      </c>
      <c r="W622" s="56" t="s">
        <v>2402</v>
      </c>
    </row>
    <row r="623" spans="7:23" x14ac:dyDescent="0.3">
      <c r="G623" s="247"/>
      <c r="H623" s="248"/>
      <c r="I623" s="56" t="s">
        <v>29</v>
      </c>
      <c r="J623" s="56" t="s">
        <v>30</v>
      </c>
      <c r="K623" s="56" t="s">
        <v>30</v>
      </c>
      <c r="M623" s="337"/>
      <c r="O623" s="337"/>
      <c r="Q623" s="337"/>
      <c r="S623" s="337"/>
      <c r="T623" s="56">
        <v>3289996.94</v>
      </c>
      <c r="U623" s="56" t="s">
        <v>3683</v>
      </c>
      <c r="V623" s="56" t="s">
        <v>3688</v>
      </c>
      <c r="W623" s="56" t="s">
        <v>3689</v>
      </c>
    </row>
    <row r="624" spans="7:23" x14ac:dyDescent="0.3">
      <c r="G624" s="247"/>
      <c r="H624" s="248"/>
      <c r="I624" s="56" t="s">
        <v>29</v>
      </c>
      <c r="J624" s="56" t="s">
        <v>30</v>
      </c>
      <c r="K624" s="56" t="s">
        <v>30</v>
      </c>
      <c r="L624" s="56">
        <v>8511487.2599999998</v>
      </c>
      <c r="M624" s="337">
        <v>0.53196795375000006</v>
      </c>
      <c r="O624" s="337"/>
      <c r="Q624" s="337"/>
      <c r="S624" s="337"/>
      <c r="T624" s="56">
        <v>8511487.2599999998</v>
      </c>
      <c r="U624" s="56" t="s">
        <v>2633</v>
      </c>
      <c r="V624" s="56" t="s">
        <v>2641</v>
      </c>
      <c r="W624" s="56" t="s">
        <v>2642</v>
      </c>
    </row>
    <row r="625" spans="7:23" x14ac:dyDescent="0.3">
      <c r="G625" s="247"/>
      <c r="H625" s="248"/>
      <c r="I625" s="56" t="s">
        <v>29</v>
      </c>
      <c r="J625" s="56" t="s">
        <v>30</v>
      </c>
      <c r="K625" s="56" t="s">
        <v>30</v>
      </c>
      <c r="M625" s="337"/>
      <c r="O625" s="337"/>
      <c r="Q625" s="337"/>
      <c r="S625" s="337"/>
      <c r="T625" s="56">
        <v>28186077.59</v>
      </c>
      <c r="U625" s="56" t="s">
        <v>2885</v>
      </c>
      <c r="V625" s="56" t="s">
        <v>2886</v>
      </c>
      <c r="W625" s="56" t="s">
        <v>2887</v>
      </c>
    </row>
    <row r="626" spans="7:23" x14ac:dyDescent="0.3">
      <c r="G626" s="247"/>
      <c r="H626" s="248"/>
      <c r="I626" s="56" t="s">
        <v>29</v>
      </c>
      <c r="J626" s="56" t="s">
        <v>30</v>
      </c>
      <c r="K626" s="56" t="s">
        <v>30</v>
      </c>
      <c r="M626" s="337"/>
      <c r="O626" s="337"/>
      <c r="Q626" s="337"/>
      <c r="S626" s="337"/>
      <c r="T626" s="56">
        <v>6327958.2699999996</v>
      </c>
      <c r="U626" s="56" t="s">
        <v>3757</v>
      </c>
      <c r="V626" s="56" t="s">
        <v>3761</v>
      </c>
      <c r="W626" s="56" t="s">
        <v>3762</v>
      </c>
    </row>
    <row r="627" spans="7:23" x14ac:dyDescent="0.3">
      <c r="G627" s="247"/>
      <c r="H627" s="248"/>
      <c r="I627" s="56" t="s">
        <v>29</v>
      </c>
      <c r="J627" s="56" t="s">
        <v>30</v>
      </c>
      <c r="K627" s="56" t="s">
        <v>1820</v>
      </c>
      <c r="L627" s="56">
        <v>309379.08</v>
      </c>
      <c r="M627" s="337">
        <v>0.20625272</v>
      </c>
      <c r="N627" s="56">
        <v>309379.08</v>
      </c>
      <c r="O627" s="337">
        <v>0.20625272</v>
      </c>
      <c r="P627" s="56">
        <v>309379.08</v>
      </c>
      <c r="Q627" s="337">
        <v>0.20625272</v>
      </c>
      <c r="S627" s="337"/>
      <c r="T627" s="56">
        <v>309379.08</v>
      </c>
      <c r="U627" s="56" t="s">
        <v>2576</v>
      </c>
      <c r="V627" s="56" t="s">
        <v>2577</v>
      </c>
      <c r="W627" s="56" t="s">
        <v>2578</v>
      </c>
    </row>
    <row r="628" spans="7:23" x14ac:dyDescent="0.3">
      <c r="G628" s="247"/>
      <c r="H628" s="248"/>
      <c r="I628" s="56" t="s">
        <v>25</v>
      </c>
      <c r="J628" s="56" t="s">
        <v>103</v>
      </c>
      <c r="K628" s="56" t="s">
        <v>1821</v>
      </c>
      <c r="L628" s="56">
        <v>9462264.1300000008</v>
      </c>
      <c r="M628" s="337">
        <v>0.2703504037142857</v>
      </c>
      <c r="O628" s="337"/>
      <c r="Q628" s="337"/>
      <c r="S628" s="337"/>
      <c r="T628" s="56">
        <v>9462264.1300000008</v>
      </c>
      <c r="U628" s="56" t="s">
        <v>327</v>
      </c>
      <c r="V628" s="56" t="s">
        <v>330</v>
      </c>
      <c r="W628" s="56" t="s">
        <v>331</v>
      </c>
    </row>
    <row r="629" spans="7:23" x14ac:dyDescent="0.3">
      <c r="G629" s="247"/>
      <c r="H629" s="248"/>
      <c r="I629" s="56" t="s">
        <v>25</v>
      </c>
      <c r="J629" s="56" t="s">
        <v>103</v>
      </c>
      <c r="K629" s="56" t="s">
        <v>104</v>
      </c>
      <c r="L629" s="56">
        <v>11820208.539999999</v>
      </c>
      <c r="M629" s="337">
        <v>0.38129704967741934</v>
      </c>
      <c r="O629" s="337"/>
      <c r="Q629" s="337"/>
      <c r="S629" s="337"/>
      <c r="T629" s="56">
        <v>11820208.539999999</v>
      </c>
      <c r="U629" s="56" t="s">
        <v>134</v>
      </c>
      <c r="V629" s="56" t="s">
        <v>135</v>
      </c>
      <c r="W629" s="56" t="s">
        <v>136</v>
      </c>
    </row>
    <row r="630" spans="7:23" x14ac:dyDescent="0.3">
      <c r="G630" s="247"/>
      <c r="H630" s="248"/>
      <c r="I630" s="56" t="s">
        <v>25</v>
      </c>
      <c r="J630" s="56" t="s">
        <v>103</v>
      </c>
      <c r="K630" s="56" t="s">
        <v>104</v>
      </c>
      <c r="L630" s="56">
        <v>29300717.640000001</v>
      </c>
      <c r="M630" s="337">
        <v>0.35732582487804876</v>
      </c>
      <c r="O630" s="337"/>
      <c r="Q630" s="337"/>
      <c r="S630" s="337"/>
      <c r="T630" s="56">
        <v>29300717.640000001</v>
      </c>
      <c r="U630" s="56" t="s">
        <v>367</v>
      </c>
      <c r="V630" s="56" t="s">
        <v>378</v>
      </c>
      <c r="W630" s="56" t="s">
        <v>379</v>
      </c>
    </row>
    <row r="631" spans="7:23" x14ac:dyDescent="0.3">
      <c r="G631" s="247"/>
      <c r="H631" s="248"/>
      <c r="I631" s="56" t="s">
        <v>25</v>
      </c>
      <c r="J631" s="56" t="s">
        <v>103</v>
      </c>
      <c r="K631" s="56" t="s">
        <v>104</v>
      </c>
      <c r="L631" s="56">
        <v>18000000</v>
      </c>
      <c r="M631" s="337">
        <v>1</v>
      </c>
      <c r="O631" s="337"/>
      <c r="Q631" s="337"/>
      <c r="S631" s="337"/>
      <c r="T631" s="56">
        <v>18000000</v>
      </c>
      <c r="U631" s="56" t="s">
        <v>5889</v>
      </c>
      <c r="V631" s="56" t="s">
        <v>5906</v>
      </c>
      <c r="W631" s="56" t="s">
        <v>5907</v>
      </c>
    </row>
    <row r="632" spans="7:23" x14ac:dyDescent="0.3">
      <c r="G632" s="247"/>
      <c r="H632" s="248"/>
      <c r="I632" s="56" t="s">
        <v>25</v>
      </c>
      <c r="J632" s="56" t="s">
        <v>103</v>
      </c>
      <c r="K632" s="56" t="s">
        <v>104</v>
      </c>
      <c r="L632" s="56">
        <v>12044374.609999999</v>
      </c>
      <c r="M632" s="337">
        <v>0.92649035461538465</v>
      </c>
      <c r="O632" s="337"/>
      <c r="Q632" s="337"/>
      <c r="S632" s="337"/>
      <c r="T632" s="56">
        <v>12044374.609999999</v>
      </c>
      <c r="U632" s="56" t="s">
        <v>4327</v>
      </c>
      <c r="V632" s="56" t="s">
        <v>1357</v>
      </c>
      <c r="W632" s="56" t="s">
        <v>4342</v>
      </c>
    </row>
    <row r="633" spans="7:23" x14ac:dyDescent="0.3">
      <c r="G633" s="247"/>
      <c r="H633" s="248"/>
      <c r="I633" s="56" t="s">
        <v>25</v>
      </c>
      <c r="J633" s="56" t="s">
        <v>103</v>
      </c>
      <c r="K633" s="56" t="s">
        <v>104</v>
      </c>
      <c r="L633" s="56">
        <v>1704219.93</v>
      </c>
      <c r="M633" s="337">
        <v>0.13572803436852954</v>
      </c>
      <c r="O633" s="337"/>
      <c r="Q633" s="337"/>
      <c r="S633" s="337"/>
      <c r="T633" s="56">
        <v>1704219.93</v>
      </c>
      <c r="U633" s="56" t="s">
        <v>1291</v>
      </c>
      <c r="V633" s="56" t="s">
        <v>1292</v>
      </c>
      <c r="W633" s="56" t="s">
        <v>1293</v>
      </c>
    </row>
    <row r="634" spans="7:23" x14ac:dyDescent="0.3">
      <c r="G634" s="247"/>
      <c r="H634" s="248"/>
      <c r="I634" s="56" t="s">
        <v>25</v>
      </c>
      <c r="J634" s="56" t="s">
        <v>103</v>
      </c>
      <c r="K634" s="56" t="s">
        <v>104</v>
      </c>
      <c r="M634" s="337"/>
      <c r="O634" s="337"/>
      <c r="Q634" s="337"/>
      <c r="S634" s="337"/>
      <c r="T634" s="56">
        <v>9628210.9199999999</v>
      </c>
      <c r="U634" s="56" t="s">
        <v>1527</v>
      </c>
      <c r="V634" s="56" t="s">
        <v>1536</v>
      </c>
      <c r="W634" s="56" t="s">
        <v>1537</v>
      </c>
    </row>
    <row r="635" spans="7:23" x14ac:dyDescent="0.3">
      <c r="G635" s="247"/>
      <c r="H635" s="248"/>
      <c r="I635" s="56" t="s">
        <v>25</v>
      </c>
      <c r="J635" s="56" t="s">
        <v>103</v>
      </c>
      <c r="K635" s="56" t="s">
        <v>104</v>
      </c>
      <c r="M635" s="337"/>
      <c r="O635" s="337"/>
      <c r="Q635" s="337"/>
      <c r="S635" s="337"/>
      <c r="T635" s="56">
        <v>13000000</v>
      </c>
      <c r="U635" s="56" t="s">
        <v>5955</v>
      </c>
      <c r="V635" s="56" t="s">
        <v>5958</v>
      </c>
      <c r="W635" s="56" t="s">
        <v>5959</v>
      </c>
    </row>
    <row r="636" spans="7:23" x14ac:dyDescent="0.3">
      <c r="G636" s="247"/>
      <c r="H636" s="248"/>
      <c r="I636" s="56" t="s">
        <v>25</v>
      </c>
      <c r="J636" s="56" t="s">
        <v>103</v>
      </c>
      <c r="K636" s="56" t="s">
        <v>104</v>
      </c>
      <c r="M636" s="337"/>
      <c r="O636" s="337"/>
      <c r="Q636" s="337"/>
      <c r="S636" s="337"/>
      <c r="T636" s="56">
        <v>23831949.239999998</v>
      </c>
      <c r="U636" s="56" t="s">
        <v>2073</v>
      </c>
      <c r="V636" s="56" t="s">
        <v>2075</v>
      </c>
      <c r="W636" s="56" t="s">
        <v>2076</v>
      </c>
    </row>
    <row r="637" spans="7:23" x14ac:dyDescent="0.3">
      <c r="G637" s="247"/>
      <c r="H637" s="248"/>
      <c r="I637" s="56" t="s">
        <v>25</v>
      </c>
      <c r="J637" s="56" t="s">
        <v>103</v>
      </c>
      <c r="K637" s="56" t="s">
        <v>104</v>
      </c>
      <c r="L637" s="56">
        <v>43397347.869999997</v>
      </c>
      <c r="M637" s="337">
        <v>0.66765150569230769</v>
      </c>
      <c r="N637" s="56">
        <v>43397347.869999997</v>
      </c>
      <c r="O637" s="337">
        <v>0.66765150569230769</v>
      </c>
      <c r="Q637" s="337"/>
      <c r="S637" s="337"/>
      <c r="T637" s="56">
        <v>43397347.869999997</v>
      </c>
      <c r="U637" s="56" t="s">
        <v>1955</v>
      </c>
      <c r="V637" s="56" t="s">
        <v>1981</v>
      </c>
      <c r="W637" s="56" t="s">
        <v>1982</v>
      </c>
    </row>
    <row r="638" spans="7:23" x14ac:dyDescent="0.3">
      <c r="G638" s="247"/>
      <c r="H638" s="248"/>
      <c r="I638" s="56" t="s">
        <v>25</v>
      </c>
      <c r="J638" s="56" t="s">
        <v>103</v>
      </c>
      <c r="K638" s="56" t="s">
        <v>104</v>
      </c>
      <c r="M638" s="337"/>
      <c r="O638" s="337"/>
      <c r="Q638" s="337"/>
      <c r="S638" s="337"/>
      <c r="T638" s="56">
        <v>15745468.880000001</v>
      </c>
      <c r="U638" s="56" t="s">
        <v>2234</v>
      </c>
      <c r="V638" s="56" t="s">
        <v>2240</v>
      </c>
      <c r="W638" s="56" t="s">
        <v>2241</v>
      </c>
    </row>
    <row r="639" spans="7:23" x14ac:dyDescent="0.3">
      <c r="G639" s="247"/>
      <c r="H639" s="248"/>
      <c r="I639" s="56" t="s">
        <v>25</v>
      </c>
      <c r="J639" s="56" t="s">
        <v>103</v>
      </c>
      <c r="K639" s="56" t="s">
        <v>104</v>
      </c>
      <c r="L639" s="56">
        <v>1973998.11</v>
      </c>
      <c r="M639" s="337">
        <v>0.32899968500000004</v>
      </c>
      <c r="N639" s="56">
        <v>1973998.11</v>
      </c>
      <c r="O639" s="337">
        <v>0.32899968500000004</v>
      </c>
      <c r="Q639" s="337"/>
      <c r="S639" s="337"/>
      <c r="T639" s="56">
        <v>1973998.11</v>
      </c>
      <c r="U639" s="56" t="s">
        <v>2917</v>
      </c>
      <c r="V639" s="56" t="s">
        <v>2918</v>
      </c>
      <c r="W639" s="56" t="s">
        <v>2919</v>
      </c>
    </row>
    <row r="640" spans="7:23" x14ac:dyDescent="0.3">
      <c r="G640" s="247"/>
      <c r="H640" s="248"/>
      <c r="I640" s="56" t="s">
        <v>25</v>
      </c>
      <c r="J640" s="56" t="s">
        <v>103</v>
      </c>
      <c r="K640" s="56" t="s">
        <v>104</v>
      </c>
      <c r="L640" s="56">
        <v>1202411.95</v>
      </c>
      <c r="M640" s="337">
        <v>0.30060298749999997</v>
      </c>
      <c r="O640" s="337"/>
      <c r="Q640" s="337"/>
      <c r="S640" s="337"/>
      <c r="T640" s="56">
        <v>1202411.95</v>
      </c>
      <c r="U640" s="56" t="s">
        <v>3897</v>
      </c>
      <c r="V640" s="56" t="s">
        <v>3903</v>
      </c>
      <c r="W640" s="56" t="s">
        <v>3904</v>
      </c>
    </row>
    <row r="641" spans="7:23" x14ac:dyDescent="0.3">
      <c r="G641" s="247"/>
      <c r="H641" s="248"/>
      <c r="I641" s="56" t="s">
        <v>25</v>
      </c>
      <c r="J641" s="56" t="s">
        <v>103</v>
      </c>
      <c r="K641" s="56" t="s">
        <v>104</v>
      </c>
      <c r="M641" s="337"/>
      <c r="O641" s="337"/>
      <c r="Q641" s="337"/>
      <c r="S641" s="337"/>
      <c r="T641" s="56">
        <v>1865376.7</v>
      </c>
      <c r="U641" s="56" t="s">
        <v>5161</v>
      </c>
      <c r="V641" s="56" t="s">
        <v>5162</v>
      </c>
      <c r="W641" s="56" t="s">
        <v>5163</v>
      </c>
    </row>
    <row r="642" spans="7:23" x14ac:dyDescent="0.3">
      <c r="G642" s="247"/>
      <c r="H642" s="248"/>
      <c r="I642" s="56" t="s">
        <v>25</v>
      </c>
      <c r="J642" s="56" t="s">
        <v>103</v>
      </c>
      <c r="K642" s="56" t="s">
        <v>104</v>
      </c>
      <c r="L642" s="56">
        <v>3765854.15</v>
      </c>
      <c r="M642" s="337">
        <v>0.75317082999999996</v>
      </c>
      <c r="O642" s="337"/>
      <c r="Q642" s="337"/>
      <c r="S642" s="337"/>
      <c r="T642" s="56">
        <v>3765854.15</v>
      </c>
      <c r="U642" s="56" t="s">
        <v>5189</v>
      </c>
      <c r="V642" s="56" t="s">
        <v>5204</v>
      </c>
      <c r="W642" s="56" t="s">
        <v>5205</v>
      </c>
    </row>
    <row r="643" spans="7:23" x14ac:dyDescent="0.3">
      <c r="G643" s="247"/>
      <c r="H643" s="248"/>
      <c r="I643" s="56" t="s">
        <v>25</v>
      </c>
      <c r="J643" s="56" t="s">
        <v>103</v>
      </c>
      <c r="K643" s="56" t="s">
        <v>104</v>
      </c>
      <c r="M643" s="337"/>
      <c r="O643" s="337"/>
      <c r="Q643" s="337"/>
      <c r="S643" s="337"/>
      <c r="T643" s="56">
        <v>2083950.78</v>
      </c>
      <c r="U643" s="56" t="s">
        <v>5495</v>
      </c>
      <c r="V643" s="56" t="s">
        <v>5501</v>
      </c>
      <c r="W643" s="56" t="s">
        <v>5502</v>
      </c>
    </row>
    <row r="644" spans="7:23" x14ac:dyDescent="0.3">
      <c r="G644" s="247"/>
      <c r="H644" s="248"/>
      <c r="I644" s="56" t="s">
        <v>25</v>
      </c>
      <c r="J644" s="56" t="s">
        <v>103</v>
      </c>
      <c r="K644" s="56" t="s">
        <v>104</v>
      </c>
      <c r="L644" s="56">
        <v>2755863.53</v>
      </c>
      <c r="M644" s="337">
        <v>0.91862117666666665</v>
      </c>
      <c r="O644" s="337"/>
      <c r="Q644" s="337"/>
      <c r="S644" s="337"/>
      <c r="T644" s="56">
        <v>2755863.53</v>
      </c>
      <c r="U644" s="56" t="s">
        <v>5539</v>
      </c>
      <c r="V644" s="56" t="s">
        <v>5546</v>
      </c>
      <c r="W644" s="56" t="s">
        <v>5547</v>
      </c>
    </row>
    <row r="645" spans="7:23" x14ac:dyDescent="0.3">
      <c r="G645" s="247"/>
      <c r="H645" s="248"/>
      <c r="I645" s="56" t="s">
        <v>25</v>
      </c>
      <c r="J645" s="56" t="s">
        <v>103</v>
      </c>
      <c r="K645" s="56" t="s">
        <v>104</v>
      </c>
      <c r="M645" s="337"/>
      <c r="O645" s="337"/>
      <c r="Q645" s="337"/>
      <c r="S645" s="337"/>
      <c r="T645" s="56">
        <v>7358375.4699999997</v>
      </c>
      <c r="U645" s="56" t="s">
        <v>5665</v>
      </c>
      <c r="V645" s="56" t="s">
        <v>5692</v>
      </c>
      <c r="W645" s="56" t="s">
        <v>5693</v>
      </c>
    </row>
    <row r="646" spans="7:23" x14ac:dyDescent="0.3">
      <c r="G646" s="247"/>
      <c r="H646" s="248"/>
      <c r="I646" s="56" t="s">
        <v>25</v>
      </c>
      <c r="J646" s="56" t="s">
        <v>103</v>
      </c>
      <c r="K646" s="56" t="s">
        <v>104</v>
      </c>
      <c r="L646" s="56">
        <v>31010996.25</v>
      </c>
      <c r="M646" s="337">
        <v>0.62021992500000001</v>
      </c>
      <c r="O646" s="337"/>
      <c r="Q646" s="337"/>
      <c r="S646" s="337"/>
      <c r="T646" s="56">
        <v>31010996.25</v>
      </c>
      <c r="U646" s="56" t="s">
        <v>1937</v>
      </c>
      <c r="V646" s="56" t="s">
        <v>1944</v>
      </c>
      <c r="W646" s="56" t="s">
        <v>1945</v>
      </c>
    </row>
    <row r="647" spans="7:23" x14ac:dyDescent="0.3">
      <c r="G647" s="247"/>
      <c r="H647" s="248"/>
      <c r="I647" s="56" t="s">
        <v>25</v>
      </c>
      <c r="J647" s="56" t="s">
        <v>103</v>
      </c>
      <c r="K647" s="56" t="s">
        <v>104</v>
      </c>
      <c r="L647" s="56">
        <v>26680157.149999999</v>
      </c>
      <c r="M647" s="337">
        <v>0.66700392874999992</v>
      </c>
      <c r="O647" s="337"/>
      <c r="Q647" s="337"/>
      <c r="S647" s="337"/>
      <c r="T647" s="56">
        <v>26680157.149999999</v>
      </c>
      <c r="U647" s="56" t="s">
        <v>2292</v>
      </c>
      <c r="V647" s="56" t="s">
        <v>2304</v>
      </c>
      <c r="W647" s="56" t="s">
        <v>2305</v>
      </c>
    </row>
    <row r="648" spans="7:23" x14ac:dyDescent="0.3">
      <c r="G648" s="247"/>
      <c r="H648" s="248"/>
      <c r="I648" s="56" t="s">
        <v>25</v>
      </c>
      <c r="J648" s="56" t="s">
        <v>103</v>
      </c>
      <c r="K648" s="56" t="s">
        <v>104</v>
      </c>
      <c r="L648" s="56">
        <v>2894261.73</v>
      </c>
      <c r="M648" s="337">
        <v>0.72356543249999994</v>
      </c>
      <c r="O648" s="337"/>
      <c r="Q648" s="337"/>
      <c r="S648" s="337"/>
      <c r="T648" s="56">
        <v>2894261.73</v>
      </c>
      <c r="U648" s="56" t="s">
        <v>2709</v>
      </c>
      <c r="V648" s="56" t="s">
        <v>2710</v>
      </c>
      <c r="W648" s="56" t="s">
        <v>2711</v>
      </c>
    </row>
    <row r="649" spans="7:23" x14ac:dyDescent="0.3">
      <c r="G649" s="247"/>
      <c r="H649" s="248"/>
      <c r="I649" s="56" t="s">
        <v>25</v>
      </c>
      <c r="J649" s="56" t="s">
        <v>103</v>
      </c>
      <c r="K649" s="56" t="s">
        <v>104</v>
      </c>
      <c r="L649" s="56">
        <v>1956822.75</v>
      </c>
      <c r="M649" s="337">
        <v>7.8272910000000001E-2</v>
      </c>
      <c r="N649" s="56">
        <v>1956822.75</v>
      </c>
      <c r="O649" s="337">
        <v>7.8272910000000001E-2</v>
      </c>
      <c r="P649" s="56">
        <v>1956822.75</v>
      </c>
      <c r="Q649" s="337">
        <v>7.8272910000000001E-2</v>
      </c>
      <c r="S649" s="337"/>
      <c r="T649" s="56">
        <v>1956822.75</v>
      </c>
      <c r="U649" s="56" t="s">
        <v>2739</v>
      </c>
      <c r="V649" s="56" t="s">
        <v>2743</v>
      </c>
      <c r="W649" s="56" t="s">
        <v>2744</v>
      </c>
    </row>
    <row r="650" spans="7:23" x14ac:dyDescent="0.3">
      <c r="G650" s="247"/>
      <c r="H650" s="248"/>
      <c r="I650" s="56" t="s">
        <v>25</v>
      </c>
      <c r="J650" s="56" t="s">
        <v>103</v>
      </c>
      <c r="K650" s="56" t="s">
        <v>104</v>
      </c>
      <c r="M650" s="337"/>
      <c r="O650" s="337"/>
      <c r="Q650" s="337"/>
      <c r="S650" s="337"/>
      <c r="T650" s="56">
        <v>9482445.5199999996</v>
      </c>
      <c r="U650" s="56" t="s">
        <v>3645</v>
      </c>
      <c r="V650" s="56" t="s">
        <v>3658</v>
      </c>
      <c r="W650" s="56" t="s">
        <v>3659</v>
      </c>
    </row>
    <row r="651" spans="7:23" x14ac:dyDescent="0.3">
      <c r="G651" s="247"/>
      <c r="H651" s="248"/>
      <c r="I651" s="56" t="s">
        <v>25</v>
      </c>
      <c r="J651" s="56" t="s">
        <v>103</v>
      </c>
      <c r="K651" s="56" t="s">
        <v>104</v>
      </c>
      <c r="L651" s="56">
        <v>27029395.91</v>
      </c>
      <c r="M651" s="337">
        <v>0.67573489775000006</v>
      </c>
      <c r="O651" s="337"/>
      <c r="Q651" s="337"/>
      <c r="S651" s="337"/>
      <c r="T651" s="56">
        <v>27029395.91</v>
      </c>
      <c r="U651" s="56" t="s">
        <v>3747</v>
      </c>
      <c r="V651" s="56" t="s">
        <v>3748</v>
      </c>
      <c r="W651" s="56" t="s">
        <v>3749</v>
      </c>
    </row>
    <row r="652" spans="7:23" x14ac:dyDescent="0.3">
      <c r="G652" s="247"/>
      <c r="H652" s="248"/>
      <c r="I652" s="56" t="s">
        <v>25</v>
      </c>
      <c r="J652" s="56" t="s">
        <v>103</v>
      </c>
      <c r="K652" s="56" t="s">
        <v>104</v>
      </c>
      <c r="M652" s="337"/>
      <c r="O652" s="337"/>
      <c r="Q652" s="337"/>
      <c r="S652" s="337"/>
      <c r="T652" s="56">
        <v>1954958.15</v>
      </c>
      <c r="U652" s="56" t="s">
        <v>5421</v>
      </c>
      <c r="V652" s="56" t="s">
        <v>5429</v>
      </c>
      <c r="W652" s="56" t="s">
        <v>5430</v>
      </c>
    </row>
    <row r="653" spans="7:23" x14ac:dyDescent="0.3">
      <c r="G653" s="247"/>
      <c r="H653" s="248"/>
      <c r="I653" s="56" t="s">
        <v>25</v>
      </c>
      <c r="J653" s="56" t="s">
        <v>103</v>
      </c>
      <c r="K653" s="56" t="s">
        <v>104</v>
      </c>
      <c r="M653" s="337"/>
      <c r="O653" s="337"/>
      <c r="Q653" s="337"/>
      <c r="S653" s="337"/>
      <c r="T653" s="56">
        <v>13109783.550000001</v>
      </c>
      <c r="U653" s="56" t="s">
        <v>5319</v>
      </c>
      <c r="V653" s="56" t="s">
        <v>5327</v>
      </c>
      <c r="W653" s="56" t="s">
        <v>5328</v>
      </c>
    </row>
    <row r="654" spans="7:23" x14ac:dyDescent="0.3">
      <c r="G654" s="247"/>
      <c r="H654" s="248"/>
      <c r="I654" s="56" t="s">
        <v>25</v>
      </c>
      <c r="J654" s="56" t="s">
        <v>103</v>
      </c>
      <c r="K654" s="56" t="s">
        <v>104</v>
      </c>
      <c r="M654" s="337"/>
      <c r="O654" s="337"/>
      <c r="Q654" s="337"/>
      <c r="S654" s="337"/>
      <c r="T654" s="56">
        <v>1332411.94</v>
      </c>
      <c r="U654" s="56" t="s">
        <v>5221</v>
      </c>
      <c r="V654" s="56" t="s">
        <v>5224</v>
      </c>
      <c r="W654" s="56" t="s">
        <v>5225</v>
      </c>
    </row>
    <row r="655" spans="7:23" x14ac:dyDescent="0.3">
      <c r="G655" s="247"/>
      <c r="H655" s="248"/>
      <c r="I655" s="56" t="s">
        <v>25</v>
      </c>
      <c r="J655" s="56" t="s">
        <v>103</v>
      </c>
      <c r="K655" s="56" t="s">
        <v>104</v>
      </c>
      <c r="M655" s="337"/>
      <c r="O655" s="337"/>
      <c r="Q655" s="337"/>
      <c r="S655" s="337"/>
      <c r="T655" s="56">
        <v>2131859.11</v>
      </c>
      <c r="U655" s="56" t="s">
        <v>5222</v>
      </c>
      <c r="V655" s="56" t="s">
        <v>5227</v>
      </c>
      <c r="W655" s="56" t="s">
        <v>5228</v>
      </c>
    </row>
    <row r="656" spans="7:23" x14ac:dyDescent="0.3">
      <c r="G656" s="247"/>
      <c r="H656" s="248"/>
      <c r="I656" s="56" t="s">
        <v>25</v>
      </c>
      <c r="J656" s="56" t="s">
        <v>103</v>
      </c>
      <c r="K656" s="56" t="s">
        <v>26</v>
      </c>
      <c r="M656" s="337"/>
      <c r="O656" s="337"/>
      <c r="Q656" s="337"/>
      <c r="S656" s="337"/>
      <c r="T656" s="56">
        <v>6831779.8700000001</v>
      </c>
      <c r="U656" s="56" t="s">
        <v>154</v>
      </c>
      <c r="V656" s="56" t="s">
        <v>155</v>
      </c>
      <c r="W656" s="56" t="s">
        <v>156</v>
      </c>
    </row>
    <row r="657" spans="7:23" x14ac:dyDescent="0.3">
      <c r="G657" s="247"/>
      <c r="H657" s="248"/>
      <c r="I657" s="56" t="s">
        <v>25</v>
      </c>
      <c r="J657" s="56" t="s">
        <v>103</v>
      </c>
      <c r="K657" s="56" t="s">
        <v>26</v>
      </c>
      <c r="L657" s="56">
        <v>10731396.800000001</v>
      </c>
      <c r="M657" s="337">
        <v>0.23329123478260871</v>
      </c>
      <c r="N657" s="56">
        <v>10731396.800000001</v>
      </c>
      <c r="O657" s="337">
        <v>0.23329123478260871</v>
      </c>
      <c r="Q657" s="337"/>
      <c r="S657" s="337"/>
      <c r="T657" s="56">
        <v>10731396.800000001</v>
      </c>
      <c r="U657" s="56" t="s">
        <v>147</v>
      </c>
      <c r="V657" s="56" t="s">
        <v>148</v>
      </c>
      <c r="W657" s="56" t="s">
        <v>149</v>
      </c>
    </row>
    <row r="658" spans="7:23" x14ac:dyDescent="0.3">
      <c r="G658" s="247"/>
      <c r="H658" s="248"/>
      <c r="I658" s="56" t="s">
        <v>25</v>
      </c>
      <c r="J658" s="56" t="s">
        <v>103</v>
      </c>
      <c r="K658" s="56" t="s">
        <v>26</v>
      </c>
      <c r="M658" s="337"/>
      <c r="O658" s="337"/>
      <c r="Q658" s="337"/>
      <c r="S658" s="337"/>
      <c r="T658" s="56">
        <v>17082354.920000002</v>
      </c>
      <c r="U658" s="56" t="s">
        <v>301</v>
      </c>
      <c r="V658" s="56" t="s">
        <v>302</v>
      </c>
      <c r="W658" s="56" t="s">
        <v>303</v>
      </c>
    </row>
    <row r="659" spans="7:23" x14ac:dyDescent="0.3">
      <c r="G659" s="247"/>
      <c r="H659" s="248"/>
      <c r="I659" s="56" t="s">
        <v>25</v>
      </c>
      <c r="J659" s="56" t="s">
        <v>103</v>
      </c>
      <c r="K659" s="56" t="s">
        <v>26</v>
      </c>
      <c r="M659" s="337"/>
      <c r="O659" s="337"/>
      <c r="Q659" s="337"/>
      <c r="S659" s="337"/>
      <c r="T659" s="56">
        <v>10162105.699999999</v>
      </c>
      <c r="U659" s="56" t="s">
        <v>1542</v>
      </c>
      <c r="V659" s="56" t="s">
        <v>1544</v>
      </c>
      <c r="W659" s="56" t="s">
        <v>1545</v>
      </c>
    </row>
    <row r="660" spans="7:23" x14ac:dyDescent="0.3">
      <c r="G660" s="247"/>
      <c r="H660" s="248"/>
      <c r="I660" s="56" t="s">
        <v>25</v>
      </c>
      <c r="J660" s="56" t="s">
        <v>103</v>
      </c>
      <c r="K660" s="56" t="s">
        <v>26</v>
      </c>
      <c r="L660" s="56">
        <v>7761.31</v>
      </c>
      <c r="M660" s="337">
        <v>7.76131E-4</v>
      </c>
      <c r="O660" s="337"/>
      <c r="Q660" s="337"/>
      <c r="S660" s="337"/>
      <c r="T660" s="56">
        <v>7761.31</v>
      </c>
      <c r="U660" s="56" t="s">
        <v>2104</v>
      </c>
      <c r="V660" s="56" t="s">
        <v>2109</v>
      </c>
      <c r="W660" s="56" t="s">
        <v>2110</v>
      </c>
    </row>
    <row r="661" spans="7:23" x14ac:dyDescent="0.3">
      <c r="G661" s="247"/>
      <c r="H661" s="248"/>
      <c r="I661" s="56" t="s">
        <v>25</v>
      </c>
      <c r="J661" s="56" t="s">
        <v>32</v>
      </c>
      <c r="K661" s="56" t="s">
        <v>3369</v>
      </c>
      <c r="L661" s="56">
        <v>9334478.2699999996</v>
      </c>
      <c r="M661" s="337">
        <v>0.93344782699999995</v>
      </c>
      <c r="O661" s="337"/>
      <c r="Q661" s="337"/>
      <c r="S661" s="337"/>
      <c r="T661" s="56">
        <v>9334478.2699999996</v>
      </c>
      <c r="U661" s="56" t="s">
        <v>2935</v>
      </c>
      <c r="V661" s="56" t="s">
        <v>2936</v>
      </c>
      <c r="W661" s="56" t="s">
        <v>2937</v>
      </c>
    </row>
    <row r="662" spans="7:23" x14ac:dyDescent="0.3">
      <c r="G662" s="247"/>
      <c r="H662" s="248"/>
      <c r="I662" s="56" t="s">
        <v>25</v>
      </c>
      <c r="J662" s="56" t="s">
        <v>32</v>
      </c>
      <c r="K662" s="56" t="s">
        <v>3369</v>
      </c>
      <c r="L662" s="56">
        <v>3795487.41</v>
      </c>
      <c r="M662" s="337">
        <v>0.47443592625000003</v>
      </c>
      <c r="O662" s="337"/>
      <c r="Q662" s="337"/>
      <c r="S662" s="337"/>
      <c r="T662" s="56">
        <v>3795487.41</v>
      </c>
      <c r="U662" s="56" t="s">
        <v>2652</v>
      </c>
      <c r="V662" s="56" t="s">
        <v>1711</v>
      </c>
      <c r="W662" s="56" t="s">
        <v>2653</v>
      </c>
    </row>
    <row r="663" spans="7:23" x14ac:dyDescent="0.3">
      <c r="G663" s="247"/>
      <c r="H663" s="248"/>
      <c r="I663" s="56" t="s">
        <v>25</v>
      </c>
      <c r="J663" s="56" t="s">
        <v>32</v>
      </c>
      <c r="K663" s="56" t="s">
        <v>3369</v>
      </c>
      <c r="L663" s="56">
        <v>3000000</v>
      </c>
      <c r="M663" s="337">
        <v>1</v>
      </c>
      <c r="O663" s="337"/>
      <c r="Q663" s="337"/>
      <c r="S663" s="337"/>
      <c r="T663" s="56">
        <v>3000000</v>
      </c>
      <c r="U663" s="56" t="s">
        <v>3510</v>
      </c>
      <c r="V663" s="56" t="s">
        <v>3516</v>
      </c>
      <c r="W663" s="56" t="s">
        <v>3517</v>
      </c>
    </row>
    <row r="664" spans="7:23" x14ac:dyDescent="0.3">
      <c r="G664" s="247"/>
      <c r="H664" s="248"/>
      <c r="I664" s="56" t="s">
        <v>25</v>
      </c>
      <c r="J664" s="56" t="s">
        <v>32</v>
      </c>
      <c r="K664" s="56" t="s">
        <v>3369</v>
      </c>
      <c r="M664" s="337"/>
      <c r="O664" s="337"/>
      <c r="Q664" s="337"/>
      <c r="S664" s="337"/>
      <c r="T664" s="56">
        <v>2160583.92</v>
      </c>
      <c r="U664" s="56" t="s">
        <v>3777</v>
      </c>
      <c r="V664" s="56" t="s">
        <v>3789</v>
      </c>
      <c r="W664" s="56" t="s">
        <v>3790</v>
      </c>
    </row>
    <row r="665" spans="7:23" x14ac:dyDescent="0.3">
      <c r="G665" s="247"/>
      <c r="H665" s="248"/>
      <c r="I665" s="56" t="s">
        <v>25</v>
      </c>
      <c r="J665" s="56" t="s">
        <v>32</v>
      </c>
      <c r="K665" s="56" t="s">
        <v>3369</v>
      </c>
      <c r="L665" s="56">
        <v>1586437.27</v>
      </c>
      <c r="M665" s="337">
        <v>0.3966093175</v>
      </c>
      <c r="O665" s="337"/>
      <c r="Q665" s="337"/>
      <c r="S665" s="337"/>
      <c r="T665" s="56">
        <v>1586437.27</v>
      </c>
      <c r="U665" s="56" t="s">
        <v>4280</v>
      </c>
      <c r="V665" s="56" t="s">
        <v>4292</v>
      </c>
      <c r="W665" s="56" t="s">
        <v>4293</v>
      </c>
    </row>
    <row r="666" spans="7:23" x14ac:dyDescent="0.3">
      <c r="G666" s="247"/>
      <c r="H666" s="248"/>
      <c r="I666" s="56" t="s">
        <v>25</v>
      </c>
      <c r="J666" s="56" t="s">
        <v>32</v>
      </c>
      <c r="K666" s="56" t="s">
        <v>1827</v>
      </c>
      <c r="M666" s="337"/>
      <c r="O666" s="337"/>
      <c r="Q666" s="337"/>
      <c r="S666" s="337"/>
      <c r="T666" s="56">
        <v>2414070.58</v>
      </c>
      <c r="U666" s="56" t="s">
        <v>4389</v>
      </c>
      <c r="V666" s="56" t="s">
        <v>4391</v>
      </c>
      <c r="W666" s="56" t="s">
        <v>4392</v>
      </c>
    </row>
    <row r="667" spans="7:23" x14ac:dyDescent="0.3">
      <c r="G667" s="247"/>
      <c r="H667" s="248"/>
      <c r="I667" s="56" t="s">
        <v>25</v>
      </c>
      <c r="J667" s="56" t="s">
        <v>32</v>
      </c>
      <c r="K667" s="56" t="s">
        <v>26</v>
      </c>
      <c r="M667" s="337"/>
      <c r="O667" s="337"/>
      <c r="Q667" s="337"/>
      <c r="S667" s="337"/>
      <c r="T667" s="56">
        <v>6681366.0800000001</v>
      </c>
      <c r="U667" s="56" t="s">
        <v>99</v>
      </c>
      <c r="V667" s="56" t="s">
        <v>1986</v>
      </c>
      <c r="W667" s="56" t="s">
        <v>1987</v>
      </c>
    </row>
    <row r="668" spans="7:23" x14ac:dyDescent="0.3">
      <c r="G668" s="247"/>
      <c r="H668" s="248"/>
      <c r="I668" s="56" t="s">
        <v>25</v>
      </c>
      <c r="J668" s="56" t="s">
        <v>32</v>
      </c>
      <c r="K668" s="56" t="s">
        <v>26</v>
      </c>
      <c r="L668" s="56">
        <v>25109756.34</v>
      </c>
      <c r="M668" s="337">
        <v>0.35871080485714285</v>
      </c>
      <c r="N668" s="56">
        <v>25109756.34</v>
      </c>
      <c r="O668" s="337">
        <v>0.35871080485714285</v>
      </c>
      <c r="Q668" s="337"/>
      <c r="S668" s="337"/>
      <c r="T668" s="56">
        <v>25109756.34</v>
      </c>
      <c r="U668" s="56" t="s">
        <v>534</v>
      </c>
      <c r="V668" s="56" t="s">
        <v>536</v>
      </c>
      <c r="W668" s="56" t="s">
        <v>537</v>
      </c>
    </row>
    <row r="669" spans="7:23" x14ac:dyDescent="0.3">
      <c r="G669" s="247"/>
      <c r="H669" s="248"/>
      <c r="I669" s="56" t="s">
        <v>25</v>
      </c>
      <c r="J669" s="56" t="s">
        <v>32</v>
      </c>
      <c r="K669" s="56" t="s">
        <v>26</v>
      </c>
      <c r="M669" s="337"/>
      <c r="O669" s="337"/>
      <c r="Q669" s="337"/>
      <c r="S669" s="337"/>
      <c r="T669" s="56">
        <v>6852246.9500000002</v>
      </c>
      <c r="U669" s="56" t="s">
        <v>663</v>
      </c>
      <c r="V669" s="56" t="s">
        <v>1521</v>
      </c>
      <c r="W669" s="56" t="s">
        <v>1522</v>
      </c>
    </row>
    <row r="670" spans="7:23" x14ac:dyDescent="0.3">
      <c r="G670" s="247"/>
      <c r="H670" s="248"/>
      <c r="I670" s="56" t="s">
        <v>25</v>
      </c>
      <c r="J670" s="56" t="s">
        <v>32</v>
      </c>
      <c r="K670" s="56" t="s">
        <v>26</v>
      </c>
      <c r="M670" s="337"/>
      <c r="O670" s="337"/>
      <c r="Q670" s="337"/>
      <c r="S670" s="337"/>
      <c r="T670" s="56">
        <v>10215067.34</v>
      </c>
      <c r="U670" s="56" t="s">
        <v>3548</v>
      </c>
      <c r="V670" s="56" t="s">
        <v>3583</v>
      </c>
      <c r="W670" s="56" t="s">
        <v>3584</v>
      </c>
    </row>
    <row r="671" spans="7:23" x14ac:dyDescent="0.3">
      <c r="G671" s="247"/>
      <c r="H671" s="248"/>
      <c r="I671" s="56" t="s">
        <v>25</v>
      </c>
      <c r="J671" s="56" t="s">
        <v>32</v>
      </c>
      <c r="K671" s="56" t="s">
        <v>26</v>
      </c>
      <c r="L671" s="56">
        <v>3065182.74</v>
      </c>
      <c r="M671" s="337">
        <v>0.3831478425</v>
      </c>
      <c r="O671" s="337"/>
      <c r="Q671" s="337"/>
      <c r="S671" s="337"/>
      <c r="T671" s="56">
        <v>3065182.74</v>
      </c>
      <c r="U671" s="56" t="s">
        <v>2449</v>
      </c>
      <c r="V671" s="56" t="s">
        <v>2450</v>
      </c>
      <c r="W671" s="56" t="s">
        <v>2451</v>
      </c>
    </row>
    <row r="672" spans="7:23" x14ac:dyDescent="0.3">
      <c r="G672" s="247"/>
      <c r="H672" s="248"/>
      <c r="I672" s="56" t="s">
        <v>25</v>
      </c>
      <c r="J672" s="56" t="s">
        <v>32</v>
      </c>
      <c r="K672" s="56" t="s">
        <v>26</v>
      </c>
      <c r="L672" s="56">
        <v>3153912.72</v>
      </c>
      <c r="M672" s="337">
        <v>0.315391272</v>
      </c>
      <c r="O672" s="337"/>
      <c r="Q672" s="337"/>
      <c r="S672" s="337"/>
      <c r="T672" s="56">
        <v>3153912.72</v>
      </c>
      <c r="U672" s="56" t="s">
        <v>2866</v>
      </c>
      <c r="V672" s="56" t="s">
        <v>2868</v>
      </c>
      <c r="W672" s="56" t="s">
        <v>2869</v>
      </c>
    </row>
    <row r="673" spans="7:23" x14ac:dyDescent="0.3">
      <c r="G673" s="247"/>
      <c r="H673" s="248"/>
      <c r="I673" s="56" t="s">
        <v>25</v>
      </c>
      <c r="J673" s="56" t="s">
        <v>32</v>
      </c>
      <c r="K673" s="56" t="s">
        <v>517</v>
      </c>
      <c r="M673" s="337"/>
      <c r="O673" s="337"/>
      <c r="Q673" s="337"/>
      <c r="S673" s="337"/>
      <c r="T673" s="56">
        <v>23283135.34</v>
      </c>
      <c r="U673" s="56" t="s">
        <v>74</v>
      </c>
      <c r="V673" s="56" t="s">
        <v>76</v>
      </c>
      <c r="W673" s="56" t="s">
        <v>77</v>
      </c>
    </row>
    <row r="674" spans="7:23" x14ac:dyDescent="0.3">
      <c r="G674" s="247"/>
      <c r="H674" s="248"/>
      <c r="I674" s="56" t="s">
        <v>25</v>
      </c>
      <c r="J674" s="56" t="s">
        <v>32</v>
      </c>
      <c r="K674" s="56" t="s">
        <v>517</v>
      </c>
      <c r="L674" s="56">
        <v>13029039.82</v>
      </c>
      <c r="M674" s="337">
        <v>0.52116159279999996</v>
      </c>
      <c r="N674" s="56">
        <v>13029039.82</v>
      </c>
      <c r="O674" s="337">
        <v>0.52116159279999996</v>
      </c>
      <c r="P674" s="56">
        <v>13029039.82</v>
      </c>
      <c r="Q674" s="337">
        <v>0.52116159279999996</v>
      </c>
      <c r="S674" s="337"/>
      <c r="T674" s="56">
        <v>13029039.82</v>
      </c>
      <c r="U674" s="56" t="s">
        <v>694</v>
      </c>
      <c r="V674" s="56" t="s">
        <v>695</v>
      </c>
      <c r="W674" s="56" t="s">
        <v>696</v>
      </c>
    </row>
    <row r="675" spans="7:23" x14ac:dyDescent="0.3">
      <c r="G675" s="247"/>
      <c r="H675" s="248"/>
      <c r="I675" s="56" t="s">
        <v>25</v>
      </c>
      <c r="J675" s="56" t="s">
        <v>32</v>
      </c>
      <c r="K675" s="56" t="s">
        <v>517</v>
      </c>
      <c r="M675" s="337"/>
      <c r="O675" s="337"/>
      <c r="Q675" s="337"/>
      <c r="S675" s="337"/>
      <c r="T675" s="56">
        <v>6406428.7599999998</v>
      </c>
      <c r="U675" s="56" t="s">
        <v>3921</v>
      </c>
      <c r="V675" s="56" t="s">
        <v>3926</v>
      </c>
      <c r="W675" s="56" t="s">
        <v>3927</v>
      </c>
    </row>
    <row r="676" spans="7:23" x14ac:dyDescent="0.3">
      <c r="G676" s="247"/>
      <c r="H676" s="248"/>
      <c r="I676" s="56" t="s">
        <v>25</v>
      </c>
      <c r="J676" s="56" t="s">
        <v>32</v>
      </c>
      <c r="K676" s="56" t="s">
        <v>517</v>
      </c>
      <c r="M676" s="337"/>
      <c r="O676" s="337"/>
      <c r="Q676" s="337"/>
      <c r="S676" s="337"/>
      <c r="T676" s="56">
        <v>2876153.22</v>
      </c>
      <c r="U676" s="56" t="s">
        <v>4358</v>
      </c>
      <c r="V676" s="56" t="s">
        <v>4365</v>
      </c>
      <c r="W676" s="56" t="s">
        <v>4366</v>
      </c>
    </row>
    <row r="677" spans="7:23" x14ac:dyDescent="0.3">
      <c r="G677" s="247"/>
      <c r="H677" s="248"/>
      <c r="I677" s="56" t="s">
        <v>25</v>
      </c>
      <c r="J677" s="56" t="s">
        <v>32</v>
      </c>
      <c r="K677" s="56" t="s">
        <v>517</v>
      </c>
      <c r="L677" s="56">
        <v>1444296.02</v>
      </c>
      <c r="M677" s="337">
        <v>0.48143200666666663</v>
      </c>
      <c r="N677" s="56">
        <v>1444296.02</v>
      </c>
      <c r="O677" s="337">
        <v>0.48143200666666663</v>
      </c>
      <c r="P677" s="56">
        <v>1444296.02</v>
      </c>
      <c r="Q677" s="337">
        <v>0.48143200666666663</v>
      </c>
      <c r="S677" s="337"/>
      <c r="T677" s="56">
        <v>1444296.02</v>
      </c>
      <c r="U677" s="56" t="s">
        <v>3289</v>
      </c>
      <c r="V677" s="56" t="s">
        <v>3291</v>
      </c>
      <c r="W677" s="56" t="s">
        <v>3292</v>
      </c>
    </row>
    <row r="678" spans="7:23" x14ac:dyDescent="0.3">
      <c r="G678" s="247"/>
      <c r="H678" s="248"/>
      <c r="I678" s="56" t="s">
        <v>25</v>
      </c>
      <c r="J678" s="56" t="s">
        <v>32</v>
      </c>
      <c r="K678" s="56" t="s">
        <v>517</v>
      </c>
      <c r="L678" s="56">
        <v>3361180.19</v>
      </c>
      <c r="M678" s="337">
        <v>0.48016859857142857</v>
      </c>
      <c r="O678" s="337"/>
      <c r="Q678" s="337"/>
      <c r="S678" s="337"/>
      <c r="T678" s="56">
        <v>3361180.19</v>
      </c>
      <c r="U678" s="56" t="s">
        <v>3195</v>
      </c>
      <c r="V678" s="56" t="s">
        <v>3199</v>
      </c>
      <c r="W678" s="56" t="s">
        <v>3200</v>
      </c>
    </row>
    <row r="679" spans="7:23" x14ac:dyDescent="0.3">
      <c r="G679" s="247"/>
      <c r="H679" s="248"/>
      <c r="I679" s="56" t="s">
        <v>25</v>
      </c>
      <c r="J679" s="56" t="s">
        <v>290</v>
      </c>
      <c r="K679" s="56" t="s">
        <v>1768</v>
      </c>
      <c r="L679" s="56">
        <v>641245.48</v>
      </c>
      <c r="M679" s="337">
        <v>0.53437123333333336</v>
      </c>
      <c r="O679" s="337"/>
      <c r="Q679" s="337"/>
      <c r="S679" s="337"/>
      <c r="T679" s="56">
        <v>641245.48</v>
      </c>
      <c r="U679" s="56" t="s">
        <v>5190</v>
      </c>
      <c r="V679" s="56" t="s">
        <v>5197</v>
      </c>
      <c r="W679" s="56" t="s">
        <v>5198</v>
      </c>
    </row>
    <row r="680" spans="7:23" x14ac:dyDescent="0.3">
      <c r="G680" s="247"/>
      <c r="H680" s="248"/>
      <c r="I680" s="56" t="s">
        <v>25</v>
      </c>
      <c r="J680" s="56" t="s">
        <v>290</v>
      </c>
      <c r="K680" s="56" t="s">
        <v>297</v>
      </c>
      <c r="L680" s="56">
        <v>8290217.3399999999</v>
      </c>
      <c r="M680" s="337">
        <v>0.48765984352941177</v>
      </c>
      <c r="O680" s="337"/>
      <c r="Q680" s="337"/>
      <c r="S680" s="337"/>
      <c r="T680" s="56">
        <v>8290217.3399999999</v>
      </c>
      <c r="U680" s="56" t="s">
        <v>2420</v>
      </c>
      <c r="V680" s="56" t="s">
        <v>2421</v>
      </c>
      <c r="W680" s="56" t="s">
        <v>2422</v>
      </c>
    </row>
    <row r="681" spans="7:23" x14ac:dyDescent="0.3">
      <c r="G681" s="247"/>
      <c r="H681" s="248"/>
      <c r="I681" s="56" t="s">
        <v>25</v>
      </c>
      <c r="J681" s="56" t="s">
        <v>290</v>
      </c>
      <c r="K681" s="56" t="s">
        <v>297</v>
      </c>
      <c r="L681" s="56">
        <v>3126866.21</v>
      </c>
      <c r="M681" s="337">
        <v>0.89339034571428577</v>
      </c>
      <c r="O681" s="337"/>
      <c r="Q681" s="337"/>
      <c r="S681" s="337"/>
      <c r="T681" s="56">
        <v>3126866.21</v>
      </c>
      <c r="U681" s="56" t="s">
        <v>5530</v>
      </c>
      <c r="V681" s="56" t="s">
        <v>5533</v>
      </c>
      <c r="W681" s="56" t="s">
        <v>5534</v>
      </c>
    </row>
    <row r="682" spans="7:23" x14ac:dyDescent="0.3">
      <c r="G682" s="247"/>
      <c r="H682" s="248"/>
      <c r="I682" s="56" t="s">
        <v>25</v>
      </c>
      <c r="J682" s="56" t="s">
        <v>290</v>
      </c>
      <c r="K682" s="56" t="s">
        <v>297</v>
      </c>
      <c r="L682" s="56">
        <v>6329044.9100000001</v>
      </c>
      <c r="M682" s="337">
        <v>0.42193632733333331</v>
      </c>
      <c r="N682" s="56">
        <v>6329044.9100000001</v>
      </c>
      <c r="O682" s="337">
        <v>0.42193632733333331</v>
      </c>
      <c r="Q682" s="337"/>
      <c r="S682" s="337"/>
      <c r="T682" s="56">
        <v>6329044.9100000001</v>
      </c>
      <c r="U682" s="56" t="s">
        <v>3898</v>
      </c>
      <c r="V682" s="56" t="s">
        <v>3917</v>
      </c>
      <c r="W682" s="56" t="s">
        <v>3918</v>
      </c>
    </row>
    <row r="683" spans="7:23" x14ac:dyDescent="0.3">
      <c r="G683" s="247"/>
      <c r="H683" s="248"/>
      <c r="I683" s="56" t="s">
        <v>25</v>
      </c>
      <c r="J683" s="56" t="s">
        <v>290</v>
      </c>
      <c r="K683" s="56" t="s">
        <v>297</v>
      </c>
      <c r="M683" s="337"/>
      <c r="O683" s="337"/>
      <c r="Q683" s="337"/>
      <c r="S683" s="337"/>
      <c r="T683" s="56">
        <v>3207175.14</v>
      </c>
      <c r="U683" s="56" t="s">
        <v>5109</v>
      </c>
      <c r="V683" s="56" t="s">
        <v>5113</v>
      </c>
      <c r="W683" s="56" t="s">
        <v>5114</v>
      </c>
    </row>
    <row r="684" spans="7:23" x14ac:dyDescent="0.3">
      <c r="G684" s="247"/>
      <c r="H684" s="248"/>
      <c r="I684" s="56" t="s">
        <v>25</v>
      </c>
      <c r="J684" s="56" t="s">
        <v>290</v>
      </c>
      <c r="K684" s="56" t="s">
        <v>297</v>
      </c>
      <c r="M684" s="337"/>
      <c r="O684" s="337"/>
      <c r="Q684" s="337"/>
      <c r="S684" s="337"/>
      <c r="T684" s="56">
        <v>1667160.63</v>
      </c>
      <c r="U684" s="56" t="s">
        <v>5423</v>
      </c>
      <c r="V684" s="56" t="s">
        <v>5424</v>
      </c>
      <c r="W684" s="56" t="s">
        <v>5425</v>
      </c>
    </row>
    <row r="685" spans="7:23" x14ac:dyDescent="0.3">
      <c r="G685" s="247"/>
      <c r="H685" s="248"/>
      <c r="I685" s="56" t="s">
        <v>25</v>
      </c>
      <c r="J685" s="56" t="s">
        <v>290</v>
      </c>
      <c r="K685" s="56" t="s">
        <v>297</v>
      </c>
      <c r="L685" s="56">
        <v>799402.57</v>
      </c>
      <c r="M685" s="337">
        <v>0.79940257000000003</v>
      </c>
      <c r="O685" s="337"/>
      <c r="Q685" s="337"/>
      <c r="S685" s="337"/>
      <c r="T685" s="56">
        <v>799402.57</v>
      </c>
      <c r="U685" s="56" t="s">
        <v>5516</v>
      </c>
      <c r="V685" s="56" t="s">
        <v>5527</v>
      </c>
      <c r="W685" s="56" t="s">
        <v>5528</v>
      </c>
    </row>
    <row r="686" spans="7:23" x14ac:dyDescent="0.3">
      <c r="G686" s="247"/>
      <c r="H686" s="248"/>
      <c r="I686" s="56" t="s">
        <v>25</v>
      </c>
      <c r="J686" s="56" t="s">
        <v>290</v>
      </c>
      <c r="K686" s="56" t="s">
        <v>3778</v>
      </c>
      <c r="M686" s="337"/>
      <c r="O686" s="337"/>
      <c r="Q686" s="337"/>
      <c r="S686" s="337"/>
      <c r="T686" s="56">
        <v>2338490.4</v>
      </c>
      <c r="U686" s="56" t="s">
        <v>2279</v>
      </c>
      <c r="V686" s="56" t="s">
        <v>2284</v>
      </c>
      <c r="W686" s="56" t="s">
        <v>2285</v>
      </c>
    </row>
    <row r="687" spans="7:23" x14ac:dyDescent="0.3">
      <c r="G687" s="247"/>
      <c r="H687" s="248"/>
      <c r="I687" s="56" t="s">
        <v>25</v>
      </c>
      <c r="J687" s="56" t="s">
        <v>290</v>
      </c>
      <c r="K687" s="56" t="s">
        <v>1822</v>
      </c>
      <c r="M687" s="337"/>
      <c r="O687" s="337"/>
      <c r="Q687" s="337"/>
      <c r="S687" s="337"/>
      <c r="T687" s="56">
        <v>7133685.7599999998</v>
      </c>
      <c r="U687" s="56" t="s">
        <v>3180</v>
      </c>
      <c r="V687" s="56" t="s">
        <v>3181</v>
      </c>
      <c r="W687" s="56" t="s">
        <v>3182</v>
      </c>
    </row>
    <row r="688" spans="7:23" x14ac:dyDescent="0.3">
      <c r="G688" s="247"/>
      <c r="H688" s="248"/>
      <c r="I688" s="56" t="s">
        <v>25</v>
      </c>
      <c r="J688" s="56" t="s">
        <v>290</v>
      </c>
      <c r="K688" s="56" t="s">
        <v>1822</v>
      </c>
      <c r="M688" s="337"/>
      <c r="O688" s="337"/>
      <c r="Q688" s="337"/>
      <c r="S688" s="337"/>
      <c r="T688" s="56">
        <v>5499556.2400000002</v>
      </c>
      <c r="U688" s="56" t="s">
        <v>2388</v>
      </c>
      <c r="V688" s="56" t="s">
        <v>2403</v>
      </c>
      <c r="W688" s="56" t="s">
        <v>2404</v>
      </c>
    </row>
    <row r="689" spans="7:23" x14ac:dyDescent="0.3">
      <c r="G689" s="247"/>
      <c r="H689" s="248"/>
      <c r="I689" s="56" t="s">
        <v>25</v>
      </c>
      <c r="J689" s="56" t="s">
        <v>290</v>
      </c>
      <c r="K689" s="56" t="s">
        <v>1822</v>
      </c>
      <c r="M689" s="337"/>
      <c r="O689" s="337"/>
      <c r="Q689" s="337"/>
      <c r="S689" s="337"/>
      <c r="T689" s="56">
        <v>2169394.11</v>
      </c>
      <c r="U689" s="56" t="s">
        <v>5517</v>
      </c>
      <c r="V689" s="56" t="s">
        <v>5525</v>
      </c>
      <c r="W689" s="56" t="s">
        <v>5526</v>
      </c>
    </row>
    <row r="690" spans="7:23" x14ac:dyDescent="0.3">
      <c r="G690" s="247"/>
      <c r="H690" s="248"/>
      <c r="I690" s="56" t="s">
        <v>25</v>
      </c>
      <c r="J690" s="56" t="s">
        <v>290</v>
      </c>
      <c r="K690" s="56" t="s">
        <v>1823</v>
      </c>
      <c r="L690" s="56">
        <v>5767749.8499999996</v>
      </c>
      <c r="M690" s="337">
        <v>0.28838749250000001</v>
      </c>
      <c r="O690" s="337"/>
      <c r="Q690" s="337"/>
      <c r="S690" s="337"/>
      <c r="T690" s="56">
        <v>5767749.8499999996</v>
      </c>
      <c r="U690" s="56" t="s">
        <v>2786</v>
      </c>
      <c r="V690" s="56" t="s">
        <v>2795</v>
      </c>
      <c r="W690" s="56" t="s">
        <v>2796</v>
      </c>
    </row>
    <row r="691" spans="7:23" x14ac:dyDescent="0.3">
      <c r="G691" s="247"/>
      <c r="H691" s="248"/>
      <c r="I691" s="56" t="s">
        <v>25</v>
      </c>
      <c r="J691" s="56" t="s">
        <v>290</v>
      </c>
      <c r="K691" s="56" t="s">
        <v>1824</v>
      </c>
      <c r="L691" s="56">
        <v>20400269.43</v>
      </c>
      <c r="M691" s="337">
        <v>0.58286484085714285</v>
      </c>
      <c r="O691" s="337"/>
      <c r="Q691" s="337"/>
      <c r="S691" s="337"/>
      <c r="T691" s="56">
        <v>20400269.43</v>
      </c>
      <c r="U691" s="56" t="s">
        <v>551</v>
      </c>
      <c r="V691" s="56" t="s">
        <v>552</v>
      </c>
      <c r="W691" s="56" t="s">
        <v>553</v>
      </c>
    </row>
    <row r="692" spans="7:23" x14ac:dyDescent="0.3">
      <c r="G692" s="247"/>
      <c r="H692" s="248"/>
      <c r="I692" s="56" t="s">
        <v>25</v>
      </c>
      <c r="J692" s="56" t="s">
        <v>290</v>
      </c>
      <c r="K692" s="56" t="s">
        <v>1824</v>
      </c>
      <c r="L692" s="56">
        <v>826253.68</v>
      </c>
      <c r="M692" s="337">
        <v>0.10328171</v>
      </c>
      <c r="N692" s="56">
        <v>826253.68</v>
      </c>
      <c r="O692" s="337">
        <v>0.10328171</v>
      </c>
      <c r="P692" s="56">
        <v>826253.68</v>
      </c>
      <c r="Q692" s="337">
        <v>0.10328171</v>
      </c>
      <c r="S692" s="337"/>
      <c r="T692" s="56">
        <v>826253.68</v>
      </c>
      <c r="U692" s="56" t="s">
        <v>2338</v>
      </c>
      <c r="V692" s="56" t="s">
        <v>2341</v>
      </c>
      <c r="W692" s="56" t="s">
        <v>2342</v>
      </c>
    </row>
    <row r="693" spans="7:23" x14ac:dyDescent="0.3">
      <c r="G693" s="247"/>
      <c r="H693" s="248"/>
      <c r="I693" s="56" t="s">
        <v>25</v>
      </c>
      <c r="J693" s="56" t="s">
        <v>290</v>
      </c>
      <c r="K693" s="56" t="s">
        <v>1824</v>
      </c>
      <c r="L693" s="56">
        <v>1086520.73</v>
      </c>
      <c r="M693" s="337">
        <v>0.14486943066666669</v>
      </c>
      <c r="O693" s="337"/>
      <c r="Q693" s="337"/>
      <c r="S693" s="337"/>
      <c r="T693" s="56">
        <v>1086520.73</v>
      </c>
      <c r="U693" s="56" t="s">
        <v>3725</v>
      </c>
      <c r="V693" s="56" t="s">
        <v>3737</v>
      </c>
      <c r="W693" s="56" t="s">
        <v>3738</v>
      </c>
    </row>
    <row r="694" spans="7:23" x14ac:dyDescent="0.3">
      <c r="G694" s="247"/>
      <c r="H694" s="248"/>
      <c r="I694" s="56" t="s">
        <v>25</v>
      </c>
      <c r="J694" s="56" t="s">
        <v>290</v>
      </c>
      <c r="K694" s="56" t="s">
        <v>1824</v>
      </c>
      <c r="M694" s="337"/>
      <c r="O694" s="337"/>
      <c r="Q694" s="337"/>
      <c r="S694" s="337"/>
      <c r="T694" s="56">
        <v>3348679.55</v>
      </c>
      <c r="U694" s="56" t="s">
        <v>5329</v>
      </c>
      <c r="V694" s="56" t="s">
        <v>5349</v>
      </c>
      <c r="W694" s="56" t="s">
        <v>5350</v>
      </c>
    </row>
    <row r="695" spans="7:23" x14ac:dyDescent="0.3">
      <c r="G695" s="247"/>
      <c r="H695" s="248"/>
      <c r="I695" s="56" t="s">
        <v>25</v>
      </c>
      <c r="J695" s="56" t="s">
        <v>290</v>
      </c>
      <c r="K695" s="56" t="s">
        <v>1824</v>
      </c>
      <c r="M695" s="337"/>
      <c r="O695" s="337"/>
      <c r="Q695" s="337"/>
      <c r="S695" s="337"/>
      <c r="T695" s="56">
        <v>1500000</v>
      </c>
      <c r="U695" s="56" t="s">
        <v>6030</v>
      </c>
      <c r="V695" s="56" t="s">
        <v>6031</v>
      </c>
      <c r="W695" s="56" t="s">
        <v>6032</v>
      </c>
    </row>
    <row r="696" spans="7:23" x14ac:dyDescent="0.3">
      <c r="G696" s="247"/>
      <c r="H696" s="248"/>
      <c r="I696" s="56" t="s">
        <v>25</v>
      </c>
      <c r="J696" s="56" t="s">
        <v>290</v>
      </c>
      <c r="K696" s="56" t="s">
        <v>1825</v>
      </c>
      <c r="L696" s="56">
        <v>10535979.98</v>
      </c>
      <c r="M696" s="337">
        <v>0.67974064387096778</v>
      </c>
      <c r="N696" s="56">
        <v>10535979.98</v>
      </c>
      <c r="O696" s="337">
        <v>0.67974064387096778</v>
      </c>
      <c r="P696" s="56">
        <v>10535979.98</v>
      </c>
      <c r="Q696" s="337">
        <v>0.67974064387096778</v>
      </c>
      <c r="R696" s="56">
        <v>10535979.98</v>
      </c>
      <c r="S696" s="337">
        <v>0.67974064387096778</v>
      </c>
      <c r="T696" s="56">
        <v>10535979.98</v>
      </c>
      <c r="U696" s="56" t="s">
        <v>2176</v>
      </c>
      <c r="V696" s="56" t="s">
        <v>2177</v>
      </c>
      <c r="W696" s="56" t="s">
        <v>2178</v>
      </c>
    </row>
    <row r="697" spans="7:23" x14ac:dyDescent="0.3">
      <c r="G697" s="247"/>
      <c r="H697" s="248"/>
      <c r="I697" s="56" t="s">
        <v>25</v>
      </c>
      <c r="J697" s="56" t="s">
        <v>290</v>
      </c>
      <c r="K697" s="56" t="s">
        <v>1825</v>
      </c>
      <c r="L697" s="56">
        <v>393430.25</v>
      </c>
      <c r="M697" s="337">
        <v>0.39343025000000004</v>
      </c>
      <c r="N697" s="56">
        <v>393430.25</v>
      </c>
      <c r="O697" s="337">
        <v>0.39343025000000004</v>
      </c>
      <c r="P697" s="56">
        <v>393430.25</v>
      </c>
      <c r="Q697" s="337">
        <v>0.39343025000000004</v>
      </c>
      <c r="S697" s="337"/>
      <c r="T697" s="56">
        <v>393430.25</v>
      </c>
      <c r="U697" s="56" t="s">
        <v>3175</v>
      </c>
      <c r="V697" s="56" t="s">
        <v>3176</v>
      </c>
      <c r="W697" s="56" t="s">
        <v>3177</v>
      </c>
    </row>
    <row r="698" spans="7:23" x14ac:dyDescent="0.3">
      <c r="G698" s="247"/>
      <c r="H698" s="248"/>
      <c r="I698" s="56" t="s">
        <v>25</v>
      </c>
      <c r="J698" s="56" t="s">
        <v>290</v>
      </c>
      <c r="K698" s="56" t="s">
        <v>26</v>
      </c>
      <c r="L698" s="56">
        <v>13971913.65</v>
      </c>
      <c r="M698" s="337">
        <v>0.17038919085365853</v>
      </c>
      <c r="O698" s="337"/>
      <c r="Q698" s="337"/>
      <c r="S698" s="337"/>
      <c r="T698" s="56">
        <v>13971913.65</v>
      </c>
      <c r="U698" s="56" t="s">
        <v>809</v>
      </c>
      <c r="V698" s="56" t="s">
        <v>814</v>
      </c>
      <c r="W698" s="56" t="s">
        <v>815</v>
      </c>
    </row>
    <row r="699" spans="7:23" x14ac:dyDescent="0.3">
      <c r="G699" s="247"/>
      <c r="H699" s="248"/>
      <c r="I699" s="56" t="s">
        <v>25</v>
      </c>
      <c r="J699" s="56" t="s">
        <v>290</v>
      </c>
      <c r="K699" s="56" t="s">
        <v>26</v>
      </c>
      <c r="L699" s="56">
        <v>2867921.12</v>
      </c>
      <c r="M699" s="337">
        <v>0.47798685333333329</v>
      </c>
      <c r="N699" s="56">
        <v>2867921.12</v>
      </c>
      <c r="O699" s="337">
        <v>0.47798685333333329</v>
      </c>
      <c r="P699" s="56">
        <v>2867921.12</v>
      </c>
      <c r="Q699" s="337">
        <v>0.47798685333333329</v>
      </c>
      <c r="S699" s="337"/>
      <c r="T699" s="56">
        <v>2867921.12</v>
      </c>
      <c r="U699" s="56" t="s">
        <v>3549</v>
      </c>
      <c r="V699" s="56" t="s">
        <v>3568</v>
      </c>
      <c r="W699" s="56" t="s">
        <v>3569</v>
      </c>
    </row>
    <row r="700" spans="7:23" x14ac:dyDescent="0.3">
      <c r="G700" s="247"/>
      <c r="H700" s="248"/>
      <c r="I700" s="56" t="s">
        <v>25</v>
      </c>
      <c r="J700" s="56" t="s">
        <v>290</v>
      </c>
      <c r="K700" s="56" t="s">
        <v>26</v>
      </c>
      <c r="M700" s="337"/>
      <c r="O700" s="337"/>
      <c r="Q700" s="337"/>
      <c r="S700" s="337"/>
      <c r="T700" s="56">
        <v>263112.48</v>
      </c>
      <c r="U700" s="56" t="s">
        <v>3450</v>
      </c>
      <c r="V700" s="56" t="s">
        <v>3458</v>
      </c>
      <c r="W700" s="56" t="s">
        <v>3459</v>
      </c>
    </row>
    <row r="701" spans="7:23" x14ac:dyDescent="0.3">
      <c r="G701" s="247"/>
      <c r="H701" s="248"/>
      <c r="I701" s="56" t="s">
        <v>25</v>
      </c>
      <c r="J701" s="56" t="s">
        <v>290</v>
      </c>
      <c r="K701" s="56" t="s">
        <v>26</v>
      </c>
      <c r="M701" s="337"/>
      <c r="O701" s="337"/>
      <c r="Q701" s="337"/>
      <c r="S701" s="337"/>
      <c r="T701" s="56">
        <v>5588242.6100000003</v>
      </c>
      <c r="U701" s="56" t="s">
        <v>2992</v>
      </c>
      <c r="V701" s="56" t="s">
        <v>2993</v>
      </c>
      <c r="W701" s="56" t="s">
        <v>2994</v>
      </c>
    </row>
    <row r="702" spans="7:23" x14ac:dyDescent="0.3">
      <c r="G702" s="247"/>
      <c r="H702" s="248"/>
      <c r="I702" s="56" t="s">
        <v>25</v>
      </c>
      <c r="J702" s="56" t="s">
        <v>290</v>
      </c>
      <c r="K702" s="56" t="s">
        <v>26</v>
      </c>
      <c r="M702" s="337"/>
      <c r="O702" s="337"/>
      <c r="Q702" s="337"/>
      <c r="S702" s="337"/>
      <c r="T702" s="56">
        <v>1377931.77</v>
      </c>
      <c r="U702" s="56" t="s">
        <v>5802</v>
      </c>
      <c r="V702" s="56" t="s">
        <v>5815</v>
      </c>
      <c r="W702" s="56" t="s">
        <v>5816</v>
      </c>
    </row>
    <row r="703" spans="7:23" x14ac:dyDescent="0.3">
      <c r="G703" s="247"/>
      <c r="H703" s="248"/>
      <c r="I703" s="56" t="s">
        <v>25</v>
      </c>
      <c r="J703" s="56" t="s">
        <v>295</v>
      </c>
      <c r="K703" s="56" t="s">
        <v>296</v>
      </c>
      <c r="M703" s="337"/>
      <c r="O703" s="337"/>
      <c r="Q703" s="337"/>
      <c r="S703" s="337"/>
      <c r="T703" s="56">
        <v>14114775</v>
      </c>
      <c r="U703" s="56" t="s">
        <v>765</v>
      </c>
      <c r="V703" s="56" t="s">
        <v>768</v>
      </c>
      <c r="W703" s="56" t="s">
        <v>769</v>
      </c>
    </row>
    <row r="704" spans="7:23" x14ac:dyDescent="0.3">
      <c r="G704" s="247"/>
      <c r="H704" s="248"/>
      <c r="I704" s="56" t="s">
        <v>25</v>
      </c>
      <c r="J704" s="56" t="s">
        <v>295</v>
      </c>
      <c r="K704" s="56" t="s">
        <v>296</v>
      </c>
      <c r="L704" s="56">
        <v>9429671.0999999996</v>
      </c>
      <c r="M704" s="337">
        <v>0.471483555</v>
      </c>
      <c r="O704" s="337"/>
      <c r="Q704" s="337"/>
      <c r="S704" s="337"/>
      <c r="T704" s="56">
        <v>9429671.0999999996</v>
      </c>
      <c r="U704" s="56" t="s">
        <v>3964</v>
      </c>
      <c r="V704" s="56" t="s">
        <v>3968</v>
      </c>
      <c r="W704" s="56" t="s">
        <v>3969</v>
      </c>
    </row>
    <row r="705" spans="7:23" x14ac:dyDescent="0.3">
      <c r="G705" s="247"/>
      <c r="H705" s="248"/>
      <c r="I705" s="56" t="s">
        <v>25</v>
      </c>
      <c r="J705" s="56" t="s">
        <v>295</v>
      </c>
      <c r="K705" s="56" t="s">
        <v>296</v>
      </c>
      <c r="L705" s="56">
        <v>5978292.4400000004</v>
      </c>
      <c r="M705" s="337">
        <v>0.35166426117647059</v>
      </c>
      <c r="O705" s="337"/>
      <c r="Q705" s="337"/>
      <c r="S705" s="337"/>
      <c r="T705" s="56">
        <v>5978292.4400000004</v>
      </c>
      <c r="U705" s="56" t="s">
        <v>2862</v>
      </c>
      <c r="V705" s="56" t="s">
        <v>2863</v>
      </c>
      <c r="W705" s="56" t="s">
        <v>2864</v>
      </c>
    </row>
    <row r="706" spans="7:23" x14ac:dyDescent="0.3">
      <c r="G706" s="247"/>
      <c r="H706" s="248"/>
      <c r="I706" s="56" t="s">
        <v>25</v>
      </c>
      <c r="J706" s="56" t="s">
        <v>295</v>
      </c>
      <c r="K706" s="56" t="s">
        <v>296</v>
      </c>
      <c r="L706" s="56">
        <v>4440190.3099999996</v>
      </c>
      <c r="M706" s="337">
        <v>0.88803806200000002</v>
      </c>
      <c r="N706" s="56">
        <v>4440190.3099999996</v>
      </c>
      <c r="O706" s="337">
        <v>0.88803806200000002</v>
      </c>
      <c r="P706" s="56">
        <v>4440190.3099999996</v>
      </c>
      <c r="Q706" s="337">
        <v>0.88803806200000002</v>
      </c>
      <c r="S706" s="337"/>
      <c r="T706" s="56">
        <v>4440190.3099999996</v>
      </c>
      <c r="U706" s="56" t="s">
        <v>4475</v>
      </c>
      <c r="V706" s="56" t="s">
        <v>4479</v>
      </c>
      <c r="W706" s="56" t="s">
        <v>4480</v>
      </c>
    </row>
    <row r="707" spans="7:23" x14ac:dyDescent="0.3">
      <c r="G707" s="247"/>
      <c r="H707" s="248"/>
      <c r="I707" s="56" t="s">
        <v>25</v>
      </c>
      <c r="J707" s="56" t="s">
        <v>295</v>
      </c>
      <c r="K707" s="56" t="s">
        <v>3613</v>
      </c>
      <c r="M707" s="337"/>
      <c r="O707" s="337"/>
      <c r="Q707" s="337"/>
      <c r="S707" s="337"/>
      <c r="T707" s="56">
        <v>1004837.48</v>
      </c>
      <c r="U707" s="56" t="s">
        <v>3877</v>
      </c>
      <c r="V707" s="56" t="s">
        <v>3879</v>
      </c>
      <c r="W707" s="56" t="s">
        <v>3880</v>
      </c>
    </row>
    <row r="708" spans="7:23" x14ac:dyDescent="0.3">
      <c r="G708" s="247"/>
      <c r="H708" s="248"/>
      <c r="I708" s="56" t="s">
        <v>25</v>
      </c>
      <c r="J708" s="56" t="s">
        <v>295</v>
      </c>
      <c r="K708" s="56" t="s">
        <v>3613</v>
      </c>
      <c r="M708" s="337"/>
      <c r="O708" s="337"/>
      <c r="Q708" s="337"/>
      <c r="S708" s="337"/>
      <c r="T708" s="56">
        <v>13353030.109999999</v>
      </c>
      <c r="U708" s="56" t="s">
        <v>1765</v>
      </c>
      <c r="V708" s="56" t="s">
        <v>1766</v>
      </c>
      <c r="W708" s="56" t="s">
        <v>1767</v>
      </c>
    </row>
    <row r="709" spans="7:23" x14ac:dyDescent="0.3">
      <c r="G709" s="247"/>
      <c r="H709" s="248"/>
      <c r="I709" s="56" t="s">
        <v>25</v>
      </c>
      <c r="J709" s="56" t="s">
        <v>295</v>
      </c>
      <c r="K709" s="56" t="s">
        <v>26</v>
      </c>
      <c r="L709" s="56">
        <v>6782563.1500000004</v>
      </c>
      <c r="M709" s="337">
        <v>0.39897430294117647</v>
      </c>
      <c r="N709" s="56">
        <v>6782563.1500000004</v>
      </c>
      <c r="O709" s="337">
        <v>0.39897430294117647</v>
      </c>
      <c r="Q709" s="337"/>
      <c r="S709" s="337"/>
      <c r="T709" s="56">
        <v>6782563.1500000004</v>
      </c>
      <c r="U709" s="56" t="s">
        <v>1960</v>
      </c>
      <c r="V709" s="56" t="s">
        <v>1961</v>
      </c>
      <c r="W709" s="56" t="s">
        <v>1962</v>
      </c>
    </row>
    <row r="710" spans="7:23" x14ac:dyDescent="0.3">
      <c r="G710" s="247"/>
      <c r="H710" s="248"/>
      <c r="I710" s="56" t="s">
        <v>25</v>
      </c>
      <c r="J710" s="56" t="s">
        <v>295</v>
      </c>
      <c r="K710" s="56" t="s">
        <v>26</v>
      </c>
      <c r="L710" s="56">
        <v>35774340.950000003</v>
      </c>
      <c r="M710" s="337">
        <v>0.79410301775804659</v>
      </c>
      <c r="O710" s="337"/>
      <c r="Q710" s="337"/>
      <c r="S710" s="337"/>
      <c r="T710" s="56">
        <v>35774340.950000003</v>
      </c>
      <c r="U710" s="56" t="s">
        <v>1072</v>
      </c>
      <c r="V710" s="56" t="s">
        <v>1076</v>
      </c>
      <c r="W710" s="56" t="s">
        <v>1077</v>
      </c>
    </row>
    <row r="711" spans="7:23" x14ac:dyDescent="0.3">
      <c r="G711" s="247"/>
      <c r="H711" s="248"/>
      <c r="I711" s="56" t="s">
        <v>25</v>
      </c>
      <c r="J711" s="56" t="s">
        <v>295</v>
      </c>
      <c r="K711" s="56" t="s">
        <v>26</v>
      </c>
      <c r="M711" s="337"/>
      <c r="O711" s="337"/>
      <c r="Q711" s="337"/>
      <c r="S711" s="337"/>
      <c r="T711" s="56">
        <v>1660229.73</v>
      </c>
      <c r="U711" s="56" t="s">
        <v>2716</v>
      </c>
      <c r="V711" s="56" t="s">
        <v>2717</v>
      </c>
      <c r="W711" s="56" t="s">
        <v>2718</v>
      </c>
    </row>
    <row r="712" spans="7:23" x14ac:dyDescent="0.3">
      <c r="G712" s="247"/>
      <c r="H712" s="248"/>
      <c r="I712" s="56" t="s">
        <v>25</v>
      </c>
      <c r="J712" s="56" t="s">
        <v>295</v>
      </c>
      <c r="K712" s="56" t="s">
        <v>26</v>
      </c>
      <c r="L712" s="56">
        <v>3750488.76</v>
      </c>
      <c r="M712" s="337">
        <v>0.75009775199999995</v>
      </c>
      <c r="N712" s="56">
        <v>3750488.76</v>
      </c>
      <c r="O712" s="337">
        <v>0.75009775199999995</v>
      </c>
      <c r="P712" s="56">
        <v>3750488.76</v>
      </c>
      <c r="Q712" s="337">
        <v>0.75009775199999995</v>
      </c>
      <c r="S712" s="337"/>
      <c r="T712" s="56">
        <v>3750488.76</v>
      </c>
      <c r="U712" s="56" t="s">
        <v>4326</v>
      </c>
      <c r="V712" s="56" t="s">
        <v>4336</v>
      </c>
      <c r="W712" s="56" t="s">
        <v>4337</v>
      </c>
    </row>
    <row r="713" spans="7:23" x14ac:dyDescent="0.3">
      <c r="G713" s="247"/>
      <c r="H713" s="248"/>
      <c r="I713" s="56" t="s">
        <v>25</v>
      </c>
      <c r="J713" s="56" t="s">
        <v>295</v>
      </c>
      <c r="K713" s="56" t="s">
        <v>26</v>
      </c>
      <c r="M713" s="337"/>
      <c r="O713" s="337"/>
      <c r="Q713" s="337"/>
      <c r="S713" s="337"/>
      <c r="T713" s="56">
        <v>20564774.699999999</v>
      </c>
      <c r="U713" s="56" t="s">
        <v>2082</v>
      </c>
      <c r="V713" s="56" t="s">
        <v>2093</v>
      </c>
      <c r="W713" s="56" t="s">
        <v>2094</v>
      </c>
    </row>
    <row r="714" spans="7:23" x14ac:dyDescent="0.3">
      <c r="G714" s="247"/>
      <c r="H714" s="248"/>
      <c r="I714" s="56" t="s">
        <v>25</v>
      </c>
      <c r="J714" s="56" t="s">
        <v>295</v>
      </c>
      <c r="K714" s="56" t="s">
        <v>26</v>
      </c>
      <c r="L714" s="56">
        <v>13409280.34</v>
      </c>
      <c r="M714" s="337">
        <v>0.67046401700000002</v>
      </c>
      <c r="N714" s="56">
        <v>13409280.34</v>
      </c>
      <c r="O714" s="337">
        <v>0.67046401700000002</v>
      </c>
      <c r="Q714" s="337"/>
      <c r="S714" s="337"/>
      <c r="T714" s="56">
        <v>13409280.34</v>
      </c>
      <c r="U714" s="56" t="s">
        <v>2462</v>
      </c>
      <c r="V714" s="56" t="s">
        <v>2463</v>
      </c>
      <c r="W714" s="56" t="s">
        <v>2464</v>
      </c>
    </row>
    <row r="715" spans="7:23" x14ac:dyDescent="0.3">
      <c r="G715" s="247"/>
      <c r="H715" s="248"/>
      <c r="I715" s="56" t="s">
        <v>25</v>
      </c>
      <c r="J715" s="56" t="s">
        <v>295</v>
      </c>
      <c r="K715" s="56" t="s">
        <v>26</v>
      </c>
      <c r="L715" s="56">
        <v>3875006.66</v>
      </c>
      <c r="M715" s="337">
        <v>0.77500133199999999</v>
      </c>
      <c r="N715" s="56">
        <v>3875006.66</v>
      </c>
      <c r="O715" s="337">
        <v>0.77500133199999999</v>
      </c>
      <c r="P715" s="56">
        <v>3875006.66</v>
      </c>
      <c r="Q715" s="337">
        <v>0.77500133199999999</v>
      </c>
      <c r="S715" s="337"/>
      <c r="T715" s="56">
        <v>3875006.66</v>
      </c>
      <c r="U715" s="56" t="s">
        <v>3137</v>
      </c>
      <c r="V715" s="56" t="s">
        <v>3141</v>
      </c>
      <c r="W715" s="56" t="s">
        <v>3142</v>
      </c>
    </row>
    <row r="716" spans="7:23" x14ac:dyDescent="0.3">
      <c r="G716" s="247"/>
      <c r="H716" s="248"/>
      <c r="I716" s="56" t="s">
        <v>25</v>
      </c>
      <c r="J716" s="56" t="s">
        <v>295</v>
      </c>
      <c r="K716" s="56" t="s">
        <v>26</v>
      </c>
      <c r="L716" s="56">
        <v>2360581.64</v>
      </c>
      <c r="M716" s="337">
        <v>0.3934302733333333</v>
      </c>
      <c r="N716" s="56">
        <v>2360581.64</v>
      </c>
      <c r="O716" s="337">
        <v>0.3934302733333333</v>
      </c>
      <c r="Q716" s="337"/>
      <c r="S716" s="337"/>
      <c r="T716" s="56">
        <v>2360581.64</v>
      </c>
      <c r="U716" s="56" t="s">
        <v>3942</v>
      </c>
      <c r="V716" s="56" t="s">
        <v>3950</v>
      </c>
      <c r="W716" s="56" t="s">
        <v>3951</v>
      </c>
    </row>
    <row r="717" spans="7:23" x14ac:dyDescent="0.3">
      <c r="G717" s="247"/>
      <c r="H717" s="248"/>
      <c r="I717" s="56" t="s">
        <v>25</v>
      </c>
      <c r="J717" s="56" t="s">
        <v>3923</v>
      </c>
      <c r="K717" s="56" t="s">
        <v>3924</v>
      </c>
      <c r="M717" s="337"/>
      <c r="O717" s="337"/>
      <c r="Q717" s="337"/>
      <c r="S717" s="337"/>
      <c r="T717" s="56">
        <v>24839300.879999999</v>
      </c>
      <c r="U717" s="56" t="s">
        <v>3922</v>
      </c>
      <c r="V717" s="56" t="s">
        <v>3933</v>
      </c>
      <c r="W717" s="56" t="s">
        <v>3934</v>
      </c>
    </row>
    <row r="718" spans="7:23" x14ac:dyDescent="0.3">
      <c r="G718" s="247"/>
      <c r="H718" s="248"/>
      <c r="I718" s="56" t="s">
        <v>25</v>
      </c>
      <c r="J718" s="56" t="s">
        <v>88</v>
      </c>
      <c r="K718" s="56" t="s">
        <v>285</v>
      </c>
      <c r="L718" s="56">
        <v>32825576.800000001</v>
      </c>
      <c r="M718" s="337">
        <v>0.65651153600000001</v>
      </c>
      <c r="O718" s="337"/>
      <c r="Q718" s="337"/>
      <c r="S718" s="337"/>
      <c r="T718" s="56">
        <v>32825576.800000001</v>
      </c>
      <c r="U718" s="56" t="s">
        <v>100</v>
      </c>
      <c r="V718" s="56" t="s">
        <v>258</v>
      </c>
      <c r="W718" s="56" t="s">
        <v>259</v>
      </c>
    </row>
    <row r="719" spans="7:23" x14ac:dyDescent="0.3">
      <c r="G719" s="247"/>
      <c r="H719" s="248"/>
      <c r="I719" s="56" t="s">
        <v>25</v>
      </c>
      <c r="J719" s="56" t="s">
        <v>88</v>
      </c>
      <c r="K719" s="56" t="s">
        <v>285</v>
      </c>
      <c r="M719" s="337"/>
      <c r="O719" s="337"/>
      <c r="Q719" s="337"/>
      <c r="S719" s="337"/>
      <c r="T719" s="56">
        <v>27377305.899999999</v>
      </c>
      <c r="U719" s="56" t="s">
        <v>5183</v>
      </c>
      <c r="V719" s="56" t="s">
        <v>5184</v>
      </c>
      <c r="W719" s="56" t="s">
        <v>5185</v>
      </c>
    </row>
    <row r="720" spans="7:23" x14ac:dyDescent="0.3">
      <c r="G720" s="247"/>
      <c r="H720" s="248"/>
      <c r="I720" s="56" t="s">
        <v>25</v>
      </c>
      <c r="J720" s="56" t="s">
        <v>88</v>
      </c>
      <c r="K720" s="56" t="s">
        <v>285</v>
      </c>
      <c r="M720" s="337"/>
      <c r="O720" s="337"/>
      <c r="Q720" s="337"/>
      <c r="S720" s="337"/>
      <c r="T720" s="56">
        <v>14250883.49</v>
      </c>
      <c r="U720" s="56" t="s">
        <v>189</v>
      </c>
      <c r="V720" s="56" t="s">
        <v>190</v>
      </c>
      <c r="W720" s="56" t="s">
        <v>191</v>
      </c>
    </row>
    <row r="721" spans="7:23" x14ac:dyDescent="0.3">
      <c r="G721" s="247"/>
      <c r="H721" s="248"/>
      <c r="I721" s="56" t="s">
        <v>25</v>
      </c>
      <c r="J721" s="56" t="s">
        <v>88</v>
      </c>
      <c r="K721" s="56" t="s">
        <v>285</v>
      </c>
      <c r="L721" s="56">
        <v>1049643.77</v>
      </c>
      <c r="M721" s="337">
        <v>0.3498812566666667</v>
      </c>
      <c r="O721" s="337"/>
      <c r="Q721" s="337"/>
      <c r="S721" s="337"/>
      <c r="T721" s="56">
        <v>1049643.77</v>
      </c>
      <c r="U721" s="56" t="s">
        <v>174</v>
      </c>
      <c r="V721" s="56" t="s">
        <v>175</v>
      </c>
      <c r="W721" s="56" t="s">
        <v>176</v>
      </c>
    </row>
    <row r="722" spans="7:23" x14ac:dyDescent="0.3">
      <c r="G722" s="247"/>
      <c r="H722" s="248"/>
      <c r="I722" s="56" t="s">
        <v>25</v>
      </c>
      <c r="J722" s="56" t="s">
        <v>88</v>
      </c>
      <c r="K722" s="56" t="s">
        <v>285</v>
      </c>
      <c r="M722" s="337"/>
      <c r="O722" s="337"/>
      <c r="Q722" s="337"/>
      <c r="S722" s="337"/>
      <c r="T722" s="56">
        <v>8401030.4499999993</v>
      </c>
      <c r="U722" s="56" t="s">
        <v>5729</v>
      </c>
      <c r="V722" s="56" t="s">
        <v>5734</v>
      </c>
      <c r="W722" s="56" t="s">
        <v>5735</v>
      </c>
    </row>
    <row r="723" spans="7:23" x14ac:dyDescent="0.3">
      <c r="G723" s="247"/>
      <c r="H723" s="248"/>
      <c r="I723" s="56" t="s">
        <v>25</v>
      </c>
      <c r="J723" s="56" t="s">
        <v>88</v>
      </c>
      <c r="K723" s="56" t="s">
        <v>285</v>
      </c>
      <c r="L723" s="56">
        <v>17212703.260000002</v>
      </c>
      <c r="M723" s="337">
        <v>0.86063516299999998</v>
      </c>
      <c r="O723" s="337"/>
      <c r="Q723" s="337"/>
      <c r="S723" s="337"/>
      <c r="T723" s="56">
        <v>17212703.260000002</v>
      </c>
      <c r="U723" s="56" t="s">
        <v>5193</v>
      </c>
      <c r="V723" s="56" t="s">
        <v>5200</v>
      </c>
      <c r="W723" s="56" t="s">
        <v>5201</v>
      </c>
    </row>
    <row r="724" spans="7:23" x14ac:dyDescent="0.3">
      <c r="G724" s="247"/>
      <c r="H724" s="248"/>
      <c r="I724" s="56" t="s">
        <v>25</v>
      </c>
      <c r="J724" s="56" t="s">
        <v>88</v>
      </c>
      <c r="K724" s="56" t="s">
        <v>285</v>
      </c>
      <c r="L724" s="56">
        <v>5546549.6200000001</v>
      </c>
      <c r="M724" s="337">
        <v>0.79236423142857138</v>
      </c>
      <c r="O724" s="337"/>
      <c r="Q724" s="337"/>
      <c r="S724" s="337"/>
      <c r="T724" s="56">
        <v>5546549.6200000001</v>
      </c>
      <c r="U724" s="56" t="s">
        <v>85</v>
      </c>
      <c r="V724" s="56" t="s">
        <v>246</v>
      </c>
      <c r="W724" s="56" t="s">
        <v>247</v>
      </c>
    </row>
    <row r="725" spans="7:23" x14ac:dyDescent="0.3">
      <c r="G725" s="247"/>
      <c r="H725" s="248"/>
      <c r="I725" s="56" t="s">
        <v>25</v>
      </c>
      <c r="J725" s="56" t="s">
        <v>88</v>
      </c>
      <c r="K725" s="56" t="s">
        <v>285</v>
      </c>
      <c r="M725" s="337"/>
      <c r="O725" s="337"/>
      <c r="Q725" s="337"/>
      <c r="S725" s="337"/>
      <c r="T725" s="56">
        <v>9543132.9600000009</v>
      </c>
      <c r="U725" s="56" t="s">
        <v>114</v>
      </c>
      <c r="V725" s="56" t="s">
        <v>276</v>
      </c>
      <c r="W725" s="56" t="s">
        <v>277</v>
      </c>
    </row>
    <row r="726" spans="7:23" x14ac:dyDescent="0.3">
      <c r="G726" s="247"/>
      <c r="H726" s="248"/>
      <c r="I726" s="56" t="s">
        <v>25</v>
      </c>
      <c r="J726" s="56" t="s">
        <v>88</v>
      </c>
      <c r="K726" s="56" t="s">
        <v>285</v>
      </c>
      <c r="M726" s="337"/>
      <c r="O726" s="337"/>
      <c r="Q726" s="337"/>
      <c r="S726" s="337"/>
      <c r="T726" s="56">
        <v>6525155.7000000002</v>
      </c>
      <c r="U726" s="56" t="s">
        <v>3119</v>
      </c>
      <c r="V726" s="56" t="s">
        <v>3120</v>
      </c>
      <c r="W726" s="56" t="s">
        <v>3121</v>
      </c>
    </row>
    <row r="727" spans="7:23" x14ac:dyDescent="0.3">
      <c r="G727" s="247"/>
      <c r="H727" s="248"/>
      <c r="I727" s="56" t="s">
        <v>25</v>
      </c>
      <c r="J727" s="56" t="s">
        <v>88</v>
      </c>
      <c r="K727" s="56" t="s">
        <v>285</v>
      </c>
      <c r="M727" s="337"/>
      <c r="O727" s="337"/>
      <c r="Q727" s="337"/>
      <c r="S727" s="337"/>
      <c r="T727" s="56">
        <v>4439993.91</v>
      </c>
      <c r="U727" s="56" t="s">
        <v>305</v>
      </c>
      <c r="V727" s="56" t="s">
        <v>306</v>
      </c>
      <c r="W727" s="56" t="s">
        <v>307</v>
      </c>
    </row>
    <row r="728" spans="7:23" x14ac:dyDescent="0.3">
      <c r="G728" s="247"/>
      <c r="H728" s="248"/>
      <c r="I728" s="56" t="s">
        <v>25</v>
      </c>
      <c r="J728" s="56" t="s">
        <v>88</v>
      </c>
      <c r="K728" s="56" t="s">
        <v>285</v>
      </c>
      <c r="L728" s="56">
        <v>21402795.050000001</v>
      </c>
      <c r="M728" s="337">
        <v>0.2853706006666667</v>
      </c>
      <c r="O728" s="337"/>
      <c r="Q728" s="337"/>
      <c r="S728" s="337"/>
      <c r="T728" s="56">
        <v>21402795.050000001</v>
      </c>
      <c r="U728" s="56" t="s">
        <v>325</v>
      </c>
      <c r="V728" s="56" t="s">
        <v>328</v>
      </c>
      <c r="W728" s="56" t="s">
        <v>329</v>
      </c>
    </row>
    <row r="729" spans="7:23" x14ac:dyDescent="0.3">
      <c r="G729" s="247"/>
      <c r="H729" s="248"/>
      <c r="I729" s="56" t="s">
        <v>25</v>
      </c>
      <c r="J729" s="56" t="s">
        <v>88</v>
      </c>
      <c r="K729" s="56" t="s">
        <v>285</v>
      </c>
      <c r="M729" s="337"/>
      <c r="O729" s="337"/>
      <c r="Q729" s="337"/>
      <c r="S729" s="337"/>
      <c r="T729" s="56">
        <v>8000000</v>
      </c>
      <c r="U729" s="56" t="s">
        <v>5995</v>
      </c>
      <c r="V729" s="56" t="s">
        <v>5996</v>
      </c>
      <c r="W729" s="56" t="s">
        <v>5997</v>
      </c>
    </row>
    <row r="730" spans="7:23" x14ac:dyDescent="0.3">
      <c r="G730" s="247"/>
      <c r="H730" s="248"/>
      <c r="I730" s="56" t="s">
        <v>25</v>
      </c>
      <c r="J730" s="56" t="s">
        <v>88</v>
      </c>
      <c r="K730" s="56" t="s">
        <v>285</v>
      </c>
      <c r="M730" s="337"/>
      <c r="O730" s="337"/>
      <c r="Q730" s="337"/>
      <c r="S730" s="337"/>
      <c r="T730" s="56">
        <v>4000000</v>
      </c>
      <c r="U730" s="56" t="s">
        <v>5921</v>
      </c>
      <c r="V730" s="56" t="s">
        <v>5923</v>
      </c>
      <c r="W730" s="56" t="s">
        <v>5924</v>
      </c>
    </row>
    <row r="731" spans="7:23" x14ac:dyDescent="0.3">
      <c r="G731" s="247"/>
      <c r="H731" s="248"/>
      <c r="I731" s="56" t="s">
        <v>25</v>
      </c>
      <c r="J731" s="56" t="s">
        <v>88</v>
      </c>
      <c r="K731" s="56" t="s">
        <v>285</v>
      </c>
      <c r="M731" s="337"/>
      <c r="O731" s="337"/>
      <c r="Q731" s="337"/>
      <c r="S731" s="337"/>
      <c r="T731" s="56">
        <v>19736014.850000001</v>
      </c>
      <c r="U731" s="56" t="s">
        <v>366</v>
      </c>
      <c r="V731" s="56" t="s">
        <v>387</v>
      </c>
      <c r="W731" s="56" t="s">
        <v>388</v>
      </c>
    </row>
    <row r="732" spans="7:23" x14ac:dyDescent="0.3">
      <c r="G732" s="247"/>
      <c r="H732" s="248"/>
      <c r="I732" s="56" t="s">
        <v>25</v>
      </c>
      <c r="J732" s="56" t="s">
        <v>88</v>
      </c>
      <c r="K732" s="56" t="s">
        <v>285</v>
      </c>
      <c r="M732" s="337"/>
      <c r="O732" s="337"/>
      <c r="Q732" s="337"/>
      <c r="S732" s="337"/>
      <c r="T732" s="56">
        <v>17323681.93</v>
      </c>
      <c r="U732" s="56" t="s">
        <v>369</v>
      </c>
      <c r="V732" s="56" t="s">
        <v>381</v>
      </c>
      <c r="W732" s="56" t="s">
        <v>382</v>
      </c>
    </row>
    <row r="733" spans="7:23" x14ac:dyDescent="0.3">
      <c r="G733" s="247"/>
      <c r="H733" s="248"/>
      <c r="I733" s="56" t="s">
        <v>25</v>
      </c>
      <c r="J733" s="56" t="s">
        <v>88</v>
      </c>
      <c r="K733" s="56" t="s">
        <v>285</v>
      </c>
      <c r="L733" s="56">
        <v>5000000</v>
      </c>
      <c r="M733" s="337">
        <v>1</v>
      </c>
      <c r="O733" s="337"/>
      <c r="Q733" s="337"/>
      <c r="S733" s="337"/>
      <c r="T733" s="56">
        <v>5000000</v>
      </c>
      <c r="U733" s="56" t="s">
        <v>423</v>
      </c>
      <c r="V733" s="56" t="s">
        <v>424</v>
      </c>
      <c r="W733" s="56" t="s">
        <v>425</v>
      </c>
    </row>
    <row r="734" spans="7:23" x14ac:dyDescent="0.3">
      <c r="G734" s="247"/>
      <c r="H734" s="248"/>
      <c r="I734" s="56" t="s">
        <v>25</v>
      </c>
      <c r="J734" s="56" t="s">
        <v>88</v>
      </c>
      <c r="K734" s="56" t="s">
        <v>285</v>
      </c>
      <c r="M734" s="337"/>
      <c r="O734" s="337"/>
      <c r="Q734" s="337"/>
      <c r="S734" s="337"/>
      <c r="T734" s="56">
        <v>4280211.46</v>
      </c>
      <c r="U734" s="56" t="s">
        <v>3550</v>
      </c>
      <c r="V734" s="56" t="s">
        <v>3580</v>
      </c>
      <c r="W734" s="56" t="s">
        <v>3581</v>
      </c>
    </row>
    <row r="735" spans="7:23" x14ac:dyDescent="0.3">
      <c r="G735" s="247"/>
      <c r="H735" s="248"/>
      <c r="I735" s="56" t="s">
        <v>25</v>
      </c>
      <c r="J735" s="56" t="s">
        <v>88</v>
      </c>
      <c r="K735" s="56" t="s">
        <v>285</v>
      </c>
      <c r="L735" s="56">
        <v>7971405.4800000004</v>
      </c>
      <c r="M735" s="337">
        <v>0.797140548</v>
      </c>
      <c r="O735" s="337"/>
      <c r="Q735" s="337"/>
      <c r="S735" s="337"/>
      <c r="T735" s="56">
        <v>7971405.4800000004</v>
      </c>
      <c r="U735" s="56" t="s">
        <v>5051</v>
      </c>
      <c r="V735" s="56" t="s">
        <v>5054</v>
      </c>
      <c r="W735" s="56" t="s">
        <v>5055</v>
      </c>
    </row>
    <row r="736" spans="7:23" x14ac:dyDescent="0.3">
      <c r="G736" s="247"/>
      <c r="H736" s="248"/>
      <c r="I736" s="56" t="s">
        <v>25</v>
      </c>
      <c r="J736" s="56" t="s">
        <v>88</v>
      </c>
      <c r="K736" s="56" t="s">
        <v>285</v>
      </c>
      <c r="M736" s="337"/>
      <c r="O736" s="337"/>
      <c r="Q736" s="337"/>
      <c r="S736" s="337"/>
      <c r="T736" s="56">
        <v>9418249.2300000004</v>
      </c>
      <c r="U736" s="56" t="s">
        <v>4001</v>
      </c>
      <c r="V736" s="56" t="s">
        <v>4002</v>
      </c>
      <c r="W736" s="56" t="s">
        <v>4003</v>
      </c>
    </row>
    <row r="737" spans="7:23" x14ac:dyDescent="0.3">
      <c r="G737" s="247"/>
      <c r="H737" s="248"/>
      <c r="I737" s="56" t="s">
        <v>25</v>
      </c>
      <c r="J737" s="56" t="s">
        <v>88</v>
      </c>
      <c r="K737" s="56" t="s">
        <v>285</v>
      </c>
      <c r="L737" s="56">
        <v>19528027.09</v>
      </c>
      <c r="M737" s="337">
        <v>0.7811210836000001</v>
      </c>
      <c r="O737" s="337"/>
      <c r="Q737" s="337"/>
      <c r="S737" s="337"/>
      <c r="T737" s="56">
        <v>19528027.09</v>
      </c>
      <c r="U737" s="56" t="s">
        <v>462</v>
      </c>
      <c r="V737" s="56" t="s">
        <v>465</v>
      </c>
      <c r="W737" s="56" t="s">
        <v>466</v>
      </c>
    </row>
    <row r="738" spans="7:23" x14ac:dyDescent="0.3">
      <c r="G738" s="247"/>
      <c r="H738" s="248"/>
      <c r="I738" s="56" t="s">
        <v>25</v>
      </c>
      <c r="J738" s="56" t="s">
        <v>88</v>
      </c>
      <c r="K738" s="56" t="s">
        <v>285</v>
      </c>
      <c r="L738" s="56">
        <v>3963617.78</v>
      </c>
      <c r="M738" s="337">
        <v>0.33030148166666667</v>
      </c>
      <c r="O738" s="337"/>
      <c r="Q738" s="337"/>
      <c r="S738" s="337"/>
      <c r="T738" s="56">
        <v>3963617.78</v>
      </c>
      <c r="U738" s="56" t="s">
        <v>457</v>
      </c>
      <c r="V738" s="56" t="s">
        <v>458</v>
      </c>
      <c r="W738" s="56" t="s">
        <v>459</v>
      </c>
    </row>
    <row r="739" spans="7:23" x14ac:dyDescent="0.3">
      <c r="G739" s="247"/>
      <c r="H739" s="248"/>
      <c r="I739" s="56" t="s">
        <v>25</v>
      </c>
      <c r="J739" s="56" t="s">
        <v>88</v>
      </c>
      <c r="K739" s="56" t="s">
        <v>285</v>
      </c>
      <c r="L739" s="56">
        <v>33457718.48</v>
      </c>
      <c r="M739" s="337">
        <v>0.76049207889215642</v>
      </c>
      <c r="N739" s="56">
        <v>33457718.48</v>
      </c>
      <c r="O739" s="337">
        <v>0.76049207889215642</v>
      </c>
      <c r="P739" s="56">
        <v>33457718.48</v>
      </c>
      <c r="Q739" s="337">
        <v>0.76049207889215642</v>
      </c>
      <c r="S739" s="337"/>
      <c r="T739" s="56">
        <v>33457718.48</v>
      </c>
      <c r="U739" s="56" t="s">
        <v>529</v>
      </c>
      <c r="V739" s="56" t="s">
        <v>531</v>
      </c>
      <c r="W739" s="56" t="s">
        <v>532</v>
      </c>
    </row>
    <row r="740" spans="7:23" x14ac:dyDescent="0.3">
      <c r="G740" s="247"/>
      <c r="H740" s="248"/>
      <c r="I740" s="56" t="s">
        <v>25</v>
      </c>
      <c r="J740" s="56" t="s">
        <v>88</v>
      </c>
      <c r="K740" s="56" t="s">
        <v>285</v>
      </c>
      <c r="L740" s="56">
        <v>18963498.609999999</v>
      </c>
      <c r="M740" s="337">
        <v>0.94817493050000012</v>
      </c>
      <c r="O740" s="337"/>
      <c r="Q740" s="337"/>
      <c r="S740" s="337"/>
      <c r="T740" s="56">
        <v>18963498.609999999</v>
      </c>
      <c r="U740" s="56" t="s">
        <v>493</v>
      </c>
      <c r="V740" s="56" t="s">
        <v>494</v>
      </c>
      <c r="W740" s="56" t="s">
        <v>495</v>
      </c>
    </row>
    <row r="741" spans="7:23" x14ac:dyDescent="0.3">
      <c r="G741" s="247"/>
      <c r="H741" s="248"/>
      <c r="I741" s="56" t="s">
        <v>25</v>
      </c>
      <c r="J741" s="56" t="s">
        <v>88</v>
      </c>
      <c r="K741" s="56" t="s">
        <v>285</v>
      </c>
      <c r="M741" s="337"/>
      <c r="O741" s="337"/>
      <c r="Q741" s="337"/>
      <c r="S741" s="337"/>
      <c r="T741" s="56">
        <v>26383875.649999999</v>
      </c>
      <c r="U741" s="56" t="s">
        <v>547</v>
      </c>
      <c r="V741" s="56" t="s">
        <v>548</v>
      </c>
      <c r="W741" s="56" t="s">
        <v>549</v>
      </c>
    </row>
    <row r="742" spans="7:23" x14ac:dyDescent="0.3">
      <c r="G742" s="247"/>
      <c r="H742" s="248"/>
      <c r="I742" s="56" t="s">
        <v>25</v>
      </c>
      <c r="J742" s="56" t="s">
        <v>88</v>
      </c>
      <c r="K742" s="56" t="s">
        <v>285</v>
      </c>
      <c r="M742" s="337"/>
      <c r="O742" s="337"/>
      <c r="Q742" s="337"/>
      <c r="S742" s="337"/>
      <c r="T742" s="56">
        <v>10299259.609999999</v>
      </c>
      <c r="U742" s="56" t="s">
        <v>562</v>
      </c>
      <c r="V742" s="56" t="s">
        <v>563</v>
      </c>
      <c r="W742" s="56" t="s">
        <v>564</v>
      </c>
    </row>
    <row r="743" spans="7:23" x14ac:dyDescent="0.3">
      <c r="G743" s="247"/>
      <c r="H743" s="248"/>
      <c r="I743" s="56" t="s">
        <v>25</v>
      </c>
      <c r="J743" s="56" t="s">
        <v>88</v>
      </c>
      <c r="K743" s="56" t="s">
        <v>285</v>
      </c>
      <c r="L743" s="56">
        <v>11692958.02</v>
      </c>
      <c r="M743" s="337">
        <v>0.97441316833333325</v>
      </c>
      <c r="N743" s="56">
        <v>11692958.02</v>
      </c>
      <c r="O743" s="337">
        <v>0.97441316833333325</v>
      </c>
      <c r="Q743" s="337"/>
      <c r="S743" s="337"/>
      <c r="T743" s="56">
        <v>11692958.02</v>
      </c>
      <c r="U743" s="56" t="s">
        <v>935</v>
      </c>
      <c r="V743" s="56" t="s">
        <v>1336</v>
      </c>
      <c r="W743" s="56" t="s">
        <v>1337</v>
      </c>
    </row>
    <row r="744" spans="7:23" x14ac:dyDescent="0.3">
      <c r="G744" s="247"/>
      <c r="H744" s="248"/>
      <c r="I744" s="56" t="s">
        <v>25</v>
      </c>
      <c r="J744" s="56" t="s">
        <v>88</v>
      </c>
      <c r="K744" s="56" t="s">
        <v>285</v>
      </c>
      <c r="L744" s="56">
        <v>6125013.7699999996</v>
      </c>
      <c r="M744" s="337">
        <v>0.47115490538461535</v>
      </c>
      <c r="N744" s="56">
        <v>6125013.7699999996</v>
      </c>
      <c r="O744" s="337">
        <v>0.47115490538461535</v>
      </c>
      <c r="P744" s="56">
        <v>6125013.7699999996</v>
      </c>
      <c r="Q744" s="337">
        <v>0.47115490538461535</v>
      </c>
      <c r="R744" s="56">
        <v>6125013.7699999996</v>
      </c>
      <c r="S744" s="337">
        <v>0.47115490538461535</v>
      </c>
      <c r="T744" s="56">
        <v>6125013.7699999996</v>
      </c>
      <c r="U744" s="56" t="s">
        <v>1238</v>
      </c>
      <c r="V744" s="56" t="s">
        <v>1247</v>
      </c>
      <c r="W744" s="56" t="s">
        <v>1248</v>
      </c>
    </row>
    <row r="745" spans="7:23" x14ac:dyDescent="0.3">
      <c r="G745" s="247"/>
      <c r="H745" s="248"/>
      <c r="I745" s="56" t="s">
        <v>25</v>
      </c>
      <c r="J745" s="56" t="s">
        <v>88</v>
      </c>
      <c r="K745" s="56" t="s">
        <v>285</v>
      </c>
      <c r="L745" s="56">
        <v>1864993.12</v>
      </c>
      <c r="M745" s="337">
        <v>0.186499312</v>
      </c>
      <c r="O745" s="337"/>
      <c r="Q745" s="337"/>
      <c r="S745" s="337"/>
      <c r="T745" s="56">
        <v>1864993.12</v>
      </c>
      <c r="U745" s="56" t="s">
        <v>3647</v>
      </c>
      <c r="V745" s="56" t="s">
        <v>3653</v>
      </c>
      <c r="W745" s="56" t="s">
        <v>3654</v>
      </c>
    </row>
    <row r="746" spans="7:23" x14ac:dyDescent="0.3">
      <c r="G746" s="247"/>
      <c r="H746" s="248"/>
      <c r="I746" s="56" t="s">
        <v>25</v>
      </c>
      <c r="J746" s="56" t="s">
        <v>88</v>
      </c>
      <c r="K746" s="56" t="s">
        <v>285</v>
      </c>
      <c r="M746" s="337"/>
      <c r="O746" s="337"/>
      <c r="Q746" s="337"/>
      <c r="S746" s="337"/>
      <c r="T746" s="56">
        <v>5945443.5300000003</v>
      </c>
      <c r="U746" s="56" t="s">
        <v>914</v>
      </c>
      <c r="V746" s="56" t="s">
        <v>1307</v>
      </c>
      <c r="W746" s="56" t="s">
        <v>1308</v>
      </c>
    </row>
    <row r="747" spans="7:23" x14ac:dyDescent="0.3">
      <c r="G747" s="247"/>
      <c r="H747" s="248"/>
      <c r="I747" s="56" t="s">
        <v>25</v>
      </c>
      <c r="J747" s="56" t="s">
        <v>88</v>
      </c>
      <c r="K747" s="56" t="s">
        <v>285</v>
      </c>
      <c r="L747" s="56">
        <v>32117727.530000001</v>
      </c>
      <c r="M747" s="337">
        <v>0.81399289763756055</v>
      </c>
      <c r="O747" s="337"/>
      <c r="Q747" s="337"/>
      <c r="S747" s="337"/>
      <c r="T747" s="56">
        <v>32117727.530000001</v>
      </c>
      <c r="U747" s="56" t="s">
        <v>705</v>
      </c>
      <c r="V747" s="56" t="s">
        <v>706</v>
      </c>
      <c r="W747" s="56" t="s">
        <v>707</v>
      </c>
    </row>
    <row r="748" spans="7:23" x14ac:dyDescent="0.3">
      <c r="G748" s="247"/>
      <c r="H748" s="248"/>
      <c r="I748" s="56" t="s">
        <v>25</v>
      </c>
      <c r="J748" s="56" t="s">
        <v>88</v>
      </c>
      <c r="K748" s="56" t="s">
        <v>285</v>
      </c>
      <c r="M748" s="337"/>
      <c r="O748" s="337"/>
      <c r="Q748" s="337"/>
      <c r="S748" s="337"/>
      <c r="T748" s="56">
        <v>4445166.99</v>
      </c>
      <c r="U748" s="56" t="s">
        <v>778</v>
      </c>
      <c r="V748" s="56" t="s">
        <v>780</v>
      </c>
      <c r="W748" s="56" t="s">
        <v>781</v>
      </c>
    </row>
    <row r="749" spans="7:23" x14ac:dyDescent="0.3">
      <c r="G749" s="247"/>
      <c r="H749" s="248"/>
      <c r="I749" s="56" t="s">
        <v>25</v>
      </c>
      <c r="J749" s="56" t="s">
        <v>88</v>
      </c>
      <c r="K749" s="56" t="s">
        <v>285</v>
      </c>
      <c r="M749" s="337"/>
      <c r="O749" s="337"/>
      <c r="Q749" s="337"/>
      <c r="S749" s="337"/>
      <c r="T749" s="56">
        <v>8389485.9000000004</v>
      </c>
      <c r="U749" s="56" t="s">
        <v>792</v>
      </c>
      <c r="V749" s="56" t="s">
        <v>793</v>
      </c>
      <c r="W749" s="56" t="s">
        <v>794</v>
      </c>
    </row>
    <row r="750" spans="7:23" x14ac:dyDescent="0.3">
      <c r="G750" s="247"/>
      <c r="H750" s="248"/>
      <c r="I750" s="56" t="s">
        <v>25</v>
      </c>
      <c r="J750" s="56" t="s">
        <v>88</v>
      </c>
      <c r="K750" s="56" t="s">
        <v>285</v>
      </c>
      <c r="L750" s="56">
        <v>25871959.25</v>
      </c>
      <c r="M750" s="337">
        <v>0.95822071296296296</v>
      </c>
      <c r="O750" s="337"/>
      <c r="Q750" s="337"/>
      <c r="S750" s="337"/>
      <c r="T750" s="56">
        <v>25871959.25</v>
      </c>
      <c r="U750" s="56" t="s">
        <v>868</v>
      </c>
      <c r="V750" s="56" t="s">
        <v>869</v>
      </c>
      <c r="W750" s="56" t="s">
        <v>870</v>
      </c>
    </row>
    <row r="751" spans="7:23" x14ac:dyDescent="0.3">
      <c r="G751" s="247"/>
      <c r="H751" s="248"/>
      <c r="I751" s="56" t="s">
        <v>25</v>
      </c>
      <c r="J751" s="56" t="s">
        <v>88</v>
      </c>
      <c r="K751" s="56" t="s">
        <v>285</v>
      </c>
      <c r="L751" s="56">
        <v>10000000</v>
      </c>
      <c r="M751" s="337">
        <v>1</v>
      </c>
      <c r="O751" s="337"/>
      <c r="Q751" s="337"/>
      <c r="S751" s="337"/>
      <c r="T751" s="56">
        <v>10000000</v>
      </c>
      <c r="U751" s="56" t="s">
        <v>2083</v>
      </c>
      <c r="V751" s="56" t="s">
        <v>2086</v>
      </c>
      <c r="W751" s="56" t="s">
        <v>2087</v>
      </c>
    </row>
    <row r="752" spans="7:23" x14ac:dyDescent="0.3">
      <c r="G752" s="247"/>
      <c r="H752" s="248"/>
      <c r="I752" s="56" t="s">
        <v>25</v>
      </c>
      <c r="J752" s="56" t="s">
        <v>88</v>
      </c>
      <c r="K752" s="56" t="s">
        <v>285</v>
      </c>
      <c r="L752" s="56">
        <v>4251163.26</v>
      </c>
      <c r="M752" s="337">
        <v>0.35426360499999998</v>
      </c>
      <c r="N752" s="56">
        <v>4251163.26</v>
      </c>
      <c r="O752" s="337">
        <v>0.35426360499999998</v>
      </c>
      <c r="Q752" s="337"/>
      <c r="S752" s="337"/>
      <c r="T752" s="56">
        <v>4251163.26</v>
      </c>
      <c r="U752" s="56" t="s">
        <v>895</v>
      </c>
      <c r="V752" s="56" t="s">
        <v>896</v>
      </c>
      <c r="W752" s="56" t="s">
        <v>897</v>
      </c>
    </row>
    <row r="753" spans="7:23" x14ac:dyDescent="0.3">
      <c r="G753" s="247"/>
      <c r="H753" s="248"/>
      <c r="I753" s="56" t="s">
        <v>25</v>
      </c>
      <c r="J753" s="56" t="s">
        <v>88</v>
      </c>
      <c r="K753" s="56" t="s">
        <v>285</v>
      </c>
      <c r="M753" s="337"/>
      <c r="O753" s="337"/>
      <c r="Q753" s="337"/>
      <c r="S753" s="337"/>
      <c r="T753" s="56">
        <v>2500000</v>
      </c>
      <c r="U753" s="56" t="s">
        <v>972</v>
      </c>
      <c r="V753" s="56" t="s">
        <v>2167</v>
      </c>
      <c r="W753" s="56" t="s">
        <v>2168</v>
      </c>
    </row>
    <row r="754" spans="7:23" x14ac:dyDescent="0.3">
      <c r="G754" s="247"/>
      <c r="H754" s="248"/>
      <c r="I754" s="56" t="s">
        <v>25</v>
      </c>
      <c r="J754" s="56" t="s">
        <v>88</v>
      </c>
      <c r="K754" s="56" t="s">
        <v>285</v>
      </c>
      <c r="M754" s="337"/>
      <c r="O754" s="337"/>
      <c r="Q754" s="337"/>
      <c r="S754" s="337"/>
      <c r="T754" s="56">
        <v>9340944.1600000001</v>
      </c>
      <c r="U754" s="56" t="s">
        <v>1028</v>
      </c>
      <c r="V754" s="56" t="s">
        <v>1029</v>
      </c>
      <c r="W754" s="56" t="s">
        <v>1030</v>
      </c>
    </row>
    <row r="755" spans="7:23" x14ac:dyDescent="0.3">
      <c r="G755" s="247"/>
      <c r="H755" s="248"/>
      <c r="I755" s="56" t="s">
        <v>25</v>
      </c>
      <c r="J755" s="56" t="s">
        <v>88</v>
      </c>
      <c r="K755" s="56" t="s">
        <v>285</v>
      </c>
      <c r="M755" s="337"/>
      <c r="O755" s="337"/>
      <c r="Q755" s="337"/>
      <c r="S755" s="337"/>
      <c r="T755" s="56">
        <v>15834211.49</v>
      </c>
      <c r="U755" s="56" t="s">
        <v>5102</v>
      </c>
      <c r="V755" s="56" t="s">
        <v>5103</v>
      </c>
      <c r="W755" s="56" t="s">
        <v>5104</v>
      </c>
    </row>
    <row r="756" spans="7:23" x14ac:dyDescent="0.3">
      <c r="G756" s="247"/>
      <c r="H756" s="248"/>
      <c r="I756" s="56" t="s">
        <v>25</v>
      </c>
      <c r="J756" s="56" t="s">
        <v>88</v>
      </c>
      <c r="K756" s="56" t="s">
        <v>285</v>
      </c>
      <c r="M756" s="337"/>
      <c r="O756" s="337"/>
      <c r="Q756" s="337"/>
      <c r="S756" s="337"/>
      <c r="T756" s="56">
        <v>11366727.82</v>
      </c>
      <c r="U756" s="56" t="s">
        <v>1015</v>
      </c>
      <c r="V756" s="56" t="s">
        <v>1019</v>
      </c>
      <c r="W756" s="56" t="s">
        <v>1020</v>
      </c>
    </row>
    <row r="757" spans="7:23" x14ac:dyDescent="0.3">
      <c r="G757" s="247"/>
      <c r="H757" s="248"/>
      <c r="I757" s="56" t="s">
        <v>25</v>
      </c>
      <c r="J757" s="56" t="s">
        <v>88</v>
      </c>
      <c r="K757" s="56" t="s">
        <v>285</v>
      </c>
      <c r="L757" s="56">
        <v>9091104.7799999993</v>
      </c>
      <c r="M757" s="337">
        <v>0.49141106918918914</v>
      </c>
      <c r="N757" s="56">
        <v>9091104.7799999993</v>
      </c>
      <c r="O757" s="337">
        <v>0.49141106918918914</v>
      </c>
      <c r="Q757" s="337"/>
      <c r="S757" s="337"/>
      <c r="T757" s="56">
        <v>9091104.7799999993</v>
      </c>
      <c r="U757" s="56" t="s">
        <v>2132</v>
      </c>
      <c r="V757" s="56" t="s">
        <v>2147</v>
      </c>
      <c r="W757" s="56" t="s">
        <v>2148</v>
      </c>
    </row>
    <row r="758" spans="7:23" x14ac:dyDescent="0.3">
      <c r="G758" s="247"/>
      <c r="H758" s="248"/>
      <c r="I758" s="56" t="s">
        <v>25</v>
      </c>
      <c r="J758" s="56" t="s">
        <v>88</v>
      </c>
      <c r="K758" s="56" t="s">
        <v>285</v>
      </c>
      <c r="L758" s="56">
        <v>36671845.369999997</v>
      </c>
      <c r="M758" s="337">
        <v>0.76533484981300015</v>
      </c>
      <c r="O758" s="337"/>
      <c r="Q758" s="337"/>
      <c r="S758" s="337"/>
      <c r="T758" s="56">
        <v>36671845.369999997</v>
      </c>
      <c r="U758" s="56" t="s">
        <v>1100</v>
      </c>
      <c r="V758" s="56" t="s">
        <v>1105</v>
      </c>
      <c r="W758" s="56" t="s">
        <v>1106</v>
      </c>
    </row>
    <row r="759" spans="7:23" x14ac:dyDescent="0.3">
      <c r="G759" s="247"/>
      <c r="H759" s="248"/>
      <c r="I759" s="56" t="s">
        <v>25</v>
      </c>
      <c r="J759" s="56" t="s">
        <v>88</v>
      </c>
      <c r="K759" s="56" t="s">
        <v>285</v>
      </c>
      <c r="M759" s="337"/>
      <c r="O759" s="337"/>
      <c r="Q759" s="337"/>
      <c r="S759" s="337"/>
      <c r="T759" s="56">
        <v>6744295.54</v>
      </c>
      <c r="U759" s="56" t="s">
        <v>1274</v>
      </c>
      <c r="V759" s="56" t="s">
        <v>1275</v>
      </c>
      <c r="W759" s="56" t="s">
        <v>1276</v>
      </c>
    </row>
    <row r="760" spans="7:23" x14ac:dyDescent="0.3">
      <c r="G760" s="247"/>
      <c r="H760" s="248"/>
      <c r="I760" s="56" t="s">
        <v>25</v>
      </c>
      <c r="J760" s="56" t="s">
        <v>88</v>
      </c>
      <c r="K760" s="56" t="s">
        <v>285</v>
      </c>
      <c r="M760" s="337"/>
      <c r="O760" s="337"/>
      <c r="Q760" s="337"/>
      <c r="S760" s="337"/>
      <c r="T760" s="56">
        <v>13785684.529999999</v>
      </c>
      <c r="U760" s="56" t="s">
        <v>4083</v>
      </c>
      <c r="V760" s="56" t="s">
        <v>4085</v>
      </c>
      <c r="W760" s="56" t="s">
        <v>4086</v>
      </c>
    </row>
    <row r="761" spans="7:23" x14ac:dyDescent="0.3">
      <c r="G761" s="247"/>
      <c r="H761" s="248"/>
      <c r="I761" s="56" t="s">
        <v>25</v>
      </c>
      <c r="J761" s="56" t="s">
        <v>88</v>
      </c>
      <c r="K761" s="56" t="s">
        <v>285</v>
      </c>
      <c r="L761" s="56">
        <v>6913868.54</v>
      </c>
      <c r="M761" s="337">
        <v>0.86423356750000002</v>
      </c>
      <c r="O761" s="337"/>
      <c r="Q761" s="337"/>
      <c r="S761" s="337"/>
      <c r="T761" s="56">
        <v>6913868.54</v>
      </c>
      <c r="U761" s="56" t="s">
        <v>1314</v>
      </c>
      <c r="V761" s="56" t="s">
        <v>1315</v>
      </c>
      <c r="W761" s="56" t="s">
        <v>1316</v>
      </c>
    </row>
    <row r="762" spans="7:23" x14ac:dyDescent="0.3">
      <c r="G762" s="247"/>
      <c r="H762" s="248"/>
      <c r="I762" s="56" t="s">
        <v>25</v>
      </c>
      <c r="J762" s="56" t="s">
        <v>88</v>
      </c>
      <c r="K762" s="690" t="s">
        <v>285</v>
      </c>
      <c r="M762" s="337"/>
      <c r="O762" s="337"/>
      <c r="Q762" s="337"/>
      <c r="S762" s="337"/>
      <c r="T762" s="56">
        <v>42841416.07</v>
      </c>
      <c r="U762" s="56" t="s">
        <v>1520</v>
      </c>
      <c r="V762" s="56" t="s">
        <v>1524</v>
      </c>
      <c r="W762" s="56" t="s">
        <v>1525</v>
      </c>
    </row>
    <row r="763" spans="7:23" x14ac:dyDescent="0.3">
      <c r="G763" s="247"/>
      <c r="H763" s="248"/>
      <c r="I763" s="56" t="s">
        <v>25</v>
      </c>
      <c r="J763" s="56" t="s">
        <v>88</v>
      </c>
      <c r="K763" s="56" t="s">
        <v>285</v>
      </c>
      <c r="L763" s="56">
        <v>27579126.210000001</v>
      </c>
      <c r="M763" s="337">
        <v>0.68947815525</v>
      </c>
      <c r="O763" s="337"/>
      <c r="Q763" s="337"/>
      <c r="S763" s="337"/>
      <c r="T763" s="56">
        <v>27579126.210000001</v>
      </c>
      <c r="U763" s="56" t="s">
        <v>1605</v>
      </c>
      <c r="V763" s="56" t="s">
        <v>1617</v>
      </c>
      <c r="W763" s="56" t="s">
        <v>1618</v>
      </c>
    </row>
    <row r="764" spans="7:23" x14ac:dyDescent="0.3">
      <c r="G764" s="247"/>
      <c r="H764" s="248"/>
      <c r="I764" s="56" t="s">
        <v>25</v>
      </c>
      <c r="J764" s="56" t="s">
        <v>88</v>
      </c>
      <c r="K764" s="56" t="s">
        <v>285</v>
      </c>
      <c r="M764" s="337"/>
      <c r="O764" s="337"/>
      <c r="Q764" s="337"/>
      <c r="S764" s="337"/>
      <c r="T764" s="56">
        <v>4200515.22</v>
      </c>
      <c r="U764" s="56" t="s">
        <v>3553</v>
      </c>
      <c r="V764" s="56" t="s">
        <v>3563</v>
      </c>
      <c r="W764" s="56" t="s">
        <v>3564</v>
      </c>
    </row>
    <row r="765" spans="7:23" x14ac:dyDescent="0.3">
      <c r="G765" s="247"/>
      <c r="H765" s="248"/>
      <c r="I765" s="56" t="s">
        <v>25</v>
      </c>
      <c r="J765" s="56" t="s">
        <v>88</v>
      </c>
      <c r="K765" s="56" t="s">
        <v>285</v>
      </c>
      <c r="M765" s="337"/>
      <c r="O765" s="337"/>
      <c r="Q765" s="337"/>
      <c r="S765" s="337"/>
      <c r="T765" s="56">
        <v>16000000</v>
      </c>
      <c r="U765" s="56" t="s">
        <v>5943</v>
      </c>
      <c r="V765" s="56" t="s">
        <v>5945</v>
      </c>
      <c r="W765" s="56" t="s">
        <v>5946</v>
      </c>
    </row>
    <row r="766" spans="7:23" x14ac:dyDescent="0.3">
      <c r="G766" s="247"/>
      <c r="H766" s="248"/>
      <c r="I766" s="56" t="s">
        <v>25</v>
      </c>
      <c r="J766" s="56" t="s">
        <v>88</v>
      </c>
      <c r="K766" s="56" t="s">
        <v>285</v>
      </c>
      <c r="L766" s="56">
        <v>1507342.24</v>
      </c>
      <c r="M766" s="337">
        <v>0.301468448</v>
      </c>
      <c r="N766" s="56">
        <v>1507342.24</v>
      </c>
      <c r="O766" s="337">
        <v>0.301468448</v>
      </c>
      <c r="P766" s="56">
        <v>1507342.24</v>
      </c>
      <c r="Q766" s="337">
        <v>0.301468448</v>
      </c>
      <c r="S766" s="337"/>
      <c r="T766" s="56">
        <v>1507342.24</v>
      </c>
      <c r="U766" s="56" t="s">
        <v>2637</v>
      </c>
      <c r="V766" s="56" t="s">
        <v>2638</v>
      </c>
      <c r="W766" s="56" t="s">
        <v>2639</v>
      </c>
    </row>
    <row r="767" spans="7:23" x14ac:dyDescent="0.3">
      <c r="G767" s="247"/>
      <c r="H767" s="248"/>
      <c r="I767" s="56" t="s">
        <v>25</v>
      </c>
      <c r="J767" s="56" t="s">
        <v>88</v>
      </c>
      <c r="K767" s="56" t="s">
        <v>285</v>
      </c>
      <c r="L767" s="56">
        <v>475101.42</v>
      </c>
      <c r="M767" s="337">
        <v>0.23755071000000003</v>
      </c>
      <c r="O767" s="337"/>
      <c r="Q767" s="337"/>
      <c r="S767" s="337"/>
      <c r="T767" s="56">
        <v>475101.42</v>
      </c>
      <c r="U767" s="56" t="s">
        <v>3808</v>
      </c>
      <c r="V767" s="56" t="s">
        <v>3811</v>
      </c>
      <c r="W767" s="56" t="s">
        <v>3812</v>
      </c>
    </row>
    <row r="768" spans="7:23" x14ac:dyDescent="0.3">
      <c r="G768" s="247"/>
      <c r="H768" s="248"/>
      <c r="I768" s="56" t="s">
        <v>25</v>
      </c>
      <c r="J768" s="56" t="s">
        <v>88</v>
      </c>
      <c r="K768" s="56" t="s">
        <v>285</v>
      </c>
      <c r="M768" s="337"/>
      <c r="O768" s="337"/>
      <c r="Q768" s="337"/>
      <c r="S768" s="337"/>
      <c r="T768" s="56">
        <v>803869.95</v>
      </c>
      <c r="U768" s="56" t="s">
        <v>1939</v>
      </c>
      <c r="V768" s="56" t="s">
        <v>1940</v>
      </c>
      <c r="W768" s="56" t="s">
        <v>1941</v>
      </c>
    </row>
    <row r="769" spans="7:23" x14ac:dyDescent="0.3">
      <c r="G769" s="247"/>
      <c r="H769" s="248"/>
      <c r="I769" s="56" t="s">
        <v>25</v>
      </c>
      <c r="J769" s="56" t="s">
        <v>88</v>
      </c>
      <c r="K769" s="56" t="s">
        <v>285</v>
      </c>
      <c r="L769" s="56">
        <v>34796417.969999999</v>
      </c>
      <c r="M769" s="337">
        <v>0.77325373266666664</v>
      </c>
      <c r="N769" s="56">
        <v>34796417.969999999</v>
      </c>
      <c r="O769" s="337">
        <v>0.77325373266666664</v>
      </c>
      <c r="Q769" s="337"/>
      <c r="S769" s="337"/>
      <c r="T769" s="56">
        <v>34796417.969999999</v>
      </c>
      <c r="U769" s="56" t="s">
        <v>2035</v>
      </c>
      <c r="V769" s="56" t="s">
        <v>2039</v>
      </c>
      <c r="W769" s="56" t="s">
        <v>2040</v>
      </c>
    </row>
    <row r="770" spans="7:23" x14ac:dyDescent="0.3">
      <c r="G770" s="247"/>
      <c r="H770" s="248"/>
      <c r="I770" s="56" t="s">
        <v>25</v>
      </c>
      <c r="J770" s="56" t="s">
        <v>88</v>
      </c>
      <c r="K770" s="56" t="s">
        <v>285</v>
      </c>
      <c r="M770" s="337"/>
      <c r="O770" s="337"/>
      <c r="Q770" s="337"/>
      <c r="S770" s="337"/>
      <c r="T770" s="56">
        <v>26994301.949999999</v>
      </c>
      <c r="U770" s="56" t="s">
        <v>2128</v>
      </c>
      <c r="V770" s="56" t="s">
        <v>2139</v>
      </c>
      <c r="W770" s="56" t="s">
        <v>2140</v>
      </c>
    </row>
    <row r="771" spans="7:23" x14ac:dyDescent="0.3">
      <c r="G771" s="247"/>
      <c r="H771" s="248"/>
      <c r="I771" s="56" t="s">
        <v>25</v>
      </c>
      <c r="J771" s="56" t="s">
        <v>88</v>
      </c>
      <c r="K771" s="56" t="s">
        <v>285</v>
      </c>
      <c r="M771" s="337"/>
      <c r="O771" s="337"/>
      <c r="Q771" s="337"/>
      <c r="S771" s="337"/>
      <c r="T771" s="56">
        <v>3058629.38</v>
      </c>
      <c r="U771" s="56" t="s">
        <v>2442</v>
      </c>
      <c r="V771" s="56" t="s">
        <v>2443</v>
      </c>
      <c r="W771" s="56" t="s">
        <v>2444</v>
      </c>
    </row>
    <row r="772" spans="7:23" x14ac:dyDescent="0.3">
      <c r="G772" s="247"/>
      <c r="H772" s="248"/>
      <c r="I772" s="56" t="s">
        <v>25</v>
      </c>
      <c r="J772" s="56" t="s">
        <v>88</v>
      </c>
      <c r="K772" s="56" t="s">
        <v>285</v>
      </c>
      <c r="M772" s="337"/>
      <c r="O772" s="337"/>
      <c r="Q772" s="337"/>
      <c r="S772" s="337"/>
      <c r="T772" s="56">
        <v>3500000</v>
      </c>
      <c r="U772" s="56" t="s">
        <v>5918</v>
      </c>
      <c r="V772" s="56" t="s">
        <v>5926</v>
      </c>
      <c r="W772" s="56" t="s">
        <v>5927</v>
      </c>
    </row>
    <row r="773" spans="7:23" x14ac:dyDescent="0.3">
      <c r="G773" s="247"/>
      <c r="H773" s="248"/>
      <c r="I773" s="56" t="s">
        <v>25</v>
      </c>
      <c r="J773" s="56" t="s">
        <v>88</v>
      </c>
      <c r="K773" s="56" t="s">
        <v>285</v>
      </c>
      <c r="L773" s="56">
        <v>1566317.77</v>
      </c>
      <c r="M773" s="337">
        <v>0.78315888500000008</v>
      </c>
      <c r="O773" s="337"/>
      <c r="Q773" s="337"/>
      <c r="S773" s="337"/>
      <c r="T773" s="56">
        <v>1566317.77</v>
      </c>
      <c r="U773" s="56" t="s">
        <v>2785</v>
      </c>
      <c r="V773" s="56" t="s">
        <v>2791</v>
      </c>
      <c r="W773" s="56" t="s">
        <v>2792</v>
      </c>
    </row>
    <row r="774" spans="7:23" x14ac:dyDescent="0.3">
      <c r="G774" s="247"/>
      <c r="H774" s="248"/>
      <c r="I774" s="56" t="s">
        <v>25</v>
      </c>
      <c r="J774" s="56" t="s">
        <v>88</v>
      </c>
      <c r="K774" s="56" t="s">
        <v>285</v>
      </c>
      <c r="L774" s="56">
        <v>1671318.49</v>
      </c>
      <c r="M774" s="337">
        <v>0.55710616333333329</v>
      </c>
      <c r="O774" s="337"/>
      <c r="Q774" s="337"/>
      <c r="S774" s="337"/>
      <c r="T774" s="56">
        <v>1671318.49</v>
      </c>
      <c r="U774" s="56" t="s">
        <v>2789</v>
      </c>
      <c r="V774" s="56" t="s">
        <v>2793</v>
      </c>
      <c r="W774" s="56" t="s">
        <v>2794</v>
      </c>
    </row>
    <row r="775" spans="7:23" x14ac:dyDescent="0.3">
      <c r="G775" s="247"/>
      <c r="H775" s="248"/>
      <c r="I775" s="56" t="s">
        <v>25</v>
      </c>
      <c r="J775" s="56" t="s">
        <v>88</v>
      </c>
      <c r="K775" s="56" t="s">
        <v>285</v>
      </c>
      <c r="M775" s="337"/>
      <c r="O775" s="337"/>
      <c r="Q775" s="337"/>
      <c r="S775" s="337"/>
      <c r="T775" s="56">
        <v>1715104.46</v>
      </c>
      <c r="U775" s="56" t="s">
        <v>2931</v>
      </c>
      <c r="V775" s="56" t="s">
        <v>2932</v>
      </c>
      <c r="W775" s="56" t="s">
        <v>2933</v>
      </c>
    </row>
    <row r="776" spans="7:23" x14ac:dyDescent="0.3">
      <c r="G776" s="247"/>
      <c r="H776" s="248"/>
      <c r="I776" s="56" t="s">
        <v>25</v>
      </c>
      <c r="J776" s="56" t="s">
        <v>88</v>
      </c>
      <c r="K776" s="56" t="s">
        <v>285</v>
      </c>
      <c r="L776" s="56">
        <v>3416895.12</v>
      </c>
      <c r="M776" s="337">
        <v>0.56948251999999999</v>
      </c>
      <c r="O776" s="337"/>
      <c r="Q776" s="337"/>
      <c r="S776" s="337"/>
      <c r="T776" s="56">
        <v>3416895.12</v>
      </c>
      <c r="U776" s="56" t="s">
        <v>2938</v>
      </c>
      <c r="V776" s="56" t="s">
        <v>2939</v>
      </c>
      <c r="W776" s="56" t="s">
        <v>2940</v>
      </c>
    </row>
    <row r="777" spans="7:23" x14ac:dyDescent="0.3">
      <c r="G777" s="247"/>
      <c r="H777" s="248"/>
      <c r="I777" s="56" t="s">
        <v>25</v>
      </c>
      <c r="J777" s="56" t="s">
        <v>88</v>
      </c>
      <c r="K777" s="56" t="s">
        <v>285</v>
      </c>
      <c r="L777" s="56">
        <v>3547750.49</v>
      </c>
      <c r="M777" s="337">
        <v>0.70955009800000002</v>
      </c>
      <c r="O777" s="337"/>
      <c r="Q777" s="337"/>
      <c r="S777" s="337"/>
      <c r="T777" s="56">
        <v>3547750.49</v>
      </c>
      <c r="U777" s="56" t="s">
        <v>3196</v>
      </c>
      <c r="V777" s="56" t="s">
        <v>3197</v>
      </c>
      <c r="W777" s="56" t="s">
        <v>3198</v>
      </c>
    </row>
    <row r="778" spans="7:23" x14ac:dyDescent="0.3">
      <c r="G778" s="247"/>
      <c r="H778" s="248"/>
      <c r="I778" s="56" t="s">
        <v>25</v>
      </c>
      <c r="J778" s="56" t="s">
        <v>88</v>
      </c>
      <c r="K778" s="56" t="s">
        <v>285</v>
      </c>
      <c r="L778" s="56">
        <v>5140545.05</v>
      </c>
      <c r="M778" s="337">
        <v>0.93464455454545459</v>
      </c>
      <c r="O778" s="337"/>
      <c r="Q778" s="337"/>
      <c r="S778" s="337"/>
      <c r="T778" s="56">
        <v>5140545.05</v>
      </c>
      <c r="U778" s="56" t="s">
        <v>3185</v>
      </c>
      <c r="V778" s="56" t="s">
        <v>3188</v>
      </c>
      <c r="W778" s="56" t="s">
        <v>3189</v>
      </c>
    </row>
    <row r="779" spans="7:23" x14ac:dyDescent="0.3">
      <c r="G779" s="247"/>
      <c r="H779" s="248"/>
      <c r="I779" s="56" t="s">
        <v>25</v>
      </c>
      <c r="J779" s="56" t="s">
        <v>88</v>
      </c>
      <c r="K779" s="56" t="s">
        <v>285</v>
      </c>
      <c r="L779" s="56">
        <v>9831925.9800000004</v>
      </c>
      <c r="M779" s="337">
        <v>0.98319259800000003</v>
      </c>
      <c r="N779" s="56">
        <v>9831925.9800000004</v>
      </c>
      <c r="O779" s="337">
        <v>0.98319259800000003</v>
      </c>
      <c r="Q779" s="337"/>
      <c r="S779" s="337"/>
      <c r="T779" s="56">
        <v>9831925.9800000004</v>
      </c>
      <c r="U779" s="56" t="s">
        <v>3386</v>
      </c>
      <c r="V779" s="56" t="s">
        <v>3387</v>
      </c>
      <c r="W779" s="56" t="s">
        <v>3388</v>
      </c>
    </row>
    <row r="780" spans="7:23" x14ac:dyDescent="0.3">
      <c r="G780" s="247"/>
      <c r="H780" s="248"/>
      <c r="I780" s="56" t="s">
        <v>25</v>
      </c>
      <c r="J780" s="56" t="s">
        <v>88</v>
      </c>
      <c r="K780" s="56" t="s">
        <v>285</v>
      </c>
      <c r="L780" s="56">
        <v>1026841.7</v>
      </c>
      <c r="M780" s="337">
        <v>0.20536834000000001</v>
      </c>
      <c r="O780" s="337"/>
      <c r="Q780" s="337"/>
      <c r="S780" s="337"/>
      <c r="T780" s="56">
        <v>1026841.7</v>
      </c>
      <c r="U780" s="56" t="s">
        <v>3646</v>
      </c>
      <c r="V780" s="56" t="s">
        <v>3651</v>
      </c>
      <c r="W780" s="56" t="s">
        <v>3652</v>
      </c>
    </row>
    <row r="781" spans="7:23" x14ac:dyDescent="0.3">
      <c r="G781" s="247"/>
      <c r="H781" s="248"/>
      <c r="I781" s="56" t="s">
        <v>25</v>
      </c>
      <c r="J781" s="56" t="s">
        <v>88</v>
      </c>
      <c r="K781" s="56" t="s">
        <v>285</v>
      </c>
      <c r="M781" s="337"/>
      <c r="O781" s="337"/>
      <c r="Q781" s="337"/>
      <c r="S781" s="337"/>
      <c r="T781" s="56">
        <v>5000000</v>
      </c>
      <c r="U781" s="56" t="s">
        <v>3807</v>
      </c>
      <c r="V781" s="56" t="s">
        <v>3813</v>
      </c>
      <c r="W781" s="56" t="s">
        <v>3814</v>
      </c>
    </row>
    <row r="782" spans="7:23" x14ac:dyDescent="0.3">
      <c r="G782" s="247"/>
      <c r="H782" s="248"/>
      <c r="I782" s="56" t="s">
        <v>25</v>
      </c>
      <c r="J782" s="56" t="s">
        <v>88</v>
      </c>
      <c r="K782" s="56" t="s">
        <v>285</v>
      </c>
      <c r="M782" s="337"/>
      <c r="O782" s="337"/>
      <c r="Q782" s="337"/>
      <c r="S782" s="337"/>
      <c r="T782" s="56">
        <v>2510860.1</v>
      </c>
      <c r="U782" s="56" t="s">
        <v>3682</v>
      </c>
      <c r="V782" s="56" t="s">
        <v>3686</v>
      </c>
      <c r="W782" s="56" t="s">
        <v>3687</v>
      </c>
    </row>
    <row r="783" spans="7:23" x14ac:dyDescent="0.3">
      <c r="G783" s="247"/>
      <c r="H783" s="248"/>
      <c r="I783" s="56" t="s">
        <v>25</v>
      </c>
      <c r="J783" s="56" t="s">
        <v>88</v>
      </c>
      <c r="K783" s="56" t="s">
        <v>285</v>
      </c>
      <c r="M783" s="337"/>
      <c r="O783" s="337"/>
      <c r="Q783" s="337"/>
      <c r="S783" s="337"/>
      <c r="T783" s="56">
        <v>6800000</v>
      </c>
      <c r="U783" s="56" t="s">
        <v>3939</v>
      </c>
      <c r="V783" s="56" t="s">
        <v>3947</v>
      </c>
      <c r="W783" s="56" t="s">
        <v>3948</v>
      </c>
    </row>
    <row r="784" spans="7:23" x14ac:dyDescent="0.3">
      <c r="G784" s="247"/>
      <c r="H784" s="248"/>
      <c r="I784" s="56" t="s">
        <v>25</v>
      </c>
      <c r="J784" s="56" t="s">
        <v>88</v>
      </c>
      <c r="K784" s="56" t="s">
        <v>285</v>
      </c>
      <c r="L784" s="56">
        <v>10359551.869999999</v>
      </c>
      <c r="M784" s="337">
        <v>0.69063679133333333</v>
      </c>
      <c r="O784" s="337"/>
      <c r="Q784" s="337"/>
      <c r="S784" s="337"/>
      <c r="T784" s="56">
        <v>10359551.869999999</v>
      </c>
      <c r="U784" s="56" t="s">
        <v>4049</v>
      </c>
      <c r="V784" s="56" t="s">
        <v>4050</v>
      </c>
      <c r="W784" s="56" t="s">
        <v>4051</v>
      </c>
    </row>
    <row r="785" spans="7:23" x14ac:dyDescent="0.3">
      <c r="G785" s="247"/>
      <c r="H785" s="248"/>
      <c r="I785" s="56" t="s">
        <v>25</v>
      </c>
      <c r="J785" s="56" t="s">
        <v>88</v>
      </c>
      <c r="K785" s="56" t="s">
        <v>285</v>
      </c>
      <c r="L785" s="56">
        <v>47114080.979999997</v>
      </c>
      <c r="M785" s="337">
        <v>0.85661965418181818</v>
      </c>
      <c r="N785" s="56">
        <v>47114080.979999997</v>
      </c>
      <c r="O785" s="337">
        <v>0.85661965418181818</v>
      </c>
      <c r="Q785" s="337"/>
      <c r="S785" s="337"/>
      <c r="T785" s="56">
        <v>47114080.979999997</v>
      </c>
      <c r="U785" s="56" t="s">
        <v>4352</v>
      </c>
      <c r="V785" s="56" t="s">
        <v>4353</v>
      </c>
      <c r="W785" s="56" t="s">
        <v>4354</v>
      </c>
    </row>
    <row r="786" spans="7:23" x14ac:dyDescent="0.3">
      <c r="G786" s="247"/>
      <c r="H786" s="248"/>
      <c r="I786" s="56" t="s">
        <v>25</v>
      </c>
      <c r="J786" s="56" t="s">
        <v>88</v>
      </c>
      <c r="K786" s="56" t="s">
        <v>285</v>
      </c>
      <c r="L786" s="56">
        <v>3992273.24</v>
      </c>
      <c r="M786" s="337">
        <v>0.99806830999999996</v>
      </c>
      <c r="O786" s="337"/>
      <c r="Q786" s="337"/>
      <c r="S786" s="337"/>
      <c r="T786" s="56">
        <v>3992273.24</v>
      </c>
      <c r="U786" s="56" t="s">
        <v>5766</v>
      </c>
      <c r="V786" s="56" t="s">
        <v>5767</v>
      </c>
      <c r="W786" s="56" t="s">
        <v>5768</v>
      </c>
    </row>
    <row r="787" spans="7:23" x14ac:dyDescent="0.3">
      <c r="G787" s="247"/>
      <c r="H787" s="248"/>
      <c r="I787" s="56" t="s">
        <v>25</v>
      </c>
      <c r="J787" s="56" t="s">
        <v>88</v>
      </c>
      <c r="K787" s="56" t="s">
        <v>285</v>
      </c>
      <c r="L787" s="56">
        <v>1967151.37</v>
      </c>
      <c r="M787" s="337">
        <v>0.39343027400000002</v>
      </c>
      <c r="O787" s="337"/>
      <c r="Q787" s="337"/>
      <c r="S787" s="337"/>
      <c r="T787" s="56">
        <v>1967151.37</v>
      </c>
      <c r="U787" s="56" t="s">
        <v>4123</v>
      </c>
      <c r="V787" s="56" t="s">
        <v>4137</v>
      </c>
      <c r="W787" s="56" t="s">
        <v>4138</v>
      </c>
    </row>
    <row r="788" spans="7:23" x14ac:dyDescent="0.3">
      <c r="G788" s="247"/>
      <c r="H788" s="248"/>
      <c r="I788" s="56" t="s">
        <v>25</v>
      </c>
      <c r="J788" s="56" t="s">
        <v>88</v>
      </c>
      <c r="K788" s="56" t="s">
        <v>285</v>
      </c>
      <c r="M788" s="337"/>
      <c r="O788" s="337"/>
      <c r="Q788" s="337"/>
      <c r="S788" s="337"/>
      <c r="T788" s="56">
        <v>6534134.79</v>
      </c>
      <c r="U788" s="56" t="s">
        <v>4270</v>
      </c>
      <c r="V788" s="56" t="s">
        <v>4272</v>
      </c>
      <c r="W788" s="56" t="s">
        <v>4273</v>
      </c>
    </row>
    <row r="789" spans="7:23" x14ac:dyDescent="0.3">
      <c r="G789" s="247"/>
      <c r="H789" s="248"/>
      <c r="I789" s="56" t="s">
        <v>25</v>
      </c>
      <c r="J789" s="56" t="s">
        <v>88</v>
      </c>
      <c r="K789" s="56" t="s">
        <v>285</v>
      </c>
      <c r="M789" s="337"/>
      <c r="O789" s="337"/>
      <c r="Q789" s="337"/>
      <c r="S789" s="337"/>
      <c r="T789" s="56">
        <v>283914.53999999998</v>
      </c>
      <c r="U789" s="56" t="s">
        <v>4565</v>
      </c>
      <c r="V789" s="56" t="s">
        <v>4568</v>
      </c>
      <c r="W789" s="56" t="s">
        <v>4569</v>
      </c>
    </row>
    <row r="790" spans="7:23" x14ac:dyDescent="0.3">
      <c r="G790" s="247"/>
      <c r="H790" s="248"/>
      <c r="I790" s="56" t="s">
        <v>25</v>
      </c>
      <c r="J790" s="56" t="s">
        <v>88</v>
      </c>
      <c r="K790" s="56" t="s">
        <v>285</v>
      </c>
      <c r="M790" s="337"/>
      <c r="O790" s="337"/>
      <c r="Q790" s="337"/>
      <c r="S790" s="337"/>
      <c r="T790" s="56">
        <v>1500000</v>
      </c>
      <c r="U790" s="56" t="s">
        <v>4565</v>
      </c>
      <c r="V790" s="56" t="s">
        <v>4568</v>
      </c>
      <c r="W790" s="56" t="s">
        <v>4569</v>
      </c>
    </row>
    <row r="791" spans="7:23" x14ac:dyDescent="0.3">
      <c r="G791" s="247"/>
      <c r="H791" s="248"/>
      <c r="I791" s="56" t="s">
        <v>25</v>
      </c>
      <c r="J791" s="56" t="s">
        <v>88</v>
      </c>
      <c r="K791" s="56" t="s">
        <v>285</v>
      </c>
      <c r="M791" s="337"/>
      <c r="O791" s="337"/>
      <c r="Q791" s="337"/>
      <c r="S791" s="337"/>
      <c r="T791" s="56">
        <v>580324.06000000006</v>
      </c>
      <c r="U791" s="56" t="s">
        <v>4486</v>
      </c>
      <c r="V791" s="56" t="s">
        <v>4487</v>
      </c>
      <c r="W791" s="56" t="s">
        <v>4488</v>
      </c>
    </row>
    <row r="792" spans="7:23" x14ac:dyDescent="0.3">
      <c r="G792" s="247"/>
      <c r="H792" s="248"/>
      <c r="I792" s="56" t="s">
        <v>25</v>
      </c>
      <c r="J792" s="56" t="s">
        <v>88</v>
      </c>
      <c r="K792" s="56" t="s">
        <v>285</v>
      </c>
      <c r="L792" s="56">
        <v>3877380.33</v>
      </c>
      <c r="M792" s="337">
        <v>0.64623005499999997</v>
      </c>
      <c r="N792" s="56">
        <v>3877380.33</v>
      </c>
      <c r="O792" s="337">
        <v>0.64623005499999997</v>
      </c>
      <c r="Q792" s="337"/>
      <c r="S792" s="337"/>
      <c r="T792" s="56">
        <v>3877380.33</v>
      </c>
      <c r="U792" s="56" t="s">
        <v>4524</v>
      </c>
      <c r="V792" s="56" t="s">
        <v>4525</v>
      </c>
      <c r="W792" s="56" t="s">
        <v>4526</v>
      </c>
    </row>
    <row r="793" spans="7:23" x14ac:dyDescent="0.3">
      <c r="G793" s="247"/>
      <c r="H793" s="248"/>
      <c r="I793" s="56" t="s">
        <v>25</v>
      </c>
      <c r="J793" s="56" t="s">
        <v>88</v>
      </c>
      <c r="K793" s="56" t="s">
        <v>285</v>
      </c>
      <c r="M793" s="337"/>
      <c r="O793" s="337"/>
      <c r="Q793" s="337"/>
      <c r="S793" s="337"/>
      <c r="T793" s="56">
        <v>14625325.84</v>
      </c>
      <c r="U793" s="56" t="s">
        <v>4647</v>
      </c>
      <c r="V793" s="56" t="s">
        <v>4657</v>
      </c>
      <c r="W793" s="56" t="s">
        <v>4658</v>
      </c>
    </row>
    <row r="794" spans="7:23" x14ac:dyDescent="0.3">
      <c r="G794" s="247"/>
      <c r="H794" s="248"/>
      <c r="I794" s="56" t="s">
        <v>25</v>
      </c>
      <c r="J794" s="56" t="s">
        <v>88</v>
      </c>
      <c r="K794" s="56" t="s">
        <v>285</v>
      </c>
      <c r="L794" s="56">
        <v>2179526.98</v>
      </c>
      <c r="M794" s="337">
        <v>0.435905396</v>
      </c>
      <c r="O794" s="337"/>
      <c r="Q794" s="337"/>
      <c r="S794" s="337"/>
      <c r="T794" s="56">
        <v>2179526.98</v>
      </c>
      <c r="U794" s="56" t="s">
        <v>4831</v>
      </c>
      <c r="V794" s="56" t="s">
        <v>4837</v>
      </c>
      <c r="W794" s="56" t="s">
        <v>4838</v>
      </c>
    </row>
    <row r="795" spans="7:23" x14ac:dyDescent="0.3">
      <c r="G795" s="247"/>
      <c r="H795" s="248"/>
      <c r="I795" s="56" t="s">
        <v>25</v>
      </c>
      <c r="J795" s="56" t="s">
        <v>88</v>
      </c>
      <c r="K795" s="56" t="s">
        <v>285</v>
      </c>
      <c r="L795" s="56">
        <v>199880.89</v>
      </c>
      <c r="M795" s="337">
        <v>0.19988089000000001</v>
      </c>
      <c r="N795" s="56">
        <v>199880.89</v>
      </c>
      <c r="O795" s="337">
        <v>0.19988089000000001</v>
      </c>
      <c r="Q795" s="337"/>
      <c r="S795" s="337"/>
      <c r="T795" s="56">
        <v>199880.89</v>
      </c>
      <c r="U795" s="56" t="s">
        <v>4694</v>
      </c>
      <c r="V795" s="56" t="s">
        <v>4699</v>
      </c>
      <c r="W795" s="56" t="s">
        <v>4700</v>
      </c>
    </row>
    <row r="796" spans="7:23" x14ac:dyDescent="0.3">
      <c r="G796" s="247"/>
      <c r="H796" s="248"/>
      <c r="I796" s="56" t="s">
        <v>25</v>
      </c>
      <c r="J796" s="56" t="s">
        <v>88</v>
      </c>
      <c r="K796" s="56" t="s">
        <v>285</v>
      </c>
      <c r="M796" s="337"/>
      <c r="O796" s="337"/>
      <c r="Q796" s="337"/>
      <c r="S796" s="337"/>
      <c r="T796" s="56">
        <v>4667239.1399999997</v>
      </c>
      <c r="U796" s="56" t="s">
        <v>4691</v>
      </c>
      <c r="V796" s="56" t="s">
        <v>4697</v>
      </c>
      <c r="W796" s="56" t="s">
        <v>4698</v>
      </c>
    </row>
    <row r="797" spans="7:23" x14ac:dyDescent="0.3">
      <c r="G797" s="247"/>
      <c r="H797" s="248"/>
      <c r="I797" s="56" t="s">
        <v>25</v>
      </c>
      <c r="J797" s="56" t="s">
        <v>88</v>
      </c>
      <c r="K797" s="56" t="s">
        <v>285</v>
      </c>
      <c r="L797" s="56">
        <v>3500000</v>
      </c>
      <c r="M797" s="337">
        <v>1</v>
      </c>
      <c r="O797" s="337"/>
      <c r="Q797" s="337"/>
      <c r="S797" s="337"/>
      <c r="T797" s="56">
        <v>3500000</v>
      </c>
      <c r="U797" s="56" t="s">
        <v>4687</v>
      </c>
      <c r="V797" s="56" t="s">
        <v>4688</v>
      </c>
      <c r="W797" s="56" t="s">
        <v>4689</v>
      </c>
    </row>
    <row r="798" spans="7:23" x14ac:dyDescent="0.3">
      <c r="G798" s="247"/>
      <c r="H798" s="248"/>
      <c r="I798" s="56" t="s">
        <v>25</v>
      </c>
      <c r="J798" s="56" t="s">
        <v>88</v>
      </c>
      <c r="K798" s="56" t="s">
        <v>285</v>
      </c>
      <c r="L798" s="56">
        <v>1900391.41</v>
      </c>
      <c r="M798" s="337">
        <v>0.95019570500000006</v>
      </c>
      <c r="O798" s="337"/>
      <c r="Q798" s="337"/>
      <c r="S798" s="337"/>
      <c r="T798" s="56">
        <v>1900391.41</v>
      </c>
      <c r="U798" s="56" t="s">
        <v>4761</v>
      </c>
      <c r="V798" s="56" t="s">
        <v>4763</v>
      </c>
      <c r="W798" s="56" t="s">
        <v>4764</v>
      </c>
    </row>
    <row r="799" spans="7:23" x14ac:dyDescent="0.3">
      <c r="G799" s="247"/>
      <c r="H799" s="248"/>
      <c r="I799" s="56" t="s">
        <v>25</v>
      </c>
      <c r="J799" s="56" t="s">
        <v>88</v>
      </c>
      <c r="K799" s="56" t="s">
        <v>285</v>
      </c>
      <c r="M799" s="337"/>
      <c r="O799" s="337"/>
      <c r="Q799" s="337"/>
      <c r="S799" s="337"/>
      <c r="T799" s="56">
        <v>7093099.29</v>
      </c>
      <c r="U799" s="56" t="s">
        <v>5026</v>
      </c>
      <c r="V799" s="56" t="s">
        <v>5029</v>
      </c>
      <c r="W799" s="56" t="s">
        <v>5030</v>
      </c>
    </row>
    <row r="800" spans="7:23" x14ac:dyDescent="0.3">
      <c r="G800" s="247"/>
      <c r="H800" s="248"/>
      <c r="I800" s="56" t="s">
        <v>25</v>
      </c>
      <c r="J800" s="56" t="s">
        <v>88</v>
      </c>
      <c r="K800" s="56" t="s">
        <v>285</v>
      </c>
      <c r="L800" s="56">
        <v>25509805.93</v>
      </c>
      <c r="M800" s="337">
        <v>0.85032686433333338</v>
      </c>
      <c r="N800" s="56">
        <v>25509805.93</v>
      </c>
      <c r="O800" s="337">
        <v>0.85032686433333338</v>
      </c>
      <c r="Q800" s="337"/>
      <c r="S800" s="337"/>
      <c r="T800" s="56">
        <v>25509805.93</v>
      </c>
      <c r="U800" s="56" t="s">
        <v>5125</v>
      </c>
      <c r="V800" s="56" t="s">
        <v>5132</v>
      </c>
      <c r="W800" s="56" t="s">
        <v>5133</v>
      </c>
    </row>
    <row r="801" spans="7:23" x14ac:dyDescent="0.3">
      <c r="G801" s="247"/>
      <c r="H801" s="248"/>
      <c r="I801" s="56" t="s">
        <v>25</v>
      </c>
      <c r="J801" s="56" t="s">
        <v>88</v>
      </c>
      <c r="K801" s="56" t="s">
        <v>285</v>
      </c>
      <c r="M801" s="337"/>
      <c r="O801" s="337"/>
      <c r="Q801" s="337"/>
      <c r="S801" s="337"/>
      <c r="T801" s="56">
        <v>2789991.93</v>
      </c>
      <c r="U801" s="56" t="s">
        <v>5141</v>
      </c>
      <c r="V801" s="56" t="s">
        <v>5146</v>
      </c>
      <c r="W801" s="56" t="s">
        <v>5147</v>
      </c>
    </row>
    <row r="802" spans="7:23" x14ac:dyDescent="0.3">
      <c r="G802" s="247"/>
      <c r="H802" s="248"/>
      <c r="I802" s="56" t="s">
        <v>25</v>
      </c>
      <c r="J802" s="56" t="s">
        <v>88</v>
      </c>
      <c r="K802" s="56" t="s">
        <v>285</v>
      </c>
      <c r="L802" s="56">
        <v>5579983.8499999996</v>
      </c>
      <c r="M802" s="337">
        <v>0.79714054999999995</v>
      </c>
      <c r="O802" s="337"/>
      <c r="Q802" s="337"/>
      <c r="S802" s="337"/>
      <c r="T802" s="56">
        <v>5579983.8499999996</v>
      </c>
      <c r="U802" s="56" t="s">
        <v>5042</v>
      </c>
      <c r="V802" s="56" t="s">
        <v>5044</v>
      </c>
      <c r="W802" s="56" t="s">
        <v>5045</v>
      </c>
    </row>
    <row r="803" spans="7:23" x14ac:dyDescent="0.3">
      <c r="G803" s="247"/>
      <c r="H803" s="248"/>
      <c r="I803" s="56" t="s">
        <v>25</v>
      </c>
      <c r="J803" s="56" t="s">
        <v>88</v>
      </c>
      <c r="K803" s="56" t="s">
        <v>285</v>
      </c>
      <c r="M803" s="337"/>
      <c r="O803" s="337"/>
      <c r="Q803" s="337"/>
      <c r="S803" s="337"/>
      <c r="T803" s="56">
        <v>4473194.5199999996</v>
      </c>
      <c r="U803" s="56" t="s">
        <v>5110</v>
      </c>
      <c r="V803" s="56" t="s">
        <v>5111</v>
      </c>
      <c r="W803" s="56" t="s">
        <v>5112</v>
      </c>
    </row>
    <row r="804" spans="7:23" x14ac:dyDescent="0.3">
      <c r="G804" s="247"/>
      <c r="H804" s="248"/>
      <c r="I804" s="56" t="s">
        <v>25</v>
      </c>
      <c r="J804" s="56" t="s">
        <v>88</v>
      </c>
      <c r="K804" s="56" t="s">
        <v>285</v>
      </c>
      <c r="L804" s="56">
        <v>1010568.19</v>
      </c>
      <c r="M804" s="337">
        <v>0.67371212666666658</v>
      </c>
      <c r="O804" s="337"/>
      <c r="Q804" s="337"/>
      <c r="S804" s="337"/>
      <c r="T804" s="56">
        <v>1010568.19</v>
      </c>
      <c r="U804" s="56" t="s">
        <v>5123</v>
      </c>
      <c r="V804" s="56" t="s">
        <v>5128</v>
      </c>
      <c r="W804" s="56" t="s">
        <v>5129</v>
      </c>
    </row>
    <row r="805" spans="7:23" x14ac:dyDescent="0.3">
      <c r="G805" s="247"/>
      <c r="H805" s="248"/>
      <c r="I805" s="56" t="s">
        <v>25</v>
      </c>
      <c r="J805" s="56" t="s">
        <v>88</v>
      </c>
      <c r="K805" s="56" t="s">
        <v>285</v>
      </c>
      <c r="M805" s="337"/>
      <c r="O805" s="337"/>
      <c r="Q805" s="337"/>
      <c r="S805" s="337"/>
      <c r="T805" s="56">
        <v>7193840.4400000004</v>
      </c>
      <c r="U805" s="56" t="s">
        <v>5052</v>
      </c>
      <c r="V805" s="56" t="s">
        <v>5057</v>
      </c>
      <c r="W805" s="56" t="s">
        <v>5058</v>
      </c>
    </row>
    <row r="806" spans="7:23" x14ac:dyDescent="0.3">
      <c r="G806" s="247"/>
      <c r="H806" s="248"/>
      <c r="I806" s="56" t="s">
        <v>25</v>
      </c>
      <c r="J806" s="56" t="s">
        <v>88</v>
      </c>
      <c r="K806" s="56" t="s">
        <v>285</v>
      </c>
      <c r="M806" s="337"/>
      <c r="O806" s="337"/>
      <c r="Q806" s="337"/>
      <c r="S806" s="337"/>
      <c r="T806" s="56">
        <v>2771686.67</v>
      </c>
      <c r="U806" s="56" t="s">
        <v>5608</v>
      </c>
      <c r="V806" s="56" t="s">
        <v>5615</v>
      </c>
      <c r="W806" s="56" t="s">
        <v>5616</v>
      </c>
    </row>
    <row r="807" spans="7:23" x14ac:dyDescent="0.3">
      <c r="G807" s="247"/>
      <c r="H807" s="248"/>
      <c r="I807" s="56" t="s">
        <v>25</v>
      </c>
      <c r="J807" s="56" t="s">
        <v>88</v>
      </c>
      <c r="K807" s="56" t="s">
        <v>285</v>
      </c>
      <c r="M807" s="337"/>
      <c r="O807" s="337"/>
      <c r="Q807" s="337"/>
      <c r="S807" s="337"/>
      <c r="T807" s="56">
        <v>3188562.22</v>
      </c>
      <c r="U807" s="56" t="s">
        <v>5209</v>
      </c>
      <c r="V807" s="56" t="s">
        <v>5212</v>
      </c>
      <c r="W807" s="56" t="s">
        <v>5213</v>
      </c>
    </row>
    <row r="808" spans="7:23" x14ac:dyDescent="0.3">
      <c r="G808" s="247"/>
      <c r="H808" s="248"/>
      <c r="I808" s="56" t="s">
        <v>25</v>
      </c>
      <c r="J808" s="56" t="s">
        <v>88</v>
      </c>
      <c r="K808" s="56" t="s">
        <v>285</v>
      </c>
      <c r="M808" s="337"/>
      <c r="O808" s="337"/>
      <c r="Q808" s="337"/>
      <c r="S808" s="337"/>
      <c r="T808" s="56">
        <v>4177532.16</v>
      </c>
      <c r="U808" s="56" t="s">
        <v>5330</v>
      </c>
      <c r="V808" s="56" t="s">
        <v>5336</v>
      </c>
      <c r="W808" s="56" t="s">
        <v>5337</v>
      </c>
    </row>
    <row r="809" spans="7:23" x14ac:dyDescent="0.3">
      <c r="G809" s="247"/>
      <c r="H809" s="248"/>
      <c r="I809" s="56" t="s">
        <v>25</v>
      </c>
      <c r="J809" s="56" t="s">
        <v>88</v>
      </c>
      <c r="K809" s="56" t="s">
        <v>285</v>
      </c>
      <c r="M809" s="337"/>
      <c r="O809" s="337"/>
      <c r="Q809" s="337"/>
      <c r="S809" s="337"/>
      <c r="T809" s="56">
        <v>11957108.24</v>
      </c>
      <c r="U809" s="56" t="s">
        <v>5191</v>
      </c>
      <c r="V809" s="56" t="s">
        <v>5194</v>
      </c>
      <c r="W809" s="56" t="s">
        <v>5195</v>
      </c>
    </row>
    <row r="810" spans="7:23" x14ac:dyDescent="0.3">
      <c r="G810" s="247"/>
      <c r="H810" s="248"/>
      <c r="I810" s="56" t="s">
        <v>25</v>
      </c>
      <c r="J810" s="56" t="s">
        <v>88</v>
      </c>
      <c r="K810" s="56" t="s">
        <v>285</v>
      </c>
      <c r="M810" s="337"/>
      <c r="O810" s="337"/>
      <c r="Q810" s="337"/>
      <c r="S810" s="337"/>
      <c r="T810" s="56">
        <v>9055047.1199999992</v>
      </c>
      <c r="U810" s="56" t="s">
        <v>5372</v>
      </c>
      <c r="V810" s="56" t="s">
        <v>5379</v>
      </c>
      <c r="W810" s="56" t="s">
        <v>5380</v>
      </c>
    </row>
    <row r="811" spans="7:23" x14ac:dyDescent="0.3">
      <c r="G811" s="247"/>
      <c r="H811" s="248"/>
      <c r="I811" s="56" t="s">
        <v>25</v>
      </c>
      <c r="J811" s="56" t="s">
        <v>88</v>
      </c>
      <c r="K811" s="56" t="s">
        <v>285</v>
      </c>
      <c r="M811" s="337"/>
      <c r="O811" s="337"/>
      <c r="Q811" s="337"/>
      <c r="S811" s="337"/>
      <c r="T811" s="56">
        <v>2345949.7799999998</v>
      </c>
      <c r="U811" s="56" t="s">
        <v>5508</v>
      </c>
      <c r="V811" s="56" t="s">
        <v>5512</v>
      </c>
      <c r="W811" s="56" t="s">
        <v>5513</v>
      </c>
    </row>
    <row r="812" spans="7:23" x14ac:dyDescent="0.3">
      <c r="G812" s="247"/>
      <c r="H812" s="248"/>
      <c r="I812" s="56" t="s">
        <v>25</v>
      </c>
      <c r="J812" s="56" t="s">
        <v>88</v>
      </c>
      <c r="K812" s="56" t="s">
        <v>285</v>
      </c>
      <c r="M812" s="337"/>
      <c r="O812" s="337"/>
      <c r="Q812" s="337"/>
      <c r="S812" s="337"/>
      <c r="T812" s="56">
        <v>4311644.3</v>
      </c>
      <c r="U812" s="56" t="s">
        <v>5306</v>
      </c>
      <c r="V812" s="56" t="s">
        <v>5314</v>
      </c>
      <c r="W812" s="56" t="s">
        <v>5315</v>
      </c>
    </row>
    <row r="813" spans="7:23" x14ac:dyDescent="0.3">
      <c r="G813" s="247"/>
      <c r="H813" s="248"/>
      <c r="I813" s="56" t="s">
        <v>25</v>
      </c>
      <c r="J813" s="56" t="s">
        <v>88</v>
      </c>
      <c r="K813" s="56" t="s">
        <v>285</v>
      </c>
      <c r="M813" s="337"/>
      <c r="O813" s="337"/>
      <c r="Q813" s="337"/>
      <c r="S813" s="337"/>
      <c r="T813" s="56">
        <v>1996688.56</v>
      </c>
      <c r="U813" s="56" t="s">
        <v>5164</v>
      </c>
      <c r="V813" s="56" t="s">
        <v>5168</v>
      </c>
      <c r="W813" s="56" t="s">
        <v>5169</v>
      </c>
    </row>
    <row r="814" spans="7:23" x14ac:dyDescent="0.3">
      <c r="G814" s="247"/>
      <c r="H814" s="248"/>
      <c r="I814" s="56" t="s">
        <v>25</v>
      </c>
      <c r="J814" s="56" t="s">
        <v>88</v>
      </c>
      <c r="K814" s="56" t="s">
        <v>285</v>
      </c>
      <c r="M814" s="337"/>
      <c r="O814" s="337"/>
      <c r="Q814" s="337"/>
      <c r="S814" s="337"/>
      <c r="T814" s="56">
        <v>13132265.720000001</v>
      </c>
      <c r="U814" s="56" t="s">
        <v>5673</v>
      </c>
      <c r="V814" s="56" t="s">
        <v>5676</v>
      </c>
      <c r="W814" s="56" t="s">
        <v>5677</v>
      </c>
    </row>
    <row r="815" spans="7:23" x14ac:dyDescent="0.3">
      <c r="G815" s="247"/>
      <c r="H815" s="248"/>
      <c r="I815" s="56" t="s">
        <v>25</v>
      </c>
      <c r="J815" s="56" t="s">
        <v>88</v>
      </c>
      <c r="K815" s="56" t="s">
        <v>285</v>
      </c>
      <c r="M815" s="337"/>
      <c r="O815" s="337"/>
      <c r="Q815" s="337"/>
      <c r="S815" s="337"/>
      <c r="T815" s="56">
        <v>2391421.63</v>
      </c>
      <c r="U815" s="56" t="s">
        <v>5211</v>
      </c>
      <c r="V815" s="56" t="s">
        <v>5215</v>
      </c>
      <c r="W815" s="56" t="s">
        <v>5216</v>
      </c>
    </row>
    <row r="816" spans="7:23" x14ac:dyDescent="0.3">
      <c r="G816" s="247"/>
      <c r="H816" s="248"/>
      <c r="I816" s="56" t="s">
        <v>25</v>
      </c>
      <c r="J816" s="56" t="s">
        <v>88</v>
      </c>
      <c r="K816" s="56" t="s">
        <v>285</v>
      </c>
      <c r="L816" s="56">
        <v>2169394.11</v>
      </c>
      <c r="M816" s="337">
        <v>0.86775764399999999</v>
      </c>
      <c r="O816" s="337"/>
      <c r="Q816" s="337"/>
      <c r="S816" s="337"/>
      <c r="T816" s="56">
        <v>2169394.11</v>
      </c>
      <c r="U816" s="56" t="s">
        <v>5283</v>
      </c>
      <c r="V816" s="56" t="s">
        <v>5286</v>
      </c>
      <c r="W816" s="56" t="s">
        <v>5287</v>
      </c>
    </row>
    <row r="817" spans="7:23" x14ac:dyDescent="0.3">
      <c r="G817" s="247"/>
      <c r="H817" s="248"/>
      <c r="I817" s="56" t="s">
        <v>25</v>
      </c>
      <c r="J817" s="56" t="s">
        <v>88</v>
      </c>
      <c r="K817" s="56" t="s">
        <v>285</v>
      </c>
      <c r="M817" s="337"/>
      <c r="O817" s="337"/>
      <c r="Q817" s="337"/>
      <c r="S817" s="337"/>
      <c r="T817" s="56">
        <v>1996688.56</v>
      </c>
      <c r="U817" s="56" t="s">
        <v>5252</v>
      </c>
      <c r="V817" s="56" t="s">
        <v>5258</v>
      </c>
      <c r="W817" s="56" t="s">
        <v>5259</v>
      </c>
    </row>
    <row r="818" spans="7:23" x14ac:dyDescent="0.3">
      <c r="G818" s="247"/>
      <c r="H818" s="248"/>
      <c r="I818" s="56" t="s">
        <v>25</v>
      </c>
      <c r="J818" s="56" t="s">
        <v>88</v>
      </c>
      <c r="K818" s="56" t="s">
        <v>285</v>
      </c>
      <c r="L818" s="56">
        <v>5692511.4699999997</v>
      </c>
      <c r="M818" s="337">
        <v>0.94875191166666661</v>
      </c>
      <c r="N818" s="56">
        <v>5692511.4699999997</v>
      </c>
      <c r="O818" s="337">
        <v>0.94875191166666661</v>
      </c>
      <c r="Q818" s="337"/>
      <c r="S818" s="337"/>
      <c r="T818" s="56">
        <v>5692511.4699999997</v>
      </c>
      <c r="U818" s="56" t="s">
        <v>5332</v>
      </c>
      <c r="V818" s="56" t="s">
        <v>5339</v>
      </c>
      <c r="W818" s="56" t="s">
        <v>5340</v>
      </c>
    </row>
    <row r="819" spans="7:23" x14ac:dyDescent="0.3">
      <c r="G819" s="247"/>
      <c r="H819" s="248"/>
      <c r="I819" s="56" t="s">
        <v>25</v>
      </c>
      <c r="J819" s="56" t="s">
        <v>88</v>
      </c>
      <c r="K819" s="56" t="s">
        <v>285</v>
      </c>
      <c r="M819" s="337"/>
      <c r="O819" s="337"/>
      <c r="Q819" s="337"/>
      <c r="S819" s="337"/>
      <c r="T819" s="56">
        <v>4351244.07</v>
      </c>
      <c r="U819" s="56" t="s">
        <v>5353</v>
      </c>
      <c r="V819" s="56" t="s">
        <v>5356</v>
      </c>
      <c r="W819" s="56" t="s">
        <v>5357</v>
      </c>
    </row>
    <row r="820" spans="7:23" x14ac:dyDescent="0.3">
      <c r="G820" s="247"/>
      <c r="H820" s="248"/>
      <c r="I820" s="56" t="s">
        <v>25</v>
      </c>
      <c r="J820" s="56" t="s">
        <v>88</v>
      </c>
      <c r="K820" s="56" t="s">
        <v>285</v>
      </c>
      <c r="M820" s="337"/>
      <c r="O820" s="337"/>
      <c r="Q820" s="337"/>
      <c r="S820" s="337"/>
      <c r="T820" s="56">
        <v>8312576.0700000003</v>
      </c>
      <c r="U820" s="56" t="s">
        <v>5293</v>
      </c>
      <c r="V820" s="56" t="s">
        <v>5296</v>
      </c>
      <c r="W820" s="56" t="s">
        <v>5297</v>
      </c>
    </row>
    <row r="821" spans="7:23" x14ac:dyDescent="0.3">
      <c r="G821" s="247"/>
      <c r="H821" s="248"/>
      <c r="I821" s="56" t="s">
        <v>25</v>
      </c>
      <c r="J821" s="56" t="s">
        <v>88</v>
      </c>
      <c r="K821" s="56" t="s">
        <v>285</v>
      </c>
      <c r="M821" s="337"/>
      <c r="O821" s="337"/>
      <c r="Q821" s="337"/>
      <c r="S821" s="337"/>
      <c r="T821" s="56">
        <v>838246.64</v>
      </c>
      <c r="U821" s="56" t="s">
        <v>5331</v>
      </c>
      <c r="V821" s="56" t="s">
        <v>5342</v>
      </c>
      <c r="W821" s="56" t="s">
        <v>5343</v>
      </c>
    </row>
    <row r="822" spans="7:23" x14ac:dyDescent="0.3">
      <c r="G822" s="247"/>
      <c r="H822" s="248"/>
      <c r="I822" s="56" t="s">
        <v>25</v>
      </c>
      <c r="J822" s="56" t="s">
        <v>88</v>
      </c>
      <c r="K822" s="56" t="s">
        <v>285</v>
      </c>
      <c r="M822" s="337"/>
      <c r="O822" s="337"/>
      <c r="Q822" s="337"/>
      <c r="S822" s="337"/>
      <c r="T822" s="56">
        <v>4684646.0199999996</v>
      </c>
      <c r="U822" s="56" t="s">
        <v>5367</v>
      </c>
      <c r="V822" s="56" t="s">
        <v>5368</v>
      </c>
      <c r="W822" s="56" t="s">
        <v>5369</v>
      </c>
    </row>
    <row r="823" spans="7:23" x14ac:dyDescent="0.3">
      <c r="G823" s="247"/>
      <c r="H823" s="248"/>
      <c r="I823" s="56" t="s">
        <v>25</v>
      </c>
      <c r="J823" s="56" t="s">
        <v>88</v>
      </c>
      <c r="K823" s="56" t="s">
        <v>285</v>
      </c>
      <c r="M823" s="337"/>
      <c r="O823" s="337"/>
      <c r="Q823" s="337"/>
      <c r="S823" s="337"/>
      <c r="T823" s="56">
        <v>18950683.91</v>
      </c>
      <c r="U823" s="56" t="s">
        <v>5830</v>
      </c>
      <c r="V823" s="56" t="s">
        <v>5837</v>
      </c>
      <c r="W823" s="56" t="s">
        <v>5838</v>
      </c>
    </row>
    <row r="824" spans="7:23" x14ac:dyDescent="0.3">
      <c r="G824" s="247"/>
      <c r="H824" s="248"/>
      <c r="I824" s="56" t="s">
        <v>25</v>
      </c>
      <c r="J824" s="56" t="s">
        <v>88</v>
      </c>
      <c r="K824" s="56" t="s">
        <v>285</v>
      </c>
      <c r="M824" s="337"/>
      <c r="O824" s="337"/>
      <c r="Q824" s="337"/>
      <c r="S824" s="337"/>
      <c r="T824" s="56">
        <v>14111470.060000001</v>
      </c>
      <c r="U824" s="56" t="s">
        <v>5388</v>
      </c>
      <c r="V824" s="56" t="s">
        <v>5392</v>
      </c>
      <c r="W824" s="56" t="s">
        <v>5393</v>
      </c>
    </row>
    <row r="825" spans="7:23" x14ac:dyDescent="0.3">
      <c r="G825" s="247"/>
      <c r="H825" s="248"/>
      <c r="I825" s="56" t="s">
        <v>25</v>
      </c>
      <c r="J825" s="56" t="s">
        <v>88</v>
      </c>
      <c r="K825" s="56" t="s">
        <v>285</v>
      </c>
      <c r="M825" s="337"/>
      <c r="O825" s="337"/>
      <c r="Q825" s="337"/>
      <c r="S825" s="337"/>
      <c r="T825" s="56">
        <v>4173884.19</v>
      </c>
      <c r="U825" s="56" t="s">
        <v>5373</v>
      </c>
      <c r="V825" s="56" t="s">
        <v>5376</v>
      </c>
      <c r="W825" s="56" t="s">
        <v>5377</v>
      </c>
    </row>
    <row r="826" spans="7:23" x14ac:dyDescent="0.3">
      <c r="G826" s="247"/>
      <c r="H826" s="248"/>
      <c r="I826" s="56" t="s">
        <v>25</v>
      </c>
      <c r="J826" s="56" t="s">
        <v>88</v>
      </c>
      <c r="K826" s="56" t="s">
        <v>285</v>
      </c>
      <c r="M826" s="337"/>
      <c r="O826" s="337"/>
      <c r="Q826" s="337"/>
      <c r="S826" s="337"/>
      <c r="T826" s="56">
        <v>926532.75</v>
      </c>
      <c r="U826" s="56" t="s">
        <v>5579</v>
      </c>
      <c r="V826" s="56" t="s">
        <v>5583</v>
      </c>
      <c r="W826" s="56" t="s">
        <v>5584</v>
      </c>
    </row>
    <row r="827" spans="7:23" x14ac:dyDescent="0.3">
      <c r="G827" s="247"/>
      <c r="H827" s="248"/>
      <c r="I827" s="56" t="s">
        <v>25</v>
      </c>
      <c r="J827" s="56" t="s">
        <v>88</v>
      </c>
      <c r="K827" s="56" t="s">
        <v>285</v>
      </c>
      <c r="M827" s="337"/>
      <c r="O827" s="337"/>
      <c r="Q827" s="337"/>
      <c r="S827" s="337"/>
      <c r="T827" s="56">
        <v>6650060.8399999999</v>
      </c>
      <c r="U827" s="56" t="s">
        <v>5445</v>
      </c>
      <c r="V827" s="56" t="s">
        <v>5448</v>
      </c>
      <c r="W827" s="56" t="s">
        <v>5449</v>
      </c>
    </row>
    <row r="828" spans="7:23" x14ac:dyDescent="0.3">
      <c r="G828" s="247"/>
      <c r="H828" s="248"/>
      <c r="I828" s="56" t="s">
        <v>25</v>
      </c>
      <c r="J828" s="56" t="s">
        <v>88</v>
      </c>
      <c r="K828" s="56" t="s">
        <v>285</v>
      </c>
      <c r="M828" s="337"/>
      <c r="O828" s="337"/>
      <c r="Q828" s="337"/>
      <c r="S828" s="337"/>
      <c r="T828" s="56">
        <v>5001481.8600000003</v>
      </c>
      <c r="U828" s="56" t="s">
        <v>5432</v>
      </c>
      <c r="V828" s="56" t="s">
        <v>5437</v>
      </c>
      <c r="W828" s="56" t="s">
        <v>5438</v>
      </c>
    </row>
    <row r="829" spans="7:23" x14ac:dyDescent="0.3">
      <c r="G829" s="247"/>
      <c r="H829" s="248"/>
      <c r="I829" s="56" t="s">
        <v>25</v>
      </c>
      <c r="J829" s="56" t="s">
        <v>88</v>
      </c>
      <c r="K829" s="56" t="s">
        <v>285</v>
      </c>
      <c r="M829" s="337"/>
      <c r="O829" s="337"/>
      <c r="Q829" s="337"/>
      <c r="S829" s="337"/>
      <c r="T829" s="56">
        <v>2083950.78</v>
      </c>
      <c r="U829" s="56" t="s">
        <v>5431</v>
      </c>
      <c r="V829" s="56" t="s">
        <v>5434</v>
      </c>
      <c r="W829" s="56" t="s">
        <v>5435</v>
      </c>
    </row>
    <row r="830" spans="7:23" x14ac:dyDescent="0.3">
      <c r="G830" s="247"/>
      <c r="H830" s="248"/>
      <c r="I830" s="56" t="s">
        <v>25</v>
      </c>
      <c r="J830" s="56" t="s">
        <v>88</v>
      </c>
      <c r="K830" s="56" t="s">
        <v>285</v>
      </c>
      <c r="M830" s="337"/>
      <c r="O830" s="337"/>
      <c r="Q830" s="337"/>
      <c r="S830" s="337"/>
      <c r="T830" s="56">
        <v>4338788.2300000004</v>
      </c>
      <c r="U830" s="56" t="s">
        <v>5490</v>
      </c>
      <c r="V830" s="56" t="s">
        <v>5492</v>
      </c>
      <c r="W830" s="56" t="s">
        <v>5493</v>
      </c>
    </row>
    <row r="831" spans="7:23" x14ac:dyDescent="0.3">
      <c r="G831" s="247"/>
      <c r="H831" s="248"/>
      <c r="I831" s="56" t="s">
        <v>25</v>
      </c>
      <c r="J831" s="56" t="s">
        <v>88</v>
      </c>
      <c r="K831" s="56" t="s">
        <v>285</v>
      </c>
      <c r="M831" s="337"/>
      <c r="O831" s="337"/>
      <c r="Q831" s="337"/>
      <c r="S831" s="337"/>
      <c r="T831" s="56">
        <v>3700856.61</v>
      </c>
      <c r="U831" s="56" t="s">
        <v>5595</v>
      </c>
      <c r="V831" s="56" t="s">
        <v>5597</v>
      </c>
      <c r="W831" s="56" t="s">
        <v>5598</v>
      </c>
    </row>
    <row r="832" spans="7:23" x14ac:dyDescent="0.3">
      <c r="G832" s="247"/>
      <c r="H832" s="248"/>
      <c r="I832" s="56" t="s">
        <v>25</v>
      </c>
      <c r="J832" s="56" t="s">
        <v>88</v>
      </c>
      <c r="K832" s="56" t="s">
        <v>285</v>
      </c>
      <c r="M832" s="337"/>
      <c r="O832" s="337"/>
      <c r="Q832" s="337"/>
      <c r="S832" s="337"/>
      <c r="T832" s="56">
        <v>15556204.220000001</v>
      </c>
      <c r="U832" s="56" t="s">
        <v>5474</v>
      </c>
      <c r="V832" s="56" t="s">
        <v>5479</v>
      </c>
      <c r="W832" s="56" t="s">
        <v>5480</v>
      </c>
    </row>
    <row r="833" spans="7:23" x14ac:dyDescent="0.3">
      <c r="G833" s="247"/>
      <c r="H833" s="248"/>
      <c r="I833" s="56" t="s">
        <v>25</v>
      </c>
      <c r="J833" s="56" t="s">
        <v>88</v>
      </c>
      <c r="K833" s="56" t="s">
        <v>285</v>
      </c>
      <c r="M833" s="337"/>
      <c r="O833" s="337"/>
      <c r="Q833" s="337"/>
      <c r="S833" s="337"/>
      <c r="T833" s="56">
        <v>4103637.2</v>
      </c>
      <c r="U833" s="56" t="s">
        <v>5639</v>
      </c>
      <c r="V833" s="56" t="s">
        <v>5648</v>
      </c>
      <c r="W833" s="56" t="s">
        <v>5649</v>
      </c>
    </row>
    <row r="834" spans="7:23" x14ac:dyDescent="0.3">
      <c r="G834" s="247"/>
      <c r="H834" s="248"/>
      <c r="I834" s="56" t="s">
        <v>25</v>
      </c>
      <c r="J834" s="56" t="s">
        <v>88</v>
      </c>
      <c r="K834" s="56" t="s">
        <v>285</v>
      </c>
      <c r="M834" s="337"/>
      <c r="O834" s="337"/>
      <c r="Q834" s="337"/>
      <c r="S834" s="337"/>
      <c r="T834" s="56">
        <v>1658265.06</v>
      </c>
      <c r="U834" s="56" t="s">
        <v>5670</v>
      </c>
      <c r="V834" s="56" t="s">
        <v>5690</v>
      </c>
      <c r="W834" s="56" t="s">
        <v>5691</v>
      </c>
    </row>
    <row r="835" spans="7:23" x14ac:dyDescent="0.3">
      <c r="G835" s="247"/>
      <c r="H835" s="248"/>
      <c r="I835" s="56" t="s">
        <v>25</v>
      </c>
      <c r="J835" s="56" t="s">
        <v>88</v>
      </c>
      <c r="K835" s="56" t="s">
        <v>285</v>
      </c>
      <c r="M835" s="337"/>
      <c r="O835" s="337"/>
      <c r="Q835" s="337"/>
      <c r="S835" s="337"/>
      <c r="T835" s="56">
        <v>3690307.85</v>
      </c>
      <c r="U835" s="56" t="s">
        <v>5637</v>
      </c>
      <c r="V835" s="56" t="s">
        <v>5656</v>
      </c>
      <c r="W835" s="56" t="s">
        <v>5657</v>
      </c>
    </row>
    <row r="836" spans="7:23" x14ac:dyDescent="0.3">
      <c r="G836" s="247"/>
      <c r="H836" s="248"/>
      <c r="I836" s="56" t="s">
        <v>25</v>
      </c>
      <c r="J836" s="56" t="s">
        <v>88</v>
      </c>
      <c r="K836" s="56" t="s">
        <v>285</v>
      </c>
      <c r="M836" s="337"/>
      <c r="O836" s="337"/>
      <c r="Q836" s="337"/>
      <c r="S836" s="337"/>
      <c r="T836" s="56">
        <v>3215174.12</v>
      </c>
      <c r="U836" s="56" t="s">
        <v>5706</v>
      </c>
      <c r="V836" s="56" t="s">
        <v>5707</v>
      </c>
      <c r="W836" s="56" t="s">
        <v>5708</v>
      </c>
    </row>
    <row r="837" spans="7:23" x14ac:dyDescent="0.3">
      <c r="G837" s="247"/>
      <c r="H837" s="248"/>
      <c r="I837" s="56" t="s">
        <v>25</v>
      </c>
      <c r="J837" s="56" t="s">
        <v>88</v>
      </c>
      <c r="K837" s="56" t="s">
        <v>285</v>
      </c>
      <c r="M837" s="337"/>
      <c r="O837" s="337"/>
      <c r="Q837" s="337"/>
      <c r="S837" s="337"/>
      <c r="T837" s="56">
        <v>4703520.75</v>
      </c>
      <c r="U837" s="56" t="s">
        <v>5610</v>
      </c>
      <c r="V837" s="56" t="s">
        <v>5618</v>
      </c>
      <c r="W837" s="56" t="s">
        <v>5619</v>
      </c>
    </row>
    <row r="838" spans="7:23" x14ac:dyDescent="0.3">
      <c r="G838" s="247"/>
      <c r="H838" s="248"/>
      <c r="I838" s="56" t="s">
        <v>25</v>
      </c>
      <c r="J838" s="56" t="s">
        <v>88</v>
      </c>
      <c r="K838" s="56" t="s">
        <v>285</v>
      </c>
      <c r="M838" s="337"/>
      <c r="O838" s="337"/>
      <c r="Q838" s="337"/>
      <c r="S838" s="337"/>
      <c r="T838" s="56">
        <v>3283066.43</v>
      </c>
      <c r="U838" s="56" t="s">
        <v>5671</v>
      </c>
      <c r="V838" s="56" t="s">
        <v>5685</v>
      </c>
      <c r="W838" s="56" t="s">
        <v>5686</v>
      </c>
    </row>
    <row r="839" spans="7:23" x14ac:dyDescent="0.3">
      <c r="G839" s="247"/>
      <c r="H839" s="248"/>
      <c r="I839" s="56" t="s">
        <v>25</v>
      </c>
      <c r="J839" s="56" t="s">
        <v>88</v>
      </c>
      <c r="K839" s="56" t="s">
        <v>285</v>
      </c>
      <c r="M839" s="337"/>
      <c r="O839" s="337"/>
      <c r="Q839" s="337"/>
      <c r="S839" s="337"/>
      <c r="T839" s="56">
        <v>5366963.54</v>
      </c>
      <c r="U839" s="56" t="s">
        <v>5669</v>
      </c>
      <c r="V839" s="56" t="s">
        <v>5688</v>
      </c>
      <c r="W839" s="56" t="s">
        <v>5689</v>
      </c>
    </row>
    <row r="840" spans="7:23" x14ac:dyDescent="0.3">
      <c r="G840" s="247"/>
      <c r="H840" s="248"/>
      <c r="I840" s="56" t="s">
        <v>25</v>
      </c>
      <c r="J840" s="56" t="s">
        <v>88</v>
      </c>
      <c r="K840" s="56" t="s">
        <v>285</v>
      </c>
      <c r="M840" s="337"/>
      <c r="O840" s="337"/>
      <c r="Q840" s="337"/>
      <c r="S840" s="337"/>
      <c r="T840" s="56">
        <v>11201373.93</v>
      </c>
      <c r="U840" s="56" t="s">
        <v>5805</v>
      </c>
      <c r="V840" s="56" t="s">
        <v>5809</v>
      </c>
      <c r="W840" s="56" t="s">
        <v>5810</v>
      </c>
    </row>
    <row r="841" spans="7:23" x14ac:dyDescent="0.3">
      <c r="G841" s="247"/>
      <c r="H841" s="248"/>
      <c r="I841" s="56" t="s">
        <v>25</v>
      </c>
      <c r="J841" s="56" t="s">
        <v>88</v>
      </c>
      <c r="K841" s="56" t="s">
        <v>285</v>
      </c>
      <c r="M841" s="337"/>
      <c r="O841" s="337"/>
      <c r="Q841" s="337"/>
      <c r="S841" s="337"/>
      <c r="T841" s="56">
        <v>5360342.08</v>
      </c>
      <c r="U841" s="56" t="s">
        <v>5747</v>
      </c>
      <c r="V841" s="56" t="s">
        <v>5752</v>
      </c>
      <c r="W841" s="56" t="s">
        <v>5753</v>
      </c>
    </row>
    <row r="842" spans="7:23" x14ac:dyDescent="0.3">
      <c r="G842" s="247"/>
      <c r="H842" s="248"/>
      <c r="I842" s="56" t="s">
        <v>25</v>
      </c>
      <c r="J842" s="56" t="s">
        <v>88</v>
      </c>
      <c r="K842" s="56" t="s">
        <v>285</v>
      </c>
      <c r="M842" s="337"/>
      <c r="O842" s="337"/>
      <c r="Q842" s="337"/>
      <c r="S842" s="337"/>
      <c r="T842" s="56">
        <v>1837242.36</v>
      </c>
      <c r="U842" s="56" t="s">
        <v>5764</v>
      </c>
      <c r="V842" s="56" t="s">
        <v>5772</v>
      </c>
      <c r="W842" s="56" t="s">
        <v>5773</v>
      </c>
    </row>
    <row r="843" spans="7:23" x14ac:dyDescent="0.3">
      <c r="G843" s="247"/>
      <c r="H843" s="248"/>
      <c r="I843" s="56" t="s">
        <v>25</v>
      </c>
      <c r="J843" s="56" t="s">
        <v>88</v>
      </c>
      <c r="K843" s="56" t="s">
        <v>285</v>
      </c>
      <c r="M843" s="337"/>
      <c r="O843" s="337"/>
      <c r="Q843" s="337"/>
      <c r="S843" s="337"/>
      <c r="T843" s="56">
        <v>2680171.04</v>
      </c>
      <c r="U843" s="56" t="s">
        <v>5803</v>
      </c>
      <c r="V843" s="56" t="s">
        <v>5812</v>
      </c>
      <c r="W843" s="56" t="s">
        <v>5813</v>
      </c>
    </row>
    <row r="844" spans="7:23" x14ac:dyDescent="0.3">
      <c r="G844" s="247"/>
      <c r="H844" s="248"/>
      <c r="I844" s="56" t="s">
        <v>25</v>
      </c>
      <c r="J844" s="56" t="s">
        <v>88</v>
      </c>
      <c r="K844" s="56" t="s">
        <v>285</v>
      </c>
      <c r="L844" s="56">
        <v>2500000</v>
      </c>
      <c r="M844" s="337">
        <v>1</v>
      </c>
      <c r="O844" s="337"/>
      <c r="Q844" s="337"/>
      <c r="S844" s="337"/>
      <c r="T844" s="56">
        <v>2500000</v>
      </c>
      <c r="U844" s="56" t="s">
        <v>5890</v>
      </c>
      <c r="V844" s="56" t="s">
        <v>5900</v>
      </c>
      <c r="W844" s="56" t="s">
        <v>5901</v>
      </c>
    </row>
    <row r="845" spans="7:23" x14ac:dyDescent="0.3">
      <c r="G845" s="247"/>
      <c r="H845" s="248"/>
      <c r="I845" s="56" t="s">
        <v>25</v>
      </c>
      <c r="J845" s="56" t="s">
        <v>88</v>
      </c>
      <c r="K845" s="56" t="s">
        <v>285</v>
      </c>
      <c r="M845" s="337"/>
      <c r="O845" s="337"/>
      <c r="Q845" s="337"/>
      <c r="S845" s="337"/>
      <c r="T845" s="56">
        <v>5360342.08</v>
      </c>
      <c r="U845" s="56" t="s">
        <v>5776</v>
      </c>
      <c r="V845" s="56" t="s">
        <v>5784</v>
      </c>
      <c r="W845" s="56" t="s">
        <v>5785</v>
      </c>
    </row>
    <row r="846" spans="7:23" x14ac:dyDescent="0.3">
      <c r="G846" s="247"/>
      <c r="H846" s="248"/>
      <c r="I846" s="56" t="s">
        <v>25</v>
      </c>
      <c r="J846" s="56" t="s">
        <v>88</v>
      </c>
      <c r="K846" s="56" t="s">
        <v>285</v>
      </c>
      <c r="M846" s="337"/>
      <c r="O846" s="337"/>
      <c r="Q846" s="337"/>
      <c r="S846" s="337"/>
      <c r="T846" s="56">
        <v>2806001.43</v>
      </c>
      <c r="U846" s="56" t="s">
        <v>5842</v>
      </c>
      <c r="V846" s="56" t="s">
        <v>5843</v>
      </c>
      <c r="W846" s="56" t="s">
        <v>5844</v>
      </c>
    </row>
    <row r="847" spans="7:23" x14ac:dyDescent="0.3">
      <c r="G847" s="247"/>
      <c r="H847" s="248"/>
      <c r="I847" s="56" t="s">
        <v>25</v>
      </c>
      <c r="J847" s="56" t="s">
        <v>88</v>
      </c>
      <c r="K847" s="56" t="s">
        <v>285</v>
      </c>
      <c r="M847" s="337"/>
      <c r="O847" s="337"/>
      <c r="Q847" s="337"/>
      <c r="S847" s="337"/>
      <c r="T847" s="56">
        <v>6430348.25</v>
      </c>
      <c r="U847" s="56" t="s">
        <v>5804</v>
      </c>
      <c r="V847" s="56" t="s">
        <v>5807</v>
      </c>
      <c r="W847" s="56" t="s">
        <v>5808</v>
      </c>
    </row>
    <row r="848" spans="7:23" x14ac:dyDescent="0.3">
      <c r="G848" s="247"/>
      <c r="H848" s="248"/>
      <c r="I848" s="56" t="s">
        <v>25</v>
      </c>
      <c r="J848" s="56" t="s">
        <v>88</v>
      </c>
      <c r="K848" s="56" t="s">
        <v>285</v>
      </c>
      <c r="M848" s="337"/>
      <c r="O848" s="337"/>
      <c r="Q848" s="337"/>
      <c r="S848" s="337"/>
      <c r="T848" s="56">
        <v>1200000</v>
      </c>
      <c r="U848" s="56" t="s">
        <v>5968</v>
      </c>
      <c r="V848" s="56" t="s">
        <v>5977</v>
      </c>
      <c r="W848" s="56" t="s">
        <v>5978</v>
      </c>
    </row>
    <row r="849" spans="7:23" x14ac:dyDescent="0.3">
      <c r="G849" s="247"/>
      <c r="H849" s="248"/>
      <c r="I849" s="56" t="s">
        <v>25</v>
      </c>
      <c r="J849" s="56" t="s">
        <v>88</v>
      </c>
      <c r="K849" s="56" t="s">
        <v>285</v>
      </c>
      <c r="M849" s="337"/>
      <c r="O849" s="337"/>
      <c r="Q849" s="337"/>
      <c r="S849" s="337"/>
      <c r="T849" s="56">
        <v>3573561.39</v>
      </c>
      <c r="U849" s="56" t="s">
        <v>5847</v>
      </c>
      <c r="V849" s="56" t="s">
        <v>5852</v>
      </c>
      <c r="W849" s="56" t="s">
        <v>5853</v>
      </c>
    </row>
    <row r="850" spans="7:23" x14ac:dyDescent="0.3">
      <c r="G850" s="247"/>
      <c r="H850" s="248"/>
      <c r="I850" s="56" t="s">
        <v>25</v>
      </c>
      <c r="J850" s="56" t="s">
        <v>88</v>
      </c>
      <c r="K850" s="56" t="s">
        <v>285</v>
      </c>
      <c r="M850" s="337"/>
      <c r="O850" s="337"/>
      <c r="Q850" s="337"/>
      <c r="S850" s="337"/>
      <c r="T850" s="56">
        <v>2755863.53</v>
      </c>
      <c r="U850" s="56" t="s">
        <v>5869</v>
      </c>
      <c r="V850" s="56" t="s">
        <v>5873</v>
      </c>
      <c r="W850" s="56" t="s">
        <v>5874</v>
      </c>
    </row>
    <row r="851" spans="7:23" x14ac:dyDescent="0.3">
      <c r="G851" s="247"/>
      <c r="H851" s="248"/>
      <c r="I851" s="56" t="s">
        <v>25</v>
      </c>
      <c r="J851" s="56" t="s">
        <v>88</v>
      </c>
      <c r="K851" s="56" t="s">
        <v>285</v>
      </c>
      <c r="M851" s="337"/>
      <c r="O851" s="337"/>
      <c r="Q851" s="337"/>
      <c r="S851" s="337"/>
      <c r="T851" s="56">
        <v>6071530.0599999996</v>
      </c>
      <c r="U851" s="56" t="s">
        <v>5891</v>
      </c>
      <c r="V851" s="56" t="s">
        <v>5902</v>
      </c>
      <c r="W851" s="56" t="s">
        <v>5903</v>
      </c>
    </row>
    <row r="852" spans="7:23" x14ac:dyDescent="0.3">
      <c r="G852" s="247"/>
      <c r="H852" s="248"/>
      <c r="I852" s="56" t="s">
        <v>25</v>
      </c>
      <c r="J852" s="56" t="s">
        <v>88</v>
      </c>
      <c r="K852" s="56" t="s">
        <v>285</v>
      </c>
      <c r="M852" s="337"/>
      <c r="O852" s="337"/>
      <c r="Q852" s="337"/>
      <c r="S852" s="337"/>
      <c r="T852" s="56">
        <v>6000000</v>
      </c>
      <c r="U852" s="56" t="s">
        <v>5972</v>
      </c>
      <c r="V852" s="56" t="s">
        <v>5975</v>
      </c>
      <c r="W852" s="56" t="s">
        <v>5976</v>
      </c>
    </row>
    <row r="853" spans="7:23" x14ac:dyDescent="0.3">
      <c r="G853" s="247"/>
      <c r="H853" s="248"/>
      <c r="I853" s="56" t="s">
        <v>25</v>
      </c>
      <c r="J853" s="56" t="s">
        <v>88</v>
      </c>
      <c r="K853" s="56" t="s">
        <v>285</v>
      </c>
      <c r="M853" s="337"/>
      <c r="O853" s="337"/>
      <c r="Q853" s="337"/>
      <c r="S853" s="337"/>
      <c r="T853" s="56">
        <v>23778666.73</v>
      </c>
      <c r="U853" s="56" t="s">
        <v>5892</v>
      </c>
      <c r="V853" s="56" t="s">
        <v>5904</v>
      </c>
      <c r="W853" s="56" t="s">
        <v>5905</v>
      </c>
    </row>
    <row r="854" spans="7:23" x14ac:dyDescent="0.3">
      <c r="G854" s="247"/>
      <c r="H854" s="248"/>
      <c r="I854" s="56" t="s">
        <v>25</v>
      </c>
      <c r="J854" s="56" t="s">
        <v>88</v>
      </c>
      <c r="K854" s="56" t="s">
        <v>285</v>
      </c>
      <c r="M854" s="337"/>
      <c r="O854" s="337"/>
      <c r="Q854" s="337"/>
      <c r="S854" s="337"/>
      <c r="T854" s="56">
        <v>11880000</v>
      </c>
      <c r="U854" s="56" t="s">
        <v>5152</v>
      </c>
      <c r="V854" s="56" t="s">
        <v>5155</v>
      </c>
      <c r="W854" s="56" t="s">
        <v>5156</v>
      </c>
    </row>
    <row r="855" spans="7:23" x14ac:dyDescent="0.3">
      <c r="G855" s="247"/>
      <c r="H855" s="248"/>
      <c r="I855" s="56" t="s">
        <v>25</v>
      </c>
      <c r="J855" s="56" t="s">
        <v>88</v>
      </c>
      <c r="K855" s="56" t="s">
        <v>285</v>
      </c>
      <c r="M855" s="337"/>
      <c r="O855" s="337"/>
      <c r="Q855" s="337"/>
      <c r="S855" s="337"/>
      <c r="T855" s="56">
        <v>12995773.16</v>
      </c>
      <c r="U855" s="56" t="s">
        <v>1931</v>
      </c>
      <c r="V855" s="56" t="s">
        <v>1932</v>
      </c>
      <c r="W855" s="56" t="s">
        <v>1933</v>
      </c>
    </row>
    <row r="856" spans="7:23" x14ac:dyDescent="0.3">
      <c r="G856" s="247"/>
      <c r="H856" s="248"/>
      <c r="I856" s="56" t="s">
        <v>25</v>
      </c>
      <c r="J856" s="56" t="s">
        <v>88</v>
      </c>
      <c r="K856" s="56" t="s">
        <v>285</v>
      </c>
      <c r="M856" s="337"/>
      <c r="O856" s="337"/>
      <c r="Q856" s="337"/>
      <c r="S856" s="337"/>
      <c r="T856" s="56">
        <v>8401030.4499999993</v>
      </c>
      <c r="U856" s="56" t="s">
        <v>1953</v>
      </c>
      <c r="V856" s="56" t="s">
        <v>2026</v>
      </c>
      <c r="W856" s="56" t="s">
        <v>2027</v>
      </c>
    </row>
    <row r="857" spans="7:23" x14ac:dyDescent="0.3">
      <c r="G857" s="247"/>
      <c r="H857" s="248"/>
      <c r="I857" s="56" t="s">
        <v>25</v>
      </c>
      <c r="J857" s="56" t="s">
        <v>88</v>
      </c>
      <c r="K857" s="56" t="s">
        <v>285</v>
      </c>
      <c r="M857" s="337"/>
      <c r="O857" s="337"/>
      <c r="Q857" s="337"/>
      <c r="S857" s="337"/>
      <c r="T857" s="56">
        <v>26014715.420000002</v>
      </c>
      <c r="U857" s="56" t="s">
        <v>1999</v>
      </c>
      <c r="V857" s="56" t="s">
        <v>2000</v>
      </c>
      <c r="W857" s="56" t="s">
        <v>2001</v>
      </c>
    </row>
    <row r="858" spans="7:23" x14ac:dyDescent="0.3">
      <c r="G858" s="247"/>
      <c r="H858" s="248"/>
      <c r="I858" s="56" t="s">
        <v>25</v>
      </c>
      <c r="J858" s="56" t="s">
        <v>88</v>
      </c>
      <c r="K858" s="56" t="s">
        <v>285</v>
      </c>
      <c r="M858" s="337"/>
      <c r="O858" s="337"/>
      <c r="Q858" s="337"/>
      <c r="S858" s="337"/>
      <c r="T858" s="56">
        <v>6645099.4500000002</v>
      </c>
      <c r="U858" s="56" t="s">
        <v>2010</v>
      </c>
      <c r="V858" s="56" t="s">
        <v>2011</v>
      </c>
      <c r="W858" s="56" t="s">
        <v>2012</v>
      </c>
    </row>
    <row r="859" spans="7:23" x14ac:dyDescent="0.3">
      <c r="G859" s="247"/>
      <c r="H859" s="248"/>
      <c r="I859" s="56" t="s">
        <v>25</v>
      </c>
      <c r="J859" s="56" t="s">
        <v>88</v>
      </c>
      <c r="K859" s="56" t="s">
        <v>285</v>
      </c>
      <c r="L859" s="56">
        <v>38300691.909999996</v>
      </c>
      <c r="M859" s="337">
        <v>0.76601383820000002</v>
      </c>
      <c r="N859" s="56">
        <v>38300691.909999996</v>
      </c>
      <c r="O859" s="337">
        <v>0.76601383820000002</v>
      </c>
      <c r="P859" s="56">
        <v>38300691.909999996</v>
      </c>
      <c r="Q859" s="337">
        <v>0.76601383820000002</v>
      </c>
      <c r="S859" s="337"/>
      <c r="T859" s="56">
        <v>38300691.909999996</v>
      </c>
      <c r="U859" s="56" t="s">
        <v>2017</v>
      </c>
      <c r="V859" s="56" t="s">
        <v>2018</v>
      </c>
      <c r="W859" s="56" t="s">
        <v>2019</v>
      </c>
    </row>
    <row r="860" spans="7:23" x14ac:dyDescent="0.3">
      <c r="G860" s="247"/>
      <c r="H860" s="248"/>
      <c r="I860" s="56" t="s">
        <v>25</v>
      </c>
      <c r="J860" s="56" t="s">
        <v>88</v>
      </c>
      <c r="K860" s="56" t="s">
        <v>285</v>
      </c>
      <c r="M860" s="337"/>
      <c r="O860" s="337"/>
      <c r="Q860" s="337"/>
      <c r="S860" s="337"/>
      <c r="T860" s="56">
        <v>13216229.67</v>
      </c>
      <c r="U860" s="56" t="s">
        <v>2014</v>
      </c>
      <c r="V860" s="56" t="s">
        <v>2015</v>
      </c>
      <c r="W860" s="56" t="s">
        <v>2016</v>
      </c>
    </row>
    <row r="861" spans="7:23" x14ac:dyDescent="0.3">
      <c r="G861" s="247"/>
      <c r="H861" s="248"/>
      <c r="I861" s="56" t="s">
        <v>25</v>
      </c>
      <c r="J861" s="56" t="s">
        <v>88</v>
      </c>
      <c r="K861" s="56" t="s">
        <v>285</v>
      </c>
      <c r="M861" s="337"/>
      <c r="O861" s="337"/>
      <c r="Q861" s="337"/>
      <c r="S861" s="337"/>
      <c r="T861" s="56">
        <v>13869438.57</v>
      </c>
      <c r="U861" s="56" t="s">
        <v>1954</v>
      </c>
      <c r="V861" s="56" t="s">
        <v>2028</v>
      </c>
      <c r="W861" s="56" t="s">
        <v>2029</v>
      </c>
    </row>
    <row r="862" spans="7:23" x14ac:dyDescent="0.3">
      <c r="G862" s="247"/>
      <c r="H862" s="248"/>
      <c r="I862" s="56" t="s">
        <v>25</v>
      </c>
      <c r="J862" s="56" t="s">
        <v>88</v>
      </c>
      <c r="K862" s="56" t="s">
        <v>285</v>
      </c>
      <c r="M862" s="337"/>
      <c r="O862" s="337"/>
      <c r="Q862" s="337"/>
      <c r="S862" s="337"/>
      <c r="T862" s="56">
        <v>1584501.47</v>
      </c>
      <c r="U862" s="56" t="s">
        <v>5244</v>
      </c>
      <c r="V862" s="56" t="s">
        <v>5250</v>
      </c>
      <c r="W862" s="56" t="s">
        <v>5251</v>
      </c>
    </row>
    <row r="863" spans="7:23" x14ac:dyDescent="0.3">
      <c r="G863" s="247"/>
      <c r="H863" s="248"/>
      <c r="I863" s="56" t="s">
        <v>25</v>
      </c>
      <c r="J863" s="56" t="s">
        <v>88</v>
      </c>
      <c r="K863" s="56" t="s">
        <v>285</v>
      </c>
      <c r="M863" s="337"/>
      <c r="O863" s="337"/>
      <c r="Q863" s="337"/>
      <c r="S863" s="337"/>
      <c r="T863" s="56">
        <v>7922507.3700000001</v>
      </c>
      <c r="U863" s="56" t="s">
        <v>2134</v>
      </c>
      <c r="V863" s="56" t="s">
        <v>2162</v>
      </c>
      <c r="W863" s="56" t="s">
        <v>2163</v>
      </c>
    </row>
    <row r="864" spans="7:23" x14ac:dyDescent="0.3">
      <c r="G864" s="247"/>
      <c r="H864" s="248"/>
      <c r="I864" s="56" t="s">
        <v>25</v>
      </c>
      <c r="J864" s="56" t="s">
        <v>88</v>
      </c>
      <c r="K864" s="56" t="s">
        <v>285</v>
      </c>
      <c r="L864" s="56">
        <v>8339217.0599999996</v>
      </c>
      <c r="M864" s="337">
        <v>0.69493475500000002</v>
      </c>
      <c r="N864" s="56">
        <v>8339217.0599999996</v>
      </c>
      <c r="O864" s="337">
        <v>0.69493475500000002</v>
      </c>
      <c r="Q864" s="337"/>
      <c r="S864" s="337"/>
      <c r="T864" s="56">
        <v>8339217.0599999996</v>
      </c>
      <c r="U864" s="56" t="s">
        <v>2059</v>
      </c>
      <c r="V864" s="56" t="s">
        <v>2066</v>
      </c>
      <c r="W864" s="56" t="s">
        <v>2067</v>
      </c>
    </row>
    <row r="865" spans="7:23" x14ac:dyDescent="0.3">
      <c r="G865" s="247"/>
      <c r="H865" s="248"/>
      <c r="I865" s="56" t="s">
        <v>25</v>
      </c>
      <c r="J865" s="56" t="s">
        <v>88</v>
      </c>
      <c r="K865" s="56" t="s">
        <v>285</v>
      </c>
      <c r="L865" s="56">
        <v>7962980.6299999999</v>
      </c>
      <c r="M865" s="337">
        <v>0.93682125058823529</v>
      </c>
      <c r="O865" s="337"/>
      <c r="Q865" s="337"/>
      <c r="S865" s="337"/>
      <c r="T865" s="56">
        <v>7962980.6299999999</v>
      </c>
      <c r="U865" s="56" t="s">
        <v>2222</v>
      </c>
      <c r="V865" s="56" t="s">
        <v>2223</v>
      </c>
      <c r="W865" s="56" t="s">
        <v>2224</v>
      </c>
    </row>
    <row r="866" spans="7:23" x14ac:dyDescent="0.3">
      <c r="G866" s="247"/>
      <c r="H866" s="248"/>
      <c r="I866" s="56" t="s">
        <v>25</v>
      </c>
      <c r="J866" s="56" t="s">
        <v>88</v>
      </c>
      <c r="K866" s="56" t="s">
        <v>285</v>
      </c>
      <c r="L866" s="56">
        <v>4280211.46</v>
      </c>
      <c r="M866" s="337">
        <v>0.71336857666666664</v>
      </c>
      <c r="O866" s="337"/>
      <c r="Q866" s="337"/>
      <c r="S866" s="337"/>
      <c r="T866" s="56">
        <v>4280211.46</v>
      </c>
      <c r="U866" s="56" t="s">
        <v>2236</v>
      </c>
      <c r="V866" s="56" t="s">
        <v>2245</v>
      </c>
      <c r="W866" s="56" t="s">
        <v>2246</v>
      </c>
    </row>
    <row r="867" spans="7:23" x14ac:dyDescent="0.3">
      <c r="G867" s="247"/>
      <c r="H867" s="248"/>
      <c r="I867" s="56" t="s">
        <v>25</v>
      </c>
      <c r="J867" s="56" t="s">
        <v>88</v>
      </c>
      <c r="K867" s="56" t="s">
        <v>285</v>
      </c>
      <c r="M867" s="337"/>
      <c r="O867" s="337"/>
      <c r="Q867" s="337"/>
      <c r="S867" s="337"/>
      <c r="T867" s="56">
        <v>3625835.83</v>
      </c>
      <c r="U867" s="56" t="s">
        <v>2226</v>
      </c>
      <c r="V867" s="56" t="s">
        <v>2230</v>
      </c>
      <c r="W867" s="56" t="s">
        <v>2231</v>
      </c>
    </row>
    <row r="868" spans="7:23" x14ac:dyDescent="0.3">
      <c r="G868" s="247"/>
      <c r="H868" s="248"/>
      <c r="I868" s="56" t="s">
        <v>25</v>
      </c>
      <c r="J868" s="56" t="s">
        <v>88</v>
      </c>
      <c r="K868" s="56" t="s">
        <v>285</v>
      </c>
      <c r="M868" s="337"/>
      <c r="O868" s="337"/>
      <c r="Q868" s="337"/>
      <c r="S868" s="337"/>
      <c r="T868" s="56">
        <v>19681836.120000001</v>
      </c>
      <c r="U868" s="56" t="s">
        <v>2291</v>
      </c>
      <c r="V868" s="56" t="s">
        <v>2302</v>
      </c>
      <c r="W868" s="56" t="s">
        <v>2303</v>
      </c>
    </row>
    <row r="869" spans="7:23" x14ac:dyDescent="0.3">
      <c r="G869" s="247"/>
      <c r="H869" s="248"/>
      <c r="I869" s="56" t="s">
        <v>25</v>
      </c>
      <c r="J869" s="56" t="s">
        <v>88</v>
      </c>
      <c r="K869" s="56" t="s">
        <v>285</v>
      </c>
      <c r="L869" s="56">
        <v>2249732.4500000002</v>
      </c>
      <c r="M869" s="337">
        <v>0.14898890397350992</v>
      </c>
      <c r="O869" s="337"/>
      <c r="Q869" s="337"/>
      <c r="S869" s="337"/>
      <c r="T869" s="56">
        <v>2249732.4500000002</v>
      </c>
      <c r="U869" s="56" t="s">
        <v>2257</v>
      </c>
      <c r="V869" s="56" t="s">
        <v>2266</v>
      </c>
      <c r="W869" s="56" t="s">
        <v>2267</v>
      </c>
    </row>
    <row r="870" spans="7:23" x14ac:dyDescent="0.3">
      <c r="G870" s="247"/>
      <c r="H870" s="248"/>
      <c r="I870" s="56" t="s">
        <v>25</v>
      </c>
      <c r="J870" s="56" t="s">
        <v>88</v>
      </c>
      <c r="K870" s="56" t="s">
        <v>285</v>
      </c>
      <c r="L870" s="56">
        <v>2448249.4</v>
      </c>
      <c r="M870" s="337">
        <v>0.81608313333333327</v>
      </c>
      <c r="O870" s="337"/>
      <c r="Q870" s="337"/>
      <c r="S870" s="337"/>
      <c r="T870" s="56">
        <v>2448249.4</v>
      </c>
      <c r="U870" s="56" t="s">
        <v>5223</v>
      </c>
      <c r="V870" s="56" t="s">
        <v>5230</v>
      </c>
      <c r="W870" s="56" t="s">
        <v>5231</v>
      </c>
    </row>
    <row r="871" spans="7:23" x14ac:dyDescent="0.3">
      <c r="G871" s="247"/>
      <c r="H871" s="248"/>
      <c r="I871" s="56" t="s">
        <v>25</v>
      </c>
      <c r="J871" s="56" t="s">
        <v>88</v>
      </c>
      <c r="K871" s="56" t="s">
        <v>285</v>
      </c>
      <c r="M871" s="337"/>
      <c r="O871" s="337"/>
      <c r="Q871" s="337"/>
      <c r="S871" s="337"/>
      <c r="T871" s="56">
        <v>7115270.1299999999</v>
      </c>
      <c r="U871" s="56" t="s">
        <v>2413</v>
      </c>
      <c r="V871" s="56" t="s">
        <v>2414</v>
      </c>
      <c r="W871" s="56" t="s">
        <v>2415</v>
      </c>
    </row>
    <row r="872" spans="7:23" x14ac:dyDescent="0.3">
      <c r="G872" s="247"/>
      <c r="H872" s="248"/>
      <c r="I872" s="56" t="s">
        <v>25</v>
      </c>
      <c r="J872" s="56" t="s">
        <v>88</v>
      </c>
      <c r="K872" s="56" t="s">
        <v>285</v>
      </c>
      <c r="M872" s="337"/>
      <c r="O872" s="337"/>
      <c r="Q872" s="337"/>
      <c r="S872" s="337"/>
      <c r="T872" s="56">
        <v>2846108.03</v>
      </c>
      <c r="U872" s="56" t="s">
        <v>2372</v>
      </c>
      <c r="V872" s="56" t="s">
        <v>2377</v>
      </c>
      <c r="W872" s="56" t="s">
        <v>2378</v>
      </c>
    </row>
    <row r="873" spans="7:23" x14ac:dyDescent="0.3">
      <c r="G873" s="247"/>
      <c r="H873" s="248"/>
      <c r="I873" s="56" t="s">
        <v>25</v>
      </c>
      <c r="J873" s="56" t="s">
        <v>88</v>
      </c>
      <c r="K873" s="56" t="s">
        <v>285</v>
      </c>
      <c r="M873" s="337"/>
      <c r="O873" s="337"/>
      <c r="Q873" s="337"/>
      <c r="S873" s="337"/>
      <c r="T873" s="56">
        <v>6500000</v>
      </c>
      <c r="U873" s="56" t="s">
        <v>2473</v>
      </c>
      <c r="V873" s="56" t="s">
        <v>2474</v>
      </c>
      <c r="W873" s="56" t="s">
        <v>2475</v>
      </c>
    </row>
    <row r="874" spans="7:23" x14ac:dyDescent="0.3">
      <c r="G874" s="247"/>
      <c r="H874" s="248"/>
      <c r="I874" s="56" t="s">
        <v>25</v>
      </c>
      <c r="J874" s="56" t="s">
        <v>88</v>
      </c>
      <c r="K874" s="56" t="s">
        <v>285</v>
      </c>
      <c r="L874" s="56">
        <v>15363874.67</v>
      </c>
      <c r="M874" s="337">
        <v>0.76819373349999998</v>
      </c>
      <c r="O874" s="337"/>
      <c r="Q874" s="337"/>
      <c r="S874" s="337"/>
      <c r="T874" s="56">
        <v>15363874.67</v>
      </c>
      <c r="U874" s="56" t="s">
        <v>2554</v>
      </c>
      <c r="V874" s="56" t="s">
        <v>2565</v>
      </c>
      <c r="W874" s="56" t="s">
        <v>2566</v>
      </c>
    </row>
    <row r="875" spans="7:23" x14ac:dyDescent="0.3">
      <c r="G875" s="247"/>
      <c r="H875" s="248"/>
      <c r="I875" s="56" t="s">
        <v>25</v>
      </c>
      <c r="J875" s="56" t="s">
        <v>88</v>
      </c>
      <c r="K875" s="56" t="s">
        <v>285</v>
      </c>
      <c r="M875" s="337"/>
      <c r="O875" s="337"/>
      <c r="Q875" s="337"/>
      <c r="S875" s="337"/>
      <c r="T875" s="56">
        <v>3267067.4</v>
      </c>
      <c r="U875" s="56" t="s">
        <v>5778</v>
      </c>
      <c r="V875" s="56" t="s">
        <v>5796</v>
      </c>
      <c r="W875" s="56" t="s">
        <v>5797</v>
      </c>
    </row>
    <row r="876" spans="7:23" x14ac:dyDescent="0.3">
      <c r="G876" s="247"/>
      <c r="H876" s="248"/>
      <c r="I876" s="56" t="s">
        <v>25</v>
      </c>
      <c r="J876" s="56" t="s">
        <v>88</v>
      </c>
      <c r="K876" s="56" t="s">
        <v>285</v>
      </c>
      <c r="M876" s="337"/>
      <c r="O876" s="337"/>
      <c r="Q876" s="337"/>
      <c r="S876" s="337"/>
      <c r="T876" s="56">
        <v>5619434.5999999996</v>
      </c>
      <c r="U876" s="56" t="s">
        <v>5667</v>
      </c>
      <c r="V876" s="56" t="s">
        <v>5703</v>
      </c>
      <c r="W876" s="56" t="s">
        <v>5704</v>
      </c>
    </row>
    <row r="877" spans="7:23" x14ac:dyDescent="0.3">
      <c r="G877" s="247"/>
      <c r="H877" s="248"/>
      <c r="I877" s="56" t="s">
        <v>25</v>
      </c>
      <c r="J877" s="56" t="s">
        <v>88</v>
      </c>
      <c r="K877" s="56" t="s">
        <v>285</v>
      </c>
      <c r="L877" s="56">
        <v>1772220.8</v>
      </c>
      <c r="M877" s="337">
        <v>0.35444416000000001</v>
      </c>
      <c r="O877" s="337"/>
      <c r="Q877" s="337"/>
      <c r="S877" s="337"/>
      <c r="T877" s="56">
        <v>1772220.8</v>
      </c>
      <c r="U877" s="56" t="s">
        <v>2572</v>
      </c>
      <c r="V877" s="56" t="s">
        <v>2581</v>
      </c>
      <c r="W877" s="56" t="s">
        <v>2582</v>
      </c>
    </row>
    <row r="878" spans="7:23" x14ac:dyDescent="0.3">
      <c r="G878" s="247"/>
      <c r="H878" s="248"/>
      <c r="I878" s="56" t="s">
        <v>25</v>
      </c>
      <c r="J878" s="56" t="s">
        <v>88</v>
      </c>
      <c r="K878" s="56" t="s">
        <v>285</v>
      </c>
      <c r="M878" s="337"/>
      <c r="O878" s="337"/>
      <c r="Q878" s="337"/>
      <c r="S878" s="337"/>
      <c r="T878" s="56">
        <v>13383648.550000001</v>
      </c>
      <c r="U878" s="56" t="s">
        <v>4094</v>
      </c>
      <c r="V878" s="56" t="s">
        <v>4102</v>
      </c>
      <c r="W878" s="56" t="s">
        <v>4103</v>
      </c>
    </row>
    <row r="879" spans="7:23" x14ac:dyDescent="0.3">
      <c r="G879" s="247"/>
      <c r="H879" s="248"/>
      <c r="I879" s="56" t="s">
        <v>25</v>
      </c>
      <c r="J879" s="56" t="s">
        <v>88</v>
      </c>
      <c r="K879" s="56" t="s">
        <v>285</v>
      </c>
      <c r="L879" s="56">
        <v>1734692.86</v>
      </c>
      <c r="M879" s="337">
        <v>0.693877144</v>
      </c>
      <c r="O879" s="337"/>
      <c r="Q879" s="337"/>
      <c r="S879" s="337"/>
      <c r="T879" s="56">
        <v>1734692.86</v>
      </c>
      <c r="U879" s="56" t="s">
        <v>5531</v>
      </c>
      <c r="V879" s="56" t="s">
        <v>5535</v>
      </c>
      <c r="W879" s="56" t="s">
        <v>5536</v>
      </c>
    </row>
    <row r="880" spans="7:23" x14ac:dyDescent="0.3">
      <c r="G880" s="247"/>
      <c r="H880" s="248"/>
      <c r="I880" s="56" t="s">
        <v>25</v>
      </c>
      <c r="J880" s="56" t="s">
        <v>88</v>
      </c>
      <c r="K880" s="56" t="s">
        <v>285</v>
      </c>
      <c r="M880" s="337"/>
      <c r="O880" s="337"/>
      <c r="Q880" s="337"/>
      <c r="S880" s="337"/>
      <c r="T880" s="56">
        <v>5185401.4000000004</v>
      </c>
      <c r="U880" s="56" t="s">
        <v>5455</v>
      </c>
      <c r="V880" s="56" t="s">
        <v>5464</v>
      </c>
      <c r="W880" s="56" t="s">
        <v>5465</v>
      </c>
    </row>
    <row r="881" spans="7:23" x14ac:dyDescent="0.3">
      <c r="G881" s="247"/>
      <c r="H881" s="248"/>
      <c r="I881" s="56" t="s">
        <v>25</v>
      </c>
      <c r="J881" s="56" t="s">
        <v>88</v>
      </c>
      <c r="K881" s="56" t="s">
        <v>285</v>
      </c>
      <c r="M881" s="337"/>
      <c r="O881" s="337"/>
      <c r="Q881" s="337"/>
      <c r="S881" s="337"/>
      <c r="T881" s="56">
        <v>6205269.0300000003</v>
      </c>
      <c r="U881" s="56" t="s">
        <v>2715</v>
      </c>
      <c r="V881" s="56" t="s">
        <v>2723</v>
      </c>
      <c r="W881" s="56" t="s">
        <v>2724</v>
      </c>
    </row>
    <row r="882" spans="7:23" x14ac:dyDescent="0.3">
      <c r="G882" s="247"/>
      <c r="H882" s="248"/>
      <c r="I882" s="56" t="s">
        <v>25</v>
      </c>
      <c r="J882" s="56" t="s">
        <v>88</v>
      </c>
      <c r="K882" s="56" t="s">
        <v>285</v>
      </c>
      <c r="M882" s="337"/>
      <c r="O882" s="337"/>
      <c r="Q882" s="337"/>
      <c r="S882" s="337"/>
      <c r="T882" s="56">
        <v>5522595.8200000003</v>
      </c>
      <c r="U882" s="56" t="s">
        <v>3372</v>
      </c>
      <c r="V882" s="56" t="s">
        <v>3383</v>
      </c>
      <c r="W882" s="56" t="s">
        <v>3384</v>
      </c>
    </row>
    <row r="883" spans="7:23" x14ac:dyDescent="0.3">
      <c r="G883" s="247"/>
      <c r="H883" s="248"/>
      <c r="I883" s="56" t="s">
        <v>25</v>
      </c>
      <c r="J883" s="56" t="s">
        <v>88</v>
      </c>
      <c r="K883" s="56" t="s">
        <v>285</v>
      </c>
      <c r="L883" s="56">
        <v>19006250.460000001</v>
      </c>
      <c r="M883" s="337">
        <v>0.95031252300000002</v>
      </c>
      <c r="O883" s="337"/>
      <c r="Q883" s="337"/>
      <c r="S883" s="337"/>
      <c r="T883" s="56">
        <v>19006250.460000001</v>
      </c>
      <c r="U883" s="56" t="s">
        <v>2747</v>
      </c>
      <c r="V883" s="56" t="s">
        <v>2754</v>
      </c>
      <c r="W883" s="56" t="s">
        <v>2755</v>
      </c>
    </row>
    <row r="884" spans="7:23" x14ac:dyDescent="0.3">
      <c r="G884" s="247"/>
      <c r="H884" s="248"/>
      <c r="I884" s="56" t="s">
        <v>25</v>
      </c>
      <c r="J884" s="56" t="s">
        <v>88</v>
      </c>
      <c r="K884" s="56" t="s">
        <v>285</v>
      </c>
      <c r="M884" s="337"/>
      <c r="O884" s="337"/>
      <c r="Q884" s="337"/>
      <c r="S884" s="337"/>
      <c r="T884" s="56">
        <v>2792805.38</v>
      </c>
      <c r="U884" s="56" t="s">
        <v>2771</v>
      </c>
      <c r="V884" s="56" t="s">
        <v>2777</v>
      </c>
      <c r="W884" s="56" t="s">
        <v>2778</v>
      </c>
    </row>
    <row r="885" spans="7:23" x14ac:dyDescent="0.3">
      <c r="G885" s="247"/>
      <c r="H885" s="248"/>
      <c r="I885" s="56" t="s">
        <v>25</v>
      </c>
      <c r="J885" s="56" t="s">
        <v>88</v>
      </c>
      <c r="K885" s="56" t="s">
        <v>285</v>
      </c>
      <c r="M885" s="337"/>
      <c r="O885" s="337"/>
      <c r="Q885" s="337"/>
      <c r="S885" s="337"/>
      <c r="T885" s="56">
        <v>4431349.74</v>
      </c>
      <c r="U885" s="56" t="s">
        <v>2790</v>
      </c>
      <c r="V885" s="56" t="s">
        <v>2797</v>
      </c>
      <c r="W885" s="56" t="s">
        <v>2798</v>
      </c>
    </row>
    <row r="886" spans="7:23" x14ac:dyDescent="0.3">
      <c r="G886" s="247"/>
      <c r="H886" s="248"/>
      <c r="I886" s="56" t="s">
        <v>25</v>
      </c>
      <c r="J886" s="56" t="s">
        <v>88</v>
      </c>
      <c r="K886" s="56" t="s">
        <v>285</v>
      </c>
      <c r="L886" s="56">
        <v>1782658.94</v>
      </c>
      <c r="M886" s="337">
        <v>0.35653178800000002</v>
      </c>
      <c r="N886" s="56">
        <v>1782658.94</v>
      </c>
      <c r="O886" s="337">
        <v>0.35653178800000002</v>
      </c>
      <c r="P886" s="56">
        <v>1782658.94</v>
      </c>
      <c r="Q886" s="337">
        <v>0.35653178800000002</v>
      </c>
      <c r="S886" s="337"/>
      <c r="T886" s="56">
        <v>1782658.94</v>
      </c>
      <c r="U886" s="56" t="s">
        <v>2760</v>
      </c>
      <c r="V886" s="56" t="s">
        <v>2766</v>
      </c>
      <c r="W886" s="56" t="s">
        <v>2767</v>
      </c>
    </row>
    <row r="887" spans="7:23" x14ac:dyDescent="0.3">
      <c r="G887" s="247"/>
      <c r="H887" s="248"/>
      <c r="I887" s="56" t="s">
        <v>25</v>
      </c>
      <c r="J887" s="56" t="s">
        <v>88</v>
      </c>
      <c r="K887" s="56" t="s">
        <v>285</v>
      </c>
      <c r="M887" s="337"/>
      <c r="O887" s="337"/>
      <c r="Q887" s="337"/>
      <c r="S887" s="337"/>
      <c r="T887" s="56">
        <v>13375781.220000001</v>
      </c>
      <c r="U887" s="56" t="s">
        <v>2872</v>
      </c>
      <c r="V887" s="56" t="s">
        <v>2873</v>
      </c>
      <c r="W887" s="56" t="s">
        <v>2874</v>
      </c>
    </row>
    <row r="888" spans="7:23" x14ac:dyDescent="0.3">
      <c r="G888" s="247"/>
      <c r="H888" s="248"/>
      <c r="I888" s="56" t="s">
        <v>25</v>
      </c>
      <c r="J888" s="56" t="s">
        <v>88</v>
      </c>
      <c r="K888" s="56" t="s">
        <v>285</v>
      </c>
      <c r="L888" s="56">
        <v>1928908.93</v>
      </c>
      <c r="M888" s="337">
        <v>0.64296964333333329</v>
      </c>
      <c r="O888" s="337"/>
      <c r="Q888" s="337"/>
      <c r="S888" s="337"/>
      <c r="T888" s="56">
        <v>1928908.93</v>
      </c>
      <c r="U888" s="56" t="s">
        <v>2875</v>
      </c>
      <c r="V888" s="56" t="s">
        <v>2878</v>
      </c>
      <c r="W888" s="56" t="s">
        <v>2879</v>
      </c>
    </row>
    <row r="889" spans="7:23" x14ac:dyDescent="0.3">
      <c r="G889" s="247"/>
      <c r="H889" s="248"/>
      <c r="I889" s="56" t="s">
        <v>25</v>
      </c>
      <c r="J889" s="56" t="s">
        <v>88</v>
      </c>
      <c r="K889" s="56" t="s">
        <v>285</v>
      </c>
      <c r="M889" s="337"/>
      <c r="O889" s="337"/>
      <c r="Q889" s="337"/>
      <c r="S889" s="337"/>
      <c r="T889" s="56">
        <v>11043692.17</v>
      </c>
      <c r="U889" s="56" t="s">
        <v>2826</v>
      </c>
      <c r="V889" s="56" t="s">
        <v>2847</v>
      </c>
      <c r="W889" s="56" t="s">
        <v>2848</v>
      </c>
    </row>
    <row r="890" spans="7:23" x14ac:dyDescent="0.3">
      <c r="G890" s="247"/>
      <c r="H890" s="248"/>
      <c r="I890" s="56" t="s">
        <v>25</v>
      </c>
      <c r="J890" s="56" t="s">
        <v>88</v>
      </c>
      <c r="K890" s="56" t="s">
        <v>285</v>
      </c>
      <c r="M890" s="337"/>
      <c r="O890" s="337"/>
      <c r="Q890" s="337"/>
      <c r="S890" s="337"/>
      <c r="T890" s="56">
        <v>4439993.91</v>
      </c>
      <c r="U890" s="56" t="s">
        <v>2857</v>
      </c>
      <c r="V890" s="56" t="s">
        <v>2858</v>
      </c>
      <c r="W890" s="56" t="s">
        <v>2859</v>
      </c>
    </row>
    <row r="891" spans="7:23" x14ac:dyDescent="0.3">
      <c r="G891" s="247"/>
      <c r="H891" s="248"/>
      <c r="I891" s="56" t="s">
        <v>25</v>
      </c>
      <c r="J891" s="56" t="s">
        <v>88</v>
      </c>
      <c r="K891" s="56" t="s">
        <v>285</v>
      </c>
      <c r="M891" s="337"/>
      <c r="O891" s="337"/>
      <c r="Q891" s="337"/>
      <c r="S891" s="337"/>
      <c r="T891" s="56">
        <v>10000000</v>
      </c>
      <c r="U891" s="56" t="s">
        <v>4667</v>
      </c>
      <c r="V891" s="56" t="s">
        <v>4669</v>
      </c>
      <c r="W891" s="56" t="s">
        <v>4670</v>
      </c>
    </row>
    <row r="892" spans="7:23" x14ac:dyDescent="0.3">
      <c r="G892" s="247"/>
      <c r="H892" s="248"/>
      <c r="I892" s="56" t="s">
        <v>25</v>
      </c>
      <c r="J892" s="56" t="s">
        <v>88</v>
      </c>
      <c r="K892" s="56" t="s">
        <v>285</v>
      </c>
      <c r="M892" s="337"/>
      <c r="O892" s="337"/>
      <c r="Q892" s="337"/>
      <c r="S892" s="337"/>
      <c r="T892" s="56">
        <v>3610180.6</v>
      </c>
      <c r="U892" s="56" t="s">
        <v>3096</v>
      </c>
      <c r="V892" s="56" t="s">
        <v>3100</v>
      </c>
      <c r="W892" s="56" t="s">
        <v>3101</v>
      </c>
    </row>
    <row r="893" spans="7:23" x14ac:dyDescent="0.3">
      <c r="G893" s="247"/>
      <c r="H893" s="248"/>
      <c r="I893" s="56" t="s">
        <v>25</v>
      </c>
      <c r="J893" s="56" t="s">
        <v>88</v>
      </c>
      <c r="K893" s="56" t="s">
        <v>285</v>
      </c>
      <c r="M893" s="337"/>
      <c r="O893" s="337"/>
      <c r="Q893" s="337"/>
      <c r="S893" s="337"/>
      <c r="T893" s="56">
        <v>4395039.2699999996</v>
      </c>
      <c r="U893" s="56" t="s">
        <v>3023</v>
      </c>
      <c r="V893" s="56" t="s">
        <v>3027</v>
      </c>
      <c r="W893" s="56" t="s">
        <v>3028</v>
      </c>
    </row>
    <row r="894" spans="7:23" x14ac:dyDescent="0.3">
      <c r="G894" s="247"/>
      <c r="H894" s="248"/>
      <c r="I894" s="56" t="s">
        <v>25</v>
      </c>
      <c r="J894" s="56" t="s">
        <v>88</v>
      </c>
      <c r="K894" s="56" t="s">
        <v>285</v>
      </c>
      <c r="M894" s="337"/>
      <c r="O894" s="337"/>
      <c r="Q894" s="337"/>
      <c r="S894" s="337"/>
      <c r="T894" s="56">
        <v>10000000</v>
      </c>
      <c r="U894" s="56" t="s">
        <v>3047</v>
      </c>
      <c r="V894" s="56" t="s">
        <v>3066</v>
      </c>
      <c r="W894" s="56" t="s">
        <v>3067</v>
      </c>
    </row>
    <row r="895" spans="7:23" x14ac:dyDescent="0.3">
      <c r="G895" s="247"/>
      <c r="H895" s="248"/>
      <c r="I895" s="56" t="s">
        <v>25</v>
      </c>
      <c r="J895" s="56" t="s">
        <v>88</v>
      </c>
      <c r="K895" s="56" t="s">
        <v>285</v>
      </c>
      <c r="M895" s="337"/>
      <c r="O895" s="337"/>
      <c r="Q895" s="337"/>
      <c r="S895" s="337"/>
      <c r="T895" s="56">
        <v>7950337.4000000004</v>
      </c>
      <c r="U895" s="56" t="s">
        <v>5851</v>
      </c>
      <c r="V895" s="56" t="s">
        <v>5864</v>
      </c>
      <c r="W895" s="56" t="s">
        <v>5865</v>
      </c>
    </row>
    <row r="896" spans="7:23" x14ac:dyDescent="0.3">
      <c r="G896" s="247"/>
      <c r="H896" s="248"/>
      <c r="I896" s="56" t="s">
        <v>25</v>
      </c>
      <c r="J896" s="56" t="s">
        <v>88</v>
      </c>
      <c r="K896" s="56" t="s">
        <v>285</v>
      </c>
      <c r="M896" s="337"/>
      <c r="O896" s="337"/>
      <c r="Q896" s="337"/>
      <c r="S896" s="337"/>
      <c r="T896" s="56">
        <v>3579603.63</v>
      </c>
      <c r="U896" s="56" t="s">
        <v>3126</v>
      </c>
      <c r="V896" s="56" t="s">
        <v>3127</v>
      </c>
      <c r="W896" s="56" t="s">
        <v>3128</v>
      </c>
    </row>
    <row r="897" spans="7:23" x14ac:dyDescent="0.3">
      <c r="G897" s="247"/>
      <c r="H897" s="248"/>
      <c r="I897" s="56" t="s">
        <v>25</v>
      </c>
      <c r="J897" s="56" t="s">
        <v>88</v>
      </c>
      <c r="K897" s="56" t="s">
        <v>285</v>
      </c>
      <c r="M897" s="337"/>
      <c r="O897" s="337"/>
      <c r="Q897" s="337"/>
      <c r="S897" s="337"/>
      <c r="T897" s="56">
        <v>22000000</v>
      </c>
      <c r="U897" s="56" t="s">
        <v>3114</v>
      </c>
      <c r="V897" s="56" t="s">
        <v>3115</v>
      </c>
      <c r="W897" s="56" t="s">
        <v>3116</v>
      </c>
    </row>
    <row r="898" spans="7:23" x14ac:dyDescent="0.3">
      <c r="G898" s="247"/>
      <c r="H898" s="248"/>
      <c r="I898" s="56" t="s">
        <v>25</v>
      </c>
      <c r="J898" s="56" t="s">
        <v>88</v>
      </c>
      <c r="K898" s="56" t="s">
        <v>285</v>
      </c>
      <c r="M898" s="337"/>
      <c r="O898" s="337"/>
      <c r="Q898" s="337"/>
      <c r="S898" s="337"/>
      <c r="T898" s="56">
        <v>4321167.8499999996</v>
      </c>
      <c r="U898" s="56" t="s">
        <v>3702</v>
      </c>
      <c r="V898" s="56" t="s">
        <v>3719</v>
      </c>
      <c r="W898" s="56" t="s">
        <v>3720</v>
      </c>
    </row>
    <row r="899" spans="7:23" x14ac:dyDescent="0.3">
      <c r="G899" s="247"/>
      <c r="H899" s="248"/>
      <c r="I899" s="56" t="s">
        <v>25</v>
      </c>
      <c r="J899" s="56" t="s">
        <v>88</v>
      </c>
      <c r="K899" s="56" t="s">
        <v>285</v>
      </c>
      <c r="M899" s="337"/>
      <c r="O899" s="337"/>
      <c r="Q899" s="337"/>
      <c r="S899" s="337"/>
      <c r="T899" s="56">
        <v>7788074.04</v>
      </c>
      <c r="U899" s="56" t="s">
        <v>3225</v>
      </c>
      <c r="V899" s="56" t="s">
        <v>3245</v>
      </c>
      <c r="W899" s="56" t="s">
        <v>3246</v>
      </c>
    </row>
    <row r="900" spans="7:23" x14ac:dyDescent="0.3">
      <c r="G900" s="247"/>
      <c r="H900" s="248"/>
      <c r="I900" s="56" t="s">
        <v>25</v>
      </c>
      <c r="J900" s="56" t="s">
        <v>88</v>
      </c>
      <c r="K900" s="56" t="s">
        <v>285</v>
      </c>
      <c r="L900" s="56">
        <v>450795.7</v>
      </c>
      <c r="M900" s="337">
        <v>0.18031828</v>
      </c>
      <c r="N900" s="56">
        <v>450795.7</v>
      </c>
      <c r="O900" s="337">
        <v>0.18031828</v>
      </c>
      <c r="Q900" s="337"/>
      <c r="S900" s="337"/>
      <c r="T900" s="56">
        <v>450795.7</v>
      </c>
      <c r="U900" s="56" t="s">
        <v>3168</v>
      </c>
      <c r="V900" s="56" t="s">
        <v>3170</v>
      </c>
      <c r="W900" s="56" t="s">
        <v>3171</v>
      </c>
    </row>
    <row r="901" spans="7:23" x14ac:dyDescent="0.3">
      <c r="G901" s="247"/>
      <c r="H901" s="248"/>
      <c r="I901" s="56" t="s">
        <v>25</v>
      </c>
      <c r="J901" s="56" t="s">
        <v>88</v>
      </c>
      <c r="K901" s="56" t="s">
        <v>285</v>
      </c>
      <c r="M901" s="337"/>
      <c r="O901" s="337"/>
      <c r="Q901" s="337"/>
      <c r="S901" s="337"/>
      <c r="T901" s="56">
        <v>13912160.91</v>
      </c>
      <c r="U901" s="56" t="s">
        <v>3552</v>
      </c>
      <c r="V901" s="56" t="s">
        <v>3602</v>
      </c>
      <c r="W901" s="56" t="s">
        <v>3603</v>
      </c>
    </row>
    <row r="902" spans="7:23" x14ac:dyDescent="0.3">
      <c r="G902" s="247"/>
      <c r="H902" s="248"/>
      <c r="I902" s="56" t="s">
        <v>25</v>
      </c>
      <c r="J902" s="56" t="s">
        <v>88</v>
      </c>
      <c r="K902" s="56" t="s">
        <v>285</v>
      </c>
      <c r="M902" s="337"/>
      <c r="O902" s="337"/>
      <c r="Q902" s="337"/>
      <c r="S902" s="337"/>
      <c r="T902" s="56">
        <v>5964733.9000000004</v>
      </c>
      <c r="U902" s="56" t="s">
        <v>3526</v>
      </c>
      <c r="V902" s="56" t="s">
        <v>3540</v>
      </c>
      <c r="W902" s="56" t="s">
        <v>3541</v>
      </c>
    </row>
    <row r="903" spans="7:23" x14ac:dyDescent="0.3">
      <c r="G903" s="247"/>
      <c r="H903" s="248"/>
      <c r="I903" s="56" t="s">
        <v>25</v>
      </c>
      <c r="J903" s="56" t="s">
        <v>88</v>
      </c>
      <c r="K903" s="56" t="s">
        <v>285</v>
      </c>
      <c r="M903" s="337"/>
      <c r="O903" s="337"/>
      <c r="Q903" s="337"/>
      <c r="S903" s="337"/>
      <c r="T903" s="56">
        <v>5000000</v>
      </c>
      <c r="U903" s="56" t="s">
        <v>3218</v>
      </c>
      <c r="V903" s="56" t="s">
        <v>3221</v>
      </c>
      <c r="W903" s="56" t="s">
        <v>3222</v>
      </c>
    </row>
    <row r="904" spans="7:23" x14ac:dyDescent="0.3">
      <c r="G904" s="247"/>
      <c r="H904" s="248"/>
      <c r="I904" s="56" t="s">
        <v>25</v>
      </c>
      <c r="J904" s="56" t="s">
        <v>88</v>
      </c>
      <c r="K904" s="56" t="s">
        <v>285</v>
      </c>
      <c r="M904" s="337"/>
      <c r="O904" s="337"/>
      <c r="Q904" s="337"/>
      <c r="S904" s="337"/>
      <c r="T904" s="56">
        <v>10339263.41</v>
      </c>
      <c r="U904" s="56" t="s">
        <v>3347</v>
      </c>
      <c r="V904" s="56" t="s">
        <v>3364</v>
      </c>
      <c r="W904" s="56" t="s">
        <v>3365</v>
      </c>
    </row>
    <row r="905" spans="7:23" x14ac:dyDescent="0.3">
      <c r="G905" s="247"/>
      <c r="H905" s="248"/>
      <c r="I905" s="56" t="s">
        <v>25</v>
      </c>
      <c r="J905" s="56" t="s">
        <v>88</v>
      </c>
      <c r="K905" s="56" t="s">
        <v>285</v>
      </c>
      <c r="M905" s="337"/>
      <c r="O905" s="337"/>
      <c r="Q905" s="337"/>
      <c r="S905" s="337"/>
      <c r="T905" s="56">
        <v>8516100.7799999993</v>
      </c>
      <c r="U905" s="56" t="s">
        <v>4372</v>
      </c>
      <c r="V905" s="56" t="s">
        <v>4386</v>
      </c>
      <c r="W905" s="56" t="s">
        <v>4387</v>
      </c>
    </row>
    <row r="906" spans="7:23" x14ac:dyDescent="0.3">
      <c r="G906" s="247"/>
      <c r="H906" s="248"/>
      <c r="I906" s="56" t="s">
        <v>25</v>
      </c>
      <c r="J906" s="56" t="s">
        <v>88</v>
      </c>
      <c r="K906" s="56" t="s">
        <v>285</v>
      </c>
      <c r="M906" s="337"/>
      <c r="O906" s="337"/>
      <c r="Q906" s="337"/>
      <c r="S906" s="337"/>
      <c r="T906" s="56">
        <v>25819054.890000001</v>
      </c>
      <c r="U906" s="56" t="s">
        <v>3395</v>
      </c>
      <c r="V906" s="56" t="s">
        <v>3419</v>
      </c>
      <c r="W906" s="56" t="s">
        <v>3420</v>
      </c>
    </row>
    <row r="907" spans="7:23" x14ac:dyDescent="0.3">
      <c r="G907" s="247"/>
      <c r="H907" s="248"/>
      <c r="I907" s="56" t="s">
        <v>25</v>
      </c>
      <c r="J907" s="56" t="s">
        <v>88</v>
      </c>
      <c r="K907" s="56" t="s">
        <v>285</v>
      </c>
      <c r="M907" s="337"/>
      <c r="O907" s="337"/>
      <c r="Q907" s="337"/>
      <c r="S907" s="337"/>
      <c r="T907" s="56">
        <v>18000000</v>
      </c>
      <c r="U907" s="56" t="s">
        <v>3312</v>
      </c>
      <c r="V907" s="56" t="s">
        <v>3318</v>
      </c>
      <c r="W907" s="56" t="s">
        <v>3319</v>
      </c>
    </row>
    <row r="908" spans="7:23" x14ac:dyDescent="0.3">
      <c r="G908" s="247"/>
      <c r="H908" s="248"/>
      <c r="I908" s="56" t="s">
        <v>25</v>
      </c>
      <c r="J908" s="56" t="s">
        <v>88</v>
      </c>
      <c r="K908" s="56" t="s">
        <v>285</v>
      </c>
      <c r="L908" s="56">
        <v>391007.09</v>
      </c>
      <c r="M908" s="337">
        <v>0.39100709</v>
      </c>
      <c r="N908" s="56">
        <v>391007.09</v>
      </c>
      <c r="O908" s="337">
        <v>0.39100709</v>
      </c>
      <c r="P908" s="56">
        <v>391007.09</v>
      </c>
      <c r="Q908" s="337">
        <v>0.39100709</v>
      </c>
      <c r="R908" s="56">
        <v>391007.09</v>
      </c>
      <c r="S908" s="337">
        <v>0.39100709</v>
      </c>
      <c r="T908" s="56">
        <v>391007.09</v>
      </c>
      <c r="U908" s="56" t="s">
        <v>3396</v>
      </c>
      <c r="V908" s="56" t="s">
        <v>3412</v>
      </c>
      <c r="W908" s="56" t="s">
        <v>3413</v>
      </c>
    </row>
    <row r="909" spans="7:23" x14ac:dyDescent="0.3">
      <c r="G909" s="247"/>
      <c r="H909" s="248"/>
      <c r="I909" s="56" t="s">
        <v>25</v>
      </c>
      <c r="J909" s="56" t="s">
        <v>88</v>
      </c>
      <c r="K909" s="56" t="s">
        <v>285</v>
      </c>
      <c r="M909" s="337"/>
      <c r="O909" s="337"/>
      <c r="Q909" s="337"/>
      <c r="S909" s="337"/>
      <c r="T909" s="56">
        <v>7333672.4500000002</v>
      </c>
      <c r="U909" s="56" t="s">
        <v>3427</v>
      </c>
      <c r="V909" s="56" t="s">
        <v>3435</v>
      </c>
      <c r="W909" s="56" t="s">
        <v>3436</v>
      </c>
    </row>
    <row r="910" spans="7:23" x14ac:dyDescent="0.3">
      <c r="G910" s="247"/>
      <c r="H910" s="248"/>
      <c r="I910" s="56" t="s">
        <v>25</v>
      </c>
      <c r="J910" s="56" t="s">
        <v>88</v>
      </c>
      <c r="K910" s="56" t="s">
        <v>285</v>
      </c>
      <c r="L910" s="56">
        <v>7000000</v>
      </c>
      <c r="M910" s="337">
        <v>1</v>
      </c>
      <c r="O910" s="337"/>
      <c r="Q910" s="337"/>
      <c r="S910" s="337"/>
      <c r="T910" s="56">
        <v>7000000</v>
      </c>
      <c r="U910" s="56" t="s">
        <v>3463</v>
      </c>
      <c r="V910" s="56" t="s">
        <v>3480</v>
      </c>
      <c r="W910" s="56" t="s">
        <v>3481</v>
      </c>
    </row>
    <row r="911" spans="7:23" x14ac:dyDescent="0.3">
      <c r="G911" s="247"/>
      <c r="H911" s="248"/>
      <c r="I911" s="56" t="s">
        <v>25</v>
      </c>
      <c r="J911" s="56" t="s">
        <v>88</v>
      </c>
      <c r="K911" s="56" t="s">
        <v>285</v>
      </c>
      <c r="L911" s="56">
        <v>709786.29</v>
      </c>
      <c r="M911" s="337">
        <v>0.28391451600000001</v>
      </c>
      <c r="N911" s="56">
        <v>709786.29</v>
      </c>
      <c r="O911" s="337">
        <v>0.28391451600000001</v>
      </c>
      <c r="Q911" s="337"/>
      <c r="S911" s="337"/>
      <c r="T911" s="56">
        <v>709786.29</v>
      </c>
      <c r="U911" s="56" t="s">
        <v>4184</v>
      </c>
      <c r="V911" s="56" t="s">
        <v>4189</v>
      </c>
      <c r="W911" s="56" t="s">
        <v>4190</v>
      </c>
    </row>
    <row r="912" spans="7:23" x14ac:dyDescent="0.3">
      <c r="G912" s="247"/>
      <c r="H912" s="248"/>
      <c r="I912" s="56" t="s">
        <v>25</v>
      </c>
      <c r="J912" s="56" t="s">
        <v>88</v>
      </c>
      <c r="K912" s="56" t="s">
        <v>285</v>
      </c>
      <c r="M912" s="337"/>
      <c r="O912" s="337"/>
      <c r="Q912" s="337"/>
      <c r="S912" s="337"/>
      <c r="T912" s="56">
        <v>3817429.7</v>
      </c>
      <c r="U912" s="56" t="s">
        <v>3512</v>
      </c>
      <c r="V912" s="56" t="s">
        <v>3521</v>
      </c>
      <c r="W912" s="56" t="s">
        <v>3522</v>
      </c>
    </row>
    <row r="913" spans="7:23" x14ac:dyDescent="0.3">
      <c r="G913" s="247"/>
      <c r="H913" s="248"/>
      <c r="I913" s="56" t="s">
        <v>25</v>
      </c>
      <c r="J913" s="56" t="s">
        <v>88</v>
      </c>
      <c r="K913" s="56" t="s">
        <v>285</v>
      </c>
      <c r="M913" s="337"/>
      <c r="O913" s="337"/>
      <c r="Q913" s="337"/>
      <c r="S913" s="337"/>
      <c r="T913" s="56">
        <v>263112.48</v>
      </c>
      <c r="U913" s="56" t="s">
        <v>3551</v>
      </c>
      <c r="V913" s="56" t="s">
        <v>3592</v>
      </c>
      <c r="W913" s="56" t="s">
        <v>3593</v>
      </c>
    </row>
    <row r="914" spans="7:23" x14ac:dyDescent="0.3">
      <c r="G914" s="247"/>
      <c r="H914" s="248"/>
      <c r="I914" s="56" t="s">
        <v>25</v>
      </c>
      <c r="J914" s="56" t="s">
        <v>88</v>
      </c>
      <c r="K914" s="56" t="s">
        <v>285</v>
      </c>
      <c r="M914" s="337"/>
      <c r="O914" s="337"/>
      <c r="Q914" s="337"/>
      <c r="S914" s="337"/>
      <c r="T914" s="56">
        <v>262359.31</v>
      </c>
      <c r="U914" s="56" t="s">
        <v>3648</v>
      </c>
      <c r="V914" s="56" t="s">
        <v>3661</v>
      </c>
      <c r="W914" s="56" t="s">
        <v>3662</v>
      </c>
    </row>
    <row r="915" spans="7:23" x14ac:dyDescent="0.3">
      <c r="G915" s="247"/>
      <c r="H915" s="248"/>
      <c r="I915" s="56" t="s">
        <v>25</v>
      </c>
      <c r="J915" s="56" t="s">
        <v>88</v>
      </c>
      <c r="K915" s="56" t="s">
        <v>285</v>
      </c>
      <c r="M915" s="337"/>
      <c r="O915" s="337"/>
      <c r="Q915" s="337"/>
      <c r="S915" s="337"/>
      <c r="T915" s="56">
        <v>1918595.89</v>
      </c>
      <c r="U915" s="56" t="s">
        <v>3668</v>
      </c>
      <c r="V915" s="56" t="s">
        <v>3674</v>
      </c>
      <c r="W915" s="56" t="s">
        <v>3675</v>
      </c>
    </row>
    <row r="916" spans="7:23" x14ac:dyDescent="0.3">
      <c r="G916" s="247"/>
      <c r="H916" s="248"/>
      <c r="I916" s="56" t="s">
        <v>25</v>
      </c>
      <c r="J916" s="56" t="s">
        <v>88</v>
      </c>
      <c r="K916" s="56" t="s">
        <v>285</v>
      </c>
      <c r="L916" s="56">
        <v>2341823.39</v>
      </c>
      <c r="M916" s="337">
        <v>0.93672935599999996</v>
      </c>
      <c r="O916" s="337"/>
      <c r="Q916" s="337"/>
      <c r="S916" s="337"/>
      <c r="T916" s="56">
        <v>2341823.39</v>
      </c>
      <c r="U916" s="56" t="s">
        <v>3726</v>
      </c>
      <c r="V916" s="56" t="s">
        <v>3732</v>
      </c>
      <c r="W916" s="56" t="s">
        <v>3733</v>
      </c>
    </row>
    <row r="917" spans="7:23" x14ac:dyDescent="0.3">
      <c r="G917" s="247"/>
      <c r="H917" s="248"/>
      <c r="I917" s="56" t="s">
        <v>25</v>
      </c>
      <c r="J917" s="56" t="s">
        <v>88</v>
      </c>
      <c r="K917" s="56" t="s">
        <v>285</v>
      </c>
      <c r="M917" s="337"/>
      <c r="O917" s="337"/>
      <c r="Q917" s="337"/>
      <c r="S917" s="337"/>
      <c r="T917" s="56">
        <v>2592700.7000000002</v>
      </c>
      <c r="U917" s="56" t="s">
        <v>3756</v>
      </c>
      <c r="V917" s="56" t="s">
        <v>3769</v>
      </c>
      <c r="W917" s="56" t="s">
        <v>3770</v>
      </c>
    </row>
    <row r="918" spans="7:23" x14ac:dyDescent="0.3">
      <c r="G918" s="247"/>
      <c r="H918" s="248"/>
      <c r="I918" s="56" t="s">
        <v>25</v>
      </c>
      <c r="J918" s="56" t="s">
        <v>88</v>
      </c>
      <c r="K918" s="56" t="s">
        <v>285</v>
      </c>
      <c r="M918" s="337"/>
      <c r="O918" s="337"/>
      <c r="Q918" s="337"/>
      <c r="S918" s="337"/>
      <c r="T918" s="56">
        <v>14226881.300000001</v>
      </c>
      <c r="U918" s="56" t="s">
        <v>4095</v>
      </c>
      <c r="V918" s="56" t="s">
        <v>4096</v>
      </c>
      <c r="W918" s="56" t="s">
        <v>4097</v>
      </c>
    </row>
    <row r="919" spans="7:23" x14ac:dyDescent="0.3">
      <c r="G919" s="247"/>
      <c r="H919" s="248"/>
      <c r="I919" s="56" t="s">
        <v>25</v>
      </c>
      <c r="J919" s="56" t="s">
        <v>88</v>
      </c>
      <c r="K919" s="56" t="s">
        <v>285</v>
      </c>
      <c r="M919" s="337"/>
      <c r="O919" s="337"/>
      <c r="Q919" s="337"/>
      <c r="S919" s="337"/>
      <c r="T919" s="56">
        <v>4439993.91</v>
      </c>
      <c r="U919" s="56" t="s">
        <v>3826</v>
      </c>
      <c r="V919" s="56" t="s">
        <v>3827</v>
      </c>
      <c r="W919" s="56" t="s">
        <v>3828</v>
      </c>
    </row>
    <row r="920" spans="7:23" x14ac:dyDescent="0.3">
      <c r="G920" s="247"/>
      <c r="H920" s="248"/>
      <c r="I920" s="56" t="s">
        <v>25</v>
      </c>
      <c r="J920" s="56" t="s">
        <v>88</v>
      </c>
      <c r="K920" s="56" t="s">
        <v>285</v>
      </c>
      <c r="M920" s="337"/>
      <c r="O920" s="337"/>
      <c r="Q920" s="337"/>
      <c r="S920" s="337"/>
      <c r="T920" s="56">
        <v>6338005.9000000004</v>
      </c>
      <c r="U920" s="56" t="s">
        <v>3900</v>
      </c>
      <c r="V920" s="56" t="s">
        <v>3906</v>
      </c>
      <c r="W920" s="56" t="s">
        <v>3907</v>
      </c>
    </row>
    <row r="921" spans="7:23" x14ac:dyDescent="0.3">
      <c r="G921" s="247"/>
      <c r="H921" s="248"/>
      <c r="I921" s="56" t="s">
        <v>25</v>
      </c>
      <c r="J921" s="56" t="s">
        <v>88</v>
      </c>
      <c r="K921" s="56" t="s">
        <v>285</v>
      </c>
      <c r="M921" s="337"/>
      <c r="O921" s="337"/>
      <c r="Q921" s="337"/>
      <c r="S921" s="337"/>
      <c r="T921" s="56">
        <v>31000000</v>
      </c>
      <c r="U921" s="56" t="s">
        <v>3965</v>
      </c>
      <c r="V921" s="56" t="s">
        <v>3970</v>
      </c>
      <c r="W921" s="56" t="s">
        <v>3971</v>
      </c>
    </row>
    <row r="922" spans="7:23" x14ac:dyDescent="0.3">
      <c r="G922" s="247"/>
      <c r="H922" s="248"/>
      <c r="I922" s="56" t="s">
        <v>25</v>
      </c>
      <c r="J922" s="56" t="s">
        <v>88</v>
      </c>
      <c r="K922" s="56" t="s">
        <v>285</v>
      </c>
      <c r="M922" s="337"/>
      <c r="O922" s="337"/>
      <c r="Q922" s="337"/>
      <c r="S922" s="337"/>
      <c r="T922" s="56">
        <v>2024321.56</v>
      </c>
      <c r="U922" s="56" t="s">
        <v>3851</v>
      </c>
      <c r="V922" s="56" t="s">
        <v>3857</v>
      </c>
      <c r="W922" s="56" t="s">
        <v>3858</v>
      </c>
    </row>
    <row r="923" spans="7:23" x14ac:dyDescent="0.3">
      <c r="G923" s="247"/>
      <c r="H923" s="248"/>
      <c r="I923" s="56" t="s">
        <v>25</v>
      </c>
      <c r="J923" s="56" t="s">
        <v>88</v>
      </c>
      <c r="K923" s="56" t="s">
        <v>285</v>
      </c>
      <c r="M923" s="337"/>
      <c r="O923" s="337"/>
      <c r="Q923" s="337"/>
      <c r="S923" s="337"/>
      <c r="T923" s="56">
        <v>539692.53</v>
      </c>
      <c r="U923" s="56" t="s">
        <v>3967</v>
      </c>
      <c r="V923" s="56" t="s">
        <v>3976</v>
      </c>
      <c r="W923" s="56" t="s">
        <v>3977</v>
      </c>
    </row>
    <row r="924" spans="7:23" x14ac:dyDescent="0.3">
      <c r="G924" s="247"/>
      <c r="H924" s="248"/>
      <c r="I924" s="56" t="s">
        <v>25</v>
      </c>
      <c r="J924" s="56" t="s">
        <v>88</v>
      </c>
      <c r="K924" s="56" t="s">
        <v>285</v>
      </c>
      <c r="M924" s="337"/>
      <c r="O924" s="337"/>
      <c r="Q924" s="337"/>
      <c r="S924" s="337"/>
      <c r="T924" s="56">
        <v>2696095.97</v>
      </c>
      <c r="U924" s="56" t="s">
        <v>4980</v>
      </c>
      <c r="V924" s="56" t="s">
        <v>4985</v>
      </c>
      <c r="W924" s="56" t="s">
        <v>4986</v>
      </c>
    </row>
    <row r="925" spans="7:23" x14ac:dyDescent="0.3">
      <c r="G925" s="247"/>
      <c r="H925" s="248"/>
      <c r="I925" s="56" t="s">
        <v>25</v>
      </c>
      <c r="J925" s="56" t="s">
        <v>88</v>
      </c>
      <c r="K925" s="56" t="s">
        <v>285</v>
      </c>
      <c r="M925" s="337"/>
      <c r="O925" s="337"/>
      <c r="Q925" s="337"/>
      <c r="S925" s="337"/>
      <c r="T925" s="56">
        <v>9334478.2699999996</v>
      </c>
      <c r="U925" s="56" t="s">
        <v>4011</v>
      </c>
      <c r="V925" s="56" t="s">
        <v>4030</v>
      </c>
      <c r="W925" s="56" t="s">
        <v>4031</v>
      </c>
    </row>
    <row r="926" spans="7:23" x14ac:dyDescent="0.3">
      <c r="G926" s="247"/>
      <c r="H926" s="248"/>
      <c r="I926" s="56" t="s">
        <v>25</v>
      </c>
      <c r="J926" s="56" t="s">
        <v>88</v>
      </c>
      <c r="K926" s="56" t="s">
        <v>285</v>
      </c>
      <c r="M926" s="337"/>
      <c r="O926" s="337"/>
      <c r="Q926" s="337"/>
      <c r="S926" s="337"/>
      <c r="T926" s="56">
        <v>7100480.3399999999</v>
      </c>
      <c r="U926" s="56" t="s">
        <v>4158</v>
      </c>
      <c r="V926" s="56" t="s">
        <v>4167</v>
      </c>
      <c r="W926" s="56" t="s">
        <v>4168</v>
      </c>
    </row>
    <row r="927" spans="7:23" x14ac:dyDescent="0.3">
      <c r="G927" s="247"/>
      <c r="H927" s="248"/>
      <c r="I927" s="56" t="s">
        <v>25</v>
      </c>
      <c r="J927" s="56" t="s">
        <v>88</v>
      </c>
      <c r="K927" s="56" t="s">
        <v>285</v>
      </c>
      <c r="M927" s="337"/>
      <c r="O927" s="337"/>
      <c r="Q927" s="337"/>
      <c r="S927" s="337"/>
      <c r="T927" s="56">
        <v>2839145.11</v>
      </c>
      <c r="U927" s="56" t="s">
        <v>4813</v>
      </c>
      <c r="V927" s="56" t="s">
        <v>4818</v>
      </c>
      <c r="W927" s="56" t="s">
        <v>4819</v>
      </c>
    </row>
    <row r="928" spans="7:23" x14ac:dyDescent="0.3">
      <c r="G928" s="247"/>
      <c r="H928" s="248"/>
      <c r="I928" s="56" t="s">
        <v>25</v>
      </c>
      <c r="J928" s="56" t="s">
        <v>88</v>
      </c>
      <c r="K928" s="56" t="s">
        <v>285</v>
      </c>
      <c r="M928" s="337"/>
      <c r="O928" s="337"/>
      <c r="Q928" s="337"/>
      <c r="S928" s="337"/>
      <c r="T928" s="56">
        <v>5500254.3300000001</v>
      </c>
      <c r="U928" s="56" t="s">
        <v>4192</v>
      </c>
      <c r="V928" s="56" t="s">
        <v>4193</v>
      </c>
      <c r="W928" s="56" t="s">
        <v>4194</v>
      </c>
    </row>
    <row r="929" spans="7:23" x14ac:dyDescent="0.3">
      <c r="G929" s="247"/>
      <c r="H929" s="248"/>
      <c r="I929" s="56" t="s">
        <v>25</v>
      </c>
      <c r="J929" s="56" t="s">
        <v>88</v>
      </c>
      <c r="K929" s="56" t="s">
        <v>285</v>
      </c>
      <c r="M929" s="337"/>
      <c r="O929" s="337"/>
      <c r="Q929" s="337"/>
      <c r="S929" s="337"/>
      <c r="T929" s="56">
        <v>3961253.7</v>
      </c>
      <c r="U929" s="56" t="s">
        <v>4198</v>
      </c>
      <c r="V929" s="56" t="s">
        <v>4200</v>
      </c>
      <c r="W929" s="56" t="s">
        <v>4201</v>
      </c>
    </row>
    <row r="930" spans="7:23" x14ac:dyDescent="0.3">
      <c r="G930" s="247"/>
      <c r="H930" s="248"/>
      <c r="I930" s="56" t="s">
        <v>25</v>
      </c>
      <c r="J930" s="56" t="s">
        <v>88</v>
      </c>
      <c r="K930" s="56" t="s">
        <v>285</v>
      </c>
      <c r="M930" s="337"/>
      <c r="O930" s="337"/>
      <c r="Q930" s="337"/>
      <c r="S930" s="337"/>
      <c r="T930" s="56">
        <v>781983.27</v>
      </c>
      <c r="U930" s="56" t="s">
        <v>5401</v>
      </c>
      <c r="V930" s="56" t="s">
        <v>5405</v>
      </c>
      <c r="W930" s="56" t="s">
        <v>5406</v>
      </c>
    </row>
    <row r="931" spans="7:23" x14ac:dyDescent="0.3">
      <c r="G931" s="247"/>
      <c r="H931" s="248"/>
      <c r="I931" s="56" t="s">
        <v>25</v>
      </c>
      <c r="J931" s="56" t="s">
        <v>88</v>
      </c>
      <c r="K931" s="56" t="s">
        <v>285</v>
      </c>
      <c r="M931" s="337"/>
      <c r="O931" s="337"/>
      <c r="Q931" s="337"/>
      <c r="S931" s="337"/>
      <c r="T931" s="56">
        <v>13225793.949999999</v>
      </c>
      <c r="U931" s="56" t="s">
        <v>4248</v>
      </c>
      <c r="V931" s="56" t="s">
        <v>4249</v>
      </c>
      <c r="W931" s="56" t="s">
        <v>4250</v>
      </c>
    </row>
    <row r="932" spans="7:23" x14ac:dyDescent="0.3">
      <c r="G932" s="247"/>
      <c r="H932" s="248"/>
      <c r="I932" s="56" t="s">
        <v>25</v>
      </c>
      <c r="J932" s="56" t="s">
        <v>88</v>
      </c>
      <c r="K932" s="56" t="s">
        <v>285</v>
      </c>
      <c r="L932" s="56">
        <v>6000000</v>
      </c>
      <c r="M932" s="337">
        <v>1</v>
      </c>
      <c r="O932" s="337"/>
      <c r="Q932" s="337"/>
      <c r="S932" s="337"/>
      <c r="T932" s="56">
        <v>6000000</v>
      </c>
      <c r="U932" s="56" t="s">
        <v>4309</v>
      </c>
      <c r="V932" s="56" t="s">
        <v>4317</v>
      </c>
      <c r="W932" s="56" t="s">
        <v>4318</v>
      </c>
    </row>
    <row r="933" spans="7:23" x14ac:dyDescent="0.3">
      <c r="G933" s="247"/>
      <c r="H933" s="248"/>
      <c r="I933" s="56" t="s">
        <v>25</v>
      </c>
      <c r="J933" s="56" t="s">
        <v>88</v>
      </c>
      <c r="K933" s="56" t="s">
        <v>285</v>
      </c>
      <c r="M933" s="337"/>
      <c r="O933" s="337"/>
      <c r="Q933" s="337"/>
      <c r="S933" s="337"/>
      <c r="T933" s="56">
        <v>2490259.4300000002</v>
      </c>
      <c r="U933" s="56" t="s">
        <v>4328</v>
      </c>
      <c r="V933" s="56" t="s">
        <v>4343</v>
      </c>
      <c r="W933" s="56" t="s">
        <v>4344</v>
      </c>
    </row>
    <row r="934" spans="7:23" x14ac:dyDescent="0.3">
      <c r="G934" s="247"/>
      <c r="H934" s="248"/>
      <c r="I934" s="56" t="s">
        <v>25</v>
      </c>
      <c r="J934" s="56" t="s">
        <v>88</v>
      </c>
      <c r="K934" s="56" t="s">
        <v>285</v>
      </c>
      <c r="M934" s="337"/>
      <c r="O934" s="337"/>
      <c r="Q934" s="337"/>
      <c r="S934" s="337"/>
      <c r="T934" s="56">
        <v>17014996.030000001</v>
      </c>
      <c r="U934" s="56" t="s">
        <v>4422</v>
      </c>
      <c r="V934" s="56" t="s">
        <v>4428</v>
      </c>
      <c r="W934" s="56" t="s">
        <v>4429</v>
      </c>
    </row>
    <row r="935" spans="7:23" x14ac:dyDescent="0.3">
      <c r="G935" s="247"/>
      <c r="H935" s="248"/>
      <c r="I935" s="56" t="s">
        <v>25</v>
      </c>
      <c r="J935" s="56" t="s">
        <v>88</v>
      </c>
      <c r="K935" s="56" t="s">
        <v>285</v>
      </c>
      <c r="L935" s="56">
        <v>2454623.6</v>
      </c>
      <c r="M935" s="337">
        <v>0.35066051428571432</v>
      </c>
      <c r="O935" s="337"/>
      <c r="Q935" s="337"/>
      <c r="S935" s="337"/>
      <c r="T935" s="56">
        <v>2454623.6</v>
      </c>
      <c r="U935" s="56" t="s">
        <v>4397</v>
      </c>
      <c r="V935" s="56" t="s">
        <v>4407</v>
      </c>
      <c r="W935" s="56" t="s">
        <v>4408</v>
      </c>
    </row>
    <row r="936" spans="7:23" x14ac:dyDescent="0.3">
      <c r="G936" s="247"/>
      <c r="H936" s="248"/>
      <c r="I936" s="56" t="s">
        <v>25</v>
      </c>
      <c r="J936" s="56" t="s">
        <v>88</v>
      </c>
      <c r="K936" s="56" t="s">
        <v>285</v>
      </c>
      <c r="M936" s="337"/>
      <c r="O936" s="337"/>
      <c r="Q936" s="337"/>
      <c r="S936" s="337"/>
      <c r="T936" s="56">
        <v>1833418.11</v>
      </c>
      <c r="U936" s="56" t="s">
        <v>4630</v>
      </c>
      <c r="V936" s="56" t="s">
        <v>4639</v>
      </c>
      <c r="W936" s="56" t="s">
        <v>4640</v>
      </c>
    </row>
    <row r="937" spans="7:23" x14ac:dyDescent="0.3">
      <c r="G937" s="247"/>
      <c r="H937" s="248"/>
      <c r="I937" s="56" t="s">
        <v>25</v>
      </c>
      <c r="J937" s="56" t="s">
        <v>88</v>
      </c>
      <c r="K937" s="56" t="s">
        <v>285</v>
      </c>
      <c r="M937" s="337"/>
      <c r="O937" s="337"/>
      <c r="Q937" s="337"/>
      <c r="S937" s="337"/>
      <c r="T937" s="56">
        <v>4814320.1500000004</v>
      </c>
      <c r="U937" s="56" t="s">
        <v>4464</v>
      </c>
      <c r="V937" s="56" t="s">
        <v>4468</v>
      </c>
      <c r="W937" s="56" t="s">
        <v>4469</v>
      </c>
    </row>
    <row r="938" spans="7:23" x14ac:dyDescent="0.3">
      <c r="G938" s="247"/>
      <c r="H938" s="248"/>
      <c r="I938" s="56" t="s">
        <v>25</v>
      </c>
      <c r="J938" s="56" t="s">
        <v>88</v>
      </c>
      <c r="K938" s="56" t="s">
        <v>285</v>
      </c>
      <c r="M938" s="337"/>
      <c r="O938" s="337"/>
      <c r="Q938" s="337"/>
      <c r="S938" s="337"/>
      <c r="T938" s="56">
        <v>11235036.390000001</v>
      </c>
      <c r="U938" s="56" t="s">
        <v>4490</v>
      </c>
      <c r="V938" s="56" t="s">
        <v>4492</v>
      </c>
      <c r="W938" s="56" t="s">
        <v>4493</v>
      </c>
    </row>
    <row r="939" spans="7:23" x14ac:dyDescent="0.3">
      <c r="G939" s="247"/>
      <c r="H939" s="248"/>
      <c r="I939" s="56" t="s">
        <v>25</v>
      </c>
      <c r="J939" s="56" t="s">
        <v>88</v>
      </c>
      <c r="K939" s="56" t="s">
        <v>285</v>
      </c>
      <c r="M939" s="337"/>
      <c r="O939" s="337"/>
      <c r="Q939" s="337"/>
      <c r="S939" s="337"/>
      <c r="T939" s="56">
        <v>2279952.2400000002</v>
      </c>
      <c r="U939" s="56" t="s">
        <v>4619</v>
      </c>
      <c r="V939" s="56" t="s">
        <v>4628</v>
      </c>
      <c r="W939" s="56" t="s">
        <v>4629</v>
      </c>
    </row>
    <row r="940" spans="7:23" x14ac:dyDescent="0.3">
      <c r="G940" s="247"/>
      <c r="H940" s="248"/>
      <c r="I940" s="56" t="s">
        <v>25</v>
      </c>
      <c r="J940" s="56" t="s">
        <v>88</v>
      </c>
      <c r="K940" s="56" t="s">
        <v>285</v>
      </c>
      <c r="M940" s="337"/>
      <c r="O940" s="337"/>
      <c r="Q940" s="337"/>
      <c r="S940" s="337"/>
      <c r="T940" s="56">
        <v>3356597.31</v>
      </c>
      <c r="U940" s="56" t="s">
        <v>4591</v>
      </c>
      <c r="V940" s="56" t="s">
        <v>4616</v>
      </c>
      <c r="W940" s="56" t="s">
        <v>4617</v>
      </c>
    </row>
    <row r="941" spans="7:23" x14ac:dyDescent="0.3">
      <c r="G941" s="247"/>
      <c r="H941" s="248"/>
      <c r="I941" s="56" t="s">
        <v>25</v>
      </c>
      <c r="J941" s="56" t="s">
        <v>88</v>
      </c>
      <c r="K941" s="56" t="s">
        <v>285</v>
      </c>
      <c r="L941" s="56">
        <v>2246894.4300000002</v>
      </c>
      <c r="M941" s="337">
        <v>0.56172360750000006</v>
      </c>
      <c r="N941" s="56">
        <v>2246894.4300000002</v>
      </c>
      <c r="O941" s="337">
        <v>0.56172360750000006</v>
      </c>
      <c r="Q941" s="337"/>
      <c r="S941" s="337"/>
      <c r="T941" s="56">
        <v>2246894.4300000002</v>
      </c>
      <c r="U941" s="56" t="s">
        <v>4575</v>
      </c>
      <c r="V941" s="56" t="s">
        <v>4586</v>
      </c>
      <c r="W941" s="56" t="s">
        <v>4587</v>
      </c>
    </row>
    <row r="942" spans="7:23" x14ac:dyDescent="0.3">
      <c r="G942" s="247"/>
      <c r="H942" s="248"/>
      <c r="I942" s="56" t="s">
        <v>25</v>
      </c>
      <c r="J942" s="56" t="s">
        <v>88</v>
      </c>
      <c r="K942" s="56" t="s">
        <v>285</v>
      </c>
      <c r="M942" s="337"/>
      <c r="O942" s="337"/>
      <c r="Q942" s="337"/>
      <c r="S942" s="337"/>
      <c r="T942" s="56">
        <v>3220822.01</v>
      </c>
      <c r="U942" s="56" t="s">
        <v>4566</v>
      </c>
      <c r="V942" s="56" t="s">
        <v>4570</v>
      </c>
      <c r="W942" s="56" t="s">
        <v>4571</v>
      </c>
    </row>
    <row r="943" spans="7:23" x14ac:dyDescent="0.3">
      <c r="G943" s="247"/>
      <c r="H943" s="248"/>
      <c r="I943" s="56" t="s">
        <v>25</v>
      </c>
      <c r="J943" s="56" t="s">
        <v>88</v>
      </c>
      <c r="K943" s="56" t="s">
        <v>285</v>
      </c>
      <c r="L943" s="56">
        <v>371059.08</v>
      </c>
      <c r="M943" s="337">
        <v>0.18552954000000002</v>
      </c>
      <c r="O943" s="337"/>
      <c r="Q943" s="337"/>
      <c r="S943" s="337"/>
      <c r="T943" s="56">
        <v>371059.08</v>
      </c>
      <c r="U943" s="56" t="s">
        <v>4695</v>
      </c>
      <c r="V943" s="56" t="s">
        <v>4706</v>
      </c>
      <c r="W943" s="56" t="s">
        <v>4707</v>
      </c>
    </row>
    <row r="944" spans="7:23" x14ac:dyDescent="0.3">
      <c r="G944" s="247"/>
      <c r="H944" s="248"/>
      <c r="I944" s="56" t="s">
        <v>25</v>
      </c>
      <c r="J944" s="56" t="s">
        <v>88</v>
      </c>
      <c r="K944" s="56" t="s">
        <v>285</v>
      </c>
      <c r="M944" s="337"/>
      <c r="O944" s="337"/>
      <c r="Q944" s="337"/>
      <c r="S944" s="337"/>
      <c r="T944" s="56">
        <v>5048358.24</v>
      </c>
      <c r="U944" s="56" t="s">
        <v>4668</v>
      </c>
      <c r="V944" s="56" t="s">
        <v>4671</v>
      </c>
      <c r="W944" s="56" t="s">
        <v>4672</v>
      </c>
    </row>
    <row r="945" spans="7:23" x14ac:dyDescent="0.3">
      <c r="G945" s="247"/>
      <c r="H945" s="248"/>
      <c r="I945" s="56" t="s">
        <v>25</v>
      </c>
      <c r="J945" s="56" t="s">
        <v>88</v>
      </c>
      <c r="K945" s="56" t="s">
        <v>285</v>
      </c>
      <c r="L945" s="56">
        <v>577999.81000000006</v>
      </c>
      <c r="M945" s="337">
        <v>0.288999905</v>
      </c>
      <c r="O945" s="337"/>
      <c r="Q945" s="337"/>
      <c r="S945" s="337"/>
      <c r="T945" s="56">
        <v>577999.81000000006</v>
      </c>
      <c r="U945" s="56" t="s">
        <v>4696</v>
      </c>
      <c r="V945" s="56" t="s">
        <v>4708</v>
      </c>
      <c r="W945" s="56" t="s">
        <v>4709</v>
      </c>
    </row>
    <row r="946" spans="7:23" x14ac:dyDescent="0.3">
      <c r="G946" s="247"/>
      <c r="H946" s="248"/>
      <c r="I946" s="56" t="s">
        <v>25</v>
      </c>
      <c r="J946" s="56" t="s">
        <v>88</v>
      </c>
      <c r="K946" s="56" t="s">
        <v>285</v>
      </c>
      <c r="M946" s="337"/>
      <c r="O946" s="337"/>
      <c r="Q946" s="337"/>
      <c r="S946" s="337"/>
      <c r="T946" s="56">
        <v>26908250.329999998</v>
      </c>
      <c r="U946" s="56" t="s">
        <v>4780</v>
      </c>
      <c r="V946" s="56" t="s">
        <v>4784</v>
      </c>
      <c r="W946" s="56" t="s">
        <v>4785</v>
      </c>
    </row>
    <row r="947" spans="7:23" x14ac:dyDescent="0.3">
      <c r="G947" s="247"/>
      <c r="H947" s="248"/>
      <c r="I947" s="56" t="s">
        <v>25</v>
      </c>
      <c r="J947" s="56" t="s">
        <v>88</v>
      </c>
      <c r="K947" s="56" t="s">
        <v>285</v>
      </c>
      <c r="M947" s="337"/>
      <c r="O947" s="337"/>
      <c r="Q947" s="337"/>
      <c r="S947" s="337"/>
      <c r="T947" s="56">
        <v>2828221.1</v>
      </c>
      <c r="U947" s="56" t="s">
        <v>4826</v>
      </c>
      <c r="V947" s="56" t="s">
        <v>4827</v>
      </c>
      <c r="W947" s="56" t="s">
        <v>4828</v>
      </c>
    </row>
    <row r="948" spans="7:23" x14ac:dyDescent="0.3">
      <c r="G948" s="247"/>
      <c r="H948" s="248"/>
      <c r="I948" s="56" t="s">
        <v>25</v>
      </c>
      <c r="J948" s="56" t="s">
        <v>88</v>
      </c>
      <c r="K948" s="56" t="s">
        <v>285</v>
      </c>
      <c r="M948" s="337"/>
      <c r="O948" s="337"/>
      <c r="Q948" s="337"/>
      <c r="S948" s="337"/>
      <c r="T948" s="56">
        <v>851743.54</v>
      </c>
      <c r="U948" s="56" t="s">
        <v>4812</v>
      </c>
      <c r="V948" s="56" t="s">
        <v>4821</v>
      </c>
      <c r="W948" s="56" t="s">
        <v>4822</v>
      </c>
    </row>
    <row r="949" spans="7:23" x14ac:dyDescent="0.3">
      <c r="G949" s="247"/>
      <c r="H949" s="248"/>
      <c r="I949" s="56" t="s">
        <v>25</v>
      </c>
      <c r="J949" s="56" t="s">
        <v>88</v>
      </c>
      <c r="K949" s="56" t="s">
        <v>285</v>
      </c>
      <c r="L949" s="56">
        <v>6351849.1299999999</v>
      </c>
      <c r="M949" s="337">
        <v>0.90740701857142858</v>
      </c>
      <c r="O949" s="337"/>
      <c r="Q949" s="337"/>
      <c r="S949" s="337"/>
      <c r="T949" s="56">
        <v>6351849.1299999999</v>
      </c>
      <c r="U949" s="56" t="s">
        <v>4777</v>
      </c>
      <c r="V949" s="56" t="s">
        <v>4787</v>
      </c>
      <c r="W949" s="56" t="s">
        <v>4788</v>
      </c>
    </row>
    <row r="950" spans="7:23" x14ac:dyDescent="0.3">
      <c r="G950" s="247"/>
      <c r="H950" s="248"/>
      <c r="I950" s="56" t="s">
        <v>25</v>
      </c>
      <c r="J950" s="56" t="s">
        <v>88</v>
      </c>
      <c r="K950" s="56" t="s">
        <v>285</v>
      </c>
      <c r="M950" s="337"/>
      <c r="O950" s="337"/>
      <c r="Q950" s="337"/>
      <c r="S950" s="337"/>
      <c r="T950" s="56">
        <v>4690094.9000000004</v>
      </c>
      <c r="U950" s="56" t="s">
        <v>5668</v>
      </c>
      <c r="V950" s="56" t="s">
        <v>5695</v>
      </c>
      <c r="W950" s="56" t="s">
        <v>5696</v>
      </c>
    </row>
    <row r="951" spans="7:23" x14ac:dyDescent="0.3">
      <c r="G951" s="247"/>
      <c r="H951" s="248"/>
      <c r="I951" s="56" t="s">
        <v>25</v>
      </c>
      <c r="J951" s="56" t="s">
        <v>88</v>
      </c>
      <c r="K951" s="56" t="s">
        <v>285</v>
      </c>
      <c r="M951" s="337"/>
      <c r="O951" s="337"/>
      <c r="Q951" s="337"/>
      <c r="S951" s="337"/>
      <c r="T951" s="56">
        <v>3616728.44</v>
      </c>
      <c r="U951" s="56" t="s">
        <v>5000</v>
      </c>
      <c r="V951" s="56" t="s">
        <v>5001</v>
      </c>
      <c r="W951" s="56" t="s">
        <v>5002</v>
      </c>
    </row>
    <row r="952" spans="7:23" x14ac:dyDescent="0.3">
      <c r="G952" s="247"/>
      <c r="H952" s="248"/>
      <c r="I952" s="56" t="s">
        <v>25</v>
      </c>
      <c r="J952" s="56" t="s">
        <v>88</v>
      </c>
      <c r="K952" s="56" t="s">
        <v>285</v>
      </c>
      <c r="L952" s="56">
        <v>1551997.65</v>
      </c>
      <c r="M952" s="337">
        <v>0.77599882499999995</v>
      </c>
      <c r="N952" s="56">
        <v>1551997.65</v>
      </c>
      <c r="O952" s="337">
        <v>0.77599882499999995</v>
      </c>
      <c r="Q952" s="337"/>
      <c r="S952" s="337"/>
      <c r="T952" s="56">
        <v>1551997.65</v>
      </c>
      <c r="U952" s="56" t="s">
        <v>4968</v>
      </c>
      <c r="V952" s="56" t="s">
        <v>4970</v>
      </c>
      <c r="W952" s="56" t="s">
        <v>4971</v>
      </c>
    </row>
    <row r="953" spans="7:23" x14ac:dyDescent="0.3">
      <c r="G953" s="247"/>
      <c r="H953" s="248"/>
      <c r="I953" s="56" t="s">
        <v>25</v>
      </c>
      <c r="J953" s="56" t="s">
        <v>88</v>
      </c>
      <c r="K953" s="56" t="s">
        <v>285</v>
      </c>
      <c r="M953" s="337"/>
      <c r="O953" s="337"/>
      <c r="Q953" s="337"/>
      <c r="S953" s="337"/>
      <c r="T953" s="56">
        <v>2170037.0299999998</v>
      </c>
      <c r="U953" s="56" t="s">
        <v>5012</v>
      </c>
      <c r="V953" s="56" t="s">
        <v>5015</v>
      </c>
      <c r="W953" s="56" t="s">
        <v>5016</v>
      </c>
    </row>
    <row r="954" spans="7:23" x14ac:dyDescent="0.3">
      <c r="G954" s="247"/>
      <c r="H954" s="248"/>
      <c r="I954" s="56" t="s">
        <v>25</v>
      </c>
      <c r="J954" s="56" t="s">
        <v>88</v>
      </c>
      <c r="K954" s="56" t="s">
        <v>285</v>
      </c>
      <c r="M954" s="337"/>
      <c r="O954" s="337"/>
      <c r="Q954" s="337"/>
      <c r="S954" s="337"/>
      <c r="T954" s="56">
        <v>1627275.47</v>
      </c>
      <c r="U954" s="56" t="s">
        <v>4953</v>
      </c>
      <c r="V954" s="56" t="s">
        <v>4965</v>
      </c>
      <c r="W954" s="56" t="s">
        <v>4966</v>
      </c>
    </row>
    <row r="955" spans="7:23" x14ac:dyDescent="0.3">
      <c r="G955" s="247"/>
      <c r="H955" s="248"/>
      <c r="I955" s="56" t="s">
        <v>25</v>
      </c>
      <c r="J955" s="56" t="s">
        <v>88</v>
      </c>
      <c r="K955" s="56" t="s">
        <v>285</v>
      </c>
      <c r="M955" s="337"/>
      <c r="O955" s="337"/>
      <c r="Q955" s="337"/>
      <c r="S955" s="337"/>
      <c r="T955" s="56">
        <v>5110677.21</v>
      </c>
      <c r="U955" s="56" t="s">
        <v>4998</v>
      </c>
      <c r="V955" s="56" t="s">
        <v>5004</v>
      </c>
      <c r="W955" s="56" t="s">
        <v>5005</v>
      </c>
    </row>
    <row r="956" spans="7:23" x14ac:dyDescent="0.3">
      <c r="G956" s="247"/>
      <c r="H956" s="248"/>
      <c r="I956" s="56" t="s">
        <v>25</v>
      </c>
      <c r="J956" s="56" t="s">
        <v>88</v>
      </c>
      <c r="K956" s="56" t="s">
        <v>285</v>
      </c>
      <c r="M956" s="337"/>
      <c r="O956" s="337"/>
      <c r="Q956" s="337"/>
      <c r="S956" s="337"/>
      <c r="T956" s="56">
        <v>1089209.43</v>
      </c>
      <c r="U956" s="56" t="s">
        <v>4999</v>
      </c>
      <c r="V956" s="56" t="s">
        <v>5009</v>
      </c>
      <c r="W956" s="56" t="s">
        <v>5010</v>
      </c>
    </row>
    <row r="957" spans="7:23" x14ac:dyDescent="0.3">
      <c r="G957" s="247"/>
      <c r="H957" s="248"/>
      <c r="I957" s="56" t="s">
        <v>25</v>
      </c>
      <c r="J957" s="56" t="s">
        <v>88</v>
      </c>
      <c r="K957" s="56" t="s">
        <v>285</v>
      </c>
      <c r="M957" s="337"/>
      <c r="O957" s="337"/>
      <c r="Q957" s="337"/>
      <c r="S957" s="337"/>
      <c r="T957" s="56">
        <v>1087807.04</v>
      </c>
      <c r="U957" s="56" t="s">
        <v>5046</v>
      </c>
      <c r="V957" s="56" t="s">
        <v>5048</v>
      </c>
      <c r="W957" s="56" t="s">
        <v>5049</v>
      </c>
    </row>
    <row r="958" spans="7:23" x14ac:dyDescent="0.3">
      <c r="G958" s="247"/>
      <c r="H958" s="248"/>
      <c r="I958" s="56" t="s">
        <v>25</v>
      </c>
      <c r="J958" s="56" t="s">
        <v>88</v>
      </c>
      <c r="K958" s="56" t="s">
        <v>285</v>
      </c>
      <c r="M958" s="337"/>
      <c r="O958" s="337"/>
      <c r="Q958" s="337"/>
      <c r="S958" s="337"/>
      <c r="T958" s="56">
        <v>3616728.44</v>
      </c>
      <c r="U958" s="56" t="s">
        <v>4997</v>
      </c>
      <c r="V958" s="56" t="s">
        <v>5007</v>
      </c>
      <c r="W958" s="56" t="s">
        <v>5008</v>
      </c>
    </row>
    <row r="959" spans="7:23" x14ac:dyDescent="0.3">
      <c r="G959" s="247"/>
      <c r="H959" s="248"/>
      <c r="I959" s="56" t="s">
        <v>25</v>
      </c>
      <c r="J959" s="56" t="s">
        <v>88</v>
      </c>
      <c r="K959" s="56" t="s">
        <v>285</v>
      </c>
      <c r="L959" s="56">
        <v>1332411.94</v>
      </c>
      <c r="M959" s="337">
        <v>0.53296477600000003</v>
      </c>
      <c r="O959" s="337"/>
      <c r="Q959" s="337"/>
      <c r="S959" s="337"/>
      <c r="T959" s="56">
        <v>1332411.94</v>
      </c>
      <c r="U959" s="56" t="s">
        <v>5053</v>
      </c>
      <c r="V959" s="56" t="s">
        <v>5060</v>
      </c>
      <c r="W959" s="56" t="s">
        <v>5061</v>
      </c>
    </row>
    <row r="960" spans="7:23" x14ac:dyDescent="0.3">
      <c r="G960" s="247"/>
      <c r="H960" s="248"/>
      <c r="I960" s="56" t="s">
        <v>25</v>
      </c>
      <c r="J960" s="56" t="s">
        <v>88</v>
      </c>
      <c r="K960" s="56" t="s">
        <v>285</v>
      </c>
      <c r="M960" s="337"/>
      <c r="O960" s="337"/>
      <c r="Q960" s="337"/>
      <c r="S960" s="337"/>
      <c r="T960" s="56">
        <v>3888962.37</v>
      </c>
      <c r="U960" s="56" t="s">
        <v>5038</v>
      </c>
      <c r="V960" s="56" t="s">
        <v>5039</v>
      </c>
      <c r="W960" s="56" t="s">
        <v>5040</v>
      </c>
    </row>
    <row r="961" spans="7:23" x14ac:dyDescent="0.3">
      <c r="G961" s="247"/>
      <c r="H961" s="248"/>
      <c r="I961" s="56" t="s">
        <v>25</v>
      </c>
      <c r="J961" s="56" t="s">
        <v>88</v>
      </c>
      <c r="K961" s="56" t="s">
        <v>285</v>
      </c>
      <c r="M961" s="337"/>
      <c r="O961" s="337"/>
      <c r="Q961" s="337"/>
      <c r="S961" s="337"/>
      <c r="T961" s="56">
        <v>1332411.94</v>
      </c>
      <c r="U961" s="56" t="s">
        <v>5083</v>
      </c>
      <c r="V961" s="56" t="s">
        <v>5087</v>
      </c>
      <c r="W961" s="56" t="s">
        <v>5088</v>
      </c>
    </row>
    <row r="962" spans="7:23" x14ac:dyDescent="0.3">
      <c r="G962" s="247"/>
      <c r="H962" s="248"/>
      <c r="I962" s="56" t="s">
        <v>25</v>
      </c>
      <c r="J962" s="56" t="s">
        <v>88</v>
      </c>
      <c r="K962" s="56" t="s">
        <v>285</v>
      </c>
      <c r="M962" s="337"/>
      <c r="O962" s="337"/>
      <c r="Q962" s="337"/>
      <c r="S962" s="337"/>
      <c r="T962" s="56">
        <v>3807324.71</v>
      </c>
      <c r="U962" s="56" t="s">
        <v>5025</v>
      </c>
      <c r="V962" s="56" t="s">
        <v>5032</v>
      </c>
      <c r="W962" s="56" t="s">
        <v>5033</v>
      </c>
    </row>
    <row r="963" spans="7:23" x14ac:dyDescent="0.3">
      <c r="G963" s="247"/>
      <c r="H963" s="248"/>
      <c r="I963" s="56" t="s">
        <v>25</v>
      </c>
      <c r="J963" s="56" t="s">
        <v>88</v>
      </c>
      <c r="K963" s="56" t="s">
        <v>285</v>
      </c>
      <c r="L963" s="56">
        <v>2917531.08</v>
      </c>
      <c r="M963" s="337">
        <v>0.83358030857142862</v>
      </c>
      <c r="O963" s="337"/>
      <c r="Q963" s="337"/>
      <c r="S963" s="337"/>
      <c r="T963" s="56">
        <v>2917531.08</v>
      </c>
      <c r="U963" s="56" t="s">
        <v>5285</v>
      </c>
      <c r="V963" s="56" t="s">
        <v>5288</v>
      </c>
      <c r="W963" s="56" t="s">
        <v>5289</v>
      </c>
    </row>
    <row r="964" spans="7:23" x14ac:dyDescent="0.3">
      <c r="G964" s="247"/>
      <c r="H964" s="248"/>
      <c r="I964" s="56" t="s">
        <v>25</v>
      </c>
      <c r="J964" s="56" t="s">
        <v>88</v>
      </c>
      <c r="K964" s="56" t="s">
        <v>285</v>
      </c>
      <c r="M964" s="337"/>
      <c r="O964" s="337"/>
      <c r="Q964" s="337"/>
      <c r="S964" s="337"/>
      <c r="T964" s="56">
        <v>2083950.78</v>
      </c>
      <c r="U964" s="56" t="s">
        <v>5454</v>
      </c>
      <c r="V964" s="56" t="s">
        <v>5467</v>
      </c>
      <c r="W964" s="56" t="s">
        <v>5468</v>
      </c>
    </row>
    <row r="965" spans="7:23" x14ac:dyDescent="0.3">
      <c r="G965" s="247"/>
      <c r="H965" s="248"/>
      <c r="I965" s="56" t="s">
        <v>25</v>
      </c>
      <c r="J965" s="56" t="s">
        <v>88</v>
      </c>
      <c r="K965" s="56" t="s">
        <v>285</v>
      </c>
      <c r="L965" s="56">
        <v>5001481.8600000003</v>
      </c>
      <c r="M965" s="337">
        <v>0.83358030999999999</v>
      </c>
      <c r="O965" s="337"/>
      <c r="Q965" s="337"/>
      <c r="S965" s="337"/>
      <c r="T965" s="56">
        <v>5001481.8600000003</v>
      </c>
      <c r="U965" s="56" t="s">
        <v>5077</v>
      </c>
      <c r="V965" s="56" t="s">
        <v>5079</v>
      </c>
      <c r="W965" s="56" t="s">
        <v>5080</v>
      </c>
    </row>
    <row r="966" spans="7:23" x14ac:dyDescent="0.3">
      <c r="G966" s="247"/>
      <c r="H966" s="248"/>
      <c r="I966" s="56" t="s">
        <v>25</v>
      </c>
      <c r="J966" s="56" t="s">
        <v>88</v>
      </c>
      <c r="K966" s="56" t="s">
        <v>285</v>
      </c>
      <c r="M966" s="337"/>
      <c r="O966" s="337"/>
      <c r="Q966" s="337"/>
      <c r="S966" s="337"/>
      <c r="T966" s="56">
        <v>2131859.11</v>
      </c>
      <c r="U966" s="56" t="s">
        <v>5084</v>
      </c>
      <c r="V966" s="56" t="s">
        <v>5095</v>
      </c>
      <c r="W966" s="56" t="s">
        <v>5096</v>
      </c>
    </row>
    <row r="967" spans="7:23" x14ac:dyDescent="0.3">
      <c r="G967" s="247"/>
      <c r="H967" s="248"/>
      <c r="I967" s="56" t="s">
        <v>25</v>
      </c>
      <c r="J967" s="56" t="s">
        <v>88</v>
      </c>
      <c r="K967" s="56" t="s">
        <v>285</v>
      </c>
      <c r="M967" s="337"/>
      <c r="O967" s="337"/>
      <c r="Q967" s="337"/>
      <c r="S967" s="337"/>
      <c r="T967" s="56">
        <v>9681263.8300000001</v>
      </c>
      <c r="U967" s="56" t="s">
        <v>5085</v>
      </c>
      <c r="V967" s="56" t="s">
        <v>5092</v>
      </c>
      <c r="W967" s="56" t="s">
        <v>5093</v>
      </c>
    </row>
    <row r="968" spans="7:23" x14ac:dyDescent="0.3">
      <c r="G968" s="247"/>
      <c r="H968" s="248"/>
      <c r="I968" s="56" t="s">
        <v>25</v>
      </c>
      <c r="J968" s="56" t="s">
        <v>88</v>
      </c>
      <c r="K968" s="56" t="s">
        <v>285</v>
      </c>
      <c r="M968" s="337"/>
      <c r="O968" s="337"/>
      <c r="Q968" s="337"/>
      <c r="S968" s="337"/>
      <c r="T968" s="56">
        <v>3327814.25</v>
      </c>
      <c r="U968" s="56" t="s">
        <v>5235</v>
      </c>
      <c r="V968" s="56" t="s">
        <v>5236</v>
      </c>
      <c r="W968" s="56" t="s">
        <v>5237</v>
      </c>
    </row>
    <row r="969" spans="7:23" x14ac:dyDescent="0.3">
      <c r="G969" s="247"/>
      <c r="H969" s="248"/>
      <c r="I969" s="56" t="s">
        <v>25</v>
      </c>
      <c r="J969" s="56" t="s">
        <v>88</v>
      </c>
      <c r="K969" s="56" t="s">
        <v>285</v>
      </c>
      <c r="L969" s="56">
        <v>23705861.850000001</v>
      </c>
      <c r="M969" s="337">
        <v>0.94823447399999994</v>
      </c>
      <c r="O969" s="337"/>
      <c r="Q969" s="337"/>
      <c r="S969" s="337"/>
      <c r="T969" s="56">
        <v>23705861.850000001</v>
      </c>
      <c r="U969" s="56" t="s">
        <v>5320</v>
      </c>
      <c r="V969" s="56" t="s">
        <v>5324</v>
      </c>
      <c r="W969" s="56" t="s">
        <v>5325</v>
      </c>
    </row>
    <row r="970" spans="7:23" x14ac:dyDescent="0.3">
      <c r="G970" s="247"/>
      <c r="H970" s="248"/>
      <c r="I970" s="56" t="s">
        <v>25</v>
      </c>
      <c r="J970" s="56" t="s">
        <v>88</v>
      </c>
      <c r="K970" s="56" t="s">
        <v>285</v>
      </c>
      <c r="M970" s="337"/>
      <c r="O970" s="337"/>
      <c r="Q970" s="337"/>
      <c r="S970" s="337"/>
      <c r="T970" s="56">
        <v>2131859.11</v>
      </c>
      <c r="U970" s="56" t="s">
        <v>5192</v>
      </c>
      <c r="V970" s="56" t="s">
        <v>5207</v>
      </c>
      <c r="W970" s="56" t="s">
        <v>5208</v>
      </c>
    </row>
    <row r="971" spans="7:23" x14ac:dyDescent="0.3">
      <c r="G971" s="247"/>
      <c r="H971" s="248"/>
      <c r="I971" s="56" t="s">
        <v>25</v>
      </c>
      <c r="J971" s="56" t="s">
        <v>88</v>
      </c>
      <c r="K971" s="56" t="s">
        <v>285</v>
      </c>
      <c r="L971" s="56">
        <v>2379976.25</v>
      </c>
      <c r="M971" s="337">
        <v>0.59499406249999998</v>
      </c>
      <c r="O971" s="337"/>
      <c r="Q971" s="337"/>
      <c r="S971" s="337"/>
      <c r="T971" s="56">
        <v>2379976.25</v>
      </c>
      <c r="U971" s="56" t="s">
        <v>5174</v>
      </c>
      <c r="V971" s="56" t="s">
        <v>5175</v>
      </c>
      <c r="W971" s="56" t="s">
        <v>5176</v>
      </c>
    </row>
    <row r="972" spans="7:23" x14ac:dyDescent="0.3">
      <c r="G972" s="247"/>
      <c r="H972" s="248"/>
      <c r="I972" s="56" t="s">
        <v>25</v>
      </c>
      <c r="J972" s="56" t="s">
        <v>88</v>
      </c>
      <c r="K972" s="56" t="s">
        <v>285</v>
      </c>
      <c r="M972" s="337"/>
      <c r="O972" s="337"/>
      <c r="Q972" s="337"/>
      <c r="S972" s="337"/>
      <c r="T972" s="56">
        <v>1598894.34</v>
      </c>
      <c r="U972" s="56" t="s">
        <v>5210</v>
      </c>
      <c r="V972" s="56" t="s">
        <v>5218</v>
      </c>
      <c r="W972" s="56" t="s">
        <v>5219</v>
      </c>
    </row>
    <row r="973" spans="7:23" x14ac:dyDescent="0.3">
      <c r="G973" s="247"/>
      <c r="H973" s="248"/>
      <c r="I973" s="56" t="s">
        <v>25</v>
      </c>
      <c r="J973" s="56" t="s">
        <v>88</v>
      </c>
      <c r="K973" s="56" t="s">
        <v>285</v>
      </c>
      <c r="L973" s="56">
        <v>3334321.23</v>
      </c>
      <c r="M973" s="337">
        <v>0.83358030750000001</v>
      </c>
      <c r="O973" s="337"/>
      <c r="Q973" s="337"/>
      <c r="S973" s="337"/>
      <c r="T973" s="56">
        <v>3334321.23</v>
      </c>
      <c r="U973" s="56" t="s">
        <v>5166</v>
      </c>
      <c r="V973" s="56" t="s">
        <v>5171</v>
      </c>
      <c r="W973" s="56" t="s">
        <v>5172</v>
      </c>
    </row>
    <row r="974" spans="7:23" x14ac:dyDescent="0.3">
      <c r="G974" s="247"/>
      <c r="H974" s="248"/>
      <c r="I974" s="56" t="s">
        <v>25</v>
      </c>
      <c r="J974" s="56" t="s">
        <v>88</v>
      </c>
      <c r="K974" s="56" t="s">
        <v>285</v>
      </c>
      <c r="L974" s="56">
        <v>2736941.4</v>
      </c>
      <c r="M974" s="337">
        <v>0.7819832571428571</v>
      </c>
      <c r="O974" s="337"/>
      <c r="Q974" s="337"/>
      <c r="S974" s="337"/>
      <c r="T974" s="56">
        <v>2736941.4</v>
      </c>
      <c r="U974" s="56" t="s">
        <v>5253</v>
      </c>
      <c r="V974" s="56" t="s">
        <v>5265</v>
      </c>
      <c r="W974" s="56" t="s">
        <v>5266</v>
      </c>
    </row>
    <row r="975" spans="7:23" x14ac:dyDescent="0.3">
      <c r="G975" s="247"/>
      <c r="H975" s="248"/>
      <c r="I975" s="56" t="s">
        <v>25</v>
      </c>
      <c r="J975" s="56" t="s">
        <v>88</v>
      </c>
      <c r="K975" s="56" t="s">
        <v>285</v>
      </c>
      <c r="M975" s="337"/>
      <c r="O975" s="337"/>
      <c r="Q975" s="337"/>
      <c r="S975" s="337"/>
      <c r="T975" s="56">
        <v>5374100.46</v>
      </c>
      <c r="U975" s="56" t="s">
        <v>5638</v>
      </c>
      <c r="V975" s="56" t="s">
        <v>5661</v>
      </c>
      <c r="W975" s="56" t="s">
        <v>5662</v>
      </c>
    </row>
    <row r="976" spans="7:23" x14ac:dyDescent="0.3">
      <c r="G976" s="247"/>
      <c r="H976" s="248"/>
      <c r="I976" s="56" t="s">
        <v>25</v>
      </c>
      <c r="J976" s="56" t="s">
        <v>88</v>
      </c>
      <c r="K976" s="56" t="s">
        <v>285</v>
      </c>
      <c r="M976" s="337"/>
      <c r="O976" s="337"/>
      <c r="Q976" s="337"/>
      <c r="S976" s="337"/>
      <c r="T976" s="56">
        <v>3334321.23</v>
      </c>
      <c r="U976" s="56" t="s">
        <v>5294</v>
      </c>
      <c r="V976" s="56" t="s">
        <v>5301</v>
      </c>
      <c r="W976" s="56" t="s">
        <v>5302</v>
      </c>
    </row>
    <row r="977" spans="7:23" x14ac:dyDescent="0.3">
      <c r="G977" s="247"/>
      <c r="H977" s="248"/>
      <c r="I977" s="56" t="s">
        <v>25</v>
      </c>
      <c r="J977" s="56" t="s">
        <v>88</v>
      </c>
      <c r="K977" s="56" t="s">
        <v>285</v>
      </c>
      <c r="L977" s="56">
        <v>9343238.6799999997</v>
      </c>
      <c r="M977" s="337">
        <v>0.77860322333333332</v>
      </c>
      <c r="O977" s="337"/>
      <c r="Q977" s="337"/>
      <c r="S977" s="337"/>
      <c r="T977" s="56">
        <v>9343238.6799999997</v>
      </c>
      <c r="U977" s="56" t="s">
        <v>5284</v>
      </c>
      <c r="V977" s="56" t="s">
        <v>5290</v>
      </c>
      <c r="W977" s="56" t="s">
        <v>5291</v>
      </c>
    </row>
    <row r="978" spans="7:23" x14ac:dyDescent="0.3">
      <c r="G978" s="247"/>
      <c r="H978" s="248"/>
      <c r="I978" s="56" t="s">
        <v>25</v>
      </c>
      <c r="J978" s="56" t="s">
        <v>88</v>
      </c>
      <c r="K978" s="56" t="s">
        <v>285</v>
      </c>
      <c r="L978" s="56">
        <v>2728654.36</v>
      </c>
      <c r="M978" s="337">
        <v>0.77961553142857143</v>
      </c>
      <c r="O978" s="337"/>
      <c r="Q978" s="337"/>
      <c r="S978" s="337"/>
      <c r="T978" s="56">
        <v>2728654.36</v>
      </c>
      <c r="U978" s="56" t="s">
        <v>5272</v>
      </c>
      <c r="V978" s="56" t="s">
        <v>5280</v>
      </c>
      <c r="W978" s="56" t="s">
        <v>5281</v>
      </c>
    </row>
    <row r="979" spans="7:23" x14ac:dyDescent="0.3">
      <c r="G979" s="247"/>
      <c r="H979" s="248"/>
      <c r="I979" s="56" t="s">
        <v>25</v>
      </c>
      <c r="J979" s="56" t="s">
        <v>88</v>
      </c>
      <c r="K979" s="56" t="s">
        <v>285</v>
      </c>
      <c r="M979" s="337"/>
      <c r="O979" s="337"/>
      <c r="Q979" s="337"/>
      <c r="S979" s="337"/>
      <c r="T979" s="56">
        <v>5001481.8600000003</v>
      </c>
      <c r="U979" s="56" t="s">
        <v>5305</v>
      </c>
      <c r="V979" s="56" t="s">
        <v>5317</v>
      </c>
      <c r="W979" s="56" t="s">
        <v>5318</v>
      </c>
    </row>
    <row r="980" spans="7:23" x14ac:dyDescent="0.3">
      <c r="G980" s="247"/>
      <c r="H980" s="248"/>
      <c r="I980" s="56" t="s">
        <v>25</v>
      </c>
      <c r="J980" s="56" t="s">
        <v>88</v>
      </c>
      <c r="K980" s="56" t="s">
        <v>285</v>
      </c>
      <c r="M980" s="337"/>
      <c r="O980" s="337"/>
      <c r="Q980" s="337"/>
      <c r="S980" s="337"/>
      <c r="T980" s="56">
        <v>2234137.79</v>
      </c>
      <c r="U980" s="56" t="s">
        <v>5273</v>
      </c>
      <c r="V980" s="56" t="s">
        <v>5278</v>
      </c>
      <c r="W980" s="56" t="s">
        <v>5279</v>
      </c>
    </row>
    <row r="981" spans="7:23" x14ac:dyDescent="0.3">
      <c r="G981" s="247"/>
      <c r="H981" s="248"/>
      <c r="I981" s="56" t="s">
        <v>25</v>
      </c>
      <c r="J981" s="56" t="s">
        <v>88</v>
      </c>
      <c r="K981" s="56" t="s">
        <v>285</v>
      </c>
      <c r="L981" s="56">
        <v>4593105.8899999997</v>
      </c>
      <c r="M981" s="337">
        <v>0.91862117799999998</v>
      </c>
      <c r="O981" s="337"/>
      <c r="Q981" s="337"/>
      <c r="S981" s="337"/>
      <c r="T981" s="56">
        <v>4593105.8899999997</v>
      </c>
      <c r="U981" s="56" t="s">
        <v>5518</v>
      </c>
      <c r="V981" s="56" t="s">
        <v>5522</v>
      </c>
      <c r="W981" s="56" t="s">
        <v>5523</v>
      </c>
    </row>
    <row r="982" spans="7:23" x14ac:dyDescent="0.3">
      <c r="I982" s="56" t="s">
        <v>25</v>
      </c>
      <c r="J982" s="56" t="s">
        <v>88</v>
      </c>
      <c r="K982" s="56" t="s">
        <v>285</v>
      </c>
      <c r="T982" s="56">
        <v>4987545.6500000004</v>
      </c>
      <c r="U982" s="56" t="s">
        <v>5418</v>
      </c>
      <c r="V982" s="56" t="s">
        <v>5419</v>
      </c>
      <c r="W982" s="56" t="s">
        <v>5420</v>
      </c>
    </row>
    <row r="983" spans="7:23" x14ac:dyDescent="0.3">
      <c r="I983" s="56" t="s">
        <v>25</v>
      </c>
      <c r="J983" s="56" t="s">
        <v>88</v>
      </c>
      <c r="K983" s="56" t="s">
        <v>285</v>
      </c>
      <c r="T983" s="56">
        <v>3471030.59</v>
      </c>
      <c r="U983" s="56" t="s">
        <v>5433</v>
      </c>
      <c r="V983" s="56" t="s">
        <v>5440</v>
      </c>
      <c r="W983" s="56" t="s">
        <v>5441</v>
      </c>
    </row>
    <row r="984" spans="7:23" x14ac:dyDescent="0.3">
      <c r="I984" s="56" t="s">
        <v>25</v>
      </c>
      <c r="J984" s="56" t="s">
        <v>88</v>
      </c>
      <c r="K984" s="56" t="s">
        <v>285</v>
      </c>
      <c r="T984" s="56">
        <v>5206545.87</v>
      </c>
      <c r="U984" s="56" t="s">
        <v>5456</v>
      </c>
      <c r="V984" s="56" t="s">
        <v>5471</v>
      </c>
      <c r="W984" s="56" t="s">
        <v>5472</v>
      </c>
    </row>
    <row r="985" spans="7:23" x14ac:dyDescent="0.3">
      <c r="I985" s="56" t="s">
        <v>25</v>
      </c>
      <c r="J985" s="56" t="s">
        <v>88</v>
      </c>
      <c r="K985" s="56" t="s">
        <v>285</v>
      </c>
      <c r="L985" s="56">
        <v>19564351.399999999</v>
      </c>
      <c r="M985" s="56">
        <v>0.97821756999999998</v>
      </c>
      <c r="T985" s="56">
        <v>19564351.399999999</v>
      </c>
      <c r="U985" s="56" t="s">
        <v>5821</v>
      </c>
      <c r="V985" s="56" t="s">
        <v>5825</v>
      </c>
      <c r="W985" s="56" t="s">
        <v>5826</v>
      </c>
    </row>
    <row r="986" spans="7:23" x14ac:dyDescent="0.3">
      <c r="I986" s="56" t="s">
        <v>25</v>
      </c>
      <c r="J986" s="56" t="s">
        <v>88</v>
      </c>
      <c r="K986" s="56" t="s">
        <v>285</v>
      </c>
      <c r="L986" s="56">
        <v>4318687.12</v>
      </c>
      <c r="M986" s="56">
        <v>0.86373742399999998</v>
      </c>
      <c r="T986" s="56">
        <v>4318687.12</v>
      </c>
      <c r="U986" s="56" t="s">
        <v>5496</v>
      </c>
      <c r="V986" s="56" t="s">
        <v>5504</v>
      </c>
      <c r="W986" s="56" t="s">
        <v>5505</v>
      </c>
    </row>
    <row r="987" spans="7:23" x14ac:dyDescent="0.3">
      <c r="I987" s="56" t="s">
        <v>25</v>
      </c>
      <c r="J987" s="56" t="s">
        <v>88</v>
      </c>
      <c r="K987" s="56" t="s">
        <v>285</v>
      </c>
      <c r="T987" s="56">
        <v>29232395.059999999</v>
      </c>
      <c r="U987" s="56" t="s">
        <v>5848</v>
      </c>
      <c r="V987" s="56" t="s">
        <v>5855</v>
      </c>
      <c r="W987" s="56" t="s">
        <v>5856</v>
      </c>
    </row>
    <row r="988" spans="7:23" x14ac:dyDescent="0.3">
      <c r="I988" s="56" t="s">
        <v>25</v>
      </c>
      <c r="J988" s="56" t="s">
        <v>88</v>
      </c>
      <c r="K988" s="56" t="s">
        <v>285</v>
      </c>
      <c r="L988" s="56">
        <v>2755863.53</v>
      </c>
      <c r="M988" s="56">
        <v>0.91862117666666665</v>
      </c>
      <c r="T988" s="56">
        <v>2755863.53</v>
      </c>
      <c r="U988" s="56" t="s">
        <v>5554</v>
      </c>
      <c r="V988" s="56" t="s">
        <v>5562</v>
      </c>
      <c r="W988" s="56" t="s">
        <v>5563</v>
      </c>
    </row>
    <row r="989" spans="7:23" x14ac:dyDescent="0.3">
      <c r="I989" s="56" t="s">
        <v>25</v>
      </c>
      <c r="J989" s="56" t="s">
        <v>88</v>
      </c>
      <c r="K989" s="56" t="s">
        <v>285</v>
      </c>
      <c r="T989" s="56">
        <v>1387821.23</v>
      </c>
      <c r="U989" s="56" t="s">
        <v>5593</v>
      </c>
      <c r="V989" s="56" t="s">
        <v>5602</v>
      </c>
      <c r="W989" s="56" t="s">
        <v>5603</v>
      </c>
    </row>
    <row r="990" spans="7:23" x14ac:dyDescent="0.3">
      <c r="I990" s="56" t="s">
        <v>25</v>
      </c>
      <c r="J990" s="56" t="s">
        <v>88</v>
      </c>
      <c r="K990" s="56" t="s">
        <v>285</v>
      </c>
      <c r="T990" s="56">
        <v>3149307.84</v>
      </c>
      <c r="U990" s="56" t="s">
        <v>5594</v>
      </c>
      <c r="V990" s="56" t="s">
        <v>5604</v>
      </c>
      <c r="W990" s="56" t="s">
        <v>5605</v>
      </c>
    </row>
    <row r="991" spans="7:23" x14ac:dyDescent="0.3">
      <c r="I991" s="56" t="s">
        <v>25</v>
      </c>
      <c r="J991" s="56" t="s">
        <v>88</v>
      </c>
      <c r="K991" s="56" t="s">
        <v>285</v>
      </c>
      <c r="T991" s="56">
        <v>7188158.8899999997</v>
      </c>
      <c r="U991" s="56" t="s">
        <v>5612</v>
      </c>
      <c r="V991" s="56" t="s">
        <v>5623</v>
      </c>
      <c r="W991" s="56" t="s">
        <v>5624</v>
      </c>
    </row>
    <row r="992" spans="7:23" x14ac:dyDescent="0.3">
      <c r="I992" s="56" t="s">
        <v>25</v>
      </c>
      <c r="J992" s="56" t="s">
        <v>88</v>
      </c>
      <c r="K992" s="56" t="s">
        <v>285</v>
      </c>
      <c r="T992" s="56">
        <v>4703520.75</v>
      </c>
      <c r="U992" s="56" t="s">
        <v>5609</v>
      </c>
      <c r="V992" s="56" t="s">
        <v>5628</v>
      </c>
      <c r="W992" s="56" t="s">
        <v>5629</v>
      </c>
    </row>
    <row r="993" spans="9:23" x14ac:dyDescent="0.3">
      <c r="I993" s="56" t="s">
        <v>25</v>
      </c>
      <c r="J993" s="56" t="s">
        <v>88</v>
      </c>
      <c r="K993" s="56" t="s">
        <v>285</v>
      </c>
      <c r="T993" s="56">
        <v>856008.44</v>
      </c>
      <c r="U993" s="56" t="s">
        <v>5611</v>
      </c>
      <c r="V993" s="56" t="s">
        <v>5630</v>
      </c>
      <c r="W993" s="56" t="s">
        <v>5631</v>
      </c>
    </row>
    <row r="994" spans="9:23" x14ac:dyDescent="0.3">
      <c r="I994" s="56" t="s">
        <v>25</v>
      </c>
      <c r="J994" s="56" t="s">
        <v>88</v>
      </c>
      <c r="K994" s="56" t="s">
        <v>285</v>
      </c>
      <c r="L994" s="56">
        <v>4999790.24</v>
      </c>
      <c r="M994" s="56">
        <v>0.9999580480000001</v>
      </c>
      <c r="T994" s="56">
        <v>4999790.24</v>
      </c>
      <c r="U994" s="56" t="s">
        <v>5849</v>
      </c>
      <c r="V994" s="56" t="s">
        <v>5859</v>
      </c>
      <c r="W994" s="56" t="s">
        <v>5860</v>
      </c>
    </row>
    <row r="995" spans="9:23" x14ac:dyDescent="0.3">
      <c r="I995" s="56" t="s">
        <v>25</v>
      </c>
      <c r="J995" s="56" t="s">
        <v>88</v>
      </c>
      <c r="K995" s="56" t="s">
        <v>285</v>
      </c>
      <c r="T995" s="56">
        <v>4612884.82</v>
      </c>
      <c r="U995" s="56" t="s">
        <v>5640</v>
      </c>
      <c r="V995" s="56" t="s">
        <v>5663</v>
      </c>
      <c r="W995" s="56" t="s">
        <v>5664</v>
      </c>
    </row>
    <row r="996" spans="9:23" x14ac:dyDescent="0.3">
      <c r="I996" s="56" t="s">
        <v>25</v>
      </c>
      <c r="J996" s="56" t="s">
        <v>88</v>
      </c>
      <c r="K996" s="56" t="s">
        <v>285</v>
      </c>
      <c r="L996" s="56">
        <v>8462910.6300000008</v>
      </c>
      <c r="M996" s="56">
        <v>0.94032340333333342</v>
      </c>
      <c r="T996" s="56">
        <v>8462910.6300000008</v>
      </c>
      <c r="U996" s="56" t="s">
        <v>5831</v>
      </c>
      <c r="V996" s="56" t="s">
        <v>5839</v>
      </c>
      <c r="W996" s="56" t="s">
        <v>5840</v>
      </c>
    </row>
    <row r="997" spans="9:23" x14ac:dyDescent="0.3">
      <c r="I997" s="56" t="s">
        <v>25</v>
      </c>
      <c r="J997" s="56" t="s">
        <v>88</v>
      </c>
      <c r="K997" s="56" t="s">
        <v>285</v>
      </c>
      <c r="T997" s="56">
        <v>875298.53</v>
      </c>
      <c r="U997" s="56" t="s">
        <v>5806</v>
      </c>
      <c r="V997" s="56" t="s">
        <v>5817</v>
      </c>
      <c r="W997" s="56" t="s">
        <v>5818</v>
      </c>
    </row>
    <row r="998" spans="9:23" x14ac:dyDescent="0.3">
      <c r="I998" s="56" t="s">
        <v>25</v>
      </c>
      <c r="J998" s="56" t="s">
        <v>88</v>
      </c>
      <c r="K998" s="56" t="s">
        <v>285</v>
      </c>
      <c r="T998" s="56">
        <v>1340085.52</v>
      </c>
      <c r="U998" s="56" t="s">
        <v>5749</v>
      </c>
      <c r="V998" s="56" t="s">
        <v>5756</v>
      </c>
      <c r="W998" s="56" t="s">
        <v>5757</v>
      </c>
    </row>
    <row r="999" spans="9:23" x14ac:dyDescent="0.3">
      <c r="I999" s="56" t="s">
        <v>25</v>
      </c>
      <c r="J999" s="56" t="s">
        <v>88</v>
      </c>
      <c r="K999" s="56" t="s">
        <v>285</v>
      </c>
      <c r="T999" s="56">
        <v>4593105.8899999997</v>
      </c>
      <c r="U999" s="56" t="s">
        <v>5780</v>
      </c>
      <c r="V999" s="56" t="s">
        <v>5791</v>
      </c>
      <c r="W999" s="56" t="s">
        <v>5792</v>
      </c>
    </row>
    <row r="1000" spans="9:23" x14ac:dyDescent="0.3">
      <c r="I1000" s="56" t="s">
        <v>25</v>
      </c>
      <c r="J1000" s="56" t="s">
        <v>88</v>
      </c>
      <c r="K1000" s="56" t="s">
        <v>285</v>
      </c>
      <c r="T1000" s="56">
        <v>6448808.5800000001</v>
      </c>
      <c r="U1000" s="56" t="s">
        <v>5672</v>
      </c>
      <c r="V1000" s="56" t="s">
        <v>5700</v>
      </c>
      <c r="W1000" s="56" t="s">
        <v>5701</v>
      </c>
    </row>
    <row r="1001" spans="9:23" x14ac:dyDescent="0.3">
      <c r="I1001" s="56" t="s">
        <v>25</v>
      </c>
      <c r="J1001" s="56" t="s">
        <v>88</v>
      </c>
      <c r="K1001" s="56" t="s">
        <v>285</v>
      </c>
      <c r="T1001" s="56">
        <v>1381887.55</v>
      </c>
      <c r="U1001" s="56" t="s">
        <v>5674</v>
      </c>
      <c r="V1001" s="56" t="s">
        <v>5698</v>
      </c>
      <c r="W1001" s="56" t="s">
        <v>5699</v>
      </c>
    </row>
    <row r="1002" spans="9:23" x14ac:dyDescent="0.3">
      <c r="I1002" s="56" t="s">
        <v>25</v>
      </c>
      <c r="J1002" s="56" t="s">
        <v>88</v>
      </c>
      <c r="K1002" s="56" t="s">
        <v>285</v>
      </c>
      <c r="T1002" s="56">
        <v>1800000</v>
      </c>
      <c r="U1002" s="56" t="s">
        <v>5942</v>
      </c>
      <c r="V1002" s="56" t="s">
        <v>5953</v>
      </c>
      <c r="W1002" s="56" t="s">
        <v>5954</v>
      </c>
    </row>
    <row r="1003" spans="9:23" x14ac:dyDescent="0.3">
      <c r="I1003" s="56" t="s">
        <v>25</v>
      </c>
      <c r="J1003" s="56" t="s">
        <v>88</v>
      </c>
      <c r="K1003" s="56" t="s">
        <v>285</v>
      </c>
      <c r="T1003" s="56">
        <v>26136539.16</v>
      </c>
      <c r="U1003" s="56" t="s">
        <v>5712</v>
      </c>
      <c r="V1003" s="56" t="s">
        <v>5721</v>
      </c>
      <c r="W1003" s="56" t="s">
        <v>5722</v>
      </c>
    </row>
    <row r="1004" spans="9:23" x14ac:dyDescent="0.3">
      <c r="I1004" s="56" t="s">
        <v>25</v>
      </c>
      <c r="J1004" s="56" t="s">
        <v>88</v>
      </c>
      <c r="K1004" s="56" t="s">
        <v>285</v>
      </c>
      <c r="T1004" s="56">
        <v>4593105.8899999997</v>
      </c>
      <c r="U1004" s="56" t="s">
        <v>5850</v>
      </c>
      <c r="V1004" s="56" t="s">
        <v>5862</v>
      </c>
      <c r="W1004" s="56" t="s">
        <v>5863</v>
      </c>
    </row>
    <row r="1005" spans="9:23" x14ac:dyDescent="0.3">
      <c r="I1005" s="56" t="s">
        <v>25</v>
      </c>
      <c r="J1005" s="56" t="s">
        <v>88</v>
      </c>
      <c r="K1005" s="56" t="s">
        <v>285</v>
      </c>
      <c r="T1005" s="56">
        <v>15868613.060000001</v>
      </c>
      <c r="U1005" s="56" t="s">
        <v>5893</v>
      </c>
      <c r="V1005" s="56" t="s">
        <v>5911</v>
      </c>
      <c r="W1005" s="56" t="s">
        <v>5912</v>
      </c>
    </row>
    <row r="1006" spans="9:23" x14ac:dyDescent="0.3">
      <c r="I1006" s="56" t="s">
        <v>25</v>
      </c>
      <c r="J1006" s="56" t="s">
        <v>88</v>
      </c>
      <c r="K1006" s="56" t="s">
        <v>285</v>
      </c>
      <c r="T1006" s="56">
        <v>4000000</v>
      </c>
      <c r="U1006" s="56" t="s">
        <v>6007</v>
      </c>
      <c r="V1006" s="56" t="s">
        <v>6011</v>
      </c>
      <c r="W1006" s="56" t="s">
        <v>6012</v>
      </c>
    </row>
    <row r="1007" spans="9:23" x14ac:dyDescent="0.3">
      <c r="I1007" s="56" t="s">
        <v>25</v>
      </c>
      <c r="J1007" s="56" t="s">
        <v>88</v>
      </c>
      <c r="K1007" s="56" t="s">
        <v>285</v>
      </c>
      <c r="T1007" s="56">
        <v>3674484.71</v>
      </c>
      <c r="U1007" s="56" t="s">
        <v>5779</v>
      </c>
      <c r="V1007" s="56" t="s">
        <v>5789</v>
      </c>
      <c r="W1007" s="56" t="s">
        <v>5790</v>
      </c>
    </row>
    <row r="1008" spans="9:23" x14ac:dyDescent="0.3">
      <c r="I1008" s="56" t="s">
        <v>25</v>
      </c>
      <c r="J1008" s="56" t="s">
        <v>88</v>
      </c>
      <c r="K1008" s="56" t="s">
        <v>285</v>
      </c>
      <c r="T1008" s="56">
        <v>2755863.53</v>
      </c>
      <c r="U1008" s="56" t="s">
        <v>5777</v>
      </c>
      <c r="V1008" s="56" t="s">
        <v>5794</v>
      </c>
      <c r="W1008" s="56" t="s">
        <v>5795</v>
      </c>
    </row>
    <row r="1009" spans="9:23" x14ac:dyDescent="0.3">
      <c r="I1009" s="56" t="s">
        <v>25</v>
      </c>
      <c r="J1009" s="56" t="s">
        <v>88</v>
      </c>
      <c r="K1009" s="56" t="s">
        <v>285</v>
      </c>
      <c r="T1009" s="56">
        <v>4593105.8899999997</v>
      </c>
      <c r="U1009" s="56" t="s">
        <v>5846</v>
      </c>
      <c r="V1009" s="56" t="s">
        <v>5857</v>
      </c>
      <c r="W1009" s="56" t="s">
        <v>5858</v>
      </c>
    </row>
    <row r="1010" spans="9:23" x14ac:dyDescent="0.3">
      <c r="I1010" s="56" t="s">
        <v>25</v>
      </c>
      <c r="J1010" s="56" t="s">
        <v>88</v>
      </c>
      <c r="K1010" s="56" t="s">
        <v>285</v>
      </c>
      <c r="L1010" s="56">
        <v>6000000</v>
      </c>
      <c r="M1010" s="56">
        <v>1</v>
      </c>
      <c r="T1010" s="56">
        <v>6000000</v>
      </c>
      <c r="U1010" s="56" t="s">
        <v>5870</v>
      </c>
      <c r="V1010" s="56" t="s">
        <v>5875</v>
      </c>
      <c r="W1010" s="56" t="s">
        <v>5876</v>
      </c>
    </row>
    <row r="1011" spans="9:23" x14ac:dyDescent="0.3">
      <c r="I1011" s="56" t="s">
        <v>25</v>
      </c>
      <c r="J1011" s="56" t="s">
        <v>88</v>
      </c>
      <c r="K1011" s="56" t="s">
        <v>285</v>
      </c>
      <c r="T1011" s="56">
        <v>1469793.89</v>
      </c>
      <c r="U1011" s="56" t="s">
        <v>5868</v>
      </c>
      <c r="V1011" s="56" t="s">
        <v>5877</v>
      </c>
      <c r="W1011" s="56" t="s">
        <v>5878</v>
      </c>
    </row>
    <row r="1012" spans="9:23" x14ac:dyDescent="0.3">
      <c r="I1012" s="56" t="s">
        <v>25</v>
      </c>
      <c r="J1012" s="56" t="s">
        <v>88</v>
      </c>
      <c r="K1012" s="56" t="s">
        <v>285</v>
      </c>
      <c r="T1012" s="56">
        <v>6000000</v>
      </c>
      <c r="U1012" s="56" t="s">
        <v>6001</v>
      </c>
      <c r="V1012" s="56" t="s">
        <v>6004</v>
      </c>
      <c r="W1012" s="56" t="s">
        <v>6005</v>
      </c>
    </row>
    <row r="1013" spans="9:23" x14ac:dyDescent="0.3">
      <c r="I1013" s="56" t="s">
        <v>25</v>
      </c>
      <c r="J1013" s="56" t="s">
        <v>88</v>
      </c>
      <c r="K1013" s="56" t="s">
        <v>285</v>
      </c>
      <c r="T1013" s="56">
        <v>10000000</v>
      </c>
      <c r="U1013" s="56" t="s">
        <v>5965</v>
      </c>
      <c r="V1013" s="56" t="s">
        <v>5966</v>
      </c>
      <c r="W1013" s="56" t="s">
        <v>5967</v>
      </c>
    </row>
    <row r="1014" spans="9:23" x14ac:dyDescent="0.3">
      <c r="I1014" s="56" t="s">
        <v>25</v>
      </c>
      <c r="J1014" s="56" t="s">
        <v>88</v>
      </c>
      <c r="K1014" s="56" t="s">
        <v>285</v>
      </c>
      <c r="T1014" s="56">
        <v>4500000</v>
      </c>
      <c r="U1014" s="56" t="s">
        <v>5920</v>
      </c>
      <c r="V1014" s="56" t="s">
        <v>5933</v>
      </c>
      <c r="W1014" s="56" t="s">
        <v>5934</v>
      </c>
    </row>
    <row r="1015" spans="9:23" x14ac:dyDescent="0.3">
      <c r="I1015" s="56" t="s">
        <v>25</v>
      </c>
      <c r="J1015" s="56" t="s">
        <v>88</v>
      </c>
      <c r="K1015" s="56" t="s">
        <v>285</v>
      </c>
      <c r="T1015" s="56">
        <v>3215174.12</v>
      </c>
      <c r="U1015" s="56" t="s">
        <v>5894</v>
      </c>
      <c r="V1015" s="56" t="s">
        <v>5909</v>
      </c>
      <c r="W1015" s="56" t="s">
        <v>5910</v>
      </c>
    </row>
    <row r="1016" spans="9:23" x14ac:dyDescent="0.3">
      <c r="I1016" s="56" t="s">
        <v>25</v>
      </c>
      <c r="J1016" s="56" t="s">
        <v>88</v>
      </c>
      <c r="K1016" s="56" t="s">
        <v>285</v>
      </c>
      <c r="T1016" s="56">
        <v>20000000</v>
      </c>
      <c r="U1016" s="56" t="s">
        <v>5969</v>
      </c>
      <c r="V1016" s="56" t="s">
        <v>5986</v>
      </c>
      <c r="W1016" s="56" t="s">
        <v>5987</v>
      </c>
    </row>
    <row r="1017" spans="9:23" x14ac:dyDescent="0.3">
      <c r="I1017" s="56" t="s">
        <v>25</v>
      </c>
      <c r="J1017" s="56" t="s">
        <v>88</v>
      </c>
      <c r="K1017" s="56" t="s">
        <v>285</v>
      </c>
      <c r="T1017" s="56">
        <v>4000000</v>
      </c>
      <c r="U1017" s="56" t="s">
        <v>5941</v>
      </c>
      <c r="V1017" s="56" t="s">
        <v>5948</v>
      </c>
      <c r="W1017" s="56" t="s">
        <v>5949</v>
      </c>
    </row>
    <row r="1018" spans="9:23" x14ac:dyDescent="0.3">
      <c r="I1018" s="56" t="s">
        <v>25</v>
      </c>
      <c r="J1018" s="56" t="s">
        <v>88</v>
      </c>
      <c r="K1018" s="56" t="s">
        <v>285</v>
      </c>
      <c r="T1018" s="56">
        <v>2000000</v>
      </c>
      <c r="U1018" s="56" t="s">
        <v>5919</v>
      </c>
      <c r="V1018" s="56" t="s">
        <v>5931</v>
      </c>
      <c r="W1018" s="56" t="s">
        <v>5932</v>
      </c>
    </row>
    <row r="1019" spans="9:23" x14ac:dyDescent="0.3">
      <c r="I1019" s="56" t="s">
        <v>25</v>
      </c>
      <c r="J1019" s="56" t="s">
        <v>88</v>
      </c>
      <c r="K1019" s="56" t="s">
        <v>285</v>
      </c>
      <c r="T1019" s="56">
        <v>2000000</v>
      </c>
      <c r="U1019" s="56" t="s">
        <v>5922</v>
      </c>
      <c r="V1019" s="56" t="s">
        <v>5939</v>
      </c>
      <c r="W1019" s="56" t="s">
        <v>5940</v>
      </c>
    </row>
    <row r="1020" spans="9:23" x14ac:dyDescent="0.3">
      <c r="I1020" s="56" t="s">
        <v>25</v>
      </c>
      <c r="J1020" s="56" t="s">
        <v>88</v>
      </c>
      <c r="K1020" s="56" t="s">
        <v>285</v>
      </c>
      <c r="T1020" s="56">
        <v>2500000</v>
      </c>
      <c r="U1020" s="56" t="s">
        <v>5971</v>
      </c>
      <c r="V1020" s="56" t="s">
        <v>5989</v>
      </c>
      <c r="W1020" s="56" t="s">
        <v>5990</v>
      </c>
    </row>
    <row r="1021" spans="9:23" x14ac:dyDescent="0.3">
      <c r="I1021" s="56" t="s">
        <v>25</v>
      </c>
      <c r="J1021" s="56" t="s">
        <v>88</v>
      </c>
      <c r="K1021" s="56" t="s">
        <v>285</v>
      </c>
      <c r="T1021" s="56">
        <v>3573561.39</v>
      </c>
      <c r="U1021" s="56" t="s">
        <v>5871</v>
      </c>
      <c r="V1021" s="56" t="s">
        <v>5880</v>
      </c>
      <c r="W1021" s="56" t="s">
        <v>5881</v>
      </c>
    </row>
    <row r="1022" spans="9:23" x14ac:dyDescent="0.3">
      <c r="I1022" s="56" t="s">
        <v>25</v>
      </c>
      <c r="J1022" s="56" t="s">
        <v>88</v>
      </c>
      <c r="K1022" s="56" t="s">
        <v>285</v>
      </c>
      <c r="T1022" s="56">
        <v>3000000</v>
      </c>
      <c r="U1022" s="56" t="s">
        <v>6006</v>
      </c>
      <c r="V1022" s="56" t="s">
        <v>6009</v>
      </c>
      <c r="W1022" s="56" t="s">
        <v>6010</v>
      </c>
    </row>
    <row r="1023" spans="9:23" x14ac:dyDescent="0.3">
      <c r="I1023" s="56" t="s">
        <v>25</v>
      </c>
      <c r="J1023" s="56" t="s">
        <v>88</v>
      </c>
      <c r="K1023" s="56" t="s">
        <v>285</v>
      </c>
      <c r="T1023" s="56">
        <v>6000000</v>
      </c>
      <c r="U1023" s="56" t="s">
        <v>6008</v>
      </c>
      <c r="V1023" s="56" t="s">
        <v>6014</v>
      </c>
      <c r="W1023" s="56" t="s">
        <v>6015</v>
      </c>
    </row>
    <row r="1024" spans="9:23" x14ac:dyDescent="0.3">
      <c r="I1024" s="56" t="s">
        <v>25</v>
      </c>
      <c r="J1024" s="56" t="s">
        <v>88</v>
      </c>
      <c r="K1024" s="56" t="s">
        <v>285</v>
      </c>
      <c r="T1024" s="56">
        <v>28000000</v>
      </c>
      <c r="U1024" s="56" t="s">
        <v>5970</v>
      </c>
      <c r="V1024" s="56" t="s">
        <v>5991</v>
      </c>
      <c r="W1024" s="56" t="s">
        <v>6034</v>
      </c>
    </row>
    <row r="1025" spans="9:23" x14ac:dyDescent="0.3">
      <c r="I1025" s="56" t="s">
        <v>25</v>
      </c>
      <c r="J1025" s="56" t="s">
        <v>88</v>
      </c>
      <c r="K1025" s="56" t="s">
        <v>26</v>
      </c>
      <c r="T1025" s="56">
        <v>35609189</v>
      </c>
      <c r="U1025" s="56" t="s">
        <v>125</v>
      </c>
      <c r="V1025" s="56" t="s">
        <v>126</v>
      </c>
      <c r="W1025" s="56" t="s">
        <v>127</v>
      </c>
    </row>
    <row r="1026" spans="9:23" x14ac:dyDescent="0.3">
      <c r="I1026" s="56" t="s">
        <v>25</v>
      </c>
      <c r="J1026" s="56" t="s">
        <v>88</v>
      </c>
      <c r="K1026" s="56" t="s">
        <v>26</v>
      </c>
      <c r="T1026" s="56">
        <v>17649731.629999999</v>
      </c>
      <c r="U1026" s="56" t="s">
        <v>111</v>
      </c>
      <c r="V1026" s="56" t="s">
        <v>270</v>
      </c>
      <c r="W1026" s="56" t="s">
        <v>271</v>
      </c>
    </row>
    <row r="1027" spans="9:23" x14ac:dyDescent="0.3">
      <c r="I1027" s="56" t="s">
        <v>25</v>
      </c>
      <c r="J1027" s="56" t="s">
        <v>88</v>
      </c>
      <c r="K1027" s="56" t="s">
        <v>26</v>
      </c>
      <c r="L1027" s="56">
        <v>18337097.82</v>
      </c>
      <c r="M1027" s="56">
        <v>0.39863256130434782</v>
      </c>
      <c r="T1027" s="56">
        <v>18337097.82</v>
      </c>
      <c r="U1027" s="56" t="s">
        <v>786</v>
      </c>
      <c r="V1027" s="56" t="s">
        <v>788</v>
      </c>
      <c r="W1027" s="56" t="s">
        <v>789</v>
      </c>
    </row>
    <row r="1028" spans="9:23" x14ac:dyDescent="0.3">
      <c r="I1028" s="56" t="s">
        <v>25</v>
      </c>
      <c r="J1028" s="56" t="s">
        <v>88</v>
      </c>
      <c r="K1028" s="56" t="s">
        <v>26</v>
      </c>
      <c r="L1028" s="56">
        <v>1613790.34</v>
      </c>
      <c r="M1028" s="56">
        <v>0.23054147714285714</v>
      </c>
      <c r="N1028" s="56">
        <v>1613790.34</v>
      </c>
      <c r="O1028" s="56">
        <v>0.23054147714285714</v>
      </c>
      <c r="P1028" s="56">
        <v>1613790.34</v>
      </c>
      <c r="Q1028" s="56">
        <v>0.23054147714285714</v>
      </c>
      <c r="T1028" s="56">
        <v>1613790.34</v>
      </c>
      <c r="U1028" s="56" t="s">
        <v>219</v>
      </c>
      <c r="V1028" s="56" t="s">
        <v>220</v>
      </c>
      <c r="W1028" s="56" t="s">
        <v>221</v>
      </c>
    </row>
    <row r="1029" spans="9:23" x14ac:dyDescent="0.3">
      <c r="I1029" s="56" t="s">
        <v>25</v>
      </c>
      <c r="J1029" s="56" t="s">
        <v>88</v>
      </c>
      <c r="K1029" s="56" t="s">
        <v>26</v>
      </c>
      <c r="L1029" s="56">
        <v>6500000</v>
      </c>
      <c r="M1029" s="56">
        <v>1</v>
      </c>
      <c r="T1029" s="56">
        <v>6500000</v>
      </c>
      <c r="U1029" s="56" t="s">
        <v>4618</v>
      </c>
      <c r="V1029" s="56" t="s">
        <v>4621</v>
      </c>
      <c r="W1029" s="56" t="s">
        <v>4622</v>
      </c>
    </row>
    <row r="1030" spans="9:23" x14ac:dyDescent="0.3">
      <c r="I1030" s="56" t="s">
        <v>25</v>
      </c>
      <c r="J1030" s="56" t="s">
        <v>88</v>
      </c>
      <c r="K1030" s="56" t="s">
        <v>26</v>
      </c>
      <c r="T1030" s="56">
        <v>24368329.510000002</v>
      </c>
      <c r="U1030" s="56" t="s">
        <v>1495</v>
      </c>
      <c r="V1030" s="56" t="s">
        <v>1496</v>
      </c>
      <c r="W1030" s="56" t="s">
        <v>1497</v>
      </c>
    </row>
    <row r="1031" spans="9:23" x14ac:dyDescent="0.3">
      <c r="I1031" s="56" t="s">
        <v>25</v>
      </c>
      <c r="J1031" s="56" t="s">
        <v>88</v>
      </c>
      <c r="K1031" s="56" t="s">
        <v>26</v>
      </c>
      <c r="T1031" s="56">
        <v>1646608.16</v>
      </c>
      <c r="U1031" s="56" t="s">
        <v>4887</v>
      </c>
      <c r="V1031" s="56" t="s">
        <v>4888</v>
      </c>
      <c r="W1031" s="56" t="s">
        <v>4889</v>
      </c>
    </row>
    <row r="1032" spans="9:23" x14ac:dyDescent="0.3">
      <c r="I1032" s="56" t="s">
        <v>25</v>
      </c>
      <c r="J1032" s="56" t="s">
        <v>88</v>
      </c>
      <c r="K1032" s="56" t="s">
        <v>26</v>
      </c>
      <c r="T1032" s="56">
        <v>11535815.109999999</v>
      </c>
      <c r="U1032" s="56" t="s">
        <v>1947</v>
      </c>
      <c r="V1032" s="56" t="s">
        <v>1949</v>
      </c>
      <c r="W1032" s="56" t="s">
        <v>1950</v>
      </c>
    </row>
    <row r="1033" spans="9:23" x14ac:dyDescent="0.3">
      <c r="I1033" s="56" t="s">
        <v>25</v>
      </c>
      <c r="J1033" s="56" t="s">
        <v>88</v>
      </c>
      <c r="K1033" s="56" t="s">
        <v>26</v>
      </c>
      <c r="L1033" s="56">
        <v>15172808.17</v>
      </c>
      <c r="M1033" s="56">
        <v>0.67948602790589863</v>
      </c>
      <c r="N1033" s="56">
        <v>15172808.17</v>
      </c>
      <c r="O1033" s="56">
        <v>0.67948602790589863</v>
      </c>
      <c r="T1033" s="56">
        <v>15172808.17</v>
      </c>
      <c r="U1033" s="56" t="s">
        <v>681</v>
      </c>
      <c r="V1033" s="56" t="s">
        <v>682</v>
      </c>
      <c r="W1033" s="56" t="s">
        <v>683</v>
      </c>
    </row>
    <row r="1034" spans="9:23" x14ac:dyDescent="0.3">
      <c r="I1034" s="56" t="s">
        <v>25</v>
      </c>
      <c r="J1034" s="56" t="s">
        <v>88</v>
      </c>
      <c r="K1034" s="56" t="s">
        <v>26</v>
      </c>
      <c r="T1034" s="56">
        <v>3794810.74</v>
      </c>
      <c r="U1034" s="56" t="s">
        <v>853</v>
      </c>
      <c r="V1034" s="56" t="s">
        <v>858</v>
      </c>
      <c r="W1034" s="56" t="s">
        <v>859</v>
      </c>
    </row>
    <row r="1035" spans="9:23" x14ac:dyDescent="0.3">
      <c r="I1035" s="56" t="s">
        <v>25</v>
      </c>
      <c r="J1035" s="56" t="s">
        <v>88</v>
      </c>
      <c r="K1035" s="56" t="s">
        <v>26</v>
      </c>
      <c r="T1035" s="56">
        <v>2799966.38</v>
      </c>
      <c r="U1035" s="56" t="s">
        <v>4648</v>
      </c>
      <c r="V1035" s="56" t="s">
        <v>4655</v>
      </c>
      <c r="W1035" s="56" t="s">
        <v>4656</v>
      </c>
    </row>
    <row r="1036" spans="9:23" x14ac:dyDescent="0.3">
      <c r="I1036" s="56" t="s">
        <v>25</v>
      </c>
      <c r="J1036" s="56" t="s">
        <v>88</v>
      </c>
      <c r="K1036" s="56" t="s">
        <v>26</v>
      </c>
      <c r="L1036" s="56">
        <v>40965108.899999999</v>
      </c>
      <c r="M1036" s="56">
        <v>0.87662657827138557</v>
      </c>
      <c r="T1036" s="56">
        <v>40965108.899999999</v>
      </c>
      <c r="U1036" s="56" t="s">
        <v>1056</v>
      </c>
      <c r="V1036" s="56" t="s">
        <v>1057</v>
      </c>
      <c r="W1036" s="56" t="s">
        <v>1058</v>
      </c>
    </row>
    <row r="1037" spans="9:23" x14ac:dyDescent="0.3">
      <c r="I1037" s="56" t="s">
        <v>25</v>
      </c>
      <c r="J1037" s="56" t="s">
        <v>88</v>
      </c>
      <c r="K1037" s="56" t="s">
        <v>26</v>
      </c>
      <c r="L1037" s="56">
        <v>31305614.719999999</v>
      </c>
      <c r="M1037" s="56">
        <v>0.82744929154366076</v>
      </c>
      <c r="N1037" s="56">
        <v>31305614.719999999</v>
      </c>
      <c r="O1037" s="56">
        <v>0.82744929154366076</v>
      </c>
      <c r="T1037" s="56">
        <v>31305614.719999999</v>
      </c>
      <c r="U1037" s="56" t="s">
        <v>1218</v>
      </c>
      <c r="V1037" s="56" t="s">
        <v>1219</v>
      </c>
      <c r="W1037" s="56" t="s">
        <v>1220</v>
      </c>
    </row>
    <row r="1038" spans="9:23" x14ac:dyDescent="0.3">
      <c r="I1038" s="56" t="s">
        <v>25</v>
      </c>
      <c r="J1038" s="56" t="s">
        <v>88</v>
      </c>
      <c r="K1038" s="56" t="s">
        <v>26</v>
      </c>
      <c r="L1038" s="56">
        <v>21696618.77</v>
      </c>
      <c r="M1038" s="56">
        <v>0.43393237540000001</v>
      </c>
      <c r="T1038" s="56">
        <v>21696618.77</v>
      </c>
      <c r="U1038" s="56" t="s">
        <v>1455</v>
      </c>
      <c r="V1038" s="56" t="s">
        <v>1466</v>
      </c>
      <c r="W1038" s="56" t="s">
        <v>1468</v>
      </c>
    </row>
    <row r="1039" spans="9:23" x14ac:dyDescent="0.3">
      <c r="I1039" s="56" t="s">
        <v>25</v>
      </c>
      <c r="J1039" s="56" t="s">
        <v>88</v>
      </c>
      <c r="K1039" s="56" t="s">
        <v>26</v>
      </c>
      <c r="T1039" s="56">
        <v>22644713</v>
      </c>
      <c r="U1039" s="56" t="s">
        <v>1529</v>
      </c>
      <c r="V1039" s="56" t="s">
        <v>1538</v>
      </c>
      <c r="W1039" s="56" t="s">
        <v>1539</v>
      </c>
    </row>
    <row r="1040" spans="9:23" x14ac:dyDescent="0.3">
      <c r="I1040" s="56" t="s">
        <v>25</v>
      </c>
      <c r="J1040" s="56" t="s">
        <v>88</v>
      </c>
      <c r="K1040" s="56" t="s">
        <v>26</v>
      </c>
      <c r="T1040" s="56">
        <v>8209036.5300000003</v>
      </c>
      <c r="U1040" s="56" t="s">
        <v>1607</v>
      </c>
      <c r="V1040" s="56" t="s">
        <v>1620</v>
      </c>
      <c r="W1040" s="56" t="s">
        <v>1621</v>
      </c>
    </row>
    <row r="1041" spans="9:23" x14ac:dyDescent="0.3">
      <c r="I1041" s="56" t="s">
        <v>25</v>
      </c>
      <c r="J1041" s="56" t="s">
        <v>88</v>
      </c>
      <c r="K1041" s="56" t="s">
        <v>26</v>
      </c>
      <c r="L1041" s="56">
        <v>40735858.659999996</v>
      </c>
      <c r="M1041" s="56">
        <v>0.81471717320000003</v>
      </c>
      <c r="T1041" s="56">
        <v>40735858.659999996</v>
      </c>
      <c r="U1041" s="56" t="s">
        <v>1566</v>
      </c>
      <c r="V1041" s="56" t="s">
        <v>1597</v>
      </c>
      <c r="W1041" s="56" t="s">
        <v>1598</v>
      </c>
    </row>
    <row r="1042" spans="9:23" x14ac:dyDescent="0.3">
      <c r="I1042" s="56" t="s">
        <v>25</v>
      </c>
      <c r="J1042" s="56" t="s">
        <v>88</v>
      </c>
      <c r="K1042" s="56" t="s">
        <v>26</v>
      </c>
      <c r="L1042" s="56">
        <v>7735464.4800000004</v>
      </c>
      <c r="M1042" s="56">
        <v>0.38677322399999997</v>
      </c>
      <c r="T1042" s="56">
        <v>7735464.4800000004</v>
      </c>
      <c r="U1042" s="56" t="s">
        <v>3989</v>
      </c>
      <c r="V1042" s="56" t="s">
        <v>3992</v>
      </c>
      <c r="W1042" s="56" t="s">
        <v>3993</v>
      </c>
    </row>
    <row r="1043" spans="9:23" x14ac:dyDescent="0.3">
      <c r="I1043" s="56" t="s">
        <v>25</v>
      </c>
      <c r="J1043" s="56" t="s">
        <v>88</v>
      </c>
      <c r="K1043" s="56" t="s">
        <v>26</v>
      </c>
      <c r="L1043" s="56">
        <v>1742440.87</v>
      </c>
      <c r="M1043" s="56">
        <v>0.17424408699999999</v>
      </c>
      <c r="T1043" s="56">
        <v>1742440.87</v>
      </c>
      <c r="U1043" s="56" t="s">
        <v>2359</v>
      </c>
      <c r="V1043" s="56" t="s">
        <v>2362</v>
      </c>
      <c r="W1043" s="56" t="s">
        <v>2363</v>
      </c>
    </row>
    <row r="1044" spans="9:23" x14ac:dyDescent="0.3">
      <c r="I1044" s="56" t="s">
        <v>25</v>
      </c>
      <c r="J1044" s="56" t="s">
        <v>88</v>
      </c>
      <c r="K1044" s="56" t="s">
        <v>26</v>
      </c>
      <c r="L1044" s="56">
        <v>3449876.28</v>
      </c>
      <c r="M1044" s="56">
        <v>0.49283946857142857</v>
      </c>
      <c r="N1044" s="56">
        <v>3449876.28</v>
      </c>
      <c r="O1044" s="56">
        <v>0.49283946857142857</v>
      </c>
      <c r="T1044" s="56">
        <v>3449876.28</v>
      </c>
      <c r="U1044" s="56" t="s">
        <v>3296</v>
      </c>
      <c r="V1044" s="56" t="s">
        <v>3297</v>
      </c>
      <c r="W1044" s="56" t="s">
        <v>3298</v>
      </c>
    </row>
    <row r="1045" spans="9:23" x14ac:dyDescent="0.3">
      <c r="I1045" s="56" t="s">
        <v>25</v>
      </c>
      <c r="J1045" s="56" t="s">
        <v>88</v>
      </c>
      <c r="K1045" s="56" t="s">
        <v>26</v>
      </c>
      <c r="L1045" s="56">
        <v>20650434.34</v>
      </c>
      <c r="M1045" s="56">
        <v>0.93865610636363639</v>
      </c>
      <c r="T1045" s="56">
        <v>20650434.34</v>
      </c>
      <c r="U1045" s="56" t="s">
        <v>4400</v>
      </c>
      <c r="V1045" s="56" t="s">
        <v>4402</v>
      </c>
      <c r="W1045" s="56" t="s">
        <v>4403</v>
      </c>
    </row>
    <row r="1046" spans="9:23" x14ac:dyDescent="0.3">
      <c r="I1046" s="56" t="s">
        <v>25</v>
      </c>
      <c r="J1046" s="56" t="s">
        <v>88</v>
      </c>
      <c r="K1046" s="56" t="s">
        <v>26</v>
      </c>
      <c r="T1046" s="56">
        <v>2000000</v>
      </c>
      <c r="U1046" s="56" t="s">
        <v>4465</v>
      </c>
      <c r="V1046" s="56" t="s">
        <v>4466</v>
      </c>
      <c r="W1046" s="56" t="s">
        <v>4467</v>
      </c>
    </row>
    <row r="1047" spans="9:23" x14ac:dyDescent="0.3">
      <c r="I1047" s="56" t="s">
        <v>25</v>
      </c>
      <c r="J1047" s="56" t="s">
        <v>88</v>
      </c>
      <c r="K1047" s="56" t="s">
        <v>26</v>
      </c>
      <c r="L1047" s="56">
        <v>698538.86</v>
      </c>
      <c r="M1047" s="56">
        <v>0.69853885999999998</v>
      </c>
      <c r="T1047" s="56">
        <v>698538.86</v>
      </c>
      <c r="U1047" s="56" t="s">
        <v>5117</v>
      </c>
      <c r="V1047" s="56" t="s">
        <v>5118</v>
      </c>
      <c r="W1047" s="56" t="s">
        <v>5119</v>
      </c>
    </row>
    <row r="1048" spans="9:23" x14ac:dyDescent="0.3">
      <c r="I1048" s="56" t="s">
        <v>25</v>
      </c>
      <c r="J1048" s="56" t="s">
        <v>88</v>
      </c>
      <c r="K1048" s="56" t="s">
        <v>26</v>
      </c>
      <c r="T1048" s="56">
        <v>39476271.409999996</v>
      </c>
      <c r="U1048" s="56" t="s">
        <v>1754</v>
      </c>
      <c r="V1048" s="56" t="s">
        <v>1755</v>
      </c>
      <c r="W1048" s="56" t="s">
        <v>1756</v>
      </c>
    </row>
    <row r="1049" spans="9:23" x14ac:dyDescent="0.3">
      <c r="I1049" s="56" t="s">
        <v>25</v>
      </c>
      <c r="J1049" s="56" t="s">
        <v>88</v>
      </c>
      <c r="K1049" s="56" t="s">
        <v>26</v>
      </c>
      <c r="T1049" s="56">
        <v>12909808.369999999</v>
      </c>
      <c r="U1049" s="56" t="s">
        <v>1938</v>
      </c>
      <c r="V1049" s="56" t="s">
        <v>1942</v>
      </c>
      <c r="W1049" s="56" t="s">
        <v>1943</v>
      </c>
    </row>
    <row r="1050" spans="9:23" x14ac:dyDescent="0.3">
      <c r="I1050" s="56" t="s">
        <v>25</v>
      </c>
      <c r="J1050" s="56" t="s">
        <v>88</v>
      </c>
      <c r="K1050" s="56" t="s">
        <v>26</v>
      </c>
      <c r="L1050" s="56">
        <v>544003.85</v>
      </c>
      <c r="M1050" s="56">
        <v>0.18133461666666667</v>
      </c>
      <c r="N1050" s="56">
        <v>544003.85</v>
      </c>
      <c r="O1050" s="56">
        <v>0.18133461666666667</v>
      </c>
      <c r="P1050" s="56">
        <v>544003.85</v>
      </c>
      <c r="Q1050" s="56">
        <v>0.18133461666666667</v>
      </c>
      <c r="R1050" s="56">
        <v>544003.85</v>
      </c>
      <c r="S1050" s="56">
        <v>0.18133461666666667</v>
      </c>
      <c r="T1050" s="56">
        <v>544003.85</v>
      </c>
      <c r="U1050" s="56" t="s">
        <v>2216</v>
      </c>
      <c r="V1050" s="56" t="s">
        <v>2220</v>
      </c>
      <c r="W1050" s="56" t="s">
        <v>2221</v>
      </c>
    </row>
    <row r="1051" spans="9:23" x14ac:dyDescent="0.3">
      <c r="I1051" s="56" t="s">
        <v>25</v>
      </c>
      <c r="J1051" s="56" t="s">
        <v>88</v>
      </c>
      <c r="K1051" s="56" t="s">
        <v>26</v>
      </c>
      <c r="L1051" s="56">
        <v>14134916.619999999</v>
      </c>
      <c r="M1051" s="56">
        <v>0.46959855880398671</v>
      </c>
      <c r="T1051" s="56">
        <v>14134916.619999999</v>
      </c>
      <c r="U1051" s="56" t="s">
        <v>2384</v>
      </c>
      <c r="V1051" s="56" t="s">
        <v>2405</v>
      </c>
      <c r="W1051" s="56" t="s">
        <v>2406</v>
      </c>
    </row>
    <row r="1052" spans="9:23" x14ac:dyDescent="0.3">
      <c r="I1052" s="56" t="s">
        <v>25</v>
      </c>
      <c r="J1052" s="56" t="s">
        <v>88</v>
      </c>
      <c r="K1052" s="56" t="s">
        <v>26</v>
      </c>
      <c r="T1052" s="56">
        <v>3810143.15</v>
      </c>
      <c r="U1052" s="56" t="s">
        <v>2385</v>
      </c>
      <c r="V1052" s="56" t="s">
        <v>2399</v>
      </c>
      <c r="W1052" s="56" t="s">
        <v>2400</v>
      </c>
    </row>
    <row r="1053" spans="9:23" x14ac:dyDescent="0.3">
      <c r="I1053" s="56" t="s">
        <v>25</v>
      </c>
      <c r="J1053" s="56" t="s">
        <v>88</v>
      </c>
      <c r="K1053" s="56" t="s">
        <v>26</v>
      </c>
      <c r="T1053" s="56">
        <v>739229.96</v>
      </c>
      <c r="U1053" s="56" t="s">
        <v>2489</v>
      </c>
      <c r="V1053" s="56" t="s">
        <v>2490</v>
      </c>
      <c r="W1053" s="56" t="s">
        <v>2491</v>
      </c>
    </row>
    <row r="1054" spans="9:23" x14ac:dyDescent="0.3">
      <c r="I1054" s="56" t="s">
        <v>25</v>
      </c>
      <c r="J1054" s="56" t="s">
        <v>88</v>
      </c>
      <c r="K1054" s="56" t="s">
        <v>26</v>
      </c>
      <c r="T1054" s="56">
        <v>27852486.829999998</v>
      </c>
      <c r="U1054" s="56" t="s">
        <v>2556</v>
      </c>
      <c r="V1054" s="56" t="s">
        <v>2570</v>
      </c>
      <c r="W1054" s="56" t="s">
        <v>2571</v>
      </c>
    </row>
    <row r="1055" spans="9:23" x14ac:dyDescent="0.3">
      <c r="I1055" s="56" t="s">
        <v>25</v>
      </c>
      <c r="J1055" s="56" t="s">
        <v>88</v>
      </c>
      <c r="K1055" s="56" t="s">
        <v>26</v>
      </c>
      <c r="T1055" s="56">
        <v>1852369.27</v>
      </c>
      <c r="U1055" s="56" t="s">
        <v>2812</v>
      </c>
      <c r="V1055" s="56" t="s">
        <v>2820</v>
      </c>
      <c r="W1055" s="56" t="s">
        <v>2821</v>
      </c>
    </row>
    <row r="1056" spans="9:23" x14ac:dyDescent="0.3">
      <c r="I1056" s="56" t="s">
        <v>25</v>
      </c>
      <c r="J1056" s="56" t="s">
        <v>88</v>
      </c>
      <c r="K1056" s="56" t="s">
        <v>26</v>
      </c>
      <c r="L1056" s="56">
        <v>603008.68000000005</v>
      </c>
      <c r="M1056" s="56">
        <v>0.15075217000000002</v>
      </c>
      <c r="N1056" s="56">
        <v>603008.68000000005</v>
      </c>
      <c r="O1056" s="56">
        <v>0.15075217000000002</v>
      </c>
      <c r="T1056" s="56">
        <v>603008.68000000005</v>
      </c>
      <c r="U1056" s="56" t="s">
        <v>3048</v>
      </c>
      <c r="V1056" s="56" t="s">
        <v>3064</v>
      </c>
      <c r="W1056" s="56" t="s">
        <v>3065</v>
      </c>
    </row>
    <row r="1057" spans="9:23" x14ac:dyDescent="0.3">
      <c r="I1057" s="56" t="s">
        <v>25</v>
      </c>
      <c r="J1057" s="56" t="s">
        <v>88</v>
      </c>
      <c r="K1057" s="56" t="s">
        <v>26</v>
      </c>
      <c r="L1057" s="56">
        <v>2134581.0099999998</v>
      </c>
      <c r="M1057" s="56">
        <v>0.47435133555555559</v>
      </c>
      <c r="T1057" s="56">
        <v>2134581.0099999998</v>
      </c>
      <c r="U1057" s="56" t="s">
        <v>3123</v>
      </c>
      <c r="V1057" s="56" t="s">
        <v>3124</v>
      </c>
      <c r="W1057" s="56" t="s">
        <v>3125</v>
      </c>
    </row>
    <row r="1058" spans="9:23" x14ac:dyDescent="0.3">
      <c r="I1058" s="56" t="s">
        <v>25</v>
      </c>
      <c r="J1058" s="56" t="s">
        <v>88</v>
      </c>
      <c r="K1058" s="56" t="s">
        <v>26</v>
      </c>
      <c r="L1058" s="56">
        <v>2927238.19</v>
      </c>
      <c r="M1058" s="56">
        <v>0.48787303166666668</v>
      </c>
      <c r="N1058" s="56">
        <v>2927238.19</v>
      </c>
      <c r="O1058" s="56">
        <v>0.48787303166666668</v>
      </c>
      <c r="P1058" s="56">
        <v>2927238.19</v>
      </c>
      <c r="Q1058" s="56">
        <v>0.48787303166666668</v>
      </c>
      <c r="T1058" s="56">
        <v>2927238.19</v>
      </c>
      <c r="U1058" s="56" t="s">
        <v>3527</v>
      </c>
      <c r="V1058" s="56" t="s">
        <v>3535</v>
      </c>
      <c r="W1058" s="56" t="s">
        <v>3536</v>
      </c>
    </row>
    <row r="1059" spans="9:23" x14ac:dyDescent="0.3">
      <c r="I1059" s="56" t="s">
        <v>25</v>
      </c>
      <c r="J1059" s="56" t="s">
        <v>88</v>
      </c>
      <c r="K1059" s="56" t="s">
        <v>26</v>
      </c>
      <c r="L1059" s="56">
        <v>10636838.539999999</v>
      </c>
      <c r="M1059" s="56">
        <v>0.53184192699999999</v>
      </c>
      <c r="T1059" s="56">
        <v>10636838.539999999</v>
      </c>
      <c r="U1059" s="56" t="s">
        <v>3649</v>
      </c>
      <c r="V1059" s="56" t="s">
        <v>3664</v>
      </c>
      <c r="W1059" s="56" t="s">
        <v>3665</v>
      </c>
    </row>
    <row r="1060" spans="9:23" x14ac:dyDescent="0.3">
      <c r="I1060" s="56" t="s">
        <v>25</v>
      </c>
      <c r="J1060" s="56" t="s">
        <v>88</v>
      </c>
      <c r="K1060" s="56" t="s">
        <v>26</v>
      </c>
      <c r="L1060" s="56">
        <v>4192131.1</v>
      </c>
      <c r="M1060" s="56">
        <v>0.41921311</v>
      </c>
      <c r="N1060" s="56">
        <v>4192131.1</v>
      </c>
      <c r="O1060" s="56">
        <v>0.41921311</v>
      </c>
      <c r="T1060" s="56">
        <v>4192131.1</v>
      </c>
      <c r="U1060" s="56" t="s">
        <v>4159</v>
      </c>
      <c r="V1060" s="56" t="s">
        <v>4164</v>
      </c>
      <c r="W1060" s="56" t="s">
        <v>4165</v>
      </c>
    </row>
    <row r="1061" spans="9:23" x14ac:dyDescent="0.3">
      <c r="I1061" s="56" t="s">
        <v>25</v>
      </c>
      <c r="J1061" s="56" t="s">
        <v>88</v>
      </c>
      <c r="K1061" s="56" t="s">
        <v>26</v>
      </c>
      <c r="L1061" s="56">
        <v>1977321.52</v>
      </c>
      <c r="M1061" s="56">
        <v>0.39546430399999999</v>
      </c>
      <c r="T1061" s="56">
        <v>1977321.52</v>
      </c>
      <c r="U1061" s="56" t="s">
        <v>4232</v>
      </c>
      <c r="V1061" s="56" t="s">
        <v>4233</v>
      </c>
      <c r="W1061" s="56" t="s">
        <v>4234</v>
      </c>
    </row>
    <row r="1062" spans="9:23" x14ac:dyDescent="0.3">
      <c r="I1062" s="56" t="s">
        <v>25</v>
      </c>
      <c r="J1062" s="56" t="s">
        <v>88</v>
      </c>
      <c r="K1062" s="56" t="s">
        <v>26</v>
      </c>
      <c r="L1062" s="56">
        <v>4150432.37</v>
      </c>
      <c r="M1062" s="56">
        <v>0.83008647400000002</v>
      </c>
      <c r="T1062" s="56">
        <v>4150432.37</v>
      </c>
      <c r="U1062" s="56" t="s">
        <v>4323</v>
      </c>
      <c r="V1062" s="56" t="s">
        <v>4324</v>
      </c>
      <c r="W1062" s="56" t="s">
        <v>4325</v>
      </c>
    </row>
    <row r="1063" spans="9:23" x14ac:dyDescent="0.3">
      <c r="I1063" s="56" t="s">
        <v>25</v>
      </c>
      <c r="J1063" s="56" t="s">
        <v>88</v>
      </c>
      <c r="K1063" s="56" t="s">
        <v>26</v>
      </c>
      <c r="T1063" s="56">
        <v>1180290.77</v>
      </c>
      <c r="U1063" s="56" t="s">
        <v>4264</v>
      </c>
      <c r="V1063" s="56" t="s">
        <v>4268</v>
      </c>
      <c r="W1063" s="56" t="s">
        <v>4269</v>
      </c>
    </row>
    <row r="1064" spans="9:23" x14ac:dyDescent="0.3">
      <c r="I1064" s="56" t="s">
        <v>25</v>
      </c>
      <c r="J1064" s="56" t="s">
        <v>88</v>
      </c>
      <c r="K1064" s="56" t="s">
        <v>26</v>
      </c>
      <c r="L1064" s="56">
        <v>5063419.8</v>
      </c>
      <c r="M1064" s="56">
        <v>0.7233456857142857</v>
      </c>
      <c r="N1064" s="56">
        <v>5063419.8</v>
      </c>
      <c r="O1064" s="56">
        <v>0.7233456857142857</v>
      </c>
      <c r="T1064" s="56">
        <v>5063419.8</v>
      </c>
      <c r="U1064" s="56" t="s">
        <v>4329</v>
      </c>
      <c r="V1064" s="56" t="s">
        <v>4349</v>
      </c>
      <c r="W1064" s="56" t="s">
        <v>4350</v>
      </c>
    </row>
    <row r="1065" spans="9:23" x14ac:dyDescent="0.3">
      <c r="I1065" s="56" t="s">
        <v>25</v>
      </c>
      <c r="J1065" s="56" t="s">
        <v>88</v>
      </c>
      <c r="K1065" s="56" t="s">
        <v>26</v>
      </c>
      <c r="T1065" s="56">
        <v>3320345.89</v>
      </c>
      <c r="U1065" s="56" t="s">
        <v>4474</v>
      </c>
      <c r="V1065" s="56" t="s">
        <v>4482</v>
      </c>
      <c r="W1065" s="56" t="s">
        <v>4483</v>
      </c>
    </row>
    <row r="1066" spans="9:23" x14ac:dyDescent="0.3">
      <c r="I1066" s="56" t="s">
        <v>25</v>
      </c>
      <c r="J1066" s="56" t="s">
        <v>88</v>
      </c>
      <c r="K1066" s="56" t="s">
        <v>26</v>
      </c>
      <c r="T1066" s="56">
        <v>2939904.34</v>
      </c>
      <c r="U1066" s="56" t="s">
        <v>4910</v>
      </c>
      <c r="V1066" s="56" t="s">
        <v>4912</v>
      </c>
      <c r="W1066" s="56" t="s">
        <v>4913</v>
      </c>
    </row>
    <row r="1067" spans="9:23" x14ac:dyDescent="0.3">
      <c r="I1067" s="56" t="s">
        <v>25</v>
      </c>
      <c r="J1067" s="56" t="s">
        <v>88</v>
      </c>
      <c r="K1067" s="56" t="s">
        <v>26</v>
      </c>
      <c r="T1067" s="56">
        <v>2507920.08</v>
      </c>
      <c r="U1067" s="56" t="s">
        <v>5354</v>
      </c>
      <c r="V1067" s="56" t="s">
        <v>5364</v>
      </c>
      <c r="W1067" s="56" t="s">
        <v>5365</v>
      </c>
    </row>
    <row r="1068" spans="9:23" x14ac:dyDescent="0.3">
      <c r="I1068" s="56" t="s">
        <v>25</v>
      </c>
      <c r="J1068" s="56" t="s">
        <v>88</v>
      </c>
      <c r="K1068" s="56" t="s">
        <v>26</v>
      </c>
      <c r="T1068" s="56">
        <v>23336195.68</v>
      </c>
      <c r="U1068" s="56" t="s">
        <v>5731</v>
      </c>
      <c r="V1068" s="56" t="s">
        <v>5741</v>
      </c>
      <c r="W1068" s="56" t="s">
        <v>5742</v>
      </c>
    </row>
    <row r="1069" spans="9:23" x14ac:dyDescent="0.3">
      <c r="I1069" s="56" t="s">
        <v>25</v>
      </c>
      <c r="J1069" s="56" t="s">
        <v>88</v>
      </c>
      <c r="K1069" s="56" t="s">
        <v>26</v>
      </c>
      <c r="T1069" s="56">
        <v>4000000</v>
      </c>
      <c r="U1069" s="56" t="s">
        <v>6019</v>
      </c>
      <c r="V1069" s="56" t="s">
        <v>6026</v>
      </c>
      <c r="W1069" s="56" t="s">
        <v>6027</v>
      </c>
    </row>
    <row r="1070" spans="9:23" x14ac:dyDescent="0.3">
      <c r="I1070" s="56" t="s">
        <v>25</v>
      </c>
      <c r="J1070" s="56" t="s">
        <v>286</v>
      </c>
      <c r="K1070" s="56" t="s">
        <v>287</v>
      </c>
      <c r="L1070" s="56">
        <v>605533.28</v>
      </c>
      <c r="M1070" s="56">
        <v>0.30276664000000003</v>
      </c>
      <c r="N1070" s="56">
        <v>605533.28</v>
      </c>
      <c r="O1070" s="56">
        <v>0.30276664000000003</v>
      </c>
      <c r="P1070" s="56">
        <v>605533.28</v>
      </c>
      <c r="Q1070" s="56">
        <v>0.30276664000000003</v>
      </c>
      <c r="T1070" s="56">
        <v>605533.28</v>
      </c>
      <c r="U1070" s="56" t="s">
        <v>2825</v>
      </c>
      <c r="V1070" s="56" t="s">
        <v>2843</v>
      </c>
      <c r="W1070" s="56" t="s">
        <v>2844</v>
      </c>
    </row>
    <row r="1071" spans="9:23" x14ac:dyDescent="0.3">
      <c r="I1071" s="56" t="s">
        <v>25</v>
      </c>
      <c r="J1071" s="56" t="s">
        <v>286</v>
      </c>
      <c r="K1071" s="56" t="s">
        <v>287</v>
      </c>
      <c r="T1071" s="56">
        <v>3700856.61</v>
      </c>
      <c r="U1071" s="56" t="s">
        <v>5592</v>
      </c>
      <c r="V1071" s="56" t="s">
        <v>5599</v>
      </c>
      <c r="W1071" s="56" t="s">
        <v>5600</v>
      </c>
    </row>
    <row r="1072" spans="9:23" x14ac:dyDescent="0.3">
      <c r="I1072" s="56" t="s">
        <v>25</v>
      </c>
      <c r="J1072" s="56" t="s">
        <v>286</v>
      </c>
      <c r="K1072" s="56" t="s">
        <v>287</v>
      </c>
      <c r="T1072" s="56">
        <v>2000000</v>
      </c>
      <c r="U1072" s="56" t="s">
        <v>6018</v>
      </c>
      <c r="V1072" s="56" t="s">
        <v>6028</v>
      </c>
      <c r="W1072" s="56" t="s">
        <v>6029</v>
      </c>
    </row>
    <row r="1073" spans="9:23" x14ac:dyDescent="0.3">
      <c r="I1073" s="56" t="s">
        <v>25</v>
      </c>
      <c r="J1073" s="56" t="s">
        <v>286</v>
      </c>
      <c r="K1073" s="56" t="s">
        <v>26</v>
      </c>
      <c r="T1073" s="56">
        <v>2956919.77</v>
      </c>
      <c r="U1073" s="56" t="s">
        <v>4056</v>
      </c>
      <c r="V1073" s="56" t="s">
        <v>4057</v>
      </c>
      <c r="W1073" s="56" t="s">
        <v>4058</v>
      </c>
    </row>
    <row r="1074" spans="9:23" x14ac:dyDescent="0.3">
      <c r="I1074" s="56" t="s">
        <v>25</v>
      </c>
      <c r="J1074" s="56" t="s">
        <v>286</v>
      </c>
      <c r="K1074" s="56" t="s">
        <v>26</v>
      </c>
      <c r="T1074" s="56">
        <v>11163669.66</v>
      </c>
      <c r="U1074" s="56" t="s">
        <v>810</v>
      </c>
      <c r="V1074" s="56" t="s">
        <v>812</v>
      </c>
      <c r="W1074" s="56" t="s">
        <v>813</v>
      </c>
    </row>
    <row r="1075" spans="9:23" x14ac:dyDescent="0.3">
      <c r="I1075" s="56" t="s">
        <v>25</v>
      </c>
      <c r="J1075" s="56" t="s">
        <v>286</v>
      </c>
      <c r="K1075" s="56" t="s">
        <v>26</v>
      </c>
      <c r="T1075" s="56">
        <v>16845060.75</v>
      </c>
      <c r="U1075" s="56" t="s">
        <v>1934</v>
      </c>
      <c r="V1075" s="56" t="s">
        <v>1935</v>
      </c>
      <c r="W1075" s="56" t="s">
        <v>1936</v>
      </c>
    </row>
    <row r="1076" spans="9:23" x14ac:dyDescent="0.3">
      <c r="I1076" s="56" t="s">
        <v>25</v>
      </c>
      <c r="J1076" s="56" t="s">
        <v>286</v>
      </c>
      <c r="K1076" s="56" t="s">
        <v>4463</v>
      </c>
      <c r="L1076" s="56">
        <v>3837077.99</v>
      </c>
      <c r="M1076" s="56">
        <v>0.63951299833333342</v>
      </c>
      <c r="T1076" s="56">
        <v>3837077.99</v>
      </c>
      <c r="U1076" s="56" t="s">
        <v>931</v>
      </c>
      <c r="V1076" s="56" t="s">
        <v>939</v>
      </c>
      <c r="W1076" s="56" t="s">
        <v>940</v>
      </c>
    </row>
    <row r="1077" spans="9:23" x14ac:dyDescent="0.3">
      <c r="I1077" s="56" t="s">
        <v>25</v>
      </c>
      <c r="J1077" s="56" t="s">
        <v>286</v>
      </c>
      <c r="K1077" s="56" t="s">
        <v>4463</v>
      </c>
      <c r="T1077" s="56">
        <v>4743513.4000000004</v>
      </c>
      <c r="U1077" s="56" t="s">
        <v>2459</v>
      </c>
      <c r="V1077" s="56" t="s">
        <v>2460</v>
      </c>
      <c r="W1077" s="56" t="s">
        <v>2461</v>
      </c>
    </row>
    <row r="1078" spans="9:23" x14ac:dyDescent="0.3">
      <c r="I1078" s="56" t="s">
        <v>25</v>
      </c>
      <c r="J1078" s="56" t="s">
        <v>289</v>
      </c>
      <c r="K1078" s="56" t="s">
        <v>3704</v>
      </c>
      <c r="L1078" s="56">
        <v>16044405.65</v>
      </c>
      <c r="M1078" s="56">
        <v>0.64177622599999995</v>
      </c>
      <c r="T1078" s="56">
        <v>16044405.65</v>
      </c>
      <c r="U1078" s="56" t="s">
        <v>3703</v>
      </c>
      <c r="V1078" s="56" t="s">
        <v>3712</v>
      </c>
      <c r="W1078" s="56" t="s">
        <v>3713</v>
      </c>
    </row>
    <row r="1079" spans="9:23" x14ac:dyDescent="0.3">
      <c r="I1079" s="56" t="s">
        <v>25</v>
      </c>
      <c r="J1079" s="56" t="s">
        <v>289</v>
      </c>
      <c r="K1079" s="56" t="s">
        <v>26</v>
      </c>
      <c r="L1079" s="56">
        <v>29032086</v>
      </c>
      <c r="M1079" s="56">
        <v>0.72580214999999992</v>
      </c>
      <c r="T1079" s="56">
        <v>29032086</v>
      </c>
      <c r="U1079" s="56" t="s">
        <v>795</v>
      </c>
      <c r="V1079" s="56" t="s">
        <v>799</v>
      </c>
      <c r="W1079" s="56" t="s">
        <v>800</v>
      </c>
    </row>
    <row r="1080" spans="9:23" x14ac:dyDescent="0.3">
      <c r="I1080" s="56" t="s">
        <v>25</v>
      </c>
      <c r="J1080" s="56" t="s">
        <v>289</v>
      </c>
      <c r="K1080" s="56" t="s">
        <v>26</v>
      </c>
      <c r="T1080" s="56">
        <v>32631658.890000001</v>
      </c>
      <c r="U1080" s="56" t="s">
        <v>1528</v>
      </c>
      <c r="V1080" s="56" t="s">
        <v>1531</v>
      </c>
      <c r="W1080" s="56" t="s">
        <v>1532</v>
      </c>
    </row>
    <row r="1081" spans="9:23" x14ac:dyDescent="0.3">
      <c r="I1081" s="56" t="s">
        <v>25</v>
      </c>
      <c r="J1081" s="56" t="s">
        <v>289</v>
      </c>
      <c r="K1081" s="56" t="s">
        <v>26</v>
      </c>
      <c r="L1081" s="56">
        <v>11736252.67</v>
      </c>
      <c r="M1081" s="56">
        <v>0.46945010679999999</v>
      </c>
      <c r="T1081" s="56">
        <v>11736252.67</v>
      </c>
      <c r="U1081" s="56" t="s">
        <v>1559</v>
      </c>
      <c r="V1081" s="56" t="s">
        <v>1584</v>
      </c>
      <c r="W1081" s="56" t="s">
        <v>1585</v>
      </c>
    </row>
    <row r="1082" spans="9:23" x14ac:dyDescent="0.3">
      <c r="I1082" s="56" t="s">
        <v>25</v>
      </c>
      <c r="J1082" s="56" t="s">
        <v>289</v>
      </c>
      <c r="K1082" s="56" t="s">
        <v>26</v>
      </c>
      <c r="L1082" s="56">
        <v>20889698.109999999</v>
      </c>
      <c r="M1082" s="56">
        <v>0.63302115484848487</v>
      </c>
      <c r="T1082" s="56">
        <v>20889698.109999999</v>
      </c>
      <c r="U1082" s="56" t="s">
        <v>1557</v>
      </c>
      <c r="V1082" s="56" t="s">
        <v>1579</v>
      </c>
      <c r="W1082" s="56" t="s">
        <v>1580</v>
      </c>
    </row>
    <row r="1083" spans="9:23" x14ac:dyDescent="0.3">
      <c r="I1083" s="56" t="s">
        <v>25</v>
      </c>
      <c r="J1083" s="56" t="s">
        <v>289</v>
      </c>
      <c r="K1083" s="56" t="s">
        <v>26</v>
      </c>
      <c r="T1083" s="56">
        <v>40941360.549999997</v>
      </c>
      <c r="U1083" s="56" t="s">
        <v>3887</v>
      </c>
      <c r="V1083" s="56" t="s">
        <v>3892</v>
      </c>
      <c r="W1083" s="56" t="s">
        <v>3893</v>
      </c>
    </row>
    <row r="1084" spans="9:23" x14ac:dyDescent="0.3">
      <c r="I1084" s="56" t="s">
        <v>25</v>
      </c>
      <c r="J1084" s="56" t="s">
        <v>289</v>
      </c>
      <c r="K1084" s="56" t="s">
        <v>26</v>
      </c>
      <c r="L1084" s="56">
        <v>3169002.95</v>
      </c>
      <c r="M1084" s="56">
        <v>0.79225073749999997</v>
      </c>
      <c r="N1084" s="56">
        <v>3169002.95</v>
      </c>
      <c r="O1084" s="56">
        <v>0.79225073749999997</v>
      </c>
      <c r="T1084" s="56">
        <v>3169002.95</v>
      </c>
      <c r="U1084" s="56" t="s">
        <v>3822</v>
      </c>
      <c r="V1084" s="56" t="s">
        <v>3823</v>
      </c>
      <c r="W1084" s="56" t="s">
        <v>3824</v>
      </c>
    </row>
    <row r="1085" spans="9:23" x14ac:dyDescent="0.3">
      <c r="I1085" s="56" t="s">
        <v>25</v>
      </c>
      <c r="J1085" s="56" t="s">
        <v>289</v>
      </c>
      <c r="K1085" s="56" t="s">
        <v>26</v>
      </c>
      <c r="L1085" s="56">
        <v>2480657.65</v>
      </c>
      <c r="M1085" s="56">
        <v>0.33075435333333336</v>
      </c>
      <c r="N1085" s="56">
        <v>2480657.65</v>
      </c>
      <c r="O1085" s="56">
        <v>0.33075435333333336</v>
      </c>
      <c r="T1085" s="56">
        <v>2480657.65</v>
      </c>
      <c r="U1085" s="56" t="s">
        <v>2802</v>
      </c>
      <c r="V1085" s="56" t="s">
        <v>2803</v>
      </c>
      <c r="W1085" s="56" t="s">
        <v>2804</v>
      </c>
    </row>
    <row r="1086" spans="9:23" x14ac:dyDescent="0.3">
      <c r="I1086" s="56" t="s">
        <v>25</v>
      </c>
      <c r="J1086" s="56" t="s">
        <v>289</v>
      </c>
      <c r="K1086" s="56" t="s">
        <v>26</v>
      </c>
      <c r="L1086" s="56">
        <v>1229239.23</v>
      </c>
      <c r="M1086" s="56">
        <v>0.24584784599999998</v>
      </c>
      <c r="N1086" s="56">
        <v>1229239.23</v>
      </c>
      <c r="O1086" s="56">
        <v>0.24584784599999998</v>
      </c>
      <c r="T1086" s="56">
        <v>1229239.23</v>
      </c>
      <c r="U1086" s="56" t="s">
        <v>3639</v>
      </c>
      <c r="V1086" s="56" t="s">
        <v>212</v>
      </c>
      <c r="W1086" s="56" t="s">
        <v>3640</v>
      </c>
    </row>
    <row r="1087" spans="9:23" x14ac:dyDescent="0.3">
      <c r="I1087" s="56" t="s">
        <v>25</v>
      </c>
      <c r="J1087" s="56" t="s">
        <v>289</v>
      </c>
      <c r="K1087" s="56" t="s">
        <v>26</v>
      </c>
      <c r="T1087" s="56">
        <v>15894195.869999999</v>
      </c>
      <c r="U1087" s="56" t="s">
        <v>4371</v>
      </c>
      <c r="V1087" s="56" t="s">
        <v>4383</v>
      </c>
      <c r="W1087" s="56" t="s">
        <v>4384</v>
      </c>
    </row>
    <row r="1088" spans="9:23" x14ac:dyDescent="0.3">
      <c r="I1088" s="56" t="s">
        <v>25</v>
      </c>
      <c r="J1088" s="56" t="s">
        <v>289</v>
      </c>
      <c r="K1088" s="56" t="s">
        <v>26</v>
      </c>
      <c r="L1088" s="56">
        <v>47063745.420000002</v>
      </c>
      <c r="M1088" s="56">
        <v>0.85570446218181817</v>
      </c>
      <c r="T1088" s="56">
        <v>47063745.420000002</v>
      </c>
      <c r="U1088" s="56" t="s">
        <v>4593</v>
      </c>
      <c r="V1088" s="56" t="s">
        <v>4605</v>
      </c>
      <c r="W1088" s="56" t="s">
        <v>4606</v>
      </c>
    </row>
    <row r="1089" spans="9:23" x14ac:dyDescent="0.3">
      <c r="I1089" s="56" t="s">
        <v>25</v>
      </c>
      <c r="J1089" s="56" t="s">
        <v>289</v>
      </c>
      <c r="K1089" s="56" t="s">
        <v>26</v>
      </c>
      <c r="L1089" s="56">
        <v>2386642.44</v>
      </c>
      <c r="M1089" s="56">
        <v>0.477328488</v>
      </c>
      <c r="T1089" s="56">
        <v>2386642.44</v>
      </c>
      <c r="U1089" s="56" t="s">
        <v>4673</v>
      </c>
      <c r="V1089" s="56" t="s">
        <v>4674</v>
      </c>
      <c r="W1089" s="56" t="s">
        <v>4675</v>
      </c>
    </row>
    <row r="1090" spans="9:23" x14ac:dyDescent="0.3">
      <c r="I1090" s="56" t="s">
        <v>25</v>
      </c>
      <c r="J1090" s="56" t="s">
        <v>289</v>
      </c>
      <c r="K1090" s="56" t="s">
        <v>1771</v>
      </c>
      <c r="T1090" s="56">
        <v>9454928.7699999996</v>
      </c>
      <c r="U1090" s="56" t="s">
        <v>1491</v>
      </c>
      <c r="V1090" s="56" t="s">
        <v>1492</v>
      </c>
      <c r="W1090" s="56" t="s">
        <v>1493</v>
      </c>
    </row>
    <row r="1091" spans="9:23" x14ac:dyDescent="0.3">
      <c r="I1091" s="56" t="s">
        <v>25</v>
      </c>
      <c r="J1091" s="56" t="s">
        <v>289</v>
      </c>
      <c r="K1091" s="56" t="s">
        <v>1771</v>
      </c>
      <c r="L1091" s="56">
        <v>1490362.83</v>
      </c>
      <c r="M1091" s="56">
        <v>9.9357522000000004E-2</v>
      </c>
      <c r="T1091" s="56">
        <v>1490362.83</v>
      </c>
      <c r="U1091" s="56" t="s">
        <v>3269</v>
      </c>
      <c r="V1091" s="56" t="s">
        <v>3280</v>
      </c>
      <c r="W1091" s="56" t="s">
        <v>3281</v>
      </c>
    </row>
    <row r="1092" spans="9:23" x14ac:dyDescent="0.3">
      <c r="I1092" s="56" t="s">
        <v>25</v>
      </c>
      <c r="J1092" s="56" t="s">
        <v>289</v>
      </c>
      <c r="K1092" s="56" t="s">
        <v>1771</v>
      </c>
      <c r="T1092" s="56">
        <v>3188506.38</v>
      </c>
      <c r="U1092" s="56" t="s">
        <v>3878</v>
      </c>
      <c r="V1092" s="56" t="s">
        <v>3883</v>
      </c>
      <c r="W1092" s="56" t="s">
        <v>3884</v>
      </c>
    </row>
    <row r="1093" spans="9:23" x14ac:dyDescent="0.3">
      <c r="I1093" s="56" t="s">
        <v>25</v>
      </c>
      <c r="J1093" s="56" t="s">
        <v>289</v>
      </c>
      <c r="K1093" s="56" t="s">
        <v>1771</v>
      </c>
      <c r="L1093" s="56">
        <v>1032737.48</v>
      </c>
      <c r="M1093" s="56">
        <v>0.206547496</v>
      </c>
      <c r="T1093" s="56">
        <v>1032737.48</v>
      </c>
      <c r="U1093" s="56" t="s">
        <v>3727</v>
      </c>
      <c r="V1093" s="56" t="s">
        <v>3740</v>
      </c>
      <c r="W1093" s="56" t="s">
        <v>3741</v>
      </c>
    </row>
    <row r="1094" spans="9:23" x14ac:dyDescent="0.3">
      <c r="I1094" s="56" t="s">
        <v>25</v>
      </c>
      <c r="J1094" s="56" t="s">
        <v>106</v>
      </c>
      <c r="K1094" s="56" t="s">
        <v>107</v>
      </c>
      <c r="T1094" s="56">
        <v>28641465.129999999</v>
      </c>
      <c r="U1094" s="56" t="s">
        <v>124</v>
      </c>
      <c r="V1094" s="56" t="s">
        <v>282</v>
      </c>
      <c r="W1094" s="56" t="s">
        <v>283</v>
      </c>
    </row>
    <row r="1095" spans="9:23" x14ac:dyDescent="0.3">
      <c r="I1095" s="56" t="s">
        <v>25</v>
      </c>
      <c r="J1095" s="56" t="s">
        <v>106</v>
      </c>
      <c r="K1095" s="56" t="s">
        <v>107</v>
      </c>
      <c r="L1095" s="56">
        <v>5623301.6799999997</v>
      </c>
      <c r="M1095" s="56">
        <v>0.28116508400000001</v>
      </c>
      <c r="T1095" s="56">
        <v>5623301.6799999997</v>
      </c>
      <c r="U1095" s="56" t="s">
        <v>508</v>
      </c>
      <c r="V1095" s="56" t="s">
        <v>514</v>
      </c>
      <c r="W1095" s="56" t="s">
        <v>515</v>
      </c>
    </row>
    <row r="1096" spans="9:23" x14ac:dyDescent="0.3">
      <c r="I1096" s="56" t="s">
        <v>25</v>
      </c>
      <c r="J1096" s="56" t="s">
        <v>106</v>
      </c>
      <c r="K1096" s="56" t="s">
        <v>107</v>
      </c>
      <c r="L1096" s="56">
        <v>9057587.5299999993</v>
      </c>
      <c r="M1096" s="56">
        <v>0.43047324414238869</v>
      </c>
      <c r="N1096" s="56">
        <v>9057587.5299999993</v>
      </c>
      <c r="O1096" s="56">
        <v>0.43047324414238869</v>
      </c>
      <c r="T1096" s="56">
        <v>9057587.5299999993</v>
      </c>
      <c r="U1096" s="56" t="s">
        <v>555</v>
      </c>
      <c r="V1096" s="56" t="s">
        <v>559</v>
      </c>
      <c r="W1096" s="56" t="s">
        <v>560</v>
      </c>
    </row>
    <row r="1097" spans="9:23" x14ac:dyDescent="0.3">
      <c r="I1097" s="56" t="s">
        <v>25</v>
      </c>
      <c r="J1097" s="56" t="s">
        <v>106</v>
      </c>
      <c r="K1097" s="56" t="s">
        <v>107</v>
      </c>
      <c r="T1097" s="56">
        <v>37890293.920000002</v>
      </c>
      <c r="U1097" s="56" t="s">
        <v>570</v>
      </c>
      <c r="V1097" s="56" t="s">
        <v>576</v>
      </c>
      <c r="W1097" s="56" t="s">
        <v>577</v>
      </c>
    </row>
    <row r="1098" spans="9:23" x14ac:dyDescent="0.3">
      <c r="I1098" s="56" t="s">
        <v>25</v>
      </c>
      <c r="J1098" s="56" t="s">
        <v>106</v>
      </c>
      <c r="K1098" s="56" t="s">
        <v>107</v>
      </c>
      <c r="T1098" s="56">
        <v>18483397.329999998</v>
      </c>
      <c r="U1098" s="56" t="s">
        <v>834</v>
      </c>
      <c r="V1098" s="56" t="s">
        <v>836</v>
      </c>
      <c r="W1098" s="56" t="s">
        <v>837</v>
      </c>
    </row>
    <row r="1099" spans="9:23" x14ac:dyDescent="0.3">
      <c r="I1099" s="56" t="s">
        <v>25</v>
      </c>
      <c r="J1099" s="56" t="s">
        <v>106</v>
      </c>
      <c r="K1099" s="699" t="s">
        <v>107</v>
      </c>
      <c r="L1099" s="56">
        <v>14161111.449999999</v>
      </c>
      <c r="M1099" s="56">
        <v>0.2671907820754717</v>
      </c>
      <c r="T1099" s="56">
        <v>14161111.449999999</v>
      </c>
      <c r="U1099" s="56" t="s">
        <v>902</v>
      </c>
      <c r="V1099" s="56" t="s">
        <v>908</v>
      </c>
      <c r="W1099" s="56" t="s">
        <v>909</v>
      </c>
    </row>
    <row r="1100" spans="9:23" x14ac:dyDescent="0.3">
      <c r="I1100" s="56" t="s">
        <v>25</v>
      </c>
      <c r="J1100" s="56" t="s">
        <v>106</v>
      </c>
      <c r="K1100" s="56" t="s">
        <v>107</v>
      </c>
      <c r="L1100" s="56">
        <v>4944804.82</v>
      </c>
      <c r="M1100" s="56">
        <v>0.32965365466666668</v>
      </c>
      <c r="N1100" s="56">
        <v>4944804.82</v>
      </c>
      <c r="O1100" s="56">
        <v>0.32965365466666668</v>
      </c>
      <c r="T1100" s="56">
        <v>4944804.82</v>
      </c>
      <c r="U1100" s="56" t="s">
        <v>2477</v>
      </c>
      <c r="V1100" s="56" t="s">
        <v>2478</v>
      </c>
      <c r="W1100" s="56" t="s">
        <v>2479</v>
      </c>
    </row>
    <row r="1101" spans="9:23" x14ac:dyDescent="0.3">
      <c r="I1101" s="56" t="s">
        <v>25</v>
      </c>
      <c r="J1101" s="56" t="s">
        <v>106</v>
      </c>
      <c r="K1101" s="56" t="s">
        <v>107</v>
      </c>
      <c r="T1101" s="56">
        <v>2943080.4</v>
      </c>
      <c r="U1101" s="56" t="s">
        <v>2665</v>
      </c>
      <c r="V1101" s="56" t="s">
        <v>2670</v>
      </c>
      <c r="W1101" s="56" t="s">
        <v>2671</v>
      </c>
    </row>
    <row r="1102" spans="9:23" x14ac:dyDescent="0.3">
      <c r="I1102" s="56" t="s">
        <v>25</v>
      </c>
      <c r="J1102" s="56" t="s">
        <v>106</v>
      </c>
      <c r="K1102" s="690" t="s">
        <v>107</v>
      </c>
      <c r="T1102" s="56">
        <v>3169002.95</v>
      </c>
      <c r="U1102" s="56" t="s">
        <v>2983</v>
      </c>
      <c r="V1102" s="56" t="s">
        <v>2984</v>
      </c>
      <c r="W1102" s="56" t="s">
        <v>2985</v>
      </c>
    </row>
    <row r="1103" spans="9:23" x14ac:dyDescent="0.3">
      <c r="I1103" s="56" t="s">
        <v>25</v>
      </c>
      <c r="J1103" s="56" t="s">
        <v>106</v>
      </c>
      <c r="K1103" s="56" t="s">
        <v>107</v>
      </c>
      <c r="T1103" s="56">
        <v>5000000</v>
      </c>
      <c r="U1103" s="56" t="s">
        <v>5916</v>
      </c>
      <c r="V1103" s="56" t="s">
        <v>5936</v>
      </c>
      <c r="W1103" s="56" t="s">
        <v>5937</v>
      </c>
    </row>
    <row r="1104" spans="9:23" x14ac:dyDescent="0.3">
      <c r="I1104" s="56" t="s">
        <v>25</v>
      </c>
      <c r="J1104" s="56" t="s">
        <v>106</v>
      </c>
      <c r="K1104" s="56" t="s">
        <v>4357</v>
      </c>
      <c r="T1104" s="56">
        <v>23093684.050000001</v>
      </c>
      <c r="U1104" s="56" t="s">
        <v>4356</v>
      </c>
      <c r="V1104" s="56" t="s">
        <v>4361</v>
      </c>
      <c r="W1104" s="56" t="s">
        <v>4362</v>
      </c>
    </row>
    <row r="1105" spans="9:23" x14ac:dyDescent="0.3">
      <c r="I1105" s="56" t="s">
        <v>25</v>
      </c>
      <c r="J1105" s="56" t="s">
        <v>106</v>
      </c>
      <c r="K1105" s="56" t="s">
        <v>26</v>
      </c>
      <c r="T1105" s="56">
        <v>7505070.71</v>
      </c>
      <c r="U1105" s="56" t="s">
        <v>687</v>
      </c>
      <c r="V1105" s="56" t="s">
        <v>688</v>
      </c>
      <c r="W1105" s="56" t="s">
        <v>689</v>
      </c>
    </row>
    <row r="1106" spans="9:23" x14ac:dyDescent="0.3">
      <c r="I1106" s="56" t="s">
        <v>25</v>
      </c>
      <c r="J1106" s="56" t="s">
        <v>106</v>
      </c>
      <c r="K1106" s="56" t="s">
        <v>26</v>
      </c>
      <c r="T1106" s="56">
        <v>723614.31</v>
      </c>
      <c r="U1106" s="56" t="s">
        <v>776</v>
      </c>
      <c r="V1106" s="56" t="s">
        <v>1870</v>
      </c>
      <c r="W1106" s="56" t="s">
        <v>1871</v>
      </c>
    </row>
    <row r="1107" spans="9:23" x14ac:dyDescent="0.3">
      <c r="I1107" s="56" t="s">
        <v>25</v>
      </c>
      <c r="J1107" s="56" t="s">
        <v>106</v>
      </c>
      <c r="K1107" s="56" t="s">
        <v>26</v>
      </c>
      <c r="L1107" s="56">
        <v>28415483.350000001</v>
      </c>
      <c r="M1107" s="56">
        <v>0.81187095285714284</v>
      </c>
      <c r="T1107" s="56">
        <v>28415483.350000001</v>
      </c>
      <c r="U1107" s="56" t="s">
        <v>1978</v>
      </c>
      <c r="V1107" s="56" t="s">
        <v>1979</v>
      </c>
      <c r="W1107" s="56" t="s">
        <v>1980</v>
      </c>
    </row>
    <row r="1108" spans="9:23" x14ac:dyDescent="0.3">
      <c r="I1108" s="56" t="s">
        <v>25</v>
      </c>
      <c r="J1108" s="56" t="s">
        <v>106</v>
      </c>
      <c r="K1108" s="56" t="s">
        <v>26</v>
      </c>
      <c r="L1108" s="56">
        <v>2423977.04</v>
      </c>
      <c r="M1108" s="56">
        <v>0.20199808666666666</v>
      </c>
      <c r="N1108" s="56">
        <v>2423977.04</v>
      </c>
      <c r="O1108" s="56">
        <v>0.20199808666666666</v>
      </c>
      <c r="T1108" s="56">
        <v>2423977.04</v>
      </c>
      <c r="U1108" s="56" t="s">
        <v>927</v>
      </c>
      <c r="V1108" s="56" t="s">
        <v>951</v>
      </c>
      <c r="W1108" s="56" t="s">
        <v>952</v>
      </c>
    </row>
    <row r="1109" spans="9:23" x14ac:dyDescent="0.3">
      <c r="I1109" s="56" t="s">
        <v>25</v>
      </c>
      <c r="J1109" s="56" t="s">
        <v>106</v>
      </c>
      <c r="K1109" s="56" t="s">
        <v>26</v>
      </c>
      <c r="L1109" s="56">
        <v>23635006.18</v>
      </c>
      <c r="M1109" s="56">
        <v>0.78783353933333333</v>
      </c>
      <c r="N1109" s="56">
        <v>23635006.18</v>
      </c>
      <c r="O1109" s="56">
        <v>0.78783353933333333</v>
      </c>
      <c r="P1109" s="56">
        <v>23635006.18</v>
      </c>
      <c r="Q1109" s="56">
        <v>0.78783353933333333</v>
      </c>
      <c r="T1109" s="56">
        <v>23635006.18</v>
      </c>
      <c r="U1109" s="56" t="s">
        <v>1687</v>
      </c>
      <c r="V1109" s="56" t="s">
        <v>1694</v>
      </c>
      <c r="W1109" s="56" t="s">
        <v>1695</v>
      </c>
    </row>
    <row r="1110" spans="9:23" x14ac:dyDescent="0.3">
      <c r="I1110" s="56" t="s">
        <v>25</v>
      </c>
      <c r="J1110" s="56" t="s">
        <v>106</v>
      </c>
      <c r="K1110" s="56" t="s">
        <v>26</v>
      </c>
      <c r="T1110" s="56">
        <v>3511915.43</v>
      </c>
      <c r="U1110" s="56" t="s">
        <v>2612</v>
      </c>
      <c r="V1110" s="56" t="s">
        <v>2621</v>
      </c>
      <c r="W1110" s="56" t="s">
        <v>2622</v>
      </c>
    </row>
    <row r="1111" spans="9:23" x14ac:dyDescent="0.3">
      <c r="I1111" s="56" t="s">
        <v>25</v>
      </c>
      <c r="J1111" s="56" t="s">
        <v>106</v>
      </c>
      <c r="K1111" s="56" t="s">
        <v>704</v>
      </c>
      <c r="L1111" s="56">
        <v>4359233.2699999996</v>
      </c>
      <c r="M1111" s="56">
        <v>0.54490415874999998</v>
      </c>
      <c r="T1111" s="56">
        <v>4359233.2699999996</v>
      </c>
      <c r="U1111" s="56" t="s">
        <v>2852</v>
      </c>
      <c r="V1111" s="56" t="s">
        <v>2853</v>
      </c>
      <c r="W1111" s="56" t="s">
        <v>2854</v>
      </c>
    </row>
    <row r="1112" spans="9:23" x14ac:dyDescent="0.3">
      <c r="I1112" s="56" t="s">
        <v>25</v>
      </c>
      <c r="J1112" s="56" t="s">
        <v>106</v>
      </c>
      <c r="K1112" s="56" t="s">
        <v>704</v>
      </c>
      <c r="L1112" s="56">
        <v>12893149.109999999</v>
      </c>
      <c r="M1112" s="56">
        <v>0.64465745549999998</v>
      </c>
      <c r="T1112" s="56">
        <v>12893149.109999999</v>
      </c>
      <c r="U1112" s="56" t="s">
        <v>3262</v>
      </c>
      <c r="V1112" s="56" t="s">
        <v>3247</v>
      </c>
      <c r="W1112" s="56" t="s">
        <v>3263</v>
      </c>
    </row>
    <row r="1113" spans="9:23" x14ac:dyDescent="0.3">
      <c r="I1113" s="56" t="s">
        <v>25</v>
      </c>
      <c r="J1113" s="56" t="s">
        <v>106</v>
      </c>
      <c r="K1113" s="56" t="s">
        <v>704</v>
      </c>
      <c r="L1113" s="56">
        <v>797363.29</v>
      </c>
      <c r="M1113" s="56">
        <v>0.15947265800000002</v>
      </c>
      <c r="T1113" s="56">
        <v>797363.29</v>
      </c>
      <c r="U1113" s="56" t="s">
        <v>3620</v>
      </c>
      <c r="V1113" s="56" t="s">
        <v>3629</v>
      </c>
      <c r="W1113" s="56" t="s">
        <v>3630</v>
      </c>
    </row>
    <row r="1114" spans="9:23" x14ac:dyDescent="0.3">
      <c r="I1114" s="56" t="s">
        <v>25</v>
      </c>
      <c r="J1114" s="56" t="s">
        <v>101</v>
      </c>
      <c r="K1114" s="56" t="s">
        <v>95</v>
      </c>
      <c r="T1114" s="56">
        <v>17878010.98</v>
      </c>
      <c r="U1114" s="56" t="s">
        <v>823</v>
      </c>
      <c r="V1114" s="56" t="s">
        <v>825</v>
      </c>
      <c r="W1114" s="56" t="s">
        <v>826</v>
      </c>
    </row>
    <row r="1115" spans="9:23" x14ac:dyDescent="0.3">
      <c r="I1115" s="56" t="s">
        <v>25</v>
      </c>
      <c r="J1115" s="56" t="s">
        <v>101</v>
      </c>
      <c r="K1115" s="56" t="s">
        <v>95</v>
      </c>
      <c r="L1115" s="56">
        <v>12807037.58</v>
      </c>
      <c r="M1115" s="56">
        <v>0.64035187900000001</v>
      </c>
      <c r="N1115" s="56">
        <v>12807037.58</v>
      </c>
      <c r="O1115" s="56">
        <v>0.64035187900000001</v>
      </c>
      <c r="T1115" s="56">
        <v>12807037.58</v>
      </c>
      <c r="U1115" s="56" t="s">
        <v>4420</v>
      </c>
      <c r="V1115" s="56" t="s">
        <v>4424</v>
      </c>
      <c r="W1115" s="56" t="s">
        <v>4425</v>
      </c>
    </row>
    <row r="1116" spans="9:23" x14ac:dyDescent="0.3">
      <c r="I1116" s="56" t="s">
        <v>25</v>
      </c>
      <c r="J1116" s="56" t="s">
        <v>101</v>
      </c>
      <c r="K1116" s="56" t="s">
        <v>95</v>
      </c>
      <c r="T1116" s="56">
        <v>14839941.060000001</v>
      </c>
      <c r="U1116" s="56" t="s">
        <v>2433</v>
      </c>
      <c r="V1116" s="56" t="s">
        <v>2434</v>
      </c>
      <c r="W1116" s="56" t="s">
        <v>2435</v>
      </c>
    </row>
    <row r="1117" spans="9:23" x14ac:dyDescent="0.3">
      <c r="I1117" s="56" t="s">
        <v>25</v>
      </c>
      <c r="J1117" s="56" t="s">
        <v>101</v>
      </c>
      <c r="K1117" s="56" t="s">
        <v>95</v>
      </c>
      <c r="L1117" s="56">
        <v>6370204.4500000002</v>
      </c>
      <c r="M1117" s="56">
        <v>0.63702044499999999</v>
      </c>
      <c r="T1117" s="56">
        <v>6370204.4500000002</v>
      </c>
      <c r="U1117" s="56" t="s">
        <v>3256</v>
      </c>
      <c r="V1117" s="56" t="s">
        <v>3257</v>
      </c>
      <c r="W1117" s="56" t="s">
        <v>3258</v>
      </c>
    </row>
    <row r="1118" spans="9:23" x14ac:dyDescent="0.3">
      <c r="I1118" s="56" t="s">
        <v>25</v>
      </c>
      <c r="J1118" s="56" t="s">
        <v>101</v>
      </c>
      <c r="K1118" s="56" t="s">
        <v>1826</v>
      </c>
      <c r="T1118" s="56">
        <v>3757446.26</v>
      </c>
      <c r="U1118" s="56" t="s">
        <v>5635</v>
      </c>
      <c r="V1118" s="56" t="s">
        <v>5645</v>
      </c>
      <c r="W1118" s="56" t="s">
        <v>5646</v>
      </c>
    </row>
    <row r="1119" spans="9:23" x14ac:dyDescent="0.3">
      <c r="I1119" s="56" t="s">
        <v>25</v>
      </c>
      <c r="J1119" s="56" t="s">
        <v>101</v>
      </c>
      <c r="K1119" s="56" t="s">
        <v>5507</v>
      </c>
      <c r="T1119" s="56">
        <v>5604489.29</v>
      </c>
      <c r="U1119" s="56" t="s">
        <v>5733</v>
      </c>
      <c r="V1119" s="56" t="s">
        <v>5736</v>
      </c>
      <c r="W1119" s="56" t="s">
        <v>5737</v>
      </c>
    </row>
    <row r="1120" spans="9:23" x14ac:dyDescent="0.3">
      <c r="I1120" s="56" t="s">
        <v>25</v>
      </c>
      <c r="J1120" s="56" t="s">
        <v>101</v>
      </c>
      <c r="K1120" s="56" t="s">
        <v>26</v>
      </c>
      <c r="L1120" s="56">
        <v>26970582.52</v>
      </c>
      <c r="M1120" s="56">
        <v>0.42298236937153111</v>
      </c>
      <c r="T1120" s="56">
        <v>26970582.52</v>
      </c>
      <c r="U1120" s="56" t="s">
        <v>109</v>
      </c>
      <c r="V1120" s="56" t="s">
        <v>267</v>
      </c>
      <c r="W1120" s="56" t="s">
        <v>268</v>
      </c>
    </row>
    <row r="1121" spans="9:23" x14ac:dyDescent="0.3">
      <c r="I1121" s="56" t="s">
        <v>25</v>
      </c>
      <c r="J1121" s="56" t="s">
        <v>101</v>
      </c>
      <c r="K1121" s="56" t="s">
        <v>26</v>
      </c>
      <c r="T1121" s="56">
        <v>18458432.82</v>
      </c>
      <c r="U1121" s="56" t="s">
        <v>1384</v>
      </c>
      <c r="V1121" s="56" t="s">
        <v>1385</v>
      </c>
      <c r="W1121" s="56" t="s">
        <v>1386</v>
      </c>
    </row>
    <row r="1122" spans="9:23" x14ac:dyDescent="0.3">
      <c r="I1122" s="56" t="s">
        <v>25</v>
      </c>
      <c r="J1122" s="56" t="s">
        <v>101</v>
      </c>
      <c r="K1122" s="56" t="s">
        <v>26</v>
      </c>
      <c r="L1122" s="56">
        <v>10636838.539999999</v>
      </c>
      <c r="M1122" s="56">
        <v>0.53184192699999999</v>
      </c>
      <c r="T1122" s="56">
        <v>10636838.539999999</v>
      </c>
      <c r="U1122" s="56" t="s">
        <v>3621</v>
      </c>
      <c r="V1122" s="56" t="s">
        <v>3623</v>
      </c>
      <c r="W1122" s="56" t="s">
        <v>3624</v>
      </c>
    </row>
    <row r="1123" spans="9:23" x14ac:dyDescent="0.3">
      <c r="I1123" s="56" t="s">
        <v>25</v>
      </c>
      <c r="J1123" s="56" t="s">
        <v>101</v>
      </c>
      <c r="K1123" s="56" t="s">
        <v>26</v>
      </c>
      <c r="T1123" s="56">
        <v>9833312.0600000005</v>
      </c>
      <c r="U1123" s="56" t="s">
        <v>2806</v>
      </c>
      <c r="V1123" s="56" t="s">
        <v>2813</v>
      </c>
      <c r="W1123" s="56" t="s">
        <v>2814</v>
      </c>
    </row>
    <row r="1124" spans="9:23" x14ac:dyDescent="0.3">
      <c r="I1124" s="56" t="s">
        <v>25</v>
      </c>
      <c r="J1124" s="56" t="s">
        <v>101</v>
      </c>
      <c r="K1124" s="56" t="s">
        <v>26</v>
      </c>
      <c r="L1124" s="56">
        <v>2262576.9</v>
      </c>
      <c r="M1124" s="56">
        <v>0.565644225</v>
      </c>
      <c r="T1124" s="56">
        <v>2262576.9</v>
      </c>
      <c r="U1124" s="56" t="s">
        <v>4536</v>
      </c>
      <c r="V1124" s="56" t="s">
        <v>4538</v>
      </c>
      <c r="W1124" s="56" t="s">
        <v>4539</v>
      </c>
    </row>
    <row r="1125" spans="9:23" x14ac:dyDescent="0.3">
      <c r="I1125" s="56" t="s">
        <v>25</v>
      </c>
      <c r="J1125" s="56" t="s">
        <v>101</v>
      </c>
      <c r="K1125" s="56" t="s">
        <v>26</v>
      </c>
      <c r="L1125" s="56">
        <v>1377931.77</v>
      </c>
      <c r="M1125" s="56">
        <v>0.91862117999999993</v>
      </c>
      <c r="T1125" s="56">
        <v>1377931.77</v>
      </c>
      <c r="U1125" s="56" t="s">
        <v>5540</v>
      </c>
      <c r="V1125" s="56" t="s">
        <v>5549</v>
      </c>
      <c r="W1125" s="56" t="s">
        <v>5550</v>
      </c>
    </row>
    <row r="1126" spans="9:23" x14ac:dyDescent="0.3">
      <c r="I1126" s="56" t="s">
        <v>25</v>
      </c>
      <c r="J1126" s="56" t="s">
        <v>101</v>
      </c>
      <c r="K1126" s="56" t="s">
        <v>26</v>
      </c>
      <c r="T1126" s="56">
        <v>9780727.4199999999</v>
      </c>
      <c r="U1126" s="56" t="s">
        <v>2884</v>
      </c>
      <c r="V1126" s="56" t="s">
        <v>2888</v>
      </c>
      <c r="W1126" s="56" t="s">
        <v>2889</v>
      </c>
    </row>
    <row r="1127" spans="9:23" x14ac:dyDescent="0.3">
      <c r="I1127" s="56" t="s">
        <v>25</v>
      </c>
      <c r="J1127" s="56" t="s">
        <v>26</v>
      </c>
      <c r="K1127" s="56" t="s">
        <v>26</v>
      </c>
      <c r="L1127" s="56">
        <v>58355347.810000002</v>
      </c>
      <c r="M1127" s="56">
        <v>0.89777458169230773</v>
      </c>
      <c r="N1127" s="56">
        <v>58355347.810000002</v>
      </c>
      <c r="O1127" s="56">
        <v>0.89777458169230773</v>
      </c>
      <c r="P1127" s="56">
        <v>58355347.810000002</v>
      </c>
      <c r="Q1127" s="56">
        <v>0.89777458169230773</v>
      </c>
      <c r="T1127" s="56">
        <v>58355347.810000002</v>
      </c>
      <c r="U1127" s="56" t="s">
        <v>2060</v>
      </c>
      <c r="V1127" s="56" t="s">
        <v>2062</v>
      </c>
      <c r="W1127" s="56" t="s">
        <v>2063</v>
      </c>
    </row>
    <row r="1128" spans="9:23" x14ac:dyDescent="0.3">
      <c r="I1128" s="56" t="s">
        <v>25</v>
      </c>
      <c r="J1128" s="56" t="s">
        <v>26</v>
      </c>
      <c r="K1128" s="56" t="s">
        <v>26</v>
      </c>
      <c r="T1128" s="56">
        <v>9327329.2699999996</v>
      </c>
      <c r="U1128" s="56" t="s">
        <v>200</v>
      </c>
      <c r="V1128" s="56" t="s">
        <v>201</v>
      </c>
      <c r="W1128" s="56" t="s">
        <v>202</v>
      </c>
    </row>
    <row r="1129" spans="9:23" x14ac:dyDescent="0.3">
      <c r="I1129" s="56" t="s">
        <v>25</v>
      </c>
      <c r="J1129" s="56" t="s">
        <v>26</v>
      </c>
      <c r="K1129" s="56" t="s">
        <v>26</v>
      </c>
      <c r="T1129" s="56">
        <v>51169733.530000001</v>
      </c>
      <c r="U1129" s="56" t="s">
        <v>130</v>
      </c>
      <c r="V1129" s="56" t="s">
        <v>131</v>
      </c>
      <c r="W1129" s="56" t="s">
        <v>132</v>
      </c>
    </row>
    <row r="1130" spans="9:23" x14ac:dyDescent="0.3">
      <c r="I1130" s="56" t="s">
        <v>25</v>
      </c>
      <c r="J1130" s="56" t="s">
        <v>26</v>
      </c>
      <c r="K1130" s="56" t="s">
        <v>26</v>
      </c>
      <c r="L1130" s="56">
        <v>4853148.8099999996</v>
      </c>
      <c r="M1130" s="56">
        <v>0.11320483295404773</v>
      </c>
      <c r="N1130" s="56">
        <v>4853148.8099999996</v>
      </c>
      <c r="O1130" s="56">
        <v>0.11320483295404773</v>
      </c>
      <c r="P1130" s="56">
        <v>4853148.8099999996</v>
      </c>
      <c r="Q1130" s="56">
        <v>0.11320483295404773</v>
      </c>
      <c r="T1130" s="56">
        <v>4853148.8099999996</v>
      </c>
      <c r="U1130" s="56" t="s">
        <v>223</v>
      </c>
      <c r="V1130" s="56" t="s">
        <v>224</v>
      </c>
      <c r="W1130" s="56" t="s">
        <v>225</v>
      </c>
    </row>
    <row r="1131" spans="9:23" x14ac:dyDescent="0.3">
      <c r="I1131" s="56" t="s">
        <v>25</v>
      </c>
      <c r="J1131" s="56" t="s">
        <v>26</v>
      </c>
      <c r="K1131" s="56" t="s">
        <v>26</v>
      </c>
      <c r="T1131" s="56">
        <v>3271031.77</v>
      </c>
      <c r="U1131" s="56" t="s">
        <v>4751</v>
      </c>
      <c r="V1131" s="56" t="s">
        <v>4752</v>
      </c>
      <c r="W1131" s="56" t="s">
        <v>4753</v>
      </c>
    </row>
    <row r="1132" spans="9:23" x14ac:dyDescent="0.3">
      <c r="I1132" s="56" t="s">
        <v>25</v>
      </c>
      <c r="J1132" s="56" t="s">
        <v>26</v>
      </c>
      <c r="K1132" s="56" t="s">
        <v>26</v>
      </c>
      <c r="L1132" s="56">
        <v>1277122.79</v>
      </c>
      <c r="M1132" s="56">
        <v>0.51084911599999994</v>
      </c>
      <c r="T1132" s="56">
        <v>1277122.79</v>
      </c>
      <c r="U1132" s="56" t="s">
        <v>211</v>
      </c>
      <c r="V1132" s="56" t="s">
        <v>212</v>
      </c>
      <c r="W1132" s="56" t="s">
        <v>213</v>
      </c>
    </row>
    <row r="1133" spans="9:23" x14ac:dyDescent="0.3">
      <c r="I1133" s="56" t="s">
        <v>25</v>
      </c>
      <c r="J1133" s="56" t="s">
        <v>26</v>
      </c>
      <c r="K1133" s="56" t="s">
        <v>26</v>
      </c>
      <c r="L1133" s="56">
        <v>9354514.9399999995</v>
      </c>
      <c r="M1133" s="56">
        <v>0.46772574700000003</v>
      </c>
      <c r="T1133" s="56">
        <v>9354514.9399999995</v>
      </c>
      <c r="U1133" s="56" t="s">
        <v>601</v>
      </c>
      <c r="V1133" s="56" t="s">
        <v>1914</v>
      </c>
      <c r="W1133" s="56" t="s">
        <v>1915</v>
      </c>
    </row>
    <row r="1134" spans="9:23" x14ac:dyDescent="0.3">
      <c r="I1134" s="56" t="s">
        <v>25</v>
      </c>
      <c r="J1134" s="56" t="s">
        <v>26</v>
      </c>
      <c r="K1134" s="56" t="s">
        <v>26</v>
      </c>
      <c r="T1134" s="56">
        <v>8305057.8300000001</v>
      </c>
      <c r="U1134" s="56" t="s">
        <v>84</v>
      </c>
      <c r="V1134" s="56" t="s">
        <v>243</v>
      </c>
      <c r="W1134" s="56" t="s">
        <v>244</v>
      </c>
    </row>
    <row r="1135" spans="9:23" x14ac:dyDescent="0.3">
      <c r="I1135" s="56" t="s">
        <v>25</v>
      </c>
      <c r="J1135" s="56" t="s">
        <v>26</v>
      </c>
      <c r="K1135" s="56" t="s">
        <v>26</v>
      </c>
      <c r="L1135" s="56">
        <v>3622295.32</v>
      </c>
      <c r="M1135" s="56">
        <v>0.72445906399999993</v>
      </c>
      <c r="T1135" s="56">
        <v>3622295.32</v>
      </c>
      <c r="U1135" s="56" t="s">
        <v>83</v>
      </c>
      <c r="V1135" s="56" t="s">
        <v>2426</v>
      </c>
      <c r="W1135" s="56" t="s">
        <v>2427</v>
      </c>
    </row>
    <row r="1136" spans="9:23" x14ac:dyDescent="0.3">
      <c r="I1136" s="56" t="s">
        <v>25</v>
      </c>
      <c r="J1136" s="56" t="s">
        <v>26</v>
      </c>
      <c r="K1136" s="56" t="s">
        <v>26</v>
      </c>
      <c r="T1136" s="56">
        <v>6376301.0800000001</v>
      </c>
      <c r="U1136" s="56" t="s">
        <v>105</v>
      </c>
      <c r="V1136" s="56" t="s">
        <v>264</v>
      </c>
      <c r="W1136" s="56" t="s">
        <v>265</v>
      </c>
    </row>
    <row r="1137" spans="9:23" x14ac:dyDescent="0.3">
      <c r="I1137" s="56" t="s">
        <v>25</v>
      </c>
      <c r="J1137" s="56" t="s">
        <v>26</v>
      </c>
      <c r="K1137" s="56" t="s">
        <v>26</v>
      </c>
      <c r="L1137" s="56">
        <v>5029949.62</v>
      </c>
      <c r="M1137" s="56">
        <v>0.41916246833333337</v>
      </c>
      <c r="T1137" s="56">
        <v>5029949.62</v>
      </c>
      <c r="U1137" s="56" t="s">
        <v>4620</v>
      </c>
      <c r="V1137" s="56" t="s">
        <v>4624</v>
      </c>
      <c r="W1137" s="56" t="s">
        <v>4625</v>
      </c>
    </row>
    <row r="1138" spans="9:23" x14ac:dyDescent="0.3">
      <c r="I1138" s="56" t="s">
        <v>25</v>
      </c>
      <c r="J1138" s="56" t="s">
        <v>26</v>
      </c>
      <c r="K1138" s="56" t="s">
        <v>26</v>
      </c>
      <c r="L1138" s="56">
        <v>32676053.670000002</v>
      </c>
      <c r="M1138" s="56">
        <v>0.7780012778571429</v>
      </c>
      <c r="N1138" s="56">
        <v>32676053.670000002</v>
      </c>
      <c r="O1138" s="56">
        <v>0.7780012778571429</v>
      </c>
      <c r="T1138" s="56">
        <v>32676053.670000002</v>
      </c>
      <c r="U1138" s="56" t="s">
        <v>359</v>
      </c>
      <c r="V1138" s="56" t="s">
        <v>360</v>
      </c>
      <c r="W1138" s="56" t="s">
        <v>361</v>
      </c>
    </row>
    <row r="1139" spans="9:23" x14ac:dyDescent="0.3">
      <c r="I1139" s="56" t="s">
        <v>25</v>
      </c>
      <c r="J1139" s="56" t="s">
        <v>26</v>
      </c>
      <c r="K1139" s="56" t="s">
        <v>26</v>
      </c>
      <c r="L1139" s="56">
        <v>3185254.24</v>
      </c>
      <c r="M1139" s="56">
        <v>0.79631355999999998</v>
      </c>
      <c r="T1139" s="56">
        <v>3185254.24</v>
      </c>
      <c r="U1139" s="56" t="s">
        <v>365</v>
      </c>
      <c r="V1139" s="56" t="s">
        <v>373</v>
      </c>
      <c r="W1139" s="56" t="s">
        <v>374</v>
      </c>
    </row>
    <row r="1140" spans="9:23" x14ac:dyDescent="0.3">
      <c r="I1140" s="56" t="s">
        <v>25</v>
      </c>
      <c r="J1140" s="56" t="s">
        <v>26</v>
      </c>
      <c r="K1140" s="56" t="s">
        <v>26</v>
      </c>
      <c r="L1140" s="56">
        <v>29980930.129999999</v>
      </c>
      <c r="M1140" s="56">
        <v>0.46168561934105212</v>
      </c>
      <c r="N1140" s="56">
        <v>29980930.129999999</v>
      </c>
      <c r="O1140" s="56">
        <v>0.46168561934105212</v>
      </c>
      <c r="T1140" s="56">
        <v>29980930.129999999</v>
      </c>
      <c r="U1140" s="56" t="s">
        <v>451</v>
      </c>
      <c r="V1140" s="56" t="s">
        <v>454</v>
      </c>
      <c r="W1140" s="56" t="s">
        <v>455</v>
      </c>
    </row>
    <row r="1141" spans="9:23" x14ac:dyDescent="0.3">
      <c r="I1141" s="56" t="s">
        <v>25</v>
      </c>
      <c r="J1141" s="56" t="s">
        <v>26</v>
      </c>
      <c r="K1141" s="56" t="s">
        <v>26</v>
      </c>
      <c r="T1141" s="56">
        <v>2712982.47</v>
      </c>
      <c r="U1141" s="56" t="s">
        <v>4954</v>
      </c>
      <c r="V1141" s="56" t="s">
        <v>4956</v>
      </c>
      <c r="W1141" s="56" t="s">
        <v>4957</v>
      </c>
    </row>
    <row r="1142" spans="9:23" x14ac:dyDescent="0.3">
      <c r="I1142" s="56" t="s">
        <v>25</v>
      </c>
      <c r="J1142" s="56" t="s">
        <v>26</v>
      </c>
      <c r="K1142" s="56" t="s">
        <v>26</v>
      </c>
      <c r="L1142" s="56">
        <v>11412255.83</v>
      </c>
      <c r="M1142" s="56">
        <v>0.73627456967741933</v>
      </c>
      <c r="T1142" s="56">
        <v>11412255.83</v>
      </c>
      <c r="U1142" s="56" t="s">
        <v>510</v>
      </c>
      <c r="V1142" s="56" t="s">
        <v>511</v>
      </c>
      <c r="W1142" s="56" t="s">
        <v>512</v>
      </c>
    </row>
    <row r="1143" spans="9:23" x14ac:dyDescent="0.3">
      <c r="I1143" s="56" t="s">
        <v>25</v>
      </c>
      <c r="J1143" s="56" t="s">
        <v>26</v>
      </c>
      <c r="K1143" s="56" t="s">
        <v>26</v>
      </c>
      <c r="T1143" s="56">
        <v>10548347.9</v>
      </c>
      <c r="U1143" s="56" t="s">
        <v>542</v>
      </c>
      <c r="V1143" s="56" t="s">
        <v>543</v>
      </c>
      <c r="W1143" s="56" t="s">
        <v>544</v>
      </c>
    </row>
    <row r="1144" spans="9:23" x14ac:dyDescent="0.3">
      <c r="I1144" s="56" t="s">
        <v>25</v>
      </c>
      <c r="J1144" s="56" t="s">
        <v>26</v>
      </c>
      <c r="K1144" s="56" t="s">
        <v>26</v>
      </c>
      <c r="L1144" s="56">
        <v>35097849.229999997</v>
      </c>
      <c r="M1144" s="56">
        <v>0.52384849597014926</v>
      </c>
      <c r="T1144" s="56">
        <v>35097849.229999997</v>
      </c>
      <c r="U1144" s="56" t="s">
        <v>535</v>
      </c>
      <c r="V1144" s="56" t="s">
        <v>538</v>
      </c>
      <c r="W1144" s="56" t="s">
        <v>539</v>
      </c>
    </row>
    <row r="1145" spans="9:23" x14ac:dyDescent="0.3">
      <c r="I1145" s="56" t="s">
        <v>25</v>
      </c>
      <c r="J1145" s="56" t="s">
        <v>26</v>
      </c>
      <c r="K1145" s="56" t="s">
        <v>26</v>
      </c>
      <c r="L1145" s="56">
        <v>9467414.0500000007</v>
      </c>
      <c r="M1145" s="56">
        <v>0.62951706197560808</v>
      </c>
      <c r="N1145" s="56">
        <v>9467414.0500000007</v>
      </c>
      <c r="O1145" s="56">
        <v>0.62951706197560808</v>
      </c>
      <c r="T1145" s="56">
        <v>9467414.0500000007</v>
      </c>
      <c r="U1145" s="56" t="s">
        <v>591</v>
      </c>
      <c r="V1145" s="56" t="s">
        <v>592</v>
      </c>
      <c r="W1145" s="56" t="s">
        <v>593</v>
      </c>
    </row>
    <row r="1146" spans="9:23" x14ac:dyDescent="0.3">
      <c r="I1146" s="56" t="s">
        <v>25</v>
      </c>
      <c r="J1146" s="56" t="s">
        <v>26</v>
      </c>
      <c r="K1146" s="56" t="s">
        <v>26</v>
      </c>
      <c r="L1146" s="56">
        <v>23516676.079999998</v>
      </c>
      <c r="M1146" s="56">
        <v>0.42462821371127984</v>
      </c>
      <c r="N1146" s="56">
        <v>23516676.079999998</v>
      </c>
      <c r="O1146" s="56">
        <v>0.42462821371127984</v>
      </c>
      <c r="T1146" s="56">
        <v>23516676.079999998</v>
      </c>
      <c r="U1146" s="56" t="s">
        <v>649</v>
      </c>
      <c r="V1146" s="56" t="s">
        <v>654</v>
      </c>
      <c r="W1146" s="56" t="s">
        <v>655</v>
      </c>
    </row>
    <row r="1147" spans="9:23" x14ac:dyDescent="0.3">
      <c r="I1147" s="56" t="s">
        <v>25</v>
      </c>
      <c r="J1147" s="56" t="s">
        <v>26</v>
      </c>
      <c r="K1147" s="56" t="s">
        <v>26</v>
      </c>
      <c r="L1147" s="56">
        <v>48442901.219999999</v>
      </c>
      <c r="M1147" s="56">
        <v>0.96885802439999991</v>
      </c>
      <c r="N1147" s="56">
        <v>48442901.219999999</v>
      </c>
      <c r="O1147" s="56">
        <v>0.96885802439999991</v>
      </c>
      <c r="P1147" s="56">
        <v>48442901.219999999</v>
      </c>
      <c r="Q1147" s="56">
        <v>0.96885802439999991</v>
      </c>
      <c r="R1147" s="56">
        <v>48442901.219999999</v>
      </c>
      <c r="S1147" s="56">
        <v>0.96885802439999991</v>
      </c>
      <c r="T1147" s="56">
        <v>48442901.219999999</v>
      </c>
      <c r="U1147" s="56" t="s">
        <v>4012</v>
      </c>
      <c r="V1147" s="56" t="s">
        <v>4017</v>
      </c>
      <c r="W1147" s="56" t="s">
        <v>4018</v>
      </c>
    </row>
    <row r="1148" spans="9:23" x14ac:dyDescent="0.3">
      <c r="I1148" s="56" t="s">
        <v>25</v>
      </c>
      <c r="J1148" s="56" t="s">
        <v>26</v>
      </c>
      <c r="K1148" s="56" t="s">
        <v>26</v>
      </c>
      <c r="T1148" s="56">
        <v>6702732.8700000001</v>
      </c>
      <c r="U1148" s="56" t="s">
        <v>764</v>
      </c>
      <c r="V1148" s="56" t="s">
        <v>773</v>
      </c>
      <c r="W1148" s="56" t="s">
        <v>774</v>
      </c>
    </row>
    <row r="1149" spans="9:23" x14ac:dyDescent="0.3">
      <c r="I1149" s="56" t="s">
        <v>25</v>
      </c>
      <c r="J1149" s="56" t="s">
        <v>26</v>
      </c>
      <c r="K1149" s="56" t="s">
        <v>26</v>
      </c>
      <c r="L1149" s="56">
        <v>14326640.18</v>
      </c>
      <c r="M1149" s="56">
        <v>0.2910789855738436</v>
      </c>
      <c r="T1149" s="56">
        <v>14326640.18</v>
      </c>
      <c r="U1149" s="56" t="s">
        <v>730</v>
      </c>
      <c r="V1149" s="56" t="s">
        <v>733</v>
      </c>
      <c r="W1149" s="56" t="s">
        <v>734</v>
      </c>
    </row>
    <row r="1150" spans="9:23" x14ac:dyDescent="0.3">
      <c r="I1150" s="56" t="s">
        <v>25</v>
      </c>
      <c r="J1150" s="56" t="s">
        <v>26</v>
      </c>
      <c r="K1150" s="56" t="s">
        <v>26</v>
      </c>
      <c r="L1150" s="56">
        <v>4749594.84</v>
      </c>
      <c r="M1150" s="56">
        <v>0.47495948399999999</v>
      </c>
      <c r="N1150" s="56">
        <v>4749594.84</v>
      </c>
      <c r="O1150" s="56">
        <v>0.47495948399999999</v>
      </c>
      <c r="T1150" s="56">
        <v>4749594.84</v>
      </c>
      <c r="U1150" s="56" t="s">
        <v>806</v>
      </c>
      <c r="V1150" s="56" t="s">
        <v>807</v>
      </c>
      <c r="W1150" s="56" t="s">
        <v>808</v>
      </c>
    </row>
    <row r="1151" spans="9:23" x14ac:dyDescent="0.3">
      <c r="I1151" s="56" t="s">
        <v>25</v>
      </c>
      <c r="J1151" s="56" t="s">
        <v>26</v>
      </c>
      <c r="K1151" s="56" t="s">
        <v>26</v>
      </c>
      <c r="L1151" s="56">
        <v>1398192.91</v>
      </c>
      <c r="M1151" s="56">
        <v>0.55927716400000005</v>
      </c>
      <c r="N1151" s="56">
        <v>1398192.91</v>
      </c>
      <c r="O1151" s="56">
        <v>0.55927716400000005</v>
      </c>
      <c r="T1151" s="56">
        <v>1398192.91</v>
      </c>
      <c r="U1151" s="56" t="s">
        <v>811</v>
      </c>
      <c r="V1151" s="56" t="s">
        <v>1894</v>
      </c>
      <c r="W1151" s="56" t="s">
        <v>1895</v>
      </c>
    </row>
    <row r="1152" spans="9:23" x14ac:dyDescent="0.3">
      <c r="I1152" s="56" t="s">
        <v>25</v>
      </c>
      <c r="J1152" s="56" t="s">
        <v>26</v>
      </c>
      <c r="K1152" s="56" t="s">
        <v>26</v>
      </c>
      <c r="L1152" s="56">
        <v>39365416.740000002</v>
      </c>
      <c r="M1152" s="56">
        <v>0.78730833479999995</v>
      </c>
      <c r="T1152" s="56">
        <v>39365416.740000002</v>
      </c>
      <c r="U1152" s="56" t="s">
        <v>890</v>
      </c>
      <c r="V1152" s="56" t="s">
        <v>891</v>
      </c>
      <c r="W1152" s="56" t="s">
        <v>892</v>
      </c>
    </row>
    <row r="1153" spans="9:23" x14ac:dyDescent="0.3">
      <c r="I1153" s="56" t="s">
        <v>25</v>
      </c>
      <c r="J1153" s="56" t="s">
        <v>26</v>
      </c>
      <c r="K1153" s="56" t="s">
        <v>26</v>
      </c>
      <c r="L1153" s="56">
        <v>37944964.439999998</v>
      </c>
      <c r="M1153" s="56">
        <v>0.68990844436363641</v>
      </c>
      <c r="T1153" s="56">
        <v>37944964.439999998</v>
      </c>
      <c r="U1153" s="56" t="s">
        <v>841</v>
      </c>
      <c r="V1153" s="56" t="s">
        <v>842</v>
      </c>
      <c r="W1153" s="56" t="s">
        <v>843</v>
      </c>
    </row>
    <row r="1154" spans="9:23" x14ac:dyDescent="0.3">
      <c r="I1154" s="56" t="s">
        <v>25</v>
      </c>
      <c r="J1154" s="56" t="s">
        <v>26</v>
      </c>
      <c r="K1154" s="56" t="s">
        <v>26</v>
      </c>
      <c r="L1154" s="56">
        <v>16320894.539999999</v>
      </c>
      <c r="M1154" s="56">
        <v>0.62772671307692307</v>
      </c>
      <c r="N1154" s="56">
        <v>16320894.539999999</v>
      </c>
      <c r="O1154" s="56">
        <v>0.62772671307692307</v>
      </c>
      <c r="T1154" s="56">
        <v>16320894.539999999</v>
      </c>
      <c r="U1154" s="56" t="s">
        <v>872</v>
      </c>
      <c r="V1154" s="56" t="s">
        <v>877</v>
      </c>
      <c r="W1154" s="56" t="s">
        <v>878</v>
      </c>
    </row>
    <row r="1155" spans="9:23" x14ac:dyDescent="0.3">
      <c r="I1155" s="56" t="s">
        <v>25</v>
      </c>
      <c r="J1155" s="56" t="s">
        <v>26</v>
      </c>
      <c r="K1155" s="56" t="s">
        <v>26</v>
      </c>
      <c r="L1155" s="56">
        <v>34218121.240000002</v>
      </c>
      <c r="M1155" s="56">
        <v>0.81471717238095243</v>
      </c>
      <c r="T1155" s="56">
        <v>34218121.240000002</v>
      </c>
      <c r="U1155" s="56" t="s">
        <v>816</v>
      </c>
      <c r="V1155" s="56" t="s">
        <v>818</v>
      </c>
      <c r="W1155" s="56" t="s">
        <v>819</v>
      </c>
    </row>
    <row r="1156" spans="9:23" x14ac:dyDescent="0.3">
      <c r="I1156" s="56" t="s">
        <v>25</v>
      </c>
      <c r="J1156" s="56" t="s">
        <v>26</v>
      </c>
      <c r="K1156" s="56" t="s">
        <v>26</v>
      </c>
      <c r="L1156" s="56">
        <v>6076263.7999999998</v>
      </c>
      <c r="M1156" s="56">
        <v>0.60762638000000002</v>
      </c>
      <c r="T1156" s="56">
        <v>6076263.7999999998</v>
      </c>
      <c r="U1156" s="56" t="s">
        <v>4832</v>
      </c>
      <c r="V1156" s="56" t="s">
        <v>4835</v>
      </c>
      <c r="W1156" s="56" t="s">
        <v>4836</v>
      </c>
    </row>
    <row r="1157" spans="9:23" x14ac:dyDescent="0.3">
      <c r="I1157" s="56" t="s">
        <v>25</v>
      </c>
      <c r="J1157" s="56" t="s">
        <v>26</v>
      </c>
      <c r="K1157" s="56" t="s">
        <v>26</v>
      </c>
      <c r="T1157" s="56">
        <v>4280211.46</v>
      </c>
      <c r="U1157" s="56" t="s">
        <v>901</v>
      </c>
      <c r="V1157" s="56" t="s">
        <v>2436</v>
      </c>
      <c r="W1157" s="56" t="s">
        <v>2437</v>
      </c>
    </row>
    <row r="1158" spans="9:23" x14ac:dyDescent="0.3">
      <c r="I1158" s="56" t="s">
        <v>25</v>
      </c>
      <c r="J1158" s="56" t="s">
        <v>26</v>
      </c>
      <c r="K1158" s="56" t="s">
        <v>26</v>
      </c>
      <c r="L1158" s="56">
        <v>3810143.15</v>
      </c>
      <c r="M1158" s="56">
        <v>0.6350238583333333</v>
      </c>
      <c r="T1158" s="56">
        <v>3810143.15</v>
      </c>
      <c r="U1158" s="56" t="s">
        <v>911</v>
      </c>
      <c r="V1158" s="56" t="s">
        <v>2217</v>
      </c>
      <c r="W1158" s="56" t="s">
        <v>2218</v>
      </c>
    </row>
    <row r="1159" spans="9:23" x14ac:dyDescent="0.3">
      <c r="I1159" s="56" t="s">
        <v>25</v>
      </c>
      <c r="J1159" s="56" t="s">
        <v>26</v>
      </c>
      <c r="K1159" s="56" t="s">
        <v>26</v>
      </c>
      <c r="L1159" s="56">
        <v>30687345.84</v>
      </c>
      <c r="M1159" s="56">
        <v>0.52192400490067148</v>
      </c>
      <c r="T1159" s="56">
        <v>30687345.84</v>
      </c>
      <c r="U1159" s="56" t="s">
        <v>1154</v>
      </c>
      <c r="V1159" s="56" t="s">
        <v>1155</v>
      </c>
      <c r="W1159" s="56" t="s">
        <v>1156</v>
      </c>
    </row>
    <row r="1160" spans="9:23" x14ac:dyDescent="0.3">
      <c r="I1160" s="56" t="s">
        <v>25</v>
      </c>
      <c r="J1160" s="56" t="s">
        <v>26</v>
      </c>
      <c r="K1160" s="56" t="s">
        <v>26</v>
      </c>
      <c r="L1160" s="56">
        <v>23309290.98</v>
      </c>
      <c r="M1160" s="56">
        <v>0.42380529054545457</v>
      </c>
      <c r="N1160" s="56">
        <v>23309290.98</v>
      </c>
      <c r="O1160" s="56">
        <v>0.42380529054545457</v>
      </c>
      <c r="T1160" s="56">
        <v>23309290.98</v>
      </c>
      <c r="U1160" s="56" t="s">
        <v>1123</v>
      </c>
      <c r="V1160" s="56" t="s">
        <v>1125</v>
      </c>
      <c r="W1160" s="56" t="s">
        <v>1126</v>
      </c>
    </row>
    <row r="1161" spans="9:23" x14ac:dyDescent="0.3">
      <c r="I1161" s="56" t="s">
        <v>25</v>
      </c>
      <c r="J1161" s="56" t="s">
        <v>26</v>
      </c>
      <c r="K1161" s="56" t="s">
        <v>26</v>
      </c>
      <c r="T1161" s="56">
        <v>10823524.18</v>
      </c>
      <c r="U1161" s="56" t="s">
        <v>1196</v>
      </c>
      <c r="V1161" s="56" t="s">
        <v>1200</v>
      </c>
      <c r="W1161" s="56" t="s">
        <v>1201</v>
      </c>
    </row>
    <row r="1162" spans="9:23" x14ac:dyDescent="0.3">
      <c r="I1162" s="56" t="s">
        <v>25</v>
      </c>
      <c r="J1162" s="56" t="s">
        <v>26</v>
      </c>
      <c r="K1162" s="56" t="s">
        <v>26</v>
      </c>
      <c r="L1162" s="56">
        <v>24060353.460000001</v>
      </c>
      <c r="M1162" s="56">
        <v>0.401005891</v>
      </c>
      <c r="T1162" s="56">
        <v>24060353.460000001</v>
      </c>
      <c r="U1162" s="56" t="s">
        <v>1266</v>
      </c>
      <c r="V1162" s="56" t="s">
        <v>1267</v>
      </c>
      <c r="W1162" s="56" t="s">
        <v>1268</v>
      </c>
    </row>
    <row r="1163" spans="9:23" x14ac:dyDescent="0.3">
      <c r="I1163" s="56" t="s">
        <v>25</v>
      </c>
      <c r="J1163" s="56" t="s">
        <v>26</v>
      </c>
      <c r="K1163" s="56" t="s">
        <v>26</v>
      </c>
      <c r="L1163" s="56">
        <v>14011588.01</v>
      </c>
      <c r="M1163" s="56">
        <v>0.31136862244444447</v>
      </c>
      <c r="N1163" s="56">
        <v>14011588.01</v>
      </c>
      <c r="O1163" s="56">
        <v>0.31136862244444447</v>
      </c>
      <c r="T1163" s="56">
        <v>14011588.01</v>
      </c>
      <c r="U1163" s="56" t="s">
        <v>1332</v>
      </c>
      <c r="V1163" s="56" t="s">
        <v>1333</v>
      </c>
      <c r="W1163" s="56" t="s">
        <v>1334</v>
      </c>
    </row>
    <row r="1164" spans="9:23" x14ac:dyDescent="0.3">
      <c r="I1164" s="56" t="s">
        <v>25</v>
      </c>
      <c r="J1164" s="56" t="s">
        <v>26</v>
      </c>
      <c r="K1164" s="56" t="s">
        <v>26</v>
      </c>
      <c r="L1164" s="56">
        <v>32005438.300000001</v>
      </c>
      <c r="M1164" s="56">
        <v>0.58191705999999999</v>
      </c>
      <c r="T1164" s="56">
        <v>32005438.300000001</v>
      </c>
      <c r="U1164" s="56" t="s">
        <v>1338</v>
      </c>
      <c r="V1164" s="56" t="s">
        <v>1339</v>
      </c>
      <c r="W1164" s="56" t="s">
        <v>1340</v>
      </c>
    </row>
    <row r="1165" spans="9:23" x14ac:dyDescent="0.3">
      <c r="I1165" s="56" t="s">
        <v>25</v>
      </c>
      <c r="J1165" s="56" t="s">
        <v>26</v>
      </c>
      <c r="K1165" s="56" t="s">
        <v>26</v>
      </c>
      <c r="L1165" s="56">
        <v>1624281.74</v>
      </c>
      <c r="M1165" s="56">
        <v>7.3830988181818186E-2</v>
      </c>
      <c r="N1165" s="56">
        <v>1624281.74</v>
      </c>
      <c r="O1165" s="56">
        <v>7.3830988181818186E-2</v>
      </c>
      <c r="P1165" s="56">
        <v>1624281.74</v>
      </c>
      <c r="Q1165" s="56">
        <v>7.3830988181818186E-2</v>
      </c>
      <c r="T1165" s="56">
        <v>1624281.74</v>
      </c>
      <c r="U1165" s="56" t="s">
        <v>1772</v>
      </c>
      <c r="V1165" s="56" t="s">
        <v>1773</v>
      </c>
      <c r="W1165" s="56" t="s">
        <v>1774</v>
      </c>
    </row>
    <row r="1166" spans="9:23" x14ac:dyDescent="0.3">
      <c r="I1166" s="56" t="s">
        <v>25</v>
      </c>
      <c r="J1166" s="56" t="s">
        <v>26</v>
      </c>
      <c r="K1166" s="56" t="s">
        <v>26</v>
      </c>
      <c r="T1166" s="56">
        <v>15188726.189999999</v>
      </c>
      <c r="U1166" s="56" t="s">
        <v>1602</v>
      </c>
      <c r="V1166" s="56" t="s">
        <v>1622</v>
      </c>
      <c r="W1166" s="56" t="s">
        <v>1623</v>
      </c>
    </row>
    <row r="1167" spans="9:23" x14ac:dyDescent="0.3">
      <c r="I1167" s="56" t="s">
        <v>25</v>
      </c>
      <c r="J1167" s="56" t="s">
        <v>26</v>
      </c>
      <c r="K1167" s="56" t="s">
        <v>26</v>
      </c>
      <c r="T1167" s="56">
        <v>6666053.0499999998</v>
      </c>
      <c r="U1167" s="56" t="s">
        <v>1869</v>
      </c>
      <c r="V1167" s="56" t="s">
        <v>1876</v>
      </c>
      <c r="W1167" s="56" t="s">
        <v>1877</v>
      </c>
    </row>
    <row r="1168" spans="9:23" x14ac:dyDescent="0.3">
      <c r="I1168" s="56" t="s">
        <v>25</v>
      </c>
      <c r="J1168" s="56" t="s">
        <v>26</v>
      </c>
      <c r="K1168" s="56" t="s">
        <v>26</v>
      </c>
      <c r="L1168" s="56">
        <v>406767.94</v>
      </c>
      <c r="M1168" s="56">
        <v>0.13558931333333332</v>
      </c>
      <c r="N1168" s="56">
        <v>406767.94</v>
      </c>
      <c r="O1168" s="56">
        <v>0.13558931333333332</v>
      </c>
      <c r="P1168" s="56">
        <v>406767.94</v>
      </c>
      <c r="Q1168" s="56">
        <v>0.13558931333333332</v>
      </c>
      <c r="T1168" s="56">
        <v>406767.94</v>
      </c>
      <c r="U1168" s="56" t="s">
        <v>2808</v>
      </c>
      <c r="V1168" s="56" t="s">
        <v>2815</v>
      </c>
      <c r="W1168" s="56" t="s">
        <v>2816</v>
      </c>
    </row>
    <row r="1169" spans="9:23" x14ac:dyDescent="0.3">
      <c r="I1169" s="56" t="s">
        <v>25</v>
      </c>
      <c r="J1169" s="56" t="s">
        <v>26</v>
      </c>
      <c r="K1169" s="56" t="s">
        <v>26</v>
      </c>
      <c r="L1169" s="56">
        <v>16896536.18</v>
      </c>
      <c r="M1169" s="56">
        <v>0.84482680899999996</v>
      </c>
      <c r="N1169" s="56">
        <v>16896536.18</v>
      </c>
      <c r="O1169" s="56">
        <v>0.84482680899999996</v>
      </c>
      <c r="T1169" s="56">
        <v>16896536.18</v>
      </c>
      <c r="U1169" s="56" t="s">
        <v>2946</v>
      </c>
      <c r="V1169" s="56" t="s">
        <v>2947</v>
      </c>
      <c r="W1169" s="56" t="s">
        <v>2948</v>
      </c>
    </row>
    <row r="1170" spans="9:23" x14ac:dyDescent="0.3">
      <c r="I1170" s="56" t="s">
        <v>25</v>
      </c>
      <c r="J1170" s="56" t="s">
        <v>26</v>
      </c>
      <c r="K1170" s="56" t="s">
        <v>26</v>
      </c>
      <c r="T1170" s="56">
        <v>14474852.970000001</v>
      </c>
      <c r="U1170" s="56" t="s">
        <v>3286</v>
      </c>
      <c r="V1170" s="56" t="s">
        <v>3287</v>
      </c>
      <c r="W1170" s="56" t="s">
        <v>3288</v>
      </c>
    </row>
    <row r="1171" spans="9:23" x14ac:dyDescent="0.3">
      <c r="I1171" s="56" t="s">
        <v>25</v>
      </c>
      <c r="J1171" s="56" t="s">
        <v>26</v>
      </c>
      <c r="K1171" s="56" t="s">
        <v>26</v>
      </c>
      <c r="L1171" s="56">
        <v>10007086.789999999</v>
      </c>
      <c r="M1171" s="56">
        <v>0.66713911933333336</v>
      </c>
      <c r="T1171" s="56">
        <v>10007086.789999999</v>
      </c>
      <c r="U1171" s="56" t="s">
        <v>3157</v>
      </c>
      <c r="V1171" s="56" t="s">
        <v>3158</v>
      </c>
      <c r="W1171" s="56" t="s">
        <v>3159</v>
      </c>
    </row>
    <row r="1172" spans="9:23" x14ac:dyDescent="0.3">
      <c r="I1172" s="56" t="s">
        <v>25</v>
      </c>
      <c r="J1172" s="56" t="s">
        <v>26</v>
      </c>
      <c r="K1172" s="56" t="s">
        <v>26</v>
      </c>
      <c r="L1172" s="56">
        <v>984987.52</v>
      </c>
      <c r="M1172" s="56">
        <v>0.39399500799999998</v>
      </c>
      <c r="T1172" s="56">
        <v>984987.52</v>
      </c>
      <c r="U1172" s="56" t="s">
        <v>4010</v>
      </c>
      <c r="V1172" s="56" t="s">
        <v>4022</v>
      </c>
      <c r="W1172" s="56" t="s">
        <v>4023</v>
      </c>
    </row>
    <row r="1173" spans="9:23" x14ac:dyDescent="0.3">
      <c r="I1173" s="56" t="s">
        <v>25</v>
      </c>
      <c r="J1173" s="56" t="s">
        <v>26</v>
      </c>
      <c r="K1173" s="56" t="s">
        <v>26</v>
      </c>
      <c r="L1173" s="56">
        <v>746175.73</v>
      </c>
      <c r="M1173" s="56">
        <v>0.37308786500000002</v>
      </c>
      <c r="N1173" s="56">
        <v>746175.73</v>
      </c>
      <c r="O1173" s="56">
        <v>0.37308786500000002</v>
      </c>
      <c r="T1173" s="56">
        <v>746175.73</v>
      </c>
      <c r="U1173" s="56" t="s">
        <v>4307</v>
      </c>
      <c r="V1173" s="56" t="s">
        <v>4310</v>
      </c>
      <c r="W1173" s="56" t="s">
        <v>4311</v>
      </c>
    </row>
    <row r="1174" spans="9:23" x14ac:dyDescent="0.3">
      <c r="I1174" s="56" t="s">
        <v>25</v>
      </c>
      <c r="J1174" s="56" t="s">
        <v>26</v>
      </c>
      <c r="K1174" s="56" t="s">
        <v>26</v>
      </c>
      <c r="L1174" s="56">
        <v>272314.43</v>
      </c>
      <c r="M1174" s="56">
        <v>0.18154295333333331</v>
      </c>
      <c r="T1174" s="56">
        <v>272314.43</v>
      </c>
      <c r="U1174" s="56" t="s">
        <v>4360</v>
      </c>
      <c r="V1174" s="56" t="s">
        <v>4363</v>
      </c>
      <c r="W1174" s="56" t="s">
        <v>4364</v>
      </c>
    </row>
    <row r="1175" spans="9:23" x14ac:dyDescent="0.3">
      <c r="I1175" s="56" t="s">
        <v>25</v>
      </c>
      <c r="J1175" s="56" t="s">
        <v>26</v>
      </c>
      <c r="K1175" s="56" t="s">
        <v>26</v>
      </c>
      <c r="L1175" s="56">
        <v>4470160.33</v>
      </c>
      <c r="M1175" s="56">
        <v>0.63859433285714284</v>
      </c>
      <c r="T1175" s="56">
        <v>4470160.33</v>
      </c>
      <c r="U1175" s="56" t="s">
        <v>4738</v>
      </c>
      <c r="V1175" s="56" t="s">
        <v>4743</v>
      </c>
      <c r="W1175" s="56" t="s">
        <v>4744</v>
      </c>
    </row>
    <row r="1176" spans="9:23" x14ac:dyDescent="0.3">
      <c r="I1176" s="56" t="s">
        <v>25</v>
      </c>
      <c r="J1176" s="56" t="s">
        <v>26</v>
      </c>
      <c r="K1176" s="56" t="s">
        <v>26</v>
      </c>
      <c r="T1176" s="56">
        <v>3095098.46</v>
      </c>
      <c r="U1176" s="56" t="s">
        <v>4330</v>
      </c>
      <c r="V1176" s="56" t="s">
        <v>4339</v>
      </c>
      <c r="W1176" s="56" t="s">
        <v>4340</v>
      </c>
    </row>
    <row r="1177" spans="9:23" x14ac:dyDescent="0.3">
      <c r="I1177" s="56" t="s">
        <v>25</v>
      </c>
      <c r="J1177" s="56" t="s">
        <v>26</v>
      </c>
      <c r="K1177" s="56" t="s">
        <v>26</v>
      </c>
      <c r="T1177" s="56">
        <v>859079.1</v>
      </c>
      <c r="U1177" s="56" t="s">
        <v>4576</v>
      </c>
      <c r="V1177" s="56" t="s">
        <v>4581</v>
      </c>
      <c r="W1177" s="56" t="s">
        <v>4582</v>
      </c>
    </row>
    <row r="1178" spans="9:23" x14ac:dyDescent="0.3">
      <c r="I1178" s="56" t="s">
        <v>25</v>
      </c>
      <c r="J1178" s="56" t="s">
        <v>26</v>
      </c>
      <c r="K1178" s="56" t="s">
        <v>26</v>
      </c>
      <c r="L1178" s="56">
        <v>5000000</v>
      </c>
      <c r="M1178" s="56">
        <v>1</v>
      </c>
      <c r="N1178" s="56">
        <v>5000000</v>
      </c>
      <c r="O1178" s="56">
        <v>1</v>
      </c>
      <c r="P1178" s="56">
        <v>5000000</v>
      </c>
      <c r="Q1178" s="56">
        <v>1</v>
      </c>
      <c r="T1178" s="56">
        <v>5000000</v>
      </c>
      <c r="U1178" s="56" t="s">
        <v>4632</v>
      </c>
      <c r="V1178" s="56" t="s">
        <v>4637</v>
      </c>
      <c r="W1178" s="56" t="s">
        <v>4638</v>
      </c>
    </row>
    <row r="1179" spans="9:23" x14ac:dyDescent="0.3">
      <c r="I1179" s="56" t="s">
        <v>25</v>
      </c>
      <c r="J1179" s="56" t="s">
        <v>26</v>
      </c>
      <c r="K1179" s="56" t="s">
        <v>26</v>
      </c>
      <c r="L1179" s="56">
        <v>3231150.28</v>
      </c>
      <c r="M1179" s="56">
        <v>0.64623005600000005</v>
      </c>
      <c r="T1179" s="56">
        <v>3231150.28</v>
      </c>
      <c r="U1179" s="56" t="s">
        <v>4754</v>
      </c>
      <c r="V1179" s="56" t="s">
        <v>4756</v>
      </c>
      <c r="W1179" s="56" t="s">
        <v>4757</v>
      </c>
    </row>
    <row r="1180" spans="9:23" x14ac:dyDescent="0.3">
      <c r="I1180" s="56" t="s">
        <v>25</v>
      </c>
      <c r="J1180" s="56" t="s">
        <v>26</v>
      </c>
      <c r="K1180" s="56" t="s">
        <v>26</v>
      </c>
      <c r="L1180" s="56">
        <v>2607383.38</v>
      </c>
      <c r="M1180" s="56">
        <v>0.65184584499999998</v>
      </c>
      <c r="N1180" s="56">
        <v>2607383.38</v>
      </c>
      <c r="O1180" s="56">
        <v>0.65184584499999998</v>
      </c>
      <c r="T1180" s="56">
        <v>2607383.38</v>
      </c>
      <c r="U1180" s="56" t="s">
        <v>4730</v>
      </c>
      <c r="V1180" s="56" t="s">
        <v>4732</v>
      </c>
      <c r="W1180" s="56" t="s">
        <v>4733</v>
      </c>
    </row>
    <row r="1181" spans="9:23" x14ac:dyDescent="0.3">
      <c r="I1181" s="56" t="s">
        <v>25</v>
      </c>
      <c r="J1181" s="56" t="s">
        <v>26</v>
      </c>
      <c r="K1181" s="56" t="s">
        <v>26</v>
      </c>
      <c r="L1181" s="56">
        <v>7233456.8399999999</v>
      </c>
      <c r="M1181" s="56">
        <v>0.72334568399999999</v>
      </c>
      <c r="N1181" s="56">
        <v>7233456.8399999999</v>
      </c>
      <c r="O1181" s="56">
        <v>0.72334568399999999</v>
      </c>
      <c r="T1181" s="56">
        <v>7233456.8399999999</v>
      </c>
      <c r="U1181" s="56" t="s">
        <v>4778</v>
      </c>
      <c r="V1181" s="56" t="s">
        <v>4781</v>
      </c>
      <c r="W1181" s="56" t="s">
        <v>4782</v>
      </c>
    </row>
    <row r="1182" spans="9:23" x14ac:dyDescent="0.3">
      <c r="I1182" s="56" t="s">
        <v>25</v>
      </c>
      <c r="J1182" s="56" t="s">
        <v>26</v>
      </c>
      <c r="K1182" s="56" t="s">
        <v>26</v>
      </c>
      <c r="L1182" s="56">
        <v>2531709.91</v>
      </c>
      <c r="M1182" s="56">
        <v>0.72334568857142856</v>
      </c>
      <c r="T1182" s="56">
        <v>2531709.91</v>
      </c>
      <c r="U1182" s="56" t="s">
        <v>4928</v>
      </c>
      <c r="V1182" s="56" t="s">
        <v>4932</v>
      </c>
      <c r="W1182" s="56" t="s">
        <v>4933</v>
      </c>
    </row>
    <row r="1183" spans="9:23" x14ac:dyDescent="0.3">
      <c r="I1183" s="56" t="s">
        <v>25</v>
      </c>
      <c r="J1183" s="56" t="s">
        <v>26</v>
      </c>
      <c r="K1183" s="56" t="s">
        <v>26</v>
      </c>
      <c r="T1183" s="56">
        <v>3911075.08</v>
      </c>
      <c r="U1183" s="56" t="s">
        <v>5024</v>
      </c>
      <c r="V1183" s="56" t="s">
        <v>5027</v>
      </c>
      <c r="W1183" s="56" t="s">
        <v>5028</v>
      </c>
    </row>
    <row r="1184" spans="9:23" x14ac:dyDescent="0.3">
      <c r="I1184" s="56" t="s">
        <v>25</v>
      </c>
      <c r="J1184" s="56" t="s">
        <v>26</v>
      </c>
      <c r="K1184" s="56" t="s">
        <v>26</v>
      </c>
      <c r="T1184" s="56">
        <v>5786765.4800000004</v>
      </c>
      <c r="U1184" s="56" t="s">
        <v>5064</v>
      </c>
      <c r="V1184" s="56" t="s">
        <v>5069</v>
      </c>
      <c r="W1184" s="56" t="s">
        <v>5070</v>
      </c>
    </row>
    <row r="1185" spans="9:23" x14ac:dyDescent="0.3">
      <c r="I1185" s="56" t="s">
        <v>25</v>
      </c>
      <c r="J1185" s="56" t="s">
        <v>26</v>
      </c>
      <c r="K1185" s="56" t="s">
        <v>26</v>
      </c>
      <c r="T1185" s="56">
        <v>15829658.77</v>
      </c>
      <c r="U1185" s="56" t="s">
        <v>1781</v>
      </c>
      <c r="V1185" s="56" t="s">
        <v>1782</v>
      </c>
      <c r="W1185" s="56" t="s">
        <v>1783</v>
      </c>
    </row>
    <row r="1186" spans="9:23" x14ac:dyDescent="0.3">
      <c r="I1186" s="56" t="s">
        <v>25</v>
      </c>
      <c r="J1186" s="56" t="s">
        <v>26</v>
      </c>
      <c r="K1186" s="56" t="s">
        <v>26</v>
      </c>
      <c r="T1186" s="56">
        <v>5557652.9699999997</v>
      </c>
      <c r="U1186" s="56" t="s">
        <v>1735</v>
      </c>
      <c r="V1186" s="56" t="s">
        <v>1736</v>
      </c>
      <c r="W1186" s="56" t="s">
        <v>1737</v>
      </c>
    </row>
    <row r="1187" spans="9:23" x14ac:dyDescent="0.3">
      <c r="I1187" s="56" t="s">
        <v>25</v>
      </c>
      <c r="J1187" s="56" t="s">
        <v>26</v>
      </c>
      <c r="K1187" s="56" t="s">
        <v>26</v>
      </c>
      <c r="T1187" s="56">
        <v>6463904.96</v>
      </c>
      <c r="U1187" s="56" t="s">
        <v>1762</v>
      </c>
      <c r="V1187" s="56" t="s">
        <v>1763</v>
      </c>
      <c r="W1187" s="56" t="s">
        <v>1764</v>
      </c>
    </row>
    <row r="1188" spans="9:23" x14ac:dyDescent="0.3">
      <c r="I1188" s="56" t="s">
        <v>25</v>
      </c>
      <c r="J1188" s="56" t="s">
        <v>26</v>
      </c>
      <c r="K1188" s="56" t="s">
        <v>26</v>
      </c>
      <c r="L1188" s="56">
        <v>8427538.2899999991</v>
      </c>
      <c r="M1188" s="56">
        <v>0.42137691449999998</v>
      </c>
      <c r="N1188" s="56">
        <v>8427538.2899999991</v>
      </c>
      <c r="O1188" s="56">
        <v>0.42137691449999998</v>
      </c>
      <c r="T1188" s="56">
        <v>8427538.2899999991</v>
      </c>
      <c r="U1188" s="56" t="s">
        <v>2049</v>
      </c>
      <c r="V1188" s="56" t="s">
        <v>2056</v>
      </c>
      <c r="W1188" s="56" t="s">
        <v>2057</v>
      </c>
    </row>
    <row r="1189" spans="9:23" x14ac:dyDescent="0.3">
      <c r="I1189" s="56" t="s">
        <v>25</v>
      </c>
      <c r="J1189" s="56" t="s">
        <v>26</v>
      </c>
      <c r="K1189" s="56" t="s">
        <v>26</v>
      </c>
      <c r="L1189" s="56">
        <v>2252616.69</v>
      </c>
      <c r="M1189" s="56">
        <v>0.1491799132450331</v>
      </c>
      <c r="T1189" s="56">
        <v>2252616.69</v>
      </c>
      <c r="U1189" s="56" t="s">
        <v>2190</v>
      </c>
      <c r="V1189" s="56" t="s">
        <v>2205</v>
      </c>
      <c r="W1189" s="56" t="s">
        <v>2206</v>
      </c>
    </row>
    <row r="1190" spans="9:23" x14ac:dyDescent="0.3">
      <c r="I1190" s="56" t="s">
        <v>25</v>
      </c>
      <c r="J1190" s="56" t="s">
        <v>26</v>
      </c>
      <c r="K1190" s="56" t="s">
        <v>26</v>
      </c>
      <c r="T1190" s="56">
        <v>16903651.859999999</v>
      </c>
      <c r="U1190" s="56" t="s">
        <v>2101</v>
      </c>
      <c r="V1190" s="56" t="s">
        <v>2122</v>
      </c>
      <c r="W1190" s="56" t="s">
        <v>2123</v>
      </c>
    </row>
    <row r="1191" spans="9:23" x14ac:dyDescent="0.3">
      <c r="I1191" s="56" t="s">
        <v>25</v>
      </c>
      <c r="J1191" s="56" t="s">
        <v>26</v>
      </c>
      <c r="K1191" s="56" t="s">
        <v>26</v>
      </c>
      <c r="T1191" s="56">
        <v>14995106.439999999</v>
      </c>
      <c r="U1191" s="56" t="s">
        <v>2193</v>
      </c>
      <c r="V1191" s="56" t="s">
        <v>2201</v>
      </c>
      <c r="W1191" s="56" t="s">
        <v>2202</v>
      </c>
    </row>
    <row r="1192" spans="9:23" x14ac:dyDescent="0.3">
      <c r="I1192" s="56" t="s">
        <v>25</v>
      </c>
      <c r="J1192" s="56" t="s">
        <v>26</v>
      </c>
      <c r="K1192" s="56" t="s">
        <v>26</v>
      </c>
      <c r="L1192" s="56">
        <v>1449145.01</v>
      </c>
      <c r="M1192" s="56">
        <v>0.36228625250000002</v>
      </c>
      <c r="T1192" s="56">
        <v>1449145.01</v>
      </c>
      <c r="U1192" s="56" t="s">
        <v>2278</v>
      </c>
      <c r="V1192" s="56" t="s">
        <v>2287</v>
      </c>
      <c r="W1192" s="56" t="s">
        <v>2288</v>
      </c>
    </row>
    <row r="1193" spans="9:23" x14ac:dyDescent="0.3">
      <c r="I1193" s="56" t="s">
        <v>25</v>
      </c>
      <c r="J1193" s="56" t="s">
        <v>26</v>
      </c>
      <c r="K1193" s="56" t="s">
        <v>26</v>
      </c>
      <c r="L1193" s="56">
        <v>2143629.7200000002</v>
      </c>
      <c r="M1193" s="56">
        <v>0.47636216000000003</v>
      </c>
      <c r="T1193" s="56">
        <v>2143629.7200000002</v>
      </c>
      <c r="U1193" s="56" t="s">
        <v>2310</v>
      </c>
      <c r="V1193" s="56" t="s">
        <v>2318</v>
      </c>
      <c r="W1193" s="56" t="s">
        <v>2319</v>
      </c>
    </row>
    <row r="1194" spans="9:23" x14ac:dyDescent="0.3">
      <c r="I1194" s="56" t="s">
        <v>25</v>
      </c>
      <c r="J1194" s="56" t="s">
        <v>26</v>
      </c>
      <c r="K1194" s="56" t="s">
        <v>26</v>
      </c>
      <c r="T1194" s="56">
        <v>1387000.25</v>
      </c>
      <c r="U1194" s="56" t="s">
        <v>4897</v>
      </c>
      <c r="V1194" s="56" t="s">
        <v>4901</v>
      </c>
      <c r="W1194" s="56" t="s">
        <v>4902</v>
      </c>
    </row>
    <row r="1195" spans="9:23" x14ac:dyDescent="0.3">
      <c r="I1195" s="56" t="s">
        <v>25</v>
      </c>
      <c r="J1195" s="56" t="s">
        <v>26</v>
      </c>
      <c r="K1195" s="56" t="s">
        <v>26</v>
      </c>
      <c r="L1195" s="56">
        <v>15447617.51</v>
      </c>
      <c r="M1195" s="56">
        <v>0.61790470040000001</v>
      </c>
      <c r="N1195" s="56">
        <v>15447617.51</v>
      </c>
      <c r="O1195" s="56">
        <v>0.61790470040000001</v>
      </c>
      <c r="P1195" s="56">
        <v>15447617.51</v>
      </c>
      <c r="Q1195" s="56">
        <v>0.61790470040000001</v>
      </c>
      <c r="T1195" s="56">
        <v>15447617.51</v>
      </c>
      <c r="U1195" s="56" t="s">
        <v>2465</v>
      </c>
      <c r="V1195" s="56" t="s">
        <v>2466</v>
      </c>
      <c r="W1195" s="56" t="s">
        <v>2467</v>
      </c>
    </row>
    <row r="1196" spans="9:23" x14ac:dyDescent="0.3">
      <c r="I1196" s="56" t="s">
        <v>25</v>
      </c>
      <c r="J1196" s="56" t="s">
        <v>26</v>
      </c>
      <c r="K1196" s="56" t="s">
        <v>26</v>
      </c>
      <c r="T1196" s="56">
        <v>4434685.3499999996</v>
      </c>
      <c r="U1196" s="56" t="s">
        <v>2592</v>
      </c>
      <c r="V1196" s="56" t="s">
        <v>2605</v>
      </c>
      <c r="W1196" s="56" t="s">
        <v>2606</v>
      </c>
    </row>
    <row r="1197" spans="9:23" x14ac:dyDescent="0.3">
      <c r="I1197" s="56" t="s">
        <v>25</v>
      </c>
      <c r="J1197" s="56" t="s">
        <v>26</v>
      </c>
      <c r="K1197" s="56" t="s">
        <v>26</v>
      </c>
      <c r="L1197" s="56">
        <v>2134581.0099999998</v>
      </c>
      <c r="M1197" s="56">
        <v>0.47435133555555559</v>
      </c>
      <c r="T1197" s="56">
        <v>2134581.0099999998</v>
      </c>
      <c r="U1197" s="56" t="s">
        <v>2714</v>
      </c>
      <c r="V1197" s="56" t="s">
        <v>2726</v>
      </c>
      <c r="W1197" s="56" t="s">
        <v>2727</v>
      </c>
    </row>
    <row r="1198" spans="9:23" x14ac:dyDescent="0.3">
      <c r="I1198" s="56" t="s">
        <v>25</v>
      </c>
      <c r="J1198" s="56" t="s">
        <v>26</v>
      </c>
      <c r="K1198" s="56" t="s">
        <v>26</v>
      </c>
      <c r="T1198" s="56">
        <v>4485675.05</v>
      </c>
      <c r="U1198" s="56" t="s">
        <v>2698</v>
      </c>
      <c r="V1198" s="56" t="s">
        <v>2707</v>
      </c>
      <c r="W1198" s="56" t="s">
        <v>2708</v>
      </c>
    </row>
    <row r="1199" spans="9:23" x14ac:dyDescent="0.3">
      <c r="I1199" s="56" t="s">
        <v>25</v>
      </c>
      <c r="J1199" s="56" t="s">
        <v>26</v>
      </c>
      <c r="K1199" s="56" t="s">
        <v>26</v>
      </c>
      <c r="L1199" s="56">
        <v>1108528.8899999999</v>
      </c>
      <c r="M1199" s="56">
        <v>0.36950962999999998</v>
      </c>
      <c r="N1199" s="56">
        <v>1108528.8899999999</v>
      </c>
      <c r="O1199" s="56">
        <v>0.36950962999999998</v>
      </c>
      <c r="P1199" s="56">
        <v>1108528.8899999999</v>
      </c>
      <c r="Q1199" s="56">
        <v>0.36950962999999998</v>
      </c>
      <c r="T1199" s="56">
        <v>1108528.8899999999</v>
      </c>
      <c r="U1199" s="56" t="s">
        <v>2827</v>
      </c>
      <c r="V1199" s="56" t="s">
        <v>2850</v>
      </c>
      <c r="W1199" s="56" t="s">
        <v>2851</v>
      </c>
    </row>
    <row r="1200" spans="9:23" x14ac:dyDescent="0.3">
      <c r="I1200" s="56" t="s">
        <v>25</v>
      </c>
      <c r="J1200" s="56" t="s">
        <v>26</v>
      </c>
      <c r="K1200" s="56" t="s">
        <v>26</v>
      </c>
      <c r="T1200" s="56">
        <v>3586942.99</v>
      </c>
      <c r="U1200" s="56" t="s">
        <v>2986</v>
      </c>
      <c r="V1200" s="56" t="s">
        <v>2987</v>
      </c>
      <c r="W1200" s="56" t="s">
        <v>2988</v>
      </c>
    </row>
    <row r="1201" spans="9:23" x14ac:dyDescent="0.3">
      <c r="I1201" s="56" t="s">
        <v>25</v>
      </c>
      <c r="J1201" s="56" t="s">
        <v>26</v>
      </c>
      <c r="K1201" s="56" t="s">
        <v>26</v>
      </c>
      <c r="T1201" s="56">
        <v>11680886.279999999</v>
      </c>
      <c r="U1201" s="56" t="s">
        <v>3097</v>
      </c>
      <c r="V1201" s="56" t="s">
        <v>3098</v>
      </c>
      <c r="W1201" s="56" t="s">
        <v>3099</v>
      </c>
    </row>
    <row r="1202" spans="9:23" x14ac:dyDescent="0.3">
      <c r="I1202" s="56" t="s">
        <v>25</v>
      </c>
      <c r="J1202" s="56" t="s">
        <v>26</v>
      </c>
      <c r="K1202" s="56" t="s">
        <v>26</v>
      </c>
      <c r="L1202" s="56">
        <v>849961.51</v>
      </c>
      <c r="M1202" s="56">
        <v>0.16999230199999998</v>
      </c>
      <c r="N1202" s="56">
        <v>849961.51</v>
      </c>
      <c r="O1202" s="56">
        <v>0.16999230199999998</v>
      </c>
      <c r="T1202" s="56">
        <v>849961.51</v>
      </c>
      <c r="U1202" s="56" t="s">
        <v>3146</v>
      </c>
      <c r="V1202" s="56" t="s">
        <v>3151</v>
      </c>
      <c r="W1202" s="56" t="s">
        <v>3152</v>
      </c>
    </row>
    <row r="1203" spans="9:23" x14ac:dyDescent="0.3">
      <c r="I1203" s="56" t="s">
        <v>25</v>
      </c>
      <c r="J1203" s="56" t="s">
        <v>26</v>
      </c>
      <c r="K1203" s="56" t="s">
        <v>26</v>
      </c>
      <c r="L1203" s="56">
        <v>17762757.68</v>
      </c>
      <c r="M1203" s="56">
        <v>0.80739807636363636</v>
      </c>
      <c r="T1203" s="56">
        <v>17762757.68</v>
      </c>
      <c r="U1203" s="56" t="s">
        <v>3075</v>
      </c>
      <c r="V1203" s="56" t="s">
        <v>3076</v>
      </c>
      <c r="W1203" s="56" t="s">
        <v>3077</v>
      </c>
    </row>
    <row r="1204" spans="9:23" x14ac:dyDescent="0.3">
      <c r="I1204" s="56" t="s">
        <v>25</v>
      </c>
      <c r="J1204" s="56" t="s">
        <v>26</v>
      </c>
      <c r="K1204" s="56" t="s">
        <v>26</v>
      </c>
      <c r="T1204" s="56">
        <v>3228248.66</v>
      </c>
      <c r="U1204" s="56" t="s">
        <v>3051</v>
      </c>
      <c r="V1204" s="56" t="s">
        <v>3072</v>
      </c>
      <c r="W1204" s="56" t="s">
        <v>3073</v>
      </c>
    </row>
    <row r="1205" spans="9:23" x14ac:dyDescent="0.3">
      <c r="I1205" s="56" t="s">
        <v>25</v>
      </c>
      <c r="J1205" s="56" t="s">
        <v>26</v>
      </c>
      <c r="K1205" s="56" t="s">
        <v>26</v>
      </c>
      <c r="L1205" s="56">
        <v>591415.88</v>
      </c>
      <c r="M1205" s="56">
        <v>0.11828317599999999</v>
      </c>
      <c r="N1205" s="56">
        <v>591415.88</v>
      </c>
      <c r="O1205" s="56">
        <v>0.11828317599999999</v>
      </c>
      <c r="T1205" s="56">
        <v>591415.88</v>
      </c>
      <c r="U1205" s="56" t="s">
        <v>3346</v>
      </c>
      <c r="V1205" s="56" t="s">
        <v>3361</v>
      </c>
      <c r="W1205" s="56" t="s">
        <v>3362</v>
      </c>
    </row>
    <row r="1206" spans="9:23" x14ac:dyDescent="0.3">
      <c r="I1206" s="56" t="s">
        <v>25</v>
      </c>
      <c r="J1206" s="56" t="s">
        <v>26</v>
      </c>
      <c r="K1206" s="56" t="s">
        <v>26</v>
      </c>
      <c r="T1206" s="56">
        <v>3837191.78</v>
      </c>
      <c r="U1206" s="56" t="s">
        <v>3400</v>
      </c>
      <c r="V1206" s="56" t="s">
        <v>3414</v>
      </c>
      <c r="W1206" s="56" t="s">
        <v>3415</v>
      </c>
    </row>
    <row r="1207" spans="9:23" x14ac:dyDescent="0.3">
      <c r="I1207" s="56" t="s">
        <v>25</v>
      </c>
      <c r="J1207" s="56" t="s">
        <v>26</v>
      </c>
      <c r="K1207" s="56" t="s">
        <v>26</v>
      </c>
      <c r="L1207" s="56">
        <v>138423.26</v>
      </c>
      <c r="M1207" s="56">
        <v>2.7684652000000001E-2</v>
      </c>
      <c r="T1207" s="56">
        <v>138423.26</v>
      </c>
      <c r="U1207" s="56" t="s">
        <v>3224</v>
      </c>
      <c r="V1207" s="56" t="s">
        <v>3237</v>
      </c>
      <c r="W1207" s="56" t="s">
        <v>3238</v>
      </c>
    </row>
    <row r="1208" spans="9:23" x14ac:dyDescent="0.3">
      <c r="I1208" s="56" t="s">
        <v>25</v>
      </c>
      <c r="J1208" s="56" t="s">
        <v>26</v>
      </c>
      <c r="K1208" s="56" t="s">
        <v>26</v>
      </c>
      <c r="T1208" s="56">
        <v>3197659.85</v>
      </c>
      <c r="U1208" s="56" t="s">
        <v>3490</v>
      </c>
      <c r="V1208" s="56" t="s">
        <v>3493</v>
      </c>
      <c r="W1208" s="56" t="s">
        <v>3494</v>
      </c>
    </row>
    <row r="1209" spans="9:23" x14ac:dyDescent="0.3">
      <c r="I1209" s="56" t="s">
        <v>25</v>
      </c>
      <c r="J1209" s="56" t="s">
        <v>26</v>
      </c>
      <c r="K1209" s="56" t="s">
        <v>26</v>
      </c>
      <c r="T1209" s="56">
        <v>3045935.73</v>
      </c>
      <c r="U1209" s="56" t="s">
        <v>3371</v>
      </c>
      <c r="V1209" s="56" t="s">
        <v>3377</v>
      </c>
      <c r="W1209" s="56" t="s">
        <v>3378</v>
      </c>
    </row>
    <row r="1210" spans="9:23" x14ac:dyDescent="0.3">
      <c r="I1210" s="56" t="s">
        <v>25</v>
      </c>
      <c r="J1210" s="56" t="s">
        <v>26</v>
      </c>
      <c r="K1210" s="56" t="s">
        <v>26</v>
      </c>
      <c r="T1210" s="56">
        <v>9605278.1799999997</v>
      </c>
      <c r="U1210" s="56" t="s">
        <v>3488</v>
      </c>
      <c r="V1210" s="56" t="s">
        <v>3496</v>
      </c>
      <c r="W1210" s="56" t="s">
        <v>3497</v>
      </c>
    </row>
    <row r="1211" spans="9:23" x14ac:dyDescent="0.3">
      <c r="I1211" s="56" t="s">
        <v>25</v>
      </c>
      <c r="J1211" s="56" t="s">
        <v>26</v>
      </c>
      <c r="K1211" s="56" t="s">
        <v>26</v>
      </c>
      <c r="T1211" s="56">
        <v>2792805.38</v>
      </c>
      <c r="U1211" s="56" t="s">
        <v>3464</v>
      </c>
      <c r="V1211" s="56" t="s">
        <v>3485</v>
      </c>
      <c r="W1211" s="56" t="s">
        <v>3486</v>
      </c>
    </row>
    <row r="1212" spans="9:23" x14ac:dyDescent="0.3">
      <c r="I1212" s="56" t="s">
        <v>25</v>
      </c>
      <c r="J1212" s="56" t="s">
        <v>26</v>
      </c>
      <c r="K1212" s="56" t="s">
        <v>26</v>
      </c>
      <c r="T1212" s="56">
        <v>2744346.9</v>
      </c>
      <c r="U1212" s="56" t="s">
        <v>3547</v>
      </c>
      <c r="V1212" s="56" t="s">
        <v>3595</v>
      </c>
      <c r="W1212" s="56" t="s">
        <v>3596</v>
      </c>
    </row>
    <row r="1213" spans="9:23" x14ac:dyDescent="0.3">
      <c r="I1213" s="56" t="s">
        <v>25</v>
      </c>
      <c r="J1213" s="56" t="s">
        <v>26</v>
      </c>
      <c r="K1213" s="56" t="s">
        <v>26</v>
      </c>
      <c r="T1213" s="56">
        <v>1642946.68</v>
      </c>
      <c r="U1213" s="56" t="s">
        <v>3780</v>
      </c>
      <c r="V1213" s="56" t="s">
        <v>3797</v>
      </c>
      <c r="W1213" s="56" t="s">
        <v>3798</v>
      </c>
    </row>
    <row r="1214" spans="9:23" x14ac:dyDescent="0.3">
      <c r="I1214" s="56" t="s">
        <v>25</v>
      </c>
      <c r="J1214" s="56" t="s">
        <v>26</v>
      </c>
      <c r="K1214" s="56" t="s">
        <v>26</v>
      </c>
      <c r="L1214" s="56">
        <v>709552.93</v>
      </c>
      <c r="M1214" s="56">
        <v>0.28382117200000001</v>
      </c>
      <c r="T1214" s="56">
        <v>709552.93</v>
      </c>
      <c r="U1214" s="56" t="s">
        <v>3779</v>
      </c>
      <c r="V1214" s="56" t="s">
        <v>3795</v>
      </c>
      <c r="W1214" s="56" t="s">
        <v>3796</v>
      </c>
    </row>
    <row r="1215" spans="9:23" x14ac:dyDescent="0.3">
      <c r="I1215" s="56" t="s">
        <v>25</v>
      </c>
      <c r="J1215" s="56" t="s">
        <v>26</v>
      </c>
      <c r="K1215" s="56" t="s">
        <v>26</v>
      </c>
      <c r="T1215" s="56">
        <v>13558293.689999999</v>
      </c>
      <c r="U1215" s="56" t="s">
        <v>3809</v>
      </c>
      <c r="V1215" s="56" t="s">
        <v>3819</v>
      </c>
      <c r="W1215" s="56" t="s">
        <v>3820</v>
      </c>
    </row>
    <row r="1216" spans="9:23" x14ac:dyDescent="0.3">
      <c r="I1216" s="56" t="s">
        <v>25</v>
      </c>
      <c r="J1216" s="56" t="s">
        <v>26</v>
      </c>
      <c r="K1216" s="56" t="s">
        <v>26</v>
      </c>
      <c r="T1216" s="56">
        <v>1232210.03</v>
      </c>
      <c r="U1216" s="56" t="s">
        <v>3848</v>
      </c>
      <c r="V1216" s="56" t="s">
        <v>3859</v>
      </c>
      <c r="W1216" s="56" t="s">
        <v>3860</v>
      </c>
    </row>
    <row r="1217" spans="9:23" x14ac:dyDescent="0.3">
      <c r="I1217" s="56" t="s">
        <v>25</v>
      </c>
      <c r="J1217" s="56" t="s">
        <v>26</v>
      </c>
      <c r="K1217" s="56" t="s">
        <v>26</v>
      </c>
      <c r="L1217" s="56">
        <v>899790.91</v>
      </c>
      <c r="M1217" s="56">
        <v>0.35991636399999999</v>
      </c>
      <c r="T1217" s="56">
        <v>899790.91</v>
      </c>
      <c r="U1217" s="56" t="s">
        <v>4036</v>
      </c>
      <c r="V1217" s="56" t="s">
        <v>4037</v>
      </c>
      <c r="W1217" s="56" t="s">
        <v>4038</v>
      </c>
    </row>
    <row r="1218" spans="9:23" x14ac:dyDescent="0.3">
      <c r="I1218" s="56" t="s">
        <v>25</v>
      </c>
      <c r="J1218" s="56" t="s">
        <v>26</v>
      </c>
      <c r="K1218" s="56" t="s">
        <v>26</v>
      </c>
      <c r="L1218" s="56">
        <v>1194903.3799999999</v>
      </c>
      <c r="M1218" s="56">
        <v>0.34140096571428569</v>
      </c>
      <c r="T1218" s="56">
        <v>1194903.3799999999</v>
      </c>
      <c r="U1218" s="56" t="s">
        <v>4013</v>
      </c>
      <c r="V1218" s="56" t="s">
        <v>4027</v>
      </c>
      <c r="W1218" s="56" t="s">
        <v>4028</v>
      </c>
    </row>
    <row r="1219" spans="9:23" x14ac:dyDescent="0.3">
      <c r="I1219" s="56" t="s">
        <v>25</v>
      </c>
      <c r="J1219" s="56" t="s">
        <v>26</v>
      </c>
      <c r="K1219" s="56" t="s">
        <v>26</v>
      </c>
      <c r="T1219" s="56">
        <v>2783276.43</v>
      </c>
      <c r="U1219" s="56" t="s">
        <v>4399</v>
      </c>
      <c r="V1219" s="56" t="s">
        <v>4412</v>
      </c>
      <c r="W1219" s="56" t="s">
        <v>4413</v>
      </c>
    </row>
    <row r="1220" spans="9:23" x14ac:dyDescent="0.3">
      <c r="I1220" s="56" t="s">
        <v>25</v>
      </c>
      <c r="J1220" s="56" t="s">
        <v>26</v>
      </c>
      <c r="K1220" s="56" t="s">
        <v>26</v>
      </c>
      <c r="T1220" s="56">
        <v>3014684.4</v>
      </c>
      <c r="U1220" s="56" t="s">
        <v>4160</v>
      </c>
      <c r="V1220" s="56" t="s">
        <v>4169</v>
      </c>
      <c r="W1220" s="56" t="s">
        <v>4170</v>
      </c>
    </row>
    <row r="1221" spans="9:23" x14ac:dyDescent="0.3">
      <c r="I1221" s="56" t="s">
        <v>25</v>
      </c>
      <c r="J1221" s="56" t="s">
        <v>26</v>
      </c>
      <c r="K1221" s="56" t="s">
        <v>26</v>
      </c>
      <c r="L1221" s="56">
        <v>2149518.33</v>
      </c>
      <c r="M1221" s="56">
        <v>0.35825305500000004</v>
      </c>
      <c r="T1221" s="56">
        <v>2149518.33</v>
      </c>
      <c r="U1221" s="56" t="s">
        <v>4071</v>
      </c>
      <c r="V1221" s="56" t="s">
        <v>4076</v>
      </c>
      <c r="W1221" s="56" t="s">
        <v>4077</v>
      </c>
    </row>
    <row r="1222" spans="9:23" x14ac:dyDescent="0.3">
      <c r="I1222" s="56" t="s">
        <v>25</v>
      </c>
      <c r="J1222" s="56" t="s">
        <v>26</v>
      </c>
      <c r="K1222" s="56" t="s">
        <v>26</v>
      </c>
      <c r="T1222" s="56">
        <v>3351366.41</v>
      </c>
      <c r="U1222" s="56" t="s">
        <v>4182</v>
      </c>
      <c r="V1222" s="56" t="s">
        <v>4187</v>
      </c>
      <c r="W1222" s="56" t="s">
        <v>4188</v>
      </c>
    </row>
    <row r="1223" spans="9:23" x14ac:dyDescent="0.3">
      <c r="I1223" s="56" t="s">
        <v>25</v>
      </c>
      <c r="J1223" s="56" t="s">
        <v>26</v>
      </c>
      <c r="K1223" s="56" t="s">
        <v>26</v>
      </c>
      <c r="T1223" s="56">
        <v>20760576.370000001</v>
      </c>
      <c r="U1223" s="56" t="s">
        <v>4445</v>
      </c>
      <c r="V1223" s="56" t="s">
        <v>4452</v>
      </c>
      <c r="W1223" s="56" t="s">
        <v>4453</v>
      </c>
    </row>
    <row r="1224" spans="9:23" x14ac:dyDescent="0.3">
      <c r="I1224" s="56" t="s">
        <v>25</v>
      </c>
      <c r="J1224" s="56" t="s">
        <v>26</v>
      </c>
      <c r="K1224" s="56" t="s">
        <v>26</v>
      </c>
      <c r="T1224" s="56">
        <v>1936784.93</v>
      </c>
      <c r="U1224" s="56" t="s">
        <v>4359</v>
      </c>
      <c r="V1224" s="56" t="s">
        <v>4368</v>
      </c>
      <c r="W1224" s="56" t="s">
        <v>4369</v>
      </c>
    </row>
    <row r="1225" spans="9:23" x14ac:dyDescent="0.3">
      <c r="I1225" s="56" t="s">
        <v>25</v>
      </c>
      <c r="J1225" s="56" t="s">
        <v>26</v>
      </c>
      <c r="K1225" s="56" t="s">
        <v>26</v>
      </c>
      <c r="L1225" s="56">
        <v>908977.4</v>
      </c>
      <c r="M1225" s="56">
        <v>0.36359096000000002</v>
      </c>
      <c r="N1225" s="56">
        <v>908977.4</v>
      </c>
      <c r="O1225" s="56">
        <v>0.36359096000000002</v>
      </c>
      <c r="T1225" s="56">
        <v>908977.4</v>
      </c>
      <c r="U1225" s="56" t="s">
        <v>4398</v>
      </c>
      <c r="V1225" s="56" t="s">
        <v>4404</v>
      </c>
      <c r="W1225" s="56" t="s">
        <v>4405</v>
      </c>
    </row>
    <row r="1226" spans="9:23" x14ac:dyDescent="0.3">
      <c r="I1226" s="56" t="s">
        <v>25</v>
      </c>
      <c r="J1226" s="56" t="s">
        <v>26</v>
      </c>
      <c r="K1226" s="56" t="s">
        <v>26</v>
      </c>
      <c r="L1226" s="56">
        <v>2888592.12</v>
      </c>
      <c r="M1226" s="56">
        <v>0.48143202000000002</v>
      </c>
      <c r="T1226" s="56">
        <v>2888592.12</v>
      </c>
      <c r="U1226" s="56" t="s">
        <v>4306</v>
      </c>
      <c r="V1226" s="56" t="s">
        <v>4320</v>
      </c>
      <c r="W1226" s="56" t="s">
        <v>4321</v>
      </c>
    </row>
    <row r="1227" spans="9:23" x14ac:dyDescent="0.3">
      <c r="I1227" s="56" t="s">
        <v>25</v>
      </c>
      <c r="J1227" s="56" t="s">
        <v>26</v>
      </c>
      <c r="K1227" s="56" t="s">
        <v>26</v>
      </c>
      <c r="L1227" s="56">
        <v>3723563.01</v>
      </c>
      <c r="M1227" s="56">
        <v>0.744712602</v>
      </c>
      <c r="N1227" s="56">
        <v>3723563.01</v>
      </c>
      <c r="O1227" s="56">
        <v>0.744712602</v>
      </c>
      <c r="P1227" s="56">
        <v>3723563.01</v>
      </c>
      <c r="Q1227" s="56">
        <v>0.744712602</v>
      </c>
      <c r="T1227" s="56">
        <v>3723563.01</v>
      </c>
      <c r="U1227" s="56" t="s">
        <v>4283</v>
      </c>
      <c r="V1227" s="56" t="s">
        <v>4290</v>
      </c>
      <c r="W1227" s="56" t="s">
        <v>4291</v>
      </c>
    </row>
    <row r="1228" spans="9:23" x14ac:dyDescent="0.3">
      <c r="I1228" s="56" t="s">
        <v>25</v>
      </c>
      <c r="J1228" s="56" t="s">
        <v>26</v>
      </c>
      <c r="K1228" s="56" t="s">
        <v>26</v>
      </c>
      <c r="T1228" s="56">
        <v>11199865.57</v>
      </c>
      <c r="U1228" s="56" t="s">
        <v>4649</v>
      </c>
      <c r="V1228" s="56" t="s">
        <v>4662</v>
      </c>
      <c r="W1228" s="56" t="s">
        <v>4663</v>
      </c>
    </row>
    <row r="1229" spans="9:23" x14ac:dyDescent="0.3">
      <c r="I1229" s="56" t="s">
        <v>25</v>
      </c>
      <c r="J1229" s="56" t="s">
        <v>26</v>
      </c>
      <c r="K1229" s="56" t="s">
        <v>26</v>
      </c>
      <c r="T1229" s="56">
        <v>2864107.38</v>
      </c>
      <c r="U1229" s="56" t="s">
        <v>4423</v>
      </c>
      <c r="V1229" s="56" t="s">
        <v>4431</v>
      </c>
      <c r="W1229" s="56" t="s">
        <v>4432</v>
      </c>
    </row>
    <row r="1230" spans="9:23" x14ac:dyDescent="0.3">
      <c r="I1230" s="56" t="s">
        <v>25</v>
      </c>
      <c r="J1230" s="56" t="s">
        <v>26</v>
      </c>
      <c r="K1230" s="56" t="s">
        <v>26</v>
      </c>
      <c r="L1230" s="56">
        <v>13964026.779999999</v>
      </c>
      <c r="M1230" s="56">
        <v>0.55856107119999998</v>
      </c>
      <c r="T1230" s="56">
        <v>13964026.779999999</v>
      </c>
      <c r="U1230" s="56" t="s">
        <v>4561</v>
      </c>
      <c r="V1230" s="56" t="s">
        <v>4562</v>
      </c>
      <c r="W1230" s="56" t="s">
        <v>4563</v>
      </c>
    </row>
    <row r="1231" spans="9:23" x14ac:dyDescent="0.3">
      <c r="I1231" s="56" t="s">
        <v>25</v>
      </c>
      <c r="J1231" s="56" t="s">
        <v>26</v>
      </c>
      <c r="K1231" s="56" t="s">
        <v>26</v>
      </c>
      <c r="L1231" s="56">
        <v>2557029.9500000002</v>
      </c>
      <c r="M1231" s="56">
        <v>0.85234331666666663</v>
      </c>
      <c r="N1231" s="56">
        <v>2557029.9500000002</v>
      </c>
      <c r="O1231" s="56">
        <v>0.85234331666666663</v>
      </c>
      <c r="P1231" s="56">
        <v>2557029.9500000002</v>
      </c>
      <c r="Q1231" s="56">
        <v>0.85234331666666663</v>
      </c>
      <c r="T1231" s="56">
        <v>2557029.9500000002</v>
      </c>
      <c r="U1231" s="56" t="s">
        <v>4857</v>
      </c>
      <c r="V1231" s="56" t="s">
        <v>4858</v>
      </c>
      <c r="W1231" s="56" t="s">
        <v>4859</v>
      </c>
    </row>
    <row r="1232" spans="9:23" x14ac:dyDescent="0.3">
      <c r="I1232" s="56" t="s">
        <v>25</v>
      </c>
      <c r="J1232" s="56" t="s">
        <v>26</v>
      </c>
      <c r="K1232" s="56" t="s">
        <v>26</v>
      </c>
      <c r="L1232" s="56">
        <v>5169840.42</v>
      </c>
      <c r="M1232" s="56">
        <v>0.64623005249999999</v>
      </c>
      <c r="T1232" s="56">
        <v>5169840.42</v>
      </c>
      <c r="U1232" s="56" t="s">
        <v>4693</v>
      </c>
      <c r="V1232" s="56" t="s">
        <v>4701</v>
      </c>
      <c r="W1232" s="56" t="s">
        <v>4702</v>
      </c>
    </row>
    <row r="1233" spans="9:23" x14ac:dyDescent="0.3">
      <c r="I1233" s="56" t="s">
        <v>25</v>
      </c>
      <c r="J1233" s="56" t="s">
        <v>26</v>
      </c>
      <c r="K1233" s="56" t="s">
        <v>26</v>
      </c>
      <c r="T1233" s="56">
        <v>2828221.1</v>
      </c>
      <c r="U1233" s="56" t="s">
        <v>4692</v>
      </c>
      <c r="V1233" s="56" t="s">
        <v>4704</v>
      </c>
      <c r="W1233" s="56" t="s">
        <v>4705</v>
      </c>
    </row>
    <row r="1234" spans="9:23" x14ac:dyDescent="0.3">
      <c r="I1234" s="56" t="s">
        <v>25</v>
      </c>
      <c r="J1234" s="56" t="s">
        <v>26</v>
      </c>
      <c r="K1234" s="56" t="s">
        <v>26</v>
      </c>
      <c r="T1234" s="56">
        <v>11171221.449999999</v>
      </c>
      <c r="U1234" s="56" t="s">
        <v>4739</v>
      </c>
      <c r="V1234" s="56" t="s">
        <v>4748</v>
      </c>
      <c r="W1234" s="56" t="s">
        <v>4749</v>
      </c>
    </row>
    <row r="1235" spans="9:23" x14ac:dyDescent="0.3">
      <c r="I1235" s="56" t="s">
        <v>25</v>
      </c>
      <c r="J1235" s="56" t="s">
        <v>26</v>
      </c>
      <c r="K1235" s="56" t="s">
        <v>26</v>
      </c>
      <c r="T1235" s="56">
        <v>1360161.78</v>
      </c>
      <c r="U1235" s="56" t="s">
        <v>4755</v>
      </c>
      <c r="V1235" s="56" t="s">
        <v>4759</v>
      </c>
      <c r="W1235" s="56" t="s">
        <v>4760</v>
      </c>
    </row>
    <row r="1236" spans="9:23" x14ac:dyDescent="0.3">
      <c r="I1236" s="56" t="s">
        <v>25</v>
      </c>
      <c r="J1236" s="56" t="s">
        <v>26</v>
      </c>
      <c r="K1236" s="56" t="s">
        <v>26</v>
      </c>
      <c r="T1236" s="56">
        <v>3393865.31</v>
      </c>
      <c r="U1236" s="56" t="s">
        <v>4762</v>
      </c>
      <c r="V1236" s="56" t="s">
        <v>4765</v>
      </c>
      <c r="W1236" s="56" t="s">
        <v>4766</v>
      </c>
    </row>
    <row r="1237" spans="9:23" x14ac:dyDescent="0.3">
      <c r="I1237" s="56" t="s">
        <v>25</v>
      </c>
      <c r="J1237" s="56" t="s">
        <v>26</v>
      </c>
      <c r="K1237" s="56" t="s">
        <v>26</v>
      </c>
      <c r="T1237" s="56">
        <v>2696923.22</v>
      </c>
      <c r="U1237" s="56" t="s">
        <v>4768</v>
      </c>
      <c r="V1237" s="56" t="s">
        <v>4770</v>
      </c>
      <c r="W1237" s="56" t="s">
        <v>4771</v>
      </c>
    </row>
    <row r="1238" spans="9:23" x14ac:dyDescent="0.3">
      <c r="I1238" s="56" t="s">
        <v>25</v>
      </c>
      <c r="J1238" s="56" t="s">
        <v>26</v>
      </c>
      <c r="K1238" s="56" t="s">
        <v>26</v>
      </c>
      <c r="L1238" s="56">
        <v>1041923.85</v>
      </c>
      <c r="M1238" s="56">
        <v>0.41676953999999999</v>
      </c>
      <c r="T1238" s="56">
        <v>1041923.85</v>
      </c>
      <c r="U1238" s="56" t="s">
        <v>4797</v>
      </c>
      <c r="V1238" s="56" t="s">
        <v>4810</v>
      </c>
      <c r="W1238" s="56" t="s">
        <v>4811</v>
      </c>
    </row>
    <row r="1239" spans="9:23" x14ac:dyDescent="0.3">
      <c r="I1239" s="56" t="s">
        <v>25</v>
      </c>
      <c r="J1239" s="56" t="s">
        <v>26</v>
      </c>
      <c r="K1239" s="56" t="s">
        <v>26</v>
      </c>
      <c r="T1239" s="56">
        <v>3249702.35</v>
      </c>
      <c r="U1239" s="56" t="s">
        <v>4849</v>
      </c>
      <c r="V1239" s="56" t="s">
        <v>4851</v>
      </c>
      <c r="W1239" s="56" t="s">
        <v>4852</v>
      </c>
    </row>
    <row r="1240" spans="9:23" x14ac:dyDescent="0.3">
      <c r="I1240" s="56" t="s">
        <v>25</v>
      </c>
      <c r="J1240" s="56" t="s">
        <v>26</v>
      </c>
      <c r="K1240" s="56" t="s">
        <v>26</v>
      </c>
      <c r="T1240" s="56">
        <v>1387000.25</v>
      </c>
      <c r="U1240" s="56" t="s">
        <v>4885</v>
      </c>
      <c r="V1240" s="56" t="s">
        <v>4891</v>
      </c>
      <c r="W1240" s="56" t="s">
        <v>4892</v>
      </c>
    </row>
    <row r="1241" spans="9:23" x14ac:dyDescent="0.3">
      <c r="I1241" s="56" t="s">
        <v>25</v>
      </c>
      <c r="J1241" s="56" t="s">
        <v>26</v>
      </c>
      <c r="K1241" s="56" t="s">
        <v>26</v>
      </c>
      <c r="L1241" s="56">
        <v>3045844.52</v>
      </c>
      <c r="M1241" s="56">
        <v>0.60916890400000001</v>
      </c>
      <c r="T1241" s="56">
        <v>3045844.52</v>
      </c>
      <c r="U1241" s="56" t="s">
        <v>4974</v>
      </c>
      <c r="V1241" s="56" t="s">
        <v>4975</v>
      </c>
      <c r="W1241" s="56" t="s">
        <v>4976</v>
      </c>
    </row>
    <row r="1242" spans="9:23" x14ac:dyDescent="0.3">
      <c r="I1242" s="56" t="s">
        <v>25</v>
      </c>
      <c r="J1242" s="56" t="s">
        <v>26</v>
      </c>
      <c r="K1242" s="56" t="s">
        <v>26</v>
      </c>
      <c r="T1242" s="56">
        <v>1615575.13</v>
      </c>
      <c r="U1242" s="56" t="s">
        <v>4917</v>
      </c>
      <c r="V1242" s="56" t="s">
        <v>4923</v>
      </c>
      <c r="W1242" s="56" t="s">
        <v>4924</v>
      </c>
    </row>
    <row r="1243" spans="9:23" x14ac:dyDescent="0.3">
      <c r="I1243" s="56" t="s">
        <v>25</v>
      </c>
      <c r="J1243" s="56" t="s">
        <v>26</v>
      </c>
      <c r="K1243" s="56" t="s">
        <v>26</v>
      </c>
      <c r="L1243" s="56">
        <v>907674.51</v>
      </c>
      <c r="M1243" s="56">
        <v>0.363069804</v>
      </c>
      <c r="T1243" s="56">
        <v>907674.51</v>
      </c>
      <c r="U1243" s="56" t="s">
        <v>4918</v>
      </c>
      <c r="V1243" s="56" t="s">
        <v>4920</v>
      </c>
      <c r="W1243" s="56" t="s">
        <v>4921</v>
      </c>
    </row>
    <row r="1244" spans="9:23" x14ac:dyDescent="0.3">
      <c r="I1244" s="56" t="s">
        <v>25</v>
      </c>
      <c r="J1244" s="56" t="s">
        <v>26</v>
      </c>
      <c r="K1244" s="56" t="s">
        <v>26</v>
      </c>
      <c r="L1244" s="56">
        <v>661603.49</v>
      </c>
      <c r="M1244" s="56">
        <v>0.66160349000000007</v>
      </c>
      <c r="T1244" s="56">
        <v>661603.49</v>
      </c>
      <c r="U1244" s="56" t="s">
        <v>5066</v>
      </c>
      <c r="V1244" s="56" t="s">
        <v>5072</v>
      </c>
      <c r="W1244" s="56" t="s">
        <v>5073</v>
      </c>
    </row>
    <row r="1245" spans="9:23" x14ac:dyDescent="0.3">
      <c r="I1245" s="56" t="s">
        <v>25</v>
      </c>
      <c r="J1245" s="56" t="s">
        <v>26</v>
      </c>
      <c r="K1245" s="56" t="s">
        <v>26</v>
      </c>
      <c r="L1245" s="56">
        <v>31423796.66</v>
      </c>
      <c r="M1245" s="56">
        <v>0.78559491649999991</v>
      </c>
      <c r="T1245" s="56">
        <v>31423796.66</v>
      </c>
      <c r="U1245" s="56" t="s">
        <v>4949</v>
      </c>
      <c r="V1245" s="56" t="s">
        <v>4950</v>
      </c>
      <c r="W1245" s="56" t="s">
        <v>4951</v>
      </c>
    </row>
    <row r="1246" spans="9:23" x14ac:dyDescent="0.3">
      <c r="I1246" s="56" t="s">
        <v>25</v>
      </c>
      <c r="J1246" s="56" t="s">
        <v>26</v>
      </c>
      <c r="K1246" s="56" t="s">
        <v>26</v>
      </c>
      <c r="L1246" s="56">
        <v>1906529.37</v>
      </c>
      <c r="M1246" s="56">
        <v>0.76261174799999998</v>
      </c>
      <c r="N1246" s="56">
        <v>1906529.37</v>
      </c>
      <c r="O1246" s="56">
        <v>0.76261174799999998</v>
      </c>
      <c r="T1246" s="56">
        <v>1906529.37</v>
      </c>
      <c r="U1246" s="56" t="s">
        <v>5017</v>
      </c>
      <c r="V1246" s="56" t="s">
        <v>5019</v>
      </c>
      <c r="W1246" s="56" t="s">
        <v>5020</v>
      </c>
    </row>
    <row r="1247" spans="9:23" x14ac:dyDescent="0.3">
      <c r="I1247" s="56" t="s">
        <v>25</v>
      </c>
      <c r="J1247" s="56" t="s">
        <v>26</v>
      </c>
      <c r="K1247" s="56" t="s">
        <v>26</v>
      </c>
      <c r="L1247" s="56">
        <v>3501447.84</v>
      </c>
      <c r="M1247" s="56">
        <v>0.70028956799999997</v>
      </c>
      <c r="T1247" s="56">
        <v>3501447.84</v>
      </c>
      <c r="U1247" s="56" t="s">
        <v>4911</v>
      </c>
      <c r="V1247" s="56" t="s">
        <v>4914</v>
      </c>
      <c r="W1247" s="56" t="s">
        <v>4915</v>
      </c>
    </row>
    <row r="1248" spans="9:23" x14ac:dyDescent="0.3">
      <c r="I1248" s="56" t="s">
        <v>25</v>
      </c>
      <c r="J1248" s="56" t="s">
        <v>26</v>
      </c>
      <c r="K1248" s="56" t="s">
        <v>26</v>
      </c>
      <c r="L1248" s="56">
        <v>7097642.4400000004</v>
      </c>
      <c r="M1248" s="56">
        <v>0.70976424399999993</v>
      </c>
      <c r="T1248" s="56">
        <v>7097642.4400000004</v>
      </c>
      <c r="U1248" s="56" t="s">
        <v>5065</v>
      </c>
      <c r="V1248" s="56" t="s">
        <v>5075</v>
      </c>
      <c r="W1248" s="56" t="s">
        <v>5076</v>
      </c>
    </row>
    <row r="1249" spans="9:23" x14ac:dyDescent="0.3">
      <c r="I1249" s="56" t="s">
        <v>25</v>
      </c>
      <c r="J1249" s="56" t="s">
        <v>26</v>
      </c>
      <c r="K1249" s="56" t="s">
        <v>26</v>
      </c>
      <c r="T1249" s="56">
        <v>1462702.26</v>
      </c>
      <c r="U1249" s="56" t="s">
        <v>4955</v>
      </c>
      <c r="V1249" s="56" t="s">
        <v>4962</v>
      </c>
      <c r="W1249" s="56" t="s">
        <v>4963</v>
      </c>
    </row>
    <row r="1250" spans="9:23" x14ac:dyDescent="0.3">
      <c r="I1250" s="56" t="s">
        <v>25</v>
      </c>
      <c r="J1250" s="56" t="s">
        <v>26</v>
      </c>
      <c r="K1250" s="56" t="s">
        <v>26</v>
      </c>
      <c r="L1250" s="56">
        <v>3367164.5</v>
      </c>
      <c r="M1250" s="56">
        <v>0.56119408333333343</v>
      </c>
      <c r="T1250" s="56">
        <v>3367164.5</v>
      </c>
      <c r="U1250" s="56" t="s">
        <v>4977</v>
      </c>
      <c r="V1250" s="56" t="s">
        <v>4978</v>
      </c>
      <c r="W1250" s="56" t="s">
        <v>4979</v>
      </c>
    </row>
    <row r="1251" spans="9:23" x14ac:dyDescent="0.3">
      <c r="I1251" s="56" t="s">
        <v>25</v>
      </c>
      <c r="J1251" s="56" t="s">
        <v>26</v>
      </c>
      <c r="K1251" s="56" t="s">
        <v>26</v>
      </c>
      <c r="L1251" s="56">
        <v>1371846.99</v>
      </c>
      <c r="M1251" s="56">
        <v>0.54873879600000008</v>
      </c>
      <c r="T1251" s="56">
        <v>1371846.99</v>
      </c>
      <c r="U1251" s="56" t="s">
        <v>4981</v>
      </c>
      <c r="V1251" s="56" t="s">
        <v>4988</v>
      </c>
      <c r="W1251" s="56" t="s">
        <v>4989</v>
      </c>
    </row>
    <row r="1252" spans="9:23" x14ac:dyDescent="0.3">
      <c r="I1252" s="56" t="s">
        <v>25</v>
      </c>
      <c r="J1252" s="56" t="s">
        <v>26</v>
      </c>
      <c r="K1252" s="56" t="s">
        <v>26</v>
      </c>
      <c r="T1252" s="56">
        <v>1629614.64</v>
      </c>
      <c r="U1252" s="56" t="s">
        <v>5011</v>
      </c>
      <c r="V1252" s="56" t="s">
        <v>5013</v>
      </c>
      <c r="W1252" s="56" t="s">
        <v>5014</v>
      </c>
    </row>
    <row r="1253" spans="9:23" x14ac:dyDescent="0.3">
      <c r="I1253" s="56" t="s">
        <v>25</v>
      </c>
      <c r="J1253" s="56" t="s">
        <v>94</v>
      </c>
      <c r="K1253" s="56" t="s">
        <v>95</v>
      </c>
      <c r="L1253" s="56">
        <v>2679456.13</v>
      </c>
      <c r="M1253" s="56">
        <v>0.38277944714285717</v>
      </c>
      <c r="T1253" s="56">
        <v>2679456.13</v>
      </c>
      <c r="U1253" s="56" t="s">
        <v>93</v>
      </c>
      <c r="V1253" s="56" t="s">
        <v>255</v>
      </c>
      <c r="W1253" s="56" t="s">
        <v>256</v>
      </c>
    </row>
    <row r="1254" spans="9:23" x14ac:dyDescent="0.3">
      <c r="I1254" s="56" t="s">
        <v>25</v>
      </c>
      <c r="J1254" s="56" t="s">
        <v>94</v>
      </c>
      <c r="K1254" s="56" t="s">
        <v>95</v>
      </c>
      <c r="T1254" s="56">
        <v>7490302.2000000002</v>
      </c>
      <c r="U1254" s="56" t="s">
        <v>4209</v>
      </c>
      <c r="V1254" s="56" t="s">
        <v>4210</v>
      </c>
      <c r="W1254" s="56" t="s">
        <v>4211</v>
      </c>
    </row>
    <row r="1255" spans="9:23" x14ac:dyDescent="0.3">
      <c r="I1255" s="56" t="s">
        <v>25</v>
      </c>
      <c r="J1255" s="56" t="s">
        <v>94</v>
      </c>
      <c r="K1255" s="56" t="s">
        <v>95</v>
      </c>
      <c r="T1255" s="56">
        <v>2092621.42</v>
      </c>
      <c r="U1255" s="56" t="s">
        <v>5351</v>
      </c>
      <c r="V1255" s="56" t="s">
        <v>5358</v>
      </c>
      <c r="W1255" s="56" t="s">
        <v>5359</v>
      </c>
    </row>
    <row r="1256" spans="9:23" x14ac:dyDescent="0.3">
      <c r="I1256" s="56" t="s">
        <v>25</v>
      </c>
      <c r="J1256" s="56" t="s">
        <v>94</v>
      </c>
      <c r="K1256" s="56" t="s">
        <v>95</v>
      </c>
      <c r="T1256" s="56">
        <v>11023454.140000001</v>
      </c>
      <c r="U1256" s="56" t="s">
        <v>5765</v>
      </c>
      <c r="V1256" s="56" t="s">
        <v>5769</v>
      </c>
      <c r="W1256" s="56" t="s">
        <v>5770</v>
      </c>
    </row>
    <row r="1257" spans="9:23" x14ac:dyDescent="0.3">
      <c r="I1257" s="56" t="s">
        <v>25</v>
      </c>
      <c r="J1257" s="56" t="s">
        <v>94</v>
      </c>
      <c r="K1257" s="56" t="s">
        <v>95</v>
      </c>
      <c r="T1257" s="56">
        <v>4676669.0599999996</v>
      </c>
      <c r="U1257" s="56" t="s">
        <v>5774</v>
      </c>
      <c r="V1257" s="56" t="s">
        <v>5782</v>
      </c>
      <c r="W1257" s="56" t="s">
        <v>5783</v>
      </c>
    </row>
    <row r="1258" spans="9:23" x14ac:dyDescent="0.3">
      <c r="I1258" s="56" t="s">
        <v>25</v>
      </c>
      <c r="J1258" s="56" t="s">
        <v>94</v>
      </c>
      <c r="K1258" s="56" t="s">
        <v>95</v>
      </c>
      <c r="L1258" s="56">
        <v>6932269.5499999998</v>
      </c>
      <c r="M1258" s="56">
        <v>0.99032422142857146</v>
      </c>
      <c r="T1258" s="56">
        <v>6932269.5499999998</v>
      </c>
      <c r="U1258" s="56" t="s">
        <v>5820</v>
      </c>
      <c r="V1258" s="56" t="s">
        <v>5823</v>
      </c>
      <c r="W1258" s="56" t="s">
        <v>5824</v>
      </c>
    </row>
    <row r="1259" spans="9:23" x14ac:dyDescent="0.3">
      <c r="I1259" s="56" t="s">
        <v>25</v>
      </c>
      <c r="J1259" s="56" t="s">
        <v>94</v>
      </c>
      <c r="K1259" s="56" t="s">
        <v>95</v>
      </c>
      <c r="T1259" s="56">
        <v>5798489.1399999997</v>
      </c>
      <c r="U1259" s="56" t="s">
        <v>2085</v>
      </c>
      <c r="V1259" s="56" t="s">
        <v>2097</v>
      </c>
      <c r="W1259" s="56" t="s">
        <v>2098</v>
      </c>
    </row>
    <row r="1260" spans="9:23" x14ac:dyDescent="0.3">
      <c r="I1260" s="56" t="s">
        <v>25</v>
      </c>
      <c r="J1260" s="56" t="s">
        <v>94</v>
      </c>
      <c r="K1260" s="56" t="s">
        <v>95</v>
      </c>
      <c r="T1260" s="56">
        <v>7467582.6200000001</v>
      </c>
      <c r="U1260" s="56" t="s">
        <v>2555</v>
      </c>
      <c r="V1260" s="56" t="s">
        <v>2568</v>
      </c>
      <c r="W1260" s="56" t="s">
        <v>2569</v>
      </c>
    </row>
    <row r="1261" spans="9:23" x14ac:dyDescent="0.3">
      <c r="I1261" s="56" t="s">
        <v>25</v>
      </c>
      <c r="J1261" s="56" t="s">
        <v>94</v>
      </c>
      <c r="K1261" s="56" t="s">
        <v>95</v>
      </c>
      <c r="T1261" s="56">
        <v>4707185.05</v>
      </c>
      <c r="U1261" s="56" t="s">
        <v>3129</v>
      </c>
      <c r="V1261" s="56" t="s">
        <v>3134</v>
      </c>
      <c r="W1261" s="56" t="s">
        <v>3135</v>
      </c>
    </row>
    <row r="1262" spans="9:23" x14ac:dyDescent="0.3">
      <c r="I1262" s="56" t="s">
        <v>25</v>
      </c>
      <c r="J1262" s="56" t="s">
        <v>94</v>
      </c>
      <c r="K1262" s="56" t="s">
        <v>95</v>
      </c>
      <c r="T1262" s="56">
        <v>918621.18</v>
      </c>
      <c r="U1262" s="56" t="s">
        <v>5775</v>
      </c>
      <c r="V1262" s="56" t="s">
        <v>5787</v>
      </c>
      <c r="W1262" s="56" t="s">
        <v>5788</v>
      </c>
    </row>
    <row r="1263" spans="9:23" x14ac:dyDescent="0.3">
      <c r="I1263" s="56" t="s">
        <v>25</v>
      </c>
      <c r="J1263" s="56" t="s">
        <v>94</v>
      </c>
      <c r="K1263" s="56" t="s">
        <v>95</v>
      </c>
      <c r="T1263" s="56">
        <v>2806001.43</v>
      </c>
      <c r="U1263" s="56" t="s">
        <v>5886</v>
      </c>
      <c r="V1263" s="56" t="s">
        <v>5887</v>
      </c>
      <c r="W1263" s="56" t="s">
        <v>5888</v>
      </c>
    </row>
    <row r="1264" spans="9:23" x14ac:dyDescent="0.3">
      <c r="I1264" s="56" t="s">
        <v>25</v>
      </c>
      <c r="J1264" s="56" t="s">
        <v>94</v>
      </c>
      <c r="K1264" s="56" t="s">
        <v>1826</v>
      </c>
      <c r="T1264" s="56">
        <v>1800000</v>
      </c>
      <c r="U1264" s="56" t="s">
        <v>5917</v>
      </c>
      <c r="V1264" s="56" t="s">
        <v>5929</v>
      </c>
      <c r="W1264" s="56" t="s">
        <v>5930</v>
      </c>
    </row>
    <row r="1265" spans="9:23" x14ac:dyDescent="0.3">
      <c r="I1265" s="56" t="s">
        <v>25</v>
      </c>
      <c r="J1265" s="56" t="s">
        <v>94</v>
      </c>
      <c r="K1265" s="56" t="s">
        <v>5507</v>
      </c>
      <c r="T1265" s="56">
        <v>5588057.0599999996</v>
      </c>
      <c r="U1265" s="56" t="s">
        <v>5666</v>
      </c>
      <c r="V1265" s="56" t="s">
        <v>5682</v>
      </c>
      <c r="W1265" s="56" t="s">
        <v>5683</v>
      </c>
    </row>
    <row r="1266" spans="9:23" x14ac:dyDescent="0.3">
      <c r="I1266" s="56" t="s">
        <v>25</v>
      </c>
      <c r="J1266" s="56" t="s">
        <v>94</v>
      </c>
      <c r="K1266" s="56" t="s">
        <v>5507</v>
      </c>
      <c r="T1266" s="56">
        <v>7380615.71</v>
      </c>
      <c r="U1266" s="56" t="s">
        <v>5636</v>
      </c>
      <c r="V1266" s="56" t="s">
        <v>5643</v>
      </c>
      <c r="W1266" s="56" t="s">
        <v>5644</v>
      </c>
    </row>
    <row r="1267" spans="9:23" x14ac:dyDescent="0.3">
      <c r="I1267" s="56" t="s">
        <v>25</v>
      </c>
      <c r="J1267" s="56" t="s">
        <v>94</v>
      </c>
      <c r="K1267" s="56" t="s">
        <v>5507</v>
      </c>
      <c r="T1267" s="56">
        <v>2083950.78</v>
      </c>
      <c r="U1267" s="56" t="s">
        <v>5506</v>
      </c>
      <c r="V1267" s="56" t="s">
        <v>5510</v>
      </c>
      <c r="W1267" s="56" t="s">
        <v>5511</v>
      </c>
    </row>
    <row r="1268" spans="9:23" x14ac:dyDescent="0.3">
      <c r="I1268" s="56" t="s">
        <v>25</v>
      </c>
      <c r="J1268" s="56" t="s">
        <v>94</v>
      </c>
      <c r="K1268" s="56" t="s">
        <v>26</v>
      </c>
      <c r="L1268" s="56">
        <v>26402.05</v>
      </c>
      <c r="M1268" s="56">
        <v>3.7717214285714284E-3</v>
      </c>
      <c r="N1268" s="56">
        <v>26402.05</v>
      </c>
      <c r="O1268" s="56">
        <v>3.7717214285714284E-3</v>
      </c>
      <c r="P1268" s="56">
        <v>26402.05</v>
      </c>
      <c r="Q1268" s="56">
        <v>3.7717214285714284E-3</v>
      </c>
      <c r="T1268" s="56">
        <v>26402.05</v>
      </c>
      <c r="U1268" s="56" t="s">
        <v>364</v>
      </c>
      <c r="V1268" s="56" t="s">
        <v>384</v>
      </c>
      <c r="W1268" s="56" t="s">
        <v>385</v>
      </c>
    </row>
    <row r="1269" spans="9:23" x14ac:dyDescent="0.3">
      <c r="I1269" s="56" t="s">
        <v>25</v>
      </c>
      <c r="J1269" s="56" t="s">
        <v>94</v>
      </c>
      <c r="K1269" s="56" t="s">
        <v>26</v>
      </c>
      <c r="L1269" s="56">
        <v>28451425.239999998</v>
      </c>
      <c r="M1269" s="56">
        <v>0.81289786399999997</v>
      </c>
      <c r="T1269" s="56">
        <v>28451425.239999998</v>
      </c>
      <c r="U1269" s="56" t="s">
        <v>634</v>
      </c>
      <c r="V1269" s="56" t="s">
        <v>635</v>
      </c>
      <c r="W1269" s="56" t="s">
        <v>636</v>
      </c>
    </row>
    <row r="1270" spans="9:23" x14ac:dyDescent="0.3">
      <c r="I1270" s="56" t="s">
        <v>25</v>
      </c>
      <c r="J1270" s="56" t="s">
        <v>94</v>
      </c>
      <c r="K1270" s="56" t="s">
        <v>26</v>
      </c>
      <c r="T1270" s="56">
        <v>12963503.52</v>
      </c>
      <c r="U1270" s="56" t="s">
        <v>5473</v>
      </c>
      <c r="V1270" s="56" t="s">
        <v>5476</v>
      </c>
      <c r="W1270" s="56" t="s">
        <v>5477</v>
      </c>
    </row>
    <row r="1271" spans="9:23" x14ac:dyDescent="0.3">
      <c r="I1271" s="56" t="s">
        <v>25</v>
      </c>
      <c r="J1271" s="56" t="s">
        <v>94</v>
      </c>
      <c r="K1271" s="56" t="s">
        <v>26</v>
      </c>
      <c r="L1271" s="56">
        <v>1370232.91</v>
      </c>
      <c r="M1271" s="56">
        <v>0.39149511714285712</v>
      </c>
      <c r="T1271" s="56">
        <v>1370232.91</v>
      </c>
      <c r="U1271" s="56" t="s">
        <v>2269</v>
      </c>
      <c r="V1271" s="56" t="s">
        <v>2271</v>
      </c>
      <c r="W1271" s="56" t="s">
        <v>2272</v>
      </c>
    </row>
    <row r="1272" spans="9:23" x14ac:dyDescent="0.3">
      <c r="I1272" s="56" t="s">
        <v>25</v>
      </c>
      <c r="J1272" s="56" t="s">
        <v>94</v>
      </c>
      <c r="K1272" s="56" t="s">
        <v>26</v>
      </c>
      <c r="L1272" s="56">
        <v>851743.54</v>
      </c>
      <c r="M1272" s="56">
        <v>0.28391451333333334</v>
      </c>
      <c r="N1272" s="56">
        <v>851743.54</v>
      </c>
      <c r="O1272" s="56">
        <v>0.28391451333333334</v>
      </c>
      <c r="T1272" s="56">
        <v>851743.54</v>
      </c>
      <c r="U1272" s="56" t="s">
        <v>4122</v>
      </c>
      <c r="V1272" s="56" t="s">
        <v>4134</v>
      </c>
      <c r="W1272" s="56" t="s">
        <v>4135</v>
      </c>
    </row>
    <row r="1273" spans="9:23" x14ac:dyDescent="0.3">
      <c r="I1273" s="56" t="s">
        <v>25</v>
      </c>
      <c r="J1273" s="56" t="s">
        <v>94</v>
      </c>
      <c r="K1273" s="56" t="s">
        <v>26</v>
      </c>
      <c r="L1273" s="56">
        <v>1130901.96</v>
      </c>
      <c r="M1273" s="56">
        <v>0.22618039199999998</v>
      </c>
      <c r="N1273" s="56">
        <v>1130901.96</v>
      </c>
      <c r="O1273" s="56">
        <v>0.22618039199999998</v>
      </c>
      <c r="P1273" s="56">
        <v>1130901.96</v>
      </c>
      <c r="Q1273" s="56">
        <v>0.22618039199999998</v>
      </c>
      <c r="T1273" s="56">
        <v>1130901.96</v>
      </c>
      <c r="U1273" s="56" t="s">
        <v>3753</v>
      </c>
      <c r="V1273" s="56" t="s">
        <v>3767</v>
      </c>
      <c r="W1273" s="56" t="s">
        <v>3768</v>
      </c>
    </row>
    <row r="1274" spans="9:23" x14ac:dyDescent="0.3">
      <c r="I1274" s="56" t="s">
        <v>25</v>
      </c>
      <c r="J1274" s="56" t="s">
        <v>94</v>
      </c>
      <c r="K1274" s="56" t="s">
        <v>26</v>
      </c>
      <c r="T1274" s="56">
        <v>4638703.45</v>
      </c>
      <c r="U1274" s="56" t="s">
        <v>5082</v>
      </c>
      <c r="V1274" s="56" t="s">
        <v>5089</v>
      </c>
      <c r="W1274" s="56" t="s">
        <v>5090</v>
      </c>
    </row>
    <row r="1275" spans="9:23" x14ac:dyDescent="0.3">
      <c r="I1275" s="56" t="s">
        <v>25</v>
      </c>
      <c r="J1275" s="56" t="s">
        <v>94</v>
      </c>
      <c r="K1275" s="56" t="s">
        <v>1828</v>
      </c>
      <c r="T1275" s="56">
        <v>367830.3</v>
      </c>
      <c r="U1275" s="56" t="s">
        <v>3608</v>
      </c>
      <c r="V1275" s="56" t="s">
        <v>3609</v>
      </c>
      <c r="W1275" s="56" t="s">
        <v>3610</v>
      </c>
    </row>
    <row r="1276" spans="9:23" x14ac:dyDescent="0.3">
      <c r="I1276" s="56" t="s">
        <v>25</v>
      </c>
      <c r="J1276" s="56" t="s">
        <v>94</v>
      </c>
      <c r="K1276" s="56" t="s">
        <v>1828</v>
      </c>
      <c r="T1276" s="56">
        <v>1232210.03</v>
      </c>
      <c r="U1276" s="56" t="s">
        <v>3943</v>
      </c>
      <c r="V1276" s="56" t="s">
        <v>3955</v>
      </c>
      <c r="W1276" s="56" t="s">
        <v>3956</v>
      </c>
    </row>
    <row r="1277" spans="9:23" x14ac:dyDescent="0.3">
      <c r="I1277" s="56" t="s">
        <v>37</v>
      </c>
      <c r="J1277" s="56" t="s">
        <v>38</v>
      </c>
      <c r="K1277" s="56" t="s">
        <v>1681</v>
      </c>
      <c r="T1277" s="56">
        <v>23396032.09</v>
      </c>
      <c r="U1277" s="56" t="s">
        <v>5675</v>
      </c>
      <c r="V1277" s="56" t="s">
        <v>5679</v>
      </c>
      <c r="W1277" s="56" t="s">
        <v>5680</v>
      </c>
    </row>
    <row r="1278" spans="9:23" x14ac:dyDescent="0.3">
      <c r="I1278" s="56" t="s">
        <v>37</v>
      </c>
      <c r="J1278" s="56" t="s">
        <v>38</v>
      </c>
      <c r="K1278" s="56" t="s">
        <v>1681</v>
      </c>
      <c r="L1278" s="56">
        <v>2751142.53</v>
      </c>
      <c r="M1278" s="56">
        <v>0.183409502</v>
      </c>
      <c r="N1278" s="56">
        <v>2751142.53</v>
      </c>
      <c r="O1278" s="56">
        <v>0.183409502</v>
      </c>
      <c r="T1278" s="56">
        <v>2751142.53</v>
      </c>
      <c r="U1278" s="56" t="s">
        <v>1680</v>
      </c>
      <c r="V1278" s="56" t="s">
        <v>1682</v>
      </c>
      <c r="W1278" s="56" t="s">
        <v>1683</v>
      </c>
    </row>
    <row r="1279" spans="9:23" x14ac:dyDescent="0.3">
      <c r="I1279" s="56" t="s">
        <v>37</v>
      </c>
      <c r="J1279" s="56" t="s">
        <v>38</v>
      </c>
      <c r="K1279" s="56" t="s">
        <v>1681</v>
      </c>
      <c r="L1279" s="56">
        <v>40001249.369999997</v>
      </c>
      <c r="M1279" s="56">
        <v>0.7272954430909091</v>
      </c>
      <c r="T1279" s="56">
        <v>40001249.369999997</v>
      </c>
      <c r="U1279" s="56" t="s">
        <v>2191</v>
      </c>
      <c r="V1279" s="56" t="s">
        <v>2212</v>
      </c>
      <c r="W1279" s="56" t="s">
        <v>2213</v>
      </c>
    </row>
    <row r="1280" spans="9:23" x14ac:dyDescent="0.3">
      <c r="I1280" s="56" t="s">
        <v>37</v>
      </c>
      <c r="J1280" s="56" t="s">
        <v>38</v>
      </c>
      <c r="K1280" s="56" t="s">
        <v>1681</v>
      </c>
      <c r="T1280" s="56">
        <v>1498685.47</v>
      </c>
      <c r="U1280" s="56" t="s">
        <v>3465</v>
      </c>
      <c r="V1280" s="56" t="s">
        <v>3482</v>
      </c>
      <c r="W1280" s="56" t="s">
        <v>3483</v>
      </c>
    </row>
    <row r="1281" spans="9:23" x14ac:dyDescent="0.3">
      <c r="I1281" s="56" t="s">
        <v>37</v>
      </c>
      <c r="J1281" s="56" t="s">
        <v>38</v>
      </c>
      <c r="K1281" s="56" t="s">
        <v>26</v>
      </c>
      <c r="L1281" s="56">
        <v>5228891.32</v>
      </c>
      <c r="M1281" s="56">
        <v>0.20696133285076973</v>
      </c>
      <c r="N1281" s="56">
        <v>5228891.32</v>
      </c>
      <c r="O1281" s="56">
        <v>0.20696133285076973</v>
      </c>
      <c r="T1281" s="56">
        <v>5228891.32</v>
      </c>
      <c r="U1281" s="56" t="s">
        <v>159</v>
      </c>
      <c r="V1281" s="56" t="s">
        <v>160</v>
      </c>
      <c r="W1281" s="56" t="s">
        <v>161</v>
      </c>
    </row>
    <row r="1282" spans="9:23" x14ac:dyDescent="0.3">
      <c r="I1282" s="56" t="s">
        <v>37</v>
      </c>
      <c r="J1282" s="56" t="s">
        <v>38</v>
      </c>
      <c r="K1282" s="56" t="s">
        <v>26</v>
      </c>
      <c r="L1282" s="56">
        <v>25166255.359999999</v>
      </c>
      <c r="M1282" s="56">
        <v>0.71903586742857151</v>
      </c>
      <c r="T1282" s="56">
        <v>25166255.359999999</v>
      </c>
      <c r="U1282" s="56" t="s">
        <v>3986</v>
      </c>
      <c r="V1282" s="56" t="s">
        <v>3987</v>
      </c>
      <c r="W1282" s="56" t="s">
        <v>3988</v>
      </c>
    </row>
    <row r="1283" spans="9:23" x14ac:dyDescent="0.3">
      <c r="I1283" s="56" t="s">
        <v>37</v>
      </c>
      <c r="J1283" s="56" t="s">
        <v>38</v>
      </c>
      <c r="K1283" s="56" t="s">
        <v>26</v>
      </c>
      <c r="L1283" s="56">
        <v>8789130.75</v>
      </c>
      <c r="M1283" s="56">
        <v>0.48828504166666664</v>
      </c>
      <c r="T1283" s="56">
        <v>8789130.75</v>
      </c>
      <c r="U1283" s="56" t="s">
        <v>2429</v>
      </c>
      <c r="V1283" s="56" t="s">
        <v>2430</v>
      </c>
      <c r="W1283" s="56" t="s">
        <v>2431</v>
      </c>
    </row>
    <row r="1284" spans="9:23" x14ac:dyDescent="0.3">
      <c r="I1284" s="56" t="s">
        <v>37</v>
      </c>
      <c r="J1284" s="56" t="s">
        <v>38</v>
      </c>
      <c r="K1284" s="56" t="s">
        <v>26</v>
      </c>
      <c r="L1284" s="56">
        <v>58355347.810000002</v>
      </c>
      <c r="M1284" s="56">
        <v>0.89777458169230773</v>
      </c>
      <c r="N1284" s="56">
        <v>58355347.810000002</v>
      </c>
      <c r="O1284" s="56">
        <v>0.89777458169230773</v>
      </c>
      <c r="P1284" s="56">
        <v>58355347.810000002</v>
      </c>
      <c r="Q1284" s="56">
        <v>0.89777458169230773</v>
      </c>
      <c r="T1284" s="56">
        <v>58355347.810000002</v>
      </c>
      <c r="U1284" s="56" t="s">
        <v>2758</v>
      </c>
      <c r="V1284" s="56" t="s">
        <v>2761</v>
      </c>
      <c r="W1284" s="56" t="s">
        <v>2762</v>
      </c>
    </row>
    <row r="1285" spans="9:23" x14ac:dyDescent="0.3">
      <c r="I1285" s="56" t="s">
        <v>37</v>
      </c>
      <c r="J1285" s="56" t="s">
        <v>38</v>
      </c>
      <c r="K1285" s="56" t="s">
        <v>26</v>
      </c>
      <c r="L1285" s="56">
        <v>1540262.57</v>
      </c>
      <c r="M1285" s="56">
        <v>0.20536834266666668</v>
      </c>
      <c r="T1285" s="56">
        <v>1540262.57</v>
      </c>
      <c r="U1285" s="56" t="s">
        <v>3781</v>
      </c>
      <c r="V1285" s="56" t="s">
        <v>3784</v>
      </c>
      <c r="W1285" s="56" t="s">
        <v>3785</v>
      </c>
    </row>
    <row r="1286" spans="9:23" x14ac:dyDescent="0.3">
      <c r="I1286" s="56" t="s">
        <v>37</v>
      </c>
      <c r="J1286" s="56" t="s">
        <v>38</v>
      </c>
      <c r="K1286" s="56" t="s">
        <v>26</v>
      </c>
      <c r="L1286" s="56">
        <v>15076885.18</v>
      </c>
      <c r="M1286" s="56">
        <v>0.43076814800000002</v>
      </c>
      <c r="T1286" s="56">
        <v>15076885.18</v>
      </c>
      <c r="U1286" s="56" t="s">
        <v>2360</v>
      </c>
      <c r="V1286" s="56" t="s">
        <v>2365</v>
      </c>
      <c r="W1286" s="56" t="s">
        <v>2366</v>
      </c>
    </row>
    <row r="1287" spans="9:23" x14ac:dyDescent="0.3">
      <c r="I1287" s="56" t="s">
        <v>37</v>
      </c>
      <c r="J1287" s="56" t="s">
        <v>38</v>
      </c>
      <c r="K1287" s="56" t="s">
        <v>26</v>
      </c>
      <c r="L1287" s="56">
        <v>13374838.109999999</v>
      </c>
      <c r="M1287" s="56">
        <v>0.66874190550000001</v>
      </c>
      <c r="N1287" s="56">
        <v>13374838.109999999</v>
      </c>
      <c r="O1287" s="56">
        <v>0.66874190550000001</v>
      </c>
      <c r="P1287" s="56">
        <v>13374838.109999999</v>
      </c>
      <c r="Q1287" s="56">
        <v>0.66874190550000001</v>
      </c>
      <c r="T1287" s="56">
        <v>13374838.109999999</v>
      </c>
      <c r="U1287" s="56" t="s">
        <v>3754</v>
      </c>
      <c r="V1287" s="56" t="s">
        <v>3772</v>
      </c>
      <c r="W1287" s="56" t="s">
        <v>3773</v>
      </c>
    </row>
    <row r="1288" spans="9:23" x14ac:dyDescent="0.3">
      <c r="I1288" s="56" t="s">
        <v>37</v>
      </c>
      <c r="J1288" s="56" t="s">
        <v>38</v>
      </c>
      <c r="K1288" s="56" t="s">
        <v>26</v>
      </c>
      <c r="L1288" s="56">
        <v>23015295.629999999</v>
      </c>
      <c r="M1288" s="56">
        <v>0.767176521</v>
      </c>
      <c r="N1288" s="56">
        <v>23015295.629999999</v>
      </c>
      <c r="O1288" s="56">
        <v>0.767176521</v>
      </c>
      <c r="T1288" s="56">
        <v>23015295.629999999</v>
      </c>
      <c r="U1288" s="56" t="s">
        <v>3186</v>
      </c>
      <c r="V1288" s="56" t="s">
        <v>3193</v>
      </c>
      <c r="W1288" s="56" t="s">
        <v>3194</v>
      </c>
    </row>
    <row r="1289" spans="9:23" x14ac:dyDescent="0.3">
      <c r="I1289" s="56" t="s">
        <v>37</v>
      </c>
      <c r="J1289" s="56" t="s">
        <v>38</v>
      </c>
      <c r="K1289" s="56" t="s">
        <v>26</v>
      </c>
      <c r="T1289" s="56">
        <v>8519345.1799999997</v>
      </c>
      <c r="U1289" s="56" t="s">
        <v>3999</v>
      </c>
      <c r="V1289" s="56" t="s">
        <v>4006</v>
      </c>
      <c r="W1289" s="56" t="s">
        <v>4007</v>
      </c>
    </row>
    <row r="1290" spans="9:23" x14ac:dyDescent="0.3">
      <c r="I1290" s="56" t="s">
        <v>37</v>
      </c>
      <c r="J1290" s="56" t="s">
        <v>38</v>
      </c>
      <c r="K1290" s="56" t="s">
        <v>26</v>
      </c>
      <c r="L1290" s="56">
        <v>16038201.77</v>
      </c>
      <c r="M1290" s="56">
        <v>0.64152807080000007</v>
      </c>
      <c r="T1290" s="56">
        <v>16038201.77</v>
      </c>
      <c r="U1290" s="56" t="s">
        <v>4014</v>
      </c>
      <c r="V1290" s="56" t="s">
        <v>4032</v>
      </c>
      <c r="W1290" s="56" t="s">
        <v>4033</v>
      </c>
    </row>
    <row r="1291" spans="9:23" x14ac:dyDescent="0.3">
      <c r="I1291" s="56" t="s">
        <v>37</v>
      </c>
      <c r="J1291" s="56" t="s">
        <v>38</v>
      </c>
      <c r="K1291" s="56" t="s">
        <v>39</v>
      </c>
      <c r="L1291" s="56">
        <v>6000000</v>
      </c>
      <c r="M1291" s="56">
        <v>1</v>
      </c>
      <c r="T1291" s="56">
        <v>6000000</v>
      </c>
      <c r="U1291" s="56" t="s">
        <v>5751</v>
      </c>
      <c r="V1291" s="56" t="s">
        <v>5754</v>
      </c>
      <c r="W1291" s="56" t="s">
        <v>5755</v>
      </c>
    </row>
    <row r="1292" spans="9:23" x14ac:dyDescent="0.3">
      <c r="I1292" s="56" t="s">
        <v>37</v>
      </c>
      <c r="J1292" s="56" t="s">
        <v>38</v>
      </c>
      <c r="K1292" s="56" t="s">
        <v>39</v>
      </c>
      <c r="T1292" s="56">
        <v>2737148.79</v>
      </c>
      <c r="U1292" s="56" t="s">
        <v>2921</v>
      </c>
      <c r="V1292" s="56" t="s">
        <v>2922</v>
      </c>
      <c r="W1292" s="56" t="s">
        <v>2923</v>
      </c>
    </row>
    <row r="1293" spans="9:23" x14ac:dyDescent="0.3">
      <c r="I1293" s="56" t="s">
        <v>37</v>
      </c>
      <c r="J1293" s="56" t="s">
        <v>38</v>
      </c>
      <c r="K1293" s="56" t="s">
        <v>39</v>
      </c>
      <c r="L1293" s="56">
        <v>4875346.83</v>
      </c>
      <c r="M1293" s="56">
        <v>0.23131135239478465</v>
      </c>
      <c r="T1293" s="56">
        <v>4875346.83</v>
      </c>
      <c r="U1293" s="56" t="s">
        <v>929</v>
      </c>
      <c r="V1293" s="56" t="s">
        <v>944</v>
      </c>
      <c r="W1293" s="56" t="s">
        <v>945</v>
      </c>
    </row>
    <row r="1294" spans="9:23" x14ac:dyDescent="0.3">
      <c r="I1294" s="56" t="s">
        <v>37</v>
      </c>
      <c r="J1294" s="56" t="s">
        <v>38</v>
      </c>
      <c r="K1294" s="56" t="s">
        <v>39</v>
      </c>
      <c r="L1294" s="56">
        <v>3215479.8</v>
      </c>
      <c r="M1294" s="56">
        <v>0.20096748750000001</v>
      </c>
      <c r="N1294" s="56">
        <v>3215479.8</v>
      </c>
      <c r="O1294" s="56">
        <v>0.20096748750000001</v>
      </c>
      <c r="T1294" s="56">
        <v>3215479.8</v>
      </c>
      <c r="U1294" s="56" t="s">
        <v>3373</v>
      </c>
      <c r="V1294" s="56" t="s">
        <v>3375</v>
      </c>
      <c r="W1294" s="56" t="s">
        <v>3376</v>
      </c>
    </row>
    <row r="1295" spans="9:23" x14ac:dyDescent="0.3">
      <c r="I1295" s="56" t="s">
        <v>37</v>
      </c>
      <c r="J1295" s="56" t="s">
        <v>38</v>
      </c>
      <c r="K1295" s="56" t="s">
        <v>39</v>
      </c>
      <c r="L1295" s="56">
        <v>19183663.18</v>
      </c>
      <c r="M1295" s="56">
        <v>0.95918315899999995</v>
      </c>
      <c r="T1295" s="56">
        <v>19183663.18</v>
      </c>
      <c r="U1295" s="56" t="s">
        <v>1437</v>
      </c>
      <c r="V1295" s="56" t="s">
        <v>1438</v>
      </c>
      <c r="W1295" s="56" t="s">
        <v>1439</v>
      </c>
    </row>
    <row r="1296" spans="9:23" x14ac:dyDescent="0.3">
      <c r="I1296" s="56" t="s">
        <v>37</v>
      </c>
      <c r="J1296" s="56" t="s">
        <v>38</v>
      </c>
      <c r="K1296" s="56" t="s">
        <v>39</v>
      </c>
      <c r="T1296" s="56">
        <v>11589635.189999999</v>
      </c>
      <c r="U1296" s="56" t="s">
        <v>1411</v>
      </c>
      <c r="V1296" s="56" t="s">
        <v>1412</v>
      </c>
      <c r="W1296" s="56" t="s">
        <v>1413</v>
      </c>
    </row>
    <row r="1297" spans="9:23" x14ac:dyDescent="0.3">
      <c r="I1297" s="56" t="s">
        <v>37</v>
      </c>
      <c r="J1297" s="56" t="s">
        <v>38</v>
      </c>
      <c r="K1297" s="56" t="s">
        <v>39</v>
      </c>
      <c r="T1297" s="56">
        <v>9353338.1099999994</v>
      </c>
      <c r="U1297" s="56" t="s">
        <v>5564</v>
      </c>
      <c r="V1297" s="56" t="s">
        <v>5568</v>
      </c>
      <c r="W1297" s="56" t="s">
        <v>5569</v>
      </c>
    </row>
    <row r="1298" spans="9:23" x14ac:dyDescent="0.3">
      <c r="I1298" s="56" t="s">
        <v>37</v>
      </c>
      <c r="J1298" s="56" t="s">
        <v>38</v>
      </c>
      <c r="K1298" s="56" t="s">
        <v>39</v>
      </c>
      <c r="T1298" s="56">
        <v>5329134.6500000004</v>
      </c>
      <c r="U1298" s="56" t="s">
        <v>2102</v>
      </c>
      <c r="V1298" s="56" t="s">
        <v>2106</v>
      </c>
      <c r="W1298" s="56" t="s">
        <v>2107</v>
      </c>
    </row>
    <row r="1299" spans="9:23" x14ac:dyDescent="0.3">
      <c r="I1299" s="56" t="s">
        <v>37</v>
      </c>
      <c r="J1299" s="56" t="s">
        <v>38</v>
      </c>
      <c r="K1299" s="56" t="s">
        <v>39</v>
      </c>
      <c r="T1299" s="56">
        <v>16799798.390000001</v>
      </c>
      <c r="U1299" s="56" t="s">
        <v>4650</v>
      </c>
      <c r="V1299" s="56" t="s">
        <v>4653</v>
      </c>
      <c r="W1299" s="56" t="s">
        <v>4654</v>
      </c>
    </row>
    <row r="1300" spans="9:23" x14ac:dyDescent="0.3">
      <c r="I1300" s="56" t="s">
        <v>37</v>
      </c>
      <c r="J1300" s="56" t="s">
        <v>38</v>
      </c>
      <c r="K1300" s="56" t="s">
        <v>39</v>
      </c>
      <c r="T1300" s="56">
        <v>16269963.73</v>
      </c>
      <c r="U1300" s="56" t="s">
        <v>4331</v>
      </c>
      <c r="V1300" s="56" t="s">
        <v>4333</v>
      </c>
      <c r="W1300" s="56" t="s">
        <v>4334</v>
      </c>
    </row>
    <row r="1301" spans="9:23" x14ac:dyDescent="0.3">
      <c r="I1301" s="56" t="s">
        <v>37</v>
      </c>
      <c r="J1301" s="56" t="s">
        <v>38</v>
      </c>
      <c r="K1301" s="56" t="s">
        <v>39</v>
      </c>
      <c r="T1301" s="56">
        <v>11720378.470000001</v>
      </c>
      <c r="U1301" s="56" t="s">
        <v>5333</v>
      </c>
      <c r="V1301" s="56" t="s">
        <v>5344</v>
      </c>
      <c r="W1301" s="56" t="s">
        <v>5345</v>
      </c>
    </row>
    <row r="1302" spans="9:23" x14ac:dyDescent="0.3">
      <c r="I1302" s="56" t="s">
        <v>37</v>
      </c>
      <c r="J1302" s="56" t="s">
        <v>38</v>
      </c>
      <c r="K1302" s="56" t="s">
        <v>39</v>
      </c>
      <c r="L1302" s="56">
        <v>5756806.8799999999</v>
      </c>
      <c r="M1302" s="56">
        <v>0.28784034400000003</v>
      </c>
      <c r="T1302" s="56">
        <v>5756806.8799999999</v>
      </c>
      <c r="U1302" s="56" t="s">
        <v>2574</v>
      </c>
      <c r="V1302" s="56" t="s">
        <v>2583</v>
      </c>
      <c r="W1302" s="56" t="s">
        <v>2584</v>
      </c>
    </row>
    <row r="1303" spans="9:23" x14ac:dyDescent="0.3">
      <c r="I1303" s="56" t="s">
        <v>37</v>
      </c>
      <c r="J1303" s="56" t="s">
        <v>38</v>
      </c>
      <c r="K1303" s="56" t="s">
        <v>39</v>
      </c>
      <c r="T1303" s="56">
        <v>4935021.6500000004</v>
      </c>
      <c r="U1303" s="56" t="s">
        <v>1775</v>
      </c>
      <c r="V1303" s="56" t="s">
        <v>1776</v>
      </c>
      <c r="W1303" s="56" t="s">
        <v>1777</v>
      </c>
    </row>
    <row r="1304" spans="9:23" x14ac:dyDescent="0.3">
      <c r="I1304" s="56" t="s">
        <v>37</v>
      </c>
      <c r="J1304" s="56" t="s">
        <v>38</v>
      </c>
      <c r="K1304" s="56" t="s">
        <v>39</v>
      </c>
      <c r="T1304" s="56">
        <v>1540023.76</v>
      </c>
      <c r="U1304" s="56" t="s">
        <v>2518</v>
      </c>
      <c r="V1304" s="56" t="s">
        <v>2519</v>
      </c>
      <c r="W1304" s="56" t="s">
        <v>2520</v>
      </c>
    </row>
    <row r="1305" spans="9:23" x14ac:dyDescent="0.3">
      <c r="I1305" s="56" t="s">
        <v>37</v>
      </c>
      <c r="J1305" s="56" t="s">
        <v>38</v>
      </c>
      <c r="K1305" s="56" t="s">
        <v>39</v>
      </c>
      <c r="T1305" s="56">
        <v>7323820.7699999996</v>
      </c>
      <c r="U1305" s="56" t="s">
        <v>2591</v>
      </c>
      <c r="V1305" s="56" t="s">
        <v>2597</v>
      </c>
      <c r="W1305" s="56" t="s">
        <v>2598</v>
      </c>
    </row>
    <row r="1306" spans="9:23" x14ac:dyDescent="0.3">
      <c r="I1306" s="56" t="s">
        <v>37</v>
      </c>
      <c r="J1306" s="56" t="s">
        <v>38</v>
      </c>
      <c r="K1306" s="56" t="s">
        <v>39</v>
      </c>
      <c r="T1306" s="56">
        <v>2525727.4500000002</v>
      </c>
      <c r="U1306" s="56" t="s">
        <v>2779</v>
      </c>
      <c r="V1306" s="56" t="s">
        <v>2783</v>
      </c>
      <c r="W1306" s="56" t="s">
        <v>2784</v>
      </c>
    </row>
    <row r="1307" spans="9:23" x14ac:dyDescent="0.3">
      <c r="I1307" s="56" t="s">
        <v>37</v>
      </c>
      <c r="J1307" s="56" t="s">
        <v>38</v>
      </c>
      <c r="K1307" s="56" t="s">
        <v>39</v>
      </c>
      <c r="T1307" s="56">
        <v>2268779.64</v>
      </c>
      <c r="U1307" s="56" t="s">
        <v>3800</v>
      </c>
      <c r="V1307" s="56" t="s">
        <v>3805</v>
      </c>
      <c r="W1307" s="56" t="s">
        <v>3806</v>
      </c>
    </row>
    <row r="1308" spans="9:23" x14ac:dyDescent="0.3">
      <c r="I1308" s="56" t="s">
        <v>37</v>
      </c>
      <c r="J1308" s="56" t="s">
        <v>38</v>
      </c>
      <c r="K1308" s="56" t="s">
        <v>39</v>
      </c>
      <c r="T1308" s="56">
        <v>10493496.77</v>
      </c>
      <c r="U1308" s="56" t="s">
        <v>3810</v>
      </c>
      <c r="V1308" s="56" t="s">
        <v>3816</v>
      </c>
      <c r="W1308" s="56" t="s">
        <v>3817</v>
      </c>
    </row>
    <row r="1309" spans="9:23" x14ac:dyDescent="0.3">
      <c r="I1309" s="56" t="s">
        <v>37</v>
      </c>
      <c r="J1309" s="56" t="s">
        <v>38</v>
      </c>
      <c r="K1309" s="56" t="s">
        <v>39</v>
      </c>
      <c r="L1309" s="56">
        <v>290162</v>
      </c>
      <c r="M1309" s="56">
        <v>0.14508099999999999</v>
      </c>
      <c r="N1309" s="56">
        <v>290162</v>
      </c>
      <c r="O1309" s="56">
        <v>0.14508099999999999</v>
      </c>
      <c r="T1309" s="56">
        <v>290162</v>
      </c>
      <c r="U1309" s="56" t="s">
        <v>3982</v>
      </c>
      <c r="V1309" s="56" t="s">
        <v>3983</v>
      </c>
      <c r="W1309" s="56" t="s">
        <v>3984</v>
      </c>
    </row>
    <row r="1310" spans="9:23" x14ac:dyDescent="0.3">
      <c r="I1310" s="56" t="s">
        <v>37</v>
      </c>
      <c r="J1310" s="56" t="s">
        <v>38</v>
      </c>
      <c r="K1310" s="56" t="s">
        <v>39</v>
      </c>
      <c r="L1310" s="56">
        <v>8601773.2799999993</v>
      </c>
      <c r="M1310" s="56">
        <v>0.66167486769230777</v>
      </c>
      <c r="N1310" s="56">
        <v>8601773.2799999993</v>
      </c>
      <c r="O1310" s="56">
        <v>0.66167486769230777</v>
      </c>
      <c r="T1310" s="56">
        <v>8601773.2799999993</v>
      </c>
      <c r="U1310" s="56" t="s">
        <v>4109</v>
      </c>
      <c r="V1310" s="56" t="s">
        <v>4118</v>
      </c>
      <c r="W1310" s="56" t="s">
        <v>4119</v>
      </c>
    </row>
    <row r="1311" spans="9:23" x14ac:dyDescent="0.3">
      <c r="I1311" s="56" t="s">
        <v>37</v>
      </c>
      <c r="J1311" s="56" t="s">
        <v>38</v>
      </c>
      <c r="K1311" s="56" t="s">
        <v>39</v>
      </c>
      <c r="T1311" s="56">
        <v>9693450.7899999991</v>
      </c>
      <c r="U1311" s="56" t="s">
        <v>4886</v>
      </c>
      <c r="V1311" s="56" t="s">
        <v>4894</v>
      </c>
      <c r="W1311" s="56" t="s">
        <v>4895</v>
      </c>
    </row>
    <row r="1312" spans="9:23" x14ac:dyDescent="0.3">
      <c r="I1312" s="56" t="s">
        <v>37</v>
      </c>
      <c r="J1312" s="56" t="s">
        <v>38</v>
      </c>
      <c r="K1312" s="56" t="s">
        <v>39</v>
      </c>
      <c r="T1312" s="56">
        <v>2925906.77</v>
      </c>
      <c r="U1312" s="56" t="s">
        <v>5355</v>
      </c>
      <c r="V1312" s="56" t="s">
        <v>5361</v>
      </c>
      <c r="W1312" s="56" t="s">
        <v>5362</v>
      </c>
    </row>
    <row r="1313" spans="9:23" x14ac:dyDescent="0.3">
      <c r="I1313" s="56" t="s">
        <v>37</v>
      </c>
      <c r="J1313" s="56" t="s">
        <v>38</v>
      </c>
      <c r="K1313" s="56" t="s">
        <v>39</v>
      </c>
      <c r="T1313" s="56">
        <v>17000000</v>
      </c>
      <c r="U1313" s="56" t="s">
        <v>5973</v>
      </c>
      <c r="V1313" s="56" t="s">
        <v>5983</v>
      </c>
      <c r="W1313" s="56" t="s">
        <v>5984</v>
      </c>
    </row>
    <row r="1314" spans="9:23" x14ac:dyDescent="0.3">
      <c r="I1314" s="56" t="s">
        <v>37</v>
      </c>
      <c r="J1314" s="56" t="s">
        <v>2192</v>
      </c>
      <c r="K1314" s="56" t="s">
        <v>26</v>
      </c>
      <c r="L1314" s="56">
        <v>4501411.18</v>
      </c>
      <c r="M1314" s="56">
        <v>0.29041362451612901</v>
      </c>
      <c r="T1314" s="56">
        <v>4501411.18</v>
      </c>
      <c r="U1314" s="56" t="s">
        <v>2540</v>
      </c>
      <c r="V1314" s="56" t="s">
        <v>2545</v>
      </c>
      <c r="W1314" s="56" t="s">
        <v>2546</v>
      </c>
    </row>
    <row r="1315" spans="9:23" x14ac:dyDescent="0.3">
      <c r="I1315" s="56" t="s">
        <v>37</v>
      </c>
      <c r="J1315" s="56" t="s">
        <v>26</v>
      </c>
      <c r="K1315" s="56" t="s">
        <v>26</v>
      </c>
      <c r="L1315" s="56">
        <v>15219031</v>
      </c>
      <c r="M1315" s="56">
        <v>0.38047577500000002</v>
      </c>
      <c r="N1315" s="56">
        <v>15219031</v>
      </c>
      <c r="O1315" s="56">
        <v>0.38047577500000002</v>
      </c>
      <c r="T1315" s="56">
        <v>15219031</v>
      </c>
      <c r="U1315" s="56" t="s">
        <v>1024</v>
      </c>
      <c r="V1315" s="56" t="s">
        <v>2332</v>
      </c>
      <c r="W1315" s="56" t="s">
        <v>2333</v>
      </c>
    </row>
    <row r="1316" spans="9:23" x14ac:dyDescent="0.3">
      <c r="I1316" s="56" t="s">
        <v>37</v>
      </c>
      <c r="J1316" s="56" t="s">
        <v>26</v>
      </c>
      <c r="K1316" s="56" t="s">
        <v>26</v>
      </c>
      <c r="L1316" s="56">
        <v>11942392.939999999</v>
      </c>
      <c r="M1316" s="56">
        <v>0.59711964699999998</v>
      </c>
      <c r="T1316" s="56">
        <v>11942392.939999999</v>
      </c>
      <c r="U1316" s="56" t="s">
        <v>3160</v>
      </c>
      <c r="V1316" s="56" t="s">
        <v>3162</v>
      </c>
      <c r="W1316" s="56" t="s">
        <v>3163</v>
      </c>
    </row>
    <row r="1317" spans="9:23" x14ac:dyDescent="0.3">
      <c r="I1317" s="56" t="s">
        <v>37</v>
      </c>
      <c r="J1317" s="56" t="s">
        <v>26</v>
      </c>
      <c r="K1317" s="56" t="s">
        <v>26</v>
      </c>
      <c r="T1317" s="56">
        <v>1026841.7</v>
      </c>
      <c r="U1317" s="56" t="s">
        <v>3782</v>
      </c>
      <c r="V1317" s="56" t="s">
        <v>3786</v>
      </c>
      <c r="W1317" s="56" t="s">
        <v>3787</v>
      </c>
    </row>
    <row r="1318" spans="9:23" x14ac:dyDescent="0.3">
      <c r="I1318" s="56" t="s">
        <v>37</v>
      </c>
      <c r="J1318" s="56" t="s">
        <v>288</v>
      </c>
      <c r="K1318" s="56" t="s">
        <v>1829</v>
      </c>
      <c r="L1318" s="56">
        <v>16561238.32</v>
      </c>
      <c r="M1318" s="56">
        <v>0.5520412773333333</v>
      </c>
      <c r="T1318" s="56">
        <v>16561238.32</v>
      </c>
      <c r="U1318" s="56" t="s">
        <v>4531</v>
      </c>
      <c r="V1318" s="56" t="s">
        <v>4532</v>
      </c>
      <c r="W1318" s="56" t="s">
        <v>4533</v>
      </c>
    </row>
    <row r="1319" spans="9:23" x14ac:dyDescent="0.3">
      <c r="I1319" s="56" t="s">
        <v>37</v>
      </c>
      <c r="J1319" s="56" t="s">
        <v>288</v>
      </c>
      <c r="K1319" s="56" t="s">
        <v>1829</v>
      </c>
      <c r="L1319" s="56">
        <v>33350739.02</v>
      </c>
      <c r="M1319" s="56">
        <v>0.83455838501141333</v>
      </c>
      <c r="N1319" s="56">
        <v>33350739.02</v>
      </c>
      <c r="O1319" s="56">
        <v>0.83455838501141333</v>
      </c>
      <c r="T1319" s="56">
        <v>33350739.02</v>
      </c>
      <c r="U1319" s="56" t="s">
        <v>2307</v>
      </c>
      <c r="V1319" s="56" t="s">
        <v>2313</v>
      </c>
      <c r="W1319" s="56" t="s">
        <v>2314</v>
      </c>
    </row>
    <row r="1320" spans="9:23" x14ac:dyDescent="0.3">
      <c r="I1320" s="56" t="s">
        <v>37</v>
      </c>
      <c r="J1320" s="56" t="s">
        <v>288</v>
      </c>
      <c r="K1320" s="56" t="s">
        <v>1829</v>
      </c>
      <c r="L1320" s="56">
        <v>19059430.239999998</v>
      </c>
      <c r="M1320" s="56">
        <v>0.42354289422222224</v>
      </c>
      <c r="T1320" s="56">
        <v>19059430.239999998</v>
      </c>
      <c r="U1320" s="56" t="s">
        <v>2325</v>
      </c>
      <c r="V1320" s="56" t="s">
        <v>2329</v>
      </c>
      <c r="W1320" s="56" t="s">
        <v>2330</v>
      </c>
    </row>
    <row r="1321" spans="9:23" x14ac:dyDescent="0.3">
      <c r="I1321" s="56" t="s">
        <v>37</v>
      </c>
      <c r="J1321" s="56" t="s">
        <v>288</v>
      </c>
      <c r="K1321" s="56" t="s">
        <v>1829</v>
      </c>
      <c r="L1321" s="56">
        <v>33157684.32</v>
      </c>
      <c r="M1321" s="56">
        <v>0.72081922434782608</v>
      </c>
      <c r="N1321" s="56">
        <v>33157684.32</v>
      </c>
      <c r="O1321" s="56">
        <v>0.72081922434782608</v>
      </c>
      <c r="P1321" s="56">
        <v>33157684.32</v>
      </c>
      <c r="Q1321" s="56">
        <v>0.72081922434782608</v>
      </c>
      <c r="R1321" s="56">
        <v>33157684.32</v>
      </c>
      <c r="S1321" s="56">
        <v>0.72081922434782608</v>
      </c>
      <c r="T1321" s="56">
        <v>33157684.32</v>
      </c>
      <c r="U1321" s="56" t="s">
        <v>2381</v>
      </c>
      <c r="V1321" s="56" t="s">
        <v>2394</v>
      </c>
      <c r="W1321" s="56" t="s">
        <v>2395</v>
      </c>
    </row>
    <row r="1322" spans="9:23" x14ac:dyDescent="0.3">
      <c r="I1322" s="56" t="s">
        <v>37</v>
      </c>
      <c r="J1322" s="56" t="s">
        <v>288</v>
      </c>
      <c r="K1322" s="56" t="s">
        <v>1829</v>
      </c>
      <c r="T1322" s="56">
        <v>1049437.17</v>
      </c>
      <c r="U1322" s="56" t="s">
        <v>3695</v>
      </c>
      <c r="V1322" s="56" t="s">
        <v>3697</v>
      </c>
      <c r="W1322" s="56" t="s">
        <v>3698</v>
      </c>
    </row>
    <row r="1323" spans="9:23" x14ac:dyDescent="0.3">
      <c r="I1323" s="56" t="s">
        <v>37</v>
      </c>
      <c r="J1323" s="56" t="s">
        <v>288</v>
      </c>
      <c r="K1323" s="56" t="s">
        <v>1829</v>
      </c>
      <c r="T1323" s="56">
        <v>6330057.1299999999</v>
      </c>
      <c r="U1323" s="56" t="s">
        <v>5254</v>
      </c>
      <c r="V1323" s="56" t="s">
        <v>5261</v>
      </c>
      <c r="W1323" s="56" t="s">
        <v>5262</v>
      </c>
    </row>
    <row r="1324" spans="9:23" x14ac:dyDescent="0.3">
      <c r="I1324" s="56" t="s">
        <v>37</v>
      </c>
      <c r="J1324" s="56" t="s">
        <v>288</v>
      </c>
      <c r="K1324" s="56" t="s">
        <v>1829</v>
      </c>
      <c r="L1324" s="56">
        <v>8289990.04</v>
      </c>
      <c r="M1324" s="56">
        <v>0.29607107285714285</v>
      </c>
      <c r="T1324" s="56">
        <v>8289990.04</v>
      </c>
      <c r="U1324" s="56" t="s">
        <v>3829</v>
      </c>
      <c r="V1324" s="56" t="s">
        <v>3830</v>
      </c>
      <c r="W1324" s="56" t="s">
        <v>3831</v>
      </c>
    </row>
    <row r="1325" spans="9:23" x14ac:dyDescent="0.3">
      <c r="I1325" s="56" t="s">
        <v>37</v>
      </c>
      <c r="J1325" s="56" t="s">
        <v>288</v>
      </c>
      <c r="K1325" s="56" t="s">
        <v>1313</v>
      </c>
      <c r="L1325" s="56">
        <v>36148514.509999998</v>
      </c>
      <c r="M1325" s="56">
        <v>0.72297029020000003</v>
      </c>
      <c r="N1325" s="56">
        <v>36148514.509999998</v>
      </c>
      <c r="O1325" s="56">
        <v>0.72297029020000003</v>
      </c>
      <c r="T1325" s="56">
        <v>36148514.509999998</v>
      </c>
      <c r="U1325" s="56" t="s">
        <v>390</v>
      </c>
      <c r="V1325" s="56" t="s">
        <v>393</v>
      </c>
      <c r="W1325" s="56" t="s">
        <v>394</v>
      </c>
    </row>
    <row r="1326" spans="9:23" x14ac:dyDescent="0.3">
      <c r="I1326" s="56" t="s">
        <v>37</v>
      </c>
      <c r="J1326" s="56" t="s">
        <v>288</v>
      </c>
      <c r="K1326" s="56" t="s">
        <v>1313</v>
      </c>
      <c r="T1326" s="56">
        <v>3844623.11</v>
      </c>
      <c r="U1326" s="56" t="s">
        <v>685</v>
      </c>
      <c r="V1326" s="56" t="s">
        <v>1760</v>
      </c>
      <c r="W1326" s="56" t="s">
        <v>1761</v>
      </c>
    </row>
    <row r="1327" spans="9:23" x14ac:dyDescent="0.3">
      <c r="I1327" s="56" t="s">
        <v>37</v>
      </c>
      <c r="J1327" s="56" t="s">
        <v>288</v>
      </c>
      <c r="K1327" s="56" t="s">
        <v>1313</v>
      </c>
      <c r="T1327" s="56">
        <v>35474895.289999999</v>
      </c>
      <c r="U1327" s="56" t="s">
        <v>690</v>
      </c>
      <c r="V1327" s="56" t="s">
        <v>691</v>
      </c>
      <c r="W1327" s="56" t="s">
        <v>692</v>
      </c>
    </row>
    <row r="1328" spans="9:23" x14ac:dyDescent="0.3">
      <c r="I1328" s="56" t="s">
        <v>37</v>
      </c>
      <c r="J1328" s="56" t="s">
        <v>288</v>
      </c>
      <c r="K1328" s="56" t="s">
        <v>1313</v>
      </c>
      <c r="L1328" s="56">
        <v>36108753.939999998</v>
      </c>
      <c r="M1328" s="56">
        <v>0.80241675422222225</v>
      </c>
      <c r="N1328" s="56">
        <v>36108753.939999998</v>
      </c>
      <c r="O1328" s="56">
        <v>0.80241675422222225</v>
      </c>
      <c r="T1328" s="56">
        <v>36108753.939999998</v>
      </c>
      <c r="U1328" s="56" t="s">
        <v>747</v>
      </c>
      <c r="V1328" s="56" t="s">
        <v>751</v>
      </c>
      <c r="W1328" s="56" t="s">
        <v>752</v>
      </c>
    </row>
    <row r="1329" spans="9:23" x14ac:dyDescent="0.3">
      <c r="I1329" s="56" t="s">
        <v>37</v>
      </c>
      <c r="J1329" s="56" t="s">
        <v>288</v>
      </c>
      <c r="K1329" s="56" t="s">
        <v>1313</v>
      </c>
      <c r="L1329" s="56">
        <v>2682654.79</v>
      </c>
      <c r="M1329" s="56">
        <v>0.1073061916</v>
      </c>
      <c r="N1329" s="56">
        <v>2682654.79</v>
      </c>
      <c r="O1329" s="56">
        <v>0.1073061916</v>
      </c>
      <c r="P1329" s="56">
        <v>2682654.79</v>
      </c>
      <c r="Q1329" s="56">
        <v>0.1073061916</v>
      </c>
      <c r="T1329" s="56">
        <v>2682654.79</v>
      </c>
      <c r="U1329" s="56" t="s">
        <v>1309</v>
      </c>
      <c r="V1329" s="56" t="s">
        <v>1310</v>
      </c>
      <c r="W1329" s="56" t="s">
        <v>1311</v>
      </c>
    </row>
    <row r="1330" spans="9:23" x14ac:dyDescent="0.3">
      <c r="I1330" s="56" t="s">
        <v>37</v>
      </c>
      <c r="J1330" s="56" t="s">
        <v>288</v>
      </c>
      <c r="K1330" s="56" t="s">
        <v>1313</v>
      </c>
      <c r="L1330" s="56">
        <v>4804821.63</v>
      </c>
      <c r="M1330" s="56">
        <v>0.40040180249999996</v>
      </c>
      <c r="N1330" s="56">
        <v>4804821.63</v>
      </c>
      <c r="O1330" s="56">
        <v>0.40040180249999996</v>
      </c>
      <c r="P1330" s="56">
        <v>4804821.63</v>
      </c>
      <c r="Q1330" s="56">
        <v>0.40040180249999996</v>
      </c>
      <c r="T1330" s="56">
        <v>4804821.63</v>
      </c>
      <c r="U1330" s="56" t="s">
        <v>2439</v>
      </c>
      <c r="V1330" s="56" t="s">
        <v>2440</v>
      </c>
      <c r="W1330" s="56" t="s">
        <v>2441</v>
      </c>
    </row>
    <row r="1331" spans="9:23" x14ac:dyDescent="0.3">
      <c r="I1331" s="56" t="s">
        <v>37</v>
      </c>
      <c r="J1331" s="56" t="s">
        <v>288</v>
      </c>
      <c r="K1331" s="56" t="s">
        <v>1313</v>
      </c>
      <c r="T1331" s="56">
        <v>11051749.84</v>
      </c>
      <c r="U1331" s="56" t="s">
        <v>4877</v>
      </c>
      <c r="V1331" s="56" t="s">
        <v>4878</v>
      </c>
      <c r="W1331" s="56" t="s">
        <v>4879</v>
      </c>
    </row>
    <row r="1332" spans="9:23" x14ac:dyDescent="0.3">
      <c r="I1332" s="56" t="s">
        <v>37</v>
      </c>
      <c r="J1332" s="56" t="s">
        <v>288</v>
      </c>
      <c r="K1332" s="56" t="s">
        <v>1313</v>
      </c>
      <c r="T1332" s="56">
        <v>26196411.280000001</v>
      </c>
      <c r="U1332" s="56" t="s">
        <v>4769</v>
      </c>
      <c r="V1332" s="56" t="s">
        <v>4773</v>
      </c>
      <c r="W1332" s="56" t="s">
        <v>4774</v>
      </c>
    </row>
    <row r="1333" spans="9:23" x14ac:dyDescent="0.3">
      <c r="I1333" s="56" t="s">
        <v>37</v>
      </c>
      <c r="J1333" s="56" t="s">
        <v>288</v>
      </c>
      <c r="K1333" s="56" t="s">
        <v>1313</v>
      </c>
      <c r="L1333" s="56">
        <v>1249144.06</v>
      </c>
      <c r="M1333" s="56">
        <v>0.15614300750000001</v>
      </c>
      <c r="T1333" s="56">
        <v>1249144.06</v>
      </c>
      <c r="U1333" s="56" t="s">
        <v>2492</v>
      </c>
      <c r="V1333" s="56" t="s">
        <v>2499</v>
      </c>
      <c r="W1333" s="56" t="s">
        <v>2500</v>
      </c>
    </row>
    <row r="1334" spans="9:23" x14ac:dyDescent="0.3">
      <c r="I1334" s="56" t="s">
        <v>37</v>
      </c>
      <c r="J1334" s="56" t="s">
        <v>288</v>
      </c>
      <c r="K1334" s="56" t="s">
        <v>1313</v>
      </c>
      <c r="L1334" s="56">
        <v>3807535.71</v>
      </c>
      <c r="M1334" s="56">
        <v>0.25215468278145697</v>
      </c>
      <c r="N1334" s="56">
        <v>3807535.71</v>
      </c>
      <c r="O1334" s="56">
        <v>0.25215468278145697</v>
      </c>
      <c r="T1334" s="56">
        <v>3807535.71</v>
      </c>
      <c r="U1334" s="56" t="s">
        <v>2867</v>
      </c>
      <c r="V1334" s="56" t="s">
        <v>2870</v>
      </c>
      <c r="W1334" s="56" t="s">
        <v>2871</v>
      </c>
    </row>
    <row r="1335" spans="9:23" x14ac:dyDescent="0.3">
      <c r="I1335" s="56" t="s">
        <v>37</v>
      </c>
      <c r="J1335" s="56" t="s">
        <v>288</v>
      </c>
      <c r="K1335" s="56" t="s">
        <v>26</v>
      </c>
      <c r="T1335" s="56">
        <v>53223768.729999997</v>
      </c>
      <c r="U1335" s="56" t="s">
        <v>1443</v>
      </c>
      <c r="V1335" s="56" t="s">
        <v>1451</v>
      </c>
      <c r="W1335" s="56" t="s">
        <v>1452</v>
      </c>
    </row>
    <row r="1336" spans="9:23" x14ac:dyDescent="0.3">
      <c r="I1336" s="56" t="s">
        <v>37</v>
      </c>
      <c r="J1336" s="56" t="s">
        <v>288</v>
      </c>
      <c r="K1336" s="56" t="s">
        <v>26</v>
      </c>
      <c r="L1336" s="56">
        <v>21978832.079999998</v>
      </c>
      <c r="M1336" s="56">
        <v>0.62796663085714288</v>
      </c>
      <c r="T1336" s="56">
        <v>21978832.079999998</v>
      </c>
      <c r="U1336" s="56" t="s">
        <v>1446</v>
      </c>
      <c r="V1336" s="56" t="s">
        <v>1476</v>
      </c>
      <c r="W1336" s="56" t="s">
        <v>1477</v>
      </c>
    </row>
    <row r="1337" spans="9:23" x14ac:dyDescent="0.3">
      <c r="I1337" s="56" t="s">
        <v>37</v>
      </c>
      <c r="J1337" s="56" t="s">
        <v>288</v>
      </c>
      <c r="K1337" s="56" t="s">
        <v>26</v>
      </c>
      <c r="L1337" s="56">
        <v>17027218.030000001</v>
      </c>
      <c r="M1337" s="56">
        <v>0.56757393433333336</v>
      </c>
      <c r="N1337" s="56">
        <v>17027218.030000001</v>
      </c>
      <c r="O1337" s="56">
        <v>0.56757393433333336</v>
      </c>
      <c r="T1337" s="56">
        <v>17027218.030000001</v>
      </c>
      <c r="U1337" s="56" t="s">
        <v>2553</v>
      </c>
      <c r="V1337" s="56" t="s">
        <v>2562</v>
      </c>
      <c r="W1337" s="56" t="s">
        <v>2563</v>
      </c>
    </row>
    <row r="1338" spans="9:23" x14ac:dyDescent="0.3">
      <c r="I1338" s="56" t="s">
        <v>37</v>
      </c>
      <c r="J1338" s="56" t="s">
        <v>288</v>
      </c>
      <c r="K1338" s="56" t="s">
        <v>26</v>
      </c>
      <c r="T1338" s="56">
        <v>2336562.5299999998</v>
      </c>
      <c r="U1338" s="56" t="s">
        <v>2348</v>
      </c>
      <c r="V1338" s="56" t="s">
        <v>2357</v>
      </c>
      <c r="W1338" s="56" t="s">
        <v>2358</v>
      </c>
    </row>
    <row r="1339" spans="9:23" x14ac:dyDescent="0.3">
      <c r="I1339" s="56" t="s">
        <v>37</v>
      </c>
      <c r="J1339" s="56" t="s">
        <v>288</v>
      </c>
      <c r="K1339" s="56" t="s">
        <v>26</v>
      </c>
      <c r="L1339" s="56">
        <v>20712135.02</v>
      </c>
      <c r="M1339" s="56">
        <v>0.5917752862857143</v>
      </c>
      <c r="T1339" s="56">
        <v>20712135.02</v>
      </c>
      <c r="U1339" s="56" t="s">
        <v>3991</v>
      </c>
      <c r="V1339" s="56" t="s">
        <v>3994</v>
      </c>
      <c r="W1339" s="56" t="s">
        <v>3995</v>
      </c>
    </row>
    <row r="1340" spans="9:23" x14ac:dyDescent="0.3">
      <c r="I1340" s="56" t="s">
        <v>37</v>
      </c>
      <c r="J1340" s="56" t="s">
        <v>288</v>
      </c>
      <c r="K1340" s="56" t="s">
        <v>26</v>
      </c>
      <c r="T1340" s="56">
        <v>17962403.100000001</v>
      </c>
      <c r="U1340" s="56" t="s">
        <v>5409</v>
      </c>
      <c r="V1340" s="56" t="s">
        <v>5414</v>
      </c>
      <c r="W1340" s="56" t="s">
        <v>5415</v>
      </c>
    </row>
    <row r="1341" spans="9:23" x14ac:dyDescent="0.3">
      <c r="I1341" s="56" t="s">
        <v>37</v>
      </c>
      <c r="J1341" s="56" t="s">
        <v>686</v>
      </c>
      <c r="K1341" s="56" t="s">
        <v>686</v>
      </c>
      <c r="T1341" s="56">
        <v>23328694.260000002</v>
      </c>
      <c r="U1341" s="56" t="s">
        <v>3866</v>
      </c>
      <c r="V1341" s="56" t="s">
        <v>3871</v>
      </c>
      <c r="W1341" s="56" t="s">
        <v>3872</v>
      </c>
    </row>
    <row r="1342" spans="9:23" x14ac:dyDescent="0.3">
      <c r="I1342" s="56" t="s">
        <v>37</v>
      </c>
      <c r="J1342" s="56" t="s">
        <v>686</v>
      </c>
      <c r="K1342" s="56" t="s">
        <v>686</v>
      </c>
      <c r="L1342" s="56">
        <v>32782919.98</v>
      </c>
      <c r="M1342" s="56">
        <v>0.81085914227054667</v>
      </c>
      <c r="T1342" s="56">
        <v>32782919.98</v>
      </c>
      <c r="U1342" s="56" t="s">
        <v>930</v>
      </c>
      <c r="V1342" s="56" t="s">
        <v>949</v>
      </c>
      <c r="W1342" s="56" t="s">
        <v>950</v>
      </c>
    </row>
    <row r="1343" spans="9:23" x14ac:dyDescent="0.3">
      <c r="I1343" s="56" t="s">
        <v>37</v>
      </c>
      <c r="J1343" s="56" t="s">
        <v>686</v>
      </c>
      <c r="K1343" s="56" t="s">
        <v>686</v>
      </c>
      <c r="L1343" s="56">
        <v>4816026.9000000004</v>
      </c>
      <c r="M1343" s="56">
        <v>0.31071141290322579</v>
      </c>
      <c r="T1343" s="56">
        <v>4816026.9000000004</v>
      </c>
      <c r="U1343" s="56" t="s">
        <v>1917</v>
      </c>
      <c r="V1343" s="56" t="s">
        <v>1918</v>
      </c>
      <c r="W1343" s="56" t="s">
        <v>1919</v>
      </c>
    </row>
    <row r="1344" spans="9:23" x14ac:dyDescent="0.3">
      <c r="I1344" s="56" t="s">
        <v>37</v>
      </c>
      <c r="J1344" s="56" t="s">
        <v>686</v>
      </c>
      <c r="K1344" s="56" t="s">
        <v>686</v>
      </c>
      <c r="T1344" s="56">
        <v>16931307.510000002</v>
      </c>
      <c r="U1344" s="56" t="s">
        <v>5581</v>
      </c>
      <c r="V1344" s="56" t="s">
        <v>5588</v>
      </c>
      <c r="W1344" s="56" t="s">
        <v>5589</v>
      </c>
    </row>
    <row r="1345" spans="9:23" x14ac:dyDescent="0.3">
      <c r="I1345" s="56" t="s">
        <v>37</v>
      </c>
      <c r="J1345" s="56" t="s">
        <v>686</v>
      </c>
      <c r="K1345" s="56" t="s">
        <v>686</v>
      </c>
      <c r="L1345" s="56">
        <v>5000000</v>
      </c>
      <c r="M1345" s="56">
        <v>1</v>
      </c>
      <c r="T1345" s="56">
        <v>5000000</v>
      </c>
      <c r="U1345" s="56" t="s">
        <v>5580</v>
      </c>
      <c r="V1345" s="56" t="s">
        <v>5586</v>
      </c>
      <c r="W1345" s="56" t="s">
        <v>5587</v>
      </c>
    </row>
    <row r="1346" spans="9:23" x14ac:dyDescent="0.3">
      <c r="I1346" s="56" t="s">
        <v>27</v>
      </c>
      <c r="J1346" s="56" t="s">
        <v>81</v>
      </c>
      <c r="L1346" s="56">
        <v>425686.41</v>
      </c>
      <c r="M1346" s="56">
        <v>7.0947734999999998E-2</v>
      </c>
      <c r="N1346" s="56">
        <v>425686.41</v>
      </c>
      <c r="O1346" s="56">
        <v>7.0947734999999998E-2</v>
      </c>
      <c r="P1346" s="56">
        <v>425686.41</v>
      </c>
      <c r="Q1346" s="56">
        <v>7.0947734999999998E-2</v>
      </c>
      <c r="T1346" s="56">
        <v>425686.41</v>
      </c>
      <c r="U1346" s="56" t="s">
        <v>2659</v>
      </c>
      <c r="V1346" s="56" t="s">
        <v>2660</v>
      </c>
      <c r="W1346" s="56" t="s">
        <v>2661</v>
      </c>
    </row>
    <row r="1347" spans="9:23" x14ac:dyDescent="0.3">
      <c r="I1347" s="56" t="s">
        <v>27</v>
      </c>
      <c r="J1347" s="56" t="s">
        <v>81</v>
      </c>
      <c r="K1347" s="56" t="s">
        <v>1706</v>
      </c>
      <c r="T1347" s="56">
        <v>37358593.020000003</v>
      </c>
      <c r="U1347" s="56" t="s">
        <v>4471</v>
      </c>
      <c r="V1347" s="56" t="s">
        <v>4472</v>
      </c>
      <c r="W1347" s="56" t="s">
        <v>4473</v>
      </c>
    </row>
    <row r="1348" spans="9:23" x14ac:dyDescent="0.3">
      <c r="I1348" s="56" t="s">
        <v>27</v>
      </c>
      <c r="J1348" s="56" t="s">
        <v>81</v>
      </c>
      <c r="K1348" s="56" t="s">
        <v>1706</v>
      </c>
      <c r="L1348" s="56">
        <v>22587078.539999999</v>
      </c>
      <c r="M1348" s="56">
        <v>0.75290261800000002</v>
      </c>
      <c r="T1348" s="56">
        <v>22587078.539999999</v>
      </c>
      <c r="U1348" s="56" t="s">
        <v>2890</v>
      </c>
      <c r="V1348" s="56" t="s">
        <v>2891</v>
      </c>
      <c r="W1348" s="56" t="s">
        <v>2892</v>
      </c>
    </row>
    <row r="1349" spans="9:23" x14ac:dyDescent="0.3">
      <c r="I1349" s="56" t="s">
        <v>27</v>
      </c>
      <c r="J1349" s="56" t="s">
        <v>81</v>
      </c>
      <c r="K1349" s="56" t="s">
        <v>1685</v>
      </c>
      <c r="L1349" s="56">
        <v>12832112.75</v>
      </c>
      <c r="M1349" s="56">
        <v>0.32080281875</v>
      </c>
      <c r="T1349" s="56">
        <v>12832112.75</v>
      </c>
      <c r="U1349" s="56" t="s">
        <v>461</v>
      </c>
      <c r="V1349" s="56" t="s">
        <v>463</v>
      </c>
      <c r="W1349" s="56" t="s">
        <v>464</v>
      </c>
    </row>
    <row r="1350" spans="9:23" x14ac:dyDescent="0.3">
      <c r="I1350" s="56" t="s">
        <v>27</v>
      </c>
      <c r="J1350" s="56" t="s">
        <v>81</v>
      </c>
      <c r="K1350" s="56" t="s">
        <v>1685</v>
      </c>
      <c r="T1350" s="56">
        <v>21911376.800000001</v>
      </c>
      <c r="U1350" s="56" t="s">
        <v>1784</v>
      </c>
      <c r="V1350" s="56" t="s">
        <v>1785</v>
      </c>
      <c r="W1350" s="56" t="s">
        <v>1786</v>
      </c>
    </row>
    <row r="1351" spans="9:23" x14ac:dyDescent="0.3">
      <c r="I1351" s="56" t="s">
        <v>27</v>
      </c>
      <c r="J1351" s="56" t="s">
        <v>81</v>
      </c>
      <c r="K1351" s="56" t="s">
        <v>1685</v>
      </c>
      <c r="L1351" s="56">
        <v>18519114.02</v>
      </c>
      <c r="M1351" s="56">
        <v>0.37038228039999999</v>
      </c>
      <c r="T1351" s="56">
        <v>18519114.02</v>
      </c>
      <c r="U1351" s="56" t="s">
        <v>2005</v>
      </c>
      <c r="V1351" s="56" t="s">
        <v>2006</v>
      </c>
      <c r="W1351" s="56" t="s">
        <v>1570</v>
      </c>
    </row>
    <row r="1352" spans="9:23" x14ac:dyDescent="0.3">
      <c r="I1352" s="56" t="s">
        <v>27</v>
      </c>
      <c r="J1352" s="56" t="s">
        <v>81</v>
      </c>
      <c r="K1352" s="56" t="s">
        <v>1685</v>
      </c>
      <c r="L1352" s="56">
        <v>33044254.620000001</v>
      </c>
      <c r="M1352" s="56">
        <v>0.71835336130434779</v>
      </c>
      <c r="N1352" s="56">
        <v>33044254.620000001</v>
      </c>
      <c r="O1352" s="56">
        <v>0.71835336130434779</v>
      </c>
      <c r="T1352" s="56">
        <v>33044254.620000001</v>
      </c>
      <c r="U1352" s="56" t="s">
        <v>2247</v>
      </c>
      <c r="V1352" s="56" t="s">
        <v>2252</v>
      </c>
      <c r="W1352" s="56" t="s">
        <v>2253</v>
      </c>
    </row>
    <row r="1353" spans="9:23" x14ac:dyDescent="0.3">
      <c r="I1353" s="56" t="s">
        <v>27</v>
      </c>
      <c r="J1353" s="56" t="s">
        <v>81</v>
      </c>
      <c r="K1353" s="56" t="s">
        <v>1685</v>
      </c>
      <c r="T1353" s="56">
        <v>5504103.9900000002</v>
      </c>
      <c r="U1353" s="56" t="s">
        <v>5867</v>
      </c>
      <c r="V1353" s="56" t="s">
        <v>5882</v>
      </c>
      <c r="W1353" s="56" t="s">
        <v>5883</v>
      </c>
    </row>
    <row r="1354" spans="9:23" x14ac:dyDescent="0.3">
      <c r="I1354" s="56" t="s">
        <v>27</v>
      </c>
      <c r="J1354" s="56" t="s">
        <v>81</v>
      </c>
      <c r="K1354" s="56" t="s">
        <v>5165</v>
      </c>
      <c r="T1354" s="56">
        <v>7922507.3700000001</v>
      </c>
      <c r="U1354" s="56" t="s">
        <v>3511</v>
      </c>
      <c r="V1354" s="56" t="s">
        <v>3514</v>
      </c>
      <c r="W1354" s="56" t="s">
        <v>3515</v>
      </c>
    </row>
    <row r="1355" spans="9:23" x14ac:dyDescent="0.3">
      <c r="I1355" s="56" t="s">
        <v>27</v>
      </c>
      <c r="J1355" s="56" t="s">
        <v>81</v>
      </c>
      <c r="K1355" s="56" t="s">
        <v>4000</v>
      </c>
      <c r="L1355" s="56">
        <v>19215934.48</v>
      </c>
      <c r="M1355" s="56">
        <v>0.54902669942857141</v>
      </c>
      <c r="T1355" s="56">
        <v>19215934.48</v>
      </c>
      <c r="U1355" s="56" t="s">
        <v>4523</v>
      </c>
      <c r="V1355" s="56" t="s">
        <v>4528</v>
      </c>
      <c r="W1355" s="56" t="s">
        <v>4529</v>
      </c>
    </row>
    <row r="1356" spans="9:23" x14ac:dyDescent="0.3">
      <c r="I1356" s="56" t="s">
        <v>27</v>
      </c>
      <c r="J1356" s="56" t="s">
        <v>81</v>
      </c>
      <c r="K1356" s="56" t="s">
        <v>4000</v>
      </c>
      <c r="L1356" s="56">
        <v>34790329.420000002</v>
      </c>
      <c r="M1356" s="56">
        <v>0.63255144399999996</v>
      </c>
      <c r="T1356" s="56">
        <v>34790329.420000002</v>
      </c>
      <c r="U1356" s="56" t="s">
        <v>4854</v>
      </c>
      <c r="V1356" s="56" t="s">
        <v>4855</v>
      </c>
      <c r="W1356" s="56" t="s">
        <v>4856</v>
      </c>
    </row>
    <row r="1357" spans="9:23" x14ac:dyDescent="0.3">
      <c r="I1357" s="56" t="s">
        <v>27</v>
      </c>
      <c r="J1357" s="56" t="s">
        <v>81</v>
      </c>
      <c r="K1357" s="56" t="s">
        <v>1831</v>
      </c>
      <c r="T1357" s="56">
        <v>21144475.760000002</v>
      </c>
      <c r="U1357" s="56" t="s">
        <v>3089</v>
      </c>
      <c r="V1357" s="56" t="s">
        <v>3090</v>
      </c>
      <c r="W1357" s="56" t="s">
        <v>3091</v>
      </c>
    </row>
    <row r="1358" spans="9:23" x14ac:dyDescent="0.3">
      <c r="I1358" s="56" t="s">
        <v>27</v>
      </c>
      <c r="J1358" s="56" t="s">
        <v>81</v>
      </c>
      <c r="K1358" s="56" t="s">
        <v>26</v>
      </c>
      <c r="L1358" s="56">
        <v>22352970.59</v>
      </c>
      <c r="M1358" s="56">
        <v>0.55882426475000002</v>
      </c>
      <c r="N1358" s="56">
        <v>22352970.59</v>
      </c>
      <c r="O1358" s="56">
        <v>0.55882426475000002</v>
      </c>
      <c r="P1358" s="56">
        <v>22352970.59</v>
      </c>
      <c r="Q1358" s="56">
        <v>0.55882426475000002</v>
      </c>
      <c r="R1358" s="56">
        <v>22352970.59</v>
      </c>
      <c r="S1358" s="56">
        <v>0.55882426475000002</v>
      </c>
      <c r="T1358" s="56">
        <v>22352970.59</v>
      </c>
      <c r="U1358" s="56" t="s">
        <v>1858</v>
      </c>
      <c r="V1358" s="56" t="s">
        <v>1147</v>
      </c>
      <c r="W1358" s="56" t="s">
        <v>1859</v>
      </c>
    </row>
    <row r="1359" spans="9:23" x14ac:dyDescent="0.3">
      <c r="I1359" s="56" t="s">
        <v>27</v>
      </c>
      <c r="J1359" s="56" t="s">
        <v>81</v>
      </c>
      <c r="K1359" s="56" t="s">
        <v>26</v>
      </c>
      <c r="T1359" s="56">
        <v>23255400.719999999</v>
      </c>
      <c r="U1359" s="56" t="s">
        <v>5304</v>
      </c>
      <c r="V1359" s="56" t="s">
        <v>5308</v>
      </c>
      <c r="W1359" s="56" t="s">
        <v>5309</v>
      </c>
    </row>
    <row r="1360" spans="9:23" x14ac:dyDescent="0.3">
      <c r="I1360" s="56" t="s">
        <v>27</v>
      </c>
      <c r="J1360" s="56" t="s">
        <v>81</v>
      </c>
      <c r="K1360" s="56" t="s">
        <v>26</v>
      </c>
      <c r="L1360" s="56">
        <v>36544923.329999998</v>
      </c>
      <c r="M1360" s="56">
        <v>0.81210940733333337</v>
      </c>
      <c r="T1360" s="56">
        <v>36544923.329999998</v>
      </c>
      <c r="U1360" s="56" t="s">
        <v>611</v>
      </c>
      <c r="V1360" s="56" t="s">
        <v>612</v>
      </c>
      <c r="W1360" s="56" t="s">
        <v>613</v>
      </c>
    </row>
    <row r="1361" spans="9:23" x14ac:dyDescent="0.3">
      <c r="I1361" s="56" t="s">
        <v>27</v>
      </c>
      <c r="J1361" s="56" t="s">
        <v>81</v>
      </c>
      <c r="K1361" s="56" t="s">
        <v>26</v>
      </c>
      <c r="L1361" s="56">
        <v>9708159.1500000004</v>
      </c>
      <c r="M1361" s="56">
        <v>0.44127996136363634</v>
      </c>
      <c r="N1361" s="56">
        <v>9708159.1500000004</v>
      </c>
      <c r="O1361" s="56">
        <v>0.44127996136363634</v>
      </c>
      <c r="T1361" s="56">
        <v>9708159.1500000004</v>
      </c>
      <c r="U1361" s="56" t="s">
        <v>1195</v>
      </c>
      <c r="V1361" s="56" t="s">
        <v>1197</v>
      </c>
      <c r="W1361" s="56" t="s">
        <v>1198</v>
      </c>
    </row>
    <row r="1362" spans="9:23" x14ac:dyDescent="0.3">
      <c r="I1362" s="56" t="s">
        <v>27</v>
      </c>
      <c r="J1362" s="56" t="s">
        <v>81</v>
      </c>
      <c r="K1362" s="56" t="s">
        <v>26</v>
      </c>
      <c r="L1362" s="56">
        <v>24709811.829999998</v>
      </c>
      <c r="M1362" s="56">
        <v>0.58832885309523808</v>
      </c>
      <c r="N1362" s="56">
        <v>24709811.829999998</v>
      </c>
      <c r="O1362" s="56">
        <v>0.58832885309523808</v>
      </c>
      <c r="P1362" s="56">
        <v>24709811.829999998</v>
      </c>
      <c r="Q1362" s="56">
        <v>0.58832885309523808</v>
      </c>
      <c r="T1362" s="56">
        <v>24709811.829999998</v>
      </c>
      <c r="U1362" s="56" t="s">
        <v>1097</v>
      </c>
      <c r="V1362" s="56" t="s">
        <v>1098</v>
      </c>
      <c r="W1362" s="56" t="s">
        <v>1099</v>
      </c>
    </row>
    <row r="1363" spans="9:23" x14ac:dyDescent="0.3">
      <c r="I1363" s="56" t="s">
        <v>27</v>
      </c>
      <c r="J1363" s="56" t="s">
        <v>81</v>
      </c>
      <c r="K1363" s="56" t="s">
        <v>26</v>
      </c>
      <c r="L1363" s="56">
        <v>832429.84</v>
      </c>
      <c r="M1363" s="56">
        <v>0.11099064533333333</v>
      </c>
      <c r="N1363" s="56">
        <v>832429.84</v>
      </c>
      <c r="O1363" s="56">
        <v>0.11099064533333333</v>
      </c>
      <c r="T1363" s="56">
        <v>832429.84</v>
      </c>
      <c r="U1363" s="56" t="s">
        <v>1485</v>
      </c>
      <c r="V1363" s="56" t="s">
        <v>1486</v>
      </c>
      <c r="W1363" s="56" t="s">
        <v>1487</v>
      </c>
    </row>
    <row r="1364" spans="9:23" x14ac:dyDescent="0.3">
      <c r="I1364" s="56" t="s">
        <v>27</v>
      </c>
      <c r="J1364" s="56" t="s">
        <v>81</v>
      </c>
      <c r="K1364" s="56" t="s">
        <v>26</v>
      </c>
      <c r="T1364" s="56">
        <v>17018045.469999999</v>
      </c>
      <c r="U1364" s="56" t="s">
        <v>1373</v>
      </c>
      <c r="V1364" s="56" t="s">
        <v>1374</v>
      </c>
      <c r="W1364" s="56" t="s">
        <v>1375</v>
      </c>
    </row>
    <row r="1365" spans="9:23" x14ac:dyDescent="0.3">
      <c r="I1365" s="56" t="s">
        <v>27</v>
      </c>
      <c r="J1365" s="56" t="s">
        <v>81</v>
      </c>
      <c r="K1365" s="56" t="s">
        <v>26</v>
      </c>
      <c r="T1365" s="56">
        <v>14431548.67</v>
      </c>
      <c r="U1365" s="56" t="s">
        <v>1507</v>
      </c>
      <c r="V1365" s="56" t="s">
        <v>1508</v>
      </c>
      <c r="W1365" s="56" t="s">
        <v>1509</v>
      </c>
    </row>
    <row r="1366" spans="9:23" x14ac:dyDescent="0.3">
      <c r="I1366" s="56" t="s">
        <v>27</v>
      </c>
      <c r="J1366" s="56" t="s">
        <v>81</v>
      </c>
      <c r="K1366" s="56" t="s">
        <v>26</v>
      </c>
      <c r="L1366" s="56">
        <v>1877973.43</v>
      </c>
      <c r="M1366" s="56">
        <v>0.17072485727272727</v>
      </c>
      <c r="T1366" s="56">
        <v>1877973.43</v>
      </c>
      <c r="U1366" s="56" t="s">
        <v>1666</v>
      </c>
      <c r="V1366" s="56" t="s">
        <v>1673</v>
      </c>
      <c r="W1366" s="56" t="s">
        <v>1674</v>
      </c>
    </row>
    <row r="1367" spans="9:23" x14ac:dyDescent="0.3">
      <c r="I1367" s="56" t="s">
        <v>27</v>
      </c>
      <c r="J1367" s="56" t="s">
        <v>81</v>
      </c>
      <c r="K1367" s="56" t="s">
        <v>26</v>
      </c>
      <c r="T1367" s="56">
        <v>3508983.22</v>
      </c>
      <c r="U1367" s="56" t="s">
        <v>1778</v>
      </c>
      <c r="V1367" s="56" t="s">
        <v>1779</v>
      </c>
      <c r="W1367" s="56" t="s">
        <v>1780</v>
      </c>
    </row>
    <row r="1368" spans="9:23" x14ac:dyDescent="0.3">
      <c r="I1368" s="56" t="s">
        <v>27</v>
      </c>
      <c r="J1368" s="56" t="s">
        <v>81</v>
      </c>
      <c r="K1368" s="56" t="s">
        <v>26</v>
      </c>
      <c r="L1368" s="56">
        <v>907019.33</v>
      </c>
      <c r="M1368" s="56">
        <v>0.20448397190941575</v>
      </c>
      <c r="T1368" s="56">
        <v>907019.33</v>
      </c>
      <c r="U1368" s="56" t="s">
        <v>2164</v>
      </c>
      <c r="V1368" s="56" t="s">
        <v>2169</v>
      </c>
      <c r="W1368" s="56" t="s">
        <v>2170</v>
      </c>
    </row>
    <row r="1369" spans="9:23" x14ac:dyDescent="0.3">
      <c r="I1369" s="56" t="s">
        <v>27</v>
      </c>
      <c r="J1369" s="56" t="s">
        <v>81</v>
      </c>
      <c r="K1369" s="56" t="s">
        <v>26</v>
      </c>
      <c r="L1369" s="56">
        <v>35139057.840000004</v>
      </c>
      <c r="M1369" s="56">
        <v>0.87847644599999997</v>
      </c>
      <c r="T1369" s="56">
        <v>35139057.840000004</v>
      </c>
      <c r="U1369" s="56" t="s">
        <v>2530</v>
      </c>
      <c r="V1369" s="56" t="s">
        <v>2532</v>
      </c>
      <c r="W1369" s="56" t="s">
        <v>2533</v>
      </c>
    </row>
    <row r="1370" spans="9:23" x14ac:dyDescent="0.3">
      <c r="I1370" s="56" t="s">
        <v>27</v>
      </c>
      <c r="J1370" s="56" t="s">
        <v>81</v>
      </c>
      <c r="K1370" s="56" t="s">
        <v>26</v>
      </c>
      <c r="T1370" s="56">
        <v>19566770.960000001</v>
      </c>
      <c r="U1370" s="56" t="s">
        <v>2370</v>
      </c>
      <c r="V1370" s="56" t="s">
        <v>2373</v>
      </c>
      <c r="W1370" s="56" t="s">
        <v>2374</v>
      </c>
    </row>
    <row r="1371" spans="9:23" x14ac:dyDescent="0.3">
      <c r="I1371" s="56" t="s">
        <v>27</v>
      </c>
      <c r="J1371" s="56" t="s">
        <v>81</v>
      </c>
      <c r="K1371" s="56" t="s">
        <v>26</v>
      </c>
      <c r="T1371" s="56">
        <v>11944703.43</v>
      </c>
      <c r="U1371" s="56" t="s">
        <v>2770</v>
      </c>
      <c r="V1371" s="56" t="s">
        <v>2772</v>
      </c>
      <c r="W1371" s="56" t="s">
        <v>2773</v>
      </c>
    </row>
    <row r="1372" spans="9:23" x14ac:dyDescent="0.3">
      <c r="I1372" s="56" t="s">
        <v>27</v>
      </c>
      <c r="J1372" s="56" t="s">
        <v>81</v>
      </c>
      <c r="K1372" s="56" t="s">
        <v>26</v>
      </c>
      <c r="T1372" s="56">
        <v>23650721.469999999</v>
      </c>
      <c r="U1372" s="56" t="s">
        <v>3867</v>
      </c>
      <c r="V1372" s="56" t="s">
        <v>3868</v>
      </c>
      <c r="W1372" s="56" t="s">
        <v>3869</v>
      </c>
    </row>
    <row r="1373" spans="9:23" x14ac:dyDescent="0.3">
      <c r="I1373" s="56" t="s">
        <v>27</v>
      </c>
      <c r="J1373" s="56" t="s">
        <v>81</v>
      </c>
      <c r="K1373" s="56" t="s">
        <v>26</v>
      </c>
      <c r="T1373" s="56">
        <v>924157.49</v>
      </c>
      <c r="U1373" s="56" t="s">
        <v>3941</v>
      </c>
      <c r="V1373" s="56" t="s">
        <v>3945</v>
      </c>
      <c r="W1373" s="56" t="s">
        <v>3946</v>
      </c>
    </row>
    <row r="1374" spans="9:23" x14ac:dyDescent="0.3">
      <c r="I1374" s="56" t="s">
        <v>27</v>
      </c>
      <c r="J1374" s="56" t="s">
        <v>81</v>
      </c>
      <c r="K1374" s="56" t="s">
        <v>26</v>
      </c>
      <c r="T1374" s="56">
        <v>4749594.84</v>
      </c>
      <c r="U1374" s="56" t="s">
        <v>2382</v>
      </c>
      <c r="V1374" s="56" t="s">
        <v>2407</v>
      </c>
      <c r="W1374" s="56" t="s">
        <v>2408</v>
      </c>
    </row>
    <row r="1375" spans="9:23" x14ac:dyDescent="0.3">
      <c r="I1375" s="56" t="s">
        <v>27</v>
      </c>
      <c r="J1375" s="56" t="s">
        <v>81</v>
      </c>
      <c r="K1375" s="56" t="s">
        <v>26</v>
      </c>
      <c r="T1375" s="56">
        <v>37944643.210000001</v>
      </c>
      <c r="U1375" s="56" t="s">
        <v>1885</v>
      </c>
      <c r="V1375" s="56" t="s">
        <v>1887</v>
      </c>
      <c r="W1375" s="56" t="s">
        <v>1888</v>
      </c>
    </row>
    <row r="1376" spans="9:23" x14ac:dyDescent="0.3">
      <c r="I1376" s="56" t="s">
        <v>27</v>
      </c>
      <c r="J1376" s="56" t="s">
        <v>81</v>
      </c>
      <c r="K1376" s="56" t="s">
        <v>26</v>
      </c>
      <c r="T1376" s="56">
        <v>4767839.12</v>
      </c>
      <c r="U1376" s="56" t="s">
        <v>2081</v>
      </c>
      <c r="V1376" s="56" t="s">
        <v>2095</v>
      </c>
      <c r="W1376" s="56" t="s">
        <v>2096</v>
      </c>
    </row>
    <row r="1377" spans="9:23" x14ac:dyDescent="0.3">
      <c r="I1377" s="56" t="s">
        <v>27</v>
      </c>
      <c r="J1377" s="56" t="s">
        <v>81</v>
      </c>
      <c r="K1377" s="56" t="s">
        <v>26</v>
      </c>
      <c r="T1377" s="56">
        <v>3768780.6</v>
      </c>
      <c r="U1377" s="56" t="s">
        <v>2174</v>
      </c>
      <c r="V1377" s="56" t="s">
        <v>2180</v>
      </c>
      <c r="W1377" s="56" t="s">
        <v>2181</v>
      </c>
    </row>
    <row r="1378" spans="9:23" x14ac:dyDescent="0.3">
      <c r="I1378" s="56" t="s">
        <v>27</v>
      </c>
      <c r="J1378" s="56" t="s">
        <v>81</v>
      </c>
      <c r="K1378" s="56" t="s">
        <v>26</v>
      </c>
      <c r="L1378" s="56">
        <v>9116685.1999999993</v>
      </c>
      <c r="M1378" s="56">
        <v>0.56979282499999995</v>
      </c>
      <c r="N1378" s="56">
        <v>9116685.1999999993</v>
      </c>
      <c r="O1378" s="56">
        <v>0.56979282499999995</v>
      </c>
      <c r="T1378" s="56">
        <v>9116685.1999999993</v>
      </c>
      <c r="U1378" s="56" t="s">
        <v>2587</v>
      </c>
      <c r="V1378" s="56" t="s">
        <v>2609</v>
      </c>
      <c r="W1378" s="56" t="s">
        <v>2610</v>
      </c>
    </row>
    <row r="1379" spans="9:23" x14ac:dyDescent="0.3">
      <c r="I1379" s="56" t="s">
        <v>27</v>
      </c>
      <c r="J1379" s="56" t="s">
        <v>81</v>
      </c>
      <c r="K1379" s="56" t="s">
        <v>26</v>
      </c>
      <c r="T1379" s="56">
        <v>18568528.07</v>
      </c>
      <c r="U1379" s="56" t="s">
        <v>2662</v>
      </c>
      <c r="V1379" s="56" t="s">
        <v>2663</v>
      </c>
      <c r="W1379" s="56" t="s">
        <v>2664</v>
      </c>
    </row>
    <row r="1380" spans="9:23" x14ac:dyDescent="0.3">
      <c r="I1380" s="56" t="s">
        <v>27</v>
      </c>
      <c r="J1380" s="56" t="s">
        <v>81</v>
      </c>
      <c r="K1380" s="56" t="s">
        <v>26</v>
      </c>
      <c r="T1380" s="56">
        <v>2558127.87</v>
      </c>
      <c r="U1380" s="56" t="s">
        <v>2732</v>
      </c>
      <c r="V1380" s="56" t="s">
        <v>2734</v>
      </c>
      <c r="W1380" s="56" t="s">
        <v>2735</v>
      </c>
    </row>
    <row r="1381" spans="9:23" x14ac:dyDescent="0.3">
      <c r="I1381" s="56" t="s">
        <v>27</v>
      </c>
      <c r="J1381" s="56" t="s">
        <v>81</v>
      </c>
      <c r="K1381" s="56" t="s">
        <v>26</v>
      </c>
      <c r="T1381" s="56">
        <v>15170798.890000001</v>
      </c>
      <c r="U1381" s="56" t="s">
        <v>2759</v>
      </c>
      <c r="V1381" s="56" t="s">
        <v>2764</v>
      </c>
      <c r="W1381" s="56" t="s">
        <v>2765</v>
      </c>
    </row>
    <row r="1382" spans="9:23" x14ac:dyDescent="0.3">
      <c r="I1382" s="56" t="s">
        <v>27</v>
      </c>
      <c r="J1382" s="56" t="s">
        <v>81</v>
      </c>
      <c r="K1382" s="56" t="s">
        <v>26</v>
      </c>
      <c r="T1382" s="56">
        <v>36129333.369999997</v>
      </c>
      <c r="U1382" s="56" t="s">
        <v>2877</v>
      </c>
      <c r="V1382" s="56" t="s">
        <v>2881</v>
      </c>
      <c r="W1382" s="56" t="s">
        <v>2882</v>
      </c>
    </row>
    <row r="1383" spans="9:23" x14ac:dyDescent="0.3">
      <c r="I1383" s="56" t="s">
        <v>27</v>
      </c>
      <c r="J1383" s="56" t="s">
        <v>81</v>
      </c>
      <c r="K1383" s="56" t="s">
        <v>26</v>
      </c>
      <c r="L1383" s="56">
        <v>21121764.120000001</v>
      </c>
      <c r="M1383" s="56">
        <v>0.55583589789473686</v>
      </c>
      <c r="T1383" s="56">
        <v>21121764.120000001</v>
      </c>
      <c r="U1383" s="56" t="s">
        <v>2957</v>
      </c>
      <c r="V1383" s="56" t="s">
        <v>2958</v>
      </c>
      <c r="W1383" s="56" t="s">
        <v>2959</v>
      </c>
    </row>
    <row r="1384" spans="9:23" x14ac:dyDescent="0.3">
      <c r="I1384" s="56" t="s">
        <v>27</v>
      </c>
      <c r="J1384" s="56" t="s">
        <v>81</v>
      </c>
      <c r="K1384" s="56" t="s">
        <v>26</v>
      </c>
      <c r="T1384" s="56">
        <v>21144475.760000002</v>
      </c>
      <c r="U1384" s="56" t="s">
        <v>3046</v>
      </c>
      <c r="V1384" s="56" t="s">
        <v>3070</v>
      </c>
      <c r="W1384" s="56" t="s">
        <v>3071</v>
      </c>
    </row>
    <row r="1385" spans="9:23" x14ac:dyDescent="0.3">
      <c r="I1385" s="56" t="s">
        <v>27</v>
      </c>
      <c r="J1385" s="56" t="s">
        <v>81</v>
      </c>
      <c r="K1385" s="56" t="s">
        <v>26</v>
      </c>
      <c r="T1385" s="56">
        <v>1083054.24</v>
      </c>
      <c r="U1385" s="56" t="s">
        <v>3113</v>
      </c>
      <c r="V1385" s="56" t="s">
        <v>3117</v>
      </c>
      <c r="W1385" s="56" t="s">
        <v>3118</v>
      </c>
    </row>
    <row r="1386" spans="9:23" x14ac:dyDescent="0.3">
      <c r="I1386" s="56" t="s">
        <v>27</v>
      </c>
      <c r="J1386" s="56" t="s">
        <v>81</v>
      </c>
      <c r="K1386" s="56" t="s">
        <v>26</v>
      </c>
      <c r="T1386" s="56">
        <v>10796627.99</v>
      </c>
      <c r="U1386" s="56" t="s">
        <v>4208</v>
      </c>
      <c r="V1386" s="56" t="s">
        <v>4229</v>
      </c>
      <c r="W1386" s="56" t="s">
        <v>4230</v>
      </c>
    </row>
    <row r="1387" spans="9:23" x14ac:dyDescent="0.3">
      <c r="I1387" s="56" t="s">
        <v>27</v>
      </c>
      <c r="J1387" s="56" t="s">
        <v>81</v>
      </c>
      <c r="K1387" s="56" t="s">
        <v>26</v>
      </c>
      <c r="L1387" s="56">
        <v>3019008.18</v>
      </c>
      <c r="M1387" s="56">
        <v>0.30190081800000002</v>
      </c>
      <c r="T1387" s="56">
        <v>3019008.18</v>
      </c>
      <c r="U1387" s="56" t="s">
        <v>4082</v>
      </c>
      <c r="V1387" s="56" t="s">
        <v>4088</v>
      </c>
      <c r="W1387" s="56" t="s">
        <v>4089</v>
      </c>
    </row>
    <row r="1388" spans="9:23" x14ac:dyDescent="0.3">
      <c r="I1388" s="56" t="s">
        <v>27</v>
      </c>
      <c r="J1388" s="56" t="s">
        <v>81</v>
      </c>
      <c r="K1388" s="56" t="s">
        <v>26</v>
      </c>
      <c r="L1388" s="56">
        <v>32644595.890000001</v>
      </c>
      <c r="M1388" s="56">
        <v>0.81611489724999997</v>
      </c>
      <c r="N1388" s="56">
        <v>32644595.890000001</v>
      </c>
      <c r="O1388" s="56">
        <v>0.81611489724999997</v>
      </c>
      <c r="T1388" s="56">
        <v>32644595.890000001</v>
      </c>
      <c r="U1388" s="56" t="s">
        <v>4590</v>
      </c>
      <c r="V1388" s="56" t="s">
        <v>4600</v>
      </c>
      <c r="W1388" s="56" t="s">
        <v>4601</v>
      </c>
    </row>
    <row r="1389" spans="9:23" x14ac:dyDescent="0.3">
      <c r="I1389" s="56" t="s">
        <v>27</v>
      </c>
      <c r="J1389" s="56" t="s">
        <v>81</v>
      </c>
      <c r="K1389" s="56" t="s">
        <v>26</v>
      </c>
      <c r="L1389" s="56">
        <v>3959509.52</v>
      </c>
      <c r="M1389" s="56">
        <v>0.56564421714285706</v>
      </c>
      <c r="T1389" s="56">
        <v>3959509.52</v>
      </c>
      <c r="U1389" s="56" t="s">
        <v>4476</v>
      </c>
      <c r="V1389" s="56" t="s">
        <v>4477</v>
      </c>
      <c r="W1389" s="56" t="s">
        <v>4478</v>
      </c>
    </row>
    <row r="1390" spans="9:23" x14ac:dyDescent="0.3">
      <c r="I1390" s="56" t="s">
        <v>27</v>
      </c>
      <c r="J1390" s="56" t="s">
        <v>81</v>
      </c>
      <c r="K1390" s="56" t="s">
        <v>26</v>
      </c>
      <c r="T1390" s="56">
        <v>3337009.24</v>
      </c>
      <c r="U1390" s="56" t="s">
        <v>4500</v>
      </c>
      <c r="V1390" s="56" t="s">
        <v>4518</v>
      </c>
      <c r="W1390" s="56" t="s">
        <v>4519</v>
      </c>
    </row>
    <row r="1391" spans="9:23" x14ac:dyDescent="0.3">
      <c r="I1391" s="56" t="s">
        <v>27</v>
      </c>
      <c r="J1391" s="56" t="s">
        <v>81</v>
      </c>
      <c r="K1391" s="56" t="s">
        <v>26</v>
      </c>
      <c r="T1391" s="56">
        <v>1715713.01</v>
      </c>
      <c r="U1391" s="56" t="s">
        <v>4589</v>
      </c>
      <c r="V1391" s="56" t="s">
        <v>4611</v>
      </c>
      <c r="W1391" s="56" t="s">
        <v>4612</v>
      </c>
    </row>
    <row r="1392" spans="9:23" x14ac:dyDescent="0.3">
      <c r="I1392" s="56" t="s">
        <v>27</v>
      </c>
      <c r="J1392" s="56" t="s">
        <v>81</v>
      </c>
      <c r="K1392" s="56" t="s">
        <v>26</v>
      </c>
      <c r="T1392" s="56">
        <v>4525153.7300000004</v>
      </c>
      <c r="U1392" s="56" t="s">
        <v>4574</v>
      </c>
      <c r="V1392" s="56" t="s">
        <v>4583</v>
      </c>
      <c r="W1392" s="56" t="s">
        <v>4584</v>
      </c>
    </row>
    <row r="1393" spans="9:23" x14ac:dyDescent="0.3">
      <c r="I1393" s="56" t="s">
        <v>27</v>
      </c>
      <c r="J1393" s="56" t="s">
        <v>81</v>
      </c>
      <c r="K1393" s="56" t="s">
        <v>5634</v>
      </c>
      <c r="T1393" s="56">
        <v>4612884.82</v>
      </c>
      <c r="U1393" s="56" t="s">
        <v>5633</v>
      </c>
      <c r="V1393" s="56" t="s">
        <v>5651</v>
      </c>
      <c r="W1393" s="56" t="s">
        <v>5652</v>
      </c>
    </row>
    <row r="1394" spans="9:23" x14ac:dyDescent="0.3">
      <c r="I1394" s="56" t="s">
        <v>27</v>
      </c>
      <c r="J1394" s="56" t="s">
        <v>81</v>
      </c>
      <c r="K1394" s="56" t="s">
        <v>5371</v>
      </c>
      <c r="L1394" s="56">
        <v>4599698.87</v>
      </c>
      <c r="M1394" s="56">
        <v>0.91993977399999993</v>
      </c>
      <c r="T1394" s="56">
        <v>4599698.87</v>
      </c>
      <c r="U1394" s="56" t="s">
        <v>5370</v>
      </c>
      <c r="V1394" s="56" t="s">
        <v>5374</v>
      </c>
      <c r="W1394" s="56" t="s">
        <v>5375</v>
      </c>
    </row>
    <row r="1395" spans="9:23" x14ac:dyDescent="0.3">
      <c r="I1395" s="56" t="s">
        <v>27</v>
      </c>
      <c r="J1395" s="56" t="s">
        <v>116</v>
      </c>
      <c r="K1395" s="56" t="s">
        <v>1739</v>
      </c>
      <c r="L1395" s="56">
        <v>29936502.710000001</v>
      </c>
      <c r="M1395" s="56">
        <v>0.85532864885714288</v>
      </c>
      <c r="T1395" s="56">
        <v>29936502.710000001</v>
      </c>
      <c r="U1395" s="56" t="s">
        <v>4943</v>
      </c>
      <c r="V1395" s="56" t="s">
        <v>4945</v>
      </c>
      <c r="W1395" s="56" t="s">
        <v>4946</v>
      </c>
    </row>
    <row r="1396" spans="9:23" x14ac:dyDescent="0.3">
      <c r="I1396" s="56" t="s">
        <v>27</v>
      </c>
      <c r="J1396" s="56" t="s">
        <v>116</v>
      </c>
      <c r="K1396" s="56" t="s">
        <v>1830</v>
      </c>
      <c r="T1396" s="56">
        <v>29018508.73</v>
      </c>
      <c r="U1396" s="56" t="s">
        <v>1896</v>
      </c>
      <c r="V1396" s="56" t="s">
        <v>1897</v>
      </c>
      <c r="W1396" s="56" t="s">
        <v>1898</v>
      </c>
    </row>
    <row r="1397" spans="9:23" x14ac:dyDescent="0.3">
      <c r="I1397" s="56" t="s">
        <v>27</v>
      </c>
      <c r="J1397" s="56" t="s">
        <v>116</v>
      </c>
      <c r="K1397" s="56" t="s">
        <v>1830</v>
      </c>
      <c r="L1397" s="56">
        <v>15389135.51</v>
      </c>
      <c r="M1397" s="56">
        <v>0.61556542039999995</v>
      </c>
      <c r="T1397" s="56">
        <v>15389135.51</v>
      </c>
      <c r="U1397" s="56" t="s">
        <v>2129</v>
      </c>
      <c r="V1397" s="56" t="s">
        <v>2160</v>
      </c>
      <c r="W1397" s="56" t="s">
        <v>2161</v>
      </c>
    </row>
    <row r="1398" spans="9:23" x14ac:dyDescent="0.3">
      <c r="I1398" s="56" t="s">
        <v>27</v>
      </c>
      <c r="J1398" s="56" t="s">
        <v>116</v>
      </c>
      <c r="K1398" s="56" t="s">
        <v>1830</v>
      </c>
      <c r="T1398" s="56">
        <v>21768893.989999998</v>
      </c>
      <c r="U1398" s="56" t="s">
        <v>4830</v>
      </c>
      <c r="V1398" s="56" t="s">
        <v>4841</v>
      </c>
      <c r="W1398" s="56" t="s">
        <v>4842</v>
      </c>
    </row>
    <row r="1399" spans="9:23" x14ac:dyDescent="0.3">
      <c r="I1399" s="56" t="s">
        <v>27</v>
      </c>
      <c r="J1399" s="56" t="s">
        <v>116</v>
      </c>
      <c r="K1399" s="56" t="s">
        <v>3426</v>
      </c>
      <c r="L1399" s="56">
        <v>35245210.909999996</v>
      </c>
      <c r="M1399" s="56">
        <v>0.70490421820000004</v>
      </c>
      <c r="N1399" s="56">
        <v>35245210.909999996</v>
      </c>
      <c r="O1399" s="56">
        <v>0.70490421820000004</v>
      </c>
      <c r="T1399" s="56">
        <v>35245210.909999996</v>
      </c>
      <c r="U1399" s="56" t="s">
        <v>79</v>
      </c>
      <c r="V1399" s="56" t="s">
        <v>241</v>
      </c>
      <c r="W1399" s="56" t="s">
        <v>242</v>
      </c>
    </row>
    <row r="1400" spans="9:23" x14ac:dyDescent="0.3">
      <c r="I1400" s="56" t="s">
        <v>27</v>
      </c>
      <c r="J1400" s="56" t="s">
        <v>116</v>
      </c>
      <c r="K1400" s="56" t="s">
        <v>1825</v>
      </c>
      <c r="T1400" s="56">
        <v>52094901.259999998</v>
      </c>
      <c r="U1400" s="56" t="s">
        <v>492</v>
      </c>
      <c r="V1400" s="56" t="s">
        <v>497</v>
      </c>
      <c r="W1400" s="56" t="s">
        <v>498</v>
      </c>
    </row>
    <row r="1401" spans="9:23" x14ac:dyDescent="0.3">
      <c r="I1401" s="56" t="s">
        <v>27</v>
      </c>
      <c r="J1401" s="56" t="s">
        <v>116</v>
      </c>
      <c r="K1401" s="56" t="s">
        <v>1825</v>
      </c>
      <c r="T1401" s="56">
        <v>15934664.880000001</v>
      </c>
      <c r="U1401" s="56" t="s">
        <v>1167</v>
      </c>
      <c r="V1401" s="56" t="s">
        <v>1168</v>
      </c>
      <c r="W1401" s="56" t="s">
        <v>1169</v>
      </c>
    </row>
    <row r="1402" spans="9:23" x14ac:dyDescent="0.3">
      <c r="I1402" s="56" t="s">
        <v>27</v>
      </c>
      <c r="J1402" s="56" t="s">
        <v>116</v>
      </c>
      <c r="K1402" s="56" t="s">
        <v>1825</v>
      </c>
      <c r="T1402" s="56">
        <v>15491432.93</v>
      </c>
      <c r="U1402" s="56" t="s">
        <v>5453</v>
      </c>
      <c r="V1402" s="56" t="s">
        <v>5459</v>
      </c>
      <c r="W1402" s="56" t="s">
        <v>5460</v>
      </c>
    </row>
    <row r="1403" spans="9:23" x14ac:dyDescent="0.3">
      <c r="I1403" s="56" t="s">
        <v>27</v>
      </c>
      <c r="J1403" s="56" t="s">
        <v>116</v>
      </c>
      <c r="K1403" s="56" t="s">
        <v>1825</v>
      </c>
      <c r="T1403" s="56">
        <v>3723563.01</v>
      </c>
      <c r="U1403" s="56" t="s">
        <v>5142</v>
      </c>
      <c r="V1403" s="56" t="s">
        <v>5144</v>
      </c>
      <c r="W1403" s="56" t="s">
        <v>5145</v>
      </c>
    </row>
    <row r="1404" spans="9:23" x14ac:dyDescent="0.3">
      <c r="I1404" s="56" t="s">
        <v>27</v>
      </c>
      <c r="J1404" s="56" t="s">
        <v>116</v>
      </c>
      <c r="K1404" s="56" t="s">
        <v>26</v>
      </c>
      <c r="L1404" s="56">
        <v>37664953.229999997</v>
      </c>
      <c r="M1404" s="56">
        <v>0.57946081892307688</v>
      </c>
      <c r="T1404" s="56">
        <v>37664953.229999997</v>
      </c>
      <c r="U1404" s="56" t="s">
        <v>185</v>
      </c>
      <c r="V1404" s="56" t="s">
        <v>186</v>
      </c>
      <c r="W1404" s="56" t="s">
        <v>187</v>
      </c>
    </row>
    <row r="1405" spans="9:23" x14ac:dyDescent="0.3">
      <c r="I1405" s="56" t="s">
        <v>27</v>
      </c>
      <c r="J1405" s="56" t="s">
        <v>116</v>
      </c>
      <c r="K1405" s="56" t="s">
        <v>26</v>
      </c>
      <c r="T1405" s="56">
        <v>5119768.72</v>
      </c>
      <c r="U1405" s="56" t="s">
        <v>3202</v>
      </c>
      <c r="V1405" s="56" t="s">
        <v>3206</v>
      </c>
      <c r="W1405" s="56" t="s">
        <v>3207</v>
      </c>
    </row>
    <row r="1406" spans="9:23" x14ac:dyDescent="0.3">
      <c r="I1406" s="56" t="s">
        <v>27</v>
      </c>
      <c r="J1406" s="56" t="s">
        <v>116</v>
      </c>
      <c r="K1406" s="56" t="s">
        <v>26</v>
      </c>
      <c r="T1406" s="56">
        <v>12446913.1</v>
      </c>
      <c r="U1406" s="56" t="s">
        <v>759</v>
      </c>
      <c r="V1406" s="56" t="s">
        <v>761</v>
      </c>
      <c r="W1406" s="56" t="s">
        <v>762</v>
      </c>
    </row>
    <row r="1407" spans="9:23" x14ac:dyDescent="0.3">
      <c r="I1407" s="56" t="s">
        <v>27</v>
      </c>
      <c r="J1407" s="56" t="s">
        <v>116</v>
      </c>
      <c r="K1407" s="56" t="s">
        <v>26</v>
      </c>
      <c r="L1407" s="56">
        <v>11605983.99</v>
      </c>
      <c r="M1407" s="56">
        <v>0.3315995425714286</v>
      </c>
      <c r="T1407" s="56">
        <v>11605983.99</v>
      </c>
      <c r="U1407" s="56" t="s">
        <v>4183</v>
      </c>
      <c r="V1407" s="56" t="s">
        <v>4185</v>
      </c>
      <c r="W1407" s="56" t="s">
        <v>4186</v>
      </c>
    </row>
    <row r="1408" spans="9:23" x14ac:dyDescent="0.3">
      <c r="I1408" s="56" t="s">
        <v>27</v>
      </c>
      <c r="J1408" s="56" t="s">
        <v>116</v>
      </c>
      <c r="K1408" s="56" t="s">
        <v>26</v>
      </c>
      <c r="L1408" s="56">
        <v>36253749.93</v>
      </c>
      <c r="M1408" s="56">
        <v>0.60422916550000005</v>
      </c>
      <c r="N1408" s="56">
        <v>36253749.93</v>
      </c>
      <c r="O1408" s="56">
        <v>0.60422916550000005</v>
      </c>
      <c r="P1408" s="56">
        <v>36253749.93</v>
      </c>
      <c r="Q1408" s="56">
        <v>0.60422916550000005</v>
      </c>
      <c r="R1408" s="56">
        <v>36253749.93</v>
      </c>
      <c r="S1408" s="56">
        <v>0.60422916550000005</v>
      </c>
      <c r="T1408" s="56">
        <v>36253749.93</v>
      </c>
      <c r="U1408" s="56" t="s">
        <v>1326</v>
      </c>
      <c r="V1408" s="56" t="s">
        <v>1327</v>
      </c>
      <c r="W1408" s="56" t="s">
        <v>1328</v>
      </c>
    </row>
    <row r="1409" spans="9:23" x14ac:dyDescent="0.3">
      <c r="I1409" s="56" t="s">
        <v>27</v>
      </c>
      <c r="J1409" s="56" t="s">
        <v>116</v>
      </c>
      <c r="K1409" s="56" t="s">
        <v>26</v>
      </c>
      <c r="T1409" s="56">
        <v>1599751.86</v>
      </c>
      <c r="U1409" s="56" t="s">
        <v>2925</v>
      </c>
      <c r="V1409" s="56" t="s">
        <v>2926</v>
      </c>
      <c r="W1409" s="56" t="s">
        <v>2927</v>
      </c>
    </row>
    <row r="1410" spans="9:23" x14ac:dyDescent="0.3">
      <c r="I1410" s="56" t="s">
        <v>27</v>
      </c>
      <c r="J1410" s="56" t="s">
        <v>116</v>
      </c>
      <c r="K1410" s="56" t="s">
        <v>26</v>
      </c>
      <c r="T1410" s="56">
        <v>11028394.18</v>
      </c>
      <c r="U1410" s="56" t="s">
        <v>2293</v>
      </c>
      <c r="V1410" s="56" t="s">
        <v>2300</v>
      </c>
      <c r="W1410" s="56" t="s">
        <v>2301</v>
      </c>
    </row>
    <row r="1411" spans="9:23" x14ac:dyDescent="0.3">
      <c r="I1411" s="56" t="s">
        <v>27</v>
      </c>
      <c r="J1411" s="56" t="s">
        <v>116</v>
      </c>
      <c r="K1411" s="56" t="s">
        <v>26</v>
      </c>
      <c r="L1411" s="56">
        <v>12342311.060000001</v>
      </c>
      <c r="M1411" s="56">
        <v>0.61711555299999998</v>
      </c>
      <c r="N1411" s="56">
        <v>12342311.060000001</v>
      </c>
      <c r="O1411" s="56">
        <v>0.61711555299999998</v>
      </c>
      <c r="T1411" s="56">
        <v>12342311.060000001</v>
      </c>
      <c r="U1411" s="56" t="s">
        <v>2589</v>
      </c>
      <c r="V1411" s="56" t="s">
        <v>2607</v>
      </c>
      <c r="W1411" s="56" t="s">
        <v>2608</v>
      </c>
    </row>
    <row r="1412" spans="9:23" x14ac:dyDescent="0.3">
      <c r="I1412" s="56" t="s">
        <v>27</v>
      </c>
      <c r="J1412" s="56" t="s">
        <v>116</v>
      </c>
      <c r="K1412" s="56" t="s">
        <v>26</v>
      </c>
      <c r="T1412" s="56">
        <v>7674383.5999999996</v>
      </c>
      <c r="U1412" s="56" t="s">
        <v>4868</v>
      </c>
      <c r="V1412" s="56" t="s">
        <v>4873</v>
      </c>
      <c r="W1412" s="56" t="s">
        <v>4874</v>
      </c>
    </row>
    <row r="1413" spans="9:23" x14ac:dyDescent="0.3">
      <c r="I1413" s="56" t="s">
        <v>27</v>
      </c>
      <c r="J1413" s="56" t="s">
        <v>116</v>
      </c>
      <c r="K1413" s="56" t="s">
        <v>26</v>
      </c>
      <c r="L1413" s="56">
        <v>1265329.6499999999</v>
      </c>
      <c r="M1413" s="56">
        <v>0.25306592999999999</v>
      </c>
      <c r="N1413" s="56">
        <v>1265329.6499999999</v>
      </c>
      <c r="O1413" s="56">
        <v>0.25306592999999999</v>
      </c>
      <c r="P1413" s="56">
        <v>1265329.6499999999</v>
      </c>
      <c r="Q1413" s="56">
        <v>0.25306592999999999</v>
      </c>
      <c r="R1413" s="56">
        <v>1265329.6499999999</v>
      </c>
      <c r="S1413" s="56">
        <v>0.25306592999999999</v>
      </c>
      <c r="T1413" s="56">
        <v>1265329.6499999999</v>
      </c>
      <c r="U1413" s="56" t="s">
        <v>2527</v>
      </c>
      <c r="V1413" s="56" t="s">
        <v>2528</v>
      </c>
      <c r="W1413" s="56" t="s">
        <v>2529</v>
      </c>
    </row>
    <row r="1414" spans="9:23" x14ac:dyDescent="0.3">
      <c r="I1414" s="56" t="s">
        <v>27</v>
      </c>
      <c r="J1414" s="56" t="s">
        <v>116</v>
      </c>
      <c r="K1414" s="56" t="s">
        <v>26</v>
      </c>
      <c r="L1414" s="56">
        <v>1016516.93</v>
      </c>
      <c r="M1414" s="56">
        <v>0.13553559066666668</v>
      </c>
      <c r="N1414" s="56">
        <v>1016516.93</v>
      </c>
      <c r="O1414" s="56">
        <v>0.13553559066666668</v>
      </c>
      <c r="P1414" s="56">
        <v>1016516.93</v>
      </c>
      <c r="Q1414" s="56">
        <v>0.13553559066666668</v>
      </c>
      <c r="T1414" s="56">
        <v>1016516.93</v>
      </c>
      <c r="U1414" s="56" t="s">
        <v>2590</v>
      </c>
      <c r="V1414" s="56" t="s">
        <v>2603</v>
      </c>
      <c r="W1414" s="56" t="s">
        <v>2604</v>
      </c>
    </row>
    <row r="1415" spans="9:23" x14ac:dyDescent="0.3">
      <c r="I1415" s="56" t="s">
        <v>27</v>
      </c>
      <c r="J1415" s="56" t="s">
        <v>116</v>
      </c>
      <c r="K1415" s="56" t="s">
        <v>26</v>
      </c>
      <c r="L1415" s="56">
        <v>2361969.35</v>
      </c>
      <c r="M1415" s="56">
        <v>0.39366155833333333</v>
      </c>
      <c r="N1415" s="56">
        <v>2361969.35</v>
      </c>
      <c r="O1415" s="56">
        <v>0.39366155833333333</v>
      </c>
      <c r="P1415" s="56">
        <v>2361969.35</v>
      </c>
      <c r="Q1415" s="56">
        <v>0.39366155833333333</v>
      </c>
      <c r="R1415" s="56">
        <v>2361969.35</v>
      </c>
      <c r="S1415" s="56">
        <v>0.39366155833333333</v>
      </c>
      <c r="T1415" s="56">
        <v>2361969.35</v>
      </c>
      <c r="U1415" s="56" t="s">
        <v>2645</v>
      </c>
      <c r="V1415" s="56" t="s">
        <v>2646</v>
      </c>
      <c r="W1415" s="56" t="s">
        <v>2647</v>
      </c>
    </row>
    <row r="1416" spans="9:23" x14ac:dyDescent="0.3">
      <c r="I1416" s="56" t="s">
        <v>27</v>
      </c>
      <c r="J1416" s="56" t="s">
        <v>116</v>
      </c>
      <c r="K1416" s="56" t="s">
        <v>26</v>
      </c>
      <c r="T1416" s="56">
        <v>40817830.979999997</v>
      </c>
      <c r="U1416" s="56" t="s">
        <v>2699</v>
      </c>
      <c r="V1416" s="56" t="s">
        <v>2704</v>
      </c>
      <c r="W1416" s="56" t="s">
        <v>2705</v>
      </c>
    </row>
    <row r="1417" spans="9:23" x14ac:dyDescent="0.3">
      <c r="I1417" s="56" t="s">
        <v>27</v>
      </c>
      <c r="J1417" s="56" t="s">
        <v>116</v>
      </c>
      <c r="K1417" s="56" t="s">
        <v>26</v>
      </c>
      <c r="L1417" s="56">
        <v>284904.05</v>
      </c>
      <c r="M1417" s="56">
        <v>9.4968016666666669E-2</v>
      </c>
      <c r="N1417" s="56">
        <v>284904.05</v>
      </c>
      <c r="O1417" s="56">
        <v>9.4968016666666669E-2</v>
      </c>
      <c r="P1417" s="56">
        <v>284904.05</v>
      </c>
      <c r="Q1417" s="56">
        <v>9.4968016666666669E-2</v>
      </c>
      <c r="T1417" s="56">
        <v>284904.05</v>
      </c>
      <c r="U1417" s="56" t="s">
        <v>2675</v>
      </c>
      <c r="V1417" s="56" t="s">
        <v>2682</v>
      </c>
      <c r="W1417" s="56" t="s">
        <v>2683</v>
      </c>
    </row>
    <row r="1418" spans="9:23" x14ac:dyDescent="0.3">
      <c r="I1418" s="56" t="s">
        <v>27</v>
      </c>
      <c r="J1418" s="56" t="s">
        <v>116</v>
      </c>
      <c r="K1418" s="56" t="s">
        <v>26</v>
      </c>
      <c r="T1418" s="56">
        <v>4441066.08</v>
      </c>
      <c r="U1418" s="56" t="s">
        <v>2676</v>
      </c>
      <c r="V1418" s="56" t="s">
        <v>2695</v>
      </c>
      <c r="W1418" s="56" t="s">
        <v>2696</v>
      </c>
    </row>
    <row r="1419" spans="9:23" x14ac:dyDescent="0.3">
      <c r="I1419" s="56" t="s">
        <v>27</v>
      </c>
      <c r="J1419" s="56" t="s">
        <v>116</v>
      </c>
      <c r="K1419" s="56" t="s">
        <v>26</v>
      </c>
      <c r="L1419" s="56">
        <v>3902659.98</v>
      </c>
      <c r="M1419" s="56">
        <v>0.195132999</v>
      </c>
      <c r="T1419" s="56">
        <v>3902659.98</v>
      </c>
      <c r="U1419" s="56" t="s">
        <v>3752</v>
      </c>
      <c r="V1419" s="56" t="s">
        <v>3764</v>
      </c>
      <c r="W1419" s="56" t="s">
        <v>3765</v>
      </c>
    </row>
    <row r="1420" spans="9:23" x14ac:dyDescent="0.3">
      <c r="I1420" s="56" t="s">
        <v>27</v>
      </c>
      <c r="J1420" s="56" t="s">
        <v>116</v>
      </c>
      <c r="K1420" s="56" t="s">
        <v>26</v>
      </c>
      <c r="T1420" s="56">
        <v>25219284.5</v>
      </c>
      <c r="U1420" s="56" t="s">
        <v>4916</v>
      </c>
      <c r="V1420" s="56" t="s">
        <v>4925</v>
      </c>
      <c r="W1420" s="56" t="s">
        <v>4926</v>
      </c>
    </row>
    <row r="1421" spans="9:23" x14ac:dyDescent="0.3">
      <c r="I1421" s="56" t="s">
        <v>27</v>
      </c>
      <c r="J1421" s="56" t="s">
        <v>26</v>
      </c>
      <c r="K1421" s="56" t="s">
        <v>26</v>
      </c>
      <c r="T1421" s="56">
        <v>4696111.6900000004</v>
      </c>
      <c r="U1421" s="56" t="s">
        <v>102</v>
      </c>
      <c r="V1421" s="56" t="s">
        <v>261</v>
      </c>
      <c r="W1421" s="56" t="s">
        <v>262</v>
      </c>
    </row>
    <row r="1422" spans="9:23" x14ac:dyDescent="0.3">
      <c r="I1422" s="56" t="s">
        <v>27</v>
      </c>
      <c r="J1422" s="56" t="s">
        <v>26</v>
      </c>
      <c r="K1422" s="56" t="s">
        <v>26</v>
      </c>
      <c r="L1422" s="56">
        <v>45390845.670000002</v>
      </c>
      <c r="M1422" s="56">
        <v>0.82528810309090905</v>
      </c>
      <c r="T1422" s="56">
        <v>45390845.670000002</v>
      </c>
      <c r="U1422" s="56" t="s">
        <v>432</v>
      </c>
      <c r="V1422" s="56" t="s">
        <v>433</v>
      </c>
      <c r="W1422" s="56" t="s">
        <v>434</v>
      </c>
    </row>
    <row r="1423" spans="9:23" x14ac:dyDescent="0.3">
      <c r="I1423" s="56" t="s">
        <v>27</v>
      </c>
      <c r="J1423" s="56" t="s">
        <v>26</v>
      </c>
      <c r="K1423" s="56" t="s">
        <v>26</v>
      </c>
      <c r="T1423" s="56">
        <v>11028394.18</v>
      </c>
      <c r="U1423" s="56" t="s">
        <v>440</v>
      </c>
      <c r="V1423" s="56" t="s">
        <v>448</v>
      </c>
      <c r="W1423" s="56" t="s">
        <v>449</v>
      </c>
    </row>
    <row r="1424" spans="9:23" x14ac:dyDescent="0.3">
      <c r="I1424" s="56" t="s">
        <v>27</v>
      </c>
      <c r="J1424" s="56" t="s">
        <v>26</v>
      </c>
      <c r="K1424" s="56" t="s">
        <v>26</v>
      </c>
      <c r="L1424" s="56">
        <v>23772661.25</v>
      </c>
      <c r="M1424" s="56">
        <v>0.54680271995182561</v>
      </c>
      <c r="N1424" s="56">
        <v>23772661.25</v>
      </c>
      <c r="O1424" s="56">
        <v>0.54680271995182561</v>
      </c>
      <c r="T1424" s="56">
        <v>23772661.25</v>
      </c>
      <c r="U1424" s="56" t="s">
        <v>606</v>
      </c>
      <c r="V1424" s="56" t="s">
        <v>608</v>
      </c>
      <c r="W1424" s="56" t="s">
        <v>609</v>
      </c>
    </row>
    <row r="1425" spans="9:23" x14ac:dyDescent="0.3">
      <c r="I1425" s="56" t="s">
        <v>27</v>
      </c>
      <c r="J1425" s="56" t="s">
        <v>26</v>
      </c>
      <c r="K1425" s="56" t="s">
        <v>26</v>
      </c>
      <c r="T1425" s="56">
        <v>37810420.979999997</v>
      </c>
      <c r="U1425" s="56" t="s">
        <v>638</v>
      </c>
      <c r="V1425" s="56" t="s">
        <v>642</v>
      </c>
      <c r="W1425" s="56" t="s">
        <v>643</v>
      </c>
    </row>
    <row r="1426" spans="9:23" x14ac:dyDescent="0.3">
      <c r="I1426" s="56" t="s">
        <v>27</v>
      </c>
      <c r="J1426" s="56" t="s">
        <v>26</v>
      </c>
      <c r="K1426" s="56" t="s">
        <v>26</v>
      </c>
      <c r="L1426" s="56">
        <v>53621693.109999999</v>
      </c>
      <c r="M1426" s="56">
        <v>0.82494912476923077</v>
      </c>
      <c r="T1426" s="56">
        <v>53621693.109999999</v>
      </c>
      <c r="U1426" s="56" t="s">
        <v>709</v>
      </c>
      <c r="V1426" s="56" t="s">
        <v>711</v>
      </c>
      <c r="W1426" s="56" t="s">
        <v>712</v>
      </c>
    </row>
    <row r="1427" spans="9:23" x14ac:dyDescent="0.3">
      <c r="I1427" s="56" t="s">
        <v>27</v>
      </c>
      <c r="J1427" s="56" t="s">
        <v>26</v>
      </c>
      <c r="K1427" s="56" t="s">
        <v>26</v>
      </c>
      <c r="L1427" s="56">
        <v>27775734.129999999</v>
      </c>
      <c r="M1427" s="56">
        <v>0.8679916915625</v>
      </c>
      <c r="N1427" s="56">
        <v>27775734.129999999</v>
      </c>
      <c r="O1427" s="56">
        <v>0.8679916915625</v>
      </c>
      <c r="T1427" s="56">
        <v>27775734.129999999</v>
      </c>
      <c r="U1427" s="56" t="s">
        <v>787</v>
      </c>
      <c r="V1427" s="56" t="s">
        <v>790</v>
      </c>
      <c r="W1427" s="56" t="s">
        <v>791</v>
      </c>
    </row>
    <row r="1428" spans="9:23" x14ac:dyDescent="0.3">
      <c r="I1428" s="56" t="s">
        <v>27</v>
      </c>
      <c r="J1428" s="56" t="s">
        <v>26</v>
      </c>
      <c r="K1428" s="56" t="s">
        <v>26</v>
      </c>
      <c r="L1428" s="56">
        <v>40605470.369999997</v>
      </c>
      <c r="M1428" s="56">
        <v>0.81210940740000004</v>
      </c>
      <c r="T1428" s="56">
        <v>40605470.369999997</v>
      </c>
      <c r="U1428" s="56" t="s">
        <v>845</v>
      </c>
      <c r="V1428" s="56" t="s">
        <v>850</v>
      </c>
      <c r="W1428" s="56" t="s">
        <v>851</v>
      </c>
    </row>
    <row r="1429" spans="9:23" x14ac:dyDescent="0.3">
      <c r="I1429" s="56" t="s">
        <v>27</v>
      </c>
      <c r="J1429" s="56" t="s">
        <v>26</v>
      </c>
      <c r="K1429" s="56" t="s">
        <v>26</v>
      </c>
      <c r="T1429" s="56">
        <v>10112540.810000001</v>
      </c>
      <c r="U1429" s="56" t="s">
        <v>1090</v>
      </c>
      <c r="V1429" s="56" t="s">
        <v>1095</v>
      </c>
      <c r="W1429" s="56" t="s">
        <v>1096</v>
      </c>
    </row>
    <row r="1430" spans="9:23" x14ac:dyDescent="0.3">
      <c r="I1430" s="56" t="s">
        <v>27</v>
      </c>
      <c r="J1430" s="56" t="s">
        <v>26</v>
      </c>
      <c r="K1430" s="56" t="s">
        <v>26</v>
      </c>
      <c r="L1430" s="56">
        <v>16757272.619999999</v>
      </c>
      <c r="M1430" s="56">
        <v>0.33514545239999999</v>
      </c>
      <c r="N1430" s="56">
        <v>16757272.619999999</v>
      </c>
      <c r="O1430" s="56">
        <v>0.33514545239999999</v>
      </c>
      <c r="T1430" s="56">
        <v>16757272.619999999</v>
      </c>
      <c r="U1430" s="56" t="s">
        <v>1047</v>
      </c>
      <c r="V1430" s="56" t="s">
        <v>1048</v>
      </c>
      <c r="W1430" s="56" t="s">
        <v>1049</v>
      </c>
    </row>
    <row r="1431" spans="9:23" x14ac:dyDescent="0.3">
      <c r="I1431" s="56" t="s">
        <v>27</v>
      </c>
      <c r="J1431" s="56" t="s">
        <v>26</v>
      </c>
      <c r="K1431" s="56" t="s">
        <v>26</v>
      </c>
      <c r="L1431" s="56">
        <v>19592683.27</v>
      </c>
      <c r="M1431" s="56">
        <v>0.3918536654</v>
      </c>
      <c r="T1431" s="56">
        <v>19592683.27</v>
      </c>
      <c r="U1431" s="56" t="s">
        <v>1227</v>
      </c>
      <c r="V1431" s="56" t="s">
        <v>1231</v>
      </c>
      <c r="W1431" s="56" t="s">
        <v>1232</v>
      </c>
    </row>
    <row r="1432" spans="9:23" x14ac:dyDescent="0.3">
      <c r="I1432" s="56" t="s">
        <v>27</v>
      </c>
      <c r="J1432" s="56" t="s">
        <v>26</v>
      </c>
      <c r="K1432" s="56" t="s">
        <v>26</v>
      </c>
      <c r="L1432" s="56">
        <v>3159139.76</v>
      </c>
      <c r="M1432" s="56">
        <v>5.7438904727272727E-2</v>
      </c>
      <c r="T1432" s="56">
        <v>3159139.76</v>
      </c>
      <c r="U1432" s="56" t="s">
        <v>1554</v>
      </c>
      <c r="V1432" s="56" t="s">
        <v>1569</v>
      </c>
      <c r="W1432" s="56" t="s">
        <v>1570</v>
      </c>
    </row>
    <row r="1433" spans="9:23" x14ac:dyDescent="0.3">
      <c r="I1433" s="56" t="s">
        <v>27</v>
      </c>
      <c r="J1433" s="56" t="s">
        <v>26</v>
      </c>
      <c r="K1433" s="56" t="s">
        <v>26</v>
      </c>
      <c r="L1433" s="56">
        <v>1839707.8</v>
      </c>
      <c r="M1433" s="56">
        <v>0.61323593333333337</v>
      </c>
      <c r="T1433" s="56">
        <v>1839707.8</v>
      </c>
      <c r="U1433" s="56" t="s">
        <v>4927</v>
      </c>
      <c r="V1433" s="56" t="s">
        <v>4930</v>
      </c>
      <c r="W1433" s="56" t="s">
        <v>4931</v>
      </c>
    </row>
    <row r="1434" spans="9:23" x14ac:dyDescent="0.3">
      <c r="I1434" s="56" t="s">
        <v>27</v>
      </c>
      <c r="J1434" s="56" t="s">
        <v>26</v>
      </c>
      <c r="K1434" s="56" t="s">
        <v>26</v>
      </c>
      <c r="T1434" s="56">
        <v>2892738.38</v>
      </c>
      <c r="U1434" s="56" t="s">
        <v>4417</v>
      </c>
      <c r="V1434" s="56" t="s">
        <v>4426</v>
      </c>
      <c r="W1434" s="56" t="s">
        <v>4427</v>
      </c>
    </row>
    <row r="1435" spans="9:23" x14ac:dyDescent="0.3">
      <c r="I1435" s="56" t="s">
        <v>27</v>
      </c>
      <c r="J1435" s="56" t="s">
        <v>26</v>
      </c>
      <c r="K1435" s="56" t="s">
        <v>26</v>
      </c>
      <c r="T1435" s="56">
        <v>30996850.809999999</v>
      </c>
      <c r="U1435" s="56" t="s">
        <v>4501</v>
      </c>
      <c r="V1435" s="56" t="s">
        <v>4510</v>
      </c>
      <c r="W1435" s="56" t="s">
        <v>4511</v>
      </c>
    </row>
    <row r="1436" spans="9:23" x14ac:dyDescent="0.3">
      <c r="I1436" s="56" t="s">
        <v>27</v>
      </c>
      <c r="J1436" s="56" t="s">
        <v>26</v>
      </c>
      <c r="K1436" s="56" t="s">
        <v>26</v>
      </c>
      <c r="T1436" s="56">
        <v>21961068.010000002</v>
      </c>
      <c r="U1436" s="56" t="s">
        <v>4737</v>
      </c>
      <c r="V1436" s="56" t="s">
        <v>4741</v>
      </c>
      <c r="W1436" s="56" t="s">
        <v>4742</v>
      </c>
    </row>
    <row r="1437" spans="9:23" x14ac:dyDescent="0.3">
      <c r="I1437" s="56" t="s">
        <v>27</v>
      </c>
      <c r="J1437" s="56" t="s">
        <v>26</v>
      </c>
      <c r="K1437" s="56" t="s">
        <v>26</v>
      </c>
      <c r="L1437" s="56">
        <v>6655628.54</v>
      </c>
      <c r="M1437" s="56">
        <v>0.66556285400000004</v>
      </c>
      <c r="T1437" s="56">
        <v>6655628.54</v>
      </c>
      <c r="U1437" s="56" t="s">
        <v>5063</v>
      </c>
      <c r="V1437" s="56" t="s">
        <v>5067</v>
      </c>
      <c r="W1437" s="56" t="s">
        <v>5068</v>
      </c>
    </row>
    <row r="1438" spans="9:23" x14ac:dyDescent="0.3">
      <c r="I1438" s="56" t="s">
        <v>27</v>
      </c>
      <c r="J1438" s="56" t="s">
        <v>26</v>
      </c>
      <c r="K1438" s="56" t="s">
        <v>26</v>
      </c>
      <c r="T1438" s="56">
        <v>24838780.449999999</v>
      </c>
      <c r="U1438" s="56" t="s">
        <v>1851</v>
      </c>
      <c r="V1438" s="56" t="s">
        <v>1852</v>
      </c>
      <c r="W1438" s="56" t="s">
        <v>1853</v>
      </c>
    </row>
    <row r="1439" spans="9:23" x14ac:dyDescent="0.3">
      <c r="I1439" s="56" t="s">
        <v>27</v>
      </c>
      <c r="J1439" s="56" t="s">
        <v>26</v>
      </c>
      <c r="K1439" s="56" t="s">
        <v>26</v>
      </c>
      <c r="T1439" s="56">
        <v>8344162.3600000003</v>
      </c>
      <c r="U1439" s="56" t="s">
        <v>2188</v>
      </c>
      <c r="V1439" s="56" t="s">
        <v>2210</v>
      </c>
      <c r="W1439" s="56" t="s">
        <v>2211</v>
      </c>
    </row>
    <row r="1440" spans="9:23" x14ac:dyDescent="0.3">
      <c r="I1440" s="56" t="s">
        <v>27</v>
      </c>
      <c r="J1440" s="56" t="s">
        <v>26</v>
      </c>
      <c r="K1440" s="56" t="s">
        <v>26</v>
      </c>
      <c r="T1440" s="56">
        <v>16818655.809999999</v>
      </c>
      <c r="U1440" s="56" t="s">
        <v>2281</v>
      </c>
      <c r="V1440" s="56" t="s">
        <v>2289</v>
      </c>
      <c r="W1440" s="56" t="s">
        <v>2290</v>
      </c>
    </row>
    <row r="1441" spans="9:23" x14ac:dyDescent="0.3">
      <c r="I1441" s="56" t="s">
        <v>27</v>
      </c>
      <c r="J1441" s="56" t="s">
        <v>26</v>
      </c>
      <c r="K1441" s="56" t="s">
        <v>26</v>
      </c>
      <c r="T1441" s="56">
        <v>13785492.76</v>
      </c>
      <c r="U1441" s="56" t="s">
        <v>2386</v>
      </c>
      <c r="V1441" s="56" t="s">
        <v>2410</v>
      </c>
      <c r="W1441" s="56" t="s">
        <v>2411</v>
      </c>
    </row>
    <row r="1442" spans="9:23" x14ac:dyDescent="0.3">
      <c r="I1442" s="56" t="s">
        <v>27</v>
      </c>
      <c r="J1442" s="56" t="s">
        <v>26</v>
      </c>
      <c r="K1442" s="56" t="s">
        <v>26</v>
      </c>
      <c r="L1442" s="56">
        <v>24881055.620000001</v>
      </c>
      <c r="M1442" s="56">
        <v>0.62202639049999997</v>
      </c>
      <c r="T1442" s="56">
        <v>24881055.620000001</v>
      </c>
      <c r="U1442" s="56" t="s">
        <v>2371</v>
      </c>
      <c r="V1442" s="56" t="s">
        <v>2375</v>
      </c>
      <c r="W1442" s="56" t="s">
        <v>2376</v>
      </c>
    </row>
    <row r="1443" spans="9:23" x14ac:dyDescent="0.3">
      <c r="I1443" s="56" t="s">
        <v>27</v>
      </c>
      <c r="J1443" s="56" t="s">
        <v>26</v>
      </c>
      <c r="K1443" s="56" t="s">
        <v>26</v>
      </c>
      <c r="L1443" s="56">
        <v>4462763.1399999997</v>
      </c>
      <c r="M1443" s="56">
        <v>0.74379385666666664</v>
      </c>
      <c r="N1443" s="56">
        <v>4462763.1399999997</v>
      </c>
      <c r="O1443" s="56">
        <v>0.74379385666666664</v>
      </c>
      <c r="P1443" s="56">
        <v>4462763.1399999997</v>
      </c>
      <c r="Q1443" s="56">
        <v>0.74379385666666664</v>
      </c>
      <c r="T1443" s="56">
        <v>4462763.1399999997</v>
      </c>
      <c r="U1443" s="56" t="s">
        <v>2361</v>
      </c>
      <c r="V1443" s="56" t="s">
        <v>2368</v>
      </c>
      <c r="W1443" s="56" t="s">
        <v>2369</v>
      </c>
    </row>
    <row r="1444" spans="9:23" x14ac:dyDescent="0.3">
      <c r="I1444" s="56" t="s">
        <v>27</v>
      </c>
      <c r="J1444" s="56" t="s">
        <v>26</v>
      </c>
      <c r="K1444" s="56" t="s">
        <v>26</v>
      </c>
      <c r="L1444" s="56">
        <v>2878975.82</v>
      </c>
      <c r="M1444" s="56">
        <v>0.47982930333333329</v>
      </c>
      <c r="T1444" s="56">
        <v>2878975.82</v>
      </c>
      <c r="U1444" s="56" t="s">
        <v>2486</v>
      </c>
      <c r="V1444" s="56" t="s">
        <v>2487</v>
      </c>
      <c r="W1444" s="56" t="s">
        <v>2488</v>
      </c>
    </row>
    <row r="1445" spans="9:23" x14ac:dyDescent="0.3">
      <c r="I1445" s="56" t="s">
        <v>27</v>
      </c>
      <c r="J1445" s="56" t="s">
        <v>26</v>
      </c>
      <c r="K1445" s="56" t="s">
        <v>26</v>
      </c>
      <c r="L1445" s="56">
        <v>1342599.66</v>
      </c>
      <c r="M1445" s="56">
        <v>0.44753322000000001</v>
      </c>
      <c r="T1445" s="56">
        <v>1342599.66</v>
      </c>
      <c r="U1445" s="56" t="s">
        <v>2713</v>
      </c>
      <c r="V1445" s="56" t="s">
        <v>2720</v>
      </c>
      <c r="W1445" s="56" t="s">
        <v>2721</v>
      </c>
    </row>
    <row r="1446" spans="9:23" x14ac:dyDescent="0.3">
      <c r="I1446" s="56" t="s">
        <v>27</v>
      </c>
      <c r="J1446" s="56" t="s">
        <v>26</v>
      </c>
      <c r="K1446" s="56" t="s">
        <v>26</v>
      </c>
      <c r="T1446" s="56">
        <v>526224.96</v>
      </c>
      <c r="U1446" s="56" t="s">
        <v>3546</v>
      </c>
      <c r="V1446" s="56" t="s">
        <v>3597</v>
      </c>
      <c r="W1446" s="56" t="s">
        <v>3598</v>
      </c>
    </row>
    <row r="1447" spans="9:23" x14ac:dyDescent="0.3">
      <c r="I1447" s="56" t="s">
        <v>27</v>
      </c>
      <c r="J1447" s="56" t="s">
        <v>26</v>
      </c>
      <c r="K1447" s="56" t="s">
        <v>26</v>
      </c>
      <c r="T1447" s="56">
        <v>18720282</v>
      </c>
      <c r="U1447" s="56" t="s">
        <v>4070</v>
      </c>
      <c r="V1447" s="56" t="s">
        <v>4073</v>
      </c>
      <c r="W1447" s="56" t="s">
        <v>4074</v>
      </c>
    </row>
    <row r="1448" spans="9:23" x14ac:dyDescent="0.3">
      <c r="I1448" s="56" t="s">
        <v>27</v>
      </c>
      <c r="J1448" s="56" t="s">
        <v>26</v>
      </c>
      <c r="K1448" s="56" t="s">
        <v>26</v>
      </c>
      <c r="T1448" s="56">
        <v>4729018.76</v>
      </c>
      <c r="U1448" s="56" t="s">
        <v>4419</v>
      </c>
      <c r="V1448" s="56" t="s">
        <v>4436</v>
      </c>
      <c r="W1448" s="56" t="s">
        <v>4437</v>
      </c>
    </row>
    <row r="1449" spans="9:23" x14ac:dyDescent="0.3">
      <c r="I1449" s="56" t="s">
        <v>27</v>
      </c>
      <c r="J1449" s="56" t="s">
        <v>26</v>
      </c>
      <c r="K1449" s="56" t="s">
        <v>26</v>
      </c>
      <c r="T1449" s="56">
        <v>4767156.04</v>
      </c>
      <c r="U1449" s="56" t="s">
        <v>4446</v>
      </c>
      <c r="V1449" s="56" t="s">
        <v>4447</v>
      </c>
      <c r="W1449" s="56" t="s">
        <v>4448</v>
      </c>
    </row>
    <row r="1450" spans="9:23" x14ac:dyDescent="0.3">
      <c r="I1450" s="56" t="s">
        <v>27</v>
      </c>
      <c r="J1450" s="56" t="s">
        <v>26</v>
      </c>
      <c r="K1450" s="56" t="s">
        <v>26</v>
      </c>
      <c r="T1450" s="56">
        <v>4457052.66</v>
      </c>
      <c r="U1450" s="56" t="s">
        <v>4418</v>
      </c>
      <c r="V1450" s="56" t="s">
        <v>4439</v>
      </c>
      <c r="W1450" s="56" t="s">
        <v>4440</v>
      </c>
    </row>
    <row r="1451" spans="9:23" x14ac:dyDescent="0.3">
      <c r="I1451" s="56" t="s">
        <v>27</v>
      </c>
      <c r="J1451" s="56" t="s">
        <v>26</v>
      </c>
      <c r="K1451" s="56" t="s">
        <v>26</v>
      </c>
      <c r="L1451" s="56">
        <v>29531050.489999998</v>
      </c>
      <c r="M1451" s="56">
        <v>0.73827626224999998</v>
      </c>
      <c r="T1451" s="56">
        <v>29531050.489999998</v>
      </c>
      <c r="U1451" s="56" t="s">
        <v>4952</v>
      </c>
      <c r="V1451" s="56" t="s">
        <v>4959</v>
      </c>
      <c r="W1451" s="56" t="s">
        <v>4960</v>
      </c>
    </row>
    <row r="1452" spans="9:23" x14ac:dyDescent="0.3">
      <c r="I1452" s="56" t="s">
        <v>27</v>
      </c>
      <c r="J1452" s="56" t="s">
        <v>26</v>
      </c>
      <c r="K1452" s="56" t="s">
        <v>26</v>
      </c>
      <c r="L1452" s="56">
        <v>12272472.66</v>
      </c>
      <c r="M1452" s="56">
        <v>0.81274653377483441</v>
      </c>
      <c r="T1452" s="56">
        <v>12272472.66</v>
      </c>
      <c r="U1452" s="56" t="s">
        <v>5035</v>
      </c>
      <c r="V1452" s="56" t="s">
        <v>5036</v>
      </c>
      <c r="W1452" s="56" t="s">
        <v>5037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V1322"/>
  <sheetViews>
    <sheetView zoomScale="50" zoomScaleNormal="50" workbookViewId="0">
      <selection activeCell="D9" sqref="D9"/>
    </sheetView>
  </sheetViews>
  <sheetFormatPr defaultRowHeight="13.2" x14ac:dyDescent="0.25"/>
  <cols>
    <col min="1" max="1" width="61.88671875" customWidth="1"/>
    <col min="2" max="2" width="61.5546875" customWidth="1"/>
    <col min="3" max="3" width="76.109375" customWidth="1"/>
    <col min="4" max="4" width="31.88671875" customWidth="1"/>
    <col min="5" max="5" width="19.5546875" customWidth="1"/>
    <col min="6" max="6" width="27.5546875" bestFit="1" customWidth="1"/>
    <col min="7" max="7" width="32.44140625" customWidth="1"/>
    <col min="8" max="8" width="23" customWidth="1"/>
    <col min="9" max="9" width="37.33203125" customWidth="1"/>
    <col min="10" max="10" width="37" customWidth="1"/>
    <col min="11" max="11" width="23" customWidth="1"/>
    <col min="12" max="12" width="37.33203125" customWidth="1"/>
    <col min="13" max="13" width="39" customWidth="1"/>
    <col min="14" max="14" width="25.33203125" customWidth="1"/>
    <col min="15" max="15" width="29.5546875" bestFit="1" customWidth="1"/>
    <col min="16" max="16" width="45.5546875" customWidth="1"/>
    <col min="17" max="17" width="25.33203125" customWidth="1"/>
    <col min="18" max="18" width="37.33203125" customWidth="1"/>
    <col min="19" max="19" width="42.109375" customWidth="1"/>
    <col min="20" max="20" width="43" customWidth="1"/>
    <col min="23" max="23" width="8.88671875" customWidth="1"/>
  </cols>
  <sheetData>
    <row r="1" spans="1:22" ht="13.8" thickBot="1" x14ac:dyDescent="0.3">
      <c r="D1" s="249"/>
      <c r="E1" s="250"/>
      <c r="F1" s="251"/>
      <c r="G1" s="252"/>
      <c r="H1" s="250"/>
      <c r="I1" s="251"/>
      <c r="J1" s="253"/>
      <c r="K1" s="250"/>
      <c r="L1" s="251"/>
      <c r="M1" s="249"/>
      <c r="N1" s="250"/>
      <c r="O1" s="251"/>
      <c r="P1" s="249"/>
      <c r="Q1" s="254"/>
      <c r="R1" s="255"/>
      <c r="S1" s="256"/>
      <c r="T1" s="254"/>
    </row>
    <row r="2" spans="1:22" ht="30" customHeight="1" thickBot="1" x14ac:dyDescent="0.3">
      <c r="A2" s="257"/>
      <c r="B2" s="257"/>
      <c r="C2" s="257"/>
      <c r="D2" s="258" t="s">
        <v>1202</v>
      </c>
      <c r="E2" s="683" t="s">
        <v>315</v>
      </c>
      <c r="F2" s="305" t="s">
        <v>3301</v>
      </c>
      <c r="G2" s="260" t="s">
        <v>1787</v>
      </c>
      <c r="H2" s="683" t="s">
        <v>315</v>
      </c>
      <c r="I2" s="261" t="s">
        <v>3300</v>
      </c>
      <c r="J2" s="684" t="s">
        <v>1788</v>
      </c>
      <c r="K2" s="683" t="s">
        <v>315</v>
      </c>
      <c r="L2" s="259" t="s">
        <v>3300</v>
      </c>
      <c r="M2" s="685" t="s">
        <v>1789</v>
      </c>
      <c r="N2" s="683" t="s">
        <v>315</v>
      </c>
      <c r="O2" s="305" t="s">
        <v>3301</v>
      </c>
      <c r="P2" s="689"/>
      <c r="Q2" s="686" t="s">
        <v>1790</v>
      </c>
      <c r="R2" s="261" t="s">
        <v>3300</v>
      </c>
      <c r="S2" s="871" t="s">
        <v>1791</v>
      </c>
      <c r="T2" s="872"/>
    </row>
    <row r="3" spans="1:22" s="308" customFormat="1" ht="36" customHeight="1" thickBot="1" x14ac:dyDescent="0.3">
      <c r="A3" s="301" t="s">
        <v>1792</v>
      </c>
      <c r="B3" s="302"/>
      <c r="C3" s="302"/>
      <c r="D3" s="303">
        <f>SUM(D6:D3818)</f>
        <v>7375718562.2399979</v>
      </c>
      <c r="E3" s="687">
        <f>D3/P3</f>
        <v>0.4452335159310043</v>
      </c>
      <c r="F3" s="305">
        <f>SUM(F6:F3818)</f>
        <v>626</v>
      </c>
      <c r="G3" s="306">
        <f>SUM(G6:G3818)</f>
        <v>2414924073.4999995</v>
      </c>
      <c r="H3" s="687">
        <f>G3/P3</f>
        <v>0.14577632360531514</v>
      </c>
      <c r="I3" s="305">
        <f>SUM(I6:I3818)</f>
        <v>234</v>
      </c>
      <c r="J3" s="306">
        <f>SUM(J6:J3818)</f>
        <v>814021126.85999966</v>
      </c>
      <c r="K3" s="687">
        <f>J3/P3</f>
        <v>4.913819383096503E-2</v>
      </c>
      <c r="L3" s="305">
        <f>SUM(L6:L3818)</f>
        <v>90</v>
      </c>
      <c r="M3" s="306">
        <f>SUM(M6:M3818)</f>
        <v>193034156.81999999</v>
      </c>
      <c r="N3" s="304">
        <f>M3/P3</f>
        <v>1.1652461466702704E-2</v>
      </c>
      <c r="O3" s="305">
        <f>SUM(O6:O3818)</f>
        <v>18</v>
      </c>
      <c r="P3" s="306">
        <f>SUM(P6:P3818)</f>
        <v>16565955388.189999</v>
      </c>
      <c r="Q3" s="307"/>
      <c r="R3" s="688">
        <f>SUM(R6:R3818)</f>
        <v>1451</v>
      </c>
      <c r="S3" s="873"/>
      <c r="T3" s="874"/>
    </row>
    <row r="4" spans="1:22" ht="20.399999999999999" x14ac:dyDescent="0.3">
      <c r="A4" s="262"/>
      <c r="B4" s="262"/>
      <c r="C4" s="262"/>
      <c r="D4" s="263"/>
      <c r="E4" s="264"/>
      <c r="F4" s="265"/>
      <c r="G4" s="266"/>
      <c r="H4" s="264"/>
      <c r="I4" s="265"/>
      <c r="J4" s="263"/>
      <c r="K4" s="264"/>
      <c r="L4" s="265"/>
      <c r="M4" s="263"/>
      <c r="N4" s="264"/>
      <c r="O4" s="265"/>
      <c r="P4" s="263"/>
      <c r="Q4" s="267"/>
      <c r="R4" s="268"/>
      <c r="S4" s="269"/>
      <c r="T4" s="270"/>
    </row>
    <row r="5" spans="1:22" ht="23.4" x14ac:dyDescent="0.4">
      <c r="A5" s="271" t="s">
        <v>21</v>
      </c>
      <c r="B5" s="271" t="s">
        <v>319</v>
      </c>
      <c r="C5" s="271" t="s">
        <v>1793</v>
      </c>
      <c r="D5" s="272" t="s">
        <v>1794</v>
      </c>
      <c r="E5" s="273" t="s">
        <v>1795</v>
      </c>
      <c r="F5" s="274" t="s">
        <v>3303</v>
      </c>
      <c r="G5" s="275" t="s">
        <v>1796</v>
      </c>
      <c r="H5" s="273" t="s">
        <v>1797</v>
      </c>
      <c r="I5" s="274" t="s">
        <v>1798</v>
      </c>
      <c r="J5" s="272" t="s">
        <v>1799</v>
      </c>
      <c r="K5" s="273" t="s">
        <v>1800</v>
      </c>
      <c r="L5" s="274" t="s">
        <v>1801</v>
      </c>
      <c r="M5" s="272" t="s">
        <v>1802</v>
      </c>
      <c r="N5" s="273" t="s">
        <v>1803</v>
      </c>
      <c r="O5" s="274" t="s">
        <v>3302</v>
      </c>
      <c r="P5" s="272" t="s">
        <v>1804</v>
      </c>
      <c r="Q5" s="276" t="s">
        <v>1805</v>
      </c>
      <c r="R5" s="277" t="s">
        <v>1806</v>
      </c>
      <c r="S5" s="278" t="s">
        <v>1807</v>
      </c>
      <c r="T5" s="279" t="s">
        <v>1808</v>
      </c>
      <c r="U5" s="271"/>
      <c r="V5" s="271"/>
    </row>
    <row r="6" spans="1:22" ht="22.8" x14ac:dyDescent="0.4">
      <c r="A6" s="280" t="s">
        <v>25</v>
      </c>
      <c r="B6" s="280" t="s">
        <v>26</v>
      </c>
      <c r="C6" s="280" t="s">
        <v>26</v>
      </c>
      <c r="D6" s="281">
        <f>SUMIFS(DelinquencyPerSector!$L$2:$L$5000,DelinquencyPerSector!$K$2:$K$5000, "="&amp;C6, DelinquencyPerSector!$J$2:$J$5000, "="&amp;B6,DelinquencyPerSector!$I$2:$I$5000,"="&amp;A6)</f>
        <v>755365458.08999979</v>
      </c>
      <c r="E6" s="282">
        <f t="shared" ref="E6:E37" si="0">D6/$D$3</f>
        <v>0.10241245672755118</v>
      </c>
      <c r="F6" s="283">
        <f>COUNTIFS(DelinquencyPerSector!$I:$I, "="&amp;A6, DelinquencyPerSector!$J:$J, "="&amp;B6,DelinquencyPerSector!$K:$K, "="&amp;C6,DelinquencyPerSector!$L:$L, "&gt;0")</f>
        <v>72</v>
      </c>
      <c r="G6" s="284">
        <f>SUMIFS(DelinquencyPerSector!$N$2:$N$5000, DelinquencyPerSector!$K$2:$K$5000, "="&amp;C6, DelinquencyPerSector!$J$2:$J$5000, "="&amp;B6, DelinquencyPerSector!$I$2:$I$5000,"="&amp;A6)</f>
        <v>337117796.6699999</v>
      </c>
      <c r="H6" s="282">
        <f t="shared" ref="H6:H37" si="1">G6/$G$3</f>
        <v>0.13959767943404039</v>
      </c>
      <c r="I6" s="283">
        <f>COUNTIFS(DelinquencyPerSector!$I:$I, "="&amp;A6, DelinquencyPerSector!$J:$J, "="&amp;B6,DelinquencyPerSector!$K:$K, "="&amp;C6,DelinquencyPerSector!$N:$N, "&gt;0")</f>
        <v>28</v>
      </c>
      <c r="J6" s="281">
        <f>SUMIFS(DelinquencyPerSector!$P$2:$P$5000, DelinquencyPerSector!$K$2:$K$5000, "="&amp;C6, DelinquencyPerSector!$J$2:$J$5000, "="&amp;B6, DelinquencyPerSector!$I$2:$I$5000,"="&amp;A6)</f>
        <v>141519186.87999997</v>
      </c>
      <c r="K6" s="282">
        <f t="shared" ref="K6:K37" si="2">J6/$J$3</f>
        <v>0.17385198271928795</v>
      </c>
      <c r="L6" s="283">
        <f>COUNTIFS(DelinquencyPerSector!$I:$I, "="&amp;A6, DelinquencyPerSector!$J:$J, "="&amp;B6,DelinquencyPerSector!$K:$K, "="&amp;C6,DelinquencyPerSector!$P:$P, "&gt;0")</f>
        <v>10</v>
      </c>
      <c r="M6" s="285">
        <f>SUMIFS(DelinquencyPerSector!$R$2:$R$5000,DelinquencyPerSector!$K$2:$K$5000, "="&amp;C6, DelinquencyPerSector!$J$2:$J$5000, "="&amp;B6,DelinquencyPerSector!$I$2:$I$5000,"="&amp;A6)</f>
        <v>48442901.219999999</v>
      </c>
      <c r="N6" s="282">
        <f t="shared" ref="N6:N37" si="3">M6/$M$3</f>
        <v>0.25095507457352179</v>
      </c>
      <c r="O6" s="283">
        <f>COUNTIFS(DelinquencyPerSector!$I:$I, "="&amp;A6, DelinquencyPerSector!$J:$J, "="&amp;B6,DelinquencyPerSector!$K:$K, "="&amp;C6,DelinquencyPerSector!$R:$R, "&gt;0")</f>
        <v>1</v>
      </c>
      <c r="P6" s="281">
        <v>1125780091.5599999</v>
      </c>
      <c r="Q6" s="286">
        <f t="shared" ref="Q6:Q37" si="4">P6/$P$3</f>
        <v>6.7957450396285479E-2</v>
      </c>
      <c r="R6" s="287">
        <f>COUNTIFS(DelinquencyPerSector!$I:$I, "="&amp;A6, DelinquencyPerSector!$J:$J, "="&amp;B6,DelinquencyPerSector!$K:$K, "="&amp;C6)</f>
        <v>126</v>
      </c>
      <c r="S6" s="288">
        <f>Table_ExternalData_18[[#This Row],[Total Port%]]-Table_ExternalData_18[[#This Row],[PAR 30+%]]</f>
        <v>-7.164022903775491E-2</v>
      </c>
      <c r="T6" s="289">
        <f>Table_ExternalData_18[[#This Row],[Total Port%]]-Table_ExternalData_18[[#This Row],[PAR 90+%]]</f>
        <v>-0.10589453232300247</v>
      </c>
      <c r="U6" s="280"/>
      <c r="V6" s="280"/>
    </row>
    <row r="7" spans="1:22" ht="22.8" x14ac:dyDescent="0.4">
      <c r="A7" s="280" t="s">
        <v>25</v>
      </c>
      <c r="B7" s="280" t="s">
        <v>88</v>
      </c>
      <c r="C7" s="280" t="s">
        <v>285</v>
      </c>
      <c r="D7" s="281">
        <f>SUMIFS(DelinquencyPerSector!$L$2:$L$5000,DelinquencyPerSector!$K$2:$K$5000, "="&amp;C7, DelinquencyPerSector!$J$2:$J$5000, "="&amp;B7,DelinquencyPerSector!$I$2:$I$5000,"="&amp;A7)</f>
        <v>759426905.84000015</v>
      </c>
      <c r="E7" s="282">
        <f t="shared" si="0"/>
        <v>0.10296310785607891</v>
      </c>
      <c r="F7" s="283">
        <f>COUNTIFS(DelinquencyPerSector!$I:$I, "="&amp;A7, DelinquencyPerSector!$J:$J, "="&amp;B7,DelinquencyPerSector!$K:$K, "="&amp;C7,DelinquencyPerSector!$L:$L, "&gt;0")</f>
        <v>87</v>
      </c>
      <c r="G7" s="284">
        <f>SUMIFS(DelinquencyPerSector!$N$2:$N$5000, DelinquencyPerSector!$K$2:$K$5000, "="&amp;C7, DelinquencyPerSector!$J$2:$J$5000, "="&amp;B7, DelinquencyPerSector!$I$2:$I$5000,"="&amp;A7)</f>
        <v>246920353.16999999</v>
      </c>
      <c r="H7" s="282">
        <f t="shared" si="1"/>
        <v>0.10224766727847191</v>
      </c>
      <c r="I7" s="283">
        <f>COUNTIFS(DelinquencyPerSector!$I:$I, "="&amp;A7, DelinquencyPerSector!$J:$J, "="&amp;B7,DelinquencyPerSector!$K:$K, "="&amp;C7,DelinquencyPerSector!$N:$N, "&gt;0")</f>
        <v>21</v>
      </c>
      <c r="J7" s="281">
        <f>SUMIFS(DelinquencyPerSector!$P$2:$P$5000, DelinquencyPerSector!$K$2:$K$5000, "="&amp;C7, DelinquencyPerSector!$J$2:$J$5000, "="&amp;B7, DelinquencyPerSector!$I$2:$I$5000,"="&amp;A7)</f>
        <v>81564432.430000007</v>
      </c>
      <c r="K7" s="282">
        <f t="shared" si="2"/>
        <v>0.10019940482948664</v>
      </c>
      <c r="L7" s="283">
        <f>COUNTIFS(DelinquencyPerSector!$I:$I, "="&amp;A7, DelinquencyPerSector!$J:$J, "="&amp;B7,DelinquencyPerSector!$K:$K, "="&amp;C7,DelinquencyPerSector!$P:$P, "&gt;0")</f>
        <v>6</v>
      </c>
      <c r="M7" s="285">
        <f>SUMIFS(DelinquencyPerSector!$R$2:$R$5000,DelinquencyPerSector!$K$2:$K$5000, "="&amp;C7, DelinquencyPerSector!$J$2:$J$5000, "="&amp;B7,DelinquencyPerSector!$I$2:$I$5000,"="&amp;A7)</f>
        <v>6516020.8599999994</v>
      </c>
      <c r="N7" s="282">
        <f t="shared" si="3"/>
        <v>3.3755792069877263E-2</v>
      </c>
      <c r="O7" s="283">
        <f>COUNTIFS(DelinquencyPerSector!$I:$I, "="&amp;A7, DelinquencyPerSector!$J:$J, "="&amp;B7,DelinquencyPerSector!$K:$K, "="&amp;C7,DelinquencyPerSector!$R:$R, "&gt;0")</f>
        <v>2</v>
      </c>
      <c r="P7" s="281">
        <v>2315895935.3699999</v>
      </c>
      <c r="Q7" s="290">
        <f t="shared" si="4"/>
        <v>0.13979851334267268</v>
      </c>
      <c r="R7" s="287">
        <f>COUNTIFS(DelinquencyPerSector!$I:$I, "="&amp;A7, DelinquencyPerSector!$J:$J, "="&amp;B7,DelinquencyPerSector!$K:$K, "="&amp;C7)</f>
        <v>307</v>
      </c>
      <c r="S7" s="288">
        <f>Table_ExternalData_18[[#This Row],[Total Port%]]-Table_ExternalData_18[[#This Row],[PAR 30+%]]</f>
        <v>3.7550846064200769E-2</v>
      </c>
      <c r="T7" s="289">
        <f>Table_ExternalData_18[[#This Row],[Total Port%]]-Table_ExternalData_18[[#This Row],[PAR 90+%]]</f>
        <v>3.9599108513186043E-2</v>
      </c>
      <c r="U7" s="280"/>
      <c r="V7" s="280"/>
    </row>
    <row r="8" spans="1:22" ht="22.8" x14ac:dyDescent="0.4">
      <c r="A8" s="280" t="s">
        <v>44</v>
      </c>
      <c r="B8" s="280" t="s">
        <v>75</v>
      </c>
      <c r="C8" s="280" t="s">
        <v>1442</v>
      </c>
      <c r="D8" s="281">
        <f>SUMIFS(DelinquencyPerSector!$L$2:$L$5000,DelinquencyPerSector!$K$2:$K$5000, "="&amp;C8, DelinquencyPerSector!$J$2:$J$5000, "="&amp;B8,DelinquencyPerSector!$I$2:$I$5000,"="&amp;A8)</f>
        <v>643906551.99999988</v>
      </c>
      <c r="E8" s="282">
        <f t="shared" si="0"/>
        <v>8.7300857071266308E-2</v>
      </c>
      <c r="F8" s="283">
        <f>COUNTIFS(DelinquencyPerSector!$I:$I, "="&amp;A8, DelinquencyPerSector!$J:$J, "="&amp;B8,DelinquencyPerSector!$K:$K, "="&amp;C8,DelinquencyPerSector!$L:$L, "&gt;0")</f>
        <v>52</v>
      </c>
      <c r="G8" s="284">
        <f>SUMIFS(DelinquencyPerSector!$N$2:$N$5000, DelinquencyPerSector!$K$2:$K$5000, "="&amp;C8, DelinquencyPerSector!$J$2:$J$5000, "="&amp;B8, DelinquencyPerSector!$I$2:$I$5000,"="&amp;A8)</f>
        <v>178090759.98999998</v>
      </c>
      <c r="H8" s="282">
        <f t="shared" si="1"/>
        <v>7.3745904454830064E-2</v>
      </c>
      <c r="I8" s="283">
        <f>COUNTIFS(DelinquencyPerSector!$I:$I, "="&amp;A8, DelinquencyPerSector!$J:$J, "="&amp;B8,DelinquencyPerSector!$K:$K, "="&amp;C8,DelinquencyPerSector!$N:$N, "&gt;0")</f>
        <v>18</v>
      </c>
      <c r="J8" s="281">
        <f>SUMIFS(DelinquencyPerSector!$P$2:$P$5000, DelinquencyPerSector!$K$2:$K$5000, "="&amp;C8, DelinquencyPerSector!$J$2:$J$5000, "="&amp;B8, DelinquencyPerSector!$I$2:$I$5000,"="&amp;A8)</f>
        <v>25258160.930000003</v>
      </c>
      <c r="K8" s="282">
        <f t="shared" si="2"/>
        <v>3.1028876397140557E-2</v>
      </c>
      <c r="L8" s="283">
        <f>COUNTIFS(DelinquencyPerSector!$I:$I, "="&amp;A8, DelinquencyPerSector!$J:$J, "="&amp;B8,DelinquencyPerSector!$K:$K, "="&amp;C8,DelinquencyPerSector!$P:$P, "&gt;0")</f>
        <v>8</v>
      </c>
      <c r="M8" s="285">
        <f>SUMIFS(DelinquencyPerSector!$R$2:$R$5000,DelinquencyPerSector!$K$2:$K$5000, "="&amp;C8, DelinquencyPerSector!$J$2:$J$5000, "="&amp;B8,DelinquencyPerSector!$I$2:$I$5000,"="&amp;A8)</f>
        <v>3644644.17</v>
      </c>
      <c r="N8" s="282">
        <f t="shared" si="3"/>
        <v>1.8880825186801259E-2</v>
      </c>
      <c r="O8" s="283">
        <f>COUNTIFS(DelinquencyPerSector!$I:$I, "="&amp;A8, DelinquencyPerSector!$J:$J, "="&amp;B8,DelinquencyPerSector!$K:$K, "="&amp;C8,DelinquencyPerSector!$R:$R, "&gt;0")</f>
        <v>2</v>
      </c>
      <c r="P8" s="281">
        <v>1606098047.2</v>
      </c>
      <c r="Q8" s="290">
        <f t="shared" si="4"/>
        <v>9.6951730797548819E-2</v>
      </c>
      <c r="R8" s="287">
        <f>COUNTIFS(DelinquencyPerSector!$I:$I, "="&amp;A8, DelinquencyPerSector!$J:$J, "="&amp;B8,DelinquencyPerSector!$K:$K, "="&amp;C8)</f>
        <v>122</v>
      </c>
      <c r="S8" s="288">
        <f>Table_ExternalData_18[[#This Row],[Total Port%]]-Table_ExternalData_18[[#This Row],[PAR 30+%]]</f>
        <v>2.3205826342718755E-2</v>
      </c>
      <c r="T8" s="289">
        <f>Table_ExternalData_18[[#This Row],[Total Port%]]-Table_ExternalData_18[[#This Row],[PAR 90+%]]</f>
        <v>6.5922854400408265E-2</v>
      </c>
      <c r="U8" s="280"/>
      <c r="V8" s="280"/>
    </row>
    <row r="9" spans="1:22" ht="22.8" x14ac:dyDescent="0.4">
      <c r="A9" s="280" t="s">
        <v>44</v>
      </c>
      <c r="B9" s="280" t="s">
        <v>92</v>
      </c>
      <c r="C9" s="280" t="s">
        <v>26</v>
      </c>
      <c r="D9" s="281">
        <f>SUMIFS(DelinquencyPerSector!$L$2:$L$5000,DelinquencyPerSector!$K$2:$K$5000, "="&amp;C9, DelinquencyPerSector!$J$2:$J$5000, "="&amp;B9,DelinquencyPerSector!$I$2:$I$5000,"="&amp;A9)</f>
        <v>186013034.77999997</v>
      </c>
      <c r="E9" s="282">
        <f t="shared" si="0"/>
        <v>2.5219649205745726E-2</v>
      </c>
      <c r="F9" s="283">
        <f>COUNTIFS(DelinquencyPerSector!$I:$I, "="&amp;A9, DelinquencyPerSector!$J:$J, "="&amp;B9,DelinquencyPerSector!$K:$K, "="&amp;C9,DelinquencyPerSector!$L:$L, "&gt;0")</f>
        <v>15</v>
      </c>
      <c r="G9" s="284">
        <f>SUMIFS(DelinquencyPerSector!$N$2:$N$5000, DelinquencyPerSector!$K$2:$K$5000, "="&amp;C9, DelinquencyPerSector!$J$2:$J$5000, "="&amp;B9, DelinquencyPerSector!$I$2:$I$5000,"="&amp;A9)</f>
        <v>152030603.11000001</v>
      </c>
      <c r="H9" s="282">
        <f t="shared" si="1"/>
        <v>6.2954609951632517E-2</v>
      </c>
      <c r="I9" s="283">
        <f>COUNTIFS(DelinquencyPerSector!$I:$I, "="&amp;A9, DelinquencyPerSector!$J:$J, "="&amp;B9,DelinquencyPerSector!$K:$K, "="&amp;C9,DelinquencyPerSector!$N:$N, "&gt;0")</f>
        <v>11</v>
      </c>
      <c r="J9" s="281">
        <f>SUMIFS(DelinquencyPerSector!$P$2:$P$5000, DelinquencyPerSector!$K$2:$K$5000, "="&amp;C9, DelinquencyPerSector!$J$2:$J$5000, "="&amp;B9, DelinquencyPerSector!$I$2:$I$5000,"="&amp;A9)</f>
        <v>52309078.850000001</v>
      </c>
      <c r="K9" s="282">
        <f t="shared" si="2"/>
        <v>6.426009979836364E-2</v>
      </c>
      <c r="L9" s="283">
        <f>COUNTIFS(DelinquencyPerSector!$I:$I, "="&amp;A9, DelinquencyPerSector!$J:$J, "="&amp;B9,DelinquencyPerSector!$K:$K, "="&amp;C9,DelinquencyPerSector!$P:$P, "&gt;0")</f>
        <v>3</v>
      </c>
      <c r="M9" s="285">
        <f>SUMIFS(DelinquencyPerSector!$R$2:$R$5000,DelinquencyPerSector!$K$2:$K$5000, "="&amp;C9, DelinquencyPerSector!$J$2:$J$5000, "="&amp;B9,DelinquencyPerSector!$I$2:$I$5000,"="&amp;A9)</f>
        <v>0</v>
      </c>
      <c r="N9" s="282">
        <f t="shared" si="3"/>
        <v>0</v>
      </c>
      <c r="O9" s="283">
        <f>COUNTIFS(DelinquencyPerSector!$I:$I, "="&amp;A9, DelinquencyPerSector!$J:$J, "="&amp;B9,DelinquencyPerSector!$K:$K, "="&amp;C9,DelinquencyPerSector!$R:$R, "&gt;0")</f>
        <v>0</v>
      </c>
      <c r="P9" s="281">
        <v>480296823.66000003</v>
      </c>
      <c r="Q9" s="282">
        <f t="shared" si="4"/>
        <v>2.8993004774261765E-2</v>
      </c>
      <c r="R9" s="287">
        <f>COUNTIFS(DelinquencyPerSector!$I:$I, "="&amp;A9, DelinquencyPerSector!$J:$J, "="&amp;B9,DelinquencyPerSector!$K:$K, "="&amp;C9)</f>
        <v>31</v>
      </c>
      <c r="S9" s="288">
        <f>Table_ExternalData_18[[#This Row],[Total Port%]]-Table_ExternalData_18[[#This Row],[PAR 30+%]]</f>
        <v>-3.3961605177370749E-2</v>
      </c>
      <c r="T9" s="289">
        <f>Table_ExternalData_18[[#This Row],[Total Port%]]-Table_ExternalData_18[[#This Row],[PAR 90+%]]</f>
        <v>-3.5267095024101872E-2</v>
      </c>
      <c r="U9" s="280"/>
      <c r="V9" s="280"/>
    </row>
    <row r="10" spans="1:22" ht="22.8" x14ac:dyDescent="0.4">
      <c r="A10" s="280" t="s">
        <v>44</v>
      </c>
      <c r="B10" s="280" t="s">
        <v>75</v>
      </c>
      <c r="C10" s="280" t="s">
        <v>26</v>
      </c>
      <c r="D10" s="281">
        <f>SUMIFS(DelinquencyPerSector!$L$2:$L$5000,DelinquencyPerSector!$K$2:$K$5000, "="&amp;C10, DelinquencyPerSector!$J$2:$J$5000, "="&amp;B10,DelinquencyPerSector!$I$2:$I$5000,"="&amp;A10)</f>
        <v>992737045.31999993</v>
      </c>
      <c r="E10" s="282">
        <f t="shared" si="0"/>
        <v>0.13459529901294209</v>
      </c>
      <c r="F10" s="283">
        <f>COUNTIFS(DelinquencyPerSector!$I:$I, "="&amp;A10, DelinquencyPerSector!$J:$J, "="&amp;B10,DelinquencyPerSector!$K:$K, "="&amp;C10,DelinquencyPerSector!$L:$L, "&gt;0")</f>
        <v>82</v>
      </c>
      <c r="G10" s="284">
        <f>SUMIFS(DelinquencyPerSector!$N$2:$N$5000, DelinquencyPerSector!$K$2:$K$5000, "="&amp;C10, DelinquencyPerSector!$J$2:$J$5000, "="&amp;B10, DelinquencyPerSector!$I$2:$I$5000,"="&amp;A10)</f>
        <v>137501245.71999997</v>
      </c>
      <c r="H10" s="282">
        <f t="shared" si="1"/>
        <v>5.693812374014582E-2</v>
      </c>
      <c r="I10" s="283">
        <f>COUNTIFS(DelinquencyPerSector!$I:$I, "="&amp;A10, DelinquencyPerSector!$J:$J, "="&amp;B10,DelinquencyPerSector!$K:$K, "="&amp;C10,DelinquencyPerSector!$N:$N, "&gt;0")</f>
        <v>28</v>
      </c>
      <c r="J10" s="281">
        <f>SUMIFS(DelinquencyPerSector!$P$2:$P$5000, DelinquencyPerSector!$K$2:$K$5000, "="&amp;C10, DelinquencyPerSector!$J$2:$J$5000, "="&amp;B10, DelinquencyPerSector!$I$2:$I$5000,"="&amp;A10)</f>
        <v>65722299.54999999</v>
      </c>
      <c r="K10" s="282">
        <f t="shared" si="2"/>
        <v>8.0737830237302077E-2</v>
      </c>
      <c r="L10" s="283">
        <f>COUNTIFS(DelinquencyPerSector!$I:$I, "="&amp;A10, DelinquencyPerSector!$J:$J, "="&amp;B10,DelinquencyPerSector!$K:$K, "="&amp;C10,DelinquencyPerSector!$P:$P, "&gt;0")</f>
        <v>12</v>
      </c>
      <c r="M10" s="285">
        <f>SUMIFS(DelinquencyPerSector!$R$2:$R$5000,DelinquencyPerSector!$K$2:$K$5000, "="&amp;C10, DelinquencyPerSector!$J$2:$J$5000, "="&amp;B10,DelinquencyPerSector!$I$2:$I$5000,"="&amp;A10)</f>
        <v>25271936.529999997</v>
      </c>
      <c r="N10" s="282">
        <f t="shared" si="3"/>
        <v>0.13091950640406874</v>
      </c>
      <c r="O10" s="283">
        <f>COUNTIFS(DelinquencyPerSector!$I:$I, "="&amp;A10, DelinquencyPerSector!$J:$J, "="&amp;B10,DelinquencyPerSector!$K:$K, "="&amp;C10,DelinquencyPerSector!$R:$R, "&gt;0")</f>
        <v>3</v>
      </c>
      <c r="P10" s="281">
        <v>2051133579.55</v>
      </c>
      <c r="Q10" s="282">
        <f t="shared" si="4"/>
        <v>0.12381619601681829</v>
      </c>
      <c r="R10" s="287">
        <f>COUNTIFS(DelinquencyPerSector!$I:$I, "="&amp;A10, DelinquencyPerSector!$J:$J, "="&amp;B10,DelinquencyPerSector!$K:$K, "="&amp;C10)</f>
        <v>151</v>
      </c>
      <c r="S10" s="288">
        <f>Table_ExternalData_18[[#This Row],[Total Port%]]-Table_ExternalData_18[[#This Row],[PAR 30+%]]</f>
        <v>6.6878072276672473E-2</v>
      </c>
      <c r="T10" s="289">
        <f>Table_ExternalData_18[[#This Row],[Total Port%]]-Table_ExternalData_18[[#This Row],[PAR 90+%]]</f>
        <v>4.3078365779516209E-2</v>
      </c>
      <c r="U10" s="280"/>
      <c r="V10" s="280"/>
    </row>
    <row r="11" spans="1:22" ht="22.8" x14ac:dyDescent="0.4">
      <c r="A11" s="280" t="s">
        <v>45</v>
      </c>
      <c r="B11" s="280" t="s">
        <v>45</v>
      </c>
      <c r="C11" s="280" t="s">
        <v>26</v>
      </c>
      <c r="D11" s="281">
        <f>SUMIFS(DelinquencyPerSector!$L$2:$L$5000,DelinquencyPerSector!$K$2:$K$5000, "="&amp;C11, DelinquencyPerSector!$J$2:$J$5000, "="&amp;B11,DelinquencyPerSector!$I$2:$I$5000,"="&amp;A11)</f>
        <v>128489750.55</v>
      </c>
      <c r="E11" s="282">
        <f t="shared" si="0"/>
        <v>1.7420641726733375E-2</v>
      </c>
      <c r="F11" s="283">
        <f>COUNTIFS(DelinquencyPerSector!$I:$I, "="&amp;A11, DelinquencyPerSector!$J:$J, "="&amp;B11,DelinquencyPerSector!$K:$K, "="&amp;C11,DelinquencyPerSector!$L:$L, "&gt;0")</f>
        <v>9</v>
      </c>
      <c r="G11" s="284">
        <f>SUMIFS(DelinquencyPerSector!$N$2:$N$5000, DelinquencyPerSector!$K$2:$K$5000, "="&amp;C11, DelinquencyPerSector!$J$2:$J$5000, "="&amp;B11, DelinquencyPerSector!$I$2:$I$5000,"="&amp;A11)</f>
        <v>118387585.41999999</v>
      </c>
      <c r="H11" s="282">
        <f t="shared" si="1"/>
        <v>4.9023315771753603E-2</v>
      </c>
      <c r="I11" s="283">
        <f>COUNTIFS(DelinquencyPerSector!$I:$I, "="&amp;A11, DelinquencyPerSector!$J:$J, "="&amp;B11,DelinquencyPerSector!$K:$K, "="&amp;C11,DelinquencyPerSector!$N:$N, "&gt;0")</f>
        <v>6</v>
      </c>
      <c r="J11" s="281">
        <f>SUMIFS(DelinquencyPerSector!$P$2:$P$5000, DelinquencyPerSector!$K$2:$K$5000, "="&amp;C11, DelinquencyPerSector!$J$2:$J$5000, "="&amp;B11, DelinquencyPerSector!$I$2:$I$5000,"="&amp;A11)</f>
        <v>54781936.5</v>
      </c>
      <c r="K11" s="282">
        <f t="shared" si="2"/>
        <v>6.7297929614327734E-2</v>
      </c>
      <c r="L11" s="283">
        <f>COUNTIFS(DelinquencyPerSector!$I:$I, "="&amp;A11, DelinquencyPerSector!$J:$J, "="&amp;B11,DelinquencyPerSector!$K:$K, "="&amp;C11,DelinquencyPerSector!$P:$P, "&gt;0")</f>
        <v>2</v>
      </c>
      <c r="M11" s="285">
        <f>SUMIFS(DelinquencyPerSector!$R$2:$R$5000,DelinquencyPerSector!$K$2:$K$5000, "="&amp;C11, DelinquencyPerSector!$J$2:$J$5000, "="&amp;B11,DelinquencyPerSector!$I$2:$I$5000,"="&amp;A11)</f>
        <v>0</v>
      </c>
      <c r="N11" s="282">
        <f t="shared" si="3"/>
        <v>0</v>
      </c>
      <c r="O11" s="283">
        <f>COUNTIFS(DelinquencyPerSector!$I:$I, "="&amp;A11, DelinquencyPerSector!$J:$J, "="&amp;B11,DelinquencyPerSector!$K:$K, "="&amp;C11,DelinquencyPerSector!$R:$R, "&gt;0")</f>
        <v>0</v>
      </c>
      <c r="P11" s="281">
        <v>304962543.13999999</v>
      </c>
      <c r="Q11" s="282">
        <f t="shared" si="4"/>
        <v>1.8408992176654673E-2</v>
      </c>
      <c r="R11" s="287">
        <f>COUNTIFS(DelinquencyPerSector!$I:$I, "="&amp;A11, DelinquencyPerSector!$J:$J, "="&amp;B11,DelinquencyPerSector!$K:$K, "="&amp;C11)</f>
        <v>17</v>
      </c>
      <c r="S11" s="288">
        <f>Table_ExternalData_18[[#This Row],[Total Port%]]-Table_ExternalData_18[[#This Row],[PAR 30+%]]</f>
        <v>-3.0614323595098931E-2</v>
      </c>
      <c r="T11" s="289">
        <f>Table_ExternalData_18[[#This Row],[Total Port%]]-Table_ExternalData_18[[#This Row],[PAR 90+%]]</f>
        <v>-4.8888937437673058E-2</v>
      </c>
      <c r="U11" s="280"/>
      <c r="V11" s="280"/>
    </row>
    <row r="12" spans="1:22" ht="22.8" x14ac:dyDescent="0.4">
      <c r="A12" s="280" t="s">
        <v>37</v>
      </c>
      <c r="B12" s="280" t="s">
        <v>38</v>
      </c>
      <c r="C12" s="280" t="s">
        <v>26</v>
      </c>
      <c r="D12" s="281">
        <f>SUMIFS(DelinquencyPerSector!$L$2:$L$5000,DelinquencyPerSector!$K$2:$K$5000, "="&amp;C12, DelinquencyPerSector!$J$2:$J$5000, "="&amp;B12,DelinquencyPerSector!$I$2:$I$5000,"="&amp;A12)</f>
        <v>166585108.50000003</v>
      </c>
      <c r="E12" s="282">
        <f t="shared" si="0"/>
        <v>2.2585610757009187E-2</v>
      </c>
      <c r="F12" s="283">
        <f>COUNTIFS(DelinquencyPerSector!$I:$I, "="&amp;A12, DelinquencyPerSector!$J:$J, "="&amp;B12,DelinquencyPerSector!$K:$K, "="&amp;C12,DelinquencyPerSector!$L:$L, "&gt;0")</f>
        <v>9</v>
      </c>
      <c r="G12" s="284">
        <f>SUMIFS(DelinquencyPerSector!$N$2:$N$5000, DelinquencyPerSector!$K$2:$K$5000, "="&amp;C12, DelinquencyPerSector!$J$2:$J$5000, "="&amp;B12, DelinquencyPerSector!$I$2:$I$5000,"="&amp;A12)</f>
        <v>99974372.870000005</v>
      </c>
      <c r="H12" s="282">
        <f t="shared" si="1"/>
        <v>4.1398557398579026E-2</v>
      </c>
      <c r="I12" s="283">
        <f>COUNTIFS(DelinquencyPerSector!$I:$I, "="&amp;A12, DelinquencyPerSector!$J:$J, "="&amp;B12,DelinquencyPerSector!$K:$K, "="&amp;C12,DelinquencyPerSector!$N:$N, "&gt;0")</f>
        <v>4</v>
      </c>
      <c r="J12" s="281">
        <f>SUMIFS(DelinquencyPerSector!$P$2:$P$5000, DelinquencyPerSector!$K$2:$K$5000, "="&amp;C12, DelinquencyPerSector!$J$2:$J$5000, "="&amp;B12, DelinquencyPerSector!$I$2:$I$5000,"="&amp;A12)</f>
        <v>71730185.920000002</v>
      </c>
      <c r="K12" s="282">
        <f t="shared" si="2"/>
        <v>8.8118334467179746E-2</v>
      </c>
      <c r="L12" s="283">
        <f>COUNTIFS(DelinquencyPerSector!$I:$I, "="&amp;A12, DelinquencyPerSector!$J:$J, "="&amp;B12,DelinquencyPerSector!$K:$K, "="&amp;C12,DelinquencyPerSector!$P:$P, "&gt;0")</f>
        <v>2</v>
      </c>
      <c r="M12" s="285">
        <f>SUMIFS(DelinquencyPerSector!$R$2:$R$5000,DelinquencyPerSector!$K$2:$K$5000, "="&amp;C12, DelinquencyPerSector!$J$2:$J$5000, "="&amp;B12,DelinquencyPerSector!$I$2:$I$5000,"="&amp;A12)</f>
        <v>0</v>
      </c>
      <c r="N12" s="282">
        <f t="shared" si="3"/>
        <v>0</v>
      </c>
      <c r="O12" s="283">
        <f>COUNTIFS(DelinquencyPerSector!$I:$I, "="&amp;A12, DelinquencyPerSector!$J:$J, "="&amp;B12,DelinquencyPerSector!$K:$K, "="&amp;C12,DelinquencyPerSector!$R:$R, "&gt;0")</f>
        <v>0</v>
      </c>
      <c r="P12" s="281">
        <v>175104453.68000001</v>
      </c>
      <c r="Q12" s="282">
        <f t="shared" si="4"/>
        <v>1.0570139154475411E-2</v>
      </c>
      <c r="R12" s="287">
        <f>COUNTIFS(DelinquencyPerSector!$I:$I, "="&amp;A12, DelinquencyPerSector!$J:$J, "="&amp;B12,DelinquencyPerSector!$K:$K, "="&amp;C12)</f>
        <v>10</v>
      </c>
      <c r="S12" s="288">
        <f>Table_ExternalData_18[[#This Row],[Total Port%]]-Table_ExternalData_18[[#This Row],[PAR 30+%]]</f>
        <v>-3.0828418244103616E-2</v>
      </c>
      <c r="T12" s="289">
        <f>Table_ExternalData_18[[#This Row],[Total Port%]]-Table_ExternalData_18[[#This Row],[PAR 90+%]]</f>
        <v>-7.7548195312704335E-2</v>
      </c>
      <c r="U12" s="280"/>
      <c r="V12" s="280"/>
    </row>
    <row r="13" spans="1:22" ht="22.8" x14ac:dyDescent="0.4">
      <c r="A13" s="280" t="s">
        <v>27</v>
      </c>
      <c r="B13" s="280" t="s">
        <v>81</v>
      </c>
      <c r="C13" s="280" t="s">
        <v>26</v>
      </c>
      <c r="D13" s="281">
        <f>SUMIFS(DelinquencyPerSector!$L$2:$L$5000,DelinquencyPerSector!$K$2:$K$5000, "="&amp;C13, DelinquencyPerSector!$J$2:$J$5000, "="&amp;B13,DelinquencyPerSector!$I$2:$I$5000,"="&amp;A13)</f>
        <v>201933908.25000003</v>
      </c>
      <c r="E13" s="282">
        <f t="shared" si="0"/>
        <v>2.7378201397732414E-2</v>
      </c>
      <c r="F13" s="283">
        <f>COUNTIFS(DelinquencyPerSector!$I:$I, "="&amp;A13, DelinquencyPerSector!$J:$J, "="&amp;B13,DelinquencyPerSector!$K:$K, "="&amp;C13,DelinquencyPerSector!$L:$L, "&gt;0")</f>
        <v>13</v>
      </c>
      <c r="G13" s="284">
        <f>SUMIFS(DelinquencyPerSector!$N$2:$N$5000, DelinquencyPerSector!$K$2:$K$5000, "="&amp;C13, DelinquencyPerSector!$J$2:$J$5000, "="&amp;B13, DelinquencyPerSector!$I$2:$I$5000,"="&amp;A13)</f>
        <v>99364652.5</v>
      </c>
      <c r="H13" s="282">
        <f t="shared" si="1"/>
        <v>4.1146077257819852E-2</v>
      </c>
      <c r="I13" s="283">
        <f>COUNTIFS(DelinquencyPerSector!$I:$I, "="&amp;A13, DelinquencyPerSector!$J:$J, "="&amp;B13,DelinquencyPerSector!$K:$K, "="&amp;C13,DelinquencyPerSector!$N:$N, "&gt;0")</f>
        <v>6</v>
      </c>
      <c r="J13" s="281">
        <f>SUMIFS(DelinquencyPerSector!$P$2:$P$5000, DelinquencyPerSector!$K$2:$K$5000, "="&amp;C13, DelinquencyPerSector!$J$2:$J$5000, "="&amp;B13, DelinquencyPerSector!$I$2:$I$5000,"="&amp;A13)</f>
        <v>47062782.420000002</v>
      </c>
      <c r="K13" s="282">
        <f t="shared" si="2"/>
        <v>5.7815185462740636E-2</v>
      </c>
      <c r="L13" s="283">
        <f>COUNTIFS(DelinquencyPerSector!$I:$I, "="&amp;A13, DelinquencyPerSector!$J:$J, "="&amp;B13,DelinquencyPerSector!$K:$K, "="&amp;C13,DelinquencyPerSector!$P:$P, "&gt;0")</f>
        <v>2</v>
      </c>
      <c r="M13" s="285">
        <f>SUMIFS(DelinquencyPerSector!$R$2:$R$5000,DelinquencyPerSector!$K$2:$K$5000, "="&amp;C13, DelinquencyPerSector!$J$2:$J$5000, "="&amp;B13,DelinquencyPerSector!$I$2:$I$5000,"="&amp;A13)</f>
        <v>22352970.59</v>
      </c>
      <c r="N13" s="282">
        <f t="shared" si="3"/>
        <v>0.11579800672708739</v>
      </c>
      <c r="O13" s="283">
        <f>COUNTIFS(DelinquencyPerSector!$I:$I, "="&amp;A13, DelinquencyPerSector!$J:$J, "="&amp;B13,DelinquencyPerSector!$K:$K, "="&amp;C13,DelinquencyPerSector!$R:$R, "&gt;0")</f>
        <v>1</v>
      </c>
      <c r="P13" s="281">
        <v>482493919.62</v>
      </c>
      <c r="Q13" s="282">
        <f t="shared" si="4"/>
        <v>2.9125631955037968E-2</v>
      </c>
      <c r="R13" s="287">
        <f>COUNTIFS(DelinquencyPerSector!$I:$I, "="&amp;A13, DelinquencyPerSector!$J:$J, "="&amp;B13,DelinquencyPerSector!$K:$K, "="&amp;C13)</f>
        <v>35</v>
      </c>
      <c r="S13" s="288">
        <f>Table_ExternalData_18[[#This Row],[Total Port%]]-Table_ExternalData_18[[#This Row],[PAR 30+%]]</f>
        <v>-1.2020445302781884E-2</v>
      </c>
      <c r="T13" s="289">
        <f>Table_ExternalData_18[[#This Row],[Total Port%]]-Table_ExternalData_18[[#This Row],[PAR 90+%]]</f>
        <v>-2.8689553507702668E-2</v>
      </c>
      <c r="U13" s="280"/>
      <c r="V13" s="280"/>
    </row>
    <row r="14" spans="1:22" ht="22.8" x14ac:dyDescent="0.4">
      <c r="A14" s="280" t="s">
        <v>37</v>
      </c>
      <c r="B14" s="280" t="s">
        <v>288</v>
      </c>
      <c r="C14" s="280" t="s">
        <v>1313</v>
      </c>
      <c r="D14" s="281">
        <f>SUMIFS(DelinquencyPerSector!$L$2:$L$5000,DelinquencyPerSector!$K$2:$K$5000, "="&amp;C14, DelinquencyPerSector!$J$2:$J$5000, "="&amp;B14,DelinquencyPerSector!$I$2:$I$5000,"="&amp;A14)</f>
        <v>84801424.639999986</v>
      </c>
      <c r="E14" s="282">
        <f t="shared" si="0"/>
        <v>1.1497378041800701E-2</v>
      </c>
      <c r="F14" s="283">
        <f>COUNTIFS(DelinquencyPerSector!$I:$I, "="&amp;A14, DelinquencyPerSector!$J:$J, "="&amp;B14,DelinquencyPerSector!$K:$K, "="&amp;C14,DelinquencyPerSector!$L:$L, "&gt;0")</f>
        <v>6</v>
      </c>
      <c r="G14" s="284">
        <f>SUMIFS(DelinquencyPerSector!$N$2:$N$5000, DelinquencyPerSector!$K$2:$K$5000, "="&amp;C14, DelinquencyPerSector!$J$2:$J$5000, "="&amp;B14, DelinquencyPerSector!$I$2:$I$5000,"="&amp;A14)</f>
        <v>83552280.579999983</v>
      </c>
      <c r="H14" s="282">
        <f t="shared" si="1"/>
        <v>3.4598305386432264E-2</v>
      </c>
      <c r="I14" s="283">
        <f>COUNTIFS(DelinquencyPerSector!$I:$I, "="&amp;A14, DelinquencyPerSector!$J:$J, "="&amp;B14,DelinquencyPerSector!$K:$K, "="&amp;C14,DelinquencyPerSector!$N:$N, "&gt;0")</f>
        <v>5</v>
      </c>
      <c r="J14" s="281">
        <f>SUMIFS(DelinquencyPerSector!$P$2:$P$5000, DelinquencyPerSector!$K$2:$K$5000, "="&amp;C14, DelinquencyPerSector!$J$2:$J$5000, "="&amp;B14, DelinquencyPerSector!$I$2:$I$5000,"="&amp;A14)</f>
        <v>7487476.4199999999</v>
      </c>
      <c r="K14" s="282">
        <f t="shared" si="2"/>
        <v>9.1981352485065691E-3</v>
      </c>
      <c r="L14" s="283">
        <f>COUNTIFS(DelinquencyPerSector!$I:$I, "="&amp;A14, DelinquencyPerSector!$J:$J, "="&amp;B14,DelinquencyPerSector!$K:$K, "="&amp;C14,DelinquencyPerSector!$P:$P, "&gt;0")</f>
        <v>2</v>
      </c>
      <c r="M14" s="285">
        <f>SUMIFS(DelinquencyPerSector!$R$2:$R$5000,DelinquencyPerSector!$K$2:$K$5000, "="&amp;C14, DelinquencyPerSector!$J$2:$J$5000, "="&amp;B14,DelinquencyPerSector!$I$2:$I$5000,"="&amp;A14)</f>
        <v>0</v>
      </c>
      <c r="N14" s="282">
        <f t="shared" si="3"/>
        <v>0</v>
      </c>
      <c r="O14" s="283">
        <f>COUNTIFS(DelinquencyPerSector!$I:$I, "="&amp;A14, DelinquencyPerSector!$J:$J, "="&amp;B14,DelinquencyPerSector!$K:$K, "="&amp;C14,DelinquencyPerSector!$R:$R, "&gt;0")</f>
        <v>0</v>
      </c>
      <c r="P14" s="281">
        <v>161369104.16</v>
      </c>
      <c r="Q14" s="282">
        <f t="shared" si="4"/>
        <v>9.7410080118313803E-3</v>
      </c>
      <c r="R14" s="287">
        <f>COUNTIFS(DelinquencyPerSector!$I:$I, "="&amp;A14, DelinquencyPerSector!$J:$J, "="&amp;B14,DelinquencyPerSector!$K:$K, "="&amp;C14)</f>
        <v>10</v>
      </c>
      <c r="S14" s="288">
        <f>Table_ExternalData_18[[#This Row],[Total Port%]]-Table_ExternalData_18[[#This Row],[PAR 30+%]]</f>
        <v>-2.4857297374600885E-2</v>
      </c>
      <c r="T14" s="289">
        <f>Table_ExternalData_18[[#This Row],[Total Port%]]-Table_ExternalData_18[[#This Row],[PAR 90+%]]</f>
        <v>5.4287276332481114E-4</v>
      </c>
      <c r="U14" s="280"/>
      <c r="V14" s="280"/>
    </row>
    <row r="15" spans="1:22" ht="22.8" x14ac:dyDescent="0.4">
      <c r="A15" s="280" t="s">
        <v>27</v>
      </c>
      <c r="B15" s="280" t="s">
        <v>26</v>
      </c>
      <c r="C15" s="280" t="s">
        <v>26</v>
      </c>
      <c r="D15" s="281">
        <f>SUMIFS(DelinquencyPerSector!$L$2:$L$5000,DelinquencyPerSector!$K$2:$K$5000, "="&amp;C15, DelinquencyPerSector!$J$2:$J$5000, "="&amp;B15,DelinquencyPerSector!$I$2:$I$5000,"="&amp;A15)</f>
        <v>314539753.91000009</v>
      </c>
      <c r="E15" s="282">
        <f t="shared" si="0"/>
        <v>4.2645303132943117E-2</v>
      </c>
      <c r="F15" s="283">
        <f>COUNTIFS(DelinquencyPerSector!$I:$I, "="&amp;A15, DelinquencyPerSector!$J:$J, "="&amp;B15,DelinquencyPerSector!$K:$K, "="&amp;C15,DelinquencyPerSector!$L:$L, "&gt;0")</f>
        <v>16</v>
      </c>
      <c r="G15" s="284">
        <f>SUMIFS(DelinquencyPerSector!$N$2:$N$5000, DelinquencyPerSector!$K$2:$K$5000, "="&amp;C15, DelinquencyPerSector!$J$2:$J$5000, "="&amp;B15, DelinquencyPerSector!$I$2:$I$5000,"="&amp;A15)</f>
        <v>72768431.140000001</v>
      </c>
      <c r="H15" s="282">
        <f t="shared" si="1"/>
        <v>3.0132802906111745E-2</v>
      </c>
      <c r="I15" s="283">
        <f>COUNTIFS(DelinquencyPerSector!$I:$I, "="&amp;A15, DelinquencyPerSector!$J:$J, "="&amp;B15,DelinquencyPerSector!$K:$K, "="&amp;C15,DelinquencyPerSector!$N:$N, "&gt;0")</f>
        <v>4</v>
      </c>
      <c r="J15" s="281">
        <f>SUMIFS(DelinquencyPerSector!$P$2:$P$5000, DelinquencyPerSector!$K$2:$K$5000, "="&amp;C15, DelinquencyPerSector!$J$2:$J$5000, "="&amp;B15, DelinquencyPerSector!$I$2:$I$5000,"="&amp;A15)</f>
        <v>4462763.1399999997</v>
      </c>
      <c r="K15" s="282">
        <f t="shared" si="2"/>
        <v>5.4823677085810247E-3</v>
      </c>
      <c r="L15" s="283">
        <f>COUNTIFS(DelinquencyPerSector!$I:$I, "="&amp;A15, DelinquencyPerSector!$J:$J, "="&amp;B15,DelinquencyPerSector!$K:$K, "="&amp;C15,DelinquencyPerSector!$P:$P, "&gt;0")</f>
        <v>1</v>
      </c>
      <c r="M15" s="285">
        <f>SUMIFS(DelinquencyPerSector!$R$2:$R$5000,DelinquencyPerSector!$K$2:$K$5000, "="&amp;C15, DelinquencyPerSector!$J$2:$J$5000, "="&amp;B15,DelinquencyPerSector!$I$2:$I$5000,"="&amp;A15)</f>
        <v>0</v>
      </c>
      <c r="N15" s="282">
        <f t="shared" si="3"/>
        <v>0</v>
      </c>
      <c r="O15" s="283">
        <f>COUNTIFS(DelinquencyPerSector!$I:$I, "="&amp;A15, DelinquencyPerSector!$J:$J, "="&amp;B15,DelinquencyPerSector!$K:$K, "="&amp;C15,DelinquencyPerSector!$R:$R, "&gt;0")</f>
        <v>0</v>
      </c>
      <c r="P15" s="281">
        <v>531024704.56999999</v>
      </c>
      <c r="Q15" s="282">
        <f t="shared" si="4"/>
        <v>3.2055181372066942E-2</v>
      </c>
      <c r="R15" s="287">
        <f>COUNTIFS(DelinquencyPerSector!$I:$I, "="&amp;A15, DelinquencyPerSector!$J:$J, "="&amp;B15,DelinquencyPerSector!$K:$K, "="&amp;C15)</f>
        <v>32</v>
      </c>
      <c r="S15" s="288">
        <f>Table_ExternalData_18[[#This Row],[Total Port%]]-Table_ExternalData_18[[#This Row],[PAR 30+%]]</f>
        <v>1.9223784659551969E-3</v>
      </c>
      <c r="T15" s="289">
        <f>Table_ExternalData_18[[#This Row],[Total Port%]]-Table_ExternalData_18[[#This Row],[PAR 90+%]]</f>
        <v>2.6572813663485916E-2</v>
      </c>
      <c r="U15" s="280"/>
      <c r="V15" s="280"/>
    </row>
    <row r="16" spans="1:22" ht="22.8" x14ac:dyDescent="0.4">
      <c r="A16" s="280" t="s">
        <v>37</v>
      </c>
      <c r="B16" s="280" t="s">
        <v>288</v>
      </c>
      <c r="C16" s="280" t="s">
        <v>1829</v>
      </c>
      <c r="D16" s="281">
        <f>SUMIFS(DelinquencyPerSector!$L$2:$L$5000,DelinquencyPerSector!$K$2:$K$5000, "="&amp;C16, DelinquencyPerSector!$J$2:$J$5000, "="&amp;B16,DelinquencyPerSector!$I$2:$I$5000,"="&amp;A16)</f>
        <v>110419081.94000001</v>
      </c>
      <c r="E16" s="282">
        <f t="shared" si="0"/>
        <v>1.497062028712574E-2</v>
      </c>
      <c r="F16" s="283">
        <f>COUNTIFS(DelinquencyPerSector!$I:$I, "="&amp;A16, DelinquencyPerSector!$J:$J, "="&amp;B16,DelinquencyPerSector!$K:$K, "="&amp;C16,DelinquencyPerSector!$L:$L, "&gt;0")</f>
        <v>5</v>
      </c>
      <c r="G16" s="284">
        <f>SUMIFS(DelinquencyPerSector!$N$2:$N$5000, DelinquencyPerSector!$K$2:$K$5000, "="&amp;C16, DelinquencyPerSector!$J$2:$J$5000, "="&amp;B16, DelinquencyPerSector!$I$2:$I$5000,"="&amp;A16)</f>
        <v>66508423.340000004</v>
      </c>
      <c r="H16" s="282">
        <f t="shared" si="1"/>
        <v>2.7540585672993008E-2</v>
      </c>
      <c r="I16" s="283">
        <f>COUNTIFS(DelinquencyPerSector!$I:$I, "="&amp;A16, DelinquencyPerSector!$J:$J, "="&amp;B16,DelinquencyPerSector!$K:$K, "="&amp;C16,DelinquencyPerSector!$N:$N, "&gt;0")</f>
        <v>2</v>
      </c>
      <c r="J16" s="281">
        <f>SUMIFS(DelinquencyPerSector!$P$2:$P$5000, DelinquencyPerSector!$K$2:$K$5000, "="&amp;C16, DelinquencyPerSector!$J$2:$J$5000, "="&amp;B16, DelinquencyPerSector!$I$2:$I$5000,"="&amp;A16)</f>
        <v>33157684.32</v>
      </c>
      <c r="K16" s="282">
        <f t="shared" si="2"/>
        <v>4.0733198716724046E-2</v>
      </c>
      <c r="L16" s="283">
        <f>COUNTIFS(DelinquencyPerSector!$I:$I, "="&amp;A16, DelinquencyPerSector!$J:$J, "="&amp;B16,DelinquencyPerSector!$K:$K, "="&amp;C16,DelinquencyPerSector!$P:$P, "&gt;0")</f>
        <v>1</v>
      </c>
      <c r="M16" s="285">
        <f>SUMIFS(DelinquencyPerSector!$R$2:$R$5000,DelinquencyPerSector!$K$2:$K$5000, "="&amp;C16, DelinquencyPerSector!$J$2:$J$5000, "="&amp;B16,DelinquencyPerSector!$I$2:$I$5000,"="&amp;A16)</f>
        <v>33157684.32</v>
      </c>
      <c r="N16" s="282">
        <f t="shared" si="3"/>
        <v>0.17177107340085307</v>
      </c>
      <c r="O16" s="283">
        <f>COUNTIFS(DelinquencyPerSector!$I:$I, "="&amp;A16, DelinquencyPerSector!$J:$J, "="&amp;B16,DelinquencyPerSector!$K:$K, "="&amp;C16,DelinquencyPerSector!$R:$R, "&gt;0")</f>
        <v>1</v>
      </c>
      <c r="P16" s="281">
        <v>117798576.23999999</v>
      </c>
      <c r="Q16" s="282">
        <f t="shared" si="4"/>
        <v>7.1108833435576876E-3</v>
      </c>
      <c r="R16" s="287">
        <f>COUNTIFS(DelinquencyPerSector!$I:$I, "="&amp;A16, DelinquencyPerSector!$J:$J, "="&amp;B16,DelinquencyPerSector!$K:$K, "="&amp;C16)</f>
        <v>7</v>
      </c>
      <c r="S16" s="288">
        <f>Table_ExternalData_18[[#This Row],[Total Port%]]-Table_ExternalData_18[[#This Row],[PAR 30+%]]</f>
        <v>-2.042970232943532E-2</v>
      </c>
      <c r="T16" s="289">
        <f>Table_ExternalData_18[[#This Row],[Total Port%]]-Table_ExternalData_18[[#This Row],[PAR 90+%]]</f>
        <v>-3.3622315373166359E-2</v>
      </c>
      <c r="U16" s="280"/>
      <c r="V16" s="280"/>
    </row>
    <row r="17" spans="1:22" ht="22.8" x14ac:dyDescent="0.4">
      <c r="A17" s="280" t="s">
        <v>25</v>
      </c>
      <c r="B17" s="280" t="s">
        <v>88</v>
      </c>
      <c r="C17" s="280" t="s">
        <v>26</v>
      </c>
      <c r="D17" s="281">
        <f>SUMIFS(DelinquencyPerSector!$L$2:$L$5000,DelinquencyPerSector!$K$2:$K$5000, "="&amp;C17, DelinquencyPerSector!$J$2:$J$5000, "="&amp;B17,DelinquencyPerSector!$I$2:$I$5000,"="&amp;A17)</f>
        <v>256967543.89000002</v>
      </c>
      <c r="E17" s="282">
        <f t="shared" si="0"/>
        <v>3.4839662294809587E-2</v>
      </c>
      <c r="F17" s="283">
        <f>COUNTIFS(DelinquencyPerSector!$I:$I, "="&amp;A17, DelinquencyPerSector!$J:$J, "="&amp;B17,DelinquencyPerSector!$K:$K, "="&amp;C17,DelinquencyPerSector!$L:$L, "&gt;0")</f>
        <v>23</v>
      </c>
      <c r="G17" s="284">
        <f>SUMIFS(DelinquencyPerSector!$N$2:$N$5000, DelinquencyPerSector!$K$2:$K$5000, "="&amp;C17, DelinquencyPerSector!$J$2:$J$5000, "="&amp;B17, DelinquencyPerSector!$I$2:$I$5000,"="&amp;A17)</f>
        <v>64871891.130000003</v>
      </c>
      <c r="H17" s="282">
        <f t="shared" si="1"/>
        <v>2.6862911278191792E-2</v>
      </c>
      <c r="I17" s="283">
        <f>COUNTIFS(DelinquencyPerSector!$I:$I, "="&amp;A17, DelinquencyPerSector!$J:$J, "="&amp;B17,DelinquencyPerSector!$K:$K, "="&amp;C17,DelinquencyPerSector!$N:$N, "&gt;0")</f>
        <v>9</v>
      </c>
      <c r="J17" s="281">
        <f>SUMIFS(DelinquencyPerSector!$P$2:$P$5000, DelinquencyPerSector!$K$2:$K$5000, "="&amp;C17, DelinquencyPerSector!$J$2:$J$5000, "="&amp;B17, DelinquencyPerSector!$I$2:$I$5000,"="&amp;A17)</f>
        <v>5085032.38</v>
      </c>
      <c r="K17" s="282">
        <f t="shared" si="2"/>
        <v>6.2468063938524226E-3</v>
      </c>
      <c r="L17" s="283">
        <f>COUNTIFS(DelinquencyPerSector!$I:$I, "="&amp;A17, DelinquencyPerSector!$J:$J, "="&amp;B17,DelinquencyPerSector!$K:$K, "="&amp;C17,DelinquencyPerSector!$P:$P, "&gt;0")</f>
        <v>3</v>
      </c>
      <c r="M17" s="285">
        <f>SUMIFS(DelinquencyPerSector!$R$2:$R$5000,DelinquencyPerSector!$K$2:$K$5000, "="&amp;C17, DelinquencyPerSector!$J$2:$J$5000, "="&amp;B17,DelinquencyPerSector!$I$2:$I$5000,"="&amp;A17)</f>
        <v>544003.85</v>
      </c>
      <c r="N17" s="282">
        <f t="shared" si="3"/>
        <v>2.8181740421581E-3</v>
      </c>
      <c r="O17" s="283">
        <f>COUNTIFS(DelinquencyPerSector!$I:$I, "="&amp;A17, DelinquencyPerSector!$J:$J, "="&amp;B17,DelinquencyPerSector!$K:$K, "="&amp;C17,DelinquencyPerSector!$R:$R, "&gt;0")</f>
        <v>1</v>
      </c>
      <c r="P17" s="281">
        <v>511150709.69999999</v>
      </c>
      <c r="Q17" s="282">
        <f t="shared" si="4"/>
        <v>3.0855492346937224E-2</v>
      </c>
      <c r="R17" s="287">
        <f>COUNTIFS(DelinquencyPerSector!$I:$I, "="&amp;A17, DelinquencyPerSector!$J:$J, "="&amp;B17,DelinquencyPerSector!$K:$K, "="&amp;C17)</f>
        <v>45</v>
      </c>
      <c r="S17" s="288">
        <f>Table_ExternalData_18[[#This Row],[Total Port%]]-Table_ExternalData_18[[#This Row],[PAR 30+%]]</f>
        <v>3.9925810687454315E-3</v>
      </c>
      <c r="T17" s="289">
        <f>Table_ExternalData_18[[#This Row],[Total Port%]]-Table_ExternalData_18[[#This Row],[PAR 90+%]]</f>
        <v>2.46086859530848E-2</v>
      </c>
      <c r="U17" s="280"/>
      <c r="V17" s="280"/>
    </row>
    <row r="18" spans="1:22" ht="22.8" x14ac:dyDescent="0.4">
      <c r="A18" s="280" t="s">
        <v>27</v>
      </c>
      <c r="B18" s="280" t="s">
        <v>116</v>
      </c>
      <c r="C18" s="280" t="s">
        <v>26</v>
      </c>
      <c r="D18" s="281">
        <f>SUMIFS(DelinquencyPerSector!$L$2:$L$5000,DelinquencyPerSector!$K$2:$K$5000, "="&amp;C18, DelinquencyPerSector!$J$2:$J$5000, "="&amp;B18,DelinquencyPerSector!$I$2:$I$5000,"="&amp;A18)</f>
        <v>106698378.17000002</v>
      </c>
      <c r="E18" s="282">
        <f t="shared" si="0"/>
        <v>1.446616723097903E-2</v>
      </c>
      <c r="F18" s="283">
        <f>COUNTIFS(DelinquencyPerSector!$I:$I, "="&amp;A18, DelinquencyPerSector!$J:$J, "="&amp;B18,DelinquencyPerSector!$K:$K, "="&amp;C18,DelinquencyPerSector!$L:$L, "&gt;0")</f>
        <v>9</v>
      </c>
      <c r="G18" s="284">
        <f>SUMIFS(DelinquencyPerSector!$N$2:$N$5000, DelinquencyPerSector!$K$2:$K$5000, "="&amp;C18, DelinquencyPerSector!$J$2:$J$5000, "="&amp;B18, DelinquencyPerSector!$I$2:$I$5000,"="&amp;A18)</f>
        <v>53524780.969999999</v>
      </c>
      <c r="H18" s="282">
        <f t="shared" si="1"/>
        <v>2.2164167212274058E-2</v>
      </c>
      <c r="I18" s="283">
        <f>COUNTIFS(DelinquencyPerSector!$I:$I, "="&amp;A18, DelinquencyPerSector!$J:$J, "="&amp;B18,DelinquencyPerSector!$K:$K, "="&amp;C18,DelinquencyPerSector!$N:$N, "&gt;0")</f>
        <v>6</v>
      </c>
      <c r="J18" s="281">
        <f>SUMIFS(DelinquencyPerSector!$P$2:$P$5000, DelinquencyPerSector!$K$2:$K$5000, "="&amp;C18, DelinquencyPerSector!$J$2:$J$5000, "="&amp;B18, DelinquencyPerSector!$I$2:$I$5000,"="&amp;A18)</f>
        <v>41182469.909999996</v>
      </c>
      <c r="K18" s="282">
        <f t="shared" si="2"/>
        <v>5.0591401809013253E-2</v>
      </c>
      <c r="L18" s="283">
        <f>COUNTIFS(DelinquencyPerSector!$I:$I, "="&amp;A18, DelinquencyPerSector!$J:$J, "="&amp;B18,DelinquencyPerSector!$K:$K, "="&amp;C18,DelinquencyPerSector!$P:$P, "&gt;0")</f>
        <v>5</v>
      </c>
      <c r="M18" s="285">
        <f>SUMIFS(DelinquencyPerSector!$R$2:$R$5000,DelinquencyPerSector!$K$2:$K$5000, "="&amp;C18, DelinquencyPerSector!$J$2:$J$5000, "="&amp;B18,DelinquencyPerSector!$I$2:$I$5000,"="&amp;A18)</f>
        <v>39881048.93</v>
      </c>
      <c r="N18" s="282">
        <f t="shared" si="3"/>
        <v>0.20660099532119686</v>
      </c>
      <c r="O18" s="283">
        <f>COUNTIFS(DelinquencyPerSector!$I:$I, "="&amp;A18, DelinquencyPerSector!$J:$J, "="&amp;B18,DelinquencyPerSector!$K:$K, "="&amp;C18,DelinquencyPerSector!$R:$R, "&gt;0")</f>
        <v>3</v>
      </c>
      <c r="P18" s="281">
        <v>215045771.19</v>
      </c>
      <c r="Q18" s="282">
        <f t="shared" si="4"/>
        <v>1.2981187390092082E-2</v>
      </c>
      <c r="R18" s="287">
        <f>COUNTIFS(DelinquencyPerSector!$I:$I, "="&amp;A18, DelinquencyPerSector!$J:$J, "="&amp;B18,DelinquencyPerSector!$K:$K, "="&amp;C18)</f>
        <v>17</v>
      </c>
      <c r="S18" s="288">
        <f>Table_ExternalData_18[[#This Row],[Total Port%]]-Table_ExternalData_18[[#This Row],[PAR 30+%]]</f>
        <v>-9.1829798221819761E-3</v>
      </c>
      <c r="T18" s="289">
        <f>Table_ExternalData_18[[#This Row],[Total Port%]]-Table_ExternalData_18[[#This Row],[PAR 90+%]]</f>
        <v>-3.7610214418921172E-2</v>
      </c>
      <c r="U18" s="280"/>
      <c r="V18" s="280"/>
    </row>
    <row r="19" spans="1:22" ht="22.8" x14ac:dyDescent="0.4">
      <c r="A19" s="280" t="s">
        <v>35</v>
      </c>
      <c r="B19" s="280" t="s">
        <v>121</v>
      </c>
      <c r="C19" s="280" t="s">
        <v>122</v>
      </c>
      <c r="D19" s="281">
        <f>SUMIFS(DelinquencyPerSector!$L$2:$L$5000,DelinquencyPerSector!$K$2:$K$5000, "="&amp;C19, DelinquencyPerSector!$J$2:$J$5000, "="&amp;B19,DelinquencyPerSector!$I$2:$I$5000,"="&amp;A19)</f>
        <v>68322393.069999993</v>
      </c>
      <c r="E19" s="282">
        <f t="shared" si="0"/>
        <v>9.263150768763953E-3</v>
      </c>
      <c r="F19" s="283">
        <f>COUNTIFS(DelinquencyPerSector!$I:$I, "="&amp;A19, DelinquencyPerSector!$J:$J, "="&amp;B19,DelinquencyPerSector!$K:$K, "="&amp;C19,DelinquencyPerSector!$L:$L, "&gt;0")</f>
        <v>2</v>
      </c>
      <c r="G19" s="284">
        <f>SUMIFS(DelinquencyPerSector!$N$2:$N$5000, DelinquencyPerSector!$K$2:$K$5000, "="&amp;C19, DelinquencyPerSector!$J$2:$J$5000, "="&amp;B19, DelinquencyPerSector!$I$2:$I$5000,"="&amp;A19)</f>
        <v>50377873.240000002</v>
      </c>
      <c r="H19" s="282">
        <f t="shared" si="1"/>
        <v>2.0861058860118242E-2</v>
      </c>
      <c r="I19" s="283">
        <f>COUNTIFS(DelinquencyPerSector!$I:$I, "="&amp;A19, DelinquencyPerSector!$J:$J, "="&amp;B19,DelinquencyPerSector!$K:$K, "="&amp;C19,DelinquencyPerSector!$N:$N, "&gt;0")</f>
        <v>1</v>
      </c>
      <c r="J19" s="281">
        <f>SUMIFS(DelinquencyPerSector!$P$2:$P$5000, DelinquencyPerSector!$K$2:$K$5000, "="&amp;C19, DelinquencyPerSector!$J$2:$J$5000, "="&amp;B19, DelinquencyPerSector!$I$2:$I$5000,"="&amp;A19)</f>
        <v>0</v>
      </c>
      <c r="K19" s="282">
        <f t="shared" si="2"/>
        <v>0</v>
      </c>
      <c r="L19" s="283">
        <f>COUNTIFS(DelinquencyPerSector!$I:$I, "="&amp;A19, DelinquencyPerSector!$J:$J, "="&amp;B19,DelinquencyPerSector!$K:$K, "="&amp;C19,DelinquencyPerSector!$P:$P, "&gt;0")</f>
        <v>0</v>
      </c>
      <c r="M19" s="285">
        <f>SUMIFS(DelinquencyPerSector!$R$2:$R$5000,DelinquencyPerSector!$K$2:$K$5000, "="&amp;C19, DelinquencyPerSector!$J$2:$J$5000, "="&amp;B19,DelinquencyPerSector!$I$2:$I$5000,"="&amp;A19)</f>
        <v>0</v>
      </c>
      <c r="N19" s="282">
        <f t="shared" si="3"/>
        <v>0</v>
      </c>
      <c r="O19" s="283">
        <f>COUNTIFS(DelinquencyPerSector!$I:$I, "="&amp;A19, DelinquencyPerSector!$J:$J, "="&amp;B19,DelinquencyPerSector!$K:$K, "="&amp;C19,DelinquencyPerSector!$R:$R, "&gt;0")</f>
        <v>0</v>
      </c>
      <c r="P19" s="281">
        <v>129052848.98</v>
      </c>
      <c r="Q19" s="282">
        <f t="shared" si="4"/>
        <v>7.7902448700304244E-3</v>
      </c>
      <c r="R19" s="287">
        <f>COUNTIFS(DelinquencyPerSector!$I:$I, "="&amp;A19, DelinquencyPerSector!$J:$J, "="&amp;B19,DelinquencyPerSector!$K:$K, "="&amp;C19)</f>
        <v>4</v>
      </c>
      <c r="S19" s="288">
        <f>Table_ExternalData_18[[#This Row],[Total Port%]]-Table_ExternalData_18[[#This Row],[PAR 30+%]]</f>
        <v>-1.3070813990087818E-2</v>
      </c>
      <c r="T19" s="289">
        <f>Table_ExternalData_18[[#This Row],[Total Port%]]-Table_ExternalData_18[[#This Row],[PAR 90+%]]</f>
        <v>7.7902448700304244E-3</v>
      </c>
      <c r="U19" s="280"/>
      <c r="V19" s="280"/>
    </row>
    <row r="20" spans="1:22" ht="22.8" x14ac:dyDescent="0.4">
      <c r="A20" s="280" t="s">
        <v>44</v>
      </c>
      <c r="B20" s="280" t="s">
        <v>92</v>
      </c>
      <c r="C20" s="280" t="s">
        <v>92</v>
      </c>
      <c r="D20" s="281">
        <f>SUMIFS(DelinquencyPerSector!$L$2:$L$5000,DelinquencyPerSector!$K$2:$K$5000, "="&amp;C20, DelinquencyPerSector!$J$2:$J$5000, "="&amp;B20,DelinquencyPerSector!$I$2:$I$5000,"="&amp;A20)</f>
        <v>334176060</v>
      </c>
      <c r="E20" s="282">
        <f t="shared" si="0"/>
        <v>4.5307593718504235E-2</v>
      </c>
      <c r="F20" s="283">
        <f>COUNTIFS(DelinquencyPerSector!$I:$I, "="&amp;A20, DelinquencyPerSector!$J:$J, "="&amp;B20,DelinquencyPerSector!$K:$K, "="&amp;C20,DelinquencyPerSector!$L:$L, "&gt;0")</f>
        <v>21</v>
      </c>
      <c r="G20" s="284">
        <f>SUMIFS(DelinquencyPerSector!$N$2:$N$5000, DelinquencyPerSector!$K$2:$K$5000, "="&amp;C20, DelinquencyPerSector!$J$2:$J$5000, "="&amp;B20, DelinquencyPerSector!$I$2:$I$5000,"="&amp;A20)</f>
        <v>50286133.480000004</v>
      </c>
      <c r="H20" s="282">
        <f t="shared" si="1"/>
        <v>2.0823070187510812E-2</v>
      </c>
      <c r="I20" s="283">
        <f>COUNTIFS(DelinquencyPerSector!$I:$I, "="&amp;A20, DelinquencyPerSector!$J:$J, "="&amp;B20,DelinquencyPerSector!$K:$K, "="&amp;C20,DelinquencyPerSector!$N:$N, "&gt;0")</f>
        <v>8</v>
      </c>
      <c r="J20" s="281">
        <f>SUMIFS(DelinquencyPerSector!$P$2:$P$5000, DelinquencyPerSector!$K$2:$K$5000, "="&amp;C20, DelinquencyPerSector!$J$2:$J$5000, "="&amp;B20, DelinquencyPerSector!$I$2:$I$5000,"="&amp;A20)</f>
        <v>22429688.699999999</v>
      </c>
      <c r="K20" s="282">
        <f t="shared" si="2"/>
        <v>2.7554184971242884E-2</v>
      </c>
      <c r="L20" s="283">
        <f>COUNTIFS(DelinquencyPerSector!$I:$I, "="&amp;A20, DelinquencyPerSector!$J:$J, "="&amp;B20,DelinquencyPerSector!$K:$K, "="&amp;C20,DelinquencyPerSector!$P:$P, "&gt;0")</f>
        <v>3</v>
      </c>
      <c r="M20" s="285">
        <f>SUMIFS(DelinquencyPerSector!$R$2:$R$5000,DelinquencyPerSector!$K$2:$K$5000, "="&amp;C20, DelinquencyPerSector!$J$2:$J$5000, "="&amp;B20,DelinquencyPerSector!$I$2:$I$5000,"="&amp;A20)</f>
        <v>1436657.76</v>
      </c>
      <c r="N20" s="282">
        <f t="shared" si="3"/>
        <v>7.4425054284027624E-3</v>
      </c>
      <c r="O20" s="283">
        <f>COUNTIFS(DelinquencyPerSector!$I:$I, "="&amp;A20, DelinquencyPerSector!$J:$J, "="&amp;B20,DelinquencyPerSector!$K:$K, "="&amp;C20,DelinquencyPerSector!$R:$R, "&gt;0")</f>
        <v>2</v>
      </c>
      <c r="P20" s="281">
        <v>698330923.66999996</v>
      </c>
      <c r="Q20" s="282">
        <f t="shared" si="4"/>
        <v>4.2154581930592766E-2</v>
      </c>
      <c r="R20" s="287">
        <f>COUNTIFS(DelinquencyPerSector!$I:$I, "="&amp;A20, DelinquencyPerSector!$J:$J, "="&amp;B20,DelinquencyPerSector!$K:$K, "="&amp;C20)</f>
        <v>46</v>
      </c>
      <c r="S20" s="288">
        <f>Table_ExternalData_18[[#This Row],[Total Port%]]-Table_ExternalData_18[[#This Row],[PAR 30+%]]</f>
        <v>2.1331511743081955E-2</v>
      </c>
      <c r="T20" s="289">
        <f>Table_ExternalData_18[[#This Row],[Total Port%]]-Table_ExternalData_18[[#This Row],[PAR 90+%]]</f>
        <v>1.4600396959349882E-2</v>
      </c>
      <c r="U20" s="280"/>
      <c r="V20" s="280"/>
    </row>
    <row r="21" spans="1:22" ht="22.8" x14ac:dyDescent="0.4">
      <c r="A21" s="280" t="s">
        <v>25</v>
      </c>
      <c r="B21" s="280" t="s">
        <v>103</v>
      </c>
      <c r="C21" s="280" t="s">
        <v>104</v>
      </c>
      <c r="D21" s="281">
        <f>SUMIFS(DelinquencyPerSector!$L$2:$L$5000,DelinquencyPerSector!$K$2:$K$5000, "="&amp;C21, DelinquencyPerSector!$J$2:$J$5000, "="&amp;B21,DelinquencyPerSector!$I$2:$I$5000,"="&amp;A21)</f>
        <v>215536630.12</v>
      </c>
      <c r="E21" s="282">
        <f t="shared" si="0"/>
        <v>2.9222458571486188E-2</v>
      </c>
      <c r="F21" s="283">
        <f>COUNTIFS(DelinquencyPerSector!$I:$I, "="&amp;A21, DelinquencyPerSector!$J:$J, "="&amp;B21,DelinquencyPerSector!$K:$K, "="&amp;C21,DelinquencyPerSector!$L:$L, "&gt;0")</f>
        <v>15</v>
      </c>
      <c r="G21" s="284">
        <f>SUMIFS(DelinquencyPerSector!$N$2:$N$5000, DelinquencyPerSector!$K$2:$K$5000, "="&amp;C21, DelinquencyPerSector!$J$2:$J$5000, "="&amp;B21, DelinquencyPerSector!$I$2:$I$5000,"="&amp;A21)</f>
        <v>47328168.729999997</v>
      </c>
      <c r="H21" s="282">
        <f t="shared" si="1"/>
        <v>1.9598201553975278E-2</v>
      </c>
      <c r="I21" s="283">
        <f>COUNTIFS(DelinquencyPerSector!$I:$I, "="&amp;A21, DelinquencyPerSector!$J:$J, "="&amp;B21,DelinquencyPerSector!$K:$K, "="&amp;C21,DelinquencyPerSector!$N:$N, "&gt;0")</f>
        <v>3</v>
      </c>
      <c r="J21" s="281">
        <f>SUMIFS(DelinquencyPerSector!$P$2:$P$5000, DelinquencyPerSector!$K$2:$K$5000, "="&amp;C21, DelinquencyPerSector!$J$2:$J$5000, "="&amp;B21, DelinquencyPerSector!$I$2:$I$5000,"="&amp;A21)</f>
        <v>1956822.75</v>
      </c>
      <c r="K21" s="282">
        <f t="shared" si="2"/>
        <v>2.4038967606998564E-3</v>
      </c>
      <c r="L21" s="283">
        <f>COUNTIFS(DelinquencyPerSector!$I:$I, "="&amp;A21, DelinquencyPerSector!$J:$J, "="&amp;B21,DelinquencyPerSector!$K:$K, "="&amp;C21,DelinquencyPerSector!$P:$P, "&gt;0")</f>
        <v>1</v>
      </c>
      <c r="M21" s="285">
        <f>SUMIFS(DelinquencyPerSector!$R$2:$R$5000,DelinquencyPerSector!$K$2:$K$5000, "="&amp;C21, DelinquencyPerSector!$J$2:$J$5000, "="&amp;B21,DelinquencyPerSector!$I$2:$I$5000,"="&amp;A21)</f>
        <v>0</v>
      </c>
      <c r="N21" s="282">
        <f t="shared" si="3"/>
        <v>0</v>
      </c>
      <c r="O21" s="283">
        <f>COUNTIFS(DelinquencyPerSector!$I:$I, "="&amp;A21, DelinquencyPerSector!$J:$J, "="&amp;B21,DelinquencyPerSector!$K:$K, "="&amp;C21,DelinquencyPerSector!$R:$R, "&gt;0")</f>
        <v>0</v>
      </c>
      <c r="P21" s="281">
        <v>317061420.38</v>
      </c>
      <c r="Q21" s="282">
        <f t="shared" si="4"/>
        <v>1.9139338055083475E-2</v>
      </c>
      <c r="R21" s="287">
        <f>COUNTIFS(DelinquencyPerSector!$I:$I, "="&amp;A21, DelinquencyPerSector!$J:$J, "="&amp;B21,DelinquencyPerSector!$K:$K, "="&amp;C21)</f>
        <v>27</v>
      </c>
      <c r="S21" s="288">
        <f>Table_ExternalData_18[[#This Row],[Total Port%]]-Table_ExternalData_18[[#This Row],[PAR 30+%]]</f>
        <v>-4.588634988918032E-4</v>
      </c>
      <c r="T21" s="289">
        <f>Table_ExternalData_18[[#This Row],[Total Port%]]-Table_ExternalData_18[[#This Row],[PAR 90+%]]</f>
        <v>1.6735441294383618E-2</v>
      </c>
      <c r="U21" s="280"/>
      <c r="V21" s="280"/>
    </row>
    <row r="22" spans="1:22" ht="22.8" x14ac:dyDescent="0.4">
      <c r="A22" s="280" t="s">
        <v>35</v>
      </c>
      <c r="B22" s="280" t="s">
        <v>121</v>
      </c>
      <c r="C22" s="280" t="s">
        <v>26</v>
      </c>
      <c r="D22" s="281">
        <f>SUMIFS(DelinquencyPerSector!$L$2:$L$5000,DelinquencyPerSector!$K$2:$K$5000, "="&amp;C22, DelinquencyPerSector!$J$2:$J$5000, "="&amp;B22,DelinquencyPerSector!$I$2:$I$5000,"="&amp;A22)</f>
        <v>121054850.36</v>
      </c>
      <c r="E22" s="282">
        <f t="shared" si="0"/>
        <v>1.6412617881021177E-2</v>
      </c>
      <c r="F22" s="283">
        <f>COUNTIFS(DelinquencyPerSector!$I:$I, "="&amp;A22, DelinquencyPerSector!$J:$J, "="&amp;B22,DelinquencyPerSector!$K:$K, "="&amp;C22,DelinquencyPerSector!$L:$L, "&gt;0")</f>
        <v>5</v>
      </c>
      <c r="G22" s="284">
        <f>SUMIFS(DelinquencyPerSector!$N$2:$N$5000, DelinquencyPerSector!$K$2:$K$5000, "="&amp;C22, DelinquencyPerSector!$J$2:$J$5000, "="&amp;B22, DelinquencyPerSector!$I$2:$I$5000,"="&amp;A22)</f>
        <v>37834856.43</v>
      </c>
      <c r="H22" s="282">
        <f t="shared" si="1"/>
        <v>1.566709978387236E-2</v>
      </c>
      <c r="I22" s="283">
        <f>COUNTIFS(DelinquencyPerSector!$I:$I, "="&amp;A22, DelinquencyPerSector!$J:$J, "="&amp;B22,DelinquencyPerSector!$K:$K, "="&amp;C22,DelinquencyPerSector!$N:$N, "&gt;0")</f>
        <v>2</v>
      </c>
      <c r="J22" s="281">
        <f>SUMIFS(DelinquencyPerSector!$P$2:$P$5000, DelinquencyPerSector!$K$2:$K$5000, "="&amp;C22, DelinquencyPerSector!$J$2:$J$5000, "="&amp;B22, DelinquencyPerSector!$I$2:$I$5000,"="&amp;A22)</f>
        <v>622995.24</v>
      </c>
      <c r="K22" s="282">
        <f t="shared" si="2"/>
        <v>7.6533055401539535E-4</v>
      </c>
      <c r="L22" s="283">
        <f>COUNTIFS(DelinquencyPerSector!$I:$I, "="&amp;A22, DelinquencyPerSector!$J:$J, "="&amp;B22,DelinquencyPerSector!$K:$K, "="&amp;C22,DelinquencyPerSector!$P:$P, "&gt;0")</f>
        <v>1</v>
      </c>
      <c r="M22" s="285">
        <f>SUMIFS(DelinquencyPerSector!$R$2:$R$5000,DelinquencyPerSector!$K$2:$K$5000, "="&amp;C22, DelinquencyPerSector!$J$2:$J$5000, "="&amp;B22,DelinquencyPerSector!$I$2:$I$5000,"="&amp;A22)</f>
        <v>0</v>
      </c>
      <c r="N22" s="282">
        <f t="shared" si="3"/>
        <v>0</v>
      </c>
      <c r="O22" s="283">
        <f>COUNTIFS(DelinquencyPerSector!$I:$I, "="&amp;A22, DelinquencyPerSector!$J:$J, "="&amp;B22,DelinquencyPerSector!$K:$K, "="&amp;C22,DelinquencyPerSector!$R:$R, "&gt;0")</f>
        <v>0</v>
      </c>
      <c r="P22" s="281">
        <v>205487406.58000001</v>
      </c>
      <c r="Q22" s="282">
        <f t="shared" si="4"/>
        <v>1.2404198958938017E-2</v>
      </c>
      <c r="R22" s="287">
        <f>COUNTIFS(DelinquencyPerSector!$I:$I, "="&amp;A22, DelinquencyPerSector!$J:$J, "="&amp;B22,DelinquencyPerSector!$K:$K, "="&amp;C22)</f>
        <v>10</v>
      </c>
      <c r="S22" s="288">
        <f>Table_ExternalData_18[[#This Row],[Total Port%]]-Table_ExternalData_18[[#This Row],[PAR 30+%]]</f>
        <v>-3.2629008249343422E-3</v>
      </c>
      <c r="T22" s="289">
        <f>Table_ExternalData_18[[#This Row],[Total Port%]]-Table_ExternalData_18[[#This Row],[PAR 90+%]]</f>
        <v>1.1638868404922622E-2</v>
      </c>
      <c r="U22" s="280"/>
      <c r="V22" s="280"/>
    </row>
    <row r="23" spans="1:22" ht="22.8" x14ac:dyDescent="0.4">
      <c r="A23" s="280" t="s">
        <v>27</v>
      </c>
      <c r="B23" s="280" t="s">
        <v>116</v>
      </c>
      <c r="C23" s="280" t="s">
        <v>3426</v>
      </c>
      <c r="D23" s="281">
        <f>SUMIFS(DelinquencyPerSector!$L$2:$L$5000,DelinquencyPerSector!$K$2:$K$5000, "="&amp;C23, DelinquencyPerSector!$J$2:$J$5000, "="&amp;B23,DelinquencyPerSector!$I$2:$I$5000,"="&amp;A23)</f>
        <v>35245210.909999996</v>
      </c>
      <c r="E23" s="282">
        <f t="shared" si="0"/>
        <v>4.7785460647099395E-3</v>
      </c>
      <c r="F23" s="283">
        <f>COUNTIFS(DelinquencyPerSector!$I:$I, "="&amp;A23, DelinquencyPerSector!$J:$J, "="&amp;B23,DelinquencyPerSector!$K:$K, "="&amp;C23,DelinquencyPerSector!$L:$L, "&gt;0")</f>
        <v>1</v>
      </c>
      <c r="G23" s="284">
        <f>SUMIFS(DelinquencyPerSector!$N$2:$N$5000, DelinquencyPerSector!$K$2:$K$5000, "="&amp;C23, DelinquencyPerSector!$J$2:$J$5000, "="&amp;B23, DelinquencyPerSector!$I$2:$I$5000,"="&amp;A23)</f>
        <v>35245210.909999996</v>
      </c>
      <c r="H23" s="282">
        <f t="shared" si="1"/>
        <v>1.4594749084147552E-2</v>
      </c>
      <c r="I23" s="283">
        <f>COUNTIFS(DelinquencyPerSector!$I:$I, "="&amp;A23, DelinquencyPerSector!$J:$J, "="&amp;B23,DelinquencyPerSector!$K:$K, "="&amp;C23,DelinquencyPerSector!$N:$N, "&gt;0")</f>
        <v>1</v>
      </c>
      <c r="J23" s="281">
        <f>SUMIFS(DelinquencyPerSector!$P$2:$P$5000, DelinquencyPerSector!$K$2:$K$5000, "="&amp;C23, DelinquencyPerSector!$J$2:$J$5000, "="&amp;B23, DelinquencyPerSector!$I$2:$I$5000,"="&amp;A23)</f>
        <v>0</v>
      </c>
      <c r="K23" s="282">
        <f t="shared" si="2"/>
        <v>0</v>
      </c>
      <c r="L23" s="283">
        <f>COUNTIFS(DelinquencyPerSector!$I:$I, "="&amp;A23, DelinquencyPerSector!$J:$J, "="&amp;B23,DelinquencyPerSector!$K:$K, "="&amp;C23,DelinquencyPerSector!$P:$P, "&gt;0")</f>
        <v>0</v>
      </c>
      <c r="M23" s="285">
        <f>SUMIFS(DelinquencyPerSector!$R$2:$R$5000,DelinquencyPerSector!$K$2:$K$5000, "="&amp;C23, DelinquencyPerSector!$J$2:$J$5000, "="&amp;B23,DelinquencyPerSector!$I$2:$I$5000,"="&amp;A23)</f>
        <v>0</v>
      </c>
      <c r="N23" s="282">
        <f t="shared" si="3"/>
        <v>0</v>
      </c>
      <c r="O23" s="283">
        <f>COUNTIFS(DelinquencyPerSector!$I:$I, "="&amp;A23, DelinquencyPerSector!$J:$J, "="&amp;B23,DelinquencyPerSector!$K:$K, "="&amp;C23,DelinquencyPerSector!$R:$R, "&gt;0")</f>
        <v>0</v>
      </c>
      <c r="P23" s="281">
        <v>35245210.909999996</v>
      </c>
      <c r="Q23" s="282">
        <f t="shared" si="4"/>
        <v>2.1275688654290707E-3</v>
      </c>
      <c r="R23" s="287">
        <f>COUNTIFS(DelinquencyPerSector!$I:$I, "="&amp;A23, DelinquencyPerSector!$J:$J, "="&amp;B23,DelinquencyPerSector!$K:$K, "="&amp;C23)</f>
        <v>1</v>
      </c>
      <c r="S23" s="288">
        <f>Table_ExternalData_18[[#This Row],[Total Port%]]-Table_ExternalData_18[[#This Row],[PAR 30+%]]</f>
        <v>-1.2467180218718482E-2</v>
      </c>
      <c r="T23" s="289">
        <f>Table_ExternalData_18[[#This Row],[Total Port%]]-Table_ExternalData_18[[#This Row],[PAR 90+%]]</f>
        <v>2.1275688654290707E-3</v>
      </c>
      <c r="U23" s="280"/>
      <c r="V23" s="280"/>
    </row>
    <row r="24" spans="1:22" ht="22.8" x14ac:dyDescent="0.4">
      <c r="A24" s="280" t="s">
        <v>27</v>
      </c>
      <c r="B24" s="280" t="s">
        <v>81</v>
      </c>
      <c r="C24" s="280" t="s">
        <v>1685</v>
      </c>
      <c r="D24" s="281">
        <f>SUMIFS(DelinquencyPerSector!$L$2:$L$5000,DelinquencyPerSector!$K$2:$K$5000, "="&amp;C24, DelinquencyPerSector!$J$2:$J$5000, "="&amp;B24,DelinquencyPerSector!$I$2:$I$5000,"="&amp;A24)</f>
        <v>64395481.390000001</v>
      </c>
      <c r="E24" s="282">
        <f t="shared" si="0"/>
        <v>8.7307400420174337E-3</v>
      </c>
      <c r="F24" s="283">
        <f>COUNTIFS(DelinquencyPerSector!$I:$I, "="&amp;A24, DelinquencyPerSector!$J:$J, "="&amp;B24,DelinquencyPerSector!$K:$K, "="&amp;C24,DelinquencyPerSector!$L:$L, "&gt;0")</f>
        <v>3</v>
      </c>
      <c r="G24" s="284">
        <f>SUMIFS(DelinquencyPerSector!$N$2:$N$5000, DelinquencyPerSector!$K$2:$K$5000, "="&amp;C24, DelinquencyPerSector!$J$2:$J$5000, "="&amp;B24, DelinquencyPerSector!$I$2:$I$5000,"="&amp;A24)</f>
        <v>33044254.620000001</v>
      </c>
      <c r="H24" s="282">
        <f t="shared" si="1"/>
        <v>1.3683351366036232E-2</v>
      </c>
      <c r="I24" s="283">
        <f>COUNTIFS(DelinquencyPerSector!$I:$I, "="&amp;A24, DelinquencyPerSector!$J:$J, "="&amp;B24,DelinquencyPerSector!$K:$K, "="&amp;C24,DelinquencyPerSector!$N:$N, "&gt;0")</f>
        <v>1</v>
      </c>
      <c r="J24" s="281">
        <f>SUMIFS(DelinquencyPerSector!$P$2:$P$5000, DelinquencyPerSector!$K$2:$K$5000, "="&amp;C24, DelinquencyPerSector!$J$2:$J$5000, "="&amp;B24, DelinquencyPerSector!$I$2:$I$5000,"="&amp;A24)</f>
        <v>0</v>
      </c>
      <c r="K24" s="282">
        <f t="shared" si="2"/>
        <v>0</v>
      </c>
      <c r="L24" s="283">
        <f>COUNTIFS(DelinquencyPerSector!$I:$I, "="&amp;A24, DelinquencyPerSector!$J:$J, "="&amp;B24,DelinquencyPerSector!$K:$K, "="&amp;C24,DelinquencyPerSector!$P:$P, "&gt;0")</f>
        <v>0</v>
      </c>
      <c r="M24" s="285">
        <f>SUMIFS(DelinquencyPerSector!$R$2:$R$5000,DelinquencyPerSector!$K$2:$K$5000, "="&amp;C24, DelinquencyPerSector!$J$2:$J$5000, "="&amp;B24,DelinquencyPerSector!$I$2:$I$5000,"="&amp;A24)</f>
        <v>0</v>
      </c>
      <c r="N24" s="282">
        <f t="shared" si="3"/>
        <v>0</v>
      </c>
      <c r="O24" s="283">
        <f>COUNTIFS(DelinquencyPerSector!$I:$I, "="&amp;A24, DelinquencyPerSector!$J:$J, "="&amp;B24,DelinquencyPerSector!$K:$K, "="&amp;C24,DelinquencyPerSector!$R:$R, "&gt;0")</f>
        <v>0</v>
      </c>
      <c r="P24" s="281">
        <v>91810962.180000007</v>
      </c>
      <c r="Q24" s="282">
        <f t="shared" si="4"/>
        <v>5.5421471342034867E-3</v>
      </c>
      <c r="R24" s="287">
        <f>COUNTIFS(DelinquencyPerSector!$I:$I, "="&amp;A24, DelinquencyPerSector!$J:$J, "="&amp;B24,DelinquencyPerSector!$K:$K, "="&amp;C24)</f>
        <v>5</v>
      </c>
      <c r="S24" s="288">
        <f>Table_ExternalData_18[[#This Row],[Total Port%]]-Table_ExternalData_18[[#This Row],[PAR 30+%]]</f>
        <v>-8.1412042318327466E-3</v>
      </c>
      <c r="T24" s="289">
        <f>Table_ExternalData_18[[#This Row],[Total Port%]]-Table_ExternalData_18[[#This Row],[PAR 90+%]]</f>
        <v>5.5421471342034867E-3</v>
      </c>
      <c r="U24" s="280"/>
      <c r="V24" s="280"/>
    </row>
    <row r="25" spans="1:22" ht="22.8" x14ac:dyDescent="0.4">
      <c r="A25" s="280" t="s">
        <v>45</v>
      </c>
      <c r="B25" s="280" t="s">
        <v>45</v>
      </c>
      <c r="C25" s="280" t="s">
        <v>89</v>
      </c>
      <c r="D25" s="281">
        <f>SUMIFS(DelinquencyPerSector!$L$2:$L$5000,DelinquencyPerSector!$K$2:$K$5000, "="&amp;C25, DelinquencyPerSector!$J$2:$J$5000, "="&amp;B25,DelinquencyPerSector!$I$2:$I$5000,"="&amp;A25)</f>
        <v>87426504.840000004</v>
      </c>
      <c r="E25" s="282">
        <f t="shared" si="0"/>
        <v>1.1853286442839634E-2</v>
      </c>
      <c r="F25" s="283">
        <f>COUNTIFS(DelinquencyPerSector!$I:$I, "="&amp;A25, DelinquencyPerSector!$J:$J, "="&amp;B25,DelinquencyPerSector!$K:$K, "="&amp;C25,DelinquencyPerSector!$L:$L, "&gt;0")</f>
        <v>8</v>
      </c>
      <c r="G25" s="284">
        <f>SUMIFS(DelinquencyPerSector!$N$2:$N$5000, DelinquencyPerSector!$K$2:$K$5000, "="&amp;C25, DelinquencyPerSector!$J$2:$J$5000, "="&amp;B25, DelinquencyPerSector!$I$2:$I$5000,"="&amp;A25)</f>
        <v>31097009.990000002</v>
      </c>
      <c r="H25" s="282">
        <f t="shared" si="1"/>
        <v>1.2877013538951749E-2</v>
      </c>
      <c r="I25" s="283">
        <f>COUNTIFS(DelinquencyPerSector!$I:$I, "="&amp;A25, DelinquencyPerSector!$J:$J, "="&amp;B25,DelinquencyPerSector!$K:$K, "="&amp;C25,DelinquencyPerSector!$N:$N, "&gt;0")</f>
        <v>5</v>
      </c>
      <c r="J25" s="281">
        <f>SUMIFS(DelinquencyPerSector!$P$2:$P$5000, DelinquencyPerSector!$K$2:$K$5000, "="&amp;C25, DelinquencyPerSector!$J$2:$J$5000, "="&amp;B25, DelinquencyPerSector!$I$2:$I$5000,"="&amp;A25)</f>
        <v>27828430.670000002</v>
      </c>
      <c r="K25" s="282">
        <f t="shared" si="2"/>
        <v>3.4186373979438626E-2</v>
      </c>
      <c r="L25" s="283">
        <f>COUNTIFS(DelinquencyPerSector!$I:$I, "="&amp;A25, DelinquencyPerSector!$J:$J, "="&amp;B25,DelinquencyPerSector!$K:$K, "="&amp;C25,DelinquencyPerSector!$P:$P, "&gt;0")</f>
        <v>2</v>
      </c>
      <c r="M25" s="285">
        <f>SUMIFS(DelinquencyPerSector!$R$2:$R$5000,DelinquencyPerSector!$K$2:$K$5000, "="&amp;C25, DelinquencyPerSector!$J$2:$J$5000, "="&amp;B25,DelinquencyPerSector!$I$2:$I$5000,"="&amp;A25)</f>
        <v>0</v>
      </c>
      <c r="N25" s="282">
        <f t="shared" si="3"/>
        <v>0</v>
      </c>
      <c r="O25" s="283">
        <f>COUNTIFS(DelinquencyPerSector!$I:$I, "="&amp;A25, DelinquencyPerSector!$J:$J, "="&amp;B25,DelinquencyPerSector!$K:$K, "="&amp;C25,DelinquencyPerSector!$R:$R, "&gt;0")</f>
        <v>0</v>
      </c>
      <c r="P25" s="281">
        <v>360039724.38999999</v>
      </c>
      <c r="Q25" s="282">
        <f t="shared" si="4"/>
        <v>2.173371326634594E-2</v>
      </c>
      <c r="R25" s="287">
        <f>COUNTIFS(DelinquencyPerSector!$I:$I, "="&amp;A25, DelinquencyPerSector!$J:$J, "="&amp;B25,DelinquencyPerSector!$K:$K, "="&amp;C25)</f>
        <v>26</v>
      </c>
      <c r="S25" s="288">
        <f>Table_ExternalData_18[[#This Row],[Total Port%]]-Table_ExternalData_18[[#This Row],[PAR 30+%]]</f>
        <v>8.8566997273941909E-3</v>
      </c>
      <c r="T25" s="289">
        <f>Table_ExternalData_18[[#This Row],[Total Port%]]-Table_ExternalData_18[[#This Row],[PAR 90+%]]</f>
        <v>-1.2452660713092686E-2</v>
      </c>
      <c r="U25" s="280"/>
      <c r="V25" s="280"/>
    </row>
    <row r="26" spans="1:22" ht="22.8" x14ac:dyDescent="0.4">
      <c r="A26" s="280" t="s">
        <v>25</v>
      </c>
      <c r="B26" s="280" t="s">
        <v>295</v>
      </c>
      <c r="C26" s="280" t="s">
        <v>26</v>
      </c>
      <c r="D26" s="281">
        <f>SUMIFS(DelinquencyPerSector!$L$2:$L$5000,DelinquencyPerSector!$K$2:$K$5000, "="&amp;C26, DelinquencyPerSector!$J$2:$J$5000, "="&amp;B26,DelinquencyPerSector!$I$2:$I$5000,"="&amp;A26)</f>
        <v>65952261.5</v>
      </c>
      <c r="E26" s="282">
        <f t="shared" si="0"/>
        <v>8.9418083056534581E-3</v>
      </c>
      <c r="F26" s="283">
        <f>COUNTIFS(DelinquencyPerSector!$I:$I, "="&amp;A26, DelinquencyPerSector!$J:$J, "="&amp;B26,DelinquencyPerSector!$K:$K, "="&amp;C26,DelinquencyPerSector!$L:$L, "&gt;0")</f>
        <v>6</v>
      </c>
      <c r="G26" s="284">
        <f>SUMIFS(DelinquencyPerSector!$N$2:$N$5000, DelinquencyPerSector!$K$2:$K$5000, "="&amp;C26, DelinquencyPerSector!$J$2:$J$5000, "="&amp;B26, DelinquencyPerSector!$I$2:$I$5000,"="&amp;A26)</f>
        <v>30177920.550000001</v>
      </c>
      <c r="H26" s="282">
        <f t="shared" si="1"/>
        <v>1.2496426235986175E-2</v>
      </c>
      <c r="I26" s="283">
        <f>COUNTIFS(DelinquencyPerSector!$I:$I, "="&amp;A26, DelinquencyPerSector!$J:$J, "="&amp;B26,DelinquencyPerSector!$K:$K, "="&amp;C26,DelinquencyPerSector!$N:$N, "&gt;0")</f>
        <v>5</v>
      </c>
      <c r="J26" s="281">
        <f>SUMIFS(DelinquencyPerSector!$P$2:$P$5000, DelinquencyPerSector!$K$2:$K$5000, "="&amp;C26, DelinquencyPerSector!$J$2:$J$5000, "="&amp;B26, DelinquencyPerSector!$I$2:$I$5000,"="&amp;A26)</f>
        <v>7625495.4199999999</v>
      </c>
      <c r="K26" s="282">
        <f t="shared" si="2"/>
        <v>9.3676873589442836E-3</v>
      </c>
      <c r="L26" s="283">
        <f>COUNTIFS(DelinquencyPerSector!$I:$I, "="&amp;A26, DelinquencyPerSector!$J:$J, "="&amp;B26,DelinquencyPerSector!$K:$K, "="&amp;C26,DelinquencyPerSector!$P:$P, "&gt;0")</f>
        <v>2</v>
      </c>
      <c r="M26" s="285">
        <f>SUMIFS(DelinquencyPerSector!$R$2:$R$5000,DelinquencyPerSector!$K$2:$K$5000, "="&amp;C26, DelinquencyPerSector!$J$2:$J$5000, "="&amp;B26,DelinquencyPerSector!$I$2:$I$5000,"="&amp;A26)</f>
        <v>0</v>
      </c>
      <c r="N26" s="282">
        <f t="shared" si="3"/>
        <v>0</v>
      </c>
      <c r="O26" s="283">
        <f>COUNTIFS(DelinquencyPerSector!$I:$I, "="&amp;A26, DelinquencyPerSector!$J:$J, "="&amp;B26,DelinquencyPerSector!$K:$K, "="&amp;C26,DelinquencyPerSector!$R:$R, "&gt;0")</f>
        <v>0</v>
      </c>
      <c r="P26" s="281">
        <v>88177265.930000007</v>
      </c>
      <c r="Q26" s="282">
        <f t="shared" si="4"/>
        <v>5.3227999148701246E-3</v>
      </c>
      <c r="R26" s="287">
        <f>COUNTIFS(DelinquencyPerSector!$I:$I, "="&amp;A26, DelinquencyPerSector!$J:$J, "="&amp;B26,DelinquencyPerSector!$K:$K, "="&amp;C26)</f>
        <v>8</v>
      </c>
      <c r="S26" s="288">
        <f>Table_ExternalData_18[[#This Row],[Total Port%]]-Table_ExternalData_18[[#This Row],[PAR 30+%]]</f>
        <v>-7.1736263211160502E-3</v>
      </c>
      <c r="T26" s="289">
        <f>Table_ExternalData_18[[#This Row],[Total Port%]]-Table_ExternalData_18[[#This Row],[PAR 90+%]]</f>
        <v>-4.044887444074159E-3</v>
      </c>
      <c r="U26" s="280"/>
      <c r="V26" s="280"/>
    </row>
    <row r="27" spans="1:22" ht="22.8" x14ac:dyDescent="0.4">
      <c r="A27" s="280" t="s">
        <v>25</v>
      </c>
      <c r="B27" s="280" t="s">
        <v>106</v>
      </c>
      <c r="C27" s="280" t="s">
        <v>26</v>
      </c>
      <c r="D27" s="281">
        <f>SUMIFS(DelinquencyPerSector!$L$2:$L$5000,DelinquencyPerSector!$K$2:$K$5000, "="&amp;C27, DelinquencyPerSector!$J$2:$J$5000, "="&amp;B27,DelinquencyPerSector!$I$2:$I$5000,"="&amp;A27)</f>
        <v>54474466.57</v>
      </c>
      <c r="E27" s="282">
        <f t="shared" si="0"/>
        <v>7.3856487487039043E-3</v>
      </c>
      <c r="F27" s="283">
        <f>COUNTIFS(DelinquencyPerSector!$I:$I, "="&amp;A27, DelinquencyPerSector!$J:$J, "="&amp;B27,DelinquencyPerSector!$K:$K, "="&amp;C27,DelinquencyPerSector!$L:$L, "&gt;0")</f>
        <v>3</v>
      </c>
      <c r="G27" s="284">
        <f>SUMIFS(DelinquencyPerSector!$N$2:$N$5000, DelinquencyPerSector!$K$2:$K$5000, "="&amp;C27, DelinquencyPerSector!$J$2:$J$5000, "="&amp;B27, DelinquencyPerSector!$I$2:$I$5000,"="&amp;A27)</f>
        <v>26058983.219999999</v>
      </c>
      <c r="H27" s="282">
        <f t="shared" si="1"/>
        <v>1.0790808500340209E-2</v>
      </c>
      <c r="I27" s="283">
        <f>COUNTIFS(DelinquencyPerSector!$I:$I, "="&amp;A27, DelinquencyPerSector!$J:$J, "="&amp;B27,DelinquencyPerSector!$K:$K, "="&amp;C27,DelinquencyPerSector!$N:$N, "&gt;0")</f>
        <v>2</v>
      </c>
      <c r="J27" s="281">
        <f>SUMIFS(DelinquencyPerSector!$P$2:$P$5000, DelinquencyPerSector!$K$2:$K$5000, "="&amp;C27, DelinquencyPerSector!$J$2:$J$5000, "="&amp;B27, DelinquencyPerSector!$I$2:$I$5000,"="&amp;A27)</f>
        <v>23635006.18</v>
      </c>
      <c r="K27" s="282">
        <f t="shared" si="2"/>
        <v>2.9034880545630967E-2</v>
      </c>
      <c r="L27" s="283">
        <f>COUNTIFS(DelinquencyPerSector!$I:$I, "="&amp;A27, DelinquencyPerSector!$J:$J, "="&amp;B27,DelinquencyPerSector!$K:$K, "="&amp;C27,DelinquencyPerSector!$P:$P, "&gt;0")</f>
        <v>1</v>
      </c>
      <c r="M27" s="285">
        <f>SUMIFS(DelinquencyPerSector!$R$2:$R$5000,DelinquencyPerSector!$K$2:$K$5000, "="&amp;C27, DelinquencyPerSector!$J$2:$J$5000, "="&amp;B27,DelinquencyPerSector!$I$2:$I$5000,"="&amp;A27)</f>
        <v>0</v>
      </c>
      <c r="N27" s="282">
        <f t="shared" si="3"/>
        <v>0</v>
      </c>
      <c r="O27" s="283">
        <f>COUNTIFS(DelinquencyPerSector!$I:$I, "="&amp;A27, DelinquencyPerSector!$J:$J, "="&amp;B27,DelinquencyPerSector!$K:$K, "="&amp;C27,DelinquencyPerSector!$R:$R, "&gt;0")</f>
        <v>0</v>
      </c>
      <c r="P27" s="281">
        <v>66215067.020000003</v>
      </c>
      <c r="Q27" s="282">
        <f t="shared" si="4"/>
        <v>3.9970569440990556E-3</v>
      </c>
      <c r="R27" s="287">
        <f>COUNTIFS(DelinquencyPerSector!$I:$I, "="&amp;A27, DelinquencyPerSector!$J:$J, "="&amp;B27,DelinquencyPerSector!$K:$K, "="&amp;C27)</f>
        <v>6</v>
      </c>
      <c r="S27" s="288">
        <f>Table_ExternalData_18[[#This Row],[Total Port%]]-Table_ExternalData_18[[#This Row],[PAR 30+%]]</f>
        <v>-6.7937515562411536E-3</v>
      </c>
      <c r="T27" s="289">
        <f>Table_ExternalData_18[[#This Row],[Total Port%]]-Table_ExternalData_18[[#This Row],[PAR 90+%]]</f>
        <v>-2.5037823601531912E-2</v>
      </c>
      <c r="U27" s="280"/>
      <c r="V27" s="280"/>
    </row>
    <row r="28" spans="1:22" ht="22.8" x14ac:dyDescent="0.4">
      <c r="A28" s="280" t="s">
        <v>25</v>
      </c>
      <c r="B28" s="280" t="s">
        <v>32</v>
      </c>
      <c r="C28" s="280" t="s">
        <v>26</v>
      </c>
      <c r="D28" s="281">
        <f>SUMIFS(DelinquencyPerSector!$L$2:$L$5000,DelinquencyPerSector!$K$2:$K$5000, "="&amp;C28, DelinquencyPerSector!$J$2:$J$5000, "="&amp;B28,DelinquencyPerSector!$I$2:$I$5000,"="&amp;A28)</f>
        <v>31328851.799999997</v>
      </c>
      <c r="E28" s="282">
        <f t="shared" si="0"/>
        <v>4.2475660555146583E-3</v>
      </c>
      <c r="F28" s="283">
        <f>COUNTIFS(DelinquencyPerSector!$I:$I, "="&amp;A28, DelinquencyPerSector!$J:$J, "="&amp;B28,DelinquencyPerSector!$K:$K, "="&amp;C28,DelinquencyPerSector!$L:$L, "&gt;0")</f>
        <v>3</v>
      </c>
      <c r="G28" s="284">
        <f>SUMIFS(DelinquencyPerSector!$N$2:$N$5000, DelinquencyPerSector!$K$2:$K$5000, "="&amp;C28, DelinquencyPerSector!$J$2:$J$5000, "="&amp;B28, DelinquencyPerSector!$I$2:$I$5000,"="&amp;A28)</f>
        <v>25109756.34</v>
      </c>
      <c r="H28" s="282">
        <f t="shared" si="1"/>
        <v>1.0397741533798166E-2</v>
      </c>
      <c r="I28" s="283">
        <f>COUNTIFS(DelinquencyPerSector!$I:$I, "="&amp;A28, DelinquencyPerSector!$J:$J, "="&amp;B28,DelinquencyPerSector!$K:$K, "="&amp;C28,DelinquencyPerSector!$N:$N, "&gt;0")</f>
        <v>1</v>
      </c>
      <c r="J28" s="281">
        <f>SUMIFS(DelinquencyPerSector!$P$2:$P$5000, DelinquencyPerSector!$K$2:$K$5000, "="&amp;C28, DelinquencyPerSector!$J$2:$J$5000, "="&amp;B28, DelinquencyPerSector!$I$2:$I$5000,"="&amp;A28)</f>
        <v>0</v>
      </c>
      <c r="K28" s="282">
        <f t="shared" si="2"/>
        <v>0</v>
      </c>
      <c r="L28" s="283">
        <f>COUNTIFS(DelinquencyPerSector!$I:$I, "="&amp;A28, DelinquencyPerSector!$J:$J, "="&amp;B28,DelinquencyPerSector!$K:$K, "="&amp;C28,DelinquencyPerSector!$P:$P, "&gt;0")</f>
        <v>0</v>
      </c>
      <c r="M28" s="285">
        <f>SUMIFS(DelinquencyPerSector!$R$2:$R$5000,DelinquencyPerSector!$K$2:$K$5000, "="&amp;C28, DelinquencyPerSector!$J$2:$J$5000, "="&amp;B28,DelinquencyPerSector!$I$2:$I$5000,"="&amp;A28)</f>
        <v>0</v>
      </c>
      <c r="N28" s="282">
        <f t="shared" si="3"/>
        <v>0</v>
      </c>
      <c r="O28" s="283">
        <f>COUNTIFS(DelinquencyPerSector!$I:$I, "="&amp;A28, DelinquencyPerSector!$J:$J, "="&amp;B28,DelinquencyPerSector!$K:$K, "="&amp;C28,DelinquencyPerSector!$R:$R, "&gt;0")</f>
        <v>0</v>
      </c>
      <c r="P28" s="281">
        <v>55077532.170000002</v>
      </c>
      <c r="Q28" s="282">
        <f t="shared" si="4"/>
        <v>3.3247422728945181E-3</v>
      </c>
      <c r="R28" s="287">
        <f>COUNTIFS(DelinquencyPerSector!$I:$I, "="&amp;A28, DelinquencyPerSector!$J:$J, "="&amp;B28,DelinquencyPerSector!$K:$K, "="&amp;C28)</f>
        <v>6</v>
      </c>
      <c r="S28" s="288">
        <f>Table_ExternalData_18[[#This Row],[Total Port%]]-Table_ExternalData_18[[#This Row],[PAR 30+%]]</f>
        <v>-7.0729992609036476E-3</v>
      </c>
      <c r="T28" s="289">
        <f>Table_ExternalData_18[[#This Row],[Total Port%]]-Table_ExternalData_18[[#This Row],[PAR 90+%]]</f>
        <v>3.3247422728945181E-3</v>
      </c>
      <c r="U28" s="280"/>
      <c r="V28" s="280"/>
    </row>
    <row r="29" spans="1:22" ht="22.8" x14ac:dyDescent="0.4">
      <c r="A29" s="280" t="s">
        <v>42</v>
      </c>
      <c r="B29" s="280" t="s">
        <v>26</v>
      </c>
      <c r="C29" s="280" t="s">
        <v>26</v>
      </c>
      <c r="D29" s="281">
        <f>SUMIFS(DelinquencyPerSector!$L$2:$L$5000,DelinquencyPerSector!$K$2:$K$5000, "="&amp;C29, DelinquencyPerSector!$J$2:$J$5000, "="&amp;B29,DelinquencyPerSector!$I$2:$I$5000,"="&amp;A29)</f>
        <v>41179027.93</v>
      </c>
      <c r="E29" s="282">
        <f t="shared" si="0"/>
        <v>5.5830530384952722E-3</v>
      </c>
      <c r="F29" s="283">
        <f>COUNTIFS(DelinquencyPerSector!$I:$I, "="&amp;A29, DelinquencyPerSector!$J:$J, "="&amp;B29,DelinquencyPerSector!$K:$K, "="&amp;C29,DelinquencyPerSector!$L:$L, "&gt;0")</f>
        <v>4</v>
      </c>
      <c r="G29" s="284">
        <f>SUMIFS(DelinquencyPerSector!$N$2:$N$5000, DelinquencyPerSector!$K$2:$K$5000, "="&amp;C29, DelinquencyPerSector!$J$2:$J$5000, "="&amp;B29, DelinquencyPerSector!$I$2:$I$5000,"="&amp;A29)</f>
        <v>24309684.23</v>
      </c>
      <c r="H29" s="282">
        <f t="shared" si="1"/>
        <v>1.0066438318604142E-2</v>
      </c>
      <c r="I29" s="283">
        <f>COUNTIFS(DelinquencyPerSector!$I:$I, "="&amp;A29, DelinquencyPerSector!$J:$J, "="&amp;B29,DelinquencyPerSector!$K:$K, "="&amp;C29,DelinquencyPerSector!$N:$N, "&gt;0")</f>
        <v>2</v>
      </c>
      <c r="J29" s="281">
        <f>SUMIFS(DelinquencyPerSector!$P$2:$P$5000, DelinquencyPerSector!$K$2:$K$5000, "="&amp;C29, DelinquencyPerSector!$J$2:$J$5000, "="&amp;B29, DelinquencyPerSector!$I$2:$I$5000,"="&amp;A29)</f>
        <v>3623553.87</v>
      </c>
      <c r="K29" s="282">
        <f t="shared" si="2"/>
        <v>4.4514248468924579E-3</v>
      </c>
      <c r="L29" s="283">
        <f>COUNTIFS(DelinquencyPerSector!$I:$I, "="&amp;A29, DelinquencyPerSector!$J:$J, "="&amp;B29,DelinquencyPerSector!$K:$K, "="&amp;C29,DelinquencyPerSector!$P:$P, "&gt;0")</f>
        <v>1</v>
      </c>
      <c r="M29" s="285">
        <f>SUMIFS(DelinquencyPerSector!$R$2:$R$5000,DelinquencyPerSector!$K$2:$K$5000, "="&amp;C29, DelinquencyPerSector!$J$2:$J$5000, "="&amp;B29,DelinquencyPerSector!$I$2:$I$5000,"="&amp;A29)</f>
        <v>0</v>
      </c>
      <c r="N29" s="282">
        <f t="shared" si="3"/>
        <v>0</v>
      </c>
      <c r="O29" s="283">
        <f>COUNTIFS(DelinquencyPerSector!$I:$I, "="&amp;A29, DelinquencyPerSector!$J:$J, "="&amp;B29,DelinquencyPerSector!$K:$K, "="&amp;C29,DelinquencyPerSector!$R:$R, "&gt;0")</f>
        <v>0</v>
      </c>
      <c r="P29" s="281">
        <v>41179027.93</v>
      </c>
      <c r="Q29" s="282">
        <f t="shared" si="4"/>
        <v>2.4857623339585265E-3</v>
      </c>
      <c r="R29" s="287">
        <f>COUNTIFS(DelinquencyPerSector!$I:$I, "="&amp;A29, DelinquencyPerSector!$J:$J, "="&amp;B29,DelinquencyPerSector!$K:$K, "="&amp;C29)</f>
        <v>4</v>
      </c>
      <c r="S29" s="288">
        <f>Table_ExternalData_18[[#This Row],[Total Port%]]-Table_ExternalData_18[[#This Row],[PAR 30+%]]</f>
        <v>-7.5806759846456153E-3</v>
      </c>
      <c r="T29" s="289">
        <f>Table_ExternalData_18[[#This Row],[Total Port%]]-Table_ExternalData_18[[#This Row],[PAR 90+%]]</f>
        <v>-1.9656625129339314E-3</v>
      </c>
      <c r="U29" s="280"/>
      <c r="V29" s="280"/>
    </row>
    <row r="30" spans="1:22" ht="22.8" x14ac:dyDescent="0.4">
      <c r="A30" s="280" t="s">
        <v>36</v>
      </c>
      <c r="B30" s="280" t="s">
        <v>1023</v>
      </c>
      <c r="C30" s="280" t="s">
        <v>4042</v>
      </c>
      <c r="D30" s="281">
        <f>SUMIFS(DelinquencyPerSector!$L$2:$L$5000,DelinquencyPerSector!$K$2:$K$5000, "="&amp;C30, DelinquencyPerSector!$J$2:$J$5000, "="&amp;B30,DelinquencyPerSector!$I$2:$I$5000,"="&amp;A30)</f>
        <v>60694788.700000003</v>
      </c>
      <c r="E30" s="282">
        <f t="shared" si="0"/>
        <v>8.2290000883069297E-3</v>
      </c>
      <c r="F30" s="283">
        <f>COUNTIFS(DelinquencyPerSector!$I:$I, "="&amp;A30, DelinquencyPerSector!$J:$J, "="&amp;B30,DelinquencyPerSector!$K:$K, "="&amp;C30,DelinquencyPerSector!$L:$L, "&gt;0")</f>
        <v>2</v>
      </c>
      <c r="G30" s="284">
        <f>SUMIFS(DelinquencyPerSector!$N$2:$N$5000, DelinquencyPerSector!$K$2:$K$5000, "="&amp;C30, DelinquencyPerSector!$J$2:$J$5000, "="&amp;B30, DelinquencyPerSector!$I$2:$I$5000,"="&amp;A30)</f>
        <v>23336195.68</v>
      </c>
      <c r="H30" s="282">
        <f t="shared" si="1"/>
        <v>9.6633247960373203E-3</v>
      </c>
      <c r="I30" s="283">
        <f>COUNTIFS(DelinquencyPerSector!$I:$I, "="&amp;A30, DelinquencyPerSector!$J:$J, "="&amp;B30,DelinquencyPerSector!$K:$K, "="&amp;C30,DelinquencyPerSector!$N:$N, "&gt;0")</f>
        <v>1</v>
      </c>
      <c r="J30" s="281">
        <f>SUMIFS(DelinquencyPerSector!$P$2:$P$5000, DelinquencyPerSector!$K$2:$K$5000, "="&amp;C30, DelinquencyPerSector!$J$2:$J$5000, "="&amp;B30, DelinquencyPerSector!$I$2:$I$5000,"="&amp;A30)</f>
        <v>23336195.68</v>
      </c>
      <c r="K30" s="282">
        <f t="shared" si="2"/>
        <v>2.8667801006611347E-2</v>
      </c>
      <c r="L30" s="283">
        <f>COUNTIFS(DelinquencyPerSector!$I:$I, "="&amp;A30, DelinquencyPerSector!$J:$J, "="&amp;B30,DelinquencyPerSector!$K:$K, "="&amp;C30,DelinquencyPerSector!$P:$P, "&gt;0")</f>
        <v>1</v>
      </c>
      <c r="M30" s="285">
        <f>SUMIFS(DelinquencyPerSector!$R$2:$R$5000,DelinquencyPerSector!$K$2:$K$5000, "="&amp;C30, DelinquencyPerSector!$J$2:$J$5000, "="&amp;B30,DelinquencyPerSector!$I$2:$I$5000,"="&amp;A30)</f>
        <v>0</v>
      </c>
      <c r="N30" s="282">
        <f t="shared" si="3"/>
        <v>0</v>
      </c>
      <c r="O30" s="283">
        <f>COUNTIFS(DelinquencyPerSector!$I:$I, "="&amp;A30, DelinquencyPerSector!$J:$J, "="&amp;B30,DelinquencyPerSector!$K:$K, "="&amp;C30,DelinquencyPerSector!$R:$R, "&gt;0")</f>
        <v>0</v>
      </c>
      <c r="P30" s="281">
        <v>83078400.819999993</v>
      </c>
      <c r="Q30" s="282">
        <f t="shared" si="4"/>
        <v>5.0150081219720805E-3</v>
      </c>
      <c r="R30" s="287">
        <f>COUNTIFS(DelinquencyPerSector!$I:$I, "="&amp;A30, DelinquencyPerSector!$J:$J, "="&amp;B30,DelinquencyPerSector!$K:$K, "="&amp;C30)</f>
        <v>5</v>
      </c>
      <c r="S30" s="288">
        <f>Table_ExternalData_18[[#This Row],[Total Port%]]-Table_ExternalData_18[[#This Row],[PAR 30+%]]</f>
        <v>-4.6483166740652398E-3</v>
      </c>
      <c r="T30" s="289">
        <f>Table_ExternalData_18[[#This Row],[Total Port%]]-Table_ExternalData_18[[#This Row],[PAR 90+%]]</f>
        <v>-2.3652792884639267E-2</v>
      </c>
      <c r="U30" s="280"/>
      <c r="V30" s="280"/>
    </row>
    <row r="31" spans="1:22" ht="22.8" x14ac:dyDescent="0.4">
      <c r="A31" s="280" t="s">
        <v>31</v>
      </c>
      <c r="B31" s="280" t="s">
        <v>416</v>
      </c>
      <c r="C31" s="280" t="s">
        <v>3920</v>
      </c>
      <c r="D31" s="281">
        <f>SUMIFS(DelinquencyPerSector!$L$2:$L$5000,DelinquencyPerSector!$K$2:$K$5000, "="&amp;C31, DelinquencyPerSector!$J$2:$J$5000, "="&amp;B31,DelinquencyPerSector!$I$2:$I$5000,"="&amp;A31)</f>
        <v>21707697.300000001</v>
      </c>
      <c r="E31" s="282">
        <f t="shared" si="0"/>
        <v>2.9431298275306474E-3</v>
      </c>
      <c r="F31" s="283">
        <f>COUNTIFS(DelinquencyPerSector!$I:$I, "="&amp;A31, DelinquencyPerSector!$J:$J, "="&amp;B31,DelinquencyPerSector!$K:$K, "="&amp;C31,DelinquencyPerSector!$L:$L, "&gt;0")</f>
        <v>1</v>
      </c>
      <c r="G31" s="284">
        <f>SUMIFS(DelinquencyPerSector!$N$2:$N$5000, DelinquencyPerSector!$K$2:$K$5000, "="&amp;C31, DelinquencyPerSector!$J$2:$J$5000, "="&amp;B31, DelinquencyPerSector!$I$2:$I$5000,"="&amp;A31)</f>
        <v>21707697.300000001</v>
      </c>
      <c r="H31" s="282">
        <f t="shared" si="1"/>
        <v>8.9889771435085267E-3</v>
      </c>
      <c r="I31" s="283">
        <f>COUNTIFS(DelinquencyPerSector!$I:$I, "="&amp;A31, DelinquencyPerSector!$J:$J, "="&amp;B31,DelinquencyPerSector!$K:$K, "="&amp;C31,DelinquencyPerSector!$N:$N, "&gt;0")</f>
        <v>1</v>
      </c>
      <c r="J31" s="281">
        <f>SUMIFS(DelinquencyPerSector!$P$2:$P$5000, DelinquencyPerSector!$K$2:$K$5000, "="&amp;C31, DelinquencyPerSector!$J$2:$J$5000, "="&amp;B31, DelinquencyPerSector!$I$2:$I$5000,"="&amp;A31)</f>
        <v>0</v>
      </c>
      <c r="K31" s="282">
        <f t="shared" si="2"/>
        <v>0</v>
      </c>
      <c r="L31" s="283">
        <f>COUNTIFS(DelinquencyPerSector!$I:$I, "="&amp;A31, DelinquencyPerSector!$J:$J, "="&amp;B31,DelinquencyPerSector!$K:$K, "="&amp;C31,DelinquencyPerSector!$P:$P, "&gt;0")</f>
        <v>0</v>
      </c>
      <c r="M31" s="285">
        <f>SUMIFS(DelinquencyPerSector!$R$2:$R$5000,DelinquencyPerSector!$K$2:$K$5000, "="&amp;C31, DelinquencyPerSector!$J$2:$J$5000, "="&amp;B31,DelinquencyPerSector!$I$2:$I$5000,"="&amp;A31)</f>
        <v>0</v>
      </c>
      <c r="N31" s="282">
        <f t="shared" si="3"/>
        <v>0</v>
      </c>
      <c r="O31" s="283">
        <f>COUNTIFS(DelinquencyPerSector!$I:$I, "="&amp;A31, DelinquencyPerSector!$J:$J, "="&amp;B31,DelinquencyPerSector!$K:$K, "="&amp;C31,DelinquencyPerSector!$R:$R, "&gt;0")</f>
        <v>0</v>
      </c>
      <c r="P31" s="281">
        <v>21707697.300000001</v>
      </c>
      <c r="Q31" s="282">
        <f t="shared" si="4"/>
        <v>1.3103800409528805E-3</v>
      </c>
      <c r="R31" s="287">
        <f>COUNTIFS(DelinquencyPerSector!$I:$I, "="&amp;A31, DelinquencyPerSector!$J:$J, "="&amp;B31,DelinquencyPerSector!$K:$K, "="&amp;C31)</f>
        <v>1</v>
      </c>
      <c r="S31" s="288">
        <f>Table_ExternalData_18[[#This Row],[Total Port%]]-Table_ExternalData_18[[#This Row],[PAR 30+%]]</f>
        <v>-7.6785971025556459E-3</v>
      </c>
      <c r="T31" s="289">
        <f>Table_ExternalData_18[[#This Row],[Total Port%]]-Table_ExternalData_18[[#This Row],[PAR 90+%]]</f>
        <v>1.3103800409528805E-3</v>
      </c>
      <c r="U31" s="280"/>
      <c r="V31" s="280"/>
    </row>
    <row r="32" spans="1:22" ht="22.8" x14ac:dyDescent="0.4">
      <c r="A32" s="280" t="s">
        <v>31</v>
      </c>
      <c r="B32" s="280" t="s">
        <v>293</v>
      </c>
      <c r="C32" s="280" t="s">
        <v>26</v>
      </c>
      <c r="D32" s="281">
        <f>SUMIFS(DelinquencyPerSector!$L$2:$L$5000,DelinquencyPerSector!$K$2:$K$5000, "="&amp;C32, DelinquencyPerSector!$J$2:$J$5000, "="&amp;B32,DelinquencyPerSector!$I$2:$I$5000,"="&amp;A32)</f>
        <v>21578331.32</v>
      </c>
      <c r="E32" s="282">
        <f t="shared" si="0"/>
        <v>2.9255903866058962E-3</v>
      </c>
      <c r="F32" s="283">
        <f>COUNTIFS(DelinquencyPerSector!$I:$I, "="&amp;A32, DelinquencyPerSector!$J:$J, "="&amp;B32,DelinquencyPerSector!$K:$K, "="&amp;C32,DelinquencyPerSector!$L:$L, "&gt;0")</f>
        <v>1</v>
      </c>
      <c r="G32" s="284">
        <f>SUMIFS(DelinquencyPerSector!$N$2:$N$5000, DelinquencyPerSector!$K$2:$K$5000, "="&amp;C32, DelinquencyPerSector!$J$2:$J$5000, "="&amp;B32, DelinquencyPerSector!$I$2:$I$5000,"="&amp;A32)</f>
        <v>21578331.32</v>
      </c>
      <c r="H32" s="282">
        <f t="shared" si="1"/>
        <v>8.9354077657299094E-3</v>
      </c>
      <c r="I32" s="283">
        <f>COUNTIFS(DelinquencyPerSector!$I:$I, "="&amp;A32, DelinquencyPerSector!$J:$J, "="&amp;B32,DelinquencyPerSector!$K:$K, "="&amp;C32,DelinquencyPerSector!$N:$N, "&gt;0")</f>
        <v>1</v>
      </c>
      <c r="J32" s="281">
        <f>SUMIFS(DelinquencyPerSector!$P$2:$P$5000, DelinquencyPerSector!$K$2:$K$5000, "="&amp;C32, DelinquencyPerSector!$J$2:$J$5000, "="&amp;B32, DelinquencyPerSector!$I$2:$I$5000,"="&amp;A32)</f>
        <v>0</v>
      </c>
      <c r="K32" s="282">
        <f t="shared" si="2"/>
        <v>0</v>
      </c>
      <c r="L32" s="283">
        <f>COUNTIFS(DelinquencyPerSector!$I:$I, "="&amp;A32, DelinquencyPerSector!$J:$J, "="&amp;B32,DelinquencyPerSector!$K:$K, "="&amp;C32,DelinquencyPerSector!$P:$P, "&gt;0")</f>
        <v>0</v>
      </c>
      <c r="M32" s="285">
        <f>SUMIFS(DelinquencyPerSector!$R$2:$R$5000,DelinquencyPerSector!$K$2:$K$5000, "="&amp;C32, DelinquencyPerSector!$J$2:$J$5000, "="&amp;B32,DelinquencyPerSector!$I$2:$I$5000,"="&amp;A32)</f>
        <v>0</v>
      </c>
      <c r="N32" s="282">
        <f t="shared" si="3"/>
        <v>0</v>
      </c>
      <c r="O32" s="283">
        <f>COUNTIFS(DelinquencyPerSector!$I:$I, "="&amp;A32, DelinquencyPerSector!$J:$J, "="&amp;B32,DelinquencyPerSector!$K:$K, "="&amp;C32,DelinquencyPerSector!$R:$R, "&gt;0")</f>
        <v>0</v>
      </c>
      <c r="P32" s="281">
        <v>50275195.899999999</v>
      </c>
      <c r="Q32" s="282">
        <f t="shared" si="4"/>
        <v>3.0348503736670439E-3</v>
      </c>
      <c r="R32" s="287">
        <f>COUNTIFS(DelinquencyPerSector!$I:$I, "="&amp;A32, DelinquencyPerSector!$J:$J, "="&amp;B32,DelinquencyPerSector!$K:$K, "="&amp;C32)</f>
        <v>2</v>
      </c>
      <c r="S32" s="288">
        <f>Table_ExternalData_18[[#This Row],[Total Port%]]-Table_ExternalData_18[[#This Row],[PAR 30+%]]</f>
        <v>-5.9005573920628655E-3</v>
      </c>
      <c r="T32" s="289">
        <f>Table_ExternalData_18[[#This Row],[Total Port%]]-Table_ExternalData_18[[#This Row],[PAR 90+%]]</f>
        <v>3.0348503736670439E-3</v>
      </c>
      <c r="U32" s="280"/>
      <c r="V32" s="280"/>
    </row>
    <row r="33" spans="1:22" ht="22.8" x14ac:dyDescent="0.4">
      <c r="A33" s="280" t="s">
        <v>46</v>
      </c>
      <c r="B33" s="280" t="s">
        <v>46</v>
      </c>
      <c r="C33" s="280" t="s">
        <v>26</v>
      </c>
      <c r="D33" s="281">
        <f>SUMIFS(DelinquencyPerSector!$L$2:$L$5000,DelinquencyPerSector!$K$2:$K$5000, "="&amp;C33, DelinquencyPerSector!$J$2:$J$5000, "="&amp;B33,DelinquencyPerSector!$I$2:$I$5000,"="&amp;A33)</f>
        <v>26779960.530000001</v>
      </c>
      <c r="E33" s="282">
        <f t="shared" si="0"/>
        <v>3.6308273294347279E-3</v>
      </c>
      <c r="F33" s="283">
        <f>COUNTIFS(DelinquencyPerSector!$I:$I, "="&amp;A33, DelinquencyPerSector!$J:$J, "="&amp;B33,DelinquencyPerSector!$K:$K, "="&amp;C33,DelinquencyPerSector!$L:$L, "&gt;0")</f>
        <v>4</v>
      </c>
      <c r="G33" s="284">
        <f>SUMIFS(DelinquencyPerSector!$N$2:$N$5000, DelinquencyPerSector!$K$2:$K$5000, "="&amp;C33, DelinquencyPerSector!$J$2:$J$5000, "="&amp;B33, DelinquencyPerSector!$I$2:$I$5000,"="&amp;A33)</f>
        <v>17903260.800000001</v>
      </c>
      <c r="H33" s="282">
        <f t="shared" si="1"/>
        <v>7.4135915892595472E-3</v>
      </c>
      <c r="I33" s="283">
        <f>COUNTIFS(DelinquencyPerSector!$I:$I, "="&amp;A33, DelinquencyPerSector!$J:$J, "="&amp;B33,DelinquencyPerSector!$K:$K, "="&amp;C33,DelinquencyPerSector!$N:$N, "&gt;0")</f>
        <v>3</v>
      </c>
      <c r="J33" s="281">
        <f>SUMIFS(DelinquencyPerSector!$P$2:$P$5000, DelinquencyPerSector!$K$2:$K$5000, "="&amp;C33, DelinquencyPerSector!$J$2:$J$5000, "="&amp;B33, DelinquencyPerSector!$I$2:$I$5000,"="&amp;A33)</f>
        <v>0</v>
      </c>
      <c r="K33" s="282">
        <f t="shared" si="2"/>
        <v>0</v>
      </c>
      <c r="L33" s="283">
        <f>COUNTIFS(DelinquencyPerSector!$I:$I, "="&amp;A33, DelinquencyPerSector!$J:$J, "="&amp;B33,DelinquencyPerSector!$K:$K, "="&amp;C33,DelinquencyPerSector!$P:$P, "&gt;0")</f>
        <v>0</v>
      </c>
      <c r="M33" s="285">
        <f>SUMIFS(DelinquencyPerSector!$R$2:$R$5000,DelinquencyPerSector!$K$2:$K$5000, "="&amp;C33, DelinquencyPerSector!$J$2:$J$5000, "="&amp;B33,DelinquencyPerSector!$I$2:$I$5000,"="&amp;A33)</f>
        <v>0</v>
      </c>
      <c r="N33" s="282">
        <f t="shared" si="3"/>
        <v>0</v>
      </c>
      <c r="O33" s="283">
        <f>COUNTIFS(DelinquencyPerSector!$I:$I, "="&amp;A33, DelinquencyPerSector!$J:$J, "="&amp;B33,DelinquencyPerSector!$K:$K, "="&amp;C33,DelinquencyPerSector!$R:$R, "&gt;0")</f>
        <v>0</v>
      </c>
      <c r="P33" s="281">
        <v>32954124.98</v>
      </c>
      <c r="Q33" s="282">
        <f t="shared" si="4"/>
        <v>1.9892680022242037E-3</v>
      </c>
      <c r="R33" s="287">
        <f>COUNTIFS(DelinquencyPerSector!$I:$I, "="&amp;A33, DelinquencyPerSector!$J:$J, "="&amp;B33,DelinquencyPerSector!$K:$K, "="&amp;C33)</f>
        <v>6</v>
      </c>
      <c r="S33" s="288">
        <f>Table_ExternalData_18[[#This Row],[Total Port%]]-Table_ExternalData_18[[#This Row],[PAR 30+%]]</f>
        <v>-5.4243235870353439E-3</v>
      </c>
      <c r="T33" s="289">
        <f>Table_ExternalData_18[[#This Row],[Total Port%]]-Table_ExternalData_18[[#This Row],[PAR 90+%]]</f>
        <v>1.9892680022242037E-3</v>
      </c>
      <c r="U33" s="280"/>
      <c r="V33" s="280"/>
    </row>
    <row r="34" spans="1:22" ht="22.8" x14ac:dyDescent="0.4">
      <c r="A34" s="280" t="s">
        <v>36</v>
      </c>
      <c r="B34" s="280" t="s">
        <v>97</v>
      </c>
      <c r="C34" s="280" t="s">
        <v>1811</v>
      </c>
      <c r="D34" s="281">
        <f>SUMIFS(DelinquencyPerSector!$L$2:$L$5000,DelinquencyPerSector!$K$2:$K$5000, "="&amp;C34, DelinquencyPerSector!$J$2:$J$5000, "="&amp;B34,DelinquencyPerSector!$I$2:$I$5000,"="&amp;A34)</f>
        <v>17083826.030000001</v>
      </c>
      <c r="E34" s="282">
        <f t="shared" si="0"/>
        <v>2.3162253122645804E-3</v>
      </c>
      <c r="F34" s="283">
        <f>COUNTIFS(DelinquencyPerSector!$I:$I, "="&amp;A34, DelinquencyPerSector!$J:$J, "="&amp;B34,DelinquencyPerSector!$K:$K, "="&amp;C34,DelinquencyPerSector!$L:$L, "&gt;0")</f>
        <v>2</v>
      </c>
      <c r="G34" s="284">
        <f>SUMIFS(DelinquencyPerSector!$N$2:$N$5000, DelinquencyPerSector!$K$2:$K$5000, "="&amp;C34, DelinquencyPerSector!$J$2:$J$5000, "="&amp;B34, DelinquencyPerSector!$I$2:$I$5000,"="&amp;A34)</f>
        <v>17083826.030000001</v>
      </c>
      <c r="H34" s="282">
        <f t="shared" si="1"/>
        <v>7.0742704573896016E-3</v>
      </c>
      <c r="I34" s="283">
        <f>COUNTIFS(DelinquencyPerSector!$I:$I, "="&amp;A34, DelinquencyPerSector!$J:$J, "="&amp;B34,DelinquencyPerSector!$K:$K, "="&amp;C34,DelinquencyPerSector!$N:$N, "&gt;0")</f>
        <v>2</v>
      </c>
      <c r="J34" s="281">
        <f>SUMIFS(DelinquencyPerSector!$P$2:$P$5000, DelinquencyPerSector!$K$2:$K$5000, "="&amp;C34, DelinquencyPerSector!$J$2:$J$5000, "="&amp;B34, DelinquencyPerSector!$I$2:$I$5000,"="&amp;A34)</f>
        <v>0</v>
      </c>
      <c r="K34" s="282">
        <f t="shared" si="2"/>
        <v>0</v>
      </c>
      <c r="L34" s="283">
        <f>COUNTIFS(DelinquencyPerSector!$I:$I, "="&amp;A34, DelinquencyPerSector!$J:$J, "="&amp;B34,DelinquencyPerSector!$K:$K, "="&amp;C34,DelinquencyPerSector!$P:$P, "&gt;0")</f>
        <v>0</v>
      </c>
      <c r="M34" s="285">
        <f>SUMIFS(DelinquencyPerSector!$R$2:$R$5000,DelinquencyPerSector!$K$2:$K$5000, "="&amp;C34, DelinquencyPerSector!$J$2:$J$5000, "="&amp;B34,DelinquencyPerSector!$I$2:$I$5000,"="&amp;A34)</f>
        <v>0</v>
      </c>
      <c r="N34" s="282">
        <f t="shared" si="3"/>
        <v>0</v>
      </c>
      <c r="O34" s="283">
        <f>COUNTIFS(DelinquencyPerSector!$I:$I, "="&amp;A34, DelinquencyPerSector!$J:$J, "="&amp;B34,DelinquencyPerSector!$K:$K, "="&amp;C34,DelinquencyPerSector!$R:$R, "&gt;0")</f>
        <v>0</v>
      </c>
      <c r="P34" s="281">
        <v>32284474.579999998</v>
      </c>
      <c r="Q34" s="282">
        <f t="shared" si="4"/>
        <v>1.9488447133580872E-3</v>
      </c>
      <c r="R34" s="287">
        <f>COUNTIFS(DelinquencyPerSector!$I:$I, "="&amp;A34, DelinquencyPerSector!$J:$J, "="&amp;B34,DelinquencyPerSector!$K:$K, "="&amp;C34)</f>
        <v>4</v>
      </c>
      <c r="S34" s="288">
        <f>Table_ExternalData_18[[#This Row],[Total Port%]]-Table_ExternalData_18[[#This Row],[PAR 30+%]]</f>
        <v>-5.1254257440315146E-3</v>
      </c>
      <c r="T34" s="289">
        <f>Table_ExternalData_18[[#This Row],[Total Port%]]-Table_ExternalData_18[[#This Row],[PAR 90+%]]</f>
        <v>1.9488447133580872E-3</v>
      </c>
      <c r="U34" s="280"/>
      <c r="V34" s="280"/>
    </row>
    <row r="35" spans="1:22" ht="22.8" x14ac:dyDescent="0.4">
      <c r="A35" s="280" t="s">
        <v>37</v>
      </c>
      <c r="B35" s="280" t="s">
        <v>288</v>
      </c>
      <c r="C35" s="280" t="s">
        <v>26</v>
      </c>
      <c r="D35" s="281">
        <f>SUMIFS(DelinquencyPerSector!$L$2:$L$5000,DelinquencyPerSector!$K$2:$K$5000, "="&amp;C35, DelinquencyPerSector!$J$2:$J$5000, "="&amp;B35,DelinquencyPerSector!$I$2:$I$5000,"="&amp;A35)</f>
        <v>59718185.129999995</v>
      </c>
      <c r="E35" s="282">
        <f t="shared" si="0"/>
        <v>8.0965921660470248E-3</v>
      </c>
      <c r="F35" s="283">
        <f>COUNTIFS(DelinquencyPerSector!$I:$I, "="&amp;A35, DelinquencyPerSector!$J:$J, "="&amp;B35,DelinquencyPerSector!$K:$K, "="&amp;C35,DelinquencyPerSector!$L:$L, "&gt;0")</f>
        <v>3</v>
      </c>
      <c r="G35" s="284">
        <f>SUMIFS(DelinquencyPerSector!$N$2:$N$5000, DelinquencyPerSector!$K$2:$K$5000, "="&amp;C35, DelinquencyPerSector!$J$2:$J$5000, "="&amp;B35, DelinquencyPerSector!$I$2:$I$5000,"="&amp;A35)</f>
        <v>17027218.030000001</v>
      </c>
      <c r="H35" s="282">
        <f t="shared" si="1"/>
        <v>7.0508295547868308E-3</v>
      </c>
      <c r="I35" s="283">
        <f>COUNTIFS(DelinquencyPerSector!$I:$I, "="&amp;A35, DelinquencyPerSector!$J:$J, "="&amp;B35,DelinquencyPerSector!$K:$K, "="&amp;C35,DelinquencyPerSector!$N:$N, "&gt;0")</f>
        <v>1</v>
      </c>
      <c r="J35" s="281">
        <f>SUMIFS(DelinquencyPerSector!$P$2:$P$5000, DelinquencyPerSector!$K$2:$K$5000, "="&amp;C35, DelinquencyPerSector!$J$2:$J$5000, "="&amp;B35, DelinquencyPerSector!$I$2:$I$5000,"="&amp;A35)</f>
        <v>0</v>
      </c>
      <c r="K35" s="282">
        <f t="shared" si="2"/>
        <v>0</v>
      </c>
      <c r="L35" s="283">
        <f>COUNTIFS(DelinquencyPerSector!$I:$I, "="&amp;A35, DelinquencyPerSector!$J:$J, "="&amp;B35,DelinquencyPerSector!$K:$K, "="&amp;C35,DelinquencyPerSector!$P:$P, "&gt;0")</f>
        <v>0</v>
      </c>
      <c r="M35" s="285">
        <f>SUMIFS(DelinquencyPerSector!$R$2:$R$5000,DelinquencyPerSector!$K$2:$K$5000, "="&amp;C35, DelinquencyPerSector!$J$2:$J$5000, "="&amp;B35,DelinquencyPerSector!$I$2:$I$5000,"="&amp;A35)</f>
        <v>0</v>
      </c>
      <c r="N35" s="282">
        <f t="shared" si="3"/>
        <v>0</v>
      </c>
      <c r="O35" s="283">
        <f>COUNTIFS(DelinquencyPerSector!$I:$I, "="&amp;A35, DelinquencyPerSector!$J:$J, "="&amp;B35,DelinquencyPerSector!$K:$K, "="&amp;C35,DelinquencyPerSector!$R:$R, "&gt;0")</f>
        <v>0</v>
      </c>
      <c r="P35" s="281">
        <v>133240919.48999999</v>
      </c>
      <c r="Q35" s="282">
        <f t="shared" si="4"/>
        <v>8.043056761156589E-3</v>
      </c>
      <c r="R35" s="287">
        <f>COUNTIFS(DelinquencyPerSector!$I:$I, "="&amp;A35, DelinquencyPerSector!$J:$J, "="&amp;B35,DelinquencyPerSector!$K:$K, "="&amp;C35)</f>
        <v>6</v>
      </c>
      <c r="S35" s="288">
        <f>Table_ExternalData_18[[#This Row],[Total Port%]]-Table_ExternalData_18[[#This Row],[PAR 30+%]]</f>
        <v>9.9222720636975813E-4</v>
      </c>
      <c r="T35" s="289">
        <f>Table_ExternalData_18[[#This Row],[Total Port%]]-Table_ExternalData_18[[#This Row],[PAR 90+%]]</f>
        <v>8.043056761156589E-3</v>
      </c>
      <c r="U35" s="280"/>
      <c r="V35" s="280"/>
    </row>
    <row r="36" spans="1:22" ht="22.8" x14ac:dyDescent="0.4">
      <c r="A36" s="280" t="s">
        <v>37</v>
      </c>
      <c r="B36" s="280" t="s">
        <v>26</v>
      </c>
      <c r="C36" s="280" t="s">
        <v>26</v>
      </c>
      <c r="D36" s="281">
        <f>SUMIFS(DelinquencyPerSector!$L$2:$L$5000,DelinquencyPerSector!$K$2:$K$5000, "="&amp;C36, DelinquencyPerSector!$J$2:$J$5000, "="&amp;B36,DelinquencyPerSector!$I$2:$I$5000,"="&amp;A36)</f>
        <v>27161423.939999998</v>
      </c>
      <c r="E36" s="282">
        <f t="shared" si="0"/>
        <v>3.6825461425620209E-3</v>
      </c>
      <c r="F36" s="283">
        <f>COUNTIFS(DelinquencyPerSector!$I:$I, "="&amp;A36, DelinquencyPerSector!$J:$J, "="&amp;B36,DelinquencyPerSector!$K:$K, "="&amp;C36,DelinquencyPerSector!$L:$L, "&gt;0")</f>
        <v>2</v>
      </c>
      <c r="G36" s="284">
        <f>SUMIFS(DelinquencyPerSector!$N$2:$N$5000, DelinquencyPerSector!$K$2:$K$5000, "="&amp;C36, DelinquencyPerSector!$J$2:$J$5000, "="&amp;B36, DelinquencyPerSector!$I$2:$I$5000,"="&amp;A36)</f>
        <v>15219031</v>
      </c>
      <c r="H36" s="282">
        <f t="shared" si="1"/>
        <v>6.302074324822454E-3</v>
      </c>
      <c r="I36" s="283">
        <f>COUNTIFS(DelinquencyPerSector!$I:$I, "="&amp;A36, DelinquencyPerSector!$J:$J, "="&amp;B36,DelinquencyPerSector!$K:$K, "="&amp;C36,DelinquencyPerSector!$N:$N, "&gt;0")</f>
        <v>1</v>
      </c>
      <c r="J36" s="281">
        <f>SUMIFS(DelinquencyPerSector!$P$2:$P$5000, DelinquencyPerSector!$K$2:$K$5000, "="&amp;C36, DelinquencyPerSector!$J$2:$J$5000, "="&amp;B36, DelinquencyPerSector!$I$2:$I$5000,"="&amp;A36)</f>
        <v>0</v>
      </c>
      <c r="K36" s="282">
        <f t="shared" si="2"/>
        <v>0</v>
      </c>
      <c r="L36" s="283">
        <f>COUNTIFS(DelinquencyPerSector!$I:$I, "="&amp;A36, DelinquencyPerSector!$J:$J, "="&amp;B36,DelinquencyPerSector!$K:$K, "="&amp;C36,DelinquencyPerSector!$P:$P, "&gt;0")</f>
        <v>0</v>
      </c>
      <c r="M36" s="285">
        <f>SUMIFS(DelinquencyPerSector!$R$2:$R$5000,DelinquencyPerSector!$K$2:$K$5000, "="&amp;C36, DelinquencyPerSector!$J$2:$J$5000, "="&amp;B36,DelinquencyPerSector!$I$2:$I$5000,"="&amp;A36)</f>
        <v>0</v>
      </c>
      <c r="N36" s="282">
        <f t="shared" si="3"/>
        <v>0</v>
      </c>
      <c r="O36" s="283">
        <f>COUNTIFS(DelinquencyPerSector!$I:$I, "="&amp;A36, DelinquencyPerSector!$J:$J, "="&amp;B36,DelinquencyPerSector!$K:$K, "="&amp;C36,DelinquencyPerSector!$R:$R, "&gt;0")</f>
        <v>0</v>
      </c>
      <c r="P36" s="281">
        <v>28188265.640000001</v>
      </c>
      <c r="Q36" s="282">
        <f t="shared" si="4"/>
        <v>1.7015780242952748E-3</v>
      </c>
      <c r="R36" s="287">
        <f>COUNTIFS(DelinquencyPerSector!$I:$I, "="&amp;A36, DelinquencyPerSector!$J:$J, "="&amp;B36,DelinquencyPerSector!$K:$K, "="&amp;C36)</f>
        <v>3</v>
      </c>
      <c r="S36" s="288">
        <f>Table_ExternalData_18[[#This Row],[Total Port%]]-Table_ExternalData_18[[#This Row],[PAR 30+%]]</f>
        <v>-4.6004963005271795E-3</v>
      </c>
      <c r="T36" s="289">
        <f>Table_ExternalData_18[[#This Row],[Total Port%]]-Table_ExternalData_18[[#This Row],[PAR 90+%]]</f>
        <v>1.7015780242952748E-3</v>
      </c>
      <c r="U36" s="280"/>
      <c r="V36" s="280"/>
    </row>
    <row r="37" spans="1:22" ht="22.8" x14ac:dyDescent="0.4">
      <c r="A37" s="280" t="s">
        <v>36</v>
      </c>
      <c r="B37" s="280" t="s">
        <v>97</v>
      </c>
      <c r="C37" s="280" t="s">
        <v>98</v>
      </c>
      <c r="D37" s="281">
        <f>SUMIFS(DelinquencyPerSector!$L$2:$L$5000,DelinquencyPerSector!$K$2:$K$5000, "="&amp;C37, DelinquencyPerSector!$J$2:$J$5000, "="&amp;B37,DelinquencyPerSector!$I$2:$I$5000,"="&amp;A37)</f>
        <v>80919107.25999999</v>
      </c>
      <c r="E37" s="282">
        <f t="shared" si="0"/>
        <v>1.0971013410715734E-2</v>
      </c>
      <c r="F37" s="283">
        <f>COUNTIFS(DelinquencyPerSector!$I:$I, "="&amp;A37, DelinquencyPerSector!$J:$J, "="&amp;B37,DelinquencyPerSector!$K:$K, "="&amp;C37,DelinquencyPerSector!$L:$L, "&gt;0")</f>
        <v>13</v>
      </c>
      <c r="G37" s="284">
        <f>SUMIFS(DelinquencyPerSector!$N$2:$N$5000, DelinquencyPerSector!$K$2:$K$5000, "="&amp;C37, DelinquencyPerSector!$J$2:$J$5000, "="&amp;B37, DelinquencyPerSector!$I$2:$I$5000,"="&amp;A37)</f>
        <v>14754030.18</v>
      </c>
      <c r="H37" s="282">
        <f t="shared" si="1"/>
        <v>6.1095213476491115E-3</v>
      </c>
      <c r="I37" s="283">
        <f>COUNTIFS(DelinquencyPerSector!$I:$I, "="&amp;A37, DelinquencyPerSector!$J:$J, "="&amp;B37,DelinquencyPerSector!$K:$K, "="&amp;C37,DelinquencyPerSector!$N:$N, "&gt;0")</f>
        <v>6</v>
      </c>
      <c r="J37" s="281">
        <f>SUMIFS(DelinquencyPerSector!$P$2:$P$5000, DelinquencyPerSector!$K$2:$K$5000, "="&amp;C37, DelinquencyPerSector!$J$2:$J$5000, "="&amp;B37, DelinquencyPerSector!$I$2:$I$5000,"="&amp;A37)</f>
        <v>9531388.5</v>
      </c>
      <c r="K37" s="282">
        <f t="shared" si="2"/>
        <v>1.1709018581331325E-2</v>
      </c>
      <c r="L37" s="283">
        <f>COUNTIFS(DelinquencyPerSector!$I:$I, "="&amp;A37, DelinquencyPerSector!$J:$J, "="&amp;B37,DelinquencyPerSector!$K:$K, "="&amp;C37,DelinquencyPerSector!$P:$P, "&gt;0")</f>
        <v>3</v>
      </c>
      <c r="M37" s="285">
        <f>SUMIFS(DelinquencyPerSector!$R$2:$R$5000,DelinquencyPerSector!$K$2:$K$5000, "="&amp;C37, DelinquencyPerSector!$J$2:$J$5000, "="&amp;B37,DelinquencyPerSector!$I$2:$I$5000,"="&amp;A37)</f>
        <v>0</v>
      </c>
      <c r="N37" s="282">
        <f t="shared" si="3"/>
        <v>0</v>
      </c>
      <c r="O37" s="283">
        <f>COUNTIFS(DelinquencyPerSector!$I:$I, "="&amp;A37, DelinquencyPerSector!$J:$J, "="&amp;B37,DelinquencyPerSector!$K:$K, "="&amp;C37,DelinquencyPerSector!$R:$R, "&gt;0")</f>
        <v>0</v>
      </c>
      <c r="P37" s="281">
        <v>316404309.44</v>
      </c>
      <c r="Q37" s="282">
        <f t="shared" si="4"/>
        <v>1.9099671707770452E-2</v>
      </c>
      <c r="R37" s="287">
        <f>COUNTIFS(DelinquencyPerSector!$I:$I, "="&amp;A37, DelinquencyPerSector!$J:$J, "="&amp;B37,DelinquencyPerSector!$K:$K, "="&amp;C37)</f>
        <v>31</v>
      </c>
      <c r="S37" s="288">
        <f>Table_ExternalData_18[[#This Row],[Total Port%]]-Table_ExternalData_18[[#This Row],[PAR 30+%]]</f>
        <v>1.2990150360121341E-2</v>
      </c>
      <c r="T37" s="289">
        <f>Table_ExternalData_18[[#This Row],[Total Port%]]-Table_ExternalData_18[[#This Row],[PAR 90+%]]</f>
        <v>7.390653126439127E-3</v>
      </c>
      <c r="U37" s="280"/>
      <c r="V37" s="280"/>
    </row>
    <row r="38" spans="1:22" ht="22.8" x14ac:dyDescent="0.4">
      <c r="A38" s="280" t="s">
        <v>25</v>
      </c>
      <c r="B38" s="280" t="s">
        <v>32</v>
      </c>
      <c r="C38" s="280" t="s">
        <v>517</v>
      </c>
      <c r="D38" s="281">
        <f>SUMIFS(DelinquencyPerSector!$L$2:$L$5000,DelinquencyPerSector!$K$2:$K$5000, "="&amp;C38, DelinquencyPerSector!$J$2:$J$5000, "="&amp;B38,DelinquencyPerSector!$I$2:$I$5000,"="&amp;A38)</f>
        <v>17834516.030000001</v>
      </c>
      <c r="E38" s="282">
        <f t="shared" ref="E38:E69" si="5">D38/$D$3</f>
        <v>2.4180038703352693E-3</v>
      </c>
      <c r="F38" s="283">
        <f>COUNTIFS(DelinquencyPerSector!$I:$I, "="&amp;A38, DelinquencyPerSector!$J:$J, "="&amp;B38,DelinquencyPerSector!$K:$K, "="&amp;C38,DelinquencyPerSector!$L:$L, "&gt;0")</f>
        <v>3</v>
      </c>
      <c r="G38" s="284">
        <f>SUMIFS(DelinquencyPerSector!$N$2:$N$5000, DelinquencyPerSector!$K$2:$K$5000, "="&amp;C38, DelinquencyPerSector!$J$2:$J$5000, "="&amp;B38, DelinquencyPerSector!$I$2:$I$5000,"="&amp;A38)</f>
        <v>14473335.84</v>
      </c>
      <c r="H38" s="282">
        <f t="shared" ref="H38:H69" si="6">G38/$G$3</f>
        <v>5.9932881529577422E-3</v>
      </c>
      <c r="I38" s="283">
        <f>COUNTIFS(DelinquencyPerSector!$I:$I, "="&amp;A38, DelinquencyPerSector!$J:$J, "="&amp;B38,DelinquencyPerSector!$K:$K, "="&amp;C38,DelinquencyPerSector!$N:$N, "&gt;0")</f>
        <v>2</v>
      </c>
      <c r="J38" s="281">
        <f>SUMIFS(DelinquencyPerSector!$P$2:$P$5000, DelinquencyPerSector!$K$2:$K$5000, "="&amp;C38, DelinquencyPerSector!$J$2:$J$5000, "="&amp;B38, DelinquencyPerSector!$I$2:$I$5000,"="&amp;A38)</f>
        <v>14473335.84</v>
      </c>
      <c r="K38" s="282">
        <f t="shared" ref="K38:K69" si="7">J38/$J$3</f>
        <v>1.7780049389908785E-2</v>
      </c>
      <c r="L38" s="283">
        <f>COUNTIFS(DelinquencyPerSector!$I:$I, "="&amp;A38, DelinquencyPerSector!$J:$J, "="&amp;B38,DelinquencyPerSector!$K:$K, "="&amp;C38,DelinquencyPerSector!$P:$P, "&gt;0")</f>
        <v>2</v>
      </c>
      <c r="M38" s="285">
        <f>SUMIFS(DelinquencyPerSector!$R$2:$R$5000,DelinquencyPerSector!$K$2:$K$5000, "="&amp;C38, DelinquencyPerSector!$J$2:$J$5000, "="&amp;B38,DelinquencyPerSector!$I$2:$I$5000,"="&amp;A38)</f>
        <v>0</v>
      </c>
      <c r="N38" s="282">
        <f t="shared" ref="N38:N69" si="8">M38/$M$3</f>
        <v>0</v>
      </c>
      <c r="O38" s="283">
        <f>COUNTIFS(DelinquencyPerSector!$I:$I, "="&amp;A38, DelinquencyPerSector!$J:$J, "="&amp;B38,DelinquencyPerSector!$K:$K, "="&amp;C38,DelinquencyPerSector!$R:$R, "&gt;0")</f>
        <v>0</v>
      </c>
      <c r="P38" s="281">
        <v>50400233.350000001</v>
      </c>
      <c r="Q38" s="282">
        <f t="shared" ref="Q38:Q69" si="9">P38/$P$3</f>
        <v>3.0423982299222375E-3</v>
      </c>
      <c r="R38" s="287">
        <f>COUNTIFS(DelinquencyPerSector!$I:$I, "="&amp;A38, DelinquencyPerSector!$J:$J, "="&amp;B38,DelinquencyPerSector!$K:$K, "="&amp;C38)</f>
        <v>6</v>
      </c>
      <c r="S38" s="288">
        <f>Table_ExternalData_18[[#This Row],[Total Port%]]-Table_ExternalData_18[[#This Row],[PAR 30+%]]</f>
        <v>-2.9508899230355047E-3</v>
      </c>
      <c r="T38" s="289">
        <f>Table_ExternalData_18[[#This Row],[Total Port%]]-Table_ExternalData_18[[#This Row],[PAR 90+%]]</f>
        <v>-1.4737651159986547E-2</v>
      </c>
      <c r="U38" s="280"/>
      <c r="V38" s="280"/>
    </row>
    <row r="39" spans="1:22" ht="22.8" x14ac:dyDescent="0.4">
      <c r="A39" s="280" t="s">
        <v>31</v>
      </c>
      <c r="B39" s="280" t="s">
        <v>2586</v>
      </c>
      <c r="C39" s="280" t="s">
        <v>1816</v>
      </c>
      <c r="D39" s="281">
        <f>SUMIFS(DelinquencyPerSector!$L$2:$L$5000,DelinquencyPerSector!$K$2:$K$5000, "="&amp;C39, DelinquencyPerSector!$J$2:$J$5000, "="&amp;B39,DelinquencyPerSector!$I$2:$I$5000,"="&amp;A39)</f>
        <v>14456376.6</v>
      </c>
      <c r="E39" s="282">
        <f t="shared" si="5"/>
        <v>1.959995690997409E-3</v>
      </c>
      <c r="F39" s="283">
        <f>COUNTIFS(DelinquencyPerSector!$I:$I, "="&amp;A39, DelinquencyPerSector!$J:$J, "="&amp;B39,DelinquencyPerSector!$K:$K, "="&amp;C39,DelinquencyPerSector!$L:$L, "&gt;0")</f>
        <v>1</v>
      </c>
      <c r="G39" s="284">
        <f>SUMIFS(DelinquencyPerSector!$N$2:$N$5000, DelinquencyPerSector!$K$2:$K$5000, "="&amp;C39, DelinquencyPerSector!$J$2:$J$5000, "="&amp;B39, DelinquencyPerSector!$I$2:$I$5000,"="&amp;A39)</f>
        <v>14456376.6</v>
      </c>
      <c r="H39" s="282">
        <f t="shared" si="6"/>
        <v>5.9862654725405398E-3</v>
      </c>
      <c r="I39" s="283">
        <f>COUNTIFS(DelinquencyPerSector!$I:$I, "="&amp;A39, DelinquencyPerSector!$J:$J, "="&amp;B39,DelinquencyPerSector!$K:$K, "="&amp;C39,DelinquencyPerSector!$N:$N, "&gt;0")</f>
        <v>1</v>
      </c>
      <c r="J39" s="281">
        <f>SUMIFS(DelinquencyPerSector!$P$2:$P$5000, DelinquencyPerSector!$K$2:$K$5000, "="&amp;C39, DelinquencyPerSector!$J$2:$J$5000, "="&amp;B39, DelinquencyPerSector!$I$2:$I$5000,"="&amp;A39)</f>
        <v>0</v>
      </c>
      <c r="K39" s="282">
        <f t="shared" si="7"/>
        <v>0</v>
      </c>
      <c r="L39" s="283">
        <f>COUNTIFS(DelinquencyPerSector!$I:$I, "="&amp;A39, DelinquencyPerSector!$J:$J, "="&amp;B39,DelinquencyPerSector!$K:$K, "="&amp;C39,DelinquencyPerSector!$P:$P, "&gt;0")</f>
        <v>0</v>
      </c>
      <c r="M39" s="285">
        <f>SUMIFS(DelinquencyPerSector!$R$2:$R$5000,DelinquencyPerSector!$K$2:$K$5000, "="&amp;C39, DelinquencyPerSector!$J$2:$J$5000, "="&amp;B39,DelinquencyPerSector!$I$2:$I$5000,"="&amp;A39)</f>
        <v>0</v>
      </c>
      <c r="N39" s="282">
        <f t="shared" si="8"/>
        <v>0</v>
      </c>
      <c r="O39" s="283">
        <f>COUNTIFS(DelinquencyPerSector!$I:$I, "="&amp;A39, DelinquencyPerSector!$J:$J, "="&amp;B39,DelinquencyPerSector!$K:$K, "="&amp;C39,DelinquencyPerSector!$R:$R, "&gt;0")</f>
        <v>0</v>
      </c>
      <c r="P39" s="281">
        <v>14456376.6</v>
      </c>
      <c r="Q39" s="282">
        <f t="shared" si="9"/>
        <v>8.7265577271239457E-4</v>
      </c>
      <c r="R39" s="287">
        <f>COUNTIFS(DelinquencyPerSector!$I:$I, "="&amp;A39, DelinquencyPerSector!$J:$J, "="&amp;B39,DelinquencyPerSector!$K:$K, "="&amp;C39)</f>
        <v>1</v>
      </c>
      <c r="S39" s="288">
        <f>Table_ExternalData_18[[#This Row],[Total Port%]]-Table_ExternalData_18[[#This Row],[PAR 30+%]]</f>
        <v>-5.1136096998281449E-3</v>
      </c>
      <c r="T39" s="289">
        <f>Table_ExternalData_18[[#This Row],[Total Port%]]-Table_ExternalData_18[[#This Row],[PAR 90+%]]</f>
        <v>8.7265577271239457E-4</v>
      </c>
      <c r="U39" s="280"/>
      <c r="V39" s="280"/>
    </row>
    <row r="40" spans="1:22" ht="22.8" x14ac:dyDescent="0.4">
      <c r="A40" s="280" t="s">
        <v>25</v>
      </c>
      <c r="B40" s="280" t="s">
        <v>106</v>
      </c>
      <c r="C40" s="280" t="s">
        <v>107</v>
      </c>
      <c r="D40" s="281">
        <f>SUMIFS(DelinquencyPerSector!$L$2:$L$5000,DelinquencyPerSector!$K$2:$K$5000, "="&amp;C40, DelinquencyPerSector!$J$2:$J$5000, "="&amp;B40,DelinquencyPerSector!$I$2:$I$5000,"="&amp;A40)</f>
        <v>33786805.479999997</v>
      </c>
      <c r="E40" s="282">
        <f t="shared" si="5"/>
        <v>4.5808154412197337E-3</v>
      </c>
      <c r="F40" s="283">
        <f>COUNTIFS(DelinquencyPerSector!$I:$I, "="&amp;A40, DelinquencyPerSector!$J:$J, "="&amp;B40,DelinquencyPerSector!$K:$K, "="&amp;C40,DelinquencyPerSector!$L:$L, "&gt;0")</f>
        <v>4</v>
      </c>
      <c r="G40" s="284">
        <f>SUMIFS(DelinquencyPerSector!$N$2:$N$5000, DelinquencyPerSector!$K$2:$K$5000, "="&amp;C40, DelinquencyPerSector!$J$2:$J$5000, "="&amp;B40, DelinquencyPerSector!$I$2:$I$5000,"="&amp;A40)</f>
        <v>14002392.35</v>
      </c>
      <c r="H40" s="282">
        <f t="shared" si="6"/>
        <v>5.7982743654983911E-3</v>
      </c>
      <c r="I40" s="283">
        <f>COUNTIFS(DelinquencyPerSector!$I:$I, "="&amp;A40, DelinquencyPerSector!$J:$J, "="&amp;B40,DelinquencyPerSector!$K:$K, "="&amp;C40,DelinquencyPerSector!$N:$N, "&gt;0")</f>
        <v>2</v>
      </c>
      <c r="J40" s="281">
        <f>SUMIFS(DelinquencyPerSector!$P$2:$P$5000, DelinquencyPerSector!$K$2:$K$5000, "="&amp;C40, DelinquencyPerSector!$J$2:$J$5000, "="&amp;B40, DelinquencyPerSector!$I$2:$I$5000,"="&amp;A40)</f>
        <v>0</v>
      </c>
      <c r="K40" s="282">
        <f t="shared" si="7"/>
        <v>0</v>
      </c>
      <c r="L40" s="283">
        <f>COUNTIFS(DelinquencyPerSector!$I:$I, "="&amp;A40, DelinquencyPerSector!$J:$J, "="&amp;B40,DelinquencyPerSector!$K:$K, "="&amp;C40,DelinquencyPerSector!$P:$P, "&gt;0")</f>
        <v>0</v>
      </c>
      <c r="M40" s="285">
        <f>SUMIFS(DelinquencyPerSector!$R$2:$R$5000,DelinquencyPerSector!$K$2:$K$5000, "="&amp;C40, DelinquencyPerSector!$J$2:$J$5000, "="&amp;B40,DelinquencyPerSector!$I$2:$I$5000,"="&amp;A40)</f>
        <v>0</v>
      </c>
      <c r="N40" s="282">
        <f t="shared" si="8"/>
        <v>0</v>
      </c>
      <c r="O40" s="283">
        <f>COUNTIFS(DelinquencyPerSector!$I:$I, "="&amp;A40, DelinquencyPerSector!$J:$J, "="&amp;B40,DelinquencyPerSector!$K:$K, "="&amp;C40,DelinquencyPerSector!$R:$R, "&gt;0")</f>
        <v>0</v>
      </c>
      <c r="P40" s="281">
        <v>129914045.20999999</v>
      </c>
      <c r="Q40" s="282">
        <f t="shared" si="9"/>
        <v>7.8422307778648701E-3</v>
      </c>
      <c r="R40" s="287">
        <f>COUNTIFS(DelinquencyPerSector!$I:$I, "="&amp;A40, DelinquencyPerSector!$J:$J, "="&amp;B40,DelinquencyPerSector!$K:$K, "="&amp;C40)</f>
        <v>10</v>
      </c>
      <c r="S40" s="288">
        <f>Table_ExternalData_18[[#This Row],[Total Port%]]-Table_ExternalData_18[[#This Row],[PAR 30+%]]</f>
        <v>2.0439564123664791E-3</v>
      </c>
      <c r="T40" s="289">
        <f>Table_ExternalData_18[[#This Row],[Total Port%]]-Table_ExternalData_18[[#This Row],[PAR 90+%]]</f>
        <v>7.8422307778648701E-3</v>
      </c>
      <c r="U40" s="280"/>
      <c r="V40" s="280"/>
    </row>
    <row r="41" spans="1:22" ht="22.8" x14ac:dyDescent="0.4">
      <c r="A41" s="280" t="s">
        <v>25</v>
      </c>
      <c r="B41" s="280" t="s">
        <v>101</v>
      </c>
      <c r="C41" s="280" t="s">
        <v>95</v>
      </c>
      <c r="D41" s="281">
        <f>SUMIFS(DelinquencyPerSector!$L$2:$L$5000,DelinquencyPerSector!$K$2:$K$5000, "="&amp;C41, DelinquencyPerSector!$J$2:$J$5000, "="&amp;B41,DelinquencyPerSector!$I$2:$I$5000,"="&amp;A41)</f>
        <v>19177242.030000001</v>
      </c>
      <c r="E41" s="282">
        <f t="shared" si="5"/>
        <v>2.6000506754932217E-3</v>
      </c>
      <c r="F41" s="283">
        <f>COUNTIFS(DelinquencyPerSector!$I:$I, "="&amp;A41, DelinquencyPerSector!$J:$J, "="&amp;B41,DelinquencyPerSector!$K:$K, "="&amp;C41,DelinquencyPerSector!$L:$L, "&gt;0")</f>
        <v>2</v>
      </c>
      <c r="G41" s="284">
        <f>SUMIFS(DelinquencyPerSector!$N$2:$N$5000, DelinquencyPerSector!$K$2:$K$5000, "="&amp;C41, DelinquencyPerSector!$J$2:$J$5000, "="&amp;B41, DelinquencyPerSector!$I$2:$I$5000,"="&amp;A41)</f>
        <v>12807037.58</v>
      </c>
      <c r="H41" s="282">
        <f t="shared" si="6"/>
        <v>5.3032878840942174E-3</v>
      </c>
      <c r="I41" s="283">
        <f>COUNTIFS(DelinquencyPerSector!$I:$I, "="&amp;A41, DelinquencyPerSector!$J:$J, "="&amp;B41,DelinquencyPerSector!$K:$K, "="&amp;C41,DelinquencyPerSector!$N:$N, "&gt;0")</f>
        <v>1</v>
      </c>
      <c r="J41" s="281">
        <f>SUMIFS(DelinquencyPerSector!$P$2:$P$5000, DelinquencyPerSector!$K$2:$K$5000, "="&amp;C41, DelinquencyPerSector!$J$2:$J$5000, "="&amp;B41, DelinquencyPerSector!$I$2:$I$5000,"="&amp;A41)</f>
        <v>0</v>
      </c>
      <c r="K41" s="282">
        <f t="shared" si="7"/>
        <v>0</v>
      </c>
      <c r="L41" s="283">
        <f>COUNTIFS(DelinquencyPerSector!$I:$I, "="&amp;A41, DelinquencyPerSector!$J:$J, "="&amp;B41,DelinquencyPerSector!$K:$K, "="&amp;C41,DelinquencyPerSector!$P:$P, "&gt;0")</f>
        <v>0</v>
      </c>
      <c r="M41" s="285">
        <f>SUMIFS(DelinquencyPerSector!$R$2:$R$5000,DelinquencyPerSector!$K$2:$K$5000, "="&amp;C41, DelinquencyPerSector!$J$2:$J$5000, "="&amp;B41,DelinquencyPerSector!$I$2:$I$5000,"="&amp;A41)</f>
        <v>0</v>
      </c>
      <c r="N41" s="282">
        <f t="shared" si="8"/>
        <v>0</v>
      </c>
      <c r="O41" s="283">
        <f>COUNTIFS(DelinquencyPerSector!$I:$I, "="&amp;A41, DelinquencyPerSector!$J:$J, "="&amp;B41,DelinquencyPerSector!$K:$K, "="&amp;C41,DelinquencyPerSector!$R:$R, "&gt;0")</f>
        <v>0</v>
      </c>
      <c r="P41" s="281">
        <v>51895194.07</v>
      </c>
      <c r="Q41" s="282">
        <f t="shared" si="9"/>
        <v>3.1326411821075224E-3</v>
      </c>
      <c r="R41" s="287">
        <f>COUNTIFS(DelinquencyPerSector!$I:$I, "="&amp;A41, DelinquencyPerSector!$J:$J, "="&amp;B41,DelinquencyPerSector!$K:$K, "="&amp;C41)</f>
        <v>4</v>
      </c>
      <c r="S41" s="288">
        <f>Table_ExternalData_18[[#This Row],[Total Port%]]-Table_ExternalData_18[[#This Row],[PAR 30+%]]</f>
        <v>-2.1706467019866949E-3</v>
      </c>
      <c r="T41" s="289">
        <f>Table_ExternalData_18[[#This Row],[Total Port%]]-Table_ExternalData_18[[#This Row],[PAR 90+%]]</f>
        <v>3.1326411821075224E-3</v>
      </c>
      <c r="U41" s="280"/>
      <c r="V41" s="280"/>
    </row>
    <row r="42" spans="1:22" ht="22.8" x14ac:dyDescent="0.4">
      <c r="A42" s="280" t="s">
        <v>37</v>
      </c>
      <c r="B42" s="280" t="s">
        <v>38</v>
      </c>
      <c r="C42" s="280" t="s">
        <v>39</v>
      </c>
      <c r="D42" s="281">
        <f>SUMIFS(DelinquencyPerSector!$L$2:$L$5000,DelinquencyPerSector!$K$2:$K$5000, "="&amp;C42, DelinquencyPerSector!$J$2:$J$5000, "="&amp;B42,DelinquencyPerSector!$I$2:$I$5000,"="&amp;A42)</f>
        <v>47923231.969999999</v>
      </c>
      <c r="E42" s="282">
        <f t="shared" si="5"/>
        <v>6.497432292948792E-3</v>
      </c>
      <c r="F42" s="283">
        <f>COUNTIFS(DelinquencyPerSector!$I:$I, "="&amp;A42, DelinquencyPerSector!$J:$J, "="&amp;B42,DelinquencyPerSector!$K:$K, "="&amp;C42,DelinquencyPerSector!$L:$L, "&gt;0")</f>
        <v>7</v>
      </c>
      <c r="G42" s="284">
        <f>SUMIFS(DelinquencyPerSector!$N$2:$N$5000, DelinquencyPerSector!$K$2:$K$5000, "="&amp;C42, DelinquencyPerSector!$J$2:$J$5000, "="&amp;B42, DelinquencyPerSector!$I$2:$I$5000,"="&amp;A42)</f>
        <v>12107415.079999998</v>
      </c>
      <c r="H42" s="282">
        <f t="shared" si="6"/>
        <v>5.0135800180468905E-3</v>
      </c>
      <c r="I42" s="283">
        <f>COUNTIFS(DelinquencyPerSector!$I:$I, "="&amp;A42, DelinquencyPerSector!$J:$J, "="&amp;B42,DelinquencyPerSector!$K:$K, "="&amp;C42,DelinquencyPerSector!$N:$N, "&gt;0")</f>
        <v>3</v>
      </c>
      <c r="J42" s="281">
        <f>SUMIFS(DelinquencyPerSector!$P$2:$P$5000, DelinquencyPerSector!$K$2:$K$5000, "="&amp;C42, DelinquencyPerSector!$J$2:$J$5000, "="&amp;B42, DelinquencyPerSector!$I$2:$I$5000,"="&amp;A42)</f>
        <v>0</v>
      </c>
      <c r="K42" s="282">
        <f t="shared" si="7"/>
        <v>0</v>
      </c>
      <c r="L42" s="283">
        <f>COUNTIFS(DelinquencyPerSector!$I:$I, "="&amp;A42, DelinquencyPerSector!$J:$J, "="&amp;B42,DelinquencyPerSector!$K:$K, "="&amp;C42,DelinquencyPerSector!$P:$P, "&gt;0")</f>
        <v>0</v>
      </c>
      <c r="M42" s="285">
        <f>SUMIFS(DelinquencyPerSector!$R$2:$R$5000,DelinquencyPerSector!$K$2:$K$5000, "="&amp;C42, DelinquencyPerSector!$J$2:$J$5000, "="&amp;B42,DelinquencyPerSector!$I$2:$I$5000,"="&amp;A42)</f>
        <v>0</v>
      </c>
      <c r="N42" s="282">
        <f t="shared" si="8"/>
        <v>0</v>
      </c>
      <c r="O42" s="283">
        <f>COUNTIFS(DelinquencyPerSector!$I:$I, "="&amp;A42, DelinquencyPerSector!$J:$J, "="&amp;B42,DelinquencyPerSector!$K:$K, "="&amp;C42,DelinquencyPerSector!$R:$R, "&gt;0")</f>
        <v>0</v>
      </c>
      <c r="P42" s="281">
        <v>180428856.90000001</v>
      </c>
      <c r="Q42" s="282">
        <f t="shared" si="9"/>
        <v>1.0891545502327573E-2</v>
      </c>
      <c r="R42" s="287">
        <f>COUNTIFS(DelinquencyPerSector!$I:$I, "="&amp;A42, DelinquencyPerSector!$J:$J, "="&amp;B42,DelinquencyPerSector!$K:$K, "="&amp;C42)</f>
        <v>23</v>
      </c>
      <c r="S42" s="288">
        <f>Table_ExternalData_18[[#This Row],[Total Port%]]-Table_ExternalData_18[[#This Row],[PAR 30+%]]</f>
        <v>5.8779654842806821E-3</v>
      </c>
      <c r="T42" s="289">
        <f>Table_ExternalData_18[[#This Row],[Total Port%]]-Table_ExternalData_18[[#This Row],[PAR 90+%]]</f>
        <v>1.0891545502327573E-2</v>
      </c>
      <c r="U42" s="280"/>
      <c r="V42" s="280"/>
    </row>
    <row r="43" spans="1:22" ht="22.8" x14ac:dyDescent="0.4">
      <c r="A43" s="280" t="s">
        <v>25</v>
      </c>
      <c r="B43" s="280" t="s">
        <v>290</v>
      </c>
      <c r="C43" s="280" t="s">
        <v>1825</v>
      </c>
      <c r="D43" s="281">
        <f>SUMIFS(DelinquencyPerSector!$L$2:$L$5000,DelinquencyPerSector!$K$2:$K$5000, "="&amp;C43, DelinquencyPerSector!$J$2:$J$5000, "="&amp;B43,DelinquencyPerSector!$I$2:$I$5000,"="&amp;A43)</f>
        <v>10929410.23</v>
      </c>
      <c r="E43" s="282">
        <f t="shared" si="5"/>
        <v>1.4818095535739572E-3</v>
      </c>
      <c r="F43" s="283">
        <f>COUNTIFS(DelinquencyPerSector!$I:$I, "="&amp;A43, DelinquencyPerSector!$J:$J, "="&amp;B43,DelinquencyPerSector!$K:$K, "="&amp;C43,DelinquencyPerSector!$L:$L, "&gt;0")</f>
        <v>2</v>
      </c>
      <c r="G43" s="284">
        <f>SUMIFS(DelinquencyPerSector!$N$2:$N$5000, DelinquencyPerSector!$K$2:$K$5000, "="&amp;C43, DelinquencyPerSector!$J$2:$J$5000, "="&amp;B43, DelinquencyPerSector!$I$2:$I$5000,"="&amp;A43)</f>
        <v>10929410.23</v>
      </c>
      <c r="H43" s="282">
        <f t="shared" si="6"/>
        <v>4.5257779944028551E-3</v>
      </c>
      <c r="I43" s="283">
        <f>COUNTIFS(DelinquencyPerSector!$I:$I, "="&amp;A43, DelinquencyPerSector!$J:$J, "="&amp;B43,DelinquencyPerSector!$K:$K, "="&amp;C43,DelinquencyPerSector!$N:$N, "&gt;0")</f>
        <v>2</v>
      </c>
      <c r="J43" s="281">
        <f>SUMIFS(DelinquencyPerSector!$P$2:$P$5000, DelinquencyPerSector!$K$2:$K$5000, "="&amp;C43, DelinquencyPerSector!$J$2:$J$5000, "="&amp;B43, DelinquencyPerSector!$I$2:$I$5000,"="&amp;A43)</f>
        <v>10929410.23</v>
      </c>
      <c r="K43" s="282">
        <f t="shared" si="7"/>
        <v>1.3426445419370187E-2</v>
      </c>
      <c r="L43" s="283">
        <f>COUNTIFS(DelinquencyPerSector!$I:$I, "="&amp;A43, DelinquencyPerSector!$J:$J, "="&amp;B43,DelinquencyPerSector!$K:$K, "="&amp;C43,DelinquencyPerSector!$P:$P, "&gt;0")</f>
        <v>2</v>
      </c>
      <c r="M43" s="285">
        <f>SUMIFS(DelinquencyPerSector!$R$2:$R$5000,DelinquencyPerSector!$K$2:$K$5000, "="&amp;C43, DelinquencyPerSector!$J$2:$J$5000, "="&amp;B43,DelinquencyPerSector!$I$2:$I$5000,"="&amp;A43)</f>
        <v>10535979.98</v>
      </c>
      <c r="N43" s="282">
        <f t="shared" si="8"/>
        <v>5.4580910205568253E-2</v>
      </c>
      <c r="O43" s="283">
        <f>COUNTIFS(DelinquencyPerSector!$I:$I, "="&amp;A43, DelinquencyPerSector!$J:$J, "="&amp;B43,DelinquencyPerSector!$K:$K, "="&amp;C43,DelinquencyPerSector!$R:$R, "&gt;0")</f>
        <v>1</v>
      </c>
      <c r="P43" s="281">
        <v>10929410.23</v>
      </c>
      <c r="Q43" s="282">
        <f t="shared" si="9"/>
        <v>6.5975127747788483E-4</v>
      </c>
      <c r="R43" s="287">
        <f>COUNTIFS(DelinquencyPerSector!$I:$I, "="&amp;A43, DelinquencyPerSector!$J:$J, "="&amp;B43,DelinquencyPerSector!$K:$K, "="&amp;C43)</f>
        <v>2</v>
      </c>
      <c r="S43" s="288">
        <f>Table_ExternalData_18[[#This Row],[Total Port%]]-Table_ExternalData_18[[#This Row],[PAR 30+%]]</f>
        <v>-3.8660267169249702E-3</v>
      </c>
      <c r="T43" s="289">
        <f>Table_ExternalData_18[[#This Row],[Total Port%]]-Table_ExternalData_18[[#This Row],[PAR 90+%]]</f>
        <v>-1.2766694141892302E-2</v>
      </c>
      <c r="U43" s="280"/>
      <c r="V43" s="280"/>
    </row>
    <row r="44" spans="1:22" ht="22.8" x14ac:dyDescent="0.4">
      <c r="A44" s="280" t="s">
        <v>25</v>
      </c>
      <c r="B44" s="280" t="s">
        <v>103</v>
      </c>
      <c r="C44" s="280" t="s">
        <v>26</v>
      </c>
      <c r="D44" s="281">
        <f>SUMIFS(DelinquencyPerSector!$L$2:$L$5000,DelinquencyPerSector!$K$2:$K$5000, "="&amp;C44, DelinquencyPerSector!$J$2:$J$5000, "="&amp;B44,DelinquencyPerSector!$I$2:$I$5000,"="&amp;A44)</f>
        <v>10739158.110000001</v>
      </c>
      <c r="E44" s="282">
        <f t="shared" si="5"/>
        <v>1.4560151691496389E-3</v>
      </c>
      <c r="F44" s="283">
        <f>COUNTIFS(DelinquencyPerSector!$I:$I, "="&amp;A44, DelinquencyPerSector!$J:$J, "="&amp;B44,DelinquencyPerSector!$K:$K, "="&amp;C44,DelinquencyPerSector!$L:$L, "&gt;0")</f>
        <v>2</v>
      </c>
      <c r="G44" s="284">
        <f>SUMIFS(DelinquencyPerSector!$N$2:$N$5000, DelinquencyPerSector!$K$2:$K$5000, "="&amp;C44, DelinquencyPerSector!$J$2:$J$5000, "="&amp;B44, DelinquencyPerSector!$I$2:$I$5000,"="&amp;A44)</f>
        <v>10731396.800000001</v>
      </c>
      <c r="H44" s="282">
        <f t="shared" si="6"/>
        <v>4.4437822777785166E-3</v>
      </c>
      <c r="I44" s="283">
        <f>COUNTIFS(DelinquencyPerSector!$I:$I, "="&amp;A44, DelinquencyPerSector!$J:$J, "="&amp;B44,DelinquencyPerSector!$K:$K, "="&amp;C44,DelinquencyPerSector!$N:$N, "&gt;0")</f>
        <v>1</v>
      </c>
      <c r="J44" s="281">
        <f>SUMIFS(DelinquencyPerSector!$P$2:$P$5000, DelinquencyPerSector!$K$2:$K$5000, "="&amp;C44, DelinquencyPerSector!$J$2:$J$5000, "="&amp;B44, DelinquencyPerSector!$I$2:$I$5000,"="&amp;A44)</f>
        <v>0</v>
      </c>
      <c r="K44" s="282">
        <f t="shared" si="7"/>
        <v>0</v>
      </c>
      <c r="L44" s="283">
        <f>COUNTIFS(DelinquencyPerSector!$I:$I, "="&amp;A44, DelinquencyPerSector!$J:$J, "="&amp;B44,DelinquencyPerSector!$K:$K, "="&amp;C44,DelinquencyPerSector!$P:$P, "&gt;0")</f>
        <v>0</v>
      </c>
      <c r="M44" s="285">
        <f>SUMIFS(DelinquencyPerSector!$R$2:$R$5000,DelinquencyPerSector!$K$2:$K$5000, "="&amp;C44, DelinquencyPerSector!$J$2:$J$5000, "="&amp;B44,DelinquencyPerSector!$I$2:$I$5000,"="&amp;A44)</f>
        <v>0</v>
      </c>
      <c r="N44" s="282">
        <f t="shared" si="8"/>
        <v>0</v>
      </c>
      <c r="O44" s="283">
        <f>COUNTIFS(DelinquencyPerSector!$I:$I, "="&amp;A44, DelinquencyPerSector!$J:$J, "="&amp;B44,DelinquencyPerSector!$K:$K, "="&amp;C44,DelinquencyPerSector!$R:$R, "&gt;0")</f>
        <v>0</v>
      </c>
      <c r="P44" s="281">
        <v>44815398.600000001</v>
      </c>
      <c r="Q44" s="282">
        <f t="shared" si="9"/>
        <v>2.7052709940260525E-3</v>
      </c>
      <c r="R44" s="287">
        <f>COUNTIFS(DelinquencyPerSector!$I:$I, "="&amp;A44, DelinquencyPerSector!$J:$J, "="&amp;B44,DelinquencyPerSector!$K:$K, "="&amp;C44)</f>
        <v>5</v>
      </c>
      <c r="S44" s="288">
        <f>Table_ExternalData_18[[#This Row],[Total Port%]]-Table_ExternalData_18[[#This Row],[PAR 30+%]]</f>
        <v>-1.7385112837524641E-3</v>
      </c>
      <c r="T44" s="289">
        <f>Table_ExternalData_18[[#This Row],[Total Port%]]-Table_ExternalData_18[[#This Row],[PAR 90+%]]</f>
        <v>2.7052709940260525E-3</v>
      </c>
      <c r="U44" s="280"/>
      <c r="V44" s="280"/>
    </row>
    <row r="45" spans="1:22" ht="22.8" x14ac:dyDescent="0.4">
      <c r="A45" s="280" t="s">
        <v>43</v>
      </c>
      <c r="B45" s="280" t="s">
        <v>338</v>
      </c>
      <c r="C45" s="280" t="s">
        <v>339</v>
      </c>
      <c r="D45" s="281">
        <f>SUMIFS(DelinquencyPerSector!$L$2:$L$5000,DelinquencyPerSector!$K$2:$K$5000, "="&amp;C45, DelinquencyPerSector!$J$2:$J$5000, "="&amp;B45,DelinquencyPerSector!$I$2:$I$5000,"="&amp;A45)</f>
        <v>56497710.449999996</v>
      </c>
      <c r="E45" s="282">
        <f t="shared" si="5"/>
        <v>7.6599601751672179E-3</v>
      </c>
      <c r="F45" s="283">
        <f>COUNTIFS(DelinquencyPerSector!$I:$I, "="&amp;A45, DelinquencyPerSector!$J:$J, "="&amp;B45,DelinquencyPerSector!$K:$K, "="&amp;C45,DelinquencyPerSector!$L:$L, "&gt;0")</f>
        <v>3</v>
      </c>
      <c r="G45" s="284">
        <f>SUMIFS(DelinquencyPerSector!$N$2:$N$5000, DelinquencyPerSector!$K$2:$K$5000, "="&amp;C45, DelinquencyPerSector!$J$2:$J$5000, "="&amp;B45, DelinquencyPerSector!$I$2:$I$5000,"="&amp;A45)</f>
        <v>8898075.0199999996</v>
      </c>
      <c r="H45" s="282">
        <f t="shared" si="6"/>
        <v>3.6846189566133378E-3</v>
      </c>
      <c r="I45" s="283">
        <f>COUNTIFS(DelinquencyPerSector!$I:$I, "="&amp;A45, DelinquencyPerSector!$J:$J, "="&amp;B45,DelinquencyPerSector!$K:$K, "="&amp;C45,DelinquencyPerSector!$N:$N, "&gt;0")</f>
        <v>1</v>
      </c>
      <c r="J45" s="281">
        <f>SUMIFS(DelinquencyPerSector!$P$2:$P$5000, DelinquencyPerSector!$K$2:$K$5000, "="&amp;C45, DelinquencyPerSector!$J$2:$J$5000, "="&amp;B45, DelinquencyPerSector!$I$2:$I$5000,"="&amp;A45)</f>
        <v>8898075.0199999996</v>
      </c>
      <c r="K45" s="282">
        <f t="shared" si="7"/>
        <v>1.0931012385788292E-2</v>
      </c>
      <c r="L45" s="283">
        <f>COUNTIFS(DelinquencyPerSector!$I:$I, "="&amp;A45, DelinquencyPerSector!$J:$J, "="&amp;B45,DelinquencyPerSector!$K:$K, "="&amp;C45,DelinquencyPerSector!$P:$P, "&gt;0")</f>
        <v>1</v>
      </c>
      <c r="M45" s="285">
        <f>SUMIFS(DelinquencyPerSector!$R$2:$R$5000,DelinquencyPerSector!$K$2:$K$5000, "="&amp;C45, DelinquencyPerSector!$J$2:$J$5000, "="&amp;B45,DelinquencyPerSector!$I$2:$I$5000,"="&amp;A45)</f>
        <v>0</v>
      </c>
      <c r="N45" s="282">
        <f t="shared" si="8"/>
        <v>0</v>
      </c>
      <c r="O45" s="283">
        <f>COUNTIFS(DelinquencyPerSector!$I:$I, "="&amp;A45, DelinquencyPerSector!$J:$J, "="&amp;B45,DelinquencyPerSector!$K:$K, "="&amp;C45,DelinquencyPerSector!$R:$R, "&gt;0")</f>
        <v>0</v>
      </c>
      <c r="P45" s="281">
        <v>213965064.84</v>
      </c>
      <c r="Q45" s="282">
        <f t="shared" si="9"/>
        <v>1.2915950805501831E-2</v>
      </c>
      <c r="R45" s="287">
        <f>COUNTIFS(DelinquencyPerSector!$I:$I, "="&amp;A45, DelinquencyPerSector!$J:$J, "="&amp;B45,DelinquencyPerSector!$K:$K, "="&amp;C45)</f>
        <v>17</v>
      </c>
      <c r="S45" s="288">
        <f>Table_ExternalData_18[[#This Row],[Total Port%]]-Table_ExternalData_18[[#This Row],[PAR 30+%]]</f>
        <v>9.2313318488884931E-3</v>
      </c>
      <c r="T45" s="289">
        <f>Table_ExternalData_18[[#This Row],[Total Port%]]-Table_ExternalData_18[[#This Row],[PAR 90+%]]</f>
        <v>1.9849384197135386E-3</v>
      </c>
      <c r="U45" s="280"/>
      <c r="V45" s="280"/>
    </row>
    <row r="46" spans="1:22" ht="22.8" x14ac:dyDescent="0.4">
      <c r="A46" s="280" t="s">
        <v>28</v>
      </c>
      <c r="B46" s="280" t="s">
        <v>26</v>
      </c>
      <c r="C46" s="280" t="s">
        <v>26</v>
      </c>
      <c r="D46" s="281">
        <f>SUMIFS(DelinquencyPerSector!$L$2:$L$5000,DelinquencyPerSector!$K$2:$K$5000, "="&amp;C46, DelinquencyPerSector!$J$2:$J$5000, "="&amp;B46,DelinquencyPerSector!$I$2:$I$5000,"="&amp;A46)</f>
        <v>19011543.449999999</v>
      </c>
      <c r="E46" s="282">
        <f t="shared" si="5"/>
        <v>2.5775852602795374E-3</v>
      </c>
      <c r="F46" s="283">
        <f>COUNTIFS(DelinquencyPerSector!$I:$I, "="&amp;A46, DelinquencyPerSector!$J:$J, "="&amp;B46,DelinquencyPerSector!$K:$K, "="&amp;C46,DelinquencyPerSector!$L:$L, "&gt;0")</f>
        <v>2</v>
      </c>
      <c r="G46" s="284">
        <f>SUMIFS(DelinquencyPerSector!$N$2:$N$5000, DelinquencyPerSector!$K$2:$K$5000, "="&amp;C46, DelinquencyPerSector!$J$2:$J$5000, "="&amp;B46, DelinquencyPerSector!$I$2:$I$5000,"="&amp;A46)</f>
        <v>8344405.3499999996</v>
      </c>
      <c r="H46" s="282">
        <f t="shared" si="6"/>
        <v>3.4553489451559774E-3</v>
      </c>
      <c r="I46" s="283">
        <f>COUNTIFS(DelinquencyPerSector!$I:$I, "="&amp;A46, DelinquencyPerSector!$J:$J, "="&amp;B46,DelinquencyPerSector!$K:$K, "="&amp;C46,DelinquencyPerSector!$N:$N, "&gt;0")</f>
        <v>1</v>
      </c>
      <c r="J46" s="281">
        <f>SUMIFS(DelinquencyPerSector!$P$2:$P$5000, DelinquencyPerSector!$K$2:$K$5000, "="&amp;C46, DelinquencyPerSector!$J$2:$J$5000, "="&amp;B46, DelinquencyPerSector!$I$2:$I$5000,"="&amp;A46)</f>
        <v>0</v>
      </c>
      <c r="K46" s="282">
        <f t="shared" si="7"/>
        <v>0</v>
      </c>
      <c r="L46" s="283">
        <f>COUNTIFS(DelinquencyPerSector!$I:$I, "="&amp;A46, DelinquencyPerSector!$J:$J, "="&amp;B46,DelinquencyPerSector!$K:$K, "="&amp;C46,DelinquencyPerSector!$P:$P, "&gt;0")</f>
        <v>0</v>
      </c>
      <c r="M46" s="285">
        <f>SUMIFS(DelinquencyPerSector!$R$2:$R$5000,DelinquencyPerSector!$K$2:$K$5000, "="&amp;C46, DelinquencyPerSector!$J$2:$J$5000, "="&amp;B46,DelinquencyPerSector!$I$2:$I$5000,"="&amp;A46)</f>
        <v>0</v>
      </c>
      <c r="N46" s="282">
        <f t="shared" si="8"/>
        <v>0</v>
      </c>
      <c r="O46" s="283">
        <f>COUNTIFS(DelinquencyPerSector!$I:$I, "="&amp;A46, DelinquencyPerSector!$J:$J, "="&amp;B46,DelinquencyPerSector!$K:$K, "="&amp;C46,DelinquencyPerSector!$R:$R, "&gt;0")</f>
        <v>0</v>
      </c>
      <c r="P46" s="281">
        <v>75949411.739999995</v>
      </c>
      <c r="Q46" s="282">
        <f t="shared" si="9"/>
        <v>4.5846683731953627E-3</v>
      </c>
      <c r="R46" s="287">
        <f>COUNTIFS(DelinquencyPerSector!$I:$I, "="&amp;A46, DelinquencyPerSector!$J:$J, "="&amp;B46,DelinquencyPerSector!$K:$K, "="&amp;C46)</f>
        <v>13</v>
      </c>
      <c r="S46" s="288">
        <f>Table_ExternalData_18[[#This Row],[Total Port%]]-Table_ExternalData_18[[#This Row],[PAR 30+%]]</f>
        <v>1.1293194280393853E-3</v>
      </c>
      <c r="T46" s="289">
        <f>Table_ExternalData_18[[#This Row],[Total Port%]]-Table_ExternalData_18[[#This Row],[PAR 90+%]]</f>
        <v>4.5846683731953627E-3</v>
      </c>
      <c r="U46" s="280"/>
      <c r="V46" s="280"/>
    </row>
    <row r="47" spans="1:22" ht="22.8" x14ac:dyDescent="0.4">
      <c r="A47" s="280" t="s">
        <v>25</v>
      </c>
      <c r="B47" s="280" t="s">
        <v>289</v>
      </c>
      <c r="C47" s="280" t="s">
        <v>26</v>
      </c>
      <c r="D47" s="281">
        <f>SUMIFS(DelinquencyPerSector!$L$2:$L$5000,DelinquencyPerSector!$K$2:$K$5000, "="&amp;C47, DelinquencyPerSector!$J$2:$J$5000, "="&amp;B47,DelinquencyPerSector!$I$2:$I$5000,"="&amp;A47)</f>
        <v>117987324.47000001</v>
      </c>
      <c r="E47" s="282">
        <f t="shared" si="5"/>
        <v>1.599672268869318E-2</v>
      </c>
      <c r="F47" s="283">
        <f>COUNTIFS(DelinquencyPerSector!$I:$I, "="&amp;A47, DelinquencyPerSector!$J:$J, "="&amp;B47,DelinquencyPerSector!$K:$K, "="&amp;C47,DelinquencyPerSector!$L:$L, "&gt;0")</f>
        <v>8</v>
      </c>
      <c r="G47" s="284">
        <f>SUMIFS(DelinquencyPerSector!$N$2:$N$5000, DelinquencyPerSector!$K$2:$K$5000, "="&amp;C47, DelinquencyPerSector!$J$2:$J$5000, "="&amp;B47, DelinquencyPerSector!$I$2:$I$5000,"="&amp;A47)</f>
        <v>6878899.8300000001</v>
      </c>
      <c r="H47" s="282">
        <f t="shared" si="6"/>
        <v>2.8484952821022933E-3</v>
      </c>
      <c r="I47" s="283">
        <f>COUNTIFS(DelinquencyPerSector!$I:$I, "="&amp;A47, DelinquencyPerSector!$J:$J, "="&amp;B47,DelinquencyPerSector!$K:$K, "="&amp;C47,DelinquencyPerSector!$N:$N, "&gt;0")</f>
        <v>3</v>
      </c>
      <c r="J47" s="281">
        <f>SUMIFS(DelinquencyPerSector!$P$2:$P$5000, DelinquencyPerSector!$K$2:$K$5000, "="&amp;C47, DelinquencyPerSector!$J$2:$J$5000, "="&amp;B47, DelinquencyPerSector!$I$2:$I$5000,"="&amp;A47)</f>
        <v>0</v>
      </c>
      <c r="K47" s="282">
        <f t="shared" si="7"/>
        <v>0</v>
      </c>
      <c r="L47" s="283">
        <f>COUNTIFS(DelinquencyPerSector!$I:$I, "="&amp;A47, DelinquencyPerSector!$J:$J, "="&amp;B47,DelinquencyPerSector!$K:$K, "="&amp;C47,DelinquencyPerSector!$P:$P, "&gt;0")</f>
        <v>0</v>
      </c>
      <c r="M47" s="285">
        <f>SUMIFS(DelinquencyPerSector!$R$2:$R$5000,DelinquencyPerSector!$K$2:$K$5000, "="&amp;C47, DelinquencyPerSector!$J$2:$J$5000, "="&amp;B47,DelinquencyPerSector!$I$2:$I$5000,"="&amp;A47)</f>
        <v>0</v>
      </c>
      <c r="N47" s="282">
        <f t="shared" si="8"/>
        <v>0</v>
      </c>
      <c r="O47" s="283">
        <f>COUNTIFS(DelinquencyPerSector!$I:$I, "="&amp;A47, DelinquencyPerSector!$J:$J, "="&amp;B47,DelinquencyPerSector!$K:$K, "="&amp;C47,DelinquencyPerSector!$R:$R, "&gt;0")</f>
        <v>0</v>
      </c>
      <c r="P47" s="281">
        <v>207454539.78</v>
      </c>
      <c r="Q47" s="282">
        <f t="shared" si="9"/>
        <v>1.2522944491803713E-2</v>
      </c>
      <c r="R47" s="287">
        <f>COUNTIFS(DelinquencyPerSector!$I:$I, "="&amp;A47, DelinquencyPerSector!$J:$J, "="&amp;B47,DelinquencyPerSector!$K:$K, "="&amp;C47)</f>
        <v>11</v>
      </c>
      <c r="S47" s="288">
        <f>Table_ExternalData_18[[#This Row],[Total Port%]]-Table_ExternalData_18[[#This Row],[PAR 30+%]]</f>
        <v>9.6744492097014211E-3</v>
      </c>
      <c r="T47" s="289">
        <f>Table_ExternalData_18[[#This Row],[Total Port%]]-Table_ExternalData_18[[#This Row],[PAR 90+%]]</f>
        <v>1.2522944491803713E-2</v>
      </c>
      <c r="U47" s="280"/>
      <c r="V47" s="280"/>
    </row>
    <row r="48" spans="1:22" ht="22.8" x14ac:dyDescent="0.4">
      <c r="A48" s="280" t="s">
        <v>25</v>
      </c>
      <c r="B48" s="280" t="s">
        <v>290</v>
      </c>
      <c r="C48" s="280" t="s">
        <v>297</v>
      </c>
      <c r="D48" s="281">
        <f>SUMIFS(DelinquencyPerSector!$L$2:$L$5000,DelinquencyPerSector!$K$2:$K$5000, "="&amp;C48, DelinquencyPerSector!$J$2:$J$5000, "="&amp;B48,DelinquencyPerSector!$I$2:$I$5000,"="&amp;A48)</f>
        <v>18545531.030000001</v>
      </c>
      <c r="E48" s="282">
        <f t="shared" si="5"/>
        <v>2.5144032914899811E-3</v>
      </c>
      <c r="F48" s="283">
        <f>COUNTIFS(DelinquencyPerSector!$I:$I, "="&amp;A48, DelinquencyPerSector!$J:$J, "="&amp;B48,DelinquencyPerSector!$K:$K, "="&amp;C48,DelinquencyPerSector!$L:$L, "&gt;0")</f>
        <v>4</v>
      </c>
      <c r="G48" s="284">
        <f>SUMIFS(DelinquencyPerSector!$N$2:$N$5000, DelinquencyPerSector!$K$2:$K$5000, "="&amp;C48, DelinquencyPerSector!$J$2:$J$5000, "="&amp;B48, DelinquencyPerSector!$I$2:$I$5000,"="&amp;A48)</f>
        <v>6329044.9100000001</v>
      </c>
      <c r="H48" s="282">
        <f t="shared" si="6"/>
        <v>2.6208049269338661E-3</v>
      </c>
      <c r="I48" s="283">
        <f>COUNTIFS(DelinquencyPerSector!$I:$I, "="&amp;A48, DelinquencyPerSector!$J:$J, "="&amp;B48,DelinquencyPerSector!$K:$K, "="&amp;C48,DelinquencyPerSector!$N:$N, "&gt;0")</f>
        <v>1</v>
      </c>
      <c r="J48" s="281">
        <f>SUMIFS(DelinquencyPerSector!$P$2:$P$5000, DelinquencyPerSector!$K$2:$K$5000, "="&amp;C48, DelinquencyPerSector!$J$2:$J$5000, "="&amp;B48, DelinquencyPerSector!$I$2:$I$5000,"="&amp;A48)</f>
        <v>0</v>
      </c>
      <c r="K48" s="282">
        <f t="shared" si="7"/>
        <v>0</v>
      </c>
      <c r="L48" s="283">
        <f>COUNTIFS(DelinquencyPerSector!$I:$I, "="&amp;A48, DelinquencyPerSector!$J:$J, "="&amp;B48,DelinquencyPerSector!$K:$K, "="&amp;C48,DelinquencyPerSector!$P:$P, "&gt;0")</f>
        <v>0</v>
      </c>
      <c r="M48" s="285">
        <f>SUMIFS(DelinquencyPerSector!$R$2:$R$5000,DelinquencyPerSector!$K$2:$K$5000, "="&amp;C48, DelinquencyPerSector!$J$2:$J$5000, "="&amp;B48,DelinquencyPerSector!$I$2:$I$5000,"="&amp;A48)</f>
        <v>0</v>
      </c>
      <c r="N48" s="282">
        <f t="shared" si="8"/>
        <v>0</v>
      </c>
      <c r="O48" s="283">
        <f>COUNTIFS(DelinquencyPerSector!$I:$I, "="&amp;A48, DelinquencyPerSector!$J:$J, "="&amp;B48,DelinquencyPerSector!$K:$K, "="&amp;C48,DelinquencyPerSector!$R:$R, "&gt;0")</f>
        <v>0</v>
      </c>
      <c r="P48" s="281">
        <v>23419866.800000001</v>
      </c>
      <c r="Q48" s="282">
        <f t="shared" si="9"/>
        <v>1.413734750046243E-3</v>
      </c>
      <c r="R48" s="287">
        <f>COUNTIFS(DelinquencyPerSector!$I:$I, "="&amp;A48, DelinquencyPerSector!$J:$J, "="&amp;B48,DelinquencyPerSector!$K:$K, "="&amp;C48)</f>
        <v>6</v>
      </c>
      <c r="S48" s="288">
        <f>Table_ExternalData_18[[#This Row],[Total Port%]]-Table_ExternalData_18[[#This Row],[PAR 30+%]]</f>
        <v>-1.207070176887623E-3</v>
      </c>
      <c r="T48" s="289">
        <f>Table_ExternalData_18[[#This Row],[Total Port%]]-Table_ExternalData_18[[#This Row],[PAR 90+%]]</f>
        <v>1.413734750046243E-3</v>
      </c>
      <c r="U48" s="280"/>
      <c r="V48" s="280"/>
    </row>
    <row r="49" spans="1:22" ht="22.8" x14ac:dyDescent="0.4">
      <c r="A49" s="280" t="s">
        <v>31</v>
      </c>
      <c r="B49" s="280" t="s">
        <v>509</v>
      </c>
      <c r="C49" s="280" t="s">
        <v>1814</v>
      </c>
      <c r="D49" s="281">
        <f>SUMIFS(DelinquencyPerSector!$L$2:$L$5000,DelinquencyPerSector!$K$2:$K$5000, "="&amp;C49, DelinquencyPerSector!$J$2:$J$5000, "="&amp;B49,DelinquencyPerSector!$I$2:$I$5000,"="&amp;A49)</f>
        <v>5400586.4299999997</v>
      </c>
      <c r="E49" s="282">
        <f t="shared" si="5"/>
        <v>7.3221156480241943E-4</v>
      </c>
      <c r="F49" s="283">
        <f>COUNTIFS(DelinquencyPerSector!$I:$I, "="&amp;A49, DelinquencyPerSector!$J:$J, "="&amp;B49,DelinquencyPerSector!$K:$K, "="&amp;C49,DelinquencyPerSector!$L:$L, "&gt;0")</f>
        <v>1</v>
      </c>
      <c r="G49" s="284">
        <f>SUMIFS(DelinquencyPerSector!$N$2:$N$5000, DelinquencyPerSector!$K$2:$K$5000, "="&amp;C49, DelinquencyPerSector!$J$2:$J$5000, "="&amp;B49, DelinquencyPerSector!$I$2:$I$5000,"="&amp;A49)</f>
        <v>5400586.4299999997</v>
      </c>
      <c r="H49" s="282">
        <f t="shared" si="6"/>
        <v>2.2363379823253896E-3</v>
      </c>
      <c r="I49" s="283">
        <f>COUNTIFS(DelinquencyPerSector!$I:$I, "="&amp;A49, DelinquencyPerSector!$J:$J, "="&amp;B49,DelinquencyPerSector!$K:$K, "="&amp;C49,DelinquencyPerSector!$N:$N, "&gt;0")</f>
        <v>1</v>
      </c>
      <c r="J49" s="281">
        <f>SUMIFS(DelinquencyPerSector!$P$2:$P$5000, DelinquencyPerSector!$K$2:$K$5000, "="&amp;C49, DelinquencyPerSector!$J$2:$J$5000, "="&amp;B49, DelinquencyPerSector!$I$2:$I$5000,"="&amp;A49)</f>
        <v>5400586.4299999997</v>
      </c>
      <c r="K49" s="282">
        <f t="shared" si="7"/>
        <v>6.634454870762618E-3</v>
      </c>
      <c r="L49" s="283">
        <f>COUNTIFS(DelinquencyPerSector!$I:$I, "="&amp;A49, DelinquencyPerSector!$J:$J, "="&amp;B49,DelinquencyPerSector!$K:$K, "="&amp;C49,DelinquencyPerSector!$P:$P, "&gt;0")</f>
        <v>1</v>
      </c>
      <c r="M49" s="285">
        <f>SUMIFS(DelinquencyPerSector!$R$2:$R$5000,DelinquencyPerSector!$K$2:$K$5000, "="&amp;C49, DelinquencyPerSector!$J$2:$J$5000, "="&amp;B49,DelinquencyPerSector!$I$2:$I$5000,"="&amp;A49)</f>
        <v>0</v>
      </c>
      <c r="N49" s="282">
        <f t="shared" si="8"/>
        <v>0</v>
      </c>
      <c r="O49" s="283">
        <f>COUNTIFS(DelinquencyPerSector!$I:$I, "="&amp;A49, DelinquencyPerSector!$J:$J, "="&amp;B49,DelinquencyPerSector!$K:$K, "="&amp;C49,DelinquencyPerSector!$R:$R, "&gt;0")</f>
        <v>0</v>
      </c>
      <c r="P49" s="281">
        <v>5400586.4299999997</v>
      </c>
      <c r="Q49" s="282">
        <f t="shared" si="9"/>
        <v>3.2600512940232358E-4</v>
      </c>
      <c r="R49" s="287">
        <f>COUNTIFS(DelinquencyPerSector!$I:$I, "="&amp;A49, DelinquencyPerSector!$J:$J, "="&amp;B49,DelinquencyPerSector!$K:$K, "="&amp;C49)</f>
        <v>1</v>
      </c>
      <c r="S49" s="288">
        <f>Table_ExternalData_18[[#This Row],[Total Port%]]-Table_ExternalData_18[[#This Row],[PAR 30+%]]</f>
        <v>-1.910332852923066E-3</v>
      </c>
      <c r="T49" s="289">
        <f>Table_ExternalData_18[[#This Row],[Total Port%]]-Table_ExternalData_18[[#This Row],[PAR 90+%]]</f>
        <v>-6.3084497413602942E-3</v>
      </c>
      <c r="U49" s="280"/>
      <c r="V49" s="280"/>
    </row>
    <row r="50" spans="1:22" ht="22.8" x14ac:dyDescent="0.4">
      <c r="A50" s="280" t="s">
        <v>44</v>
      </c>
      <c r="B50" s="280" t="s">
        <v>26</v>
      </c>
      <c r="C50" s="280" t="s">
        <v>26</v>
      </c>
      <c r="D50" s="281">
        <f>SUMIFS(DelinquencyPerSector!$L$2:$L$5000,DelinquencyPerSector!$K$2:$K$5000, "="&amp;C50, DelinquencyPerSector!$J$2:$J$5000, "="&amp;B50,DelinquencyPerSector!$I$2:$I$5000,"="&amp;A50)</f>
        <v>33359920.529999997</v>
      </c>
      <c r="E50" s="282">
        <f t="shared" si="5"/>
        <v>4.5229383752230139E-3</v>
      </c>
      <c r="F50" s="283">
        <f>COUNTIFS(DelinquencyPerSector!$I:$I, "="&amp;A50, DelinquencyPerSector!$J:$J, "="&amp;B50,DelinquencyPerSector!$K:$K, "="&amp;C50,DelinquencyPerSector!$L:$L, "&gt;0")</f>
        <v>2</v>
      </c>
      <c r="G50" s="284">
        <f>SUMIFS(DelinquencyPerSector!$N$2:$N$5000, DelinquencyPerSector!$K$2:$K$5000, "="&amp;C50, DelinquencyPerSector!$J$2:$J$5000, "="&amp;B50, DelinquencyPerSector!$I$2:$I$5000,"="&amp;A50)</f>
        <v>5259874.79</v>
      </c>
      <c r="H50" s="282">
        <f t="shared" si="6"/>
        <v>2.1780704609800647E-3</v>
      </c>
      <c r="I50" s="283">
        <f>COUNTIFS(DelinquencyPerSector!$I:$I, "="&amp;A50, DelinquencyPerSector!$J:$J, "="&amp;B50,DelinquencyPerSector!$K:$K, "="&amp;C50,DelinquencyPerSector!$N:$N, "&gt;0")</f>
        <v>1</v>
      </c>
      <c r="J50" s="281">
        <f>SUMIFS(DelinquencyPerSector!$P$2:$P$5000, DelinquencyPerSector!$K$2:$K$5000, "="&amp;C50, DelinquencyPerSector!$J$2:$J$5000, "="&amp;B50, DelinquencyPerSector!$I$2:$I$5000,"="&amp;A50)</f>
        <v>5259874.79</v>
      </c>
      <c r="K50" s="282">
        <f t="shared" si="7"/>
        <v>6.4615949346295354E-3</v>
      </c>
      <c r="L50" s="283">
        <f>COUNTIFS(DelinquencyPerSector!$I:$I, "="&amp;A50, DelinquencyPerSector!$J:$J, "="&amp;B50,DelinquencyPerSector!$K:$K, "="&amp;C50,DelinquencyPerSector!$P:$P, "&gt;0")</f>
        <v>1</v>
      </c>
      <c r="M50" s="285">
        <f>SUMIFS(DelinquencyPerSector!$R$2:$R$5000,DelinquencyPerSector!$K$2:$K$5000, "="&amp;C50, DelinquencyPerSector!$J$2:$J$5000, "="&amp;B50,DelinquencyPerSector!$I$2:$I$5000,"="&amp;A50)</f>
        <v>0</v>
      </c>
      <c r="N50" s="282">
        <f t="shared" si="8"/>
        <v>0</v>
      </c>
      <c r="O50" s="283">
        <f>COUNTIFS(DelinquencyPerSector!$I:$I, "="&amp;A50, DelinquencyPerSector!$J:$J, "="&amp;B50,DelinquencyPerSector!$K:$K, "="&amp;C50,DelinquencyPerSector!$R:$R, "&gt;0")</f>
        <v>0</v>
      </c>
      <c r="P50" s="281">
        <v>91810954.099999994</v>
      </c>
      <c r="Q50" s="282">
        <f t="shared" si="9"/>
        <v>5.5421466464561867E-3</v>
      </c>
      <c r="R50" s="287">
        <f>COUNTIFS(DelinquencyPerSector!$I:$I, "="&amp;A50, DelinquencyPerSector!$J:$J, "="&amp;B50,DelinquencyPerSector!$K:$K, "="&amp;C50)</f>
        <v>9</v>
      </c>
      <c r="S50" s="288">
        <f>Table_ExternalData_18[[#This Row],[Total Port%]]-Table_ExternalData_18[[#This Row],[PAR 30+%]]</f>
        <v>3.364076185476122E-3</v>
      </c>
      <c r="T50" s="289">
        <f>Table_ExternalData_18[[#This Row],[Total Port%]]-Table_ExternalData_18[[#This Row],[PAR 90+%]]</f>
        <v>-9.1944828817334869E-4</v>
      </c>
      <c r="U50" s="280"/>
      <c r="V50" s="280"/>
    </row>
    <row r="51" spans="1:22" ht="22.8" x14ac:dyDescent="0.4">
      <c r="A51" s="280" t="s">
        <v>31</v>
      </c>
      <c r="B51" s="280" t="s">
        <v>2309</v>
      </c>
      <c r="C51" s="280" t="s">
        <v>5116</v>
      </c>
      <c r="D51" s="281">
        <f>SUMIFS(DelinquencyPerSector!$L$2:$L$5000,DelinquencyPerSector!$K$2:$K$5000, "="&amp;C51, DelinquencyPerSector!$J$2:$J$5000, "="&amp;B51,DelinquencyPerSector!$I$2:$I$5000,"="&amp;A51)</f>
        <v>5113650.09</v>
      </c>
      <c r="E51" s="282">
        <f t="shared" si="5"/>
        <v>6.9330873281680497E-4</v>
      </c>
      <c r="F51" s="283">
        <f>COUNTIFS(DelinquencyPerSector!$I:$I, "="&amp;A51, DelinquencyPerSector!$J:$J, "="&amp;B51,DelinquencyPerSector!$K:$K, "="&amp;C51,DelinquencyPerSector!$L:$L, "&gt;0")</f>
        <v>1</v>
      </c>
      <c r="G51" s="284">
        <f>SUMIFS(DelinquencyPerSector!$N$2:$N$5000, DelinquencyPerSector!$K$2:$K$5000, "="&amp;C51, DelinquencyPerSector!$J$2:$J$5000, "="&amp;B51, DelinquencyPerSector!$I$2:$I$5000,"="&amp;A51)</f>
        <v>5113650.09</v>
      </c>
      <c r="H51" s="282">
        <f t="shared" si="6"/>
        <v>2.1175200272813052E-3</v>
      </c>
      <c r="I51" s="283">
        <f>COUNTIFS(DelinquencyPerSector!$I:$I, "="&amp;A51, DelinquencyPerSector!$J:$J, "="&amp;B51,DelinquencyPerSector!$K:$K, "="&amp;C51,DelinquencyPerSector!$N:$N, "&gt;0")</f>
        <v>1</v>
      </c>
      <c r="J51" s="281">
        <f>SUMIFS(DelinquencyPerSector!$P$2:$P$5000, DelinquencyPerSector!$K$2:$K$5000, "="&amp;C51, DelinquencyPerSector!$J$2:$J$5000, "="&amp;B51, DelinquencyPerSector!$I$2:$I$5000,"="&amp;A51)</f>
        <v>0</v>
      </c>
      <c r="K51" s="282">
        <f t="shared" si="7"/>
        <v>0</v>
      </c>
      <c r="L51" s="283">
        <f>COUNTIFS(DelinquencyPerSector!$I:$I, "="&amp;A51, DelinquencyPerSector!$J:$J, "="&amp;B51,DelinquencyPerSector!$K:$K, "="&amp;C51,DelinquencyPerSector!$P:$P, "&gt;0")</f>
        <v>0</v>
      </c>
      <c r="M51" s="285">
        <f>SUMIFS(DelinquencyPerSector!$R$2:$R$5000,DelinquencyPerSector!$K$2:$K$5000, "="&amp;C51, DelinquencyPerSector!$J$2:$J$5000, "="&amp;B51,DelinquencyPerSector!$I$2:$I$5000,"="&amp;A51)</f>
        <v>0</v>
      </c>
      <c r="N51" s="282">
        <f t="shared" si="8"/>
        <v>0</v>
      </c>
      <c r="O51" s="283">
        <f>COUNTIFS(DelinquencyPerSector!$I:$I, "="&amp;A51, DelinquencyPerSector!$J:$J, "="&amp;B51,DelinquencyPerSector!$K:$K, "="&amp;C51,DelinquencyPerSector!$R:$R, "&gt;0")</f>
        <v>0</v>
      </c>
      <c r="P51" s="281">
        <v>7459599.8700000001</v>
      </c>
      <c r="Q51" s="282">
        <f t="shared" si="9"/>
        <v>4.5029699134153218E-4</v>
      </c>
      <c r="R51" s="287">
        <f>COUNTIFS(DelinquencyPerSector!$I:$I, "="&amp;A51, DelinquencyPerSector!$J:$J, "="&amp;B51,DelinquencyPerSector!$K:$K, "="&amp;C51)</f>
        <v>2</v>
      </c>
      <c r="S51" s="288">
        <f>Table_ExternalData_18[[#This Row],[Total Port%]]-Table_ExternalData_18[[#This Row],[PAR 30+%]]</f>
        <v>-1.6672230359397731E-3</v>
      </c>
      <c r="T51" s="289">
        <f>Table_ExternalData_18[[#This Row],[Total Port%]]-Table_ExternalData_18[[#This Row],[PAR 90+%]]</f>
        <v>4.5029699134153218E-4</v>
      </c>
      <c r="U51" s="280"/>
      <c r="V51" s="280"/>
    </row>
    <row r="52" spans="1:22" ht="22.8" x14ac:dyDescent="0.4">
      <c r="A52" s="280" t="s">
        <v>25</v>
      </c>
      <c r="B52" s="280" t="s">
        <v>295</v>
      </c>
      <c r="C52" s="280" t="s">
        <v>296</v>
      </c>
      <c r="D52" s="281">
        <f>SUMIFS(DelinquencyPerSector!$L$2:$L$5000,DelinquencyPerSector!$K$2:$K$5000, "="&amp;C52, DelinquencyPerSector!$J$2:$J$5000, "="&amp;B52,DelinquencyPerSector!$I$2:$I$5000,"="&amp;A52)</f>
        <v>19848153.849999998</v>
      </c>
      <c r="E52" s="282">
        <f t="shared" si="5"/>
        <v>2.6910129070830671E-3</v>
      </c>
      <c r="F52" s="283">
        <f>COUNTIFS(DelinquencyPerSector!$I:$I, "="&amp;A52, DelinquencyPerSector!$J:$J, "="&amp;B52,DelinquencyPerSector!$K:$K, "="&amp;C52,DelinquencyPerSector!$L:$L, "&gt;0")</f>
        <v>3</v>
      </c>
      <c r="G52" s="284">
        <f>SUMIFS(DelinquencyPerSector!$N$2:$N$5000, DelinquencyPerSector!$K$2:$K$5000, "="&amp;C52, DelinquencyPerSector!$J$2:$J$5000, "="&amp;B52, DelinquencyPerSector!$I$2:$I$5000,"="&amp;A52)</f>
        <v>4440190.3099999996</v>
      </c>
      <c r="H52" s="282">
        <f t="shared" si="6"/>
        <v>1.8386459262732596E-3</v>
      </c>
      <c r="I52" s="283">
        <f>COUNTIFS(DelinquencyPerSector!$I:$I, "="&amp;A52, DelinquencyPerSector!$J:$J, "="&amp;B52,DelinquencyPerSector!$K:$K, "="&amp;C52,DelinquencyPerSector!$N:$N, "&gt;0")</f>
        <v>1</v>
      </c>
      <c r="J52" s="281">
        <f>SUMIFS(DelinquencyPerSector!$P$2:$P$5000, DelinquencyPerSector!$K$2:$K$5000, "="&amp;C52, DelinquencyPerSector!$J$2:$J$5000, "="&amp;B52, DelinquencyPerSector!$I$2:$I$5000,"="&amp;A52)</f>
        <v>4440190.3099999996</v>
      </c>
      <c r="K52" s="282">
        <f t="shared" si="7"/>
        <v>5.4546376789108208E-3</v>
      </c>
      <c r="L52" s="283">
        <f>COUNTIFS(DelinquencyPerSector!$I:$I, "="&amp;A52, DelinquencyPerSector!$J:$J, "="&amp;B52,DelinquencyPerSector!$K:$K, "="&amp;C52,DelinquencyPerSector!$P:$P, "&gt;0")</f>
        <v>1</v>
      </c>
      <c r="M52" s="285">
        <f>SUMIFS(DelinquencyPerSector!$R$2:$R$5000,DelinquencyPerSector!$K$2:$K$5000, "="&amp;C52, DelinquencyPerSector!$J$2:$J$5000, "="&amp;B52,DelinquencyPerSector!$I$2:$I$5000,"="&amp;A52)</f>
        <v>0</v>
      </c>
      <c r="N52" s="282">
        <f t="shared" si="8"/>
        <v>0</v>
      </c>
      <c r="O52" s="283">
        <f>COUNTIFS(DelinquencyPerSector!$I:$I, "="&amp;A52, DelinquencyPerSector!$J:$J, "="&amp;B52,DelinquencyPerSector!$K:$K, "="&amp;C52,DelinquencyPerSector!$R:$R, "&gt;0")</f>
        <v>0</v>
      </c>
      <c r="P52" s="281">
        <v>33962928.850000001</v>
      </c>
      <c r="Q52" s="282">
        <f t="shared" si="9"/>
        <v>2.0501642105237375E-3</v>
      </c>
      <c r="R52" s="287">
        <f>COUNTIFS(DelinquencyPerSector!$I:$I, "="&amp;A52, DelinquencyPerSector!$J:$J, "="&amp;B52,DelinquencyPerSector!$K:$K, "="&amp;C52)</f>
        <v>4</v>
      </c>
      <c r="S52" s="288">
        <f>Table_ExternalData_18[[#This Row],[Total Port%]]-Table_ExternalData_18[[#This Row],[PAR 30+%]]</f>
        <v>2.1151828425047792E-4</v>
      </c>
      <c r="T52" s="289">
        <f>Table_ExternalData_18[[#This Row],[Total Port%]]-Table_ExternalData_18[[#This Row],[PAR 90+%]]</f>
        <v>-3.4044734683870833E-3</v>
      </c>
      <c r="U52" s="280"/>
      <c r="V52" s="280"/>
    </row>
    <row r="53" spans="1:22" ht="22.8" x14ac:dyDescent="0.4">
      <c r="A53" s="280" t="s">
        <v>35</v>
      </c>
      <c r="B53" s="280" t="s">
        <v>121</v>
      </c>
      <c r="C53" s="280" t="s">
        <v>299</v>
      </c>
      <c r="D53" s="281">
        <f>SUMIFS(DelinquencyPerSector!$L$2:$L$5000,DelinquencyPerSector!$K$2:$K$5000, "="&amp;C53, DelinquencyPerSector!$J$2:$J$5000, "="&amp;B53,DelinquencyPerSector!$I$2:$I$5000,"="&amp;A53)</f>
        <v>43703694.439999998</v>
      </c>
      <c r="E53" s="282">
        <f t="shared" si="5"/>
        <v>5.9253473503912048E-3</v>
      </c>
      <c r="F53" s="283">
        <f>COUNTIFS(DelinquencyPerSector!$I:$I, "="&amp;A53, DelinquencyPerSector!$J:$J, "="&amp;B53,DelinquencyPerSector!$K:$K, "="&amp;C53,DelinquencyPerSector!$L:$L, "&gt;0")</f>
        <v>3</v>
      </c>
      <c r="G53" s="284">
        <f>SUMIFS(DelinquencyPerSector!$N$2:$N$5000, DelinquencyPerSector!$K$2:$K$5000, "="&amp;C53, DelinquencyPerSector!$J$2:$J$5000, "="&amp;B53, DelinquencyPerSector!$I$2:$I$5000,"="&amp;A53)</f>
        <v>4124940.56</v>
      </c>
      <c r="H53" s="282">
        <f t="shared" si="6"/>
        <v>1.7081036233249512E-3</v>
      </c>
      <c r="I53" s="283">
        <f>COUNTIFS(DelinquencyPerSector!$I:$I, "="&amp;A53, DelinquencyPerSector!$J:$J, "="&amp;B53,DelinquencyPerSector!$K:$K, "="&amp;C53,DelinquencyPerSector!$N:$N, "&gt;0")</f>
        <v>1</v>
      </c>
      <c r="J53" s="281">
        <f>SUMIFS(DelinquencyPerSector!$P$2:$P$5000, DelinquencyPerSector!$K$2:$K$5000, "="&amp;C53, DelinquencyPerSector!$J$2:$J$5000, "="&amp;B53, DelinquencyPerSector!$I$2:$I$5000,"="&amp;A53)</f>
        <v>4124940.56</v>
      </c>
      <c r="K53" s="282">
        <f t="shared" si="7"/>
        <v>5.0673630252221118E-3</v>
      </c>
      <c r="L53" s="283">
        <f>COUNTIFS(DelinquencyPerSector!$I:$I, "="&amp;A53, DelinquencyPerSector!$J:$J, "="&amp;B53,DelinquencyPerSector!$K:$K, "="&amp;C53,DelinquencyPerSector!$P:$P, "&gt;0")</f>
        <v>1</v>
      </c>
      <c r="M53" s="285">
        <f>SUMIFS(DelinquencyPerSector!$R$2:$R$5000,DelinquencyPerSector!$K$2:$K$5000, "="&amp;C53, DelinquencyPerSector!$J$2:$J$5000, "="&amp;B53,DelinquencyPerSector!$I$2:$I$5000,"="&amp;A53)</f>
        <v>0</v>
      </c>
      <c r="N53" s="282">
        <f t="shared" si="8"/>
        <v>0</v>
      </c>
      <c r="O53" s="283">
        <f>COUNTIFS(DelinquencyPerSector!$I:$I, "="&amp;A53, DelinquencyPerSector!$J:$J, "="&amp;B53,DelinquencyPerSector!$K:$K, "="&amp;C53,DelinquencyPerSector!$R:$R, "&gt;0")</f>
        <v>0</v>
      </c>
      <c r="P53" s="281">
        <v>43703694.439999998</v>
      </c>
      <c r="Q53" s="282">
        <f t="shared" si="9"/>
        <v>2.6381632339271366E-3</v>
      </c>
      <c r="R53" s="287">
        <f>COUNTIFS(DelinquencyPerSector!$I:$I, "="&amp;A53, DelinquencyPerSector!$J:$J, "="&amp;B53,DelinquencyPerSector!$K:$K, "="&amp;C53)</f>
        <v>3</v>
      </c>
      <c r="S53" s="288">
        <f>Table_ExternalData_18[[#This Row],[Total Port%]]-Table_ExternalData_18[[#This Row],[PAR 30+%]]</f>
        <v>9.3005961060218536E-4</v>
      </c>
      <c r="T53" s="289">
        <f>Table_ExternalData_18[[#This Row],[Total Port%]]-Table_ExternalData_18[[#This Row],[PAR 90+%]]</f>
        <v>-2.4291997912949752E-3</v>
      </c>
      <c r="U53" s="280"/>
      <c r="V53" s="280"/>
    </row>
    <row r="54" spans="1:22" ht="22.8" x14ac:dyDescent="0.4">
      <c r="A54" s="280" t="s">
        <v>25</v>
      </c>
      <c r="B54" s="280" t="s">
        <v>290</v>
      </c>
      <c r="C54" s="280" t="s">
        <v>26</v>
      </c>
      <c r="D54" s="281">
        <f>SUMIFS(DelinquencyPerSector!$L$2:$L$5000,DelinquencyPerSector!$K$2:$K$5000, "="&amp;C54, DelinquencyPerSector!$J$2:$J$5000, "="&amp;B54,DelinquencyPerSector!$I$2:$I$5000,"="&amp;A54)</f>
        <v>16839834.77</v>
      </c>
      <c r="E54" s="282">
        <f t="shared" si="5"/>
        <v>2.2831449746756279E-3</v>
      </c>
      <c r="F54" s="283">
        <f>COUNTIFS(DelinquencyPerSector!$I:$I, "="&amp;A54, DelinquencyPerSector!$J:$J, "="&amp;B54,DelinquencyPerSector!$K:$K, "="&amp;C54,DelinquencyPerSector!$L:$L, "&gt;0")</f>
        <v>2</v>
      </c>
      <c r="G54" s="284">
        <f>SUMIFS(DelinquencyPerSector!$N$2:$N$5000, DelinquencyPerSector!$K$2:$K$5000, "="&amp;C54, DelinquencyPerSector!$J$2:$J$5000, "="&amp;B54, DelinquencyPerSector!$I$2:$I$5000,"="&amp;A54)</f>
        <v>2867921.12</v>
      </c>
      <c r="H54" s="282">
        <f t="shared" si="6"/>
        <v>1.1875823142727061E-3</v>
      </c>
      <c r="I54" s="283">
        <f>COUNTIFS(DelinquencyPerSector!$I:$I, "="&amp;A54, DelinquencyPerSector!$J:$J, "="&amp;B54,DelinquencyPerSector!$K:$K, "="&amp;C54,DelinquencyPerSector!$N:$N, "&gt;0")</f>
        <v>1</v>
      </c>
      <c r="J54" s="281">
        <f>SUMIFS(DelinquencyPerSector!$P$2:$P$5000, DelinquencyPerSector!$K$2:$K$5000, "="&amp;C54, DelinquencyPerSector!$J$2:$J$5000, "="&amp;B54, DelinquencyPerSector!$I$2:$I$5000,"="&amp;A54)</f>
        <v>2867921.12</v>
      </c>
      <c r="K54" s="282">
        <f t="shared" si="7"/>
        <v>3.5231531779312685E-3</v>
      </c>
      <c r="L54" s="283">
        <f>COUNTIFS(DelinquencyPerSector!$I:$I, "="&amp;A54, DelinquencyPerSector!$J:$J, "="&amp;B54,DelinquencyPerSector!$K:$K, "="&amp;C54,DelinquencyPerSector!$P:$P, "&gt;0")</f>
        <v>1</v>
      </c>
      <c r="M54" s="281">
        <f>SUMIFS(DelinquencyPerSector!$R$2:$R$5000,DelinquencyPerSector!$K$2:$K$5000, "="&amp;C54, DelinquencyPerSector!$J$2:$J$5000, "="&amp;B54,DelinquencyPerSector!$I$2:$I$5000,"="&amp;A54)</f>
        <v>0</v>
      </c>
      <c r="N54" s="290">
        <f t="shared" si="8"/>
        <v>0</v>
      </c>
      <c r="O54" s="283">
        <f>COUNTIFS(DelinquencyPerSector!$I:$I, "="&amp;A54, DelinquencyPerSector!$J:$J, "="&amp;B54,DelinquencyPerSector!$K:$K, "="&amp;C54,DelinquencyPerSector!$R:$R, "&gt;0")</f>
        <v>0</v>
      </c>
      <c r="P54" s="281">
        <v>24069121.629999999</v>
      </c>
      <c r="Q54" s="282">
        <f t="shared" si="9"/>
        <v>1.4529268651272034E-3</v>
      </c>
      <c r="R54" s="287">
        <f>COUNTIFS(DelinquencyPerSector!$I:$I, "="&amp;A54, DelinquencyPerSector!$J:$J, "="&amp;B54,DelinquencyPerSector!$K:$K, "="&amp;C54)</f>
        <v>5</v>
      </c>
      <c r="S54" s="288">
        <f>Table_ExternalData_18[[#This Row],[Total Port%]]-Table_ExternalData_18[[#This Row],[PAR 30+%]]</f>
        <v>2.6534455085449726E-4</v>
      </c>
      <c r="T54" s="289">
        <f>Table_ExternalData_18[[#This Row],[Total Port%]]-Table_ExternalData_18[[#This Row],[PAR 90+%]]</f>
        <v>-2.0702263128040653E-3</v>
      </c>
      <c r="U54" s="280"/>
      <c r="V54" s="280"/>
    </row>
    <row r="55" spans="1:22" ht="22.8" x14ac:dyDescent="0.4">
      <c r="A55" s="280" t="s">
        <v>37</v>
      </c>
      <c r="B55" s="280" t="s">
        <v>38</v>
      </c>
      <c r="C55" s="280" t="s">
        <v>1681</v>
      </c>
      <c r="D55" s="281">
        <f>SUMIFS(DelinquencyPerSector!$L$2:$L$5000,DelinquencyPerSector!$K$2:$K$5000, "="&amp;C55, DelinquencyPerSector!$J$2:$J$5000, "="&amp;B55,DelinquencyPerSector!$I$2:$I$5000,"="&amp;A55)</f>
        <v>42752391.899999999</v>
      </c>
      <c r="E55" s="282">
        <f t="shared" si="5"/>
        <v>5.7963697420439731E-3</v>
      </c>
      <c r="F55" s="283">
        <f>COUNTIFS(DelinquencyPerSector!$I:$I, "="&amp;A55, DelinquencyPerSector!$J:$J, "="&amp;B55,DelinquencyPerSector!$K:$K, "="&amp;C55,DelinquencyPerSector!$L:$L, "&gt;0")</f>
        <v>2</v>
      </c>
      <c r="G55" s="284">
        <f>SUMIFS(DelinquencyPerSector!$N$2:$N$5000, DelinquencyPerSector!$K$2:$K$5000, "="&amp;C55, DelinquencyPerSector!$J$2:$J$5000, "="&amp;B55, DelinquencyPerSector!$I$2:$I$5000,"="&amp;A55)</f>
        <v>2751142.53</v>
      </c>
      <c r="H55" s="282">
        <f t="shared" si="6"/>
        <v>1.1392252701397407E-3</v>
      </c>
      <c r="I55" s="283">
        <f>COUNTIFS(DelinquencyPerSector!$I:$I, "="&amp;A55, DelinquencyPerSector!$J:$J, "="&amp;B55,DelinquencyPerSector!$K:$K, "="&amp;C55,DelinquencyPerSector!$N:$N, "&gt;0")</f>
        <v>1</v>
      </c>
      <c r="J55" s="281">
        <f>SUMIFS(DelinquencyPerSector!$P$2:$P$5000, DelinquencyPerSector!$K$2:$K$5000, "="&amp;C55, DelinquencyPerSector!$J$2:$J$5000, "="&amp;B55, DelinquencyPerSector!$I$2:$I$5000,"="&amp;A55)</f>
        <v>0</v>
      </c>
      <c r="K55" s="282">
        <f t="shared" si="7"/>
        <v>0</v>
      </c>
      <c r="L55" s="283">
        <f>COUNTIFS(DelinquencyPerSector!$I:$I, "="&amp;A55, DelinquencyPerSector!$J:$J, "="&amp;B55,DelinquencyPerSector!$K:$K, "="&amp;C55,DelinquencyPerSector!$P:$P, "&gt;0")</f>
        <v>0</v>
      </c>
      <c r="M55" s="285">
        <f>SUMIFS(DelinquencyPerSector!$R$2:$R$5000,DelinquencyPerSector!$K$2:$K$5000, "="&amp;C55, DelinquencyPerSector!$J$2:$J$5000, "="&amp;B55,DelinquencyPerSector!$I$2:$I$5000,"="&amp;A55)</f>
        <v>0</v>
      </c>
      <c r="N55" s="282">
        <f t="shared" si="8"/>
        <v>0</v>
      </c>
      <c r="O55" s="283">
        <f>COUNTIFS(DelinquencyPerSector!$I:$I, "="&amp;A55, DelinquencyPerSector!$J:$J, "="&amp;B55,DelinquencyPerSector!$K:$K, "="&amp;C55,DelinquencyPerSector!$R:$R, "&gt;0")</f>
        <v>0</v>
      </c>
      <c r="P55" s="281">
        <v>67647109.459999993</v>
      </c>
      <c r="Q55" s="282">
        <f t="shared" si="9"/>
        <v>4.0835018491131607E-3</v>
      </c>
      <c r="R55" s="287">
        <f>COUNTIFS(DelinquencyPerSector!$I:$I, "="&amp;A55, DelinquencyPerSector!$J:$J, "="&amp;B55,DelinquencyPerSector!$K:$K, "="&amp;C55)</f>
        <v>4</v>
      </c>
      <c r="S55" s="288">
        <f>Table_ExternalData_18[[#This Row],[Total Port%]]-Table_ExternalData_18[[#This Row],[PAR 30+%]]</f>
        <v>2.94427657897342E-3</v>
      </c>
      <c r="T55" s="289">
        <f>Table_ExternalData_18[[#This Row],[Total Port%]]-Table_ExternalData_18[[#This Row],[PAR 90+%]]</f>
        <v>4.0835018491131607E-3</v>
      </c>
      <c r="U55" s="280"/>
      <c r="V55" s="280"/>
    </row>
    <row r="56" spans="1:22" ht="22.8" x14ac:dyDescent="0.4">
      <c r="A56" s="280" t="s">
        <v>31</v>
      </c>
      <c r="B56" s="280" t="s">
        <v>509</v>
      </c>
      <c r="C56" s="280" t="s">
        <v>26</v>
      </c>
      <c r="D56" s="281">
        <f>SUMIFS(DelinquencyPerSector!$L$2:$L$5000,DelinquencyPerSector!$K$2:$K$5000, "="&amp;C56, DelinquencyPerSector!$J$2:$J$5000, "="&amp;B56,DelinquencyPerSector!$I$2:$I$5000,"="&amp;A56)</f>
        <v>2360581.64</v>
      </c>
      <c r="E56" s="282">
        <f t="shared" si="5"/>
        <v>3.200476835009678E-4</v>
      </c>
      <c r="F56" s="283">
        <f>COUNTIFS(DelinquencyPerSector!$I:$I, "="&amp;A56, DelinquencyPerSector!$J:$J, "="&amp;B56,DelinquencyPerSector!$K:$K, "="&amp;C56,DelinquencyPerSector!$L:$L, "&gt;0")</f>
        <v>1</v>
      </c>
      <c r="G56" s="284">
        <f>SUMIFS(DelinquencyPerSector!$N$2:$N$5000, DelinquencyPerSector!$K$2:$K$5000, "="&amp;C56, DelinquencyPerSector!$J$2:$J$5000, "="&amp;B56, DelinquencyPerSector!$I$2:$I$5000,"="&amp;A56)</f>
        <v>2360581.64</v>
      </c>
      <c r="H56" s="282">
        <f t="shared" si="6"/>
        <v>9.7749724966663667E-4</v>
      </c>
      <c r="I56" s="283">
        <f>COUNTIFS(DelinquencyPerSector!$I:$I, "="&amp;A56, DelinquencyPerSector!$J:$J, "="&amp;B56,DelinquencyPerSector!$K:$K, "="&amp;C56,DelinquencyPerSector!$N:$N, "&gt;0")</f>
        <v>1</v>
      </c>
      <c r="J56" s="281">
        <f>SUMIFS(DelinquencyPerSector!$P$2:$P$5000, DelinquencyPerSector!$K$2:$K$5000, "="&amp;C56, DelinquencyPerSector!$J$2:$J$5000, "="&amp;B56, DelinquencyPerSector!$I$2:$I$5000,"="&amp;A56)</f>
        <v>0</v>
      </c>
      <c r="K56" s="282">
        <f t="shared" si="7"/>
        <v>0</v>
      </c>
      <c r="L56" s="283">
        <f>COUNTIFS(DelinquencyPerSector!$I:$I, "="&amp;A56, DelinquencyPerSector!$J:$J, "="&amp;B56,DelinquencyPerSector!$K:$K, "="&amp;C56,DelinquencyPerSector!$P:$P, "&gt;0")</f>
        <v>0</v>
      </c>
      <c r="M56" s="285">
        <f>SUMIFS(DelinquencyPerSector!$R$2:$R$5000,DelinquencyPerSector!$K$2:$K$5000, "="&amp;C56, DelinquencyPerSector!$J$2:$J$5000, "="&amp;B56,DelinquencyPerSector!$I$2:$I$5000,"="&amp;A56)</f>
        <v>0</v>
      </c>
      <c r="N56" s="282">
        <f t="shared" si="8"/>
        <v>0</v>
      </c>
      <c r="O56" s="283">
        <f>COUNTIFS(DelinquencyPerSector!$I:$I, "="&amp;A56, DelinquencyPerSector!$J:$J, "="&amp;B56,DelinquencyPerSector!$K:$K, "="&amp;C56,DelinquencyPerSector!$R:$R, "&gt;0")</f>
        <v>0</v>
      </c>
      <c r="P56" s="281">
        <v>28370513.260000002</v>
      </c>
      <c r="Q56" s="282">
        <f t="shared" si="9"/>
        <v>1.7125793590042845E-3</v>
      </c>
      <c r="R56" s="287">
        <f>COUNTIFS(DelinquencyPerSector!$I:$I, "="&amp;A56, DelinquencyPerSector!$J:$J, "="&amp;B56,DelinquencyPerSector!$K:$K, "="&amp;C56)</f>
        <v>3</v>
      </c>
      <c r="S56" s="288">
        <f>Table_ExternalData_18[[#This Row],[Total Port%]]-Table_ExternalData_18[[#This Row],[PAR 30+%]]</f>
        <v>7.3508210933764784E-4</v>
      </c>
      <c r="T56" s="289">
        <f>Table_ExternalData_18[[#This Row],[Total Port%]]-Table_ExternalData_18[[#This Row],[PAR 90+%]]</f>
        <v>1.7125793590042845E-3</v>
      </c>
      <c r="U56" s="280"/>
      <c r="V56" s="280"/>
    </row>
    <row r="57" spans="1:22" ht="22.8" x14ac:dyDescent="0.4">
      <c r="A57" s="280" t="s">
        <v>35</v>
      </c>
      <c r="B57" s="280" t="s">
        <v>26</v>
      </c>
      <c r="C57" s="280" t="s">
        <v>26</v>
      </c>
      <c r="D57" s="281">
        <f>SUMIFS(DelinquencyPerSector!$L$2:$L$5000,DelinquencyPerSector!$K$2:$K$5000, "="&amp;C57, DelinquencyPerSector!$J$2:$J$5000, "="&amp;B57,DelinquencyPerSector!$I$2:$I$5000,"="&amp;A57)</f>
        <v>33495070.640000001</v>
      </c>
      <c r="E57" s="282">
        <f t="shared" si="5"/>
        <v>4.5412620285538094E-3</v>
      </c>
      <c r="F57" s="283">
        <f>COUNTIFS(DelinquencyPerSector!$I:$I, "="&amp;A57, DelinquencyPerSector!$J:$J, "="&amp;B57,DelinquencyPerSector!$K:$K, "="&amp;C57,DelinquencyPerSector!$L:$L, "&gt;0")</f>
        <v>3</v>
      </c>
      <c r="G57" s="284">
        <f>SUMIFS(DelinquencyPerSector!$N$2:$N$5000, DelinquencyPerSector!$K$2:$K$5000, "="&amp;C57, DelinquencyPerSector!$J$2:$J$5000, "="&amp;B57, DelinquencyPerSector!$I$2:$I$5000,"="&amp;A57)</f>
        <v>2175614.12</v>
      </c>
      <c r="H57" s="282">
        <f t="shared" si="6"/>
        <v>9.0090373601139245E-4</v>
      </c>
      <c r="I57" s="283">
        <f>COUNTIFS(DelinquencyPerSector!$I:$I, "="&amp;A57, DelinquencyPerSector!$J:$J, "="&amp;B57,DelinquencyPerSector!$K:$K, "="&amp;C57,DelinquencyPerSector!$N:$N, "&gt;0")</f>
        <v>1</v>
      </c>
      <c r="J57" s="281">
        <f>SUMIFS(DelinquencyPerSector!$P$2:$P$5000, DelinquencyPerSector!$K$2:$K$5000, "="&amp;C57, DelinquencyPerSector!$J$2:$J$5000, "="&amp;B57, DelinquencyPerSector!$I$2:$I$5000,"="&amp;A57)</f>
        <v>0</v>
      </c>
      <c r="K57" s="282">
        <f t="shared" si="7"/>
        <v>0</v>
      </c>
      <c r="L57" s="283">
        <f>COUNTIFS(DelinquencyPerSector!$I:$I, "="&amp;A57, DelinquencyPerSector!$J:$J, "="&amp;B57,DelinquencyPerSector!$K:$K, "="&amp;C57,DelinquencyPerSector!$P:$P, "&gt;0")</f>
        <v>0</v>
      </c>
      <c r="M57" s="285">
        <f>SUMIFS(DelinquencyPerSector!$R$2:$R$5000,DelinquencyPerSector!$K$2:$K$5000, "="&amp;C57, DelinquencyPerSector!$J$2:$J$5000, "="&amp;B57,DelinquencyPerSector!$I$2:$I$5000,"="&amp;A57)</f>
        <v>0</v>
      </c>
      <c r="N57" s="282">
        <f t="shared" si="8"/>
        <v>0</v>
      </c>
      <c r="O57" s="283">
        <f>COUNTIFS(DelinquencyPerSector!$I:$I, "="&amp;A57, DelinquencyPerSector!$J:$J, "="&amp;B57,DelinquencyPerSector!$K:$K, "="&amp;C57,DelinquencyPerSector!$R:$R, "&gt;0")</f>
        <v>0</v>
      </c>
      <c r="P57" s="281">
        <v>79521722.519999996</v>
      </c>
      <c r="Q57" s="282">
        <f t="shared" si="9"/>
        <v>4.8003100730726143E-3</v>
      </c>
      <c r="R57" s="287">
        <f>COUNTIFS(DelinquencyPerSector!$I:$I, "="&amp;A57, DelinquencyPerSector!$J:$J, "="&amp;B57,DelinquencyPerSector!$K:$K, "="&amp;C57)</f>
        <v>6</v>
      </c>
      <c r="S57" s="288">
        <f>Table_ExternalData_18[[#This Row],[Total Port%]]-Table_ExternalData_18[[#This Row],[PAR 30+%]]</f>
        <v>3.899406337061222E-3</v>
      </c>
      <c r="T57" s="289">
        <f>Table_ExternalData_18[[#This Row],[Total Port%]]-Table_ExternalData_18[[#This Row],[PAR 90+%]]</f>
        <v>4.8003100730726143E-3</v>
      </c>
      <c r="U57" s="280"/>
      <c r="V57" s="280"/>
    </row>
    <row r="58" spans="1:22" ht="22.8" x14ac:dyDescent="0.4">
      <c r="A58" s="280" t="s">
        <v>25</v>
      </c>
      <c r="B58" s="280" t="s">
        <v>94</v>
      </c>
      <c r="C58" s="280" t="s">
        <v>26</v>
      </c>
      <c r="D58" s="281">
        <f>SUMIFS(DelinquencyPerSector!$L$2:$L$5000,DelinquencyPerSector!$K$2:$K$5000, "="&amp;C58, DelinquencyPerSector!$J$2:$J$5000, "="&amp;B58,DelinquencyPerSector!$I$2:$I$5000,"="&amp;A58)</f>
        <v>31830705.699999999</v>
      </c>
      <c r="E58" s="282">
        <f t="shared" si="5"/>
        <v>4.3156074125383992E-3</v>
      </c>
      <c r="F58" s="283">
        <f>COUNTIFS(DelinquencyPerSector!$I:$I, "="&amp;A58, DelinquencyPerSector!$J:$J, "="&amp;B58,DelinquencyPerSector!$K:$K, "="&amp;C58,DelinquencyPerSector!$L:$L, "&gt;0")</f>
        <v>5</v>
      </c>
      <c r="G58" s="284">
        <f>SUMIFS(DelinquencyPerSector!$N$2:$N$5000, DelinquencyPerSector!$K$2:$K$5000, "="&amp;C58, DelinquencyPerSector!$J$2:$J$5000, "="&amp;B58, DelinquencyPerSector!$I$2:$I$5000,"="&amp;A58)</f>
        <v>2009047.55</v>
      </c>
      <c r="H58" s="282">
        <f t="shared" si="6"/>
        <v>8.3192990290922311E-4</v>
      </c>
      <c r="I58" s="283">
        <f>COUNTIFS(DelinquencyPerSector!$I:$I, "="&amp;A58, DelinquencyPerSector!$J:$J, "="&amp;B58,DelinquencyPerSector!$K:$K, "="&amp;C58,DelinquencyPerSector!$N:$N, "&gt;0")</f>
        <v>3</v>
      </c>
      <c r="J58" s="281">
        <f>SUMIFS(DelinquencyPerSector!$P$2:$P$5000, DelinquencyPerSector!$K$2:$K$5000, "="&amp;C58, DelinquencyPerSector!$J$2:$J$5000, "="&amp;B58, DelinquencyPerSector!$I$2:$I$5000,"="&amp;A58)</f>
        <v>1157304.01</v>
      </c>
      <c r="K58" s="282">
        <f t="shared" si="7"/>
        <v>1.4217124983772569E-3</v>
      </c>
      <c r="L58" s="283">
        <f>COUNTIFS(DelinquencyPerSector!$I:$I, "="&amp;A58, DelinquencyPerSector!$J:$J, "="&amp;B58,DelinquencyPerSector!$K:$K, "="&amp;C58,DelinquencyPerSector!$P:$P, "&gt;0")</f>
        <v>2</v>
      </c>
      <c r="M58" s="285">
        <f>SUMIFS(DelinquencyPerSector!$R$2:$R$5000,DelinquencyPerSector!$K$2:$K$5000, "="&amp;C58, DelinquencyPerSector!$J$2:$J$5000, "="&amp;B58,DelinquencyPerSector!$I$2:$I$5000,"="&amp;A58)</f>
        <v>0</v>
      </c>
      <c r="N58" s="282">
        <f t="shared" si="8"/>
        <v>0</v>
      </c>
      <c r="O58" s="283">
        <f>COUNTIFS(DelinquencyPerSector!$I:$I, "="&amp;A58, DelinquencyPerSector!$J:$J, "="&amp;B58,DelinquencyPerSector!$K:$K, "="&amp;C58,DelinquencyPerSector!$R:$R, "&gt;0")</f>
        <v>0</v>
      </c>
      <c r="P58" s="281">
        <v>49432912.670000002</v>
      </c>
      <c r="Q58" s="282">
        <f t="shared" si="9"/>
        <v>2.9840061446284659E-3</v>
      </c>
      <c r="R58" s="287">
        <f>COUNTIFS(DelinquencyPerSector!$I:$I, "="&amp;A58, DelinquencyPerSector!$J:$J, "="&amp;B58,DelinquencyPerSector!$K:$K, "="&amp;C58)</f>
        <v>7</v>
      </c>
      <c r="S58" s="288">
        <f>Table_ExternalData_18[[#This Row],[Total Port%]]-Table_ExternalData_18[[#This Row],[PAR 30+%]]</f>
        <v>2.1520762417192429E-3</v>
      </c>
      <c r="T58" s="289">
        <f>Table_ExternalData_18[[#This Row],[Total Port%]]-Table_ExternalData_18[[#This Row],[PAR 90+%]]</f>
        <v>1.562293646251209E-3</v>
      </c>
      <c r="U58" s="280"/>
      <c r="V58" s="280"/>
    </row>
    <row r="59" spans="1:22" ht="22.8" x14ac:dyDescent="0.4">
      <c r="A59" s="280" t="s">
        <v>36</v>
      </c>
      <c r="B59" s="280" t="s">
        <v>1023</v>
      </c>
      <c r="C59" s="280" t="s">
        <v>26</v>
      </c>
      <c r="D59" s="281">
        <f>SUMIFS(DelinquencyPerSector!$L$2:$L$5000,DelinquencyPerSector!$K$2:$K$5000, "="&amp;C59, DelinquencyPerSector!$J$2:$J$5000, "="&amp;B59,DelinquencyPerSector!$I$2:$I$5000,"="&amp;A59)</f>
        <v>3733710.5</v>
      </c>
      <c r="E59" s="282">
        <f t="shared" si="5"/>
        <v>5.062165087364825E-4</v>
      </c>
      <c r="F59" s="283">
        <f>COUNTIFS(DelinquencyPerSector!$I:$I, "="&amp;A59, DelinquencyPerSector!$J:$J, "="&amp;B59,DelinquencyPerSector!$K:$K, "="&amp;C59,DelinquencyPerSector!$L:$L, "&gt;0")</f>
        <v>2</v>
      </c>
      <c r="G59" s="284">
        <f>SUMIFS(DelinquencyPerSector!$N$2:$N$5000, DelinquencyPerSector!$K$2:$K$5000, "="&amp;C59, DelinquencyPerSector!$J$2:$J$5000, "="&amp;B59, DelinquencyPerSector!$I$2:$I$5000,"="&amp;A59)</f>
        <v>1913905.56</v>
      </c>
      <c r="H59" s="282">
        <f t="shared" si="6"/>
        <v>7.9253239511838439E-4</v>
      </c>
      <c r="I59" s="283">
        <f>COUNTIFS(DelinquencyPerSector!$I:$I, "="&amp;A59, DelinquencyPerSector!$J:$J, "="&amp;B59,DelinquencyPerSector!$K:$K, "="&amp;C59,DelinquencyPerSector!$N:$N, "&gt;0")</f>
        <v>1</v>
      </c>
      <c r="J59" s="281">
        <f>SUMIFS(DelinquencyPerSector!$P$2:$P$5000, DelinquencyPerSector!$K$2:$K$5000, "="&amp;C59, DelinquencyPerSector!$J$2:$J$5000, "="&amp;B59, DelinquencyPerSector!$I$2:$I$5000,"="&amp;A59)</f>
        <v>0</v>
      </c>
      <c r="K59" s="282">
        <f t="shared" si="7"/>
        <v>0</v>
      </c>
      <c r="L59" s="283">
        <f>COUNTIFS(DelinquencyPerSector!$I:$I, "="&amp;A59, DelinquencyPerSector!$J:$J, "="&amp;B59,DelinquencyPerSector!$K:$K, "="&amp;C59,DelinquencyPerSector!$P:$P, "&gt;0")</f>
        <v>0</v>
      </c>
      <c r="M59" s="285">
        <f>SUMIFS(DelinquencyPerSector!$R$2:$R$5000,DelinquencyPerSector!$K$2:$K$5000, "="&amp;C59, DelinquencyPerSector!$J$2:$J$5000, "="&amp;B59,DelinquencyPerSector!$I$2:$I$5000,"="&amp;A59)</f>
        <v>0</v>
      </c>
      <c r="N59" s="282">
        <f t="shared" si="8"/>
        <v>0</v>
      </c>
      <c r="O59" s="283">
        <f>COUNTIFS(DelinquencyPerSector!$I:$I, "="&amp;A59, DelinquencyPerSector!$J:$J, "="&amp;B59,DelinquencyPerSector!$K:$K, "="&amp;C59,DelinquencyPerSector!$R:$R, "&gt;0")</f>
        <v>0</v>
      </c>
      <c r="P59" s="281">
        <v>30207587.190000001</v>
      </c>
      <c r="Q59" s="282">
        <f t="shared" si="9"/>
        <v>1.8234738946318321E-3</v>
      </c>
      <c r="R59" s="287">
        <f>COUNTIFS(DelinquencyPerSector!$I:$I, "="&amp;A59, DelinquencyPerSector!$J:$J, "="&amp;B59,DelinquencyPerSector!$K:$K, "="&amp;C59)</f>
        <v>4</v>
      </c>
      <c r="S59" s="288">
        <f>Table_ExternalData_18[[#This Row],[Total Port%]]-Table_ExternalData_18[[#This Row],[PAR 30+%]]</f>
        <v>1.0309414995134476E-3</v>
      </c>
      <c r="T59" s="289">
        <f>Table_ExternalData_18[[#This Row],[Total Port%]]-Table_ExternalData_18[[#This Row],[PAR 90+%]]</f>
        <v>1.8234738946318321E-3</v>
      </c>
      <c r="U59" s="280"/>
      <c r="V59" s="280"/>
    </row>
    <row r="60" spans="1:22" ht="22.8" x14ac:dyDescent="0.4">
      <c r="A60" s="280" t="s">
        <v>29</v>
      </c>
      <c r="B60" s="280" t="s">
        <v>30</v>
      </c>
      <c r="C60" s="280" t="s">
        <v>437</v>
      </c>
      <c r="D60" s="281">
        <f>SUMIFS(DelinquencyPerSector!$L$2:$L$5000,DelinquencyPerSector!$K$2:$K$5000, "="&amp;C60, DelinquencyPerSector!$J$2:$J$5000, "="&amp;B60,DelinquencyPerSector!$I$2:$I$5000,"="&amp;A60)</f>
        <v>14119966.73</v>
      </c>
      <c r="E60" s="282">
        <f t="shared" si="5"/>
        <v>1.9143852372956842E-3</v>
      </c>
      <c r="F60" s="283">
        <f>COUNTIFS(DelinquencyPerSector!$I:$I, "="&amp;A60, DelinquencyPerSector!$J:$J, "="&amp;B60,DelinquencyPerSector!$K:$K, "="&amp;C60,DelinquencyPerSector!$L:$L, "&gt;0")</f>
        <v>2</v>
      </c>
      <c r="G60" s="284">
        <f>SUMIFS(DelinquencyPerSector!$N$2:$N$5000, DelinquencyPerSector!$K$2:$K$5000, "="&amp;C60, DelinquencyPerSector!$J$2:$J$5000, "="&amp;B60, DelinquencyPerSector!$I$2:$I$5000,"="&amp;A60)</f>
        <v>1433967.43</v>
      </c>
      <c r="H60" s="282">
        <f t="shared" si="6"/>
        <v>5.937940019462894E-4</v>
      </c>
      <c r="I60" s="283">
        <f>COUNTIFS(DelinquencyPerSector!$I:$I, "="&amp;A60, DelinquencyPerSector!$J:$J, "="&amp;B60,DelinquencyPerSector!$K:$K, "="&amp;C60,DelinquencyPerSector!$N:$N, "&gt;0")</f>
        <v>1</v>
      </c>
      <c r="J60" s="281">
        <f>SUMIFS(DelinquencyPerSector!$P$2:$P$5000, DelinquencyPerSector!$K$2:$K$5000, "="&amp;C60, DelinquencyPerSector!$J$2:$J$5000, "="&amp;B60, DelinquencyPerSector!$I$2:$I$5000,"="&amp;A60)</f>
        <v>0</v>
      </c>
      <c r="K60" s="282">
        <f t="shared" si="7"/>
        <v>0</v>
      </c>
      <c r="L60" s="283">
        <f>COUNTIFS(DelinquencyPerSector!$I:$I, "="&amp;A60, DelinquencyPerSector!$J:$J, "="&amp;B60,DelinquencyPerSector!$K:$K, "="&amp;C60,DelinquencyPerSector!$P:$P, "&gt;0")</f>
        <v>0</v>
      </c>
      <c r="M60" s="285">
        <f>SUMIFS(DelinquencyPerSector!$R$2:$R$5000,DelinquencyPerSector!$K$2:$K$5000, "="&amp;C60, DelinquencyPerSector!$J$2:$J$5000, "="&amp;B60,DelinquencyPerSector!$I$2:$I$5000,"="&amp;A60)</f>
        <v>0</v>
      </c>
      <c r="N60" s="282">
        <f t="shared" si="8"/>
        <v>0</v>
      </c>
      <c r="O60" s="283">
        <f>COUNTIFS(DelinquencyPerSector!$I:$I, "="&amp;A60, DelinquencyPerSector!$J:$J, "="&amp;B60,DelinquencyPerSector!$K:$K, "="&amp;C60,DelinquencyPerSector!$R:$R, "&gt;0")</f>
        <v>0</v>
      </c>
      <c r="P60" s="281">
        <v>44416519.68</v>
      </c>
      <c r="Q60" s="282">
        <f t="shared" si="9"/>
        <v>2.6811927618533181E-3</v>
      </c>
      <c r="R60" s="287">
        <f>COUNTIFS(DelinquencyPerSector!$I:$I, "="&amp;A60, DelinquencyPerSector!$J:$J, "="&amp;B60,DelinquencyPerSector!$K:$K, "="&amp;C60)</f>
        <v>4</v>
      </c>
      <c r="S60" s="288">
        <f>Table_ExternalData_18[[#This Row],[Total Port%]]-Table_ExternalData_18[[#This Row],[PAR 30+%]]</f>
        <v>2.0873987599070287E-3</v>
      </c>
      <c r="T60" s="289">
        <f>Table_ExternalData_18[[#This Row],[Total Port%]]-Table_ExternalData_18[[#This Row],[PAR 90+%]]</f>
        <v>2.6811927618533181E-3</v>
      </c>
      <c r="U60" s="280"/>
      <c r="V60" s="280"/>
    </row>
    <row r="61" spans="1:22" ht="22.8" x14ac:dyDescent="0.4">
      <c r="A61" s="280" t="s">
        <v>46</v>
      </c>
      <c r="B61" s="280" t="s">
        <v>46</v>
      </c>
      <c r="C61" s="280" t="s">
        <v>1812</v>
      </c>
      <c r="D61" s="281">
        <f>SUMIFS(DelinquencyPerSector!$L$2:$L$5000,DelinquencyPerSector!$K$2:$K$5000, "="&amp;C61, DelinquencyPerSector!$J$2:$J$5000, "="&amp;B61,DelinquencyPerSector!$I$2:$I$5000,"="&amp;A61)</f>
        <v>19403351.68</v>
      </c>
      <c r="E61" s="282">
        <f t="shared" si="5"/>
        <v>2.6307066242108922E-3</v>
      </c>
      <c r="F61" s="283">
        <f>COUNTIFS(DelinquencyPerSector!$I:$I, "="&amp;A61, DelinquencyPerSector!$J:$J, "="&amp;B61,DelinquencyPerSector!$K:$K, "="&amp;C61,DelinquencyPerSector!$L:$L, "&gt;0")</f>
        <v>2</v>
      </c>
      <c r="G61" s="284">
        <f>SUMIFS(DelinquencyPerSector!$N$2:$N$5000, DelinquencyPerSector!$K$2:$K$5000, "="&amp;C61, DelinquencyPerSector!$J$2:$J$5000, "="&amp;B61, DelinquencyPerSector!$I$2:$I$5000,"="&amp;A61)</f>
        <v>1250308.6100000001</v>
      </c>
      <c r="H61" s="282">
        <f t="shared" si="6"/>
        <v>5.1774241009072469E-4</v>
      </c>
      <c r="I61" s="283">
        <f>COUNTIFS(DelinquencyPerSector!$I:$I, "="&amp;A61, DelinquencyPerSector!$J:$J, "="&amp;B61,DelinquencyPerSector!$K:$K, "="&amp;C61,DelinquencyPerSector!$N:$N, "&gt;0")</f>
        <v>1</v>
      </c>
      <c r="J61" s="281">
        <f>SUMIFS(DelinquencyPerSector!$P$2:$P$5000, DelinquencyPerSector!$K$2:$K$5000, "="&amp;C61, DelinquencyPerSector!$J$2:$J$5000, "="&amp;B61, DelinquencyPerSector!$I$2:$I$5000,"="&amp;A61)</f>
        <v>1250308.6100000001</v>
      </c>
      <c r="K61" s="282">
        <f t="shared" si="7"/>
        <v>1.535965798360705E-3</v>
      </c>
      <c r="L61" s="283">
        <f>COUNTIFS(DelinquencyPerSector!$I:$I, "="&amp;A61, DelinquencyPerSector!$J:$J, "="&amp;B61,DelinquencyPerSector!$K:$K, "="&amp;C61,DelinquencyPerSector!$P:$P, "&gt;0")</f>
        <v>1</v>
      </c>
      <c r="M61" s="285">
        <f>SUMIFS(DelinquencyPerSector!$R$2:$R$5000,DelinquencyPerSector!$K$2:$K$5000, "="&amp;C61, DelinquencyPerSector!$J$2:$J$5000, "="&amp;B61,DelinquencyPerSector!$I$2:$I$5000,"="&amp;A61)</f>
        <v>1250308.6100000001</v>
      </c>
      <c r="N61" s="282">
        <f t="shared" si="8"/>
        <v>6.4771366404645413E-3</v>
      </c>
      <c r="O61" s="283">
        <f>COUNTIFS(DelinquencyPerSector!$I:$I, "="&amp;A61, DelinquencyPerSector!$J:$J, "="&amp;B61,DelinquencyPerSector!$K:$K, "="&amp;C61,DelinquencyPerSector!$R:$R, "&gt;0")</f>
        <v>1</v>
      </c>
      <c r="P61" s="281">
        <v>19403351.68</v>
      </c>
      <c r="Q61" s="282">
        <f t="shared" si="9"/>
        <v>1.1712787596803987E-3</v>
      </c>
      <c r="R61" s="287">
        <f>COUNTIFS(DelinquencyPerSector!$I:$I, "="&amp;A61, DelinquencyPerSector!$J:$J, "="&amp;B61,DelinquencyPerSector!$K:$K, "="&amp;C61)</f>
        <v>2</v>
      </c>
      <c r="S61" s="288">
        <f>Table_ExternalData_18[[#This Row],[Total Port%]]-Table_ExternalData_18[[#This Row],[PAR 30+%]]</f>
        <v>6.5353634958967397E-4</v>
      </c>
      <c r="T61" s="289">
        <f>Table_ExternalData_18[[#This Row],[Total Port%]]-Table_ExternalData_18[[#This Row],[PAR 90+%]]</f>
        <v>-3.6468703868030639E-4</v>
      </c>
      <c r="U61" s="280"/>
      <c r="V61" s="280"/>
    </row>
    <row r="62" spans="1:22" ht="22.8" x14ac:dyDescent="0.4">
      <c r="A62" s="280" t="s">
        <v>45</v>
      </c>
      <c r="B62" s="280" t="s">
        <v>45</v>
      </c>
      <c r="C62" s="280" t="s">
        <v>1658</v>
      </c>
      <c r="D62" s="281">
        <f>SUMIFS(DelinquencyPerSector!$L$2:$L$5000,DelinquencyPerSector!$K$2:$K$5000, "="&amp;C62, DelinquencyPerSector!$J$2:$J$5000, "="&amp;B62,DelinquencyPerSector!$I$2:$I$5000,"="&amp;A62)</f>
        <v>31406996.879999999</v>
      </c>
      <c r="E62" s="282">
        <f t="shared" si="5"/>
        <v>4.258160966280379E-3</v>
      </c>
      <c r="F62" s="283">
        <f>COUNTIFS(DelinquencyPerSector!$I:$I, "="&amp;A62, DelinquencyPerSector!$J:$J, "="&amp;B62,DelinquencyPerSector!$K:$K, "="&amp;C62,DelinquencyPerSector!$L:$L, "&gt;0")</f>
        <v>4</v>
      </c>
      <c r="G62" s="284">
        <f>SUMIFS(DelinquencyPerSector!$N$2:$N$5000, DelinquencyPerSector!$K$2:$K$5000, "="&amp;C62, DelinquencyPerSector!$J$2:$J$5000, "="&amp;B62, DelinquencyPerSector!$I$2:$I$5000,"="&amp;A62)</f>
        <v>1139260.83</v>
      </c>
      <c r="H62" s="282">
        <f t="shared" si="6"/>
        <v>4.7175844677751946E-4</v>
      </c>
      <c r="I62" s="283">
        <f>COUNTIFS(DelinquencyPerSector!$I:$I, "="&amp;A62, DelinquencyPerSector!$J:$J, "="&amp;B62,DelinquencyPerSector!$K:$K, "="&amp;C62,DelinquencyPerSector!$N:$N, "&gt;0")</f>
        <v>1</v>
      </c>
      <c r="J62" s="281">
        <f>SUMIFS(DelinquencyPerSector!$P$2:$P$5000, DelinquencyPerSector!$K$2:$K$5000, "="&amp;C62, DelinquencyPerSector!$J$2:$J$5000, "="&amp;B62, DelinquencyPerSector!$I$2:$I$5000,"="&amp;A62)</f>
        <v>1139260.83</v>
      </c>
      <c r="K62" s="282">
        <f t="shared" si="7"/>
        <v>1.3995470048726844E-3</v>
      </c>
      <c r="L62" s="283">
        <f>COUNTIFS(DelinquencyPerSector!$I:$I, "="&amp;A62, DelinquencyPerSector!$J:$J, "="&amp;B62,DelinquencyPerSector!$K:$K, "="&amp;C62,DelinquencyPerSector!$P:$P, "&gt;0")</f>
        <v>1</v>
      </c>
      <c r="M62" s="285">
        <f>SUMIFS(DelinquencyPerSector!$R$2:$R$5000,DelinquencyPerSector!$K$2:$K$5000, "="&amp;C62, DelinquencyPerSector!$J$2:$J$5000, "="&amp;B62,DelinquencyPerSector!$I$2:$I$5000,"="&amp;A62)</f>
        <v>0</v>
      </c>
      <c r="N62" s="282">
        <f t="shared" si="8"/>
        <v>0</v>
      </c>
      <c r="O62" s="283">
        <f>COUNTIFS(DelinquencyPerSector!$I:$I, "="&amp;A62, DelinquencyPerSector!$J:$J, "="&amp;B62,DelinquencyPerSector!$K:$K, "="&amp;C62,DelinquencyPerSector!$R:$R, "&gt;0")</f>
        <v>0</v>
      </c>
      <c r="P62" s="281">
        <v>55755838.979999997</v>
      </c>
      <c r="Q62" s="282">
        <f t="shared" si="9"/>
        <v>3.3656881039139329E-3</v>
      </c>
      <c r="R62" s="287">
        <f>COUNTIFS(DelinquencyPerSector!$I:$I, "="&amp;A62, DelinquencyPerSector!$J:$J, "="&amp;B62,DelinquencyPerSector!$K:$K, "="&amp;C62)</f>
        <v>5</v>
      </c>
      <c r="S62" s="288">
        <f>Table_ExternalData_18[[#This Row],[Total Port%]]-Table_ExternalData_18[[#This Row],[PAR 30+%]]</f>
        <v>2.8939296571364134E-3</v>
      </c>
      <c r="T62" s="289">
        <f>Table_ExternalData_18[[#This Row],[Total Port%]]-Table_ExternalData_18[[#This Row],[PAR 90+%]]</f>
        <v>1.9661410990412485E-3</v>
      </c>
      <c r="U62" s="280"/>
      <c r="V62" s="280"/>
    </row>
    <row r="63" spans="1:22" ht="22.8" x14ac:dyDescent="0.4">
      <c r="A63" s="280" t="s">
        <v>25</v>
      </c>
      <c r="B63" s="280" t="s">
        <v>290</v>
      </c>
      <c r="C63" s="280" t="s">
        <v>1824</v>
      </c>
      <c r="D63" s="281">
        <f>SUMIFS(DelinquencyPerSector!$L$2:$L$5000,DelinquencyPerSector!$K$2:$K$5000, "="&amp;C63, DelinquencyPerSector!$J$2:$J$5000, "="&amp;B63,DelinquencyPerSector!$I$2:$I$5000,"="&amp;A63)</f>
        <v>22313043.84</v>
      </c>
      <c r="E63" s="282">
        <f t="shared" si="5"/>
        <v>3.0252027177706674E-3</v>
      </c>
      <c r="F63" s="283">
        <f>COUNTIFS(DelinquencyPerSector!$I:$I, "="&amp;A63, DelinquencyPerSector!$J:$J, "="&amp;B63,DelinquencyPerSector!$K:$K, "="&amp;C63,DelinquencyPerSector!$L:$L, "&gt;0")</f>
        <v>3</v>
      </c>
      <c r="G63" s="284">
        <f>SUMIFS(DelinquencyPerSector!$N$2:$N$5000, DelinquencyPerSector!$K$2:$K$5000, "="&amp;C63, DelinquencyPerSector!$J$2:$J$5000, "="&amp;B63, DelinquencyPerSector!$I$2:$I$5000,"="&amp;A63)</f>
        <v>826253.68</v>
      </c>
      <c r="H63" s="282">
        <f t="shared" si="6"/>
        <v>3.4214478586173247E-4</v>
      </c>
      <c r="I63" s="283">
        <f>COUNTIFS(DelinquencyPerSector!$I:$I, "="&amp;A63, DelinquencyPerSector!$J:$J, "="&amp;B63,DelinquencyPerSector!$K:$K, "="&amp;C63,DelinquencyPerSector!$N:$N, "&gt;0")</f>
        <v>1</v>
      </c>
      <c r="J63" s="281">
        <f>SUMIFS(DelinquencyPerSector!$P$2:$P$5000, DelinquencyPerSector!$K$2:$K$5000, "="&amp;C63, DelinquencyPerSector!$J$2:$J$5000, "="&amp;B63, DelinquencyPerSector!$I$2:$I$5000,"="&amp;A63)</f>
        <v>826253.68</v>
      </c>
      <c r="K63" s="282">
        <f t="shared" si="7"/>
        <v>1.0150273165356115E-3</v>
      </c>
      <c r="L63" s="283">
        <f>COUNTIFS(DelinquencyPerSector!$I:$I, "="&amp;A63, DelinquencyPerSector!$J:$J, "="&amp;B63,DelinquencyPerSector!$K:$K, "="&amp;C63,DelinquencyPerSector!$P:$P, "&gt;0")</f>
        <v>1</v>
      </c>
      <c r="M63" s="285">
        <f>SUMIFS(DelinquencyPerSector!$R$2:$R$5000,DelinquencyPerSector!$K$2:$K$5000, "="&amp;C63, DelinquencyPerSector!$J$2:$J$5000, "="&amp;B63,DelinquencyPerSector!$I$2:$I$5000,"="&amp;A63)</f>
        <v>0</v>
      </c>
      <c r="N63" s="282">
        <f t="shared" si="8"/>
        <v>0</v>
      </c>
      <c r="O63" s="283">
        <f>COUNTIFS(DelinquencyPerSector!$I:$I, "="&amp;A63, DelinquencyPerSector!$J:$J, "="&amp;B63,DelinquencyPerSector!$K:$K, "="&amp;C63,DelinquencyPerSector!$R:$R, "&gt;0")</f>
        <v>0</v>
      </c>
      <c r="P63" s="281">
        <v>27161723.390000001</v>
      </c>
      <c r="Q63" s="282">
        <f t="shared" si="9"/>
        <v>1.6396110428598528E-3</v>
      </c>
      <c r="R63" s="287">
        <f>COUNTIFS(DelinquencyPerSector!$I:$I, "="&amp;A63, DelinquencyPerSector!$J:$J, "="&amp;B63,DelinquencyPerSector!$K:$K, "="&amp;C63)</f>
        <v>5</v>
      </c>
      <c r="S63" s="288">
        <f>Table_ExternalData_18[[#This Row],[Total Port%]]-Table_ExternalData_18[[#This Row],[PAR 30+%]]</f>
        <v>1.2974662569981204E-3</v>
      </c>
      <c r="T63" s="289">
        <f>Table_ExternalData_18[[#This Row],[Total Port%]]-Table_ExternalData_18[[#This Row],[PAR 90+%]]</f>
        <v>6.2458372632424137E-4</v>
      </c>
      <c r="U63" s="280"/>
      <c r="V63" s="280"/>
    </row>
    <row r="64" spans="1:22" ht="22.8" x14ac:dyDescent="0.4">
      <c r="A64" s="280" t="s">
        <v>25</v>
      </c>
      <c r="B64" s="280" t="s">
        <v>286</v>
      </c>
      <c r="C64" s="280" t="s">
        <v>287</v>
      </c>
      <c r="D64" s="281">
        <f>SUMIFS(DelinquencyPerSector!$L$2:$L$5000,DelinquencyPerSector!$K$2:$K$5000, "="&amp;C64, DelinquencyPerSector!$J$2:$J$5000, "="&amp;B64,DelinquencyPerSector!$I$2:$I$5000,"="&amp;A64)</f>
        <v>605533.28</v>
      </c>
      <c r="E64" s="282">
        <f t="shared" si="5"/>
        <v>8.2098208451177705E-5</v>
      </c>
      <c r="F64" s="283">
        <f>COUNTIFS(DelinquencyPerSector!$I:$I, "="&amp;A64, DelinquencyPerSector!$J:$J, "="&amp;B64,DelinquencyPerSector!$K:$K, "="&amp;C64,DelinquencyPerSector!$L:$L, "&gt;0")</f>
        <v>1</v>
      </c>
      <c r="G64" s="284">
        <f>SUMIFS(DelinquencyPerSector!$N$2:$N$5000, DelinquencyPerSector!$K$2:$K$5000, "="&amp;C64, DelinquencyPerSector!$J$2:$J$5000, "="&amp;B64, DelinquencyPerSector!$I$2:$I$5000,"="&amp;A64)</f>
        <v>605533.28</v>
      </c>
      <c r="H64" s="282">
        <f t="shared" si="6"/>
        <v>2.507463015689715E-4</v>
      </c>
      <c r="I64" s="283">
        <f>COUNTIFS(DelinquencyPerSector!$I:$I, "="&amp;A64, DelinquencyPerSector!$J:$J, "="&amp;B64,DelinquencyPerSector!$K:$K, "="&amp;C64,DelinquencyPerSector!$N:$N, "&gt;0")</f>
        <v>1</v>
      </c>
      <c r="J64" s="281">
        <f>SUMIFS(DelinquencyPerSector!$P$2:$P$5000, DelinquencyPerSector!$K$2:$K$5000, "="&amp;C64, DelinquencyPerSector!$J$2:$J$5000, "="&amp;B64, DelinquencyPerSector!$I$2:$I$5000,"="&amp;A64)</f>
        <v>605533.28</v>
      </c>
      <c r="K64" s="282">
        <f t="shared" si="7"/>
        <v>7.4387907146314565E-4</v>
      </c>
      <c r="L64" s="283">
        <f>COUNTIFS(DelinquencyPerSector!$I:$I, "="&amp;A64, DelinquencyPerSector!$J:$J, "="&amp;B64,DelinquencyPerSector!$K:$K, "="&amp;C64,DelinquencyPerSector!$P:$P, "&gt;0")</f>
        <v>1</v>
      </c>
      <c r="M64" s="285">
        <f>SUMIFS(DelinquencyPerSector!$R$2:$R$5000,DelinquencyPerSector!$K$2:$K$5000, "="&amp;C64, DelinquencyPerSector!$J$2:$J$5000, "="&amp;B64,DelinquencyPerSector!$I$2:$I$5000,"="&amp;A64)</f>
        <v>0</v>
      </c>
      <c r="N64" s="282">
        <f t="shared" si="8"/>
        <v>0</v>
      </c>
      <c r="O64" s="283">
        <f>COUNTIFS(DelinquencyPerSector!$I:$I, "="&amp;A64, DelinquencyPerSector!$J:$J, "="&amp;B64,DelinquencyPerSector!$K:$K, "="&amp;C64,DelinquencyPerSector!$R:$R, "&gt;0")</f>
        <v>0</v>
      </c>
      <c r="P64" s="281">
        <v>6306389.8899999997</v>
      </c>
      <c r="Q64" s="282">
        <f t="shared" si="9"/>
        <v>3.8068374218222723E-4</v>
      </c>
      <c r="R64" s="287">
        <f>COUNTIFS(DelinquencyPerSector!$I:$I, "="&amp;A64, DelinquencyPerSector!$J:$J, "="&amp;B64,DelinquencyPerSector!$K:$K, "="&amp;C64)</f>
        <v>3</v>
      </c>
      <c r="S64" s="288">
        <f>Table_ExternalData_18[[#This Row],[Total Port%]]-Table_ExternalData_18[[#This Row],[PAR 30+%]]</f>
        <v>1.2993744061325573E-4</v>
      </c>
      <c r="T64" s="289">
        <f>Table_ExternalData_18[[#This Row],[Total Port%]]-Table_ExternalData_18[[#This Row],[PAR 90+%]]</f>
        <v>-3.6319532928091842E-4</v>
      </c>
      <c r="U64" s="280"/>
      <c r="V64" s="280"/>
    </row>
    <row r="65" spans="1:22" ht="22.8" x14ac:dyDescent="0.4">
      <c r="A65" s="280" t="s">
        <v>46</v>
      </c>
      <c r="B65" s="280" t="s">
        <v>46</v>
      </c>
      <c r="C65" s="280" t="s">
        <v>112</v>
      </c>
      <c r="D65" s="281">
        <f>SUMIFS(DelinquencyPerSector!$L$2:$L$5000,DelinquencyPerSector!$K$2:$K$5000, "="&amp;C65, DelinquencyPerSector!$J$2:$J$5000, "="&amp;B65,DelinquencyPerSector!$I$2:$I$5000,"="&amp;A65)</f>
        <v>7127118.5800000001</v>
      </c>
      <c r="E65" s="282">
        <f t="shared" si="5"/>
        <v>9.662948118014283E-4</v>
      </c>
      <c r="F65" s="283">
        <f>COUNTIFS(DelinquencyPerSector!$I:$I, "="&amp;A65, DelinquencyPerSector!$J:$J, "="&amp;B65,DelinquencyPerSector!$K:$K, "="&amp;C65,DelinquencyPerSector!$L:$L, "&gt;0")</f>
        <v>3</v>
      </c>
      <c r="G65" s="284">
        <f>SUMIFS(DelinquencyPerSector!$N$2:$N$5000, DelinquencyPerSector!$K$2:$K$5000, "="&amp;C65, DelinquencyPerSector!$J$2:$J$5000, "="&amp;B65, DelinquencyPerSector!$I$2:$I$5000,"="&amp;A65)</f>
        <v>465821.2</v>
      </c>
      <c r="H65" s="282">
        <f t="shared" si="6"/>
        <v>1.9289268971710389E-4</v>
      </c>
      <c r="I65" s="283">
        <f>COUNTIFS(DelinquencyPerSector!$I:$I, "="&amp;A65, DelinquencyPerSector!$J:$J, "="&amp;B65,DelinquencyPerSector!$K:$K, "="&amp;C65,DelinquencyPerSector!$N:$N, "&gt;0")</f>
        <v>1</v>
      </c>
      <c r="J65" s="281">
        <f>SUMIFS(DelinquencyPerSector!$P$2:$P$5000, DelinquencyPerSector!$K$2:$K$5000, "="&amp;C65, DelinquencyPerSector!$J$2:$J$5000, "="&amp;B65, DelinquencyPerSector!$I$2:$I$5000,"="&amp;A65)</f>
        <v>0</v>
      </c>
      <c r="K65" s="282">
        <f t="shared" si="7"/>
        <v>0</v>
      </c>
      <c r="L65" s="283">
        <f>COUNTIFS(DelinquencyPerSector!$I:$I, "="&amp;A65, DelinquencyPerSector!$J:$J, "="&amp;B65,DelinquencyPerSector!$K:$K, "="&amp;C65,DelinquencyPerSector!$P:$P, "&gt;0")</f>
        <v>0</v>
      </c>
      <c r="M65" s="285">
        <f>SUMIFS(DelinquencyPerSector!$R$2:$R$5000,DelinquencyPerSector!$K$2:$K$5000, "="&amp;C65, DelinquencyPerSector!$J$2:$J$5000, "="&amp;B65,DelinquencyPerSector!$I$2:$I$5000,"="&amp;A65)</f>
        <v>0</v>
      </c>
      <c r="N65" s="282">
        <f t="shared" si="8"/>
        <v>0</v>
      </c>
      <c r="O65" s="283">
        <f>COUNTIFS(DelinquencyPerSector!$I:$I, "="&amp;A65, DelinquencyPerSector!$J:$J, "="&amp;B65,DelinquencyPerSector!$K:$K, "="&amp;C65,DelinquencyPerSector!$R:$R, "&gt;0")</f>
        <v>0</v>
      </c>
      <c r="P65" s="281">
        <v>168533803.90000001</v>
      </c>
      <c r="Q65" s="282">
        <f t="shared" si="9"/>
        <v>1.0173503426198353E-2</v>
      </c>
      <c r="R65" s="287">
        <f>COUNTIFS(DelinquencyPerSector!$I:$I, "="&amp;A65, DelinquencyPerSector!$J:$J, "="&amp;B65,DelinquencyPerSector!$K:$K, "="&amp;C65)</f>
        <v>8</v>
      </c>
      <c r="S65" s="288">
        <f>Table_ExternalData_18[[#This Row],[Total Port%]]-Table_ExternalData_18[[#This Row],[PAR 30+%]]</f>
        <v>9.9806107364812484E-3</v>
      </c>
      <c r="T65" s="289">
        <f>Table_ExternalData_18[[#This Row],[Total Port%]]-Table_ExternalData_18[[#This Row],[PAR 90+%]]</f>
        <v>1.0173503426198353E-2</v>
      </c>
      <c r="U65" s="280"/>
      <c r="V65" s="280"/>
    </row>
    <row r="66" spans="1:22" ht="22.8" x14ac:dyDescent="0.4">
      <c r="A66" s="280" t="s">
        <v>27</v>
      </c>
      <c r="B66" s="280" t="s">
        <v>81</v>
      </c>
      <c r="C66" s="280"/>
      <c r="D66" s="281">
        <f>SUMIFS(DelinquencyPerSector!$L$2:$L$5000,DelinquencyPerSector!$K$2:$K$5000, "="&amp;C66, DelinquencyPerSector!$J$2:$J$5000, "="&amp;B66,DelinquencyPerSector!$I$2:$I$5000,"="&amp;A66)</f>
        <v>425686.41</v>
      </c>
      <c r="E66" s="282">
        <f t="shared" si="5"/>
        <v>5.7714567930954167E-5</v>
      </c>
      <c r="F66" s="283">
        <f>COUNTIFS(DelinquencyPerSector!$I:$I, "="&amp;A66, DelinquencyPerSector!$J:$J, "="&amp;B66,DelinquencyPerSector!$K:$K, "="&amp;C66,DelinquencyPerSector!$L:$L, "&gt;0")</f>
        <v>1</v>
      </c>
      <c r="G66" s="284">
        <f>SUMIFS(DelinquencyPerSector!$N$2:$N$5000, DelinquencyPerSector!$K$2:$K$5000, "="&amp;C66, DelinquencyPerSector!$J$2:$J$5000, "="&amp;B66, DelinquencyPerSector!$I$2:$I$5000,"="&amp;A66)</f>
        <v>425686.41</v>
      </c>
      <c r="H66" s="282">
        <f t="shared" si="6"/>
        <v>1.7627320654559704E-4</v>
      </c>
      <c r="I66" s="283">
        <f>COUNTIFS(DelinquencyPerSector!$I:$I, "="&amp;A66, DelinquencyPerSector!$J:$J, "="&amp;B66,DelinquencyPerSector!$K:$K, "="&amp;C66,DelinquencyPerSector!$N:$N, "&gt;0")</f>
        <v>1</v>
      </c>
      <c r="J66" s="281">
        <f>SUMIFS(DelinquencyPerSector!$P$2:$P$5000, DelinquencyPerSector!$K$2:$K$5000, "="&amp;C66, DelinquencyPerSector!$J$2:$J$5000, "="&amp;B66, DelinquencyPerSector!$I$2:$I$5000,"="&amp;A66)</f>
        <v>425686.41</v>
      </c>
      <c r="K66" s="282">
        <f t="shared" si="7"/>
        <v>5.2294270499101206E-4</v>
      </c>
      <c r="L66" s="283">
        <f>COUNTIFS(DelinquencyPerSector!$I:$I, "="&amp;A66, DelinquencyPerSector!$J:$J, "="&amp;B66,DelinquencyPerSector!$K:$K, "="&amp;C66,DelinquencyPerSector!$P:$P, "&gt;0")</f>
        <v>1</v>
      </c>
      <c r="M66" s="285">
        <f>SUMIFS(DelinquencyPerSector!$R$2:$R$5000,DelinquencyPerSector!$K$2:$K$5000, "="&amp;C66, DelinquencyPerSector!$J$2:$J$5000, "="&amp;B66,DelinquencyPerSector!$I$2:$I$5000,"="&amp;A66)</f>
        <v>0</v>
      </c>
      <c r="N66" s="282">
        <f t="shared" si="8"/>
        <v>0</v>
      </c>
      <c r="O66" s="283">
        <f>COUNTIFS(DelinquencyPerSector!$I:$I, "="&amp;A66, DelinquencyPerSector!$J:$J, "="&amp;B66,DelinquencyPerSector!$K:$K, "="&amp;C66,DelinquencyPerSector!$R:$R, "&gt;0")</f>
        <v>0</v>
      </c>
      <c r="P66" s="281">
        <v>425686.41</v>
      </c>
      <c r="Q66" s="282">
        <f t="shared" si="9"/>
        <v>2.5696460000337513E-5</v>
      </c>
      <c r="R66" s="287">
        <f>COUNTIFS(DelinquencyPerSector!$I:$I, "="&amp;A66, DelinquencyPerSector!$J:$J, "="&amp;B66,DelinquencyPerSector!$K:$K, "="&amp;C66)</f>
        <v>1</v>
      </c>
      <c r="S66" s="288">
        <f>Table_ExternalData_18[[#This Row],[Total Port%]]-Table_ExternalData_18[[#This Row],[PAR 30+%]]</f>
        <v>-1.5057674654525953E-4</v>
      </c>
      <c r="T66" s="289">
        <f>Table_ExternalData_18[[#This Row],[Total Port%]]-Table_ExternalData_18[[#This Row],[PAR 90+%]]</f>
        <v>-4.9724624499067457E-4</v>
      </c>
      <c r="U66" s="280"/>
      <c r="V66" s="280"/>
    </row>
    <row r="67" spans="1:22" ht="22.8" x14ac:dyDescent="0.4">
      <c r="A67" s="280" t="s">
        <v>29</v>
      </c>
      <c r="B67" s="280" t="s">
        <v>30</v>
      </c>
      <c r="C67" s="280" t="s">
        <v>1820</v>
      </c>
      <c r="D67" s="281">
        <f>SUMIFS(DelinquencyPerSector!$L$2:$L$5000,DelinquencyPerSector!$K$2:$K$5000, "="&amp;C67, DelinquencyPerSector!$J$2:$J$5000, "="&amp;B67,DelinquencyPerSector!$I$2:$I$5000,"="&amp;A67)</f>
        <v>309379.08</v>
      </c>
      <c r="E67" s="282">
        <f t="shared" si="5"/>
        <v>4.1945618910117674E-5</v>
      </c>
      <c r="F67" s="283">
        <f>COUNTIFS(DelinquencyPerSector!$I:$I, "="&amp;A67, DelinquencyPerSector!$J:$J, "="&amp;B67,DelinquencyPerSector!$K:$K, "="&amp;C67,DelinquencyPerSector!$L:$L, "&gt;0")</f>
        <v>1</v>
      </c>
      <c r="G67" s="284">
        <f>SUMIFS(DelinquencyPerSector!$N$2:$N$5000, DelinquencyPerSector!$K$2:$K$5000, "="&amp;C67, DelinquencyPerSector!$J$2:$J$5000, "="&amp;B67, DelinquencyPerSector!$I$2:$I$5000,"="&amp;A67)</f>
        <v>309379.08</v>
      </c>
      <c r="H67" s="282">
        <f t="shared" si="6"/>
        <v>1.2811130726425303E-4</v>
      </c>
      <c r="I67" s="283">
        <f>COUNTIFS(DelinquencyPerSector!$I:$I, "="&amp;A67, DelinquencyPerSector!$J:$J, "="&amp;B67,DelinquencyPerSector!$K:$K, "="&amp;C67,DelinquencyPerSector!$N:$N, "&gt;0")</f>
        <v>1</v>
      </c>
      <c r="J67" s="281">
        <f>SUMIFS(DelinquencyPerSector!$P$2:$P$5000, DelinquencyPerSector!$K$2:$K$5000, "="&amp;C67, DelinquencyPerSector!$J$2:$J$5000, "="&amp;B67, DelinquencyPerSector!$I$2:$I$5000,"="&amp;A67)</f>
        <v>309379.08</v>
      </c>
      <c r="K67" s="282">
        <f t="shared" si="7"/>
        <v>3.8006271556292041E-4</v>
      </c>
      <c r="L67" s="283">
        <f>COUNTIFS(DelinquencyPerSector!$I:$I, "="&amp;A67, DelinquencyPerSector!$J:$J, "="&amp;B67,DelinquencyPerSector!$K:$K, "="&amp;C67,DelinquencyPerSector!$P:$P, "&gt;0")</f>
        <v>1</v>
      </c>
      <c r="M67" s="285">
        <f>SUMIFS(DelinquencyPerSector!$R$2:$R$5000,DelinquencyPerSector!$K$2:$K$5000, "="&amp;C67, DelinquencyPerSector!$J$2:$J$5000, "="&amp;B67,DelinquencyPerSector!$I$2:$I$5000,"="&amp;A67)</f>
        <v>0</v>
      </c>
      <c r="N67" s="282">
        <f t="shared" si="8"/>
        <v>0</v>
      </c>
      <c r="O67" s="283">
        <f>COUNTIFS(DelinquencyPerSector!$I:$I, "="&amp;A67, DelinquencyPerSector!$J:$J, "="&amp;B67,DelinquencyPerSector!$K:$K, "="&amp;C67,DelinquencyPerSector!$R:$R, "&gt;0")</f>
        <v>0</v>
      </c>
      <c r="P67" s="281">
        <v>309379.08</v>
      </c>
      <c r="Q67" s="282">
        <f t="shared" si="9"/>
        <v>1.8675595385253713E-5</v>
      </c>
      <c r="R67" s="287">
        <f>COUNTIFS(DelinquencyPerSector!$I:$I, "="&amp;A67, DelinquencyPerSector!$J:$J, "="&amp;B67,DelinquencyPerSector!$K:$K, "="&amp;C67)</f>
        <v>1</v>
      </c>
      <c r="S67" s="288">
        <f>Table_ExternalData_18[[#This Row],[Total Port%]]-Table_ExternalData_18[[#This Row],[PAR 30+%]]</f>
        <v>-1.0943571187899931E-4</v>
      </c>
      <c r="T67" s="289">
        <f>Table_ExternalData_18[[#This Row],[Total Port%]]-Table_ExternalData_18[[#This Row],[PAR 90+%]]</f>
        <v>-3.6138712017766672E-4</v>
      </c>
      <c r="U67" s="280"/>
      <c r="V67" s="280"/>
    </row>
    <row r="68" spans="1:22" ht="22.8" x14ac:dyDescent="0.4">
      <c r="A68" s="280" t="s">
        <v>36</v>
      </c>
      <c r="B68" s="280" t="s">
        <v>97</v>
      </c>
      <c r="C68" s="280" t="s">
        <v>1809</v>
      </c>
      <c r="D68" s="281">
        <f>SUMIFS(DelinquencyPerSector!$L$2:$L$5000,DelinquencyPerSector!$K$2:$K$5000, "="&amp;C68, DelinquencyPerSector!$J$2:$J$5000, "="&amp;B68,DelinquencyPerSector!$I$2:$I$5000,"="&amp;A68)</f>
        <v>0</v>
      </c>
      <c r="E68" s="282">
        <f t="shared" si="5"/>
        <v>0</v>
      </c>
      <c r="F68" s="283">
        <f>COUNTIFS(DelinquencyPerSector!$I:$I, "="&amp;A68, DelinquencyPerSector!$J:$J, "="&amp;B68,DelinquencyPerSector!$K:$K, "="&amp;C68,DelinquencyPerSector!$L:$L, "&gt;0")</f>
        <v>0</v>
      </c>
      <c r="G68" s="284">
        <f>SUMIFS(DelinquencyPerSector!$N$2:$N$5000, DelinquencyPerSector!$K$2:$K$5000, "="&amp;C68, DelinquencyPerSector!$J$2:$J$5000, "="&amp;B68, DelinquencyPerSector!$I$2:$I$5000,"="&amp;A68)</f>
        <v>0</v>
      </c>
      <c r="H68" s="282">
        <f t="shared" si="6"/>
        <v>0</v>
      </c>
      <c r="I68" s="283">
        <f>COUNTIFS(DelinquencyPerSector!$I:$I, "="&amp;A68, DelinquencyPerSector!$J:$J, "="&amp;B68,DelinquencyPerSector!$K:$K, "="&amp;C68,DelinquencyPerSector!$N:$N, "&gt;0")</f>
        <v>0</v>
      </c>
      <c r="J68" s="281">
        <f>SUMIFS(DelinquencyPerSector!$P$2:$P$5000, DelinquencyPerSector!$K$2:$K$5000, "="&amp;C68, DelinquencyPerSector!$J$2:$J$5000, "="&amp;B68, DelinquencyPerSector!$I$2:$I$5000,"="&amp;A68)</f>
        <v>0</v>
      </c>
      <c r="K68" s="282">
        <f t="shared" si="7"/>
        <v>0</v>
      </c>
      <c r="L68" s="283">
        <f>COUNTIFS(DelinquencyPerSector!$I:$I, "="&amp;A68, DelinquencyPerSector!$J:$J, "="&amp;B68,DelinquencyPerSector!$K:$K, "="&amp;C68,DelinquencyPerSector!$P:$P, "&gt;0")</f>
        <v>0</v>
      </c>
      <c r="M68" s="285">
        <f>SUMIFS(DelinquencyPerSector!$R$2:$R$5000,DelinquencyPerSector!$K$2:$K$5000, "="&amp;C68, DelinquencyPerSector!$J$2:$J$5000, "="&amp;B68,DelinquencyPerSector!$I$2:$I$5000,"="&amp;A68)</f>
        <v>0</v>
      </c>
      <c r="N68" s="282">
        <f t="shared" si="8"/>
        <v>0</v>
      </c>
      <c r="O68" s="283">
        <f>COUNTIFS(DelinquencyPerSector!$I:$I, "="&amp;A68, DelinquencyPerSector!$J:$J, "="&amp;B68,DelinquencyPerSector!$K:$K, "="&amp;C68,DelinquencyPerSector!$R:$R, "&gt;0")</f>
        <v>0</v>
      </c>
      <c r="P68" s="281">
        <v>18294672.07</v>
      </c>
      <c r="Q68" s="282">
        <f t="shared" si="9"/>
        <v>1.1043535758307316E-3</v>
      </c>
      <c r="R68" s="287">
        <f>COUNTIFS(DelinquencyPerSector!$I:$I, "="&amp;A68, DelinquencyPerSector!$J:$J, "="&amp;B68,DelinquencyPerSector!$K:$K, "="&amp;C68)</f>
        <v>1</v>
      </c>
      <c r="S68" s="288">
        <f>Table_ExternalData_18[[#This Row],[Total Port%]]-Table_ExternalData_18[[#This Row],[PAR 30+%]]</f>
        <v>1.1043535758307316E-3</v>
      </c>
      <c r="T68" s="289">
        <f>Table_ExternalData_18[[#This Row],[Total Port%]]-Table_ExternalData_18[[#This Row],[PAR 90+%]]</f>
        <v>1.1043535758307316E-3</v>
      </c>
      <c r="U68" s="280"/>
      <c r="V68" s="280"/>
    </row>
    <row r="69" spans="1:22" ht="22.8" x14ac:dyDescent="0.4">
      <c r="A69" s="280" t="s">
        <v>36</v>
      </c>
      <c r="B69" s="280" t="s">
        <v>97</v>
      </c>
      <c r="C69" s="280" t="s">
        <v>5234</v>
      </c>
      <c r="D69" s="281">
        <f>SUMIFS(DelinquencyPerSector!$L$2:$L$5000,DelinquencyPerSector!$K$2:$K$5000, "="&amp;C69, DelinquencyPerSector!$J$2:$J$5000, "="&amp;B69,DelinquencyPerSector!$I$2:$I$5000,"="&amp;A69)</f>
        <v>0</v>
      </c>
      <c r="E69" s="282">
        <f t="shared" si="5"/>
        <v>0</v>
      </c>
      <c r="F69" s="283">
        <f>COUNTIFS(DelinquencyPerSector!$I:$I, "="&amp;A69, DelinquencyPerSector!$J:$J, "="&amp;B69,DelinquencyPerSector!$K:$K, "="&amp;C69,DelinquencyPerSector!$L:$L, "&gt;0")</f>
        <v>0</v>
      </c>
      <c r="G69" s="284">
        <f>SUMIFS(DelinquencyPerSector!$N$2:$N$5000, DelinquencyPerSector!$K$2:$K$5000, "="&amp;C69, DelinquencyPerSector!$J$2:$J$5000, "="&amp;B69, DelinquencyPerSector!$I$2:$I$5000,"="&amp;A69)</f>
        <v>0</v>
      </c>
      <c r="H69" s="282">
        <f t="shared" si="6"/>
        <v>0</v>
      </c>
      <c r="I69" s="283">
        <f>COUNTIFS(DelinquencyPerSector!$I:$I, "="&amp;A69, DelinquencyPerSector!$J:$J, "="&amp;B69,DelinquencyPerSector!$K:$K, "="&amp;C69,DelinquencyPerSector!$N:$N, "&gt;0")</f>
        <v>0</v>
      </c>
      <c r="J69" s="281">
        <f>SUMIFS(DelinquencyPerSector!$P$2:$P$5000, DelinquencyPerSector!$K$2:$K$5000, "="&amp;C69, DelinquencyPerSector!$J$2:$J$5000, "="&amp;B69, DelinquencyPerSector!$I$2:$I$5000,"="&amp;A69)</f>
        <v>0</v>
      </c>
      <c r="K69" s="282">
        <f t="shared" si="7"/>
        <v>0</v>
      </c>
      <c r="L69" s="283">
        <f>COUNTIFS(DelinquencyPerSector!$I:$I, "="&amp;A69, DelinquencyPerSector!$J:$J, "="&amp;B69,DelinquencyPerSector!$K:$K, "="&amp;C69,DelinquencyPerSector!$P:$P, "&gt;0")</f>
        <v>0</v>
      </c>
      <c r="M69" s="285">
        <f>SUMIFS(DelinquencyPerSector!$R$2:$R$5000,DelinquencyPerSector!$K$2:$K$5000, "="&amp;C69, DelinquencyPerSector!$J$2:$J$5000, "="&amp;B69,DelinquencyPerSector!$I$2:$I$5000,"="&amp;A69)</f>
        <v>0</v>
      </c>
      <c r="N69" s="282">
        <f t="shared" si="8"/>
        <v>0</v>
      </c>
      <c r="O69" s="283">
        <f>COUNTIFS(DelinquencyPerSector!$I:$I, "="&amp;A69, DelinquencyPerSector!$J:$J, "="&amp;B69,DelinquencyPerSector!$K:$K, "="&amp;C69,DelinquencyPerSector!$R:$R, "&gt;0")</f>
        <v>0</v>
      </c>
      <c r="P69" s="281">
        <v>1992851.37</v>
      </c>
      <c r="Q69" s="282">
        <f t="shared" si="9"/>
        <v>1.2029800414775472E-4</v>
      </c>
      <c r="R69" s="287">
        <f>COUNTIFS(DelinquencyPerSector!$I:$I, "="&amp;A69, DelinquencyPerSector!$J:$J, "="&amp;B69,DelinquencyPerSector!$K:$K, "="&amp;C69)</f>
        <v>1</v>
      </c>
      <c r="S69" s="288">
        <f>Table_ExternalData_18[[#This Row],[Total Port%]]-Table_ExternalData_18[[#This Row],[PAR 30+%]]</f>
        <v>1.2029800414775472E-4</v>
      </c>
      <c r="T69" s="289">
        <f>Table_ExternalData_18[[#This Row],[Total Port%]]-Table_ExternalData_18[[#This Row],[PAR 90+%]]</f>
        <v>1.2029800414775472E-4</v>
      </c>
      <c r="U69" s="280"/>
      <c r="V69" s="280"/>
    </row>
    <row r="70" spans="1:22" ht="22.8" x14ac:dyDescent="0.4">
      <c r="A70" s="280" t="s">
        <v>36</v>
      </c>
      <c r="B70" s="280" t="s">
        <v>97</v>
      </c>
      <c r="C70" s="280" t="s">
        <v>3961</v>
      </c>
      <c r="D70" s="281">
        <f>SUMIFS(DelinquencyPerSector!$L$2:$L$5000,DelinquencyPerSector!$K$2:$K$5000, "="&amp;C70, DelinquencyPerSector!$J$2:$J$5000, "="&amp;B70,DelinquencyPerSector!$I$2:$I$5000,"="&amp;A70)</f>
        <v>0</v>
      </c>
      <c r="E70" s="282">
        <f t="shared" ref="E70:E101" si="10">D70/$D$3</f>
        <v>0</v>
      </c>
      <c r="F70" s="283">
        <f>COUNTIFS(DelinquencyPerSector!$I:$I, "="&amp;A70, DelinquencyPerSector!$J:$J, "="&amp;B70,DelinquencyPerSector!$K:$K, "="&amp;C70,DelinquencyPerSector!$L:$L, "&gt;0")</f>
        <v>0</v>
      </c>
      <c r="G70" s="284">
        <f>SUMIFS(DelinquencyPerSector!$N$2:$N$5000, DelinquencyPerSector!$K$2:$K$5000, "="&amp;C70, DelinquencyPerSector!$J$2:$J$5000, "="&amp;B70, DelinquencyPerSector!$I$2:$I$5000,"="&amp;A70)</f>
        <v>0</v>
      </c>
      <c r="H70" s="282">
        <f t="shared" ref="H70:H101" si="11">G70/$G$3</f>
        <v>0</v>
      </c>
      <c r="I70" s="283">
        <f>COUNTIFS(DelinquencyPerSector!$I:$I, "="&amp;A70, DelinquencyPerSector!$J:$J, "="&amp;B70,DelinquencyPerSector!$K:$K, "="&amp;C70,DelinquencyPerSector!$N:$N, "&gt;0")</f>
        <v>0</v>
      </c>
      <c r="J70" s="281">
        <f>SUMIFS(DelinquencyPerSector!$P$2:$P$5000, DelinquencyPerSector!$K$2:$K$5000, "="&amp;C70, DelinquencyPerSector!$J$2:$J$5000, "="&amp;B70, DelinquencyPerSector!$I$2:$I$5000,"="&amp;A70)</f>
        <v>0</v>
      </c>
      <c r="K70" s="282">
        <f t="shared" ref="K70:K101" si="12">J70/$J$3</f>
        <v>0</v>
      </c>
      <c r="L70" s="283">
        <f>COUNTIFS(DelinquencyPerSector!$I:$I, "="&amp;A70, DelinquencyPerSector!$J:$J, "="&amp;B70,DelinquencyPerSector!$K:$K, "="&amp;C70,DelinquencyPerSector!$P:$P, "&gt;0")</f>
        <v>0</v>
      </c>
      <c r="M70" s="285">
        <f>SUMIFS(DelinquencyPerSector!$R$2:$R$5000,DelinquencyPerSector!$K$2:$K$5000, "="&amp;C70, DelinquencyPerSector!$J$2:$J$5000, "="&amp;B70,DelinquencyPerSector!$I$2:$I$5000,"="&amp;A70)</f>
        <v>0</v>
      </c>
      <c r="N70" s="282">
        <f t="shared" ref="N70:N101" si="13">M70/$M$3</f>
        <v>0</v>
      </c>
      <c r="O70" s="283">
        <f>COUNTIFS(DelinquencyPerSector!$I:$I, "="&amp;A70, DelinquencyPerSector!$J:$J, "="&amp;B70,DelinquencyPerSector!$K:$K, "="&amp;C70,DelinquencyPerSector!$R:$R, "&gt;0")</f>
        <v>0</v>
      </c>
      <c r="P70" s="281">
        <v>1214592.97</v>
      </c>
      <c r="Q70" s="282">
        <f t="shared" ref="Q70:Q101" si="14">P70/$P$3</f>
        <v>7.3318618910799013E-5</v>
      </c>
      <c r="R70" s="287">
        <f>COUNTIFS(DelinquencyPerSector!$I:$I, "="&amp;A70, DelinquencyPerSector!$J:$J, "="&amp;B70,DelinquencyPerSector!$K:$K, "="&amp;C70)</f>
        <v>1</v>
      </c>
      <c r="S70" s="288">
        <f>Table_ExternalData_18[[#This Row],[Total Port%]]-Table_ExternalData_18[[#This Row],[PAR 30+%]]</f>
        <v>7.3318618910799013E-5</v>
      </c>
      <c r="T70" s="289">
        <f>Table_ExternalData_18[[#This Row],[Total Port%]]-Table_ExternalData_18[[#This Row],[PAR 90+%]]</f>
        <v>7.3318618910799013E-5</v>
      </c>
      <c r="U70" s="280"/>
      <c r="V70" s="280"/>
    </row>
    <row r="71" spans="1:22" ht="22.8" x14ac:dyDescent="0.4">
      <c r="A71" s="280" t="s">
        <v>36</v>
      </c>
      <c r="B71" s="280" t="s">
        <v>1023</v>
      </c>
      <c r="C71" s="280" t="s">
        <v>1810</v>
      </c>
      <c r="D71" s="281">
        <f>SUMIFS(DelinquencyPerSector!$L$2:$L$5000,DelinquencyPerSector!$K$2:$K$5000, "="&amp;C71, DelinquencyPerSector!$J$2:$J$5000, "="&amp;B71,DelinquencyPerSector!$I$2:$I$5000,"="&amp;A71)</f>
        <v>0</v>
      </c>
      <c r="E71" s="282">
        <f t="shared" si="10"/>
        <v>0</v>
      </c>
      <c r="F71" s="283">
        <f>COUNTIFS(DelinquencyPerSector!$I:$I, "="&amp;A71, DelinquencyPerSector!$J:$J, "="&amp;B71,DelinquencyPerSector!$K:$K, "="&amp;C71,DelinquencyPerSector!$L:$L, "&gt;0")</f>
        <v>0</v>
      </c>
      <c r="G71" s="284">
        <f>SUMIFS(DelinquencyPerSector!$N$2:$N$5000, DelinquencyPerSector!$K$2:$K$5000, "="&amp;C71, DelinquencyPerSector!$J$2:$J$5000, "="&amp;B71, DelinquencyPerSector!$I$2:$I$5000,"="&amp;A71)</f>
        <v>0</v>
      </c>
      <c r="H71" s="282">
        <f t="shared" si="11"/>
        <v>0</v>
      </c>
      <c r="I71" s="283">
        <f>COUNTIFS(DelinquencyPerSector!$I:$I, "="&amp;A71, DelinquencyPerSector!$J:$J, "="&amp;B71,DelinquencyPerSector!$K:$K, "="&amp;C71,DelinquencyPerSector!$N:$N, "&gt;0")</f>
        <v>0</v>
      </c>
      <c r="J71" s="281">
        <f>SUMIFS(DelinquencyPerSector!$P$2:$P$5000, DelinquencyPerSector!$K$2:$K$5000, "="&amp;C71, DelinquencyPerSector!$J$2:$J$5000, "="&amp;B71, DelinquencyPerSector!$I$2:$I$5000,"="&amp;A71)</f>
        <v>0</v>
      </c>
      <c r="K71" s="282">
        <f t="shared" si="12"/>
        <v>0</v>
      </c>
      <c r="L71" s="283">
        <f>COUNTIFS(DelinquencyPerSector!$I:$I, "="&amp;A71, DelinquencyPerSector!$J:$J, "="&amp;B71,DelinquencyPerSector!$K:$K, "="&amp;C71,DelinquencyPerSector!$P:$P, "&gt;0")</f>
        <v>0</v>
      </c>
      <c r="M71" s="285">
        <f>SUMIFS(DelinquencyPerSector!$R$2:$R$5000,DelinquencyPerSector!$K$2:$K$5000, "="&amp;C71, DelinquencyPerSector!$J$2:$J$5000, "="&amp;B71,DelinquencyPerSector!$I$2:$I$5000,"="&amp;A71)</f>
        <v>0</v>
      </c>
      <c r="N71" s="282">
        <f t="shared" si="13"/>
        <v>0</v>
      </c>
      <c r="O71" s="283">
        <f>COUNTIFS(DelinquencyPerSector!$I:$I, "="&amp;A71, DelinquencyPerSector!$J:$J, "="&amp;B71,DelinquencyPerSector!$K:$K, "="&amp;C71,DelinquencyPerSector!$R:$R, "&gt;0")</f>
        <v>0</v>
      </c>
      <c r="P71" s="281">
        <v>36695722.060000002</v>
      </c>
      <c r="Q71" s="282">
        <f t="shared" si="14"/>
        <v>2.2151286297777111E-3</v>
      </c>
      <c r="R71" s="287">
        <f>COUNTIFS(DelinquencyPerSector!$I:$I, "="&amp;A71, DelinquencyPerSector!$J:$J, "="&amp;B71,DelinquencyPerSector!$K:$K, "="&amp;C71)</f>
        <v>3</v>
      </c>
      <c r="S71" s="288">
        <f>Table_ExternalData_18[[#This Row],[Total Port%]]-Table_ExternalData_18[[#This Row],[PAR 30+%]]</f>
        <v>2.2151286297777111E-3</v>
      </c>
      <c r="T71" s="289">
        <f>Table_ExternalData_18[[#This Row],[Total Port%]]-Table_ExternalData_18[[#This Row],[PAR 90+%]]</f>
        <v>2.2151286297777111E-3</v>
      </c>
      <c r="U71" s="280"/>
      <c r="V71" s="280"/>
    </row>
    <row r="72" spans="1:22" ht="22.8" x14ac:dyDescent="0.4">
      <c r="A72" s="280" t="s">
        <v>36</v>
      </c>
      <c r="B72" s="280" t="s">
        <v>3461</v>
      </c>
      <c r="C72" s="280" t="s">
        <v>3462</v>
      </c>
      <c r="D72" s="281">
        <f>SUMIFS(DelinquencyPerSector!$L$2:$L$5000,DelinquencyPerSector!$K$2:$K$5000, "="&amp;C72, DelinquencyPerSector!$J$2:$J$5000, "="&amp;B72,DelinquencyPerSector!$I$2:$I$5000,"="&amp;A72)</f>
        <v>0</v>
      </c>
      <c r="E72" s="282">
        <f t="shared" si="10"/>
        <v>0</v>
      </c>
      <c r="F72" s="283">
        <f>COUNTIFS(DelinquencyPerSector!$I:$I, "="&amp;A72, DelinquencyPerSector!$J:$J, "="&amp;B72,DelinquencyPerSector!$K:$K, "="&amp;C72,DelinquencyPerSector!$L:$L, "&gt;0")</f>
        <v>0</v>
      </c>
      <c r="G72" s="284">
        <f>SUMIFS(DelinquencyPerSector!$N$2:$N$5000, DelinquencyPerSector!$K$2:$K$5000, "="&amp;C72, DelinquencyPerSector!$J$2:$J$5000, "="&amp;B72, DelinquencyPerSector!$I$2:$I$5000,"="&amp;A72)</f>
        <v>0</v>
      </c>
      <c r="H72" s="282">
        <f t="shared" si="11"/>
        <v>0</v>
      </c>
      <c r="I72" s="283">
        <f>COUNTIFS(DelinquencyPerSector!$I:$I, "="&amp;A72, DelinquencyPerSector!$J:$J, "="&amp;B72,DelinquencyPerSector!$K:$K, "="&amp;C72,DelinquencyPerSector!$N:$N, "&gt;0")</f>
        <v>0</v>
      </c>
      <c r="J72" s="281">
        <f>SUMIFS(DelinquencyPerSector!$P$2:$P$5000, DelinquencyPerSector!$K$2:$K$5000, "="&amp;C72, DelinquencyPerSector!$J$2:$J$5000, "="&amp;B72, DelinquencyPerSector!$I$2:$I$5000,"="&amp;A72)</f>
        <v>0</v>
      </c>
      <c r="K72" s="282">
        <f t="shared" si="12"/>
        <v>0</v>
      </c>
      <c r="L72" s="283">
        <f>COUNTIFS(DelinquencyPerSector!$I:$I, "="&amp;A72, DelinquencyPerSector!$J:$J, "="&amp;B72,DelinquencyPerSector!$K:$K, "="&amp;C72,DelinquencyPerSector!$P:$P, "&gt;0")</f>
        <v>0</v>
      </c>
      <c r="M72" s="285">
        <f>SUMIFS(DelinquencyPerSector!$R$2:$R$5000,DelinquencyPerSector!$K$2:$K$5000, "="&amp;C72, DelinquencyPerSector!$J$2:$J$5000, "="&amp;B72,DelinquencyPerSector!$I$2:$I$5000,"="&amp;A72)</f>
        <v>0</v>
      </c>
      <c r="N72" s="282">
        <f t="shared" si="13"/>
        <v>0</v>
      </c>
      <c r="O72" s="283">
        <f>COUNTIFS(DelinquencyPerSector!$I:$I, "="&amp;A72, DelinquencyPerSector!$J:$J, "="&amp;B72,DelinquencyPerSector!$K:$K, "="&amp;C72,DelinquencyPerSector!$R:$R, "&gt;0")</f>
        <v>0</v>
      </c>
      <c r="P72" s="281">
        <v>43867352.810000002</v>
      </c>
      <c r="Q72" s="282">
        <f t="shared" si="14"/>
        <v>2.6480424329328681E-3</v>
      </c>
      <c r="R72" s="287">
        <f>COUNTIFS(DelinquencyPerSector!$I:$I, "="&amp;A72, DelinquencyPerSector!$J:$J, "="&amp;B72,DelinquencyPerSector!$K:$K, "="&amp;C72)</f>
        <v>1</v>
      </c>
      <c r="S72" s="288">
        <f>Table_ExternalData_18[[#This Row],[Total Port%]]-Table_ExternalData_18[[#This Row],[PAR 30+%]]</f>
        <v>2.6480424329328681E-3</v>
      </c>
      <c r="T72" s="289">
        <f>Table_ExternalData_18[[#This Row],[Total Port%]]-Table_ExternalData_18[[#This Row],[PAR 90+%]]</f>
        <v>2.6480424329328681E-3</v>
      </c>
      <c r="U72" s="280"/>
      <c r="V72" s="280"/>
    </row>
    <row r="73" spans="1:22" ht="22.8" x14ac:dyDescent="0.4">
      <c r="A73" s="280" t="s">
        <v>36</v>
      </c>
      <c r="B73" s="280" t="s">
        <v>118</v>
      </c>
      <c r="C73" s="280" t="s">
        <v>119</v>
      </c>
      <c r="D73" s="281">
        <f>SUMIFS(DelinquencyPerSector!$L$2:$L$5000,DelinquencyPerSector!$K$2:$K$5000, "="&amp;C73, DelinquencyPerSector!$J$2:$J$5000, "="&amp;B73,DelinquencyPerSector!$I$2:$I$5000,"="&amp;A73)</f>
        <v>6414445.9699999997</v>
      </c>
      <c r="E73" s="282">
        <f t="shared" si="10"/>
        <v>8.6967065186553693E-4</v>
      </c>
      <c r="F73" s="283">
        <f>COUNTIFS(DelinquencyPerSector!$I:$I, "="&amp;A73, DelinquencyPerSector!$J:$J, "="&amp;B73,DelinquencyPerSector!$K:$K, "="&amp;C73,DelinquencyPerSector!$L:$L, "&gt;0")</f>
        <v>3</v>
      </c>
      <c r="G73" s="284">
        <f>SUMIFS(DelinquencyPerSector!$N$2:$N$5000, DelinquencyPerSector!$K$2:$K$5000, "="&amp;C73, DelinquencyPerSector!$J$2:$J$5000, "="&amp;B73, DelinquencyPerSector!$I$2:$I$5000,"="&amp;A73)</f>
        <v>0</v>
      </c>
      <c r="H73" s="282">
        <f t="shared" si="11"/>
        <v>0</v>
      </c>
      <c r="I73" s="283">
        <f>COUNTIFS(DelinquencyPerSector!$I:$I, "="&amp;A73, DelinquencyPerSector!$J:$J, "="&amp;B73,DelinquencyPerSector!$K:$K, "="&amp;C73,DelinquencyPerSector!$N:$N, "&gt;0")</f>
        <v>0</v>
      </c>
      <c r="J73" s="281">
        <f>SUMIFS(DelinquencyPerSector!$P$2:$P$5000, DelinquencyPerSector!$K$2:$K$5000, "="&amp;C73, DelinquencyPerSector!$J$2:$J$5000, "="&amp;B73, DelinquencyPerSector!$I$2:$I$5000,"="&amp;A73)</f>
        <v>0</v>
      </c>
      <c r="K73" s="282">
        <f t="shared" si="12"/>
        <v>0</v>
      </c>
      <c r="L73" s="283">
        <f>COUNTIFS(DelinquencyPerSector!$I:$I, "="&amp;A73, DelinquencyPerSector!$J:$J, "="&amp;B73,DelinquencyPerSector!$K:$K, "="&amp;C73,DelinquencyPerSector!$P:$P, "&gt;0")</f>
        <v>0</v>
      </c>
      <c r="M73" s="285">
        <f>SUMIFS(DelinquencyPerSector!$R$2:$R$5000,DelinquencyPerSector!$K$2:$K$5000, "="&amp;C73, DelinquencyPerSector!$J$2:$J$5000, "="&amp;B73,DelinquencyPerSector!$I$2:$I$5000,"="&amp;A73)</f>
        <v>0</v>
      </c>
      <c r="N73" s="282">
        <f t="shared" si="13"/>
        <v>0</v>
      </c>
      <c r="O73" s="283">
        <f>COUNTIFS(DelinquencyPerSector!$I:$I, "="&amp;A73, DelinquencyPerSector!$J:$J, "="&amp;B73,DelinquencyPerSector!$K:$K, "="&amp;C73,DelinquencyPerSector!$R:$R, "&gt;0")</f>
        <v>0</v>
      </c>
      <c r="P73" s="281">
        <v>30313928.91</v>
      </c>
      <c r="Q73" s="282">
        <f t="shared" si="14"/>
        <v>1.8298931875435956E-3</v>
      </c>
      <c r="R73" s="287">
        <f>COUNTIFS(DelinquencyPerSector!$I:$I, "="&amp;A73, DelinquencyPerSector!$J:$J, "="&amp;B73,DelinquencyPerSector!$K:$K, "="&amp;C73)</f>
        <v>7</v>
      </c>
      <c r="S73" s="288">
        <f>Table_ExternalData_18[[#This Row],[Total Port%]]-Table_ExternalData_18[[#This Row],[PAR 30+%]]</f>
        <v>1.8298931875435956E-3</v>
      </c>
      <c r="T73" s="289">
        <f>Table_ExternalData_18[[#This Row],[Total Port%]]-Table_ExternalData_18[[#This Row],[PAR 90+%]]</f>
        <v>1.8298931875435956E-3</v>
      </c>
      <c r="U73" s="280"/>
      <c r="V73" s="280"/>
    </row>
    <row r="74" spans="1:22" ht="22.8" x14ac:dyDescent="0.4">
      <c r="A74" s="280" t="s">
        <v>36</v>
      </c>
      <c r="B74" s="280" t="s">
        <v>26</v>
      </c>
      <c r="C74" s="280" t="s">
        <v>26</v>
      </c>
      <c r="D74" s="281">
        <f>SUMIFS(DelinquencyPerSector!$L$2:$L$5000,DelinquencyPerSector!$K$2:$K$5000, "="&amp;C74, DelinquencyPerSector!$J$2:$J$5000, "="&amp;B74,DelinquencyPerSector!$I$2:$I$5000,"="&amp;A74)</f>
        <v>27690200.07</v>
      </c>
      <c r="E74" s="282">
        <f t="shared" si="10"/>
        <v>3.7542376158114302E-3</v>
      </c>
      <c r="F74" s="283">
        <f>COUNTIFS(DelinquencyPerSector!$I:$I, "="&amp;A74, DelinquencyPerSector!$J:$J, "="&amp;B74,DelinquencyPerSector!$K:$K, "="&amp;C74,DelinquencyPerSector!$L:$L, "&gt;0")</f>
        <v>1</v>
      </c>
      <c r="G74" s="284">
        <f>SUMIFS(DelinquencyPerSector!$N$2:$N$5000, DelinquencyPerSector!$K$2:$K$5000, "="&amp;C74, DelinquencyPerSector!$J$2:$J$5000, "="&amp;B74, DelinquencyPerSector!$I$2:$I$5000,"="&amp;A74)</f>
        <v>0</v>
      </c>
      <c r="H74" s="282">
        <f t="shared" si="11"/>
        <v>0</v>
      </c>
      <c r="I74" s="283">
        <f>COUNTIFS(DelinquencyPerSector!$I:$I, "="&amp;A74, DelinquencyPerSector!$J:$J, "="&amp;B74,DelinquencyPerSector!$K:$K, "="&amp;C74,DelinquencyPerSector!$N:$N, "&gt;0")</f>
        <v>0</v>
      </c>
      <c r="J74" s="281">
        <f>SUMIFS(DelinquencyPerSector!$P$2:$P$5000, DelinquencyPerSector!$K$2:$K$5000, "="&amp;C74, DelinquencyPerSector!$J$2:$J$5000, "="&amp;B74, DelinquencyPerSector!$I$2:$I$5000,"="&amp;A74)</f>
        <v>0</v>
      </c>
      <c r="K74" s="282">
        <f t="shared" si="12"/>
        <v>0</v>
      </c>
      <c r="L74" s="283">
        <f>COUNTIFS(DelinquencyPerSector!$I:$I, "="&amp;A74, DelinquencyPerSector!$J:$J, "="&amp;B74,DelinquencyPerSector!$K:$K, "="&amp;C74,DelinquencyPerSector!$P:$P, "&gt;0")</f>
        <v>0</v>
      </c>
      <c r="M74" s="285">
        <f>SUMIFS(DelinquencyPerSector!$R$2:$R$5000,DelinquencyPerSector!$K$2:$K$5000, "="&amp;C74, DelinquencyPerSector!$J$2:$J$5000, "="&amp;B74,DelinquencyPerSector!$I$2:$I$5000,"="&amp;A74)</f>
        <v>0</v>
      </c>
      <c r="N74" s="282">
        <f t="shared" si="13"/>
        <v>0</v>
      </c>
      <c r="O74" s="283">
        <f>COUNTIFS(DelinquencyPerSector!$I:$I, "="&amp;A74, DelinquencyPerSector!$J:$J, "="&amp;B74,DelinquencyPerSector!$K:$K, "="&amp;C74,DelinquencyPerSector!$R:$R, "&gt;0")</f>
        <v>0</v>
      </c>
      <c r="P74" s="281">
        <v>37538796.07</v>
      </c>
      <c r="Q74" s="282">
        <f t="shared" si="14"/>
        <v>2.2660205940649644E-3</v>
      </c>
      <c r="R74" s="287">
        <f>COUNTIFS(DelinquencyPerSector!$I:$I, "="&amp;A74, DelinquencyPerSector!$J:$J, "="&amp;B74,DelinquencyPerSector!$K:$K, "="&amp;C74)</f>
        <v>2</v>
      </c>
      <c r="S74" s="288">
        <f>Table_ExternalData_18[[#This Row],[Total Port%]]-Table_ExternalData_18[[#This Row],[PAR 30+%]]</f>
        <v>2.2660205940649644E-3</v>
      </c>
      <c r="T74" s="289">
        <f>Table_ExternalData_18[[#This Row],[Total Port%]]-Table_ExternalData_18[[#This Row],[PAR 90+%]]</f>
        <v>2.2660205940649644E-3</v>
      </c>
      <c r="U74" s="280"/>
      <c r="V74" s="280"/>
    </row>
    <row r="75" spans="1:22" ht="22.8" x14ac:dyDescent="0.4">
      <c r="A75" s="280" t="s">
        <v>45</v>
      </c>
      <c r="B75" s="280" t="s">
        <v>26</v>
      </c>
      <c r="C75" s="280" t="s">
        <v>26</v>
      </c>
      <c r="D75" s="281">
        <f>SUMIFS(DelinquencyPerSector!$L$2:$L$5000,DelinquencyPerSector!$K$2:$K$5000, "="&amp;C75, DelinquencyPerSector!$J$2:$J$5000, "="&amp;B75,DelinquencyPerSector!$I$2:$I$5000,"="&amp;A75)</f>
        <v>0</v>
      </c>
      <c r="E75" s="282">
        <f t="shared" si="10"/>
        <v>0</v>
      </c>
      <c r="F75" s="283">
        <f>COUNTIFS(DelinquencyPerSector!$I:$I, "="&amp;A75, DelinquencyPerSector!$J:$J, "="&amp;B75,DelinquencyPerSector!$K:$K, "="&amp;C75,DelinquencyPerSector!$L:$L, "&gt;0")</f>
        <v>0</v>
      </c>
      <c r="G75" s="284">
        <f>SUMIFS(DelinquencyPerSector!$N$2:$N$5000, DelinquencyPerSector!$K$2:$K$5000, "="&amp;C75, DelinquencyPerSector!$J$2:$J$5000, "="&amp;B75, DelinquencyPerSector!$I$2:$I$5000,"="&amp;A75)</f>
        <v>0</v>
      </c>
      <c r="H75" s="282">
        <f t="shared" si="11"/>
        <v>0</v>
      </c>
      <c r="I75" s="283">
        <f>COUNTIFS(DelinquencyPerSector!$I:$I, "="&amp;A75, DelinquencyPerSector!$J:$J, "="&amp;B75,DelinquencyPerSector!$K:$K, "="&amp;C75,DelinquencyPerSector!$N:$N, "&gt;0")</f>
        <v>0</v>
      </c>
      <c r="J75" s="281">
        <f>SUMIFS(DelinquencyPerSector!$P$2:$P$5000, DelinquencyPerSector!$K$2:$K$5000, "="&amp;C75, DelinquencyPerSector!$J$2:$J$5000, "="&amp;B75, DelinquencyPerSector!$I$2:$I$5000,"="&amp;A75)</f>
        <v>0</v>
      </c>
      <c r="K75" s="282">
        <f t="shared" si="12"/>
        <v>0</v>
      </c>
      <c r="L75" s="283">
        <f>COUNTIFS(DelinquencyPerSector!$I:$I, "="&amp;A75, DelinquencyPerSector!$J:$J, "="&amp;B75,DelinquencyPerSector!$K:$K, "="&amp;C75,DelinquencyPerSector!$P:$P, "&gt;0")</f>
        <v>0</v>
      </c>
      <c r="M75" s="285">
        <f>SUMIFS(DelinquencyPerSector!$R$2:$R$5000,DelinquencyPerSector!$K$2:$K$5000, "="&amp;C75, DelinquencyPerSector!$J$2:$J$5000, "="&amp;B75,DelinquencyPerSector!$I$2:$I$5000,"="&amp;A75)</f>
        <v>0</v>
      </c>
      <c r="N75" s="282">
        <f t="shared" si="13"/>
        <v>0</v>
      </c>
      <c r="O75" s="283">
        <f>COUNTIFS(DelinquencyPerSector!$I:$I, "="&amp;A75, DelinquencyPerSector!$J:$J, "="&amp;B75,DelinquencyPerSector!$K:$K, "="&amp;C75,DelinquencyPerSector!$R:$R, "&gt;0")</f>
        <v>0</v>
      </c>
      <c r="P75" s="281">
        <v>19299402.359999999</v>
      </c>
      <c r="Q75" s="282">
        <f t="shared" si="14"/>
        <v>1.1650038834318422E-3</v>
      </c>
      <c r="R75" s="287">
        <f>COUNTIFS(DelinquencyPerSector!$I:$I, "="&amp;A75, DelinquencyPerSector!$J:$J, "="&amp;B75,DelinquencyPerSector!$K:$K, "="&amp;C75)</f>
        <v>1</v>
      </c>
      <c r="S75" s="288">
        <f>Table_ExternalData_18[[#This Row],[Total Port%]]-Table_ExternalData_18[[#This Row],[PAR 30+%]]</f>
        <v>1.1650038834318422E-3</v>
      </c>
      <c r="T75" s="289">
        <f>Table_ExternalData_18[[#This Row],[Total Port%]]-Table_ExternalData_18[[#This Row],[PAR 90+%]]</f>
        <v>1.1650038834318422E-3</v>
      </c>
      <c r="U75" s="280"/>
      <c r="V75" s="280"/>
    </row>
    <row r="76" spans="1:22" ht="22.8" x14ac:dyDescent="0.4">
      <c r="A76" s="280" t="s">
        <v>43</v>
      </c>
      <c r="B76" s="280" t="s">
        <v>338</v>
      </c>
      <c r="C76" s="280" t="s">
        <v>4724</v>
      </c>
      <c r="D76" s="281">
        <f>SUMIFS(DelinquencyPerSector!$L$2:$L$5000,DelinquencyPerSector!$K$2:$K$5000, "="&amp;C76, DelinquencyPerSector!$J$2:$J$5000, "="&amp;B76,DelinquencyPerSector!$I$2:$I$5000,"="&amp;A76)</f>
        <v>0</v>
      </c>
      <c r="E76" s="282">
        <f t="shared" si="10"/>
        <v>0</v>
      </c>
      <c r="F76" s="283">
        <f>COUNTIFS(DelinquencyPerSector!$I:$I, "="&amp;A76, DelinquencyPerSector!$J:$J, "="&amp;B76,DelinquencyPerSector!$K:$K, "="&amp;C76,DelinquencyPerSector!$L:$L, "&gt;0")</f>
        <v>0</v>
      </c>
      <c r="G76" s="284">
        <f>SUMIFS(DelinquencyPerSector!$N$2:$N$5000, DelinquencyPerSector!$K$2:$K$5000, "="&amp;C76, DelinquencyPerSector!$J$2:$J$5000, "="&amp;B76, DelinquencyPerSector!$I$2:$I$5000,"="&amp;A76)</f>
        <v>0</v>
      </c>
      <c r="H76" s="282">
        <f t="shared" si="11"/>
        <v>0</v>
      </c>
      <c r="I76" s="283">
        <f>COUNTIFS(DelinquencyPerSector!$I:$I, "="&amp;A76, DelinquencyPerSector!$J:$J, "="&amp;B76,DelinquencyPerSector!$K:$K, "="&amp;C76,DelinquencyPerSector!$N:$N, "&gt;0")</f>
        <v>0</v>
      </c>
      <c r="J76" s="281">
        <f>SUMIFS(DelinquencyPerSector!$P$2:$P$5000, DelinquencyPerSector!$K$2:$K$5000, "="&amp;C76, DelinquencyPerSector!$J$2:$J$5000, "="&amp;B76, DelinquencyPerSector!$I$2:$I$5000,"="&amp;A76)</f>
        <v>0</v>
      </c>
      <c r="K76" s="282">
        <f t="shared" si="12"/>
        <v>0</v>
      </c>
      <c r="L76" s="283">
        <f>COUNTIFS(DelinquencyPerSector!$I:$I, "="&amp;A76, DelinquencyPerSector!$J:$J, "="&amp;B76,DelinquencyPerSector!$K:$K, "="&amp;C76,DelinquencyPerSector!$P:$P, "&gt;0")</f>
        <v>0</v>
      </c>
      <c r="M76" s="285">
        <f>SUMIFS(DelinquencyPerSector!$R$2:$R$5000,DelinquencyPerSector!$K$2:$K$5000, "="&amp;C76, DelinquencyPerSector!$J$2:$J$5000, "="&amp;B76,DelinquencyPerSector!$I$2:$I$5000,"="&amp;A76)</f>
        <v>0</v>
      </c>
      <c r="N76" s="282">
        <f t="shared" si="13"/>
        <v>0</v>
      </c>
      <c r="O76" s="283">
        <f>COUNTIFS(DelinquencyPerSector!$I:$I, "="&amp;A76, DelinquencyPerSector!$J:$J, "="&amp;B76,DelinquencyPerSector!$K:$K, "="&amp;C76,DelinquencyPerSector!$R:$R, "&gt;0")</f>
        <v>0</v>
      </c>
      <c r="P76" s="281">
        <v>12341899.75</v>
      </c>
      <c r="Q76" s="282">
        <f t="shared" si="14"/>
        <v>7.4501587507585815E-4</v>
      </c>
      <c r="R76" s="287">
        <f>COUNTIFS(DelinquencyPerSector!$I:$I, "="&amp;A76, DelinquencyPerSector!$J:$J, "="&amp;B76,DelinquencyPerSector!$K:$K, "="&amp;C76)</f>
        <v>1</v>
      </c>
      <c r="S76" s="288">
        <f>Table_ExternalData_18[[#This Row],[Total Port%]]-Table_ExternalData_18[[#This Row],[PAR 30+%]]</f>
        <v>7.4501587507585815E-4</v>
      </c>
      <c r="T76" s="289">
        <f>Table_ExternalData_18[[#This Row],[Total Port%]]-Table_ExternalData_18[[#This Row],[PAR 90+%]]</f>
        <v>7.4501587507585815E-4</v>
      </c>
      <c r="U76" s="280"/>
      <c r="V76" s="280"/>
    </row>
    <row r="77" spans="1:22" ht="22.8" x14ac:dyDescent="0.4">
      <c r="A77" s="280" t="s">
        <v>43</v>
      </c>
      <c r="B77" s="280" t="s">
        <v>338</v>
      </c>
      <c r="C77" s="280" t="s">
        <v>26</v>
      </c>
      <c r="D77" s="281">
        <f>SUMIFS(DelinquencyPerSector!$L$2:$L$5000,DelinquencyPerSector!$K$2:$K$5000, "="&amp;C77, DelinquencyPerSector!$J$2:$J$5000, "="&amp;B77,DelinquencyPerSector!$I$2:$I$5000,"="&amp;A77)</f>
        <v>0</v>
      </c>
      <c r="E77" s="282">
        <f t="shared" si="10"/>
        <v>0</v>
      </c>
      <c r="F77" s="283">
        <f>COUNTIFS(DelinquencyPerSector!$I:$I, "="&amp;A77, DelinquencyPerSector!$J:$J, "="&amp;B77,DelinquencyPerSector!$K:$K, "="&amp;C77,DelinquencyPerSector!$L:$L, "&gt;0")</f>
        <v>0</v>
      </c>
      <c r="G77" s="284">
        <f>SUMIFS(DelinquencyPerSector!$N$2:$N$5000, DelinquencyPerSector!$K$2:$K$5000, "="&amp;C77, DelinquencyPerSector!$J$2:$J$5000, "="&amp;B77, DelinquencyPerSector!$I$2:$I$5000,"="&amp;A77)</f>
        <v>0</v>
      </c>
      <c r="H77" s="282">
        <f t="shared" si="11"/>
        <v>0</v>
      </c>
      <c r="I77" s="283">
        <f>COUNTIFS(DelinquencyPerSector!$I:$I, "="&amp;A77, DelinquencyPerSector!$J:$J, "="&amp;B77,DelinquencyPerSector!$K:$K, "="&amp;C77,DelinquencyPerSector!$N:$N, "&gt;0")</f>
        <v>0</v>
      </c>
      <c r="J77" s="281">
        <f>SUMIFS(DelinquencyPerSector!$P$2:$P$5000, DelinquencyPerSector!$K$2:$K$5000, "="&amp;C77, DelinquencyPerSector!$J$2:$J$5000, "="&amp;B77, DelinquencyPerSector!$I$2:$I$5000,"="&amp;A77)</f>
        <v>0</v>
      </c>
      <c r="K77" s="282">
        <f t="shared" si="12"/>
        <v>0</v>
      </c>
      <c r="L77" s="283">
        <f>COUNTIFS(DelinquencyPerSector!$I:$I, "="&amp;A77, DelinquencyPerSector!$J:$J, "="&amp;B77,DelinquencyPerSector!$K:$K, "="&amp;C77,DelinquencyPerSector!$P:$P, "&gt;0")</f>
        <v>0</v>
      </c>
      <c r="M77" s="285">
        <f>SUMIFS(DelinquencyPerSector!$R$2:$R$5000,DelinquencyPerSector!$K$2:$K$5000, "="&amp;C77, DelinquencyPerSector!$J$2:$J$5000, "="&amp;B77,DelinquencyPerSector!$I$2:$I$5000,"="&amp;A77)</f>
        <v>0</v>
      </c>
      <c r="N77" s="282">
        <f t="shared" si="13"/>
        <v>0</v>
      </c>
      <c r="O77" s="283">
        <f>COUNTIFS(DelinquencyPerSector!$I:$I, "="&amp;A77, DelinquencyPerSector!$J:$J, "="&amp;B77,DelinquencyPerSector!$K:$K, "="&amp;C77,DelinquencyPerSector!$R:$R, "&gt;0")</f>
        <v>0</v>
      </c>
      <c r="P77" s="281">
        <v>109341502.36</v>
      </c>
      <c r="Q77" s="282">
        <f t="shared" si="14"/>
        <v>6.6003740682502639E-3</v>
      </c>
      <c r="R77" s="287">
        <f>COUNTIFS(DelinquencyPerSector!$I:$I, "="&amp;A77, DelinquencyPerSector!$J:$J, "="&amp;B77,DelinquencyPerSector!$K:$K, "="&amp;C77)</f>
        <v>6</v>
      </c>
      <c r="S77" s="288">
        <f>Table_ExternalData_18[[#This Row],[Total Port%]]-Table_ExternalData_18[[#This Row],[PAR 30+%]]</f>
        <v>6.6003740682502639E-3</v>
      </c>
      <c r="T77" s="289">
        <f>Table_ExternalData_18[[#This Row],[Total Port%]]-Table_ExternalData_18[[#This Row],[PAR 90+%]]</f>
        <v>6.6003740682502639E-3</v>
      </c>
      <c r="U77" s="280"/>
      <c r="V77" s="280"/>
    </row>
    <row r="78" spans="1:22" ht="22.8" x14ac:dyDescent="0.4">
      <c r="A78" s="280" t="s">
        <v>43</v>
      </c>
      <c r="B78" s="280" t="s">
        <v>26</v>
      </c>
      <c r="C78" s="280" t="s">
        <v>26</v>
      </c>
      <c r="D78" s="281">
        <f>SUMIFS(DelinquencyPerSector!$L$2:$L$5000,DelinquencyPerSector!$K$2:$K$5000, "="&amp;C78, DelinquencyPerSector!$J$2:$J$5000, "="&amp;B78,DelinquencyPerSector!$I$2:$I$5000,"="&amp;A78)</f>
        <v>4626744.96</v>
      </c>
      <c r="E78" s="282">
        <f t="shared" si="10"/>
        <v>6.2729413018639674E-4</v>
      </c>
      <c r="F78" s="283">
        <f>COUNTIFS(DelinquencyPerSector!$I:$I, "="&amp;A78, DelinquencyPerSector!$J:$J, "="&amp;B78,DelinquencyPerSector!$K:$K, "="&amp;C78,DelinquencyPerSector!$L:$L, "&gt;0")</f>
        <v>1</v>
      </c>
      <c r="G78" s="284">
        <f>SUMIFS(DelinquencyPerSector!$N$2:$N$5000, DelinquencyPerSector!$K$2:$K$5000, "="&amp;C78, DelinquencyPerSector!$J$2:$J$5000, "="&amp;B78, DelinquencyPerSector!$I$2:$I$5000,"="&amp;A78)</f>
        <v>0</v>
      </c>
      <c r="H78" s="282">
        <f t="shared" si="11"/>
        <v>0</v>
      </c>
      <c r="I78" s="283">
        <f>COUNTIFS(DelinquencyPerSector!$I:$I, "="&amp;A78, DelinquencyPerSector!$J:$J, "="&amp;B78,DelinquencyPerSector!$K:$K, "="&amp;C78,DelinquencyPerSector!$N:$N, "&gt;0")</f>
        <v>0</v>
      </c>
      <c r="J78" s="281">
        <f>SUMIFS(DelinquencyPerSector!$P$2:$P$5000, DelinquencyPerSector!$K$2:$K$5000, "="&amp;C78, DelinquencyPerSector!$J$2:$J$5000, "="&amp;B78, DelinquencyPerSector!$I$2:$I$5000,"="&amp;A78)</f>
        <v>0</v>
      </c>
      <c r="K78" s="282">
        <f t="shared" si="12"/>
        <v>0</v>
      </c>
      <c r="L78" s="283">
        <f>COUNTIFS(DelinquencyPerSector!$I:$I, "="&amp;A78, DelinquencyPerSector!$J:$J, "="&amp;B78,DelinquencyPerSector!$K:$K, "="&amp;C78,DelinquencyPerSector!$P:$P, "&gt;0")</f>
        <v>0</v>
      </c>
      <c r="M78" s="285">
        <f>SUMIFS(DelinquencyPerSector!$R$2:$R$5000,DelinquencyPerSector!$K$2:$K$5000, "="&amp;C78, DelinquencyPerSector!$J$2:$J$5000, "="&amp;B78,DelinquencyPerSector!$I$2:$I$5000,"="&amp;A78)</f>
        <v>0</v>
      </c>
      <c r="N78" s="282">
        <f t="shared" si="13"/>
        <v>0</v>
      </c>
      <c r="O78" s="283">
        <f>COUNTIFS(DelinquencyPerSector!$I:$I, "="&amp;A78, DelinquencyPerSector!$J:$J, "="&amp;B78,DelinquencyPerSector!$K:$K, "="&amp;C78,DelinquencyPerSector!$R:$R, "&gt;0")</f>
        <v>0</v>
      </c>
      <c r="P78" s="281">
        <v>4626744.96</v>
      </c>
      <c r="Q78" s="282">
        <f t="shared" si="14"/>
        <v>2.7929237110577051E-4</v>
      </c>
      <c r="R78" s="287">
        <f>COUNTIFS(DelinquencyPerSector!$I:$I, "="&amp;A78, DelinquencyPerSector!$J:$J, "="&amp;B78,DelinquencyPerSector!$K:$K, "="&amp;C78)</f>
        <v>1</v>
      </c>
      <c r="S78" s="288">
        <f>Table_ExternalData_18[[#This Row],[Total Port%]]-Table_ExternalData_18[[#This Row],[PAR 30+%]]</f>
        <v>2.7929237110577051E-4</v>
      </c>
      <c r="T78" s="289">
        <f>Table_ExternalData_18[[#This Row],[Total Port%]]-Table_ExternalData_18[[#This Row],[PAR 90+%]]</f>
        <v>2.7929237110577051E-4</v>
      </c>
      <c r="U78" s="280"/>
      <c r="V78" s="280"/>
    </row>
    <row r="79" spans="1:22" ht="22.8" x14ac:dyDescent="0.4">
      <c r="A79" s="280" t="s">
        <v>46</v>
      </c>
      <c r="B79" s="280" t="s">
        <v>46</v>
      </c>
      <c r="C79" s="280" t="s">
        <v>844</v>
      </c>
      <c r="D79" s="281">
        <f>SUMIFS(DelinquencyPerSector!$L$2:$L$5000,DelinquencyPerSector!$K$2:$K$5000, "="&amp;C79, DelinquencyPerSector!$J$2:$J$5000, "="&amp;B79,DelinquencyPerSector!$I$2:$I$5000,"="&amp;A79)</f>
        <v>629662.35</v>
      </c>
      <c r="E79" s="282">
        <f t="shared" si="10"/>
        <v>8.536962801476148E-5</v>
      </c>
      <c r="F79" s="283">
        <f>COUNTIFS(DelinquencyPerSector!$I:$I, "="&amp;A79, DelinquencyPerSector!$J:$J, "="&amp;B79,DelinquencyPerSector!$K:$K, "="&amp;C79,DelinquencyPerSector!$L:$L, "&gt;0")</f>
        <v>1</v>
      </c>
      <c r="G79" s="284">
        <f>SUMIFS(DelinquencyPerSector!$N$2:$N$5000, DelinquencyPerSector!$K$2:$K$5000, "="&amp;C79, DelinquencyPerSector!$J$2:$J$5000, "="&amp;B79, DelinquencyPerSector!$I$2:$I$5000,"="&amp;A79)</f>
        <v>0</v>
      </c>
      <c r="H79" s="282">
        <f t="shared" si="11"/>
        <v>0</v>
      </c>
      <c r="I79" s="283">
        <f>COUNTIFS(DelinquencyPerSector!$I:$I, "="&amp;A79, DelinquencyPerSector!$J:$J, "="&amp;B79,DelinquencyPerSector!$K:$K, "="&amp;C79,DelinquencyPerSector!$N:$N, "&gt;0")</f>
        <v>0</v>
      </c>
      <c r="J79" s="281">
        <f>SUMIFS(DelinquencyPerSector!$P$2:$P$5000, DelinquencyPerSector!$K$2:$K$5000, "="&amp;C79, DelinquencyPerSector!$J$2:$J$5000, "="&amp;B79, DelinquencyPerSector!$I$2:$I$5000,"="&amp;A79)</f>
        <v>0</v>
      </c>
      <c r="K79" s="282">
        <f t="shared" si="12"/>
        <v>0</v>
      </c>
      <c r="L79" s="283">
        <f>COUNTIFS(DelinquencyPerSector!$I:$I, "="&amp;A79, DelinquencyPerSector!$J:$J, "="&amp;B79,DelinquencyPerSector!$K:$K, "="&amp;C79,DelinquencyPerSector!$P:$P, "&gt;0")</f>
        <v>0</v>
      </c>
      <c r="M79" s="285">
        <f>SUMIFS(DelinquencyPerSector!$R$2:$R$5000,DelinquencyPerSector!$K$2:$K$5000, "="&amp;C79, DelinquencyPerSector!$J$2:$J$5000, "="&amp;B79,DelinquencyPerSector!$I$2:$I$5000,"="&amp;A79)</f>
        <v>0</v>
      </c>
      <c r="N79" s="282">
        <f t="shared" si="13"/>
        <v>0</v>
      </c>
      <c r="O79" s="283">
        <f>COUNTIFS(DelinquencyPerSector!$I:$I, "="&amp;A79, DelinquencyPerSector!$J:$J, "="&amp;B79,DelinquencyPerSector!$K:$K, "="&amp;C79,DelinquencyPerSector!$R:$R, "&gt;0")</f>
        <v>0</v>
      </c>
      <c r="P79" s="281">
        <v>629662.35</v>
      </c>
      <c r="Q79" s="282">
        <f t="shared" si="14"/>
        <v>3.8009419634734216E-5</v>
      </c>
      <c r="R79" s="287">
        <f>COUNTIFS(DelinquencyPerSector!$I:$I, "="&amp;A79, DelinquencyPerSector!$J:$J, "="&amp;B79,DelinquencyPerSector!$K:$K, "="&amp;C79)</f>
        <v>1</v>
      </c>
      <c r="S79" s="288">
        <f>Table_ExternalData_18[[#This Row],[Total Port%]]-Table_ExternalData_18[[#This Row],[PAR 30+%]]</f>
        <v>3.8009419634734216E-5</v>
      </c>
      <c r="T79" s="289">
        <f>Table_ExternalData_18[[#This Row],[Total Port%]]-Table_ExternalData_18[[#This Row],[PAR 90+%]]</f>
        <v>3.8009419634734216E-5</v>
      </c>
      <c r="U79" s="280"/>
      <c r="V79" s="280"/>
    </row>
    <row r="80" spans="1:22" ht="22.8" x14ac:dyDescent="0.4">
      <c r="A80" s="280" t="s">
        <v>46</v>
      </c>
      <c r="B80" s="280" t="s">
        <v>46</v>
      </c>
      <c r="C80" s="280" t="s">
        <v>3840</v>
      </c>
      <c r="D80" s="281">
        <f>SUMIFS(DelinquencyPerSector!$L$2:$L$5000,DelinquencyPerSector!$K$2:$K$5000, "="&amp;C80, DelinquencyPerSector!$J$2:$J$5000, "="&amp;B80,DelinquencyPerSector!$I$2:$I$5000,"="&amp;A80)</f>
        <v>0</v>
      </c>
      <c r="E80" s="282">
        <f t="shared" si="10"/>
        <v>0</v>
      </c>
      <c r="F80" s="283">
        <f>COUNTIFS(DelinquencyPerSector!$I:$I, "="&amp;A80, DelinquencyPerSector!$J:$J, "="&amp;B80,DelinquencyPerSector!$K:$K, "="&amp;C80,DelinquencyPerSector!$L:$L, "&gt;0")</f>
        <v>0</v>
      </c>
      <c r="G80" s="284">
        <f>SUMIFS(DelinquencyPerSector!$N$2:$N$5000, DelinquencyPerSector!$K$2:$K$5000, "="&amp;C80, DelinquencyPerSector!$J$2:$J$5000, "="&amp;B80, DelinquencyPerSector!$I$2:$I$5000,"="&amp;A80)</f>
        <v>0</v>
      </c>
      <c r="H80" s="282">
        <f t="shared" si="11"/>
        <v>0</v>
      </c>
      <c r="I80" s="283">
        <f>COUNTIFS(DelinquencyPerSector!$I:$I, "="&amp;A80, DelinquencyPerSector!$J:$J, "="&amp;B80,DelinquencyPerSector!$K:$K, "="&amp;C80,DelinquencyPerSector!$N:$N, "&gt;0")</f>
        <v>0</v>
      </c>
      <c r="J80" s="281">
        <f>SUMIFS(DelinquencyPerSector!$P$2:$P$5000, DelinquencyPerSector!$K$2:$K$5000, "="&amp;C80, DelinquencyPerSector!$J$2:$J$5000, "="&amp;B80, DelinquencyPerSector!$I$2:$I$5000,"="&amp;A80)</f>
        <v>0</v>
      </c>
      <c r="K80" s="282">
        <f t="shared" si="12"/>
        <v>0</v>
      </c>
      <c r="L80" s="283">
        <f>COUNTIFS(DelinquencyPerSector!$I:$I, "="&amp;A80, DelinquencyPerSector!$J:$J, "="&amp;B80,DelinquencyPerSector!$K:$K, "="&amp;C80,DelinquencyPerSector!$P:$P, "&gt;0")</f>
        <v>0</v>
      </c>
      <c r="M80" s="285">
        <f>SUMIFS(DelinquencyPerSector!$R$2:$R$5000,DelinquencyPerSector!$K$2:$K$5000, "="&amp;C80, DelinquencyPerSector!$J$2:$J$5000, "="&amp;B80,DelinquencyPerSector!$I$2:$I$5000,"="&amp;A80)</f>
        <v>0</v>
      </c>
      <c r="N80" s="282">
        <f t="shared" si="13"/>
        <v>0</v>
      </c>
      <c r="O80" s="283">
        <f>COUNTIFS(DelinquencyPerSector!$I:$I, "="&amp;A80, DelinquencyPerSector!$J:$J, "="&amp;B80,DelinquencyPerSector!$K:$K, "="&amp;C80,DelinquencyPerSector!$R:$R, "&gt;0")</f>
        <v>0</v>
      </c>
      <c r="P80" s="281">
        <v>3102634.04</v>
      </c>
      <c r="Q80" s="282">
        <f t="shared" si="14"/>
        <v>1.8728977395483586E-4</v>
      </c>
      <c r="R80" s="287">
        <f>COUNTIFS(DelinquencyPerSector!$I:$I, "="&amp;A80, DelinquencyPerSector!$J:$J, "="&amp;B80,DelinquencyPerSector!$K:$K, "="&amp;C80)</f>
        <v>1</v>
      </c>
      <c r="S80" s="288">
        <f>Table_ExternalData_18[[#This Row],[Total Port%]]-Table_ExternalData_18[[#This Row],[PAR 30+%]]</f>
        <v>1.8728977395483586E-4</v>
      </c>
      <c r="T80" s="289">
        <f>Table_ExternalData_18[[#This Row],[Total Port%]]-Table_ExternalData_18[[#This Row],[PAR 90+%]]</f>
        <v>1.8728977395483586E-4</v>
      </c>
      <c r="U80" s="280"/>
      <c r="V80" s="280"/>
    </row>
    <row r="81" spans="1:22" ht="22.8" x14ac:dyDescent="0.4">
      <c r="A81" s="280" t="s">
        <v>42</v>
      </c>
      <c r="B81" s="280" t="s">
        <v>1244</v>
      </c>
      <c r="C81" s="280" t="s">
        <v>1813</v>
      </c>
      <c r="D81" s="281">
        <f>SUMIFS(DelinquencyPerSector!$L$2:$L$5000,DelinquencyPerSector!$K$2:$K$5000, "="&amp;C81, DelinquencyPerSector!$J$2:$J$5000, "="&amp;B81,DelinquencyPerSector!$I$2:$I$5000,"="&amp;A81)</f>
        <v>0</v>
      </c>
      <c r="E81" s="282">
        <f t="shared" si="10"/>
        <v>0</v>
      </c>
      <c r="F81" s="283">
        <f>COUNTIFS(DelinquencyPerSector!$I:$I, "="&amp;A81, DelinquencyPerSector!$J:$J, "="&amp;B81,DelinquencyPerSector!$K:$K, "="&amp;C81,DelinquencyPerSector!$L:$L, "&gt;0")</f>
        <v>0</v>
      </c>
      <c r="G81" s="284">
        <f>SUMIFS(DelinquencyPerSector!$N$2:$N$5000, DelinquencyPerSector!$K$2:$K$5000, "="&amp;C81, DelinquencyPerSector!$J$2:$J$5000, "="&amp;B81, DelinquencyPerSector!$I$2:$I$5000,"="&amp;A81)</f>
        <v>0</v>
      </c>
      <c r="H81" s="282">
        <f t="shared" si="11"/>
        <v>0</v>
      </c>
      <c r="I81" s="283">
        <f>COUNTIFS(DelinquencyPerSector!$I:$I, "="&amp;A81, DelinquencyPerSector!$J:$J, "="&amp;B81,DelinquencyPerSector!$K:$K, "="&amp;C81,DelinquencyPerSector!$N:$N, "&gt;0")</f>
        <v>0</v>
      </c>
      <c r="J81" s="281">
        <f>SUMIFS(DelinquencyPerSector!$P$2:$P$5000, DelinquencyPerSector!$K$2:$K$5000, "="&amp;C81, DelinquencyPerSector!$J$2:$J$5000, "="&amp;B81, DelinquencyPerSector!$I$2:$I$5000,"="&amp;A81)</f>
        <v>0</v>
      </c>
      <c r="K81" s="282">
        <f t="shared" si="12"/>
        <v>0</v>
      </c>
      <c r="L81" s="283">
        <f>COUNTIFS(DelinquencyPerSector!$I:$I, "="&amp;A81, DelinquencyPerSector!$J:$J, "="&amp;B81,DelinquencyPerSector!$K:$K, "="&amp;C81,DelinquencyPerSector!$P:$P, "&gt;0")</f>
        <v>0</v>
      </c>
      <c r="M81" s="285">
        <f>SUMIFS(DelinquencyPerSector!$R$2:$R$5000,DelinquencyPerSector!$K$2:$K$5000, "="&amp;C81, DelinquencyPerSector!$J$2:$J$5000, "="&amp;B81,DelinquencyPerSector!$I$2:$I$5000,"="&amp;A81)</f>
        <v>0</v>
      </c>
      <c r="N81" s="282">
        <f t="shared" si="13"/>
        <v>0</v>
      </c>
      <c r="O81" s="283">
        <f>COUNTIFS(DelinquencyPerSector!$I:$I, "="&amp;A81, DelinquencyPerSector!$J:$J, "="&amp;B81,DelinquencyPerSector!$K:$K, "="&amp;C81,DelinquencyPerSector!$R:$R, "&gt;0")</f>
        <v>0</v>
      </c>
      <c r="P81" s="281">
        <v>28551797.800000001</v>
      </c>
      <c r="Q81" s="282">
        <f t="shared" si="14"/>
        <v>1.723522557615651E-3</v>
      </c>
      <c r="R81" s="287">
        <f>COUNTIFS(DelinquencyPerSector!$I:$I, "="&amp;A81, DelinquencyPerSector!$J:$J, "="&amp;B81,DelinquencyPerSector!$K:$K, "="&amp;C81)</f>
        <v>1</v>
      </c>
      <c r="S81" s="288">
        <f>Table_ExternalData_18[[#This Row],[Total Port%]]-Table_ExternalData_18[[#This Row],[PAR 30+%]]</f>
        <v>1.723522557615651E-3</v>
      </c>
      <c r="T81" s="289">
        <f>Table_ExternalData_18[[#This Row],[Total Port%]]-Table_ExternalData_18[[#This Row],[PAR 90+%]]</f>
        <v>1.723522557615651E-3</v>
      </c>
      <c r="U81" s="280"/>
      <c r="V81" s="280"/>
    </row>
    <row r="82" spans="1:22" ht="22.8" x14ac:dyDescent="0.4">
      <c r="A82" s="280" t="s">
        <v>42</v>
      </c>
      <c r="B82" s="280" t="s">
        <v>1244</v>
      </c>
      <c r="C82" s="280" t="s">
        <v>26</v>
      </c>
      <c r="D82" s="281">
        <f>SUMIFS(DelinquencyPerSector!$L$2:$L$5000,DelinquencyPerSector!$K$2:$K$5000, "="&amp;C82, DelinquencyPerSector!$J$2:$J$5000, "="&amp;B82,DelinquencyPerSector!$I$2:$I$5000,"="&amp;A82)</f>
        <v>0</v>
      </c>
      <c r="E82" s="282">
        <f t="shared" si="10"/>
        <v>0</v>
      </c>
      <c r="F82" s="283">
        <f>COUNTIFS(DelinquencyPerSector!$I:$I, "="&amp;A82, DelinquencyPerSector!$J:$J, "="&amp;B82,DelinquencyPerSector!$K:$K, "="&amp;C82,DelinquencyPerSector!$L:$L, "&gt;0")</f>
        <v>0</v>
      </c>
      <c r="G82" s="284">
        <f>SUMIFS(DelinquencyPerSector!$N$2:$N$5000, DelinquencyPerSector!$K$2:$K$5000, "="&amp;C82, DelinquencyPerSector!$J$2:$J$5000, "="&amp;B82, DelinquencyPerSector!$I$2:$I$5000,"="&amp;A82)</f>
        <v>0</v>
      </c>
      <c r="H82" s="282">
        <f t="shared" si="11"/>
        <v>0</v>
      </c>
      <c r="I82" s="283">
        <f>COUNTIFS(DelinquencyPerSector!$I:$I, "="&amp;A82, DelinquencyPerSector!$J:$J, "="&amp;B82,DelinquencyPerSector!$K:$K, "="&amp;C82,DelinquencyPerSector!$N:$N, "&gt;0")</f>
        <v>0</v>
      </c>
      <c r="J82" s="281">
        <f>SUMIFS(DelinquencyPerSector!$P$2:$P$5000, DelinquencyPerSector!$K$2:$K$5000, "="&amp;C82, DelinquencyPerSector!$J$2:$J$5000, "="&amp;B82, DelinquencyPerSector!$I$2:$I$5000,"="&amp;A82)</f>
        <v>0</v>
      </c>
      <c r="K82" s="282">
        <f t="shared" si="12"/>
        <v>0</v>
      </c>
      <c r="L82" s="283">
        <f>COUNTIFS(DelinquencyPerSector!$I:$I, "="&amp;A82, DelinquencyPerSector!$J:$J, "="&amp;B82,DelinquencyPerSector!$K:$K, "="&amp;C82,DelinquencyPerSector!$P:$P, "&gt;0")</f>
        <v>0</v>
      </c>
      <c r="M82" s="285">
        <f>SUMIFS(DelinquencyPerSector!$R$2:$R$5000,DelinquencyPerSector!$K$2:$K$5000, "="&amp;C82, DelinquencyPerSector!$J$2:$J$5000, "="&amp;B82,DelinquencyPerSector!$I$2:$I$5000,"="&amp;A82)</f>
        <v>0</v>
      </c>
      <c r="N82" s="282">
        <f t="shared" si="13"/>
        <v>0</v>
      </c>
      <c r="O82" s="283">
        <f>COUNTIFS(DelinquencyPerSector!$I:$I, "="&amp;A82, DelinquencyPerSector!$J:$J, "="&amp;B82,DelinquencyPerSector!$K:$K, "="&amp;C82,DelinquencyPerSector!$R:$R, "&gt;0")</f>
        <v>0</v>
      </c>
      <c r="P82" s="281">
        <v>27005102.440000001</v>
      </c>
      <c r="Q82" s="282">
        <f t="shared" si="14"/>
        <v>1.6301566560569247E-3</v>
      </c>
      <c r="R82" s="287">
        <f>COUNTIFS(DelinquencyPerSector!$I:$I, "="&amp;A82, DelinquencyPerSector!$J:$J, "="&amp;B82,DelinquencyPerSector!$K:$K, "="&amp;C82)</f>
        <v>2</v>
      </c>
      <c r="S82" s="288">
        <f>Table_ExternalData_18[[#This Row],[Total Port%]]-Table_ExternalData_18[[#This Row],[PAR 30+%]]</f>
        <v>1.6301566560569247E-3</v>
      </c>
      <c r="T82" s="289">
        <f>Table_ExternalData_18[[#This Row],[Total Port%]]-Table_ExternalData_18[[#This Row],[PAR 90+%]]</f>
        <v>1.6301566560569247E-3</v>
      </c>
      <c r="U82" s="280"/>
      <c r="V82" s="280"/>
    </row>
    <row r="83" spans="1:22" ht="22.8" x14ac:dyDescent="0.4">
      <c r="A83" s="280" t="s">
        <v>31</v>
      </c>
      <c r="B83" s="280" t="s">
        <v>298</v>
      </c>
      <c r="C83" s="280" t="s">
        <v>298</v>
      </c>
      <c r="D83" s="281">
        <f>SUMIFS(DelinquencyPerSector!$L$2:$L$5000,DelinquencyPerSector!$K$2:$K$5000, "="&amp;C83, DelinquencyPerSector!$J$2:$J$5000, "="&amp;B83,DelinquencyPerSector!$I$2:$I$5000,"="&amp;A83)</f>
        <v>0</v>
      </c>
      <c r="E83" s="282">
        <f t="shared" si="10"/>
        <v>0</v>
      </c>
      <c r="F83" s="283">
        <f>COUNTIFS(DelinquencyPerSector!$I:$I, "="&amp;A83, DelinquencyPerSector!$J:$J, "="&amp;B83,DelinquencyPerSector!$K:$K, "="&amp;C83,DelinquencyPerSector!$L:$L, "&gt;0")</f>
        <v>0</v>
      </c>
      <c r="G83" s="284">
        <f>SUMIFS(DelinquencyPerSector!$N$2:$N$5000, DelinquencyPerSector!$K$2:$K$5000, "="&amp;C83, DelinquencyPerSector!$J$2:$J$5000, "="&amp;B83, DelinquencyPerSector!$I$2:$I$5000,"="&amp;A83)</f>
        <v>0</v>
      </c>
      <c r="H83" s="282">
        <f t="shared" si="11"/>
        <v>0</v>
      </c>
      <c r="I83" s="283">
        <f>COUNTIFS(DelinquencyPerSector!$I:$I, "="&amp;A83, DelinquencyPerSector!$J:$J, "="&amp;B83,DelinquencyPerSector!$K:$K, "="&amp;C83,DelinquencyPerSector!$N:$N, "&gt;0")</f>
        <v>0</v>
      </c>
      <c r="J83" s="281">
        <f>SUMIFS(DelinquencyPerSector!$P$2:$P$5000, DelinquencyPerSector!$K$2:$K$5000, "="&amp;C83, DelinquencyPerSector!$J$2:$J$5000, "="&amp;B83, DelinquencyPerSector!$I$2:$I$5000,"="&amp;A83)</f>
        <v>0</v>
      </c>
      <c r="K83" s="282">
        <f t="shared" si="12"/>
        <v>0</v>
      </c>
      <c r="L83" s="283">
        <f>COUNTIFS(DelinquencyPerSector!$I:$I, "="&amp;A83, DelinquencyPerSector!$J:$J, "="&amp;B83,DelinquencyPerSector!$K:$K, "="&amp;C83,DelinquencyPerSector!$P:$P, "&gt;0")</f>
        <v>0</v>
      </c>
      <c r="M83" s="285">
        <f>SUMIFS(DelinquencyPerSector!$R$2:$R$5000,DelinquencyPerSector!$K$2:$K$5000, "="&amp;C83, DelinquencyPerSector!$J$2:$J$5000, "="&amp;B83,DelinquencyPerSector!$I$2:$I$5000,"="&amp;A83)</f>
        <v>0</v>
      </c>
      <c r="N83" s="282">
        <f t="shared" si="13"/>
        <v>0</v>
      </c>
      <c r="O83" s="283">
        <f>COUNTIFS(DelinquencyPerSector!$I:$I, "="&amp;A83, DelinquencyPerSector!$J:$J, "="&amp;B83,DelinquencyPerSector!$K:$K, "="&amp;C83,DelinquencyPerSector!$R:$R, "&gt;0")</f>
        <v>0</v>
      </c>
      <c r="P83" s="281">
        <v>50421285.609999999</v>
      </c>
      <c r="Q83" s="282">
        <f t="shared" si="14"/>
        <v>3.043669044644762E-3</v>
      </c>
      <c r="R83" s="287">
        <f>COUNTIFS(DelinquencyPerSector!$I:$I, "="&amp;A83, DelinquencyPerSector!$J:$J, "="&amp;B83,DelinquencyPerSector!$K:$K, "="&amp;C83)</f>
        <v>1</v>
      </c>
      <c r="S83" s="288">
        <f>Table_ExternalData_18[[#This Row],[Total Port%]]-Table_ExternalData_18[[#This Row],[PAR 30+%]]</f>
        <v>3.043669044644762E-3</v>
      </c>
      <c r="T83" s="289">
        <f>Table_ExternalData_18[[#This Row],[Total Port%]]-Table_ExternalData_18[[#This Row],[PAR 90+%]]</f>
        <v>3.043669044644762E-3</v>
      </c>
      <c r="U83" s="280"/>
      <c r="V83" s="280"/>
    </row>
    <row r="84" spans="1:22" ht="22.8" x14ac:dyDescent="0.4">
      <c r="A84" s="280" t="s">
        <v>31</v>
      </c>
      <c r="B84" s="280" t="s">
        <v>298</v>
      </c>
      <c r="C84" s="280" t="s">
        <v>26</v>
      </c>
      <c r="D84" s="281">
        <f>SUMIFS(DelinquencyPerSector!$L$2:$L$5000,DelinquencyPerSector!$K$2:$K$5000, "="&amp;C84, DelinquencyPerSector!$J$2:$J$5000, "="&amp;B84,DelinquencyPerSector!$I$2:$I$5000,"="&amp;A84)</f>
        <v>0</v>
      </c>
      <c r="E84" s="282">
        <f t="shared" si="10"/>
        <v>0</v>
      </c>
      <c r="F84" s="283">
        <f>COUNTIFS(DelinquencyPerSector!$I:$I, "="&amp;A84, DelinquencyPerSector!$J:$J, "="&amp;B84,DelinquencyPerSector!$K:$K, "="&amp;C84,DelinquencyPerSector!$L:$L, "&gt;0")</f>
        <v>0</v>
      </c>
      <c r="G84" s="284">
        <f>SUMIFS(DelinquencyPerSector!$N$2:$N$5000, DelinquencyPerSector!$K$2:$K$5000, "="&amp;C84, DelinquencyPerSector!$J$2:$J$5000, "="&amp;B84, DelinquencyPerSector!$I$2:$I$5000,"="&amp;A84)</f>
        <v>0</v>
      </c>
      <c r="H84" s="282">
        <f t="shared" si="11"/>
        <v>0</v>
      </c>
      <c r="I84" s="283">
        <f>COUNTIFS(DelinquencyPerSector!$I:$I, "="&amp;A84, DelinquencyPerSector!$J:$J, "="&amp;B84,DelinquencyPerSector!$K:$K, "="&amp;C84,DelinquencyPerSector!$N:$N, "&gt;0")</f>
        <v>0</v>
      </c>
      <c r="J84" s="281">
        <f>SUMIFS(DelinquencyPerSector!$P$2:$P$5000, DelinquencyPerSector!$K$2:$K$5000, "="&amp;C84, DelinquencyPerSector!$J$2:$J$5000, "="&amp;B84, DelinquencyPerSector!$I$2:$I$5000,"="&amp;A84)</f>
        <v>0</v>
      </c>
      <c r="K84" s="282">
        <f t="shared" si="12"/>
        <v>0</v>
      </c>
      <c r="L84" s="283">
        <f>COUNTIFS(DelinquencyPerSector!$I:$I, "="&amp;A84, DelinquencyPerSector!$J:$J, "="&amp;B84,DelinquencyPerSector!$K:$K, "="&amp;C84,DelinquencyPerSector!$P:$P, "&gt;0")</f>
        <v>0</v>
      </c>
      <c r="M84" s="285">
        <f>SUMIFS(DelinquencyPerSector!$R$2:$R$5000,DelinquencyPerSector!$K$2:$K$5000, "="&amp;C84, DelinquencyPerSector!$J$2:$J$5000, "="&amp;B84,DelinquencyPerSector!$I$2:$I$5000,"="&amp;A84)</f>
        <v>0</v>
      </c>
      <c r="N84" s="282">
        <f t="shared" si="13"/>
        <v>0</v>
      </c>
      <c r="O84" s="283">
        <f>COUNTIFS(DelinquencyPerSector!$I:$I, "="&amp;A84, DelinquencyPerSector!$J:$J, "="&amp;B84,DelinquencyPerSector!$K:$K, "="&amp;C84,DelinquencyPerSector!$R:$R, "&gt;0")</f>
        <v>0</v>
      </c>
      <c r="P84" s="281">
        <v>4743513.4000000004</v>
      </c>
      <c r="Q84" s="282">
        <f t="shared" si="14"/>
        <v>2.8634107051753193E-4</v>
      </c>
      <c r="R84" s="287">
        <f>COUNTIFS(DelinquencyPerSector!$I:$I, "="&amp;A84, DelinquencyPerSector!$J:$J, "="&amp;B84,DelinquencyPerSector!$K:$K, "="&amp;C84)</f>
        <v>1</v>
      </c>
      <c r="S84" s="288">
        <f>Table_ExternalData_18[[#This Row],[Total Port%]]-Table_ExternalData_18[[#This Row],[PAR 30+%]]</f>
        <v>2.8634107051753193E-4</v>
      </c>
      <c r="T84" s="289">
        <f>Table_ExternalData_18[[#This Row],[Total Port%]]-Table_ExternalData_18[[#This Row],[PAR 90+%]]</f>
        <v>2.8634107051753193E-4</v>
      </c>
      <c r="U84" s="280"/>
      <c r="V84" s="280"/>
    </row>
    <row r="85" spans="1:22" ht="22.8" x14ac:dyDescent="0.4">
      <c r="A85" s="280" t="s">
        <v>31</v>
      </c>
      <c r="B85" s="280" t="s">
        <v>1815</v>
      </c>
      <c r="C85" s="280" t="s">
        <v>1815</v>
      </c>
      <c r="D85" s="281">
        <f>SUMIFS(DelinquencyPerSector!$L$2:$L$5000,DelinquencyPerSector!$K$2:$K$5000, "="&amp;C85, DelinquencyPerSector!$J$2:$J$5000, "="&amp;B85,DelinquencyPerSector!$I$2:$I$5000,"="&amp;A85)</f>
        <v>14805544.539999999</v>
      </c>
      <c r="E85" s="282">
        <f t="shared" si="10"/>
        <v>2.0073358839634969E-3</v>
      </c>
      <c r="F85" s="283">
        <f>COUNTIFS(DelinquencyPerSector!$I:$I, "="&amp;A85, DelinquencyPerSector!$J:$J, "="&amp;B85,DelinquencyPerSector!$K:$K, "="&amp;C85,DelinquencyPerSector!$L:$L, "&gt;0")</f>
        <v>1</v>
      </c>
      <c r="G85" s="284">
        <f>SUMIFS(DelinquencyPerSector!$N$2:$N$5000, DelinquencyPerSector!$K$2:$K$5000, "="&amp;C85, DelinquencyPerSector!$J$2:$J$5000, "="&amp;B85, DelinquencyPerSector!$I$2:$I$5000,"="&amp;A85)</f>
        <v>0</v>
      </c>
      <c r="H85" s="282">
        <f t="shared" si="11"/>
        <v>0</v>
      </c>
      <c r="I85" s="283">
        <f>COUNTIFS(DelinquencyPerSector!$I:$I, "="&amp;A85, DelinquencyPerSector!$J:$J, "="&amp;B85,DelinquencyPerSector!$K:$K, "="&amp;C85,DelinquencyPerSector!$N:$N, "&gt;0")</f>
        <v>0</v>
      </c>
      <c r="J85" s="281">
        <f>SUMIFS(DelinquencyPerSector!$P$2:$P$5000, DelinquencyPerSector!$K$2:$K$5000, "="&amp;C85, DelinquencyPerSector!$J$2:$J$5000, "="&amp;B85, DelinquencyPerSector!$I$2:$I$5000,"="&amp;A85)</f>
        <v>0</v>
      </c>
      <c r="K85" s="282">
        <f t="shared" si="12"/>
        <v>0</v>
      </c>
      <c r="L85" s="283">
        <f>COUNTIFS(DelinquencyPerSector!$I:$I, "="&amp;A85, DelinquencyPerSector!$J:$J, "="&amp;B85,DelinquencyPerSector!$K:$K, "="&amp;C85,DelinquencyPerSector!$P:$P, "&gt;0")</f>
        <v>0</v>
      </c>
      <c r="M85" s="285">
        <f>SUMIFS(DelinquencyPerSector!$R$2:$R$5000,DelinquencyPerSector!$K$2:$K$5000, "="&amp;C85, DelinquencyPerSector!$J$2:$J$5000, "="&amp;B85,DelinquencyPerSector!$I$2:$I$5000,"="&amp;A85)</f>
        <v>0</v>
      </c>
      <c r="N85" s="282">
        <f t="shared" si="13"/>
        <v>0</v>
      </c>
      <c r="O85" s="283">
        <f>COUNTIFS(DelinquencyPerSector!$I:$I, "="&amp;A85, DelinquencyPerSector!$J:$J, "="&amp;B85,DelinquencyPerSector!$K:$K, "="&amp;C85,DelinquencyPerSector!$R:$R, "&gt;0")</f>
        <v>0</v>
      </c>
      <c r="P85" s="281">
        <v>14805544.539999999</v>
      </c>
      <c r="Q85" s="282">
        <f t="shared" si="14"/>
        <v>8.937332132715382E-4</v>
      </c>
      <c r="R85" s="287">
        <f>COUNTIFS(DelinquencyPerSector!$I:$I, "="&amp;A85, DelinquencyPerSector!$J:$J, "="&amp;B85,DelinquencyPerSector!$K:$K, "="&amp;C85)</f>
        <v>1</v>
      </c>
      <c r="S85" s="288">
        <f>Table_ExternalData_18[[#This Row],[Total Port%]]-Table_ExternalData_18[[#This Row],[PAR 30+%]]</f>
        <v>8.937332132715382E-4</v>
      </c>
      <c r="T85" s="289">
        <f>Table_ExternalData_18[[#This Row],[Total Port%]]-Table_ExternalData_18[[#This Row],[PAR 90+%]]</f>
        <v>8.937332132715382E-4</v>
      </c>
      <c r="U85" s="280"/>
      <c r="V85" s="280"/>
    </row>
    <row r="86" spans="1:22" ht="22.8" x14ac:dyDescent="0.4">
      <c r="A86" s="280" t="s">
        <v>31</v>
      </c>
      <c r="B86" s="280" t="s">
        <v>1815</v>
      </c>
      <c r="C86" s="280" t="s">
        <v>26</v>
      </c>
      <c r="D86" s="281">
        <f>SUMIFS(DelinquencyPerSector!$L$2:$L$5000,DelinquencyPerSector!$K$2:$K$5000, "="&amp;C86, DelinquencyPerSector!$J$2:$J$5000, "="&amp;B86,DelinquencyPerSector!$I$2:$I$5000,"="&amp;A86)</f>
        <v>0</v>
      </c>
      <c r="E86" s="282">
        <f t="shared" si="10"/>
        <v>0</v>
      </c>
      <c r="F86" s="283">
        <f>COUNTIFS(DelinquencyPerSector!$I:$I, "="&amp;A86, DelinquencyPerSector!$J:$J, "="&amp;B86,DelinquencyPerSector!$K:$K, "="&amp;C86,DelinquencyPerSector!$L:$L, "&gt;0")</f>
        <v>0</v>
      </c>
      <c r="G86" s="284">
        <f>SUMIFS(DelinquencyPerSector!$N$2:$N$5000, DelinquencyPerSector!$K$2:$K$5000, "="&amp;C86, DelinquencyPerSector!$J$2:$J$5000, "="&amp;B86, DelinquencyPerSector!$I$2:$I$5000,"="&amp;A86)</f>
        <v>0</v>
      </c>
      <c r="H86" s="282">
        <f t="shared" si="11"/>
        <v>0</v>
      </c>
      <c r="I86" s="283">
        <f>COUNTIFS(DelinquencyPerSector!$I:$I, "="&amp;A86, DelinquencyPerSector!$J:$J, "="&amp;B86,DelinquencyPerSector!$K:$K, "="&amp;C86,DelinquencyPerSector!$N:$N, "&gt;0")</f>
        <v>0</v>
      </c>
      <c r="J86" s="281">
        <f>SUMIFS(DelinquencyPerSector!$P$2:$P$5000, DelinquencyPerSector!$K$2:$K$5000, "="&amp;C86, DelinquencyPerSector!$J$2:$J$5000, "="&amp;B86, DelinquencyPerSector!$I$2:$I$5000,"="&amp;A86)</f>
        <v>0</v>
      </c>
      <c r="K86" s="282">
        <f t="shared" si="12"/>
        <v>0</v>
      </c>
      <c r="L86" s="283">
        <f>COUNTIFS(DelinquencyPerSector!$I:$I, "="&amp;A86, DelinquencyPerSector!$J:$J, "="&amp;B86,DelinquencyPerSector!$K:$K, "="&amp;C86,DelinquencyPerSector!$P:$P, "&gt;0")</f>
        <v>0</v>
      </c>
      <c r="M86" s="285">
        <f>SUMIFS(DelinquencyPerSector!$R$2:$R$5000,DelinquencyPerSector!$K$2:$K$5000, "="&amp;C86, DelinquencyPerSector!$J$2:$J$5000, "="&amp;B86,DelinquencyPerSector!$I$2:$I$5000,"="&amp;A86)</f>
        <v>0</v>
      </c>
      <c r="N86" s="282">
        <f t="shared" si="13"/>
        <v>0</v>
      </c>
      <c r="O86" s="283">
        <f>COUNTIFS(DelinquencyPerSector!$I:$I, "="&amp;A86, DelinquencyPerSector!$J:$J, "="&amp;B86,DelinquencyPerSector!$K:$K, "="&amp;C86,DelinquencyPerSector!$R:$R, "&gt;0")</f>
        <v>0</v>
      </c>
      <c r="P86" s="281">
        <v>27791794.84</v>
      </c>
      <c r="Q86" s="282">
        <f t="shared" si="14"/>
        <v>1.6776451577198495E-3</v>
      </c>
      <c r="R86" s="287">
        <f>COUNTIFS(DelinquencyPerSector!$I:$I, "="&amp;A86, DelinquencyPerSector!$J:$J, "="&amp;B86,DelinquencyPerSector!$K:$K, "="&amp;C86)</f>
        <v>1</v>
      </c>
      <c r="S86" s="288">
        <f>Table_ExternalData_18[[#This Row],[Total Port%]]-Table_ExternalData_18[[#This Row],[PAR 30+%]]</f>
        <v>1.6776451577198495E-3</v>
      </c>
      <c r="T86" s="289">
        <f>Table_ExternalData_18[[#This Row],[Total Port%]]-Table_ExternalData_18[[#This Row],[PAR 90+%]]</f>
        <v>1.6776451577198495E-3</v>
      </c>
      <c r="U86" s="280"/>
      <c r="V86" s="280"/>
    </row>
    <row r="87" spans="1:22" ht="22.8" x14ac:dyDescent="0.4">
      <c r="A87" s="280" t="s">
        <v>31</v>
      </c>
      <c r="B87" s="280" t="s">
        <v>5390</v>
      </c>
      <c r="C87" s="280" t="s">
        <v>5391</v>
      </c>
      <c r="D87" s="281">
        <f>SUMIFS(DelinquencyPerSector!$L$2:$L$5000,DelinquencyPerSector!$K$2:$K$5000, "="&amp;C87, DelinquencyPerSector!$J$2:$J$5000, "="&amp;B87,DelinquencyPerSector!$I$2:$I$5000,"="&amp;A87)</f>
        <v>0</v>
      </c>
      <c r="E87" s="282">
        <f t="shared" si="10"/>
        <v>0</v>
      </c>
      <c r="F87" s="283">
        <f>COUNTIFS(DelinquencyPerSector!$I:$I, "="&amp;A87, DelinquencyPerSector!$J:$J, "="&amp;B87,DelinquencyPerSector!$K:$K, "="&amp;C87,DelinquencyPerSector!$L:$L, "&gt;0")</f>
        <v>0</v>
      </c>
      <c r="G87" s="284">
        <f>SUMIFS(DelinquencyPerSector!$N$2:$N$5000, DelinquencyPerSector!$K$2:$K$5000, "="&amp;C87, DelinquencyPerSector!$J$2:$J$5000, "="&amp;B87, DelinquencyPerSector!$I$2:$I$5000,"="&amp;A87)</f>
        <v>0</v>
      </c>
      <c r="H87" s="282">
        <f t="shared" si="11"/>
        <v>0</v>
      </c>
      <c r="I87" s="283">
        <f>COUNTIFS(DelinquencyPerSector!$I:$I, "="&amp;A87, DelinquencyPerSector!$J:$J, "="&amp;B87,DelinquencyPerSector!$K:$K, "="&amp;C87,DelinquencyPerSector!$N:$N, "&gt;0")</f>
        <v>0</v>
      </c>
      <c r="J87" s="281">
        <f>SUMIFS(DelinquencyPerSector!$P$2:$P$5000, DelinquencyPerSector!$K$2:$K$5000, "="&amp;C87, DelinquencyPerSector!$J$2:$J$5000, "="&amp;B87, DelinquencyPerSector!$I$2:$I$5000,"="&amp;A87)</f>
        <v>0</v>
      </c>
      <c r="K87" s="282">
        <f t="shared" si="12"/>
        <v>0</v>
      </c>
      <c r="L87" s="283">
        <f>COUNTIFS(DelinquencyPerSector!$I:$I, "="&amp;A87, DelinquencyPerSector!$J:$J, "="&amp;B87,DelinquencyPerSector!$K:$K, "="&amp;C87,DelinquencyPerSector!$P:$P, "&gt;0")</f>
        <v>0</v>
      </c>
      <c r="M87" s="285">
        <f>SUMIFS(DelinquencyPerSector!$R$2:$R$5000,DelinquencyPerSector!$K$2:$K$5000, "="&amp;C87, DelinquencyPerSector!$J$2:$J$5000, "="&amp;B87,DelinquencyPerSector!$I$2:$I$5000,"="&amp;A87)</f>
        <v>0</v>
      </c>
      <c r="N87" s="282">
        <f t="shared" si="13"/>
        <v>0</v>
      </c>
      <c r="O87" s="283">
        <f>COUNTIFS(DelinquencyPerSector!$I:$I, "="&amp;A87, DelinquencyPerSector!$J:$J, "="&amp;B87,DelinquencyPerSector!$K:$K, "="&amp;C87,DelinquencyPerSector!$R:$R, "&gt;0")</f>
        <v>0</v>
      </c>
      <c r="P87" s="281">
        <v>781983.27</v>
      </c>
      <c r="Q87" s="282">
        <f t="shared" si="14"/>
        <v>4.7204236138259924E-5</v>
      </c>
      <c r="R87" s="287">
        <f>COUNTIFS(DelinquencyPerSector!$I:$I, "="&amp;A87, DelinquencyPerSector!$J:$J, "="&amp;B87,DelinquencyPerSector!$K:$K, "="&amp;C87)</f>
        <v>1</v>
      </c>
      <c r="S87" s="288">
        <f>Table_ExternalData_18[[#This Row],[Total Port%]]-Table_ExternalData_18[[#This Row],[PAR 30+%]]</f>
        <v>4.7204236138259924E-5</v>
      </c>
      <c r="T87" s="289">
        <f>Table_ExternalData_18[[#This Row],[Total Port%]]-Table_ExternalData_18[[#This Row],[PAR 90+%]]</f>
        <v>4.7204236138259924E-5</v>
      </c>
      <c r="U87" s="280"/>
      <c r="V87" s="280"/>
    </row>
    <row r="88" spans="1:22" ht="22.8" x14ac:dyDescent="0.4">
      <c r="A88" s="280" t="s">
        <v>31</v>
      </c>
      <c r="B88" s="280" t="s">
        <v>416</v>
      </c>
      <c r="C88" s="280" t="s">
        <v>518</v>
      </c>
      <c r="D88" s="281">
        <f>SUMIFS(DelinquencyPerSector!$L$2:$L$5000,DelinquencyPerSector!$K$2:$K$5000, "="&amp;C88, DelinquencyPerSector!$J$2:$J$5000, "="&amp;B88,DelinquencyPerSector!$I$2:$I$5000,"="&amp;A88)</f>
        <v>52485275.039999999</v>
      </c>
      <c r="E88" s="282">
        <f t="shared" si="10"/>
        <v>7.1159541402106155E-3</v>
      </c>
      <c r="F88" s="283">
        <f>COUNTIFS(DelinquencyPerSector!$I:$I, "="&amp;A88, DelinquencyPerSector!$J:$J, "="&amp;B88,DelinquencyPerSector!$K:$K, "="&amp;C88,DelinquencyPerSector!$L:$L, "&gt;0")</f>
        <v>1</v>
      </c>
      <c r="G88" s="284">
        <f>SUMIFS(DelinquencyPerSector!$N$2:$N$5000, DelinquencyPerSector!$K$2:$K$5000, "="&amp;C88, DelinquencyPerSector!$J$2:$J$5000, "="&amp;B88, DelinquencyPerSector!$I$2:$I$5000,"="&amp;A88)</f>
        <v>0</v>
      </c>
      <c r="H88" s="282">
        <f t="shared" si="11"/>
        <v>0</v>
      </c>
      <c r="I88" s="283">
        <f>COUNTIFS(DelinquencyPerSector!$I:$I, "="&amp;A88, DelinquencyPerSector!$J:$J, "="&amp;B88,DelinquencyPerSector!$K:$K, "="&amp;C88,DelinquencyPerSector!$N:$N, "&gt;0")</f>
        <v>0</v>
      </c>
      <c r="J88" s="281">
        <f>SUMIFS(DelinquencyPerSector!$P$2:$P$5000, DelinquencyPerSector!$K$2:$K$5000, "="&amp;C88, DelinquencyPerSector!$J$2:$J$5000, "="&amp;B88, DelinquencyPerSector!$I$2:$I$5000,"="&amp;A88)</f>
        <v>0</v>
      </c>
      <c r="K88" s="282">
        <f t="shared" si="12"/>
        <v>0</v>
      </c>
      <c r="L88" s="283">
        <f>COUNTIFS(DelinquencyPerSector!$I:$I, "="&amp;A88, DelinquencyPerSector!$J:$J, "="&amp;B88,DelinquencyPerSector!$K:$K, "="&amp;C88,DelinquencyPerSector!$P:$P, "&gt;0")</f>
        <v>0</v>
      </c>
      <c r="M88" s="285">
        <f>SUMIFS(DelinquencyPerSector!$R$2:$R$5000,DelinquencyPerSector!$K$2:$K$5000, "="&amp;C88, DelinquencyPerSector!$J$2:$J$5000, "="&amp;B88,DelinquencyPerSector!$I$2:$I$5000,"="&amp;A88)</f>
        <v>0</v>
      </c>
      <c r="N88" s="282">
        <f t="shared" si="13"/>
        <v>0</v>
      </c>
      <c r="O88" s="283">
        <f>COUNTIFS(DelinquencyPerSector!$I:$I, "="&amp;A88, DelinquencyPerSector!$J:$J, "="&amp;B88,DelinquencyPerSector!$K:$K, "="&amp;C88,DelinquencyPerSector!$R:$R, "&gt;0")</f>
        <v>0</v>
      </c>
      <c r="P88" s="281">
        <v>52485275.039999999</v>
      </c>
      <c r="Q88" s="282">
        <f t="shared" si="14"/>
        <v>3.1682612810497589E-3</v>
      </c>
      <c r="R88" s="287">
        <f>COUNTIFS(DelinquencyPerSector!$I:$I, "="&amp;A88, DelinquencyPerSector!$J:$J, "="&amp;B88,DelinquencyPerSector!$K:$K, "="&amp;C88)</f>
        <v>1</v>
      </c>
      <c r="S88" s="288">
        <f>Table_ExternalData_18[[#This Row],[Total Port%]]-Table_ExternalData_18[[#This Row],[PAR 30+%]]</f>
        <v>3.1682612810497589E-3</v>
      </c>
      <c r="T88" s="289">
        <f>Table_ExternalData_18[[#This Row],[Total Port%]]-Table_ExternalData_18[[#This Row],[PAR 90+%]]</f>
        <v>3.1682612810497589E-3</v>
      </c>
      <c r="U88" s="280"/>
      <c r="V88" s="280"/>
    </row>
    <row r="89" spans="1:22" ht="22.8" x14ac:dyDescent="0.4">
      <c r="A89" s="280" t="s">
        <v>31</v>
      </c>
      <c r="B89" s="280" t="s">
        <v>26</v>
      </c>
      <c r="C89" s="280" t="s">
        <v>26</v>
      </c>
      <c r="D89" s="281">
        <f>SUMIFS(DelinquencyPerSector!$L$2:$L$5000,DelinquencyPerSector!$K$2:$K$5000, "="&amp;C89, DelinquencyPerSector!$J$2:$J$5000, "="&amp;B89,DelinquencyPerSector!$I$2:$I$5000,"="&amp;A89)</f>
        <v>619690.30000000005</v>
      </c>
      <c r="E89" s="282">
        <f t="shared" si="10"/>
        <v>8.4017617371208469E-5</v>
      </c>
      <c r="F89" s="283">
        <f>COUNTIFS(DelinquencyPerSector!$I:$I, "="&amp;A89, DelinquencyPerSector!$J:$J, "="&amp;B89,DelinquencyPerSector!$K:$K, "="&amp;C89,DelinquencyPerSector!$L:$L, "&gt;0")</f>
        <v>1</v>
      </c>
      <c r="G89" s="284">
        <f>SUMIFS(DelinquencyPerSector!$N$2:$N$5000, DelinquencyPerSector!$K$2:$K$5000, "="&amp;C89, DelinquencyPerSector!$J$2:$J$5000, "="&amp;B89, DelinquencyPerSector!$I$2:$I$5000,"="&amp;A89)</f>
        <v>0</v>
      </c>
      <c r="H89" s="282">
        <f t="shared" si="11"/>
        <v>0</v>
      </c>
      <c r="I89" s="283">
        <f>COUNTIFS(DelinquencyPerSector!$I:$I, "="&amp;A89, DelinquencyPerSector!$J:$J, "="&amp;B89,DelinquencyPerSector!$K:$K, "="&amp;C89,DelinquencyPerSector!$N:$N, "&gt;0")</f>
        <v>0</v>
      </c>
      <c r="J89" s="281">
        <f>SUMIFS(DelinquencyPerSector!$P$2:$P$5000, DelinquencyPerSector!$K$2:$K$5000, "="&amp;C89, DelinquencyPerSector!$J$2:$J$5000, "="&amp;B89, DelinquencyPerSector!$I$2:$I$5000,"="&amp;A89)</f>
        <v>0</v>
      </c>
      <c r="K89" s="282">
        <f t="shared" si="12"/>
        <v>0</v>
      </c>
      <c r="L89" s="283">
        <f>COUNTIFS(DelinquencyPerSector!$I:$I, "="&amp;A89, DelinquencyPerSector!$J:$J, "="&amp;B89,DelinquencyPerSector!$K:$K, "="&amp;C89,DelinquencyPerSector!$P:$P, "&gt;0")</f>
        <v>0</v>
      </c>
      <c r="M89" s="285">
        <f>SUMIFS(DelinquencyPerSector!$R$2:$R$5000,DelinquencyPerSector!$K$2:$K$5000, "="&amp;C89, DelinquencyPerSector!$J$2:$J$5000, "="&amp;B89,DelinquencyPerSector!$I$2:$I$5000,"="&amp;A89)</f>
        <v>0</v>
      </c>
      <c r="N89" s="282">
        <f t="shared" si="13"/>
        <v>0</v>
      </c>
      <c r="O89" s="283">
        <f>COUNTIFS(DelinquencyPerSector!$I:$I, "="&amp;A89, DelinquencyPerSector!$J:$J, "="&amp;B89,DelinquencyPerSector!$K:$K, "="&amp;C89,DelinquencyPerSector!$R:$R, "&gt;0")</f>
        <v>0</v>
      </c>
      <c r="P89" s="281">
        <v>49576367.859999999</v>
      </c>
      <c r="Q89" s="282">
        <f t="shared" si="14"/>
        <v>2.9926657834261337E-3</v>
      </c>
      <c r="R89" s="287">
        <f>COUNTIFS(DelinquencyPerSector!$I:$I, "="&amp;A89, DelinquencyPerSector!$J:$J, "="&amp;B89,DelinquencyPerSector!$K:$K, "="&amp;C89)</f>
        <v>2</v>
      </c>
      <c r="S89" s="288">
        <f>Table_ExternalData_18[[#This Row],[Total Port%]]-Table_ExternalData_18[[#This Row],[PAR 30+%]]</f>
        <v>2.9926657834261337E-3</v>
      </c>
      <c r="T89" s="289">
        <f>Table_ExternalData_18[[#This Row],[Total Port%]]-Table_ExternalData_18[[#This Row],[PAR 90+%]]</f>
        <v>2.9926657834261337E-3</v>
      </c>
      <c r="U89" s="280"/>
      <c r="V89" s="280"/>
    </row>
    <row r="90" spans="1:22" ht="22.8" x14ac:dyDescent="0.4">
      <c r="A90" s="280" t="s">
        <v>31</v>
      </c>
      <c r="B90" s="280" t="s">
        <v>5187</v>
      </c>
      <c r="C90" s="280" t="s">
        <v>5188</v>
      </c>
      <c r="D90" s="281">
        <f>SUMIFS(DelinquencyPerSector!$L$2:$L$5000,DelinquencyPerSector!$K$2:$K$5000, "="&amp;C90, DelinquencyPerSector!$J$2:$J$5000, "="&amp;B90,DelinquencyPerSector!$I$2:$I$5000,"="&amp;A90)</f>
        <v>0</v>
      </c>
      <c r="E90" s="282">
        <f t="shared" si="10"/>
        <v>0</v>
      </c>
      <c r="F90" s="283">
        <f>COUNTIFS(DelinquencyPerSector!$I:$I, "="&amp;A90, DelinquencyPerSector!$J:$J, "="&amp;B90,DelinquencyPerSector!$K:$K, "="&amp;C90,DelinquencyPerSector!$L:$L, "&gt;0")</f>
        <v>0</v>
      </c>
      <c r="G90" s="284">
        <f>SUMIFS(DelinquencyPerSector!$N$2:$N$5000, DelinquencyPerSector!$K$2:$K$5000, "="&amp;C90, DelinquencyPerSector!$J$2:$J$5000, "="&amp;B90, DelinquencyPerSector!$I$2:$I$5000,"="&amp;A90)</f>
        <v>0</v>
      </c>
      <c r="H90" s="282">
        <f t="shared" si="11"/>
        <v>0</v>
      </c>
      <c r="I90" s="283">
        <f>COUNTIFS(DelinquencyPerSector!$I:$I, "="&amp;A90, DelinquencyPerSector!$J:$J, "="&amp;B90,DelinquencyPerSector!$K:$K, "="&amp;C90,DelinquencyPerSector!$N:$N, "&gt;0")</f>
        <v>0</v>
      </c>
      <c r="J90" s="281">
        <f>SUMIFS(DelinquencyPerSector!$P$2:$P$5000, DelinquencyPerSector!$K$2:$K$5000, "="&amp;C90, DelinquencyPerSector!$J$2:$J$5000, "="&amp;B90, DelinquencyPerSector!$I$2:$I$5000,"="&amp;A90)</f>
        <v>0</v>
      </c>
      <c r="K90" s="282">
        <f t="shared" si="12"/>
        <v>0</v>
      </c>
      <c r="L90" s="283">
        <f>COUNTIFS(DelinquencyPerSector!$I:$I, "="&amp;A90, DelinquencyPerSector!$J:$J, "="&amp;B90,DelinquencyPerSector!$K:$K, "="&amp;C90,DelinquencyPerSector!$P:$P, "&gt;0")</f>
        <v>0</v>
      </c>
      <c r="M90" s="285">
        <f>SUMIFS(DelinquencyPerSector!$R$2:$R$5000,DelinquencyPerSector!$K$2:$K$5000, "="&amp;C90, DelinquencyPerSector!$J$2:$J$5000, "="&amp;B90,DelinquencyPerSector!$I$2:$I$5000,"="&amp;A90)</f>
        <v>0</v>
      </c>
      <c r="N90" s="282">
        <f t="shared" si="13"/>
        <v>0</v>
      </c>
      <c r="O90" s="283">
        <f>COUNTIFS(DelinquencyPerSector!$I:$I, "="&amp;A90, DelinquencyPerSector!$J:$J, "="&amp;B90,DelinquencyPerSector!$K:$K, "="&amp;C90,DelinquencyPerSector!$R:$R, "&gt;0")</f>
        <v>0</v>
      </c>
      <c r="P90" s="281">
        <v>5179992.92</v>
      </c>
      <c r="Q90" s="282">
        <f t="shared" si="14"/>
        <v>3.1268905406402686E-4</v>
      </c>
      <c r="R90" s="287">
        <f>COUNTIFS(DelinquencyPerSector!$I:$I, "="&amp;A90, DelinquencyPerSector!$J:$J, "="&amp;B90,DelinquencyPerSector!$K:$K, "="&amp;C90)</f>
        <v>1</v>
      </c>
      <c r="S90" s="288">
        <f>Table_ExternalData_18[[#This Row],[Total Port%]]-Table_ExternalData_18[[#This Row],[PAR 30+%]]</f>
        <v>3.1268905406402686E-4</v>
      </c>
      <c r="T90" s="289">
        <f>Table_ExternalData_18[[#This Row],[Total Port%]]-Table_ExternalData_18[[#This Row],[PAR 90+%]]</f>
        <v>3.1268905406402686E-4</v>
      </c>
      <c r="U90" s="280"/>
      <c r="V90" s="280"/>
    </row>
    <row r="91" spans="1:22" ht="22.8" x14ac:dyDescent="0.4">
      <c r="A91" s="280" t="s">
        <v>31</v>
      </c>
      <c r="B91" s="280" t="s">
        <v>4416</v>
      </c>
      <c r="C91" s="280" t="s">
        <v>26</v>
      </c>
      <c r="D91" s="281">
        <f>SUMIFS(DelinquencyPerSector!$L$2:$L$5000,DelinquencyPerSector!$K$2:$K$5000, "="&amp;C91, DelinquencyPerSector!$J$2:$J$5000, "="&amp;B91,DelinquencyPerSector!$I$2:$I$5000,"="&amp;A91)</f>
        <v>1362114.19</v>
      </c>
      <c r="E91" s="282">
        <f t="shared" si="10"/>
        <v>1.8467545616143022E-4</v>
      </c>
      <c r="F91" s="283">
        <f>COUNTIFS(DelinquencyPerSector!$I:$I, "="&amp;A91, DelinquencyPerSector!$J:$J, "="&amp;B91,DelinquencyPerSector!$K:$K, "="&amp;C91,DelinquencyPerSector!$L:$L, "&gt;0")</f>
        <v>1</v>
      </c>
      <c r="G91" s="284">
        <f>SUMIFS(DelinquencyPerSector!$N$2:$N$5000, DelinquencyPerSector!$K$2:$K$5000, "="&amp;C91, DelinquencyPerSector!$J$2:$J$5000, "="&amp;B91, DelinquencyPerSector!$I$2:$I$5000,"="&amp;A91)</f>
        <v>0</v>
      </c>
      <c r="H91" s="282">
        <f t="shared" si="11"/>
        <v>0</v>
      </c>
      <c r="I91" s="283">
        <f>COUNTIFS(DelinquencyPerSector!$I:$I, "="&amp;A91, DelinquencyPerSector!$J:$J, "="&amp;B91,DelinquencyPerSector!$K:$K, "="&amp;C91,DelinquencyPerSector!$N:$N, "&gt;0")</f>
        <v>0</v>
      </c>
      <c r="J91" s="281">
        <f>SUMIFS(DelinquencyPerSector!$P$2:$P$5000, DelinquencyPerSector!$K$2:$K$5000, "="&amp;C91, DelinquencyPerSector!$J$2:$J$5000, "="&amp;B91, DelinquencyPerSector!$I$2:$I$5000,"="&amp;A91)</f>
        <v>0</v>
      </c>
      <c r="K91" s="282">
        <f t="shared" si="12"/>
        <v>0</v>
      </c>
      <c r="L91" s="283">
        <f>COUNTIFS(DelinquencyPerSector!$I:$I, "="&amp;A91, DelinquencyPerSector!$J:$J, "="&amp;B91,DelinquencyPerSector!$K:$K, "="&amp;C91,DelinquencyPerSector!$P:$P, "&gt;0")</f>
        <v>0</v>
      </c>
      <c r="M91" s="285">
        <f>SUMIFS(DelinquencyPerSector!$R$2:$R$5000,DelinquencyPerSector!$K$2:$K$5000, "="&amp;C91, DelinquencyPerSector!$J$2:$J$5000, "="&amp;B91,DelinquencyPerSector!$I$2:$I$5000,"="&amp;A91)</f>
        <v>0</v>
      </c>
      <c r="N91" s="282">
        <f t="shared" si="13"/>
        <v>0</v>
      </c>
      <c r="O91" s="283">
        <f>COUNTIFS(DelinquencyPerSector!$I:$I, "="&amp;A91, DelinquencyPerSector!$J:$J, "="&amp;B91,DelinquencyPerSector!$K:$K, "="&amp;C91,DelinquencyPerSector!$R:$R, "&gt;0")</f>
        <v>0</v>
      </c>
      <c r="P91" s="281">
        <v>1362114.19</v>
      </c>
      <c r="Q91" s="282">
        <f t="shared" si="14"/>
        <v>8.2223702652915631E-5</v>
      </c>
      <c r="R91" s="287">
        <f>COUNTIFS(DelinquencyPerSector!$I:$I, "="&amp;A91, DelinquencyPerSector!$J:$J, "="&amp;B91,DelinquencyPerSector!$K:$K, "="&amp;C91)</f>
        <v>1</v>
      </c>
      <c r="S91" s="288">
        <f>Table_ExternalData_18[[#This Row],[Total Port%]]-Table_ExternalData_18[[#This Row],[PAR 30+%]]</f>
        <v>8.2223702652915631E-5</v>
      </c>
      <c r="T91" s="289">
        <f>Table_ExternalData_18[[#This Row],[Total Port%]]-Table_ExternalData_18[[#This Row],[PAR 90+%]]</f>
        <v>8.2223702652915631E-5</v>
      </c>
      <c r="U91" s="280"/>
      <c r="V91" s="280"/>
    </row>
    <row r="92" spans="1:22" ht="22.8" x14ac:dyDescent="0.4">
      <c r="A92" s="280" t="s">
        <v>41</v>
      </c>
      <c r="B92" s="280" t="s">
        <v>1189</v>
      </c>
      <c r="C92" s="280" t="s">
        <v>1817</v>
      </c>
      <c r="D92" s="281">
        <f>SUMIFS(DelinquencyPerSector!$L$2:$L$5000,DelinquencyPerSector!$K$2:$K$5000, "="&amp;C92, DelinquencyPerSector!$J$2:$J$5000, "="&amp;B92,DelinquencyPerSector!$I$2:$I$5000,"="&amp;A92)</f>
        <v>0</v>
      </c>
      <c r="E92" s="282">
        <f t="shared" si="10"/>
        <v>0</v>
      </c>
      <c r="F92" s="283">
        <f>COUNTIFS(DelinquencyPerSector!$I:$I, "="&amp;A92, DelinquencyPerSector!$J:$J, "="&amp;B92,DelinquencyPerSector!$K:$K, "="&amp;C92,DelinquencyPerSector!$L:$L, "&gt;0")</f>
        <v>0</v>
      </c>
      <c r="G92" s="284">
        <f>SUMIFS(DelinquencyPerSector!$N$2:$N$5000, DelinquencyPerSector!$K$2:$K$5000, "="&amp;C92, DelinquencyPerSector!$J$2:$J$5000, "="&amp;B92, DelinquencyPerSector!$I$2:$I$5000,"="&amp;A92)</f>
        <v>0</v>
      </c>
      <c r="H92" s="282">
        <f t="shared" si="11"/>
        <v>0</v>
      </c>
      <c r="I92" s="283">
        <f>COUNTIFS(DelinquencyPerSector!$I:$I, "="&amp;A92, DelinquencyPerSector!$J:$J, "="&amp;B92,DelinquencyPerSector!$K:$K, "="&amp;C92,DelinquencyPerSector!$N:$N, "&gt;0")</f>
        <v>0</v>
      </c>
      <c r="J92" s="281">
        <f>SUMIFS(DelinquencyPerSector!$P$2:$P$5000, DelinquencyPerSector!$K$2:$K$5000, "="&amp;C92, DelinquencyPerSector!$J$2:$J$5000, "="&amp;B92, DelinquencyPerSector!$I$2:$I$5000,"="&amp;A92)</f>
        <v>0</v>
      </c>
      <c r="K92" s="282">
        <f t="shared" si="12"/>
        <v>0</v>
      </c>
      <c r="L92" s="283">
        <f>COUNTIFS(DelinquencyPerSector!$I:$I, "="&amp;A92, DelinquencyPerSector!$J:$J, "="&amp;B92,DelinquencyPerSector!$K:$K, "="&amp;C92,DelinquencyPerSector!$P:$P, "&gt;0")</f>
        <v>0</v>
      </c>
      <c r="M92" s="285">
        <f>SUMIFS(DelinquencyPerSector!$R$2:$R$5000,DelinquencyPerSector!$K$2:$K$5000, "="&amp;C92, DelinquencyPerSector!$J$2:$J$5000, "="&amp;B92,DelinquencyPerSector!$I$2:$I$5000,"="&amp;A92)</f>
        <v>0</v>
      </c>
      <c r="N92" s="282">
        <f t="shared" si="13"/>
        <v>0</v>
      </c>
      <c r="O92" s="283">
        <f>COUNTIFS(DelinquencyPerSector!$I:$I, "="&amp;A92, DelinquencyPerSector!$J:$J, "="&amp;B92,DelinquencyPerSector!$K:$K, "="&amp;C92,DelinquencyPerSector!$R:$R, "&gt;0")</f>
        <v>0</v>
      </c>
      <c r="P92" s="281">
        <v>28084094.899999999</v>
      </c>
      <c r="Q92" s="282">
        <f t="shared" si="14"/>
        <v>1.6952897820805054E-3</v>
      </c>
      <c r="R92" s="287">
        <f>COUNTIFS(DelinquencyPerSector!$I:$I, "="&amp;A92, DelinquencyPerSector!$J:$J, "="&amp;B92,DelinquencyPerSector!$K:$K, "="&amp;C92)</f>
        <v>1</v>
      </c>
      <c r="S92" s="288">
        <f>Table_ExternalData_18[[#This Row],[Total Port%]]-Table_ExternalData_18[[#This Row],[PAR 30+%]]</f>
        <v>1.6952897820805054E-3</v>
      </c>
      <c r="T92" s="289">
        <f>Table_ExternalData_18[[#This Row],[Total Port%]]-Table_ExternalData_18[[#This Row],[PAR 90+%]]</f>
        <v>1.6952897820805054E-3</v>
      </c>
      <c r="U92" s="280"/>
      <c r="V92" s="280"/>
    </row>
    <row r="93" spans="1:22" ht="22.8" x14ac:dyDescent="0.4">
      <c r="A93" s="280" t="s">
        <v>41</v>
      </c>
      <c r="B93" s="280" t="s">
        <v>1189</v>
      </c>
      <c r="C93" s="280" t="s">
        <v>1190</v>
      </c>
      <c r="D93" s="281">
        <f>SUMIFS(DelinquencyPerSector!$L$2:$L$5000,DelinquencyPerSector!$K$2:$K$5000, "="&amp;C93, DelinquencyPerSector!$J$2:$J$5000, "="&amp;B93,DelinquencyPerSector!$I$2:$I$5000,"="&amp;A93)</f>
        <v>0</v>
      </c>
      <c r="E93" s="282">
        <f t="shared" si="10"/>
        <v>0</v>
      </c>
      <c r="F93" s="283">
        <f>COUNTIFS(DelinquencyPerSector!$I:$I, "="&amp;A93, DelinquencyPerSector!$J:$J, "="&amp;B93,DelinquencyPerSector!$K:$K, "="&amp;C93,DelinquencyPerSector!$L:$L, "&gt;0")</f>
        <v>0</v>
      </c>
      <c r="G93" s="284">
        <f>SUMIFS(DelinquencyPerSector!$N$2:$N$5000, DelinquencyPerSector!$K$2:$K$5000, "="&amp;C93, DelinquencyPerSector!$J$2:$J$5000, "="&amp;B93, DelinquencyPerSector!$I$2:$I$5000,"="&amp;A93)</f>
        <v>0</v>
      </c>
      <c r="H93" s="282">
        <f t="shared" si="11"/>
        <v>0</v>
      </c>
      <c r="I93" s="283">
        <f>COUNTIFS(DelinquencyPerSector!$I:$I, "="&amp;A93, DelinquencyPerSector!$J:$J, "="&amp;B93,DelinquencyPerSector!$K:$K, "="&amp;C93,DelinquencyPerSector!$N:$N, "&gt;0")</f>
        <v>0</v>
      </c>
      <c r="J93" s="281">
        <f>SUMIFS(DelinquencyPerSector!$P$2:$P$5000, DelinquencyPerSector!$K$2:$K$5000, "="&amp;C93, DelinquencyPerSector!$J$2:$J$5000, "="&amp;B93, DelinquencyPerSector!$I$2:$I$5000,"="&amp;A93)</f>
        <v>0</v>
      </c>
      <c r="K93" s="282">
        <f t="shared" si="12"/>
        <v>0</v>
      </c>
      <c r="L93" s="283">
        <f>COUNTIFS(DelinquencyPerSector!$I:$I, "="&amp;A93, DelinquencyPerSector!$J:$J, "="&amp;B93,DelinquencyPerSector!$K:$K, "="&amp;C93,DelinquencyPerSector!$P:$P, "&gt;0")</f>
        <v>0</v>
      </c>
      <c r="M93" s="285">
        <f>SUMIFS(DelinquencyPerSector!$R$2:$R$5000,DelinquencyPerSector!$K$2:$K$5000, "="&amp;C93, DelinquencyPerSector!$J$2:$J$5000, "="&amp;B93,DelinquencyPerSector!$I$2:$I$5000,"="&amp;A93)</f>
        <v>0</v>
      </c>
      <c r="N93" s="282">
        <f t="shared" si="13"/>
        <v>0</v>
      </c>
      <c r="O93" s="283">
        <f>COUNTIFS(DelinquencyPerSector!$I:$I, "="&amp;A93, DelinquencyPerSector!$J:$J, "="&amp;B93,DelinquencyPerSector!$K:$K, "="&amp;C93,DelinquencyPerSector!$R:$R, "&gt;0")</f>
        <v>0</v>
      </c>
      <c r="P93" s="281">
        <v>39124507.549999997</v>
      </c>
      <c r="Q93" s="282">
        <f t="shared" si="14"/>
        <v>2.3617416945292615E-3</v>
      </c>
      <c r="R93" s="287">
        <f>COUNTIFS(DelinquencyPerSector!$I:$I, "="&amp;A93, DelinquencyPerSector!$J:$J, "="&amp;B93,DelinquencyPerSector!$K:$K, "="&amp;C93)</f>
        <v>1</v>
      </c>
      <c r="S93" s="288">
        <f>Table_ExternalData_18[[#This Row],[Total Port%]]-Table_ExternalData_18[[#This Row],[PAR 30+%]]</f>
        <v>2.3617416945292615E-3</v>
      </c>
      <c r="T93" s="289">
        <f>Table_ExternalData_18[[#This Row],[Total Port%]]-Table_ExternalData_18[[#This Row],[PAR 90+%]]</f>
        <v>2.3617416945292615E-3</v>
      </c>
      <c r="U93" s="280"/>
      <c r="V93" s="280"/>
    </row>
    <row r="94" spans="1:22" ht="22.8" x14ac:dyDescent="0.4">
      <c r="A94" s="280" t="s">
        <v>28</v>
      </c>
      <c r="B94" s="280" t="s">
        <v>108</v>
      </c>
      <c r="C94" s="280" t="s">
        <v>26</v>
      </c>
      <c r="D94" s="281">
        <f>SUMIFS(DelinquencyPerSector!$L$2:$L$5000,DelinquencyPerSector!$K$2:$K$5000, "="&amp;C94, DelinquencyPerSector!$J$2:$J$5000, "="&amp;B94,DelinquencyPerSector!$I$2:$I$5000,"="&amp;A94)</f>
        <v>0</v>
      </c>
      <c r="E94" s="282">
        <f t="shared" si="10"/>
        <v>0</v>
      </c>
      <c r="F94" s="283">
        <f>COUNTIFS(DelinquencyPerSector!$I:$I, "="&amp;A94, DelinquencyPerSector!$J:$J, "="&amp;B94,DelinquencyPerSector!$K:$K, "="&amp;C94,DelinquencyPerSector!$L:$L, "&gt;0")</f>
        <v>0</v>
      </c>
      <c r="G94" s="284">
        <f>SUMIFS(DelinquencyPerSector!$N$2:$N$5000, DelinquencyPerSector!$K$2:$K$5000, "="&amp;C94, DelinquencyPerSector!$J$2:$J$5000, "="&amp;B94, DelinquencyPerSector!$I$2:$I$5000,"="&amp;A94)</f>
        <v>0</v>
      </c>
      <c r="H94" s="282">
        <f t="shared" si="11"/>
        <v>0</v>
      </c>
      <c r="I94" s="283">
        <f>COUNTIFS(DelinquencyPerSector!$I:$I, "="&amp;A94, DelinquencyPerSector!$J:$J, "="&amp;B94,DelinquencyPerSector!$K:$K, "="&amp;C94,DelinquencyPerSector!$N:$N, "&gt;0")</f>
        <v>0</v>
      </c>
      <c r="J94" s="281">
        <f>SUMIFS(DelinquencyPerSector!$P$2:$P$5000, DelinquencyPerSector!$K$2:$K$5000, "="&amp;C94, DelinquencyPerSector!$J$2:$J$5000, "="&amp;B94, DelinquencyPerSector!$I$2:$I$5000,"="&amp;A94)</f>
        <v>0</v>
      </c>
      <c r="K94" s="282">
        <f t="shared" si="12"/>
        <v>0</v>
      </c>
      <c r="L94" s="283">
        <f>COUNTIFS(DelinquencyPerSector!$I:$I, "="&amp;A94, DelinquencyPerSector!$J:$J, "="&amp;B94,DelinquencyPerSector!$K:$K, "="&amp;C94,DelinquencyPerSector!$P:$P, "&gt;0")</f>
        <v>0</v>
      </c>
      <c r="M94" s="285">
        <f>SUMIFS(DelinquencyPerSector!$R$2:$R$5000,DelinquencyPerSector!$K$2:$K$5000, "="&amp;C94, DelinquencyPerSector!$J$2:$J$5000, "="&amp;B94,DelinquencyPerSector!$I$2:$I$5000,"="&amp;A94)</f>
        <v>0</v>
      </c>
      <c r="N94" s="282">
        <f t="shared" si="13"/>
        <v>0</v>
      </c>
      <c r="O94" s="283">
        <f>COUNTIFS(DelinquencyPerSector!$I:$I, "="&amp;A94, DelinquencyPerSector!$J:$J, "="&amp;B94,DelinquencyPerSector!$K:$K, "="&amp;C94,DelinquencyPerSector!$R:$R, "&gt;0")</f>
        <v>0</v>
      </c>
      <c r="P94" s="281">
        <v>26974016.739999998</v>
      </c>
      <c r="Q94" s="282">
        <f t="shared" si="14"/>
        <v>1.628280175089086E-3</v>
      </c>
      <c r="R94" s="287">
        <f>COUNTIFS(DelinquencyPerSector!$I:$I, "="&amp;A94, DelinquencyPerSector!$J:$J, "="&amp;B94,DelinquencyPerSector!$K:$K, "="&amp;C94)</f>
        <v>12</v>
      </c>
      <c r="S94" s="288">
        <f>Table_ExternalData_18[[#This Row],[Total Port%]]-Table_ExternalData_18[[#This Row],[PAR 30+%]]</f>
        <v>1.628280175089086E-3</v>
      </c>
      <c r="T94" s="289">
        <f>Table_ExternalData_18[[#This Row],[Total Port%]]-Table_ExternalData_18[[#This Row],[PAR 90+%]]</f>
        <v>1.628280175089086E-3</v>
      </c>
      <c r="U94" s="280"/>
      <c r="V94" s="280"/>
    </row>
    <row r="95" spans="1:22" ht="22.8" x14ac:dyDescent="0.4">
      <c r="A95" s="280" t="s">
        <v>28</v>
      </c>
      <c r="B95" s="280" t="s">
        <v>755</v>
      </c>
      <c r="C95" s="280" t="s">
        <v>26</v>
      </c>
      <c r="D95" s="281">
        <f>SUMIFS(DelinquencyPerSector!$L$2:$L$5000,DelinquencyPerSector!$K$2:$K$5000, "="&amp;C95, DelinquencyPerSector!$J$2:$J$5000, "="&amp;B95,DelinquencyPerSector!$I$2:$I$5000,"="&amp;A95)</f>
        <v>3431151.96</v>
      </c>
      <c r="E95" s="282">
        <f t="shared" si="10"/>
        <v>4.6519561871107549E-4</v>
      </c>
      <c r="F95" s="283">
        <f>COUNTIFS(DelinquencyPerSector!$I:$I, "="&amp;A95, DelinquencyPerSector!$J:$J, "="&amp;B95,DelinquencyPerSector!$K:$K, "="&amp;C95,DelinquencyPerSector!$L:$L, "&gt;0")</f>
        <v>1</v>
      </c>
      <c r="G95" s="284">
        <f>SUMIFS(DelinquencyPerSector!$N$2:$N$5000, DelinquencyPerSector!$K$2:$K$5000, "="&amp;C95, DelinquencyPerSector!$J$2:$J$5000, "="&amp;B95, DelinquencyPerSector!$I$2:$I$5000,"="&amp;A95)</f>
        <v>0</v>
      </c>
      <c r="H95" s="282">
        <f t="shared" si="11"/>
        <v>0</v>
      </c>
      <c r="I95" s="283">
        <f>COUNTIFS(DelinquencyPerSector!$I:$I, "="&amp;A95, DelinquencyPerSector!$J:$J, "="&amp;B95,DelinquencyPerSector!$K:$K, "="&amp;C95,DelinquencyPerSector!$N:$N, "&gt;0")</f>
        <v>0</v>
      </c>
      <c r="J95" s="281">
        <f>SUMIFS(DelinquencyPerSector!$P$2:$P$5000, DelinquencyPerSector!$K$2:$K$5000, "="&amp;C95, DelinquencyPerSector!$J$2:$J$5000, "="&amp;B95, DelinquencyPerSector!$I$2:$I$5000,"="&amp;A95)</f>
        <v>0</v>
      </c>
      <c r="K95" s="282">
        <f t="shared" si="12"/>
        <v>0</v>
      </c>
      <c r="L95" s="283">
        <f>COUNTIFS(DelinquencyPerSector!$I:$I, "="&amp;A95, DelinquencyPerSector!$J:$J, "="&amp;B95,DelinquencyPerSector!$K:$K, "="&amp;C95,DelinquencyPerSector!$P:$P, "&gt;0")</f>
        <v>0</v>
      </c>
      <c r="M95" s="285">
        <f>SUMIFS(DelinquencyPerSector!$R$2:$R$5000,DelinquencyPerSector!$K$2:$K$5000, "="&amp;C95, DelinquencyPerSector!$J$2:$J$5000, "="&amp;B95,DelinquencyPerSector!$I$2:$I$5000,"="&amp;A95)</f>
        <v>0</v>
      </c>
      <c r="N95" s="282">
        <f t="shared" si="13"/>
        <v>0</v>
      </c>
      <c r="O95" s="283">
        <f>COUNTIFS(DelinquencyPerSector!$I:$I, "="&amp;A95, DelinquencyPerSector!$J:$J, "="&amp;B95,DelinquencyPerSector!$K:$K, "="&amp;C95,DelinquencyPerSector!$R:$R, "&gt;0")</f>
        <v>0</v>
      </c>
      <c r="P95" s="281">
        <v>3431151.96</v>
      </c>
      <c r="Q95" s="282">
        <f t="shared" si="14"/>
        <v>2.0712068091443102E-4</v>
      </c>
      <c r="R95" s="287">
        <f>COUNTIFS(DelinquencyPerSector!$I:$I, "="&amp;A95, DelinquencyPerSector!$J:$J, "="&amp;B95,DelinquencyPerSector!$K:$K, "="&amp;C95)</f>
        <v>1</v>
      </c>
      <c r="S95" s="288">
        <f>Table_ExternalData_18[[#This Row],[Total Port%]]-Table_ExternalData_18[[#This Row],[PAR 30+%]]</f>
        <v>2.0712068091443102E-4</v>
      </c>
      <c r="T95" s="289">
        <f>Table_ExternalData_18[[#This Row],[Total Port%]]-Table_ExternalData_18[[#This Row],[PAR 90+%]]</f>
        <v>2.0712068091443102E-4</v>
      </c>
      <c r="U95" s="280"/>
      <c r="V95" s="280"/>
    </row>
    <row r="96" spans="1:22" ht="22.8" x14ac:dyDescent="0.4">
      <c r="A96" s="280" t="s">
        <v>44</v>
      </c>
      <c r="B96" s="280" t="s">
        <v>75</v>
      </c>
      <c r="C96" s="280" t="s">
        <v>4000</v>
      </c>
      <c r="D96" s="281">
        <f>SUMIFS(DelinquencyPerSector!$L$2:$L$5000,DelinquencyPerSector!$K$2:$K$5000, "="&amp;C96, DelinquencyPerSector!$J$2:$J$5000, "="&amp;B96,DelinquencyPerSector!$I$2:$I$5000,"="&amp;A96)</f>
        <v>22458734.68</v>
      </c>
      <c r="E96" s="282">
        <f t="shared" si="10"/>
        <v>3.0449554833853784E-3</v>
      </c>
      <c r="F96" s="283">
        <f>COUNTIFS(DelinquencyPerSector!$I:$I, "="&amp;A96, DelinquencyPerSector!$J:$J, "="&amp;B96,DelinquencyPerSector!$K:$K, "="&amp;C96,DelinquencyPerSector!$L:$L, "&gt;0")</f>
        <v>2</v>
      </c>
      <c r="G96" s="284">
        <f>SUMIFS(DelinquencyPerSector!$N$2:$N$5000, DelinquencyPerSector!$K$2:$K$5000, "="&amp;C96, DelinquencyPerSector!$J$2:$J$5000, "="&amp;B96, DelinquencyPerSector!$I$2:$I$5000,"="&amp;A96)</f>
        <v>0</v>
      </c>
      <c r="H96" s="282">
        <f t="shared" si="11"/>
        <v>0</v>
      </c>
      <c r="I96" s="283">
        <f>COUNTIFS(DelinquencyPerSector!$I:$I, "="&amp;A96, DelinquencyPerSector!$J:$J, "="&amp;B96,DelinquencyPerSector!$K:$K, "="&amp;C96,DelinquencyPerSector!$N:$N, "&gt;0")</f>
        <v>0</v>
      </c>
      <c r="J96" s="281">
        <f>SUMIFS(DelinquencyPerSector!$P$2:$P$5000, DelinquencyPerSector!$K$2:$K$5000, "="&amp;C96, DelinquencyPerSector!$J$2:$J$5000, "="&amp;B96, DelinquencyPerSector!$I$2:$I$5000,"="&amp;A96)</f>
        <v>0</v>
      </c>
      <c r="K96" s="282">
        <f t="shared" si="12"/>
        <v>0</v>
      </c>
      <c r="L96" s="283">
        <f>COUNTIFS(DelinquencyPerSector!$I:$I, "="&amp;A96, DelinquencyPerSector!$J:$J, "="&amp;B96,DelinquencyPerSector!$K:$K, "="&amp;C96,DelinquencyPerSector!$P:$P, "&gt;0")</f>
        <v>0</v>
      </c>
      <c r="M96" s="285">
        <f>SUMIFS(DelinquencyPerSector!$R$2:$R$5000,DelinquencyPerSector!$K$2:$K$5000, "="&amp;C96, DelinquencyPerSector!$J$2:$J$5000, "="&amp;B96,DelinquencyPerSector!$I$2:$I$5000,"="&amp;A96)</f>
        <v>0</v>
      </c>
      <c r="N96" s="282">
        <f t="shared" si="13"/>
        <v>0</v>
      </c>
      <c r="O96" s="283">
        <f>COUNTIFS(DelinquencyPerSector!$I:$I, "="&amp;A96, DelinquencyPerSector!$J:$J, "="&amp;B96,DelinquencyPerSector!$K:$K, "="&amp;C96,DelinquencyPerSector!$R:$R, "&gt;0")</f>
        <v>0</v>
      </c>
      <c r="P96" s="281">
        <v>81977574.620000005</v>
      </c>
      <c r="Q96" s="282">
        <f t="shared" si="14"/>
        <v>4.948557007369612E-3</v>
      </c>
      <c r="R96" s="287">
        <f>COUNTIFS(DelinquencyPerSector!$I:$I, "="&amp;A96, DelinquencyPerSector!$J:$J, "="&amp;B96,DelinquencyPerSector!$K:$K, "="&amp;C96)</f>
        <v>6</v>
      </c>
      <c r="S96" s="288">
        <f>Table_ExternalData_18[[#This Row],[Total Port%]]-Table_ExternalData_18[[#This Row],[PAR 30+%]]</f>
        <v>4.948557007369612E-3</v>
      </c>
      <c r="T96" s="289">
        <f>Table_ExternalData_18[[#This Row],[Total Port%]]-Table_ExternalData_18[[#This Row],[PAR 90+%]]</f>
        <v>4.948557007369612E-3</v>
      </c>
      <c r="U96" s="280"/>
      <c r="V96" s="280"/>
    </row>
    <row r="97" spans="1:22" ht="22.8" x14ac:dyDescent="0.4">
      <c r="A97" s="280" t="s">
        <v>44</v>
      </c>
      <c r="B97" s="280" t="s">
        <v>75</v>
      </c>
      <c r="C97" s="280" t="s">
        <v>4834</v>
      </c>
      <c r="D97" s="281">
        <f>SUMIFS(DelinquencyPerSector!$L$2:$L$5000,DelinquencyPerSector!$K$2:$K$5000, "="&amp;C97, DelinquencyPerSector!$J$2:$J$5000, "="&amp;B97,DelinquencyPerSector!$I$2:$I$5000,"="&amp;A97)</f>
        <v>16372341.48</v>
      </c>
      <c r="E97" s="282">
        <f t="shared" si="10"/>
        <v>2.2197622295159454E-3</v>
      </c>
      <c r="F97" s="283">
        <f>COUNTIFS(DelinquencyPerSector!$I:$I, "="&amp;A97, DelinquencyPerSector!$J:$J, "="&amp;B97,DelinquencyPerSector!$K:$K, "="&amp;C97,DelinquencyPerSector!$L:$L, "&gt;0")</f>
        <v>1</v>
      </c>
      <c r="G97" s="284">
        <f>SUMIFS(DelinquencyPerSector!$N$2:$N$5000, DelinquencyPerSector!$K$2:$K$5000, "="&amp;C97, DelinquencyPerSector!$J$2:$J$5000, "="&amp;B97, DelinquencyPerSector!$I$2:$I$5000,"="&amp;A97)</f>
        <v>0</v>
      </c>
      <c r="H97" s="282">
        <f t="shared" si="11"/>
        <v>0</v>
      </c>
      <c r="I97" s="283">
        <f>COUNTIFS(DelinquencyPerSector!$I:$I, "="&amp;A97, DelinquencyPerSector!$J:$J, "="&amp;B97,DelinquencyPerSector!$K:$K, "="&amp;C97,DelinquencyPerSector!$N:$N, "&gt;0")</f>
        <v>0</v>
      </c>
      <c r="J97" s="281">
        <f>SUMIFS(DelinquencyPerSector!$P$2:$P$5000, DelinquencyPerSector!$K$2:$K$5000, "="&amp;C97, DelinquencyPerSector!$J$2:$J$5000, "="&amp;B97, DelinquencyPerSector!$I$2:$I$5000,"="&amp;A97)</f>
        <v>0</v>
      </c>
      <c r="K97" s="282">
        <f t="shared" si="12"/>
        <v>0</v>
      </c>
      <c r="L97" s="283">
        <f>COUNTIFS(DelinquencyPerSector!$I:$I, "="&amp;A97, DelinquencyPerSector!$J:$J, "="&amp;B97,DelinquencyPerSector!$K:$K, "="&amp;C97,DelinquencyPerSector!$P:$P, "&gt;0")</f>
        <v>0</v>
      </c>
      <c r="M97" s="285">
        <f>SUMIFS(DelinquencyPerSector!$R$2:$R$5000,DelinquencyPerSector!$K$2:$K$5000, "="&amp;C97, DelinquencyPerSector!$J$2:$J$5000, "="&amp;B97,DelinquencyPerSector!$I$2:$I$5000,"="&amp;A97)</f>
        <v>0</v>
      </c>
      <c r="N97" s="282">
        <f t="shared" si="13"/>
        <v>0</v>
      </c>
      <c r="O97" s="283">
        <f>COUNTIFS(DelinquencyPerSector!$I:$I, "="&amp;A97, DelinquencyPerSector!$J:$J, "="&amp;B97,DelinquencyPerSector!$K:$K, "="&amp;C97,DelinquencyPerSector!$R:$R, "&gt;0")</f>
        <v>0</v>
      </c>
      <c r="P97" s="281">
        <v>25276278.27</v>
      </c>
      <c r="Q97" s="282">
        <f t="shared" si="14"/>
        <v>1.5257965917268893E-3</v>
      </c>
      <c r="R97" s="287">
        <f>COUNTIFS(DelinquencyPerSector!$I:$I, "="&amp;A97, DelinquencyPerSector!$J:$J, "="&amp;B97,DelinquencyPerSector!$K:$K, "="&amp;C97)</f>
        <v>3</v>
      </c>
      <c r="S97" s="288">
        <f>Table_ExternalData_18[[#This Row],[Total Port%]]-Table_ExternalData_18[[#This Row],[PAR 30+%]]</f>
        <v>1.5257965917268893E-3</v>
      </c>
      <c r="T97" s="289">
        <f>Table_ExternalData_18[[#This Row],[Total Port%]]-Table_ExternalData_18[[#This Row],[PAR 90+%]]</f>
        <v>1.5257965917268893E-3</v>
      </c>
      <c r="U97" s="280"/>
      <c r="V97" s="280"/>
    </row>
    <row r="98" spans="1:22" ht="22.8" x14ac:dyDescent="0.4">
      <c r="A98" s="280" t="s">
        <v>29</v>
      </c>
      <c r="B98" s="280" t="s">
        <v>96</v>
      </c>
      <c r="C98" s="280" t="s">
        <v>96</v>
      </c>
      <c r="D98" s="281">
        <f>SUMIFS(DelinquencyPerSector!$L$2:$L$5000,DelinquencyPerSector!$K$2:$K$5000, "="&amp;C98, DelinquencyPerSector!$J$2:$J$5000, "="&amp;B98,DelinquencyPerSector!$I$2:$I$5000,"="&amp;A98)</f>
        <v>33221911.890000001</v>
      </c>
      <c r="E98" s="282">
        <f t="shared" si="10"/>
        <v>4.5042271623648477E-3</v>
      </c>
      <c r="F98" s="283">
        <f>COUNTIFS(DelinquencyPerSector!$I:$I, "="&amp;A98, DelinquencyPerSector!$J:$J, "="&amp;B98,DelinquencyPerSector!$K:$K, "="&amp;C98,DelinquencyPerSector!$L:$L, "&gt;0")</f>
        <v>1</v>
      </c>
      <c r="G98" s="284">
        <f>SUMIFS(DelinquencyPerSector!$N$2:$N$5000, DelinquencyPerSector!$K$2:$K$5000, "="&amp;C98, DelinquencyPerSector!$J$2:$J$5000, "="&amp;B98, DelinquencyPerSector!$I$2:$I$5000,"="&amp;A98)</f>
        <v>0</v>
      </c>
      <c r="H98" s="282">
        <f t="shared" si="11"/>
        <v>0</v>
      </c>
      <c r="I98" s="283">
        <f>COUNTIFS(DelinquencyPerSector!$I:$I, "="&amp;A98, DelinquencyPerSector!$J:$J, "="&amp;B98,DelinquencyPerSector!$K:$K, "="&amp;C98,DelinquencyPerSector!$N:$N, "&gt;0")</f>
        <v>0</v>
      </c>
      <c r="J98" s="281">
        <f>SUMIFS(DelinquencyPerSector!$P$2:$P$5000, DelinquencyPerSector!$K$2:$K$5000, "="&amp;C98, DelinquencyPerSector!$J$2:$J$5000, "="&amp;B98, DelinquencyPerSector!$I$2:$I$5000,"="&amp;A98)</f>
        <v>0</v>
      </c>
      <c r="K98" s="282">
        <f t="shared" si="12"/>
        <v>0</v>
      </c>
      <c r="L98" s="283">
        <f>COUNTIFS(DelinquencyPerSector!$I:$I, "="&amp;A98, DelinquencyPerSector!$J:$J, "="&amp;B98,DelinquencyPerSector!$K:$K, "="&amp;C98,DelinquencyPerSector!$P:$P, "&gt;0")</f>
        <v>0</v>
      </c>
      <c r="M98" s="285">
        <f>SUMIFS(DelinquencyPerSector!$R$2:$R$5000,DelinquencyPerSector!$K$2:$K$5000, "="&amp;C98, DelinquencyPerSector!$J$2:$J$5000, "="&amp;B98,DelinquencyPerSector!$I$2:$I$5000,"="&amp;A98)</f>
        <v>0</v>
      </c>
      <c r="N98" s="282">
        <f t="shared" si="13"/>
        <v>0</v>
      </c>
      <c r="O98" s="283">
        <f>COUNTIFS(DelinquencyPerSector!$I:$I, "="&amp;A98, DelinquencyPerSector!$J:$J, "="&amp;B98,DelinquencyPerSector!$K:$K, "="&amp;C98,DelinquencyPerSector!$R:$R, "&gt;0")</f>
        <v>0</v>
      </c>
      <c r="P98" s="281">
        <v>135244813.19</v>
      </c>
      <c r="Q98" s="282">
        <f t="shared" si="14"/>
        <v>8.1640213329571745E-3</v>
      </c>
      <c r="R98" s="287">
        <f>COUNTIFS(DelinquencyPerSector!$I:$I, "="&amp;A98, DelinquencyPerSector!$J:$J, "="&amp;B98,DelinquencyPerSector!$K:$K, "="&amp;C98)</f>
        <v>6</v>
      </c>
      <c r="S98" s="288">
        <f>Table_ExternalData_18[[#This Row],[Total Port%]]-Table_ExternalData_18[[#This Row],[PAR 30+%]]</f>
        <v>8.1640213329571745E-3</v>
      </c>
      <c r="T98" s="289">
        <f>Table_ExternalData_18[[#This Row],[Total Port%]]-Table_ExternalData_18[[#This Row],[PAR 90+%]]</f>
        <v>8.1640213329571745E-3</v>
      </c>
      <c r="U98" s="280"/>
      <c r="V98" s="280"/>
    </row>
    <row r="99" spans="1:22" ht="22.8" x14ac:dyDescent="0.4">
      <c r="A99" s="280" t="s">
        <v>29</v>
      </c>
      <c r="B99" s="280" t="s">
        <v>96</v>
      </c>
      <c r="C99" s="280" t="s">
        <v>26</v>
      </c>
      <c r="D99" s="281">
        <f>SUMIFS(DelinquencyPerSector!$L$2:$L$5000,DelinquencyPerSector!$K$2:$K$5000, "="&amp;C99, DelinquencyPerSector!$J$2:$J$5000, "="&amp;B99,DelinquencyPerSector!$I$2:$I$5000,"="&amp;A99)</f>
        <v>0</v>
      </c>
      <c r="E99" s="282">
        <f t="shared" si="10"/>
        <v>0</v>
      </c>
      <c r="F99" s="283">
        <f>COUNTIFS(DelinquencyPerSector!$I:$I, "="&amp;A99, DelinquencyPerSector!$J:$J, "="&amp;B99,DelinquencyPerSector!$K:$K, "="&amp;C99,DelinquencyPerSector!$L:$L, "&gt;0")</f>
        <v>0</v>
      </c>
      <c r="G99" s="284">
        <f>SUMIFS(DelinquencyPerSector!$N$2:$N$5000, DelinquencyPerSector!$K$2:$K$5000, "="&amp;C99, DelinquencyPerSector!$J$2:$J$5000, "="&amp;B99, DelinquencyPerSector!$I$2:$I$5000,"="&amp;A99)</f>
        <v>0</v>
      </c>
      <c r="H99" s="282">
        <f t="shared" si="11"/>
        <v>0</v>
      </c>
      <c r="I99" s="283">
        <f>COUNTIFS(DelinquencyPerSector!$I:$I, "="&amp;A99, DelinquencyPerSector!$J:$J, "="&amp;B99,DelinquencyPerSector!$K:$K, "="&amp;C99,DelinquencyPerSector!$N:$N, "&gt;0")</f>
        <v>0</v>
      </c>
      <c r="J99" s="281">
        <f>SUMIFS(DelinquencyPerSector!$P$2:$P$5000, DelinquencyPerSector!$K$2:$K$5000, "="&amp;C99, DelinquencyPerSector!$J$2:$J$5000, "="&amp;B99, DelinquencyPerSector!$I$2:$I$5000,"="&amp;A99)</f>
        <v>0</v>
      </c>
      <c r="K99" s="282">
        <f t="shared" si="12"/>
        <v>0</v>
      </c>
      <c r="L99" s="283">
        <f>COUNTIFS(DelinquencyPerSector!$I:$I, "="&amp;A99, DelinquencyPerSector!$J:$J, "="&amp;B99,DelinquencyPerSector!$K:$K, "="&amp;C99,DelinquencyPerSector!$P:$P, "&gt;0")</f>
        <v>0</v>
      </c>
      <c r="M99" s="285">
        <f>SUMIFS(DelinquencyPerSector!$R$2:$R$5000,DelinquencyPerSector!$K$2:$K$5000, "="&amp;C99, DelinquencyPerSector!$J$2:$J$5000, "="&amp;B99,DelinquencyPerSector!$I$2:$I$5000,"="&amp;A99)</f>
        <v>0</v>
      </c>
      <c r="N99" s="282">
        <f t="shared" si="13"/>
        <v>0</v>
      </c>
      <c r="O99" s="283">
        <f>COUNTIFS(DelinquencyPerSector!$I:$I, "="&amp;A99, DelinquencyPerSector!$J:$J, "="&amp;B99,DelinquencyPerSector!$K:$K, "="&amp;C99,DelinquencyPerSector!$R:$R, "&gt;0")</f>
        <v>0</v>
      </c>
      <c r="P99" s="281">
        <v>41314855.350000001</v>
      </c>
      <c r="Q99" s="282">
        <f t="shared" si="14"/>
        <v>2.4939615242145158E-3</v>
      </c>
      <c r="R99" s="287">
        <f>COUNTIFS(DelinquencyPerSector!$I:$I, "="&amp;A99, DelinquencyPerSector!$J:$J, "="&amp;B99,DelinquencyPerSector!$K:$K, "="&amp;C99)</f>
        <v>3</v>
      </c>
      <c r="S99" s="288">
        <f>Table_ExternalData_18[[#This Row],[Total Port%]]-Table_ExternalData_18[[#This Row],[PAR 30+%]]</f>
        <v>2.4939615242145158E-3</v>
      </c>
      <c r="T99" s="289">
        <f>Table_ExternalData_18[[#This Row],[Total Port%]]-Table_ExternalData_18[[#This Row],[PAR 90+%]]</f>
        <v>2.4939615242145158E-3</v>
      </c>
      <c r="U99" s="280"/>
      <c r="V99" s="280"/>
    </row>
    <row r="100" spans="1:22" ht="22.8" x14ac:dyDescent="0.4">
      <c r="A100" s="280" t="s">
        <v>29</v>
      </c>
      <c r="B100" s="280" t="s">
        <v>26</v>
      </c>
      <c r="C100" s="280" t="s">
        <v>26</v>
      </c>
      <c r="D100" s="281">
        <f>SUMIFS(DelinquencyPerSector!$L$2:$L$5000,DelinquencyPerSector!$K$2:$K$5000, "="&amp;C100, DelinquencyPerSector!$J$2:$J$5000, "="&amp;B100,DelinquencyPerSector!$I$2:$I$5000,"="&amp;A100)</f>
        <v>0</v>
      </c>
      <c r="E100" s="282">
        <f t="shared" si="10"/>
        <v>0</v>
      </c>
      <c r="F100" s="283">
        <f>COUNTIFS(DelinquencyPerSector!$I:$I, "="&amp;A100, DelinquencyPerSector!$J:$J, "="&amp;B100,DelinquencyPerSector!$K:$K, "="&amp;C100,DelinquencyPerSector!$L:$L, "&gt;0")</f>
        <v>0</v>
      </c>
      <c r="G100" s="284">
        <f>SUMIFS(DelinquencyPerSector!$N$2:$N$5000, DelinquencyPerSector!$K$2:$K$5000, "="&amp;C100, DelinquencyPerSector!$J$2:$J$5000, "="&amp;B100, DelinquencyPerSector!$I$2:$I$5000,"="&amp;A100)</f>
        <v>0</v>
      </c>
      <c r="H100" s="282">
        <f t="shared" si="11"/>
        <v>0</v>
      </c>
      <c r="I100" s="283">
        <f>COUNTIFS(DelinquencyPerSector!$I:$I, "="&amp;A100, DelinquencyPerSector!$J:$J, "="&amp;B100,DelinquencyPerSector!$K:$K, "="&amp;C100,DelinquencyPerSector!$N:$N, "&gt;0")</f>
        <v>0</v>
      </c>
      <c r="J100" s="281">
        <f>SUMIFS(DelinquencyPerSector!$P$2:$P$5000, DelinquencyPerSector!$K$2:$K$5000, "="&amp;C100, DelinquencyPerSector!$J$2:$J$5000, "="&amp;B100, DelinquencyPerSector!$I$2:$I$5000,"="&amp;A100)</f>
        <v>0</v>
      </c>
      <c r="K100" s="282">
        <f t="shared" si="12"/>
        <v>0</v>
      </c>
      <c r="L100" s="283">
        <f>COUNTIFS(DelinquencyPerSector!$I:$I, "="&amp;A100, DelinquencyPerSector!$J:$J, "="&amp;B100,DelinquencyPerSector!$K:$K, "="&amp;C100,DelinquencyPerSector!$P:$P, "&gt;0")</f>
        <v>0</v>
      </c>
      <c r="M100" s="285">
        <f>SUMIFS(DelinquencyPerSector!$R$2:$R$5000,DelinquencyPerSector!$K$2:$K$5000, "="&amp;C100, DelinquencyPerSector!$J$2:$J$5000, "="&amp;B100,DelinquencyPerSector!$I$2:$I$5000,"="&amp;A100)</f>
        <v>0</v>
      </c>
      <c r="N100" s="282">
        <f t="shared" si="13"/>
        <v>0</v>
      </c>
      <c r="O100" s="283">
        <f>COUNTIFS(DelinquencyPerSector!$I:$I, "="&amp;A100, DelinquencyPerSector!$J:$J, "="&amp;B100,DelinquencyPerSector!$K:$K, "="&amp;C100,DelinquencyPerSector!$R:$R, "&gt;0")</f>
        <v>0</v>
      </c>
      <c r="P100" s="281">
        <v>33207313.059999999</v>
      </c>
      <c r="Q100" s="282">
        <f t="shared" si="14"/>
        <v>2.004551641112939E-3</v>
      </c>
      <c r="R100" s="287">
        <f>COUNTIFS(DelinquencyPerSector!$I:$I, "="&amp;A100, DelinquencyPerSector!$J:$J, "="&amp;B100,DelinquencyPerSector!$K:$K, "="&amp;C100)</f>
        <v>2</v>
      </c>
      <c r="S100" s="288">
        <f>Table_ExternalData_18[[#This Row],[Total Port%]]-Table_ExternalData_18[[#This Row],[PAR 30+%]]</f>
        <v>2.004551641112939E-3</v>
      </c>
      <c r="T100" s="289">
        <f>Table_ExternalData_18[[#This Row],[Total Port%]]-Table_ExternalData_18[[#This Row],[PAR 90+%]]</f>
        <v>2.004551641112939E-3</v>
      </c>
      <c r="U100" s="280"/>
      <c r="V100" s="280"/>
    </row>
    <row r="101" spans="1:22" ht="22.8" x14ac:dyDescent="0.4">
      <c r="A101" s="280" t="s">
        <v>29</v>
      </c>
      <c r="B101" s="280" t="s">
        <v>30</v>
      </c>
      <c r="C101" s="280" t="s">
        <v>1819</v>
      </c>
      <c r="D101" s="281">
        <f>SUMIFS(DelinquencyPerSector!$L$2:$L$5000,DelinquencyPerSector!$K$2:$K$5000, "="&amp;C101, DelinquencyPerSector!$J$2:$J$5000, "="&amp;B101,DelinquencyPerSector!$I$2:$I$5000,"="&amp;A101)</f>
        <v>0</v>
      </c>
      <c r="E101" s="282">
        <f t="shared" si="10"/>
        <v>0</v>
      </c>
      <c r="F101" s="283">
        <f>COUNTIFS(DelinquencyPerSector!$I:$I, "="&amp;A101, DelinquencyPerSector!$J:$J, "="&amp;B101,DelinquencyPerSector!$K:$K, "="&amp;C101,DelinquencyPerSector!$L:$L, "&gt;0")</f>
        <v>0</v>
      </c>
      <c r="G101" s="284">
        <f>SUMIFS(DelinquencyPerSector!$N$2:$N$5000, DelinquencyPerSector!$K$2:$K$5000, "="&amp;C101, DelinquencyPerSector!$J$2:$J$5000, "="&amp;B101, DelinquencyPerSector!$I$2:$I$5000,"="&amp;A101)</f>
        <v>0</v>
      </c>
      <c r="H101" s="282">
        <f t="shared" si="11"/>
        <v>0</v>
      </c>
      <c r="I101" s="283">
        <f>COUNTIFS(DelinquencyPerSector!$I:$I, "="&amp;A101, DelinquencyPerSector!$J:$J, "="&amp;B101,DelinquencyPerSector!$K:$K, "="&amp;C101,DelinquencyPerSector!$N:$N, "&gt;0")</f>
        <v>0</v>
      </c>
      <c r="J101" s="281">
        <f>SUMIFS(DelinquencyPerSector!$P$2:$P$5000, DelinquencyPerSector!$K$2:$K$5000, "="&amp;C101, DelinquencyPerSector!$J$2:$J$5000, "="&amp;B101, DelinquencyPerSector!$I$2:$I$5000,"="&amp;A101)</f>
        <v>0</v>
      </c>
      <c r="K101" s="282">
        <f t="shared" si="12"/>
        <v>0</v>
      </c>
      <c r="L101" s="283">
        <f>COUNTIFS(DelinquencyPerSector!$I:$I, "="&amp;A101, DelinquencyPerSector!$J:$J, "="&amp;B101,DelinquencyPerSector!$K:$K, "="&amp;C101,DelinquencyPerSector!$P:$P, "&gt;0")</f>
        <v>0</v>
      </c>
      <c r="M101" s="285">
        <f>SUMIFS(DelinquencyPerSector!$R$2:$R$5000,DelinquencyPerSector!$K$2:$K$5000, "="&amp;C101, DelinquencyPerSector!$J$2:$J$5000, "="&amp;B101,DelinquencyPerSector!$I$2:$I$5000,"="&amp;A101)</f>
        <v>0</v>
      </c>
      <c r="N101" s="282">
        <f t="shared" si="13"/>
        <v>0</v>
      </c>
      <c r="O101" s="283">
        <f>COUNTIFS(DelinquencyPerSector!$I:$I, "="&amp;A101, DelinquencyPerSector!$J:$J, "="&amp;B101,DelinquencyPerSector!$K:$K, "="&amp;C101,DelinquencyPerSector!$R:$R, "&gt;0")</f>
        <v>0</v>
      </c>
      <c r="P101" s="281">
        <v>26009366.600000001</v>
      </c>
      <c r="Q101" s="282">
        <f t="shared" si="14"/>
        <v>1.5700492963141917E-3</v>
      </c>
      <c r="R101" s="287">
        <f>COUNTIFS(DelinquencyPerSector!$I:$I, "="&amp;A101, DelinquencyPerSector!$J:$J, "="&amp;B101,DelinquencyPerSector!$K:$K, "="&amp;C101)</f>
        <v>4</v>
      </c>
      <c r="S101" s="288">
        <f>Table_ExternalData_18[[#This Row],[Total Port%]]-Table_ExternalData_18[[#This Row],[PAR 30+%]]</f>
        <v>1.5700492963141917E-3</v>
      </c>
      <c r="T101" s="289">
        <f>Table_ExternalData_18[[#This Row],[Total Port%]]-Table_ExternalData_18[[#This Row],[PAR 90+%]]</f>
        <v>1.5700492963141917E-3</v>
      </c>
      <c r="U101" s="280"/>
      <c r="V101" s="280"/>
    </row>
    <row r="102" spans="1:22" ht="22.8" x14ac:dyDescent="0.4">
      <c r="A102" s="280" t="s">
        <v>29</v>
      </c>
      <c r="B102" s="280" t="s">
        <v>30</v>
      </c>
      <c r="C102" s="280" t="s">
        <v>26</v>
      </c>
      <c r="D102" s="281">
        <f>SUMIFS(DelinquencyPerSector!$L$2:$L$5000,DelinquencyPerSector!$K$2:$K$5000, "="&amp;C102, DelinquencyPerSector!$J$2:$J$5000, "="&amp;B102,DelinquencyPerSector!$I$2:$I$5000,"="&amp;A102)</f>
        <v>40911341.119999997</v>
      </c>
      <c r="E102" s="282">
        <f t="shared" ref="E102:E133" si="15">D102/$D$3</f>
        <v>5.5467600579888815E-3</v>
      </c>
      <c r="F102" s="283">
        <f>COUNTIFS(DelinquencyPerSector!$I:$I, "="&amp;A102, DelinquencyPerSector!$J:$J, "="&amp;B102,DelinquencyPerSector!$K:$K, "="&amp;C102,DelinquencyPerSector!$L:$L, "&gt;0")</f>
        <v>3</v>
      </c>
      <c r="G102" s="284">
        <f>SUMIFS(DelinquencyPerSector!$N$2:$N$5000, DelinquencyPerSector!$K$2:$K$5000, "="&amp;C102, DelinquencyPerSector!$J$2:$J$5000, "="&amp;B102, DelinquencyPerSector!$I$2:$I$5000,"="&amp;A102)</f>
        <v>0</v>
      </c>
      <c r="H102" s="282">
        <f t="shared" ref="H102:H133" si="16">G102/$G$3</f>
        <v>0</v>
      </c>
      <c r="I102" s="283">
        <f>COUNTIFS(DelinquencyPerSector!$I:$I, "="&amp;A102, DelinquencyPerSector!$J:$J, "="&amp;B102,DelinquencyPerSector!$K:$K, "="&amp;C102,DelinquencyPerSector!$N:$N, "&gt;0")</f>
        <v>0</v>
      </c>
      <c r="J102" s="281">
        <f>SUMIFS(DelinquencyPerSector!$P$2:$P$5000, DelinquencyPerSector!$K$2:$K$5000, "="&amp;C102, DelinquencyPerSector!$J$2:$J$5000, "="&amp;B102, DelinquencyPerSector!$I$2:$I$5000,"="&amp;A102)</f>
        <v>0</v>
      </c>
      <c r="K102" s="282">
        <f t="shared" ref="K102:K133" si="17">J102/$J$3</f>
        <v>0</v>
      </c>
      <c r="L102" s="283">
        <f>COUNTIFS(DelinquencyPerSector!$I:$I, "="&amp;A102, DelinquencyPerSector!$J:$J, "="&amp;B102,DelinquencyPerSector!$K:$K, "="&amp;C102,DelinquencyPerSector!$P:$P, "&gt;0")</f>
        <v>0</v>
      </c>
      <c r="M102" s="285">
        <f>SUMIFS(DelinquencyPerSector!$R$2:$R$5000,DelinquencyPerSector!$K$2:$K$5000, "="&amp;C102, DelinquencyPerSector!$J$2:$J$5000, "="&amp;B102,DelinquencyPerSector!$I$2:$I$5000,"="&amp;A102)</f>
        <v>0</v>
      </c>
      <c r="N102" s="282">
        <f t="shared" ref="N102:N133" si="18">M102/$M$3</f>
        <v>0</v>
      </c>
      <c r="O102" s="283">
        <f>COUNTIFS(DelinquencyPerSector!$I:$I, "="&amp;A102, DelinquencyPerSector!$J:$J, "="&amp;B102,DelinquencyPerSector!$K:$K, "="&amp;C102,DelinquencyPerSector!$R:$R, "&gt;0")</f>
        <v>0</v>
      </c>
      <c r="P102" s="281">
        <v>52460159.619999997</v>
      </c>
      <c r="Q102" s="282">
        <f t="shared" ref="Q102:Q133" si="19">P102/$P$3</f>
        <v>3.1667451946296599E-3</v>
      </c>
      <c r="R102" s="287">
        <f>COUNTIFS(DelinquencyPerSector!$I:$I, "="&amp;A102, DelinquencyPerSector!$J:$J, "="&amp;B102,DelinquencyPerSector!$K:$K, "="&amp;C102)</f>
        <v>4</v>
      </c>
      <c r="S102" s="288">
        <f>Table_ExternalData_18[[#This Row],[Total Port%]]-Table_ExternalData_18[[#This Row],[PAR 30+%]]</f>
        <v>3.1667451946296599E-3</v>
      </c>
      <c r="T102" s="289">
        <f>Table_ExternalData_18[[#This Row],[Total Port%]]-Table_ExternalData_18[[#This Row],[PAR 90+%]]</f>
        <v>3.1667451946296599E-3</v>
      </c>
      <c r="U102" s="280"/>
      <c r="V102" s="280"/>
    </row>
    <row r="103" spans="1:22" ht="22.8" x14ac:dyDescent="0.4">
      <c r="A103" s="280" t="s">
        <v>29</v>
      </c>
      <c r="B103" s="280" t="s">
        <v>30</v>
      </c>
      <c r="C103" s="280" t="s">
        <v>30</v>
      </c>
      <c r="D103" s="281">
        <f>SUMIFS(DelinquencyPerSector!$L$2:$L$5000,DelinquencyPerSector!$K$2:$K$5000, "="&amp;C103, DelinquencyPerSector!$J$2:$J$5000, "="&amp;B103,DelinquencyPerSector!$I$2:$I$5000,"="&amp;A103)</f>
        <v>8511487.2599999998</v>
      </c>
      <c r="E103" s="282">
        <f t="shared" si="15"/>
        <v>1.153987531950388E-3</v>
      </c>
      <c r="F103" s="283">
        <f>COUNTIFS(DelinquencyPerSector!$I:$I, "="&amp;A103, DelinquencyPerSector!$J:$J, "="&amp;B103,DelinquencyPerSector!$K:$K, "="&amp;C103,DelinquencyPerSector!$L:$L, "&gt;0")</f>
        <v>1</v>
      </c>
      <c r="G103" s="284">
        <f>SUMIFS(DelinquencyPerSector!$N$2:$N$5000, DelinquencyPerSector!$K$2:$K$5000, "="&amp;C103, DelinquencyPerSector!$J$2:$J$5000, "="&amp;B103, DelinquencyPerSector!$I$2:$I$5000,"="&amp;A103)</f>
        <v>0</v>
      </c>
      <c r="H103" s="282">
        <f t="shared" si="16"/>
        <v>0</v>
      </c>
      <c r="I103" s="283">
        <f>COUNTIFS(DelinquencyPerSector!$I:$I, "="&amp;A103, DelinquencyPerSector!$J:$J, "="&amp;B103,DelinquencyPerSector!$K:$K, "="&amp;C103,DelinquencyPerSector!$N:$N, "&gt;0")</f>
        <v>0</v>
      </c>
      <c r="J103" s="281">
        <f>SUMIFS(DelinquencyPerSector!$P$2:$P$5000, DelinquencyPerSector!$K$2:$K$5000, "="&amp;C103, DelinquencyPerSector!$J$2:$J$5000, "="&amp;B103, DelinquencyPerSector!$I$2:$I$5000,"="&amp;A103)</f>
        <v>0</v>
      </c>
      <c r="K103" s="282">
        <f t="shared" si="17"/>
        <v>0</v>
      </c>
      <c r="L103" s="283">
        <f>COUNTIFS(DelinquencyPerSector!$I:$I, "="&amp;A103, DelinquencyPerSector!$J:$J, "="&amp;B103,DelinquencyPerSector!$K:$K, "="&amp;C103,DelinquencyPerSector!$P:$P, "&gt;0")</f>
        <v>0</v>
      </c>
      <c r="M103" s="285">
        <f>SUMIFS(DelinquencyPerSector!$R$2:$R$5000,DelinquencyPerSector!$K$2:$K$5000, "="&amp;C103, DelinquencyPerSector!$J$2:$J$5000, "="&amp;B103,DelinquencyPerSector!$I$2:$I$5000,"="&amp;A103)</f>
        <v>0</v>
      </c>
      <c r="N103" s="282">
        <f t="shared" si="18"/>
        <v>0</v>
      </c>
      <c r="O103" s="283">
        <f>COUNTIFS(DelinquencyPerSector!$I:$I, "="&amp;A103, DelinquencyPerSector!$J:$J, "="&amp;B103,DelinquencyPerSector!$K:$K, "="&amp;C103,DelinquencyPerSector!$R:$R, "&gt;0")</f>
        <v>0</v>
      </c>
      <c r="P103" s="281">
        <v>46315520.060000002</v>
      </c>
      <c r="Q103" s="282">
        <f t="shared" si="19"/>
        <v>2.7958254730674156E-3</v>
      </c>
      <c r="R103" s="287">
        <f>COUNTIFS(DelinquencyPerSector!$I:$I, "="&amp;A103, DelinquencyPerSector!$J:$J, "="&amp;B103,DelinquencyPerSector!$K:$K, "="&amp;C103)</f>
        <v>4</v>
      </c>
      <c r="S103" s="288">
        <f>Table_ExternalData_18[[#This Row],[Total Port%]]-Table_ExternalData_18[[#This Row],[PAR 30+%]]</f>
        <v>2.7958254730674156E-3</v>
      </c>
      <c r="T103" s="289">
        <f>Table_ExternalData_18[[#This Row],[Total Port%]]-Table_ExternalData_18[[#This Row],[PAR 90+%]]</f>
        <v>2.7958254730674156E-3</v>
      </c>
      <c r="U103" s="280"/>
      <c r="V103" s="280"/>
    </row>
    <row r="104" spans="1:22" ht="22.8" x14ac:dyDescent="0.4">
      <c r="A104" s="280" t="s">
        <v>25</v>
      </c>
      <c r="B104" s="280" t="s">
        <v>103</v>
      </c>
      <c r="C104" s="280" t="s">
        <v>1821</v>
      </c>
      <c r="D104" s="281">
        <f>SUMIFS(DelinquencyPerSector!$L$2:$L$5000,DelinquencyPerSector!$K$2:$K$5000, "="&amp;C104, DelinquencyPerSector!$J$2:$J$5000, "="&amp;B104,DelinquencyPerSector!$I$2:$I$5000,"="&amp;A104)</f>
        <v>9462264.1300000008</v>
      </c>
      <c r="E104" s="282">
        <f t="shared" si="15"/>
        <v>1.2828938699535088E-3</v>
      </c>
      <c r="F104" s="283">
        <f>COUNTIFS(DelinquencyPerSector!$I:$I, "="&amp;A104, DelinquencyPerSector!$J:$J, "="&amp;B104,DelinquencyPerSector!$K:$K, "="&amp;C104,DelinquencyPerSector!$L:$L, "&gt;0")</f>
        <v>1</v>
      </c>
      <c r="G104" s="284">
        <f>SUMIFS(DelinquencyPerSector!$N$2:$N$5000, DelinquencyPerSector!$K$2:$K$5000, "="&amp;C104, DelinquencyPerSector!$J$2:$J$5000, "="&amp;B104, DelinquencyPerSector!$I$2:$I$5000,"="&amp;A104)</f>
        <v>0</v>
      </c>
      <c r="H104" s="282">
        <f t="shared" si="16"/>
        <v>0</v>
      </c>
      <c r="I104" s="283">
        <f>COUNTIFS(DelinquencyPerSector!$I:$I, "="&amp;A104, DelinquencyPerSector!$J:$J, "="&amp;B104,DelinquencyPerSector!$K:$K, "="&amp;C104,DelinquencyPerSector!$N:$N, "&gt;0")</f>
        <v>0</v>
      </c>
      <c r="J104" s="281">
        <f>SUMIFS(DelinquencyPerSector!$P$2:$P$5000, DelinquencyPerSector!$K$2:$K$5000, "="&amp;C104, DelinquencyPerSector!$J$2:$J$5000, "="&amp;B104, DelinquencyPerSector!$I$2:$I$5000,"="&amp;A104)</f>
        <v>0</v>
      </c>
      <c r="K104" s="282">
        <f t="shared" si="17"/>
        <v>0</v>
      </c>
      <c r="L104" s="283">
        <f>COUNTIFS(DelinquencyPerSector!$I:$I, "="&amp;A104, DelinquencyPerSector!$J:$J, "="&amp;B104,DelinquencyPerSector!$K:$K, "="&amp;C104,DelinquencyPerSector!$P:$P, "&gt;0")</f>
        <v>0</v>
      </c>
      <c r="M104" s="285">
        <f>SUMIFS(DelinquencyPerSector!$R$2:$R$5000,DelinquencyPerSector!$K$2:$K$5000, "="&amp;C104, DelinquencyPerSector!$J$2:$J$5000, "="&amp;B104,DelinquencyPerSector!$I$2:$I$5000,"="&amp;A104)</f>
        <v>0</v>
      </c>
      <c r="N104" s="282">
        <f t="shared" si="18"/>
        <v>0</v>
      </c>
      <c r="O104" s="283">
        <f>COUNTIFS(DelinquencyPerSector!$I:$I, "="&amp;A104, DelinquencyPerSector!$J:$J, "="&amp;B104,DelinquencyPerSector!$K:$K, "="&amp;C104,DelinquencyPerSector!$R:$R, "&gt;0")</f>
        <v>0</v>
      </c>
      <c r="P104" s="281">
        <v>9462264.1300000008</v>
      </c>
      <c r="Q104" s="282">
        <f t="shared" si="19"/>
        <v>5.7118734828573328E-4</v>
      </c>
      <c r="R104" s="287">
        <f>COUNTIFS(DelinquencyPerSector!$I:$I, "="&amp;A104, DelinquencyPerSector!$J:$J, "="&amp;B104,DelinquencyPerSector!$K:$K, "="&amp;C104)</f>
        <v>1</v>
      </c>
      <c r="S104" s="288">
        <f>Table_ExternalData_18[[#This Row],[Total Port%]]-Table_ExternalData_18[[#This Row],[PAR 30+%]]</f>
        <v>5.7118734828573328E-4</v>
      </c>
      <c r="T104" s="289">
        <f>Table_ExternalData_18[[#This Row],[Total Port%]]-Table_ExternalData_18[[#This Row],[PAR 90+%]]</f>
        <v>5.7118734828573328E-4</v>
      </c>
      <c r="U104" s="280"/>
      <c r="V104" s="280"/>
    </row>
    <row r="105" spans="1:22" ht="22.8" x14ac:dyDescent="0.4">
      <c r="A105" s="280" t="s">
        <v>25</v>
      </c>
      <c r="B105" s="280" t="s">
        <v>32</v>
      </c>
      <c r="C105" s="280" t="s">
        <v>3369</v>
      </c>
      <c r="D105" s="281">
        <f>SUMIFS(DelinquencyPerSector!$L$2:$L$5000,DelinquencyPerSector!$K$2:$K$5000, "="&amp;C105, DelinquencyPerSector!$J$2:$J$5000, "="&amp;B105,DelinquencyPerSector!$I$2:$I$5000,"="&amp;A105)</f>
        <v>17716402.949999999</v>
      </c>
      <c r="E105" s="282">
        <f t="shared" si="15"/>
        <v>2.4019900977105E-3</v>
      </c>
      <c r="F105" s="283">
        <f>COUNTIFS(DelinquencyPerSector!$I:$I, "="&amp;A105, DelinquencyPerSector!$J:$J, "="&amp;B105,DelinquencyPerSector!$K:$K, "="&amp;C105,DelinquencyPerSector!$L:$L, "&gt;0")</f>
        <v>4</v>
      </c>
      <c r="G105" s="284">
        <f>SUMIFS(DelinquencyPerSector!$N$2:$N$5000, DelinquencyPerSector!$K$2:$K$5000, "="&amp;C105, DelinquencyPerSector!$J$2:$J$5000, "="&amp;B105, DelinquencyPerSector!$I$2:$I$5000,"="&amp;A105)</f>
        <v>0</v>
      </c>
      <c r="H105" s="282">
        <f t="shared" si="16"/>
        <v>0</v>
      </c>
      <c r="I105" s="283">
        <f>COUNTIFS(DelinquencyPerSector!$I:$I, "="&amp;A105, DelinquencyPerSector!$J:$J, "="&amp;B105,DelinquencyPerSector!$K:$K, "="&amp;C105,DelinquencyPerSector!$N:$N, "&gt;0")</f>
        <v>0</v>
      </c>
      <c r="J105" s="281">
        <f>SUMIFS(DelinquencyPerSector!$P$2:$P$5000, DelinquencyPerSector!$K$2:$K$5000, "="&amp;C105, DelinquencyPerSector!$J$2:$J$5000, "="&amp;B105, DelinquencyPerSector!$I$2:$I$5000,"="&amp;A105)</f>
        <v>0</v>
      </c>
      <c r="K105" s="282">
        <f t="shared" si="17"/>
        <v>0</v>
      </c>
      <c r="L105" s="283">
        <f>COUNTIFS(DelinquencyPerSector!$I:$I, "="&amp;A105, DelinquencyPerSector!$J:$J, "="&amp;B105,DelinquencyPerSector!$K:$K, "="&amp;C105,DelinquencyPerSector!$P:$P, "&gt;0")</f>
        <v>0</v>
      </c>
      <c r="M105" s="285">
        <f>SUMIFS(DelinquencyPerSector!$R$2:$R$5000,DelinquencyPerSector!$K$2:$K$5000, "="&amp;C105, DelinquencyPerSector!$J$2:$J$5000, "="&amp;B105,DelinquencyPerSector!$I$2:$I$5000,"="&amp;A105)</f>
        <v>0</v>
      </c>
      <c r="N105" s="282">
        <f t="shared" si="18"/>
        <v>0</v>
      </c>
      <c r="O105" s="283">
        <f>COUNTIFS(DelinquencyPerSector!$I:$I, "="&amp;A105, DelinquencyPerSector!$J:$J, "="&amp;B105,DelinquencyPerSector!$K:$K, "="&amp;C105,DelinquencyPerSector!$R:$R, "&gt;0")</f>
        <v>0</v>
      </c>
      <c r="P105" s="281">
        <v>19876986.870000001</v>
      </c>
      <c r="Q105" s="282">
        <f t="shared" si="19"/>
        <v>1.1998696365058705E-3</v>
      </c>
      <c r="R105" s="287">
        <f>COUNTIFS(DelinquencyPerSector!$I:$I, "="&amp;A105, DelinquencyPerSector!$J:$J, "="&amp;B105,DelinquencyPerSector!$K:$K, "="&amp;C105)</f>
        <v>5</v>
      </c>
      <c r="S105" s="288">
        <f>Table_ExternalData_18[[#This Row],[Total Port%]]-Table_ExternalData_18[[#This Row],[PAR 30+%]]</f>
        <v>1.1998696365058705E-3</v>
      </c>
      <c r="T105" s="289">
        <f>Table_ExternalData_18[[#This Row],[Total Port%]]-Table_ExternalData_18[[#This Row],[PAR 90+%]]</f>
        <v>1.1998696365058705E-3</v>
      </c>
      <c r="U105" s="280"/>
      <c r="V105" s="280"/>
    </row>
    <row r="106" spans="1:22" ht="22.8" x14ac:dyDescent="0.4">
      <c r="A106" s="280" t="s">
        <v>25</v>
      </c>
      <c r="B106" s="280" t="s">
        <v>32</v>
      </c>
      <c r="C106" s="280" t="s">
        <v>1827</v>
      </c>
      <c r="D106" s="281">
        <f>SUMIFS(DelinquencyPerSector!$L$2:$L$5000,DelinquencyPerSector!$K$2:$K$5000, "="&amp;C106, DelinquencyPerSector!$J$2:$J$5000, "="&amp;B106,DelinquencyPerSector!$I$2:$I$5000,"="&amp;A106)</f>
        <v>0</v>
      </c>
      <c r="E106" s="282">
        <f t="shared" si="15"/>
        <v>0</v>
      </c>
      <c r="F106" s="283">
        <f>COUNTIFS(DelinquencyPerSector!$I:$I, "="&amp;A106, DelinquencyPerSector!$J:$J, "="&amp;B106,DelinquencyPerSector!$K:$K, "="&amp;C106,DelinquencyPerSector!$L:$L, "&gt;0")</f>
        <v>0</v>
      </c>
      <c r="G106" s="284">
        <f>SUMIFS(DelinquencyPerSector!$N$2:$N$5000, DelinquencyPerSector!$K$2:$K$5000, "="&amp;C106, DelinquencyPerSector!$J$2:$J$5000, "="&amp;B106, DelinquencyPerSector!$I$2:$I$5000,"="&amp;A106)</f>
        <v>0</v>
      </c>
      <c r="H106" s="282">
        <f t="shared" si="16"/>
        <v>0</v>
      </c>
      <c r="I106" s="283">
        <f>COUNTIFS(DelinquencyPerSector!$I:$I, "="&amp;A106, DelinquencyPerSector!$J:$J, "="&amp;B106,DelinquencyPerSector!$K:$K, "="&amp;C106,DelinquencyPerSector!$N:$N, "&gt;0")</f>
        <v>0</v>
      </c>
      <c r="J106" s="281">
        <f>SUMIFS(DelinquencyPerSector!$P$2:$P$5000, DelinquencyPerSector!$K$2:$K$5000, "="&amp;C106, DelinquencyPerSector!$J$2:$J$5000, "="&amp;B106, DelinquencyPerSector!$I$2:$I$5000,"="&amp;A106)</f>
        <v>0</v>
      </c>
      <c r="K106" s="282">
        <f t="shared" si="17"/>
        <v>0</v>
      </c>
      <c r="L106" s="283">
        <f>COUNTIFS(DelinquencyPerSector!$I:$I, "="&amp;A106, DelinquencyPerSector!$J:$J, "="&amp;B106,DelinquencyPerSector!$K:$K, "="&amp;C106,DelinquencyPerSector!$P:$P, "&gt;0")</f>
        <v>0</v>
      </c>
      <c r="M106" s="285">
        <f>SUMIFS(DelinquencyPerSector!$R$2:$R$5000,DelinquencyPerSector!$K$2:$K$5000, "="&amp;C106, DelinquencyPerSector!$J$2:$J$5000, "="&amp;B106,DelinquencyPerSector!$I$2:$I$5000,"="&amp;A106)</f>
        <v>0</v>
      </c>
      <c r="N106" s="282">
        <f t="shared" si="18"/>
        <v>0</v>
      </c>
      <c r="O106" s="283">
        <f>COUNTIFS(DelinquencyPerSector!$I:$I, "="&amp;A106, DelinquencyPerSector!$J:$J, "="&amp;B106,DelinquencyPerSector!$K:$K, "="&amp;C106,DelinquencyPerSector!$R:$R, "&gt;0")</f>
        <v>0</v>
      </c>
      <c r="P106" s="281">
        <v>2414070.58</v>
      </c>
      <c r="Q106" s="282">
        <f t="shared" si="19"/>
        <v>1.4572480267096519E-4</v>
      </c>
      <c r="R106" s="287">
        <f>COUNTIFS(DelinquencyPerSector!$I:$I, "="&amp;A106, DelinquencyPerSector!$J:$J, "="&amp;B106,DelinquencyPerSector!$K:$K, "="&amp;C106)</f>
        <v>1</v>
      </c>
      <c r="S106" s="288">
        <f>Table_ExternalData_18[[#This Row],[Total Port%]]-Table_ExternalData_18[[#This Row],[PAR 30+%]]</f>
        <v>1.4572480267096519E-4</v>
      </c>
      <c r="T106" s="289">
        <f>Table_ExternalData_18[[#This Row],[Total Port%]]-Table_ExternalData_18[[#This Row],[PAR 90+%]]</f>
        <v>1.4572480267096519E-4</v>
      </c>
      <c r="U106" s="280"/>
      <c r="V106" s="280"/>
    </row>
    <row r="107" spans="1:22" ht="22.8" x14ac:dyDescent="0.4">
      <c r="A107" s="280" t="s">
        <v>25</v>
      </c>
      <c r="B107" s="280" t="s">
        <v>290</v>
      </c>
      <c r="C107" s="280" t="s">
        <v>1768</v>
      </c>
      <c r="D107" s="281">
        <f>SUMIFS(DelinquencyPerSector!$L$2:$L$5000,DelinquencyPerSector!$K$2:$K$5000, "="&amp;C107, DelinquencyPerSector!$J$2:$J$5000, "="&amp;B107,DelinquencyPerSector!$I$2:$I$5000,"="&amp;A107)</f>
        <v>641245.48</v>
      </c>
      <c r="E107" s="282">
        <f t="shared" si="15"/>
        <v>8.6940068901606037E-5</v>
      </c>
      <c r="F107" s="283">
        <f>COUNTIFS(DelinquencyPerSector!$I:$I, "="&amp;A107, DelinquencyPerSector!$J:$J, "="&amp;B107,DelinquencyPerSector!$K:$K, "="&amp;C107,DelinquencyPerSector!$L:$L, "&gt;0")</f>
        <v>1</v>
      </c>
      <c r="G107" s="284">
        <f>SUMIFS(DelinquencyPerSector!$N$2:$N$5000, DelinquencyPerSector!$K$2:$K$5000, "="&amp;C107, DelinquencyPerSector!$J$2:$J$5000, "="&amp;B107, DelinquencyPerSector!$I$2:$I$5000,"="&amp;A107)</f>
        <v>0</v>
      </c>
      <c r="H107" s="282">
        <f t="shared" si="16"/>
        <v>0</v>
      </c>
      <c r="I107" s="283">
        <f>COUNTIFS(DelinquencyPerSector!$I:$I, "="&amp;A107, DelinquencyPerSector!$J:$J, "="&amp;B107,DelinquencyPerSector!$K:$K, "="&amp;C107,DelinquencyPerSector!$N:$N, "&gt;0")</f>
        <v>0</v>
      </c>
      <c r="J107" s="281">
        <f>SUMIFS(DelinquencyPerSector!$P$2:$P$5000, DelinquencyPerSector!$K$2:$K$5000, "="&amp;C107, DelinquencyPerSector!$J$2:$J$5000, "="&amp;B107, DelinquencyPerSector!$I$2:$I$5000,"="&amp;A107)</f>
        <v>0</v>
      </c>
      <c r="K107" s="282">
        <f t="shared" si="17"/>
        <v>0</v>
      </c>
      <c r="L107" s="283">
        <f>COUNTIFS(DelinquencyPerSector!$I:$I, "="&amp;A107, DelinquencyPerSector!$J:$J, "="&amp;B107,DelinquencyPerSector!$K:$K, "="&amp;C107,DelinquencyPerSector!$P:$P, "&gt;0")</f>
        <v>0</v>
      </c>
      <c r="M107" s="285">
        <f>SUMIFS(DelinquencyPerSector!$R$2:$R$5000,DelinquencyPerSector!$K$2:$K$5000, "="&amp;C107, DelinquencyPerSector!$J$2:$J$5000, "="&amp;B107,DelinquencyPerSector!$I$2:$I$5000,"="&amp;A107)</f>
        <v>0</v>
      </c>
      <c r="N107" s="282">
        <f t="shared" si="18"/>
        <v>0</v>
      </c>
      <c r="O107" s="283">
        <f>COUNTIFS(DelinquencyPerSector!$I:$I, "="&amp;A107, DelinquencyPerSector!$J:$J, "="&amp;B107,DelinquencyPerSector!$K:$K, "="&amp;C107,DelinquencyPerSector!$R:$R, "&gt;0")</f>
        <v>0</v>
      </c>
      <c r="P107" s="281">
        <v>641245.48</v>
      </c>
      <c r="Q107" s="282">
        <f t="shared" si="19"/>
        <v>3.8708632552345819E-5</v>
      </c>
      <c r="R107" s="287">
        <f>COUNTIFS(DelinquencyPerSector!$I:$I, "="&amp;A107, DelinquencyPerSector!$J:$J, "="&amp;B107,DelinquencyPerSector!$K:$K, "="&amp;C107)</f>
        <v>1</v>
      </c>
      <c r="S107" s="288">
        <f>Table_ExternalData_18[[#This Row],[Total Port%]]-Table_ExternalData_18[[#This Row],[PAR 30+%]]</f>
        <v>3.8708632552345819E-5</v>
      </c>
      <c r="T107" s="289">
        <f>Table_ExternalData_18[[#This Row],[Total Port%]]-Table_ExternalData_18[[#This Row],[PAR 90+%]]</f>
        <v>3.8708632552345819E-5</v>
      </c>
      <c r="U107" s="280"/>
      <c r="V107" s="280"/>
    </row>
    <row r="108" spans="1:22" ht="22.8" x14ac:dyDescent="0.4">
      <c r="A108" s="280" t="s">
        <v>25</v>
      </c>
      <c r="B108" s="280" t="s">
        <v>290</v>
      </c>
      <c r="C108" s="280" t="s">
        <v>3778</v>
      </c>
      <c r="D108" s="281">
        <f>SUMIFS(DelinquencyPerSector!$L$2:$L$5000,DelinquencyPerSector!$K$2:$K$5000, "="&amp;C108, DelinquencyPerSector!$J$2:$J$5000, "="&amp;B108,DelinquencyPerSector!$I$2:$I$5000,"="&amp;A108)</f>
        <v>0</v>
      </c>
      <c r="E108" s="282">
        <f t="shared" si="15"/>
        <v>0</v>
      </c>
      <c r="F108" s="283">
        <f>COUNTIFS(DelinquencyPerSector!$I:$I, "="&amp;A108, DelinquencyPerSector!$J:$J, "="&amp;B108,DelinquencyPerSector!$K:$K, "="&amp;C108,DelinquencyPerSector!$L:$L, "&gt;0")</f>
        <v>0</v>
      </c>
      <c r="G108" s="284">
        <f>SUMIFS(DelinquencyPerSector!$N$2:$N$5000, DelinquencyPerSector!$K$2:$K$5000, "="&amp;C108, DelinquencyPerSector!$J$2:$J$5000, "="&amp;B108, DelinquencyPerSector!$I$2:$I$5000,"="&amp;A108)</f>
        <v>0</v>
      </c>
      <c r="H108" s="282">
        <f t="shared" si="16"/>
        <v>0</v>
      </c>
      <c r="I108" s="283">
        <f>COUNTIFS(DelinquencyPerSector!$I:$I, "="&amp;A108, DelinquencyPerSector!$J:$J, "="&amp;B108,DelinquencyPerSector!$K:$K, "="&amp;C108,DelinquencyPerSector!$N:$N, "&gt;0")</f>
        <v>0</v>
      </c>
      <c r="J108" s="281">
        <f>SUMIFS(DelinquencyPerSector!$P$2:$P$5000, DelinquencyPerSector!$K$2:$K$5000, "="&amp;C108, DelinquencyPerSector!$J$2:$J$5000, "="&amp;B108, DelinquencyPerSector!$I$2:$I$5000,"="&amp;A108)</f>
        <v>0</v>
      </c>
      <c r="K108" s="282">
        <f t="shared" si="17"/>
        <v>0</v>
      </c>
      <c r="L108" s="283">
        <f>COUNTIFS(DelinquencyPerSector!$I:$I, "="&amp;A108, DelinquencyPerSector!$J:$J, "="&amp;B108,DelinquencyPerSector!$K:$K, "="&amp;C108,DelinquencyPerSector!$P:$P, "&gt;0")</f>
        <v>0</v>
      </c>
      <c r="M108" s="285">
        <f>SUMIFS(DelinquencyPerSector!$R$2:$R$5000,DelinquencyPerSector!$K$2:$K$5000, "="&amp;C108, DelinquencyPerSector!$J$2:$J$5000, "="&amp;B108,DelinquencyPerSector!$I$2:$I$5000,"="&amp;A108)</f>
        <v>0</v>
      </c>
      <c r="N108" s="282">
        <f t="shared" si="18"/>
        <v>0</v>
      </c>
      <c r="O108" s="283">
        <f>COUNTIFS(DelinquencyPerSector!$I:$I, "="&amp;A108, DelinquencyPerSector!$J:$J, "="&amp;B108,DelinquencyPerSector!$K:$K, "="&amp;C108,DelinquencyPerSector!$R:$R, "&gt;0")</f>
        <v>0</v>
      </c>
      <c r="P108" s="281">
        <v>2338490.4</v>
      </c>
      <c r="Q108" s="282">
        <f t="shared" si="19"/>
        <v>1.4116242288489612E-4</v>
      </c>
      <c r="R108" s="287">
        <f>COUNTIFS(DelinquencyPerSector!$I:$I, "="&amp;A108, DelinquencyPerSector!$J:$J, "="&amp;B108,DelinquencyPerSector!$K:$K, "="&amp;C108)</f>
        <v>1</v>
      </c>
      <c r="S108" s="288">
        <f>Table_ExternalData_18[[#This Row],[Total Port%]]-Table_ExternalData_18[[#This Row],[PAR 30+%]]</f>
        <v>1.4116242288489612E-4</v>
      </c>
      <c r="T108" s="289">
        <f>Table_ExternalData_18[[#This Row],[Total Port%]]-Table_ExternalData_18[[#This Row],[PAR 90+%]]</f>
        <v>1.4116242288489612E-4</v>
      </c>
      <c r="U108" s="280"/>
      <c r="V108" s="280"/>
    </row>
    <row r="109" spans="1:22" ht="22.8" x14ac:dyDescent="0.4">
      <c r="A109" s="280" t="s">
        <v>25</v>
      </c>
      <c r="B109" s="280" t="s">
        <v>290</v>
      </c>
      <c r="C109" s="280" t="s">
        <v>1822</v>
      </c>
      <c r="D109" s="281">
        <f>SUMIFS(DelinquencyPerSector!$L$2:$L$5000,DelinquencyPerSector!$K$2:$K$5000, "="&amp;C109, DelinquencyPerSector!$J$2:$J$5000, "="&amp;B109,DelinquencyPerSector!$I$2:$I$5000,"="&amp;A109)</f>
        <v>0</v>
      </c>
      <c r="E109" s="282">
        <f t="shared" si="15"/>
        <v>0</v>
      </c>
      <c r="F109" s="283">
        <f>COUNTIFS(DelinquencyPerSector!$I:$I, "="&amp;A109, DelinquencyPerSector!$J:$J, "="&amp;B109,DelinquencyPerSector!$K:$K, "="&amp;C109,DelinquencyPerSector!$L:$L, "&gt;0")</f>
        <v>0</v>
      </c>
      <c r="G109" s="284">
        <f>SUMIFS(DelinquencyPerSector!$N$2:$N$5000, DelinquencyPerSector!$K$2:$K$5000, "="&amp;C109, DelinquencyPerSector!$J$2:$J$5000, "="&amp;B109, DelinquencyPerSector!$I$2:$I$5000,"="&amp;A109)</f>
        <v>0</v>
      </c>
      <c r="H109" s="282">
        <f t="shared" si="16"/>
        <v>0</v>
      </c>
      <c r="I109" s="283">
        <f>COUNTIFS(DelinquencyPerSector!$I:$I, "="&amp;A109, DelinquencyPerSector!$J:$J, "="&amp;B109,DelinquencyPerSector!$K:$K, "="&amp;C109,DelinquencyPerSector!$N:$N, "&gt;0")</f>
        <v>0</v>
      </c>
      <c r="J109" s="281">
        <f>SUMIFS(DelinquencyPerSector!$P$2:$P$5000, DelinquencyPerSector!$K$2:$K$5000, "="&amp;C109, DelinquencyPerSector!$J$2:$J$5000, "="&amp;B109, DelinquencyPerSector!$I$2:$I$5000,"="&amp;A109)</f>
        <v>0</v>
      </c>
      <c r="K109" s="282">
        <f t="shared" si="17"/>
        <v>0</v>
      </c>
      <c r="L109" s="283">
        <f>COUNTIFS(DelinquencyPerSector!$I:$I, "="&amp;A109, DelinquencyPerSector!$J:$J, "="&amp;B109,DelinquencyPerSector!$K:$K, "="&amp;C109,DelinquencyPerSector!$P:$P, "&gt;0")</f>
        <v>0</v>
      </c>
      <c r="M109" s="285">
        <f>SUMIFS(DelinquencyPerSector!$R$2:$R$5000,DelinquencyPerSector!$K$2:$K$5000, "="&amp;C109, DelinquencyPerSector!$J$2:$J$5000, "="&amp;B109,DelinquencyPerSector!$I$2:$I$5000,"="&amp;A109)</f>
        <v>0</v>
      </c>
      <c r="N109" s="282">
        <f t="shared" si="18"/>
        <v>0</v>
      </c>
      <c r="O109" s="283">
        <f>COUNTIFS(DelinquencyPerSector!$I:$I, "="&amp;A109, DelinquencyPerSector!$J:$J, "="&amp;B109,DelinquencyPerSector!$K:$K, "="&amp;C109,DelinquencyPerSector!$R:$R, "&gt;0")</f>
        <v>0</v>
      </c>
      <c r="P109" s="281">
        <v>14802636.109999999</v>
      </c>
      <c r="Q109" s="282">
        <f t="shared" si="19"/>
        <v>8.9355764657877306E-4</v>
      </c>
      <c r="R109" s="287">
        <f>COUNTIFS(DelinquencyPerSector!$I:$I, "="&amp;A109, DelinquencyPerSector!$J:$J, "="&amp;B109,DelinquencyPerSector!$K:$K, "="&amp;C109)</f>
        <v>3</v>
      </c>
      <c r="S109" s="288">
        <f>Table_ExternalData_18[[#This Row],[Total Port%]]-Table_ExternalData_18[[#This Row],[PAR 30+%]]</f>
        <v>8.9355764657877306E-4</v>
      </c>
      <c r="T109" s="289">
        <f>Table_ExternalData_18[[#This Row],[Total Port%]]-Table_ExternalData_18[[#This Row],[PAR 90+%]]</f>
        <v>8.9355764657877306E-4</v>
      </c>
      <c r="U109" s="280"/>
      <c r="V109" s="280"/>
    </row>
    <row r="110" spans="1:22" ht="22.8" x14ac:dyDescent="0.4">
      <c r="A110" s="280" t="s">
        <v>25</v>
      </c>
      <c r="B110" s="280" t="s">
        <v>290</v>
      </c>
      <c r="C110" s="280" t="s">
        <v>1823</v>
      </c>
      <c r="D110" s="281">
        <f>SUMIFS(DelinquencyPerSector!$L$2:$L$5000,DelinquencyPerSector!$K$2:$K$5000, "="&amp;C110, DelinquencyPerSector!$J$2:$J$5000, "="&amp;B110,DelinquencyPerSector!$I$2:$I$5000,"="&amp;A110)</f>
        <v>5767749.8499999996</v>
      </c>
      <c r="E110" s="282">
        <f t="shared" si="15"/>
        <v>7.8199158513558311E-4</v>
      </c>
      <c r="F110" s="283">
        <f>COUNTIFS(DelinquencyPerSector!$I:$I, "="&amp;A110, DelinquencyPerSector!$J:$J, "="&amp;B110,DelinquencyPerSector!$K:$K, "="&amp;C110,DelinquencyPerSector!$L:$L, "&gt;0")</f>
        <v>1</v>
      </c>
      <c r="G110" s="284">
        <f>SUMIFS(DelinquencyPerSector!$N$2:$N$5000, DelinquencyPerSector!$K$2:$K$5000, "="&amp;C110, DelinquencyPerSector!$J$2:$J$5000, "="&amp;B110, DelinquencyPerSector!$I$2:$I$5000,"="&amp;A110)</f>
        <v>0</v>
      </c>
      <c r="H110" s="282">
        <f t="shared" si="16"/>
        <v>0</v>
      </c>
      <c r="I110" s="283">
        <f>COUNTIFS(DelinquencyPerSector!$I:$I, "="&amp;A110, DelinquencyPerSector!$J:$J, "="&amp;B110,DelinquencyPerSector!$K:$K, "="&amp;C110,DelinquencyPerSector!$N:$N, "&gt;0")</f>
        <v>0</v>
      </c>
      <c r="J110" s="281">
        <f>SUMIFS(DelinquencyPerSector!$P$2:$P$5000, DelinquencyPerSector!$K$2:$K$5000, "="&amp;C110, DelinquencyPerSector!$J$2:$J$5000, "="&amp;B110, DelinquencyPerSector!$I$2:$I$5000,"="&amp;A110)</f>
        <v>0</v>
      </c>
      <c r="K110" s="282">
        <f t="shared" si="17"/>
        <v>0</v>
      </c>
      <c r="L110" s="283">
        <f>COUNTIFS(DelinquencyPerSector!$I:$I, "="&amp;A110, DelinquencyPerSector!$J:$J, "="&amp;B110,DelinquencyPerSector!$K:$K, "="&amp;C110,DelinquencyPerSector!$P:$P, "&gt;0")</f>
        <v>0</v>
      </c>
      <c r="M110" s="285">
        <f>SUMIFS(DelinquencyPerSector!$R$2:$R$5000,DelinquencyPerSector!$K$2:$K$5000, "="&amp;C110, DelinquencyPerSector!$J$2:$J$5000, "="&amp;B110,DelinquencyPerSector!$I$2:$I$5000,"="&amp;A110)</f>
        <v>0</v>
      </c>
      <c r="N110" s="282">
        <f t="shared" si="18"/>
        <v>0</v>
      </c>
      <c r="O110" s="283">
        <f>COUNTIFS(DelinquencyPerSector!$I:$I, "="&amp;A110, DelinquencyPerSector!$J:$J, "="&amp;B110,DelinquencyPerSector!$K:$K, "="&amp;C110,DelinquencyPerSector!$R:$R, "&gt;0")</f>
        <v>0</v>
      </c>
      <c r="P110" s="281">
        <v>5767749.8499999996</v>
      </c>
      <c r="Q110" s="282">
        <f t="shared" si="19"/>
        <v>3.4816886287837492E-4</v>
      </c>
      <c r="R110" s="287">
        <f>COUNTIFS(DelinquencyPerSector!$I:$I, "="&amp;A110, DelinquencyPerSector!$J:$J, "="&amp;B110,DelinquencyPerSector!$K:$K, "="&amp;C110)</f>
        <v>1</v>
      </c>
      <c r="S110" s="288">
        <f>Table_ExternalData_18[[#This Row],[Total Port%]]-Table_ExternalData_18[[#This Row],[PAR 30+%]]</f>
        <v>3.4816886287837492E-4</v>
      </c>
      <c r="T110" s="289">
        <f>Table_ExternalData_18[[#This Row],[Total Port%]]-Table_ExternalData_18[[#This Row],[PAR 90+%]]</f>
        <v>3.4816886287837492E-4</v>
      </c>
      <c r="U110" s="280"/>
      <c r="V110" s="280"/>
    </row>
    <row r="111" spans="1:22" ht="22.8" x14ac:dyDescent="0.4">
      <c r="A111" s="280" t="s">
        <v>25</v>
      </c>
      <c r="B111" s="280" t="s">
        <v>295</v>
      </c>
      <c r="C111" s="280" t="s">
        <v>3613</v>
      </c>
      <c r="D111" s="281">
        <f>SUMIFS(DelinquencyPerSector!$L$2:$L$5000,DelinquencyPerSector!$K$2:$K$5000, "="&amp;C111, DelinquencyPerSector!$J$2:$J$5000, "="&amp;B111,DelinquencyPerSector!$I$2:$I$5000,"="&amp;A111)</f>
        <v>0</v>
      </c>
      <c r="E111" s="282">
        <f t="shared" si="15"/>
        <v>0</v>
      </c>
      <c r="F111" s="283">
        <f>COUNTIFS(DelinquencyPerSector!$I:$I, "="&amp;A111, DelinquencyPerSector!$J:$J, "="&amp;B111,DelinquencyPerSector!$K:$K, "="&amp;C111,DelinquencyPerSector!$L:$L, "&gt;0")</f>
        <v>0</v>
      </c>
      <c r="G111" s="284">
        <f>SUMIFS(DelinquencyPerSector!$N$2:$N$5000, DelinquencyPerSector!$K$2:$K$5000, "="&amp;C111, DelinquencyPerSector!$J$2:$J$5000, "="&amp;B111, DelinquencyPerSector!$I$2:$I$5000,"="&amp;A111)</f>
        <v>0</v>
      </c>
      <c r="H111" s="282">
        <f t="shared" si="16"/>
        <v>0</v>
      </c>
      <c r="I111" s="283">
        <f>COUNTIFS(DelinquencyPerSector!$I:$I, "="&amp;A111, DelinquencyPerSector!$J:$J, "="&amp;B111,DelinquencyPerSector!$K:$K, "="&amp;C111,DelinquencyPerSector!$N:$N, "&gt;0")</f>
        <v>0</v>
      </c>
      <c r="J111" s="281">
        <f>SUMIFS(DelinquencyPerSector!$P$2:$P$5000, DelinquencyPerSector!$K$2:$K$5000, "="&amp;C111, DelinquencyPerSector!$J$2:$J$5000, "="&amp;B111, DelinquencyPerSector!$I$2:$I$5000,"="&amp;A111)</f>
        <v>0</v>
      </c>
      <c r="K111" s="282">
        <f t="shared" si="17"/>
        <v>0</v>
      </c>
      <c r="L111" s="283">
        <f>COUNTIFS(DelinquencyPerSector!$I:$I, "="&amp;A111, DelinquencyPerSector!$J:$J, "="&amp;B111,DelinquencyPerSector!$K:$K, "="&amp;C111,DelinquencyPerSector!$P:$P, "&gt;0")</f>
        <v>0</v>
      </c>
      <c r="M111" s="285">
        <f>SUMIFS(DelinquencyPerSector!$R$2:$R$5000,DelinquencyPerSector!$K$2:$K$5000, "="&amp;C111, DelinquencyPerSector!$J$2:$J$5000, "="&amp;B111,DelinquencyPerSector!$I$2:$I$5000,"="&amp;A111)</f>
        <v>0</v>
      </c>
      <c r="N111" s="282">
        <f t="shared" si="18"/>
        <v>0</v>
      </c>
      <c r="O111" s="283">
        <f>COUNTIFS(DelinquencyPerSector!$I:$I, "="&amp;A111, DelinquencyPerSector!$J:$J, "="&amp;B111,DelinquencyPerSector!$K:$K, "="&amp;C111,DelinquencyPerSector!$R:$R, "&gt;0")</f>
        <v>0</v>
      </c>
      <c r="P111" s="281">
        <v>14357867.59</v>
      </c>
      <c r="Q111" s="282">
        <f t="shared" si="19"/>
        <v>8.6670929949719876E-4</v>
      </c>
      <c r="R111" s="287">
        <f>COUNTIFS(DelinquencyPerSector!$I:$I, "="&amp;A111, DelinquencyPerSector!$J:$J, "="&amp;B111,DelinquencyPerSector!$K:$K, "="&amp;C111)</f>
        <v>2</v>
      </c>
      <c r="S111" s="288">
        <f>Table_ExternalData_18[[#This Row],[Total Port%]]-Table_ExternalData_18[[#This Row],[PAR 30+%]]</f>
        <v>8.6670929949719876E-4</v>
      </c>
      <c r="T111" s="289">
        <f>Table_ExternalData_18[[#This Row],[Total Port%]]-Table_ExternalData_18[[#This Row],[PAR 90+%]]</f>
        <v>8.6670929949719876E-4</v>
      </c>
      <c r="U111" s="280"/>
      <c r="V111" s="280"/>
    </row>
    <row r="112" spans="1:22" ht="22.8" x14ac:dyDescent="0.4">
      <c r="A112" s="280" t="s">
        <v>25</v>
      </c>
      <c r="B112" s="280" t="s">
        <v>3923</v>
      </c>
      <c r="C112" s="280" t="s">
        <v>3924</v>
      </c>
      <c r="D112" s="281">
        <f>SUMIFS(DelinquencyPerSector!$L$2:$L$5000,DelinquencyPerSector!$K$2:$K$5000, "="&amp;C112, DelinquencyPerSector!$J$2:$J$5000, "="&amp;B112,DelinquencyPerSector!$I$2:$I$5000,"="&amp;A112)</f>
        <v>0</v>
      </c>
      <c r="E112" s="282">
        <f t="shared" si="15"/>
        <v>0</v>
      </c>
      <c r="F112" s="283">
        <f>COUNTIFS(DelinquencyPerSector!$I:$I, "="&amp;A112, DelinquencyPerSector!$J:$J, "="&amp;B112,DelinquencyPerSector!$K:$K, "="&amp;C112,DelinquencyPerSector!$L:$L, "&gt;0")</f>
        <v>0</v>
      </c>
      <c r="G112" s="284">
        <f>SUMIFS(DelinquencyPerSector!$N$2:$N$5000, DelinquencyPerSector!$K$2:$K$5000, "="&amp;C112, DelinquencyPerSector!$J$2:$J$5000, "="&amp;B112, DelinquencyPerSector!$I$2:$I$5000,"="&amp;A112)</f>
        <v>0</v>
      </c>
      <c r="H112" s="282">
        <f t="shared" si="16"/>
        <v>0</v>
      </c>
      <c r="I112" s="283">
        <f>COUNTIFS(DelinquencyPerSector!$I:$I, "="&amp;A112, DelinquencyPerSector!$J:$J, "="&amp;B112,DelinquencyPerSector!$K:$K, "="&amp;C112,DelinquencyPerSector!$N:$N, "&gt;0")</f>
        <v>0</v>
      </c>
      <c r="J112" s="281">
        <f>SUMIFS(DelinquencyPerSector!$P$2:$P$5000, DelinquencyPerSector!$K$2:$K$5000, "="&amp;C112, DelinquencyPerSector!$J$2:$J$5000, "="&amp;B112, DelinquencyPerSector!$I$2:$I$5000,"="&amp;A112)</f>
        <v>0</v>
      </c>
      <c r="K112" s="282">
        <f t="shared" si="17"/>
        <v>0</v>
      </c>
      <c r="L112" s="283">
        <f>COUNTIFS(DelinquencyPerSector!$I:$I, "="&amp;A112, DelinquencyPerSector!$J:$J, "="&amp;B112,DelinquencyPerSector!$K:$K, "="&amp;C112,DelinquencyPerSector!$P:$P, "&gt;0")</f>
        <v>0</v>
      </c>
      <c r="M112" s="285">
        <f>SUMIFS(DelinquencyPerSector!$R$2:$R$5000,DelinquencyPerSector!$K$2:$K$5000, "="&amp;C112, DelinquencyPerSector!$J$2:$J$5000, "="&amp;B112,DelinquencyPerSector!$I$2:$I$5000,"="&amp;A112)</f>
        <v>0</v>
      </c>
      <c r="N112" s="282">
        <f t="shared" si="18"/>
        <v>0</v>
      </c>
      <c r="O112" s="283">
        <f>COUNTIFS(DelinquencyPerSector!$I:$I, "="&amp;A112, DelinquencyPerSector!$J:$J, "="&amp;B112,DelinquencyPerSector!$K:$K, "="&amp;C112,DelinquencyPerSector!$R:$R, "&gt;0")</f>
        <v>0</v>
      </c>
      <c r="P112" s="281">
        <v>24839300.879999999</v>
      </c>
      <c r="Q112" s="282">
        <f t="shared" si="19"/>
        <v>1.4994185543749643E-3</v>
      </c>
      <c r="R112" s="287">
        <f>COUNTIFS(DelinquencyPerSector!$I:$I, "="&amp;A112, DelinquencyPerSector!$J:$J, "="&amp;B112,DelinquencyPerSector!$K:$K, "="&amp;C112)</f>
        <v>1</v>
      </c>
      <c r="S112" s="288">
        <f>Table_ExternalData_18[[#This Row],[Total Port%]]-Table_ExternalData_18[[#This Row],[PAR 30+%]]</f>
        <v>1.4994185543749643E-3</v>
      </c>
      <c r="T112" s="289">
        <f>Table_ExternalData_18[[#This Row],[Total Port%]]-Table_ExternalData_18[[#This Row],[PAR 90+%]]</f>
        <v>1.4994185543749643E-3</v>
      </c>
      <c r="U112" s="280"/>
      <c r="V112" s="280"/>
    </row>
    <row r="113" spans="1:22" ht="22.8" x14ac:dyDescent="0.4">
      <c r="A113" s="280" t="s">
        <v>25</v>
      </c>
      <c r="B113" s="280" t="s">
        <v>286</v>
      </c>
      <c r="C113" s="280" t="s">
        <v>26</v>
      </c>
      <c r="D113" s="281">
        <f>SUMIFS(DelinquencyPerSector!$L$2:$L$5000,DelinquencyPerSector!$K$2:$K$5000, "="&amp;C113, DelinquencyPerSector!$J$2:$J$5000, "="&amp;B113,DelinquencyPerSector!$I$2:$I$5000,"="&amp;A113)</f>
        <v>0</v>
      </c>
      <c r="E113" s="282">
        <f t="shared" si="15"/>
        <v>0</v>
      </c>
      <c r="F113" s="283">
        <f>COUNTIFS(DelinquencyPerSector!$I:$I, "="&amp;A113, DelinquencyPerSector!$J:$J, "="&amp;B113,DelinquencyPerSector!$K:$K, "="&amp;C113,DelinquencyPerSector!$L:$L, "&gt;0")</f>
        <v>0</v>
      </c>
      <c r="G113" s="284">
        <f>SUMIFS(DelinquencyPerSector!$N$2:$N$5000, DelinquencyPerSector!$K$2:$K$5000, "="&amp;C113, DelinquencyPerSector!$J$2:$J$5000, "="&amp;B113, DelinquencyPerSector!$I$2:$I$5000,"="&amp;A113)</f>
        <v>0</v>
      </c>
      <c r="H113" s="282">
        <f t="shared" si="16"/>
        <v>0</v>
      </c>
      <c r="I113" s="283">
        <f>COUNTIFS(DelinquencyPerSector!$I:$I, "="&amp;A113, DelinquencyPerSector!$J:$J, "="&amp;B113,DelinquencyPerSector!$K:$K, "="&amp;C113,DelinquencyPerSector!$N:$N, "&gt;0")</f>
        <v>0</v>
      </c>
      <c r="J113" s="281">
        <f>SUMIFS(DelinquencyPerSector!$P$2:$P$5000, DelinquencyPerSector!$K$2:$K$5000, "="&amp;C113, DelinquencyPerSector!$J$2:$J$5000, "="&amp;B113, DelinquencyPerSector!$I$2:$I$5000,"="&amp;A113)</f>
        <v>0</v>
      </c>
      <c r="K113" s="282">
        <f t="shared" si="17"/>
        <v>0</v>
      </c>
      <c r="L113" s="283">
        <f>COUNTIFS(DelinquencyPerSector!$I:$I, "="&amp;A113, DelinquencyPerSector!$J:$J, "="&amp;B113,DelinquencyPerSector!$K:$K, "="&amp;C113,DelinquencyPerSector!$P:$P, "&gt;0")</f>
        <v>0</v>
      </c>
      <c r="M113" s="285">
        <f>SUMIFS(DelinquencyPerSector!$R$2:$R$5000,DelinquencyPerSector!$K$2:$K$5000, "="&amp;C113, DelinquencyPerSector!$J$2:$J$5000, "="&amp;B113,DelinquencyPerSector!$I$2:$I$5000,"="&amp;A113)</f>
        <v>0</v>
      </c>
      <c r="N113" s="282">
        <f t="shared" si="18"/>
        <v>0</v>
      </c>
      <c r="O113" s="283">
        <f>COUNTIFS(DelinquencyPerSector!$I:$I, "="&amp;A113, DelinquencyPerSector!$J:$J, "="&amp;B113,DelinquencyPerSector!$K:$K, "="&amp;C113,DelinquencyPerSector!$R:$R, "&gt;0")</f>
        <v>0</v>
      </c>
      <c r="P113" s="281">
        <v>30965650.18</v>
      </c>
      <c r="Q113" s="282">
        <f t="shared" si="19"/>
        <v>1.869234188694946E-3</v>
      </c>
      <c r="R113" s="287">
        <f>COUNTIFS(DelinquencyPerSector!$I:$I, "="&amp;A113, DelinquencyPerSector!$J:$J, "="&amp;B113,DelinquencyPerSector!$K:$K, "="&amp;C113)</f>
        <v>3</v>
      </c>
      <c r="S113" s="288">
        <f>Table_ExternalData_18[[#This Row],[Total Port%]]-Table_ExternalData_18[[#This Row],[PAR 30+%]]</f>
        <v>1.869234188694946E-3</v>
      </c>
      <c r="T113" s="289">
        <f>Table_ExternalData_18[[#This Row],[Total Port%]]-Table_ExternalData_18[[#This Row],[PAR 90+%]]</f>
        <v>1.869234188694946E-3</v>
      </c>
      <c r="U113" s="280"/>
      <c r="V113" s="280"/>
    </row>
    <row r="114" spans="1:22" ht="22.8" x14ac:dyDescent="0.4">
      <c r="A114" s="280" t="s">
        <v>25</v>
      </c>
      <c r="B114" s="280" t="s">
        <v>286</v>
      </c>
      <c r="C114" s="280" t="s">
        <v>4463</v>
      </c>
      <c r="D114" s="281">
        <f>SUMIFS(DelinquencyPerSector!$L$2:$L$5000,DelinquencyPerSector!$K$2:$K$5000, "="&amp;C114, DelinquencyPerSector!$J$2:$J$5000, "="&amp;B114,DelinquencyPerSector!$I$2:$I$5000,"="&amp;A114)</f>
        <v>3837077.99</v>
      </c>
      <c r="E114" s="282">
        <f t="shared" si="15"/>
        <v>5.2023107411444994E-4</v>
      </c>
      <c r="F114" s="283">
        <f>COUNTIFS(DelinquencyPerSector!$I:$I, "="&amp;A114, DelinquencyPerSector!$J:$J, "="&amp;B114,DelinquencyPerSector!$K:$K, "="&amp;C114,DelinquencyPerSector!$L:$L, "&gt;0")</f>
        <v>1</v>
      </c>
      <c r="G114" s="284">
        <f>SUMIFS(DelinquencyPerSector!$N$2:$N$5000, DelinquencyPerSector!$K$2:$K$5000, "="&amp;C114, DelinquencyPerSector!$J$2:$J$5000, "="&amp;B114, DelinquencyPerSector!$I$2:$I$5000,"="&amp;A114)</f>
        <v>0</v>
      </c>
      <c r="H114" s="282">
        <f t="shared" si="16"/>
        <v>0</v>
      </c>
      <c r="I114" s="283">
        <f>COUNTIFS(DelinquencyPerSector!$I:$I, "="&amp;A114, DelinquencyPerSector!$J:$J, "="&amp;B114,DelinquencyPerSector!$K:$K, "="&amp;C114,DelinquencyPerSector!$N:$N, "&gt;0")</f>
        <v>0</v>
      </c>
      <c r="J114" s="281">
        <f>SUMIFS(DelinquencyPerSector!$P$2:$P$5000, DelinquencyPerSector!$K$2:$K$5000, "="&amp;C114, DelinquencyPerSector!$J$2:$J$5000, "="&amp;B114, DelinquencyPerSector!$I$2:$I$5000,"="&amp;A114)</f>
        <v>0</v>
      </c>
      <c r="K114" s="282">
        <f t="shared" si="17"/>
        <v>0</v>
      </c>
      <c r="L114" s="283">
        <f>COUNTIFS(DelinquencyPerSector!$I:$I, "="&amp;A114, DelinquencyPerSector!$J:$J, "="&amp;B114,DelinquencyPerSector!$K:$K, "="&amp;C114,DelinquencyPerSector!$P:$P, "&gt;0")</f>
        <v>0</v>
      </c>
      <c r="M114" s="285">
        <f>SUMIFS(DelinquencyPerSector!$R$2:$R$5000,DelinquencyPerSector!$K$2:$K$5000, "="&amp;C114, DelinquencyPerSector!$J$2:$J$5000, "="&amp;B114,DelinquencyPerSector!$I$2:$I$5000,"="&amp;A114)</f>
        <v>0</v>
      </c>
      <c r="N114" s="282">
        <f t="shared" si="18"/>
        <v>0</v>
      </c>
      <c r="O114" s="283">
        <f>COUNTIFS(DelinquencyPerSector!$I:$I, "="&amp;A114, DelinquencyPerSector!$J:$J, "="&amp;B114,DelinquencyPerSector!$K:$K, "="&amp;C114,DelinquencyPerSector!$R:$R, "&gt;0")</f>
        <v>0</v>
      </c>
      <c r="P114" s="281">
        <v>8580591.3900000006</v>
      </c>
      <c r="Q114" s="282">
        <f t="shared" si="19"/>
        <v>5.1796538074207134E-4</v>
      </c>
      <c r="R114" s="287">
        <f>COUNTIFS(DelinquencyPerSector!$I:$I, "="&amp;A114, DelinquencyPerSector!$J:$J, "="&amp;B114,DelinquencyPerSector!$K:$K, "="&amp;C114)</f>
        <v>2</v>
      </c>
      <c r="S114" s="288">
        <f>Table_ExternalData_18[[#This Row],[Total Port%]]-Table_ExternalData_18[[#This Row],[PAR 30+%]]</f>
        <v>5.1796538074207134E-4</v>
      </c>
      <c r="T114" s="289">
        <f>Table_ExternalData_18[[#This Row],[Total Port%]]-Table_ExternalData_18[[#This Row],[PAR 90+%]]</f>
        <v>5.1796538074207134E-4</v>
      </c>
      <c r="U114" s="280"/>
      <c r="V114" s="280"/>
    </row>
    <row r="115" spans="1:22" ht="22.8" x14ac:dyDescent="0.4">
      <c r="A115" s="280" t="s">
        <v>25</v>
      </c>
      <c r="B115" s="280" t="s">
        <v>289</v>
      </c>
      <c r="C115" s="280" t="s">
        <v>3704</v>
      </c>
      <c r="D115" s="281">
        <f>SUMIFS(DelinquencyPerSector!$L$2:$L$5000,DelinquencyPerSector!$K$2:$K$5000, "="&amp;C115, DelinquencyPerSector!$J$2:$J$5000, "="&amp;B115,DelinquencyPerSector!$I$2:$I$5000,"="&amp;A115)</f>
        <v>16044405.65</v>
      </c>
      <c r="E115" s="282">
        <f t="shared" si="15"/>
        <v>2.1753006862462675E-3</v>
      </c>
      <c r="F115" s="283">
        <f>COUNTIFS(DelinquencyPerSector!$I:$I, "="&amp;A115, DelinquencyPerSector!$J:$J, "="&amp;B115,DelinquencyPerSector!$K:$K, "="&amp;C115,DelinquencyPerSector!$L:$L, "&gt;0")</f>
        <v>1</v>
      </c>
      <c r="G115" s="284">
        <f>SUMIFS(DelinquencyPerSector!$N$2:$N$5000, DelinquencyPerSector!$K$2:$K$5000, "="&amp;C115, DelinquencyPerSector!$J$2:$J$5000, "="&amp;B115, DelinquencyPerSector!$I$2:$I$5000,"="&amp;A115)</f>
        <v>0</v>
      </c>
      <c r="H115" s="282">
        <f t="shared" si="16"/>
        <v>0</v>
      </c>
      <c r="I115" s="283">
        <f>COUNTIFS(DelinquencyPerSector!$I:$I, "="&amp;A115, DelinquencyPerSector!$J:$J, "="&amp;B115,DelinquencyPerSector!$K:$K, "="&amp;C115,DelinquencyPerSector!$N:$N, "&gt;0")</f>
        <v>0</v>
      </c>
      <c r="J115" s="281">
        <f>SUMIFS(DelinquencyPerSector!$P$2:$P$5000, DelinquencyPerSector!$K$2:$K$5000, "="&amp;C115, DelinquencyPerSector!$J$2:$J$5000, "="&amp;B115, DelinquencyPerSector!$I$2:$I$5000,"="&amp;A115)</f>
        <v>0</v>
      </c>
      <c r="K115" s="282">
        <f t="shared" si="17"/>
        <v>0</v>
      </c>
      <c r="L115" s="283">
        <f>COUNTIFS(DelinquencyPerSector!$I:$I, "="&amp;A115, DelinquencyPerSector!$J:$J, "="&amp;B115,DelinquencyPerSector!$K:$K, "="&amp;C115,DelinquencyPerSector!$P:$P, "&gt;0")</f>
        <v>0</v>
      </c>
      <c r="M115" s="285">
        <f>SUMIFS(DelinquencyPerSector!$R$2:$R$5000,DelinquencyPerSector!$K$2:$K$5000, "="&amp;C115, DelinquencyPerSector!$J$2:$J$5000, "="&amp;B115,DelinquencyPerSector!$I$2:$I$5000,"="&amp;A115)</f>
        <v>0</v>
      </c>
      <c r="N115" s="282">
        <f t="shared" si="18"/>
        <v>0</v>
      </c>
      <c r="O115" s="283">
        <f>COUNTIFS(DelinquencyPerSector!$I:$I, "="&amp;A115, DelinquencyPerSector!$J:$J, "="&amp;B115,DelinquencyPerSector!$K:$K, "="&amp;C115,DelinquencyPerSector!$R:$R, "&gt;0")</f>
        <v>0</v>
      </c>
      <c r="P115" s="281">
        <v>16044405.65</v>
      </c>
      <c r="Q115" s="282">
        <f t="shared" si="19"/>
        <v>9.6851677274455204E-4</v>
      </c>
      <c r="R115" s="287">
        <f>COUNTIFS(DelinquencyPerSector!$I:$I, "="&amp;A115, DelinquencyPerSector!$J:$J, "="&amp;B115,DelinquencyPerSector!$K:$K, "="&amp;C115)</f>
        <v>1</v>
      </c>
      <c r="S115" s="288">
        <f>Table_ExternalData_18[[#This Row],[Total Port%]]-Table_ExternalData_18[[#This Row],[PAR 30+%]]</f>
        <v>9.6851677274455204E-4</v>
      </c>
      <c r="T115" s="289">
        <f>Table_ExternalData_18[[#This Row],[Total Port%]]-Table_ExternalData_18[[#This Row],[PAR 90+%]]</f>
        <v>9.6851677274455204E-4</v>
      </c>
      <c r="U115" s="280"/>
      <c r="V115" s="280"/>
    </row>
    <row r="116" spans="1:22" ht="22.8" x14ac:dyDescent="0.4">
      <c r="A116" s="280" t="s">
        <v>25</v>
      </c>
      <c r="B116" s="280" t="s">
        <v>289</v>
      </c>
      <c r="C116" s="280" t="s">
        <v>1771</v>
      </c>
      <c r="D116" s="281">
        <f>SUMIFS(DelinquencyPerSector!$L$2:$L$5000,DelinquencyPerSector!$K$2:$K$5000, "="&amp;C116, DelinquencyPerSector!$J$2:$J$5000, "="&amp;B116,DelinquencyPerSector!$I$2:$I$5000,"="&amp;A116)</f>
        <v>2523100.31</v>
      </c>
      <c r="E116" s="282">
        <f t="shared" si="15"/>
        <v>3.4208196648351198E-4</v>
      </c>
      <c r="F116" s="283">
        <f>COUNTIFS(DelinquencyPerSector!$I:$I, "="&amp;A116, DelinquencyPerSector!$J:$J, "="&amp;B116,DelinquencyPerSector!$K:$K, "="&amp;C116,DelinquencyPerSector!$L:$L, "&gt;0")</f>
        <v>2</v>
      </c>
      <c r="G116" s="284">
        <f>SUMIFS(DelinquencyPerSector!$N$2:$N$5000, DelinquencyPerSector!$K$2:$K$5000, "="&amp;C116, DelinquencyPerSector!$J$2:$J$5000, "="&amp;B116, DelinquencyPerSector!$I$2:$I$5000,"="&amp;A116)</f>
        <v>0</v>
      </c>
      <c r="H116" s="282">
        <f t="shared" si="16"/>
        <v>0</v>
      </c>
      <c r="I116" s="283">
        <f>COUNTIFS(DelinquencyPerSector!$I:$I, "="&amp;A116, DelinquencyPerSector!$J:$J, "="&amp;B116,DelinquencyPerSector!$K:$K, "="&amp;C116,DelinquencyPerSector!$N:$N, "&gt;0")</f>
        <v>0</v>
      </c>
      <c r="J116" s="281">
        <f>SUMIFS(DelinquencyPerSector!$P$2:$P$5000, DelinquencyPerSector!$K$2:$K$5000, "="&amp;C116, DelinquencyPerSector!$J$2:$J$5000, "="&amp;B116, DelinquencyPerSector!$I$2:$I$5000,"="&amp;A116)</f>
        <v>0</v>
      </c>
      <c r="K116" s="282">
        <f t="shared" si="17"/>
        <v>0</v>
      </c>
      <c r="L116" s="283">
        <f>COUNTIFS(DelinquencyPerSector!$I:$I, "="&amp;A116, DelinquencyPerSector!$J:$J, "="&amp;B116,DelinquencyPerSector!$K:$K, "="&amp;C116,DelinquencyPerSector!$P:$P, "&gt;0")</f>
        <v>0</v>
      </c>
      <c r="M116" s="285">
        <f>SUMIFS(DelinquencyPerSector!$R$2:$R$5000,DelinquencyPerSector!$K$2:$K$5000, "="&amp;C116, DelinquencyPerSector!$J$2:$J$5000, "="&amp;B116,DelinquencyPerSector!$I$2:$I$5000,"="&amp;A116)</f>
        <v>0</v>
      </c>
      <c r="N116" s="282">
        <f t="shared" si="18"/>
        <v>0</v>
      </c>
      <c r="O116" s="283">
        <f>COUNTIFS(DelinquencyPerSector!$I:$I, "="&amp;A116, DelinquencyPerSector!$J:$J, "="&amp;B116,DelinquencyPerSector!$K:$K, "="&amp;C116,DelinquencyPerSector!$R:$R, "&gt;0")</f>
        <v>0</v>
      </c>
      <c r="P116" s="281">
        <v>15166535.460000001</v>
      </c>
      <c r="Q116" s="282">
        <f t="shared" si="19"/>
        <v>9.1552434523712071E-4</v>
      </c>
      <c r="R116" s="287">
        <f>COUNTIFS(DelinquencyPerSector!$I:$I, "="&amp;A116, DelinquencyPerSector!$J:$J, "="&amp;B116,DelinquencyPerSector!$K:$K, "="&amp;C116)</f>
        <v>4</v>
      </c>
      <c r="S116" s="288">
        <f>Table_ExternalData_18[[#This Row],[Total Port%]]-Table_ExternalData_18[[#This Row],[PAR 30+%]]</f>
        <v>9.1552434523712071E-4</v>
      </c>
      <c r="T116" s="289">
        <f>Table_ExternalData_18[[#This Row],[Total Port%]]-Table_ExternalData_18[[#This Row],[PAR 90+%]]</f>
        <v>9.1552434523712071E-4</v>
      </c>
      <c r="U116" s="280"/>
      <c r="V116" s="280"/>
    </row>
    <row r="117" spans="1:22" ht="22.8" x14ac:dyDescent="0.4">
      <c r="A117" s="280" t="s">
        <v>25</v>
      </c>
      <c r="B117" s="280" t="s">
        <v>106</v>
      </c>
      <c r="C117" s="280" t="s">
        <v>4357</v>
      </c>
      <c r="D117" s="281">
        <f>SUMIFS(DelinquencyPerSector!$L$2:$L$5000,DelinquencyPerSector!$K$2:$K$5000, "="&amp;C117, DelinquencyPerSector!$J$2:$J$5000, "="&amp;B117,DelinquencyPerSector!$I$2:$I$5000,"="&amp;A117)</f>
        <v>0</v>
      </c>
      <c r="E117" s="282">
        <f t="shared" si="15"/>
        <v>0</v>
      </c>
      <c r="F117" s="283">
        <f>COUNTIFS(DelinquencyPerSector!$I:$I, "="&amp;A117, DelinquencyPerSector!$J:$J, "="&amp;B117,DelinquencyPerSector!$K:$K, "="&amp;C117,DelinquencyPerSector!$L:$L, "&gt;0")</f>
        <v>0</v>
      </c>
      <c r="G117" s="284">
        <f>SUMIFS(DelinquencyPerSector!$N$2:$N$5000, DelinquencyPerSector!$K$2:$K$5000, "="&amp;C117, DelinquencyPerSector!$J$2:$J$5000, "="&amp;B117, DelinquencyPerSector!$I$2:$I$5000,"="&amp;A117)</f>
        <v>0</v>
      </c>
      <c r="H117" s="282">
        <f t="shared" si="16"/>
        <v>0</v>
      </c>
      <c r="I117" s="283">
        <f>COUNTIFS(DelinquencyPerSector!$I:$I, "="&amp;A117, DelinquencyPerSector!$J:$J, "="&amp;B117,DelinquencyPerSector!$K:$K, "="&amp;C117,DelinquencyPerSector!$N:$N, "&gt;0")</f>
        <v>0</v>
      </c>
      <c r="J117" s="281">
        <f>SUMIFS(DelinquencyPerSector!$P$2:$P$5000, DelinquencyPerSector!$K$2:$K$5000, "="&amp;C117, DelinquencyPerSector!$J$2:$J$5000, "="&amp;B117, DelinquencyPerSector!$I$2:$I$5000,"="&amp;A117)</f>
        <v>0</v>
      </c>
      <c r="K117" s="282">
        <f t="shared" si="17"/>
        <v>0</v>
      </c>
      <c r="L117" s="283">
        <f>COUNTIFS(DelinquencyPerSector!$I:$I, "="&amp;A117, DelinquencyPerSector!$J:$J, "="&amp;B117,DelinquencyPerSector!$K:$K, "="&amp;C117,DelinquencyPerSector!$P:$P, "&gt;0")</f>
        <v>0</v>
      </c>
      <c r="M117" s="285">
        <f>SUMIFS(DelinquencyPerSector!$R$2:$R$5000,DelinquencyPerSector!$K$2:$K$5000, "="&amp;C117, DelinquencyPerSector!$J$2:$J$5000, "="&amp;B117,DelinquencyPerSector!$I$2:$I$5000,"="&amp;A117)</f>
        <v>0</v>
      </c>
      <c r="N117" s="282">
        <f t="shared" si="18"/>
        <v>0</v>
      </c>
      <c r="O117" s="283">
        <f>COUNTIFS(DelinquencyPerSector!$I:$I, "="&amp;A117, DelinquencyPerSector!$J:$J, "="&amp;B117,DelinquencyPerSector!$K:$K, "="&amp;C117,DelinquencyPerSector!$R:$R, "&gt;0")</f>
        <v>0</v>
      </c>
      <c r="P117" s="281">
        <v>23093684.050000001</v>
      </c>
      <c r="Q117" s="282">
        <f t="shared" si="19"/>
        <v>1.3940448050743679E-3</v>
      </c>
      <c r="R117" s="287">
        <f>COUNTIFS(DelinquencyPerSector!$I:$I, "="&amp;A117, DelinquencyPerSector!$J:$J, "="&amp;B117,DelinquencyPerSector!$K:$K, "="&amp;C117)</f>
        <v>1</v>
      </c>
      <c r="S117" s="288">
        <f>Table_ExternalData_18[[#This Row],[Total Port%]]-Table_ExternalData_18[[#This Row],[PAR 30+%]]</f>
        <v>1.3940448050743679E-3</v>
      </c>
      <c r="T117" s="289">
        <f>Table_ExternalData_18[[#This Row],[Total Port%]]-Table_ExternalData_18[[#This Row],[PAR 90+%]]</f>
        <v>1.3940448050743679E-3</v>
      </c>
      <c r="U117" s="280"/>
      <c r="V117" s="280"/>
    </row>
    <row r="118" spans="1:22" ht="22.8" x14ac:dyDescent="0.4">
      <c r="A118" s="280" t="s">
        <v>25</v>
      </c>
      <c r="B118" s="280" t="s">
        <v>106</v>
      </c>
      <c r="C118" s="280" t="s">
        <v>704</v>
      </c>
      <c r="D118" s="281">
        <f>SUMIFS(DelinquencyPerSector!$L$2:$L$5000,DelinquencyPerSector!$K$2:$K$5000, "="&amp;C118, DelinquencyPerSector!$J$2:$J$5000, "="&amp;B118,DelinquencyPerSector!$I$2:$I$5000,"="&amp;A118)</f>
        <v>18049745.669999998</v>
      </c>
      <c r="E118" s="282">
        <f t="shared" si="15"/>
        <v>2.4471847071830667E-3</v>
      </c>
      <c r="F118" s="283">
        <f>COUNTIFS(DelinquencyPerSector!$I:$I, "="&amp;A118, DelinquencyPerSector!$J:$J, "="&amp;B118,DelinquencyPerSector!$K:$K, "="&amp;C118,DelinquencyPerSector!$L:$L, "&gt;0")</f>
        <v>3</v>
      </c>
      <c r="G118" s="284">
        <f>SUMIFS(DelinquencyPerSector!$N$2:$N$5000, DelinquencyPerSector!$K$2:$K$5000, "="&amp;C118, DelinquencyPerSector!$J$2:$J$5000, "="&amp;B118, DelinquencyPerSector!$I$2:$I$5000,"="&amp;A118)</f>
        <v>0</v>
      </c>
      <c r="H118" s="282">
        <f t="shared" si="16"/>
        <v>0</v>
      </c>
      <c r="I118" s="283">
        <f>COUNTIFS(DelinquencyPerSector!$I:$I, "="&amp;A118, DelinquencyPerSector!$J:$J, "="&amp;B118,DelinquencyPerSector!$K:$K, "="&amp;C118,DelinquencyPerSector!$N:$N, "&gt;0")</f>
        <v>0</v>
      </c>
      <c r="J118" s="281">
        <f>SUMIFS(DelinquencyPerSector!$P$2:$P$5000, DelinquencyPerSector!$K$2:$K$5000, "="&amp;C118, DelinquencyPerSector!$J$2:$J$5000, "="&amp;B118, DelinquencyPerSector!$I$2:$I$5000,"="&amp;A118)</f>
        <v>0</v>
      </c>
      <c r="K118" s="282">
        <f t="shared" si="17"/>
        <v>0</v>
      </c>
      <c r="L118" s="283">
        <f>COUNTIFS(DelinquencyPerSector!$I:$I, "="&amp;A118, DelinquencyPerSector!$J:$J, "="&amp;B118,DelinquencyPerSector!$K:$K, "="&amp;C118,DelinquencyPerSector!$P:$P, "&gt;0")</f>
        <v>0</v>
      </c>
      <c r="M118" s="285">
        <f>SUMIFS(DelinquencyPerSector!$R$2:$R$5000,DelinquencyPerSector!$K$2:$K$5000, "="&amp;C118, DelinquencyPerSector!$J$2:$J$5000, "="&amp;B118,DelinquencyPerSector!$I$2:$I$5000,"="&amp;A118)</f>
        <v>0</v>
      </c>
      <c r="N118" s="282">
        <f t="shared" si="18"/>
        <v>0</v>
      </c>
      <c r="O118" s="283">
        <f>COUNTIFS(DelinquencyPerSector!$I:$I, "="&amp;A118, DelinquencyPerSector!$J:$J, "="&amp;B118,DelinquencyPerSector!$K:$K, "="&amp;C118,DelinquencyPerSector!$R:$R, "&gt;0")</f>
        <v>0</v>
      </c>
      <c r="P118" s="281">
        <v>18049745.670000002</v>
      </c>
      <c r="Q118" s="282">
        <f t="shared" si="19"/>
        <v>1.0895686513117022E-3</v>
      </c>
      <c r="R118" s="287">
        <f>COUNTIFS(DelinquencyPerSector!$I:$I, "="&amp;A118, DelinquencyPerSector!$J:$J, "="&amp;B118,DelinquencyPerSector!$K:$K, "="&amp;C118)</f>
        <v>3</v>
      </c>
      <c r="S118" s="288">
        <f>Table_ExternalData_18[[#This Row],[Total Port%]]-Table_ExternalData_18[[#This Row],[PAR 30+%]]</f>
        <v>1.0895686513117022E-3</v>
      </c>
      <c r="T118" s="289">
        <f>Table_ExternalData_18[[#This Row],[Total Port%]]-Table_ExternalData_18[[#This Row],[PAR 90+%]]</f>
        <v>1.0895686513117022E-3</v>
      </c>
      <c r="U118" s="280"/>
      <c r="V118" s="280"/>
    </row>
    <row r="119" spans="1:22" ht="22.8" x14ac:dyDescent="0.4">
      <c r="A119" s="280" t="s">
        <v>25</v>
      </c>
      <c r="B119" s="280" t="s">
        <v>101</v>
      </c>
      <c r="C119" s="280" t="s">
        <v>1826</v>
      </c>
      <c r="D119" s="281">
        <f>SUMIFS(DelinquencyPerSector!$L$2:$L$5000,DelinquencyPerSector!$K$2:$K$5000, "="&amp;C119, DelinquencyPerSector!$J$2:$J$5000, "="&amp;B119,DelinquencyPerSector!$I$2:$I$5000,"="&amp;A119)</f>
        <v>0</v>
      </c>
      <c r="E119" s="282">
        <f t="shared" si="15"/>
        <v>0</v>
      </c>
      <c r="F119" s="283">
        <f>COUNTIFS(DelinquencyPerSector!$I:$I, "="&amp;A119, DelinquencyPerSector!$J:$J, "="&amp;B119,DelinquencyPerSector!$K:$K, "="&amp;C119,DelinquencyPerSector!$L:$L, "&gt;0")</f>
        <v>0</v>
      </c>
      <c r="G119" s="284">
        <f>SUMIFS(DelinquencyPerSector!$N$2:$N$5000, DelinquencyPerSector!$K$2:$K$5000, "="&amp;C119, DelinquencyPerSector!$J$2:$J$5000, "="&amp;B119, DelinquencyPerSector!$I$2:$I$5000,"="&amp;A119)</f>
        <v>0</v>
      </c>
      <c r="H119" s="282">
        <f t="shared" si="16"/>
        <v>0</v>
      </c>
      <c r="I119" s="283">
        <f>COUNTIFS(DelinquencyPerSector!$I:$I, "="&amp;A119, DelinquencyPerSector!$J:$J, "="&amp;B119,DelinquencyPerSector!$K:$K, "="&amp;C119,DelinquencyPerSector!$N:$N, "&gt;0")</f>
        <v>0</v>
      </c>
      <c r="J119" s="281">
        <f>SUMIFS(DelinquencyPerSector!$P$2:$P$5000, DelinquencyPerSector!$K$2:$K$5000, "="&amp;C119, DelinquencyPerSector!$J$2:$J$5000, "="&amp;B119, DelinquencyPerSector!$I$2:$I$5000,"="&amp;A119)</f>
        <v>0</v>
      </c>
      <c r="K119" s="282">
        <f t="shared" si="17"/>
        <v>0</v>
      </c>
      <c r="L119" s="283">
        <f>COUNTIFS(DelinquencyPerSector!$I:$I, "="&amp;A119, DelinquencyPerSector!$J:$J, "="&amp;B119,DelinquencyPerSector!$K:$K, "="&amp;C119,DelinquencyPerSector!$P:$P, "&gt;0")</f>
        <v>0</v>
      </c>
      <c r="M119" s="285">
        <f>SUMIFS(DelinquencyPerSector!$R$2:$R$5000,DelinquencyPerSector!$K$2:$K$5000, "="&amp;C119, DelinquencyPerSector!$J$2:$J$5000, "="&amp;B119,DelinquencyPerSector!$I$2:$I$5000,"="&amp;A119)</f>
        <v>0</v>
      </c>
      <c r="N119" s="282">
        <f t="shared" si="18"/>
        <v>0</v>
      </c>
      <c r="O119" s="283">
        <f>COUNTIFS(DelinquencyPerSector!$I:$I, "="&amp;A119, DelinquencyPerSector!$J:$J, "="&amp;B119,DelinquencyPerSector!$K:$K, "="&amp;C119,DelinquencyPerSector!$R:$R, "&gt;0")</f>
        <v>0</v>
      </c>
      <c r="P119" s="281">
        <v>3757446.26</v>
      </c>
      <c r="Q119" s="282">
        <f t="shared" si="19"/>
        <v>2.2681735957581493E-4</v>
      </c>
      <c r="R119" s="287">
        <f>COUNTIFS(DelinquencyPerSector!$I:$I, "="&amp;A119, DelinquencyPerSector!$J:$J, "="&amp;B119,DelinquencyPerSector!$K:$K, "="&amp;C119)</f>
        <v>1</v>
      </c>
      <c r="S119" s="288">
        <f>Table_ExternalData_18[[#This Row],[Total Port%]]-Table_ExternalData_18[[#This Row],[PAR 30+%]]</f>
        <v>2.2681735957581493E-4</v>
      </c>
      <c r="T119" s="289">
        <f>Table_ExternalData_18[[#This Row],[Total Port%]]-Table_ExternalData_18[[#This Row],[PAR 90+%]]</f>
        <v>2.2681735957581493E-4</v>
      </c>
      <c r="U119" s="280"/>
      <c r="V119" s="280"/>
    </row>
    <row r="120" spans="1:22" ht="22.8" x14ac:dyDescent="0.4">
      <c r="A120" s="280" t="s">
        <v>25</v>
      </c>
      <c r="B120" s="280" t="s">
        <v>101</v>
      </c>
      <c r="C120" s="280" t="s">
        <v>5507</v>
      </c>
      <c r="D120" s="281">
        <f>SUMIFS(DelinquencyPerSector!$L$2:$L$5000,DelinquencyPerSector!$K$2:$K$5000, "="&amp;C120, DelinquencyPerSector!$J$2:$J$5000, "="&amp;B120,DelinquencyPerSector!$I$2:$I$5000,"="&amp;A120)</f>
        <v>0</v>
      </c>
      <c r="E120" s="282">
        <f t="shared" si="15"/>
        <v>0</v>
      </c>
      <c r="F120" s="283">
        <f>COUNTIFS(DelinquencyPerSector!$I:$I, "="&amp;A120, DelinquencyPerSector!$J:$J, "="&amp;B120,DelinquencyPerSector!$K:$K, "="&amp;C120,DelinquencyPerSector!$L:$L, "&gt;0")</f>
        <v>0</v>
      </c>
      <c r="G120" s="284">
        <f>SUMIFS(DelinquencyPerSector!$N$2:$N$5000, DelinquencyPerSector!$K$2:$K$5000, "="&amp;C120, DelinquencyPerSector!$J$2:$J$5000, "="&amp;B120, DelinquencyPerSector!$I$2:$I$5000,"="&amp;A120)</f>
        <v>0</v>
      </c>
      <c r="H120" s="282">
        <f t="shared" si="16"/>
        <v>0</v>
      </c>
      <c r="I120" s="283">
        <f>COUNTIFS(DelinquencyPerSector!$I:$I, "="&amp;A120, DelinquencyPerSector!$J:$J, "="&amp;B120,DelinquencyPerSector!$K:$K, "="&amp;C120,DelinquencyPerSector!$N:$N, "&gt;0")</f>
        <v>0</v>
      </c>
      <c r="J120" s="281">
        <f>SUMIFS(DelinquencyPerSector!$P$2:$P$5000, DelinquencyPerSector!$K$2:$K$5000, "="&amp;C120, DelinquencyPerSector!$J$2:$J$5000, "="&amp;B120, DelinquencyPerSector!$I$2:$I$5000,"="&amp;A120)</f>
        <v>0</v>
      </c>
      <c r="K120" s="282">
        <f t="shared" si="17"/>
        <v>0</v>
      </c>
      <c r="L120" s="283">
        <f>COUNTIFS(DelinquencyPerSector!$I:$I, "="&amp;A120, DelinquencyPerSector!$J:$J, "="&amp;B120,DelinquencyPerSector!$K:$K, "="&amp;C120,DelinquencyPerSector!$P:$P, "&gt;0")</f>
        <v>0</v>
      </c>
      <c r="M120" s="285">
        <f>SUMIFS(DelinquencyPerSector!$R$2:$R$5000,DelinquencyPerSector!$K$2:$K$5000, "="&amp;C120, DelinquencyPerSector!$J$2:$J$5000, "="&amp;B120,DelinquencyPerSector!$I$2:$I$5000,"="&amp;A120)</f>
        <v>0</v>
      </c>
      <c r="N120" s="282">
        <f t="shared" si="18"/>
        <v>0</v>
      </c>
      <c r="O120" s="283">
        <f>COUNTIFS(DelinquencyPerSector!$I:$I, "="&amp;A120, DelinquencyPerSector!$J:$J, "="&amp;B120,DelinquencyPerSector!$K:$K, "="&amp;C120,DelinquencyPerSector!$R:$R, "&gt;0")</f>
        <v>0</v>
      </c>
      <c r="P120" s="281">
        <v>5604489.29</v>
      </c>
      <c r="Q120" s="282">
        <f t="shared" si="19"/>
        <v>3.3831367757971176E-4</v>
      </c>
      <c r="R120" s="287">
        <f>COUNTIFS(DelinquencyPerSector!$I:$I, "="&amp;A120, DelinquencyPerSector!$J:$J, "="&amp;B120,DelinquencyPerSector!$K:$K, "="&amp;C120)</f>
        <v>1</v>
      </c>
      <c r="S120" s="288">
        <f>Table_ExternalData_18[[#This Row],[Total Port%]]-Table_ExternalData_18[[#This Row],[PAR 30+%]]</f>
        <v>3.3831367757971176E-4</v>
      </c>
      <c r="T120" s="289">
        <f>Table_ExternalData_18[[#This Row],[Total Port%]]-Table_ExternalData_18[[#This Row],[PAR 90+%]]</f>
        <v>3.3831367757971176E-4</v>
      </c>
      <c r="U120" s="280"/>
      <c r="V120" s="280"/>
    </row>
    <row r="121" spans="1:22" ht="22.8" x14ac:dyDescent="0.4">
      <c r="A121" s="280" t="s">
        <v>25</v>
      </c>
      <c r="B121" s="280" t="s">
        <v>101</v>
      </c>
      <c r="C121" s="280" t="s">
        <v>26</v>
      </c>
      <c r="D121" s="281">
        <f>SUMIFS(DelinquencyPerSector!$L$2:$L$5000,DelinquencyPerSector!$K$2:$K$5000, "="&amp;C121, DelinquencyPerSector!$J$2:$J$5000, "="&amp;B121,DelinquencyPerSector!$I$2:$I$5000,"="&amp;A121)</f>
        <v>41247929.730000004</v>
      </c>
      <c r="E121" s="282">
        <f t="shared" si="15"/>
        <v>5.592394745261681E-3</v>
      </c>
      <c r="F121" s="283">
        <f>COUNTIFS(DelinquencyPerSector!$I:$I, "="&amp;A121, DelinquencyPerSector!$J:$J, "="&amp;B121,DelinquencyPerSector!$K:$K, "="&amp;C121,DelinquencyPerSector!$L:$L, "&gt;0")</f>
        <v>4</v>
      </c>
      <c r="G121" s="284">
        <f>SUMIFS(DelinquencyPerSector!$N$2:$N$5000, DelinquencyPerSector!$K$2:$K$5000, "="&amp;C121, DelinquencyPerSector!$J$2:$J$5000, "="&amp;B121, DelinquencyPerSector!$I$2:$I$5000,"="&amp;A121)</f>
        <v>0</v>
      </c>
      <c r="H121" s="282">
        <f t="shared" si="16"/>
        <v>0</v>
      </c>
      <c r="I121" s="283">
        <f>COUNTIFS(DelinquencyPerSector!$I:$I, "="&amp;A121, DelinquencyPerSector!$J:$J, "="&amp;B121,DelinquencyPerSector!$K:$K, "="&amp;C121,DelinquencyPerSector!$N:$N, "&gt;0")</f>
        <v>0</v>
      </c>
      <c r="J121" s="281">
        <f>SUMIFS(DelinquencyPerSector!$P$2:$P$5000, DelinquencyPerSector!$K$2:$K$5000, "="&amp;C121, DelinquencyPerSector!$J$2:$J$5000, "="&amp;B121, DelinquencyPerSector!$I$2:$I$5000,"="&amp;A121)</f>
        <v>0</v>
      </c>
      <c r="K121" s="282">
        <f t="shared" si="17"/>
        <v>0</v>
      </c>
      <c r="L121" s="283">
        <f>COUNTIFS(DelinquencyPerSector!$I:$I, "="&amp;A121, DelinquencyPerSector!$J:$J, "="&amp;B121,DelinquencyPerSector!$K:$K, "="&amp;C121,DelinquencyPerSector!$P:$P, "&gt;0")</f>
        <v>0</v>
      </c>
      <c r="M121" s="285">
        <f>SUMIFS(DelinquencyPerSector!$R$2:$R$5000,DelinquencyPerSector!$K$2:$K$5000, "="&amp;C121, DelinquencyPerSector!$J$2:$J$5000, "="&amp;B121,DelinquencyPerSector!$I$2:$I$5000,"="&amp;A121)</f>
        <v>0</v>
      </c>
      <c r="N121" s="282">
        <f t="shared" si="18"/>
        <v>0</v>
      </c>
      <c r="O121" s="283">
        <f>COUNTIFS(DelinquencyPerSector!$I:$I, "="&amp;A121, DelinquencyPerSector!$J:$J, "="&amp;B121,DelinquencyPerSector!$K:$K, "="&amp;C121,DelinquencyPerSector!$R:$R, "&gt;0")</f>
        <v>0</v>
      </c>
      <c r="P121" s="281">
        <v>79320402.030000001</v>
      </c>
      <c r="Q121" s="282">
        <f t="shared" si="19"/>
        <v>4.7881574090527946E-3</v>
      </c>
      <c r="R121" s="287">
        <f>COUNTIFS(DelinquencyPerSector!$I:$I, "="&amp;A121, DelinquencyPerSector!$J:$J, "="&amp;B121,DelinquencyPerSector!$K:$K, "="&amp;C121)</f>
        <v>7</v>
      </c>
      <c r="S121" s="288">
        <f>Table_ExternalData_18[[#This Row],[Total Port%]]-Table_ExternalData_18[[#This Row],[PAR 30+%]]</f>
        <v>4.7881574090527946E-3</v>
      </c>
      <c r="T121" s="289">
        <f>Table_ExternalData_18[[#This Row],[Total Port%]]-Table_ExternalData_18[[#This Row],[PAR 90+%]]</f>
        <v>4.7881574090527946E-3</v>
      </c>
      <c r="U121" s="280"/>
      <c r="V121" s="280"/>
    </row>
    <row r="122" spans="1:22" ht="22.8" x14ac:dyDescent="0.4">
      <c r="A122" s="280" t="s">
        <v>25</v>
      </c>
      <c r="B122" s="280" t="s">
        <v>94</v>
      </c>
      <c r="C122" s="280" t="s">
        <v>95</v>
      </c>
      <c r="D122" s="281">
        <f>SUMIFS(DelinquencyPerSector!$L$2:$L$5000,DelinquencyPerSector!$K$2:$K$5000, "="&amp;C122, DelinquencyPerSector!$J$2:$J$5000, "="&amp;B122,DelinquencyPerSector!$I$2:$I$5000,"="&amp;A122)</f>
        <v>9611725.6799999997</v>
      </c>
      <c r="E122" s="282">
        <f t="shared" si="15"/>
        <v>1.3031578684695542E-3</v>
      </c>
      <c r="F122" s="283">
        <f>COUNTIFS(DelinquencyPerSector!$I:$I, "="&amp;A122, DelinquencyPerSector!$J:$J, "="&amp;B122,DelinquencyPerSector!$K:$K, "="&amp;C122,DelinquencyPerSector!$L:$L, "&gt;0")</f>
        <v>2</v>
      </c>
      <c r="G122" s="284">
        <f>SUMIFS(DelinquencyPerSector!$N$2:$N$5000, DelinquencyPerSector!$K$2:$K$5000, "="&amp;C122, DelinquencyPerSector!$J$2:$J$5000, "="&amp;B122, DelinquencyPerSector!$I$2:$I$5000,"="&amp;A122)</f>
        <v>0</v>
      </c>
      <c r="H122" s="282">
        <f t="shared" si="16"/>
        <v>0</v>
      </c>
      <c r="I122" s="283">
        <f>COUNTIFS(DelinquencyPerSector!$I:$I, "="&amp;A122, DelinquencyPerSector!$J:$J, "="&amp;B122,DelinquencyPerSector!$K:$K, "="&amp;C122,DelinquencyPerSector!$N:$N, "&gt;0")</f>
        <v>0</v>
      </c>
      <c r="J122" s="281">
        <f>SUMIFS(DelinquencyPerSector!$P$2:$P$5000, DelinquencyPerSector!$K$2:$K$5000, "="&amp;C122, DelinquencyPerSector!$J$2:$J$5000, "="&amp;B122, DelinquencyPerSector!$I$2:$I$5000,"="&amp;A122)</f>
        <v>0</v>
      </c>
      <c r="K122" s="282">
        <f t="shared" si="17"/>
        <v>0</v>
      </c>
      <c r="L122" s="283">
        <f>COUNTIFS(DelinquencyPerSector!$I:$I, "="&amp;A122, DelinquencyPerSector!$J:$J, "="&amp;B122,DelinquencyPerSector!$K:$K, "="&amp;C122,DelinquencyPerSector!$P:$P, "&gt;0")</f>
        <v>0</v>
      </c>
      <c r="M122" s="285">
        <f>SUMIFS(DelinquencyPerSector!$R$2:$R$5000,DelinquencyPerSector!$K$2:$K$5000, "="&amp;C122, DelinquencyPerSector!$J$2:$J$5000, "="&amp;B122,DelinquencyPerSector!$I$2:$I$5000,"="&amp;A122)</f>
        <v>0</v>
      </c>
      <c r="N122" s="282">
        <f t="shared" si="18"/>
        <v>0</v>
      </c>
      <c r="O122" s="283">
        <f>COUNTIFS(DelinquencyPerSector!$I:$I, "="&amp;A122, DelinquencyPerSector!$J:$J, "="&amp;B122,DelinquencyPerSector!$K:$K, "="&amp;C122,DelinquencyPerSector!$R:$R, "&gt;0")</f>
        <v>0</v>
      </c>
      <c r="P122" s="281">
        <v>56592651.920000002</v>
      </c>
      <c r="Q122" s="282">
        <f t="shared" si="19"/>
        <v>3.416202120183503E-3</v>
      </c>
      <c r="R122" s="287">
        <f>COUNTIFS(DelinquencyPerSector!$I:$I, "="&amp;A122, DelinquencyPerSector!$J:$J, "="&amp;B122,DelinquencyPerSector!$K:$K, "="&amp;C122)</f>
        <v>11</v>
      </c>
      <c r="S122" s="288">
        <f>Table_ExternalData_18[[#This Row],[Total Port%]]-Table_ExternalData_18[[#This Row],[PAR 30+%]]</f>
        <v>3.416202120183503E-3</v>
      </c>
      <c r="T122" s="289">
        <f>Table_ExternalData_18[[#This Row],[Total Port%]]-Table_ExternalData_18[[#This Row],[PAR 90+%]]</f>
        <v>3.416202120183503E-3</v>
      </c>
      <c r="U122" s="280"/>
      <c r="V122" s="280"/>
    </row>
    <row r="123" spans="1:22" ht="22.8" x14ac:dyDescent="0.4">
      <c r="A123" s="280" t="s">
        <v>25</v>
      </c>
      <c r="B123" s="280" t="s">
        <v>94</v>
      </c>
      <c r="C123" s="280" t="s">
        <v>1826</v>
      </c>
      <c r="D123" s="281">
        <f>SUMIFS(DelinquencyPerSector!$L$2:$L$5000,DelinquencyPerSector!$K$2:$K$5000, "="&amp;C123, DelinquencyPerSector!$J$2:$J$5000, "="&amp;B123,DelinquencyPerSector!$I$2:$I$5000,"="&amp;A123)</f>
        <v>0</v>
      </c>
      <c r="E123" s="282">
        <f t="shared" si="15"/>
        <v>0</v>
      </c>
      <c r="F123" s="283">
        <f>COUNTIFS(DelinquencyPerSector!$I:$I, "="&amp;A123, DelinquencyPerSector!$J:$J, "="&amp;B123,DelinquencyPerSector!$K:$K, "="&amp;C123,DelinquencyPerSector!$L:$L, "&gt;0")</f>
        <v>0</v>
      </c>
      <c r="G123" s="284">
        <f>SUMIFS(DelinquencyPerSector!$N$2:$N$5000, DelinquencyPerSector!$K$2:$K$5000, "="&amp;C123, DelinquencyPerSector!$J$2:$J$5000, "="&amp;B123, DelinquencyPerSector!$I$2:$I$5000,"="&amp;A123)</f>
        <v>0</v>
      </c>
      <c r="H123" s="282">
        <f t="shared" si="16"/>
        <v>0</v>
      </c>
      <c r="I123" s="283">
        <f>COUNTIFS(DelinquencyPerSector!$I:$I, "="&amp;A123, DelinquencyPerSector!$J:$J, "="&amp;B123,DelinquencyPerSector!$K:$K, "="&amp;C123,DelinquencyPerSector!$N:$N, "&gt;0")</f>
        <v>0</v>
      </c>
      <c r="J123" s="281">
        <f>SUMIFS(DelinquencyPerSector!$P$2:$P$5000, DelinquencyPerSector!$K$2:$K$5000, "="&amp;C123, DelinquencyPerSector!$J$2:$J$5000, "="&amp;B123, DelinquencyPerSector!$I$2:$I$5000,"="&amp;A123)</f>
        <v>0</v>
      </c>
      <c r="K123" s="282">
        <f t="shared" si="17"/>
        <v>0</v>
      </c>
      <c r="L123" s="283">
        <f>COUNTIFS(DelinquencyPerSector!$I:$I, "="&amp;A123, DelinquencyPerSector!$J:$J, "="&amp;B123,DelinquencyPerSector!$K:$K, "="&amp;C123,DelinquencyPerSector!$P:$P, "&gt;0")</f>
        <v>0</v>
      </c>
      <c r="M123" s="285">
        <f>SUMIFS(DelinquencyPerSector!$R$2:$R$5000,DelinquencyPerSector!$K$2:$K$5000, "="&amp;C123, DelinquencyPerSector!$J$2:$J$5000, "="&amp;B123,DelinquencyPerSector!$I$2:$I$5000,"="&amp;A123)</f>
        <v>0</v>
      </c>
      <c r="N123" s="282">
        <f t="shared" si="18"/>
        <v>0</v>
      </c>
      <c r="O123" s="283">
        <f>COUNTIFS(DelinquencyPerSector!$I:$I, "="&amp;A123, DelinquencyPerSector!$J:$J, "="&amp;B123,DelinquencyPerSector!$K:$K, "="&amp;C123,DelinquencyPerSector!$R:$R, "&gt;0")</f>
        <v>0</v>
      </c>
      <c r="P123" s="281">
        <v>1800000</v>
      </c>
      <c r="Q123" s="282">
        <f t="shared" si="19"/>
        <v>1.0865657656444217E-4</v>
      </c>
      <c r="R123" s="287">
        <f>COUNTIFS(DelinquencyPerSector!$I:$I, "="&amp;A123, DelinquencyPerSector!$J:$J, "="&amp;B123,DelinquencyPerSector!$K:$K, "="&amp;C123)</f>
        <v>1</v>
      </c>
      <c r="S123" s="288">
        <f>Table_ExternalData_18[[#This Row],[Total Port%]]-Table_ExternalData_18[[#This Row],[PAR 30+%]]</f>
        <v>1.0865657656444217E-4</v>
      </c>
      <c r="T123" s="289">
        <f>Table_ExternalData_18[[#This Row],[Total Port%]]-Table_ExternalData_18[[#This Row],[PAR 90+%]]</f>
        <v>1.0865657656444217E-4</v>
      </c>
      <c r="U123" s="280"/>
      <c r="V123" s="280"/>
    </row>
    <row r="124" spans="1:22" ht="22.8" x14ac:dyDescent="0.4">
      <c r="A124" s="280" t="s">
        <v>25</v>
      </c>
      <c r="B124" s="280" t="s">
        <v>94</v>
      </c>
      <c r="C124" s="280" t="s">
        <v>5507</v>
      </c>
      <c r="D124" s="281">
        <f>SUMIFS(DelinquencyPerSector!$L$2:$L$5000,DelinquencyPerSector!$K$2:$K$5000, "="&amp;C124, DelinquencyPerSector!$J$2:$J$5000, "="&amp;B124,DelinquencyPerSector!$I$2:$I$5000,"="&amp;A124)</f>
        <v>0</v>
      </c>
      <c r="E124" s="282">
        <f t="shared" si="15"/>
        <v>0</v>
      </c>
      <c r="F124" s="283">
        <f>COUNTIFS(DelinquencyPerSector!$I:$I, "="&amp;A124, DelinquencyPerSector!$J:$J, "="&amp;B124,DelinquencyPerSector!$K:$K, "="&amp;C124,DelinquencyPerSector!$L:$L, "&gt;0")</f>
        <v>0</v>
      </c>
      <c r="G124" s="284">
        <f>SUMIFS(DelinquencyPerSector!$N$2:$N$5000, DelinquencyPerSector!$K$2:$K$5000, "="&amp;C124, DelinquencyPerSector!$J$2:$J$5000, "="&amp;B124, DelinquencyPerSector!$I$2:$I$5000,"="&amp;A124)</f>
        <v>0</v>
      </c>
      <c r="H124" s="282">
        <f t="shared" si="16"/>
        <v>0</v>
      </c>
      <c r="I124" s="283">
        <f>COUNTIFS(DelinquencyPerSector!$I:$I, "="&amp;A124, DelinquencyPerSector!$J:$J, "="&amp;B124,DelinquencyPerSector!$K:$K, "="&amp;C124,DelinquencyPerSector!$N:$N, "&gt;0")</f>
        <v>0</v>
      </c>
      <c r="J124" s="281">
        <f>SUMIFS(DelinquencyPerSector!$P$2:$P$5000, DelinquencyPerSector!$K$2:$K$5000, "="&amp;C124, DelinquencyPerSector!$J$2:$J$5000, "="&amp;B124, DelinquencyPerSector!$I$2:$I$5000,"="&amp;A124)</f>
        <v>0</v>
      </c>
      <c r="K124" s="282">
        <f t="shared" si="17"/>
        <v>0</v>
      </c>
      <c r="L124" s="283">
        <f>COUNTIFS(DelinquencyPerSector!$I:$I, "="&amp;A124, DelinquencyPerSector!$J:$J, "="&amp;B124,DelinquencyPerSector!$K:$K, "="&amp;C124,DelinquencyPerSector!$P:$P, "&gt;0")</f>
        <v>0</v>
      </c>
      <c r="M124" s="285">
        <f>SUMIFS(DelinquencyPerSector!$R$2:$R$5000,DelinquencyPerSector!$K$2:$K$5000, "="&amp;C124, DelinquencyPerSector!$J$2:$J$5000, "="&amp;B124,DelinquencyPerSector!$I$2:$I$5000,"="&amp;A124)</f>
        <v>0</v>
      </c>
      <c r="N124" s="282">
        <f t="shared" si="18"/>
        <v>0</v>
      </c>
      <c r="O124" s="283">
        <f>COUNTIFS(DelinquencyPerSector!$I:$I, "="&amp;A124, DelinquencyPerSector!$J:$J, "="&amp;B124,DelinquencyPerSector!$K:$K, "="&amp;C124,DelinquencyPerSector!$R:$R, "&gt;0")</f>
        <v>0</v>
      </c>
      <c r="P124" s="281">
        <v>15052623.550000001</v>
      </c>
      <c r="Q124" s="282">
        <f t="shared" si="19"/>
        <v>9.0864807958683362E-4</v>
      </c>
      <c r="R124" s="287">
        <f>COUNTIFS(DelinquencyPerSector!$I:$I, "="&amp;A124, DelinquencyPerSector!$J:$J, "="&amp;B124,DelinquencyPerSector!$K:$K, "="&amp;C124)</f>
        <v>3</v>
      </c>
      <c r="S124" s="288">
        <f>Table_ExternalData_18[[#This Row],[Total Port%]]-Table_ExternalData_18[[#This Row],[PAR 30+%]]</f>
        <v>9.0864807958683362E-4</v>
      </c>
      <c r="T124" s="289">
        <f>Table_ExternalData_18[[#This Row],[Total Port%]]-Table_ExternalData_18[[#This Row],[PAR 90+%]]</f>
        <v>9.0864807958683362E-4</v>
      </c>
      <c r="U124" s="280"/>
      <c r="V124" s="280"/>
    </row>
    <row r="125" spans="1:22" ht="22.8" x14ac:dyDescent="0.4">
      <c r="A125" s="280" t="s">
        <v>25</v>
      </c>
      <c r="B125" s="280" t="s">
        <v>94</v>
      </c>
      <c r="C125" s="280" t="s">
        <v>1828</v>
      </c>
      <c r="D125" s="281">
        <f>SUMIFS(DelinquencyPerSector!$L$2:$L$5000,DelinquencyPerSector!$K$2:$K$5000, "="&amp;C125, DelinquencyPerSector!$J$2:$J$5000, "="&amp;B125,DelinquencyPerSector!$I$2:$I$5000,"="&amp;A125)</f>
        <v>0</v>
      </c>
      <c r="E125" s="282">
        <f t="shared" si="15"/>
        <v>0</v>
      </c>
      <c r="F125" s="283">
        <f>COUNTIFS(DelinquencyPerSector!$I:$I, "="&amp;A125, DelinquencyPerSector!$J:$J, "="&amp;B125,DelinquencyPerSector!$K:$K, "="&amp;C125,DelinquencyPerSector!$L:$L, "&gt;0")</f>
        <v>0</v>
      </c>
      <c r="G125" s="284">
        <f>SUMIFS(DelinquencyPerSector!$N$2:$N$5000, DelinquencyPerSector!$K$2:$K$5000, "="&amp;C125, DelinquencyPerSector!$J$2:$J$5000, "="&amp;B125, DelinquencyPerSector!$I$2:$I$5000,"="&amp;A125)</f>
        <v>0</v>
      </c>
      <c r="H125" s="282">
        <f t="shared" si="16"/>
        <v>0</v>
      </c>
      <c r="I125" s="283">
        <f>COUNTIFS(DelinquencyPerSector!$I:$I, "="&amp;A125, DelinquencyPerSector!$J:$J, "="&amp;B125,DelinquencyPerSector!$K:$K, "="&amp;C125,DelinquencyPerSector!$N:$N, "&gt;0")</f>
        <v>0</v>
      </c>
      <c r="J125" s="281">
        <f>SUMIFS(DelinquencyPerSector!$P$2:$P$5000, DelinquencyPerSector!$K$2:$K$5000, "="&amp;C125, DelinquencyPerSector!$J$2:$J$5000, "="&amp;B125, DelinquencyPerSector!$I$2:$I$5000,"="&amp;A125)</f>
        <v>0</v>
      </c>
      <c r="K125" s="282">
        <f t="shared" si="17"/>
        <v>0</v>
      </c>
      <c r="L125" s="283">
        <f>COUNTIFS(DelinquencyPerSector!$I:$I, "="&amp;A125, DelinquencyPerSector!$J:$J, "="&amp;B125,DelinquencyPerSector!$K:$K, "="&amp;C125,DelinquencyPerSector!$P:$P, "&gt;0")</f>
        <v>0</v>
      </c>
      <c r="M125" s="285">
        <f>SUMIFS(DelinquencyPerSector!$R$2:$R$5000,DelinquencyPerSector!$K$2:$K$5000, "="&amp;C125, DelinquencyPerSector!$J$2:$J$5000, "="&amp;B125,DelinquencyPerSector!$I$2:$I$5000,"="&amp;A125)</f>
        <v>0</v>
      </c>
      <c r="N125" s="282">
        <f t="shared" si="18"/>
        <v>0</v>
      </c>
      <c r="O125" s="283">
        <f>COUNTIFS(DelinquencyPerSector!$I:$I, "="&amp;A125, DelinquencyPerSector!$J:$J, "="&amp;B125,DelinquencyPerSector!$K:$K, "="&amp;C125,DelinquencyPerSector!$R:$R, "&gt;0")</f>
        <v>0</v>
      </c>
      <c r="P125" s="281">
        <v>1600040.33</v>
      </c>
      <c r="Q125" s="282">
        <f t="shared" si="19"/>
        <v>9.6586058123800179E-5</v>
      </c>
      <c r="R125" s="287">
        <f>COUNTIFS(DelinquencyPerSector!$I:$I, "="&amp;A125, DelinquencyPerSector!$J:$J, "="&amp;B125,DelinquencyPerSector!$K:$K, "="&amp;C125)</f>
        <v>2</v>
      </c>
      <c r="S125" s="288">
        <f>Table_ExternalData_18[[#This Row],[Total Port%]]-Table_ExternalData_18[[#This Row],[PAR 30+%]]</f>
        <v>9.6586058123800179E-5</v>
      </c>
      <c r="T125" s="289">
        <f>Table_ExternalData_18[[#This Row],[Total Port%]]-Table_ExternalData_18[[#This Row],[PAR 90+%]]</f>
        <v>9.6586058123800179E-5</v>
      </c>
      <c r="U125" s="280"/>
      <c r="V125" s="280"/>
    </row>
    <row r="126" spans="1:22" ht="22.8" x14ac:dyDescent="0.4">
      <c r="A126" s="280" t="s">
        <v>37</v>
      </c>
      <c r="B126" s="280" t="s">
        <v>2192</v>
      </c>
      <c r="C126" s="280" t="s">
        <v>26</v>
      </c>
      <c r="D126" s="281">
        <f>SUMIFS(DelinquencyPerSector!$L$2:$L$5000,DelinquencyPerSector!$K$2:$K$5000, "="&amp;C126, DelinquencyPerSector!$J$2:$J$5000, "="&amp;B126,DelinquencyPerSector!$I$2:$I$5000,"="&amp;A126)</f>
        <v>4501411.18</v>
      </c>
      <c r="E126" s="282">
        <f t="shared" si="15"/>
        <v>6.1030137497992141E-4</v>
      </c>
      <c r="F126" s="283">
        <f>COUNTIFS(DelinquencyPerSector!$I:$I, "="&amp;A126, DelinquencyPerSector!$J:$J, "="&amp;B126,DelinquencyPerSector!$K:$K, "="&amp;C126,DelinquencyPerSector!$L:$L, "&gt;0")</f>
        <v>1</v>
      </c>
      <c r="G126" s="284">
        <f>SUMIFS(DelinquencyPerSector!$N$2:$N$5000, DelinquencyPerSector!$K$2:$K$5000, "="&amp;C126, DelinquencyPerSector!$J$2:$J$5000, "="&amp;B126, DelinquencyPerSector!$I$2:$I$5000,"="&amp;A126)</f>
        <v>0</v>
      </c>
      <c r="H126" s="282">
        <f t="shared" si="16"/>
        <v>0</v>
      </c>
      <c r="I126" s="283">
        <f>COUNTIFS(DelinquencyPerSector!$I:$I, "="&amp;A126, DelinquencyPerSector!$J:$J, "="&amp;B126,DelinquencyPerSector!$K:$K, "="&amp;C126,DelinquencyPerSector!$N:$N, "&gt;0")</f>
        <v>0</v>
      </c>
      <c r="J126" s="281">
        <f>SUMIFS(DelinquencyPerSector!$P$2:$P$5000, DelinquencyPerSector!$K$2:$K$5000, "="&amp;C126, DelinquencyPerSector!$J$2:$J$5000, "="&amp;B126, DelinquencyPerSector!$I$2:$I$5000,"="&amp;A126)</f>
        <v>0</v>
      </c>
      <c r="K126" s="282">
        <f t="shared" si="17"/>
        <v>0</v>
      </c>
      <c r="L126" s="283">
        <f>COUNTIFS(DelinquencyPerSector!$I:$I, "="&amp;A126, DelinquencyPerSector!$J:$J, "="&amp;B126,DelinquencyPerSector!$K:$K, "="&amp;C126,DelinquencyPerSector!$P:$P, "&gt;0")</f>
        <v>0</v>
      </c>
      <c r="M126" s="285">
        <f>SUMIFS(DelinquencyPerSector!$R$2:$R$5000,DelinquencyPerSector!$K$2:$K$5000, "="&amp;C126, DelinquencyPerSector!$J$2:$J$5000, "="&amp;B126,DelinquencyPerSector!$I$2:$I$5000,"="&amp;A126)</f>
        <v>0</v>
      </c>
      <c r="N126" s="282">
        <f t="shared" si="18"/>
        <v>0</v>
      </c>
      <c r="O126" s="283">
        <f>COUNTIFS(DelinquencyPerSector!$I:$I, "="&amp;A126, DelinquencyPerSector!$J:$J, "="&amp;B126,DelinquencyPerSector!$K:$K, "="&amp;C126,DelinquencyPerSector!$R:$R, "&gt;0")</f>
        <v>0</v>
      </c>
      <c r="P126" s="281">
        <v>4501411.18</v>
      </c>
      <c r="Q126" s="282">
        <f t="shared" si="19"/>
        <v>2.7172662695983666E-4</v>
      </c>
      <c r="R126" s="287">
        <f>COUNTIFS(DelinquencyPerSector!$I:$I, "="&amp;A126, DelinquencyPerSector!$J:$J, "="&amp;B126,DelinquencyPerSector!$K:$K, "="&amp;C126)</f>
        <v>1</v>
      </c>
      <c r="S126" s="288">
        <f>Table_ExternalData_18[[#This Row],[Total Port%]]-Table_ExternalData_18[[#This Row],[PAR 30+%]]</f>
        <v>2.7172662695983666E-4</v>
      </c>
      <c r="T126" s="289">
        <f>Table_ExternalData_18[[#This Row],[Total Port%]]-Table_ExternalData_18[[#This Row],[PAR 90+%]]</f>
        <v>2.7172662695983666E-4</v>
      </c>
      <c r="U126" s="280"/>
      <c r="V126" s="280"/>
    </row>
    <row r="127" spans="1:22" ht="22.8" x14ac:dyDescent="0.4">
      <c r="A127" s="280" t="s">
        <v>37</v>
      </c>
      <c r="B127" s="280" t="s">
        <v>686</v>
      </c>
      <c r="C127" s="280" t="s">
        <v>686</v>
      </c>
      <c r="D127" s="281">
        <f>SUMIFS(DelinquencyPerSector!$L$2:$L$5000,DelinquencyPerSector!$K$2:$K$5000, "="&amp;C127, DelinquencyPerSector!$J$2:$J$5000, "="&amp;B127,DelinquencyPerSector!$I$2:$I$5000,"="&amp;A127)</f>
        <v>42598946.880000003</v>
      </c>
      <c r="E127" s="282">
        <f t="shared" si="15"/>
        <v>5.7755656646235626E-3</v>
      </c>
      <c r="F127" s="283">
        <f>COUNTIFS(DelinquencyPerSector!$I:$I, "="&amp;A127, DelinquencyPerSector!$J:$J, "="&amp;B127,DelinquencyPerSector!$K:$K, "="&amp;C127,DelinquencyPerSector!$L:$L, "&gt;0")</f>
        <v>3</v>
      </c>
      <c r="G127" s="284">
        <f>SUMIFS(DelinquencyPerSector!$N$2:$N$5000, DelinquencyPerSector!$K$2:$K$5000, "="&amp;C127, DelinquencyPerSector!$J$2:$J$5000, "="&amp;B127, DelinquencyPerSector!$I$2:$I$5000,"="&amp;A127)</f>
        <v>0</v>
      </c>
      <c r="H127" s="282">
        <f t="shared" si="16"/>
        <v>0</v>
      </c>
      <c r="I127" s="283">
        <f>COUNTIFS(DelinquencyPerSector!$I:$I, "="&amp;A127, DelinquencyPerSector!$J:$J, "="&amp;B127,DelinquencyPerSector!$K:$K, "="&amp;C127,DelinquencyPerSector!$N:$N, "&gt;0")</f>
        <v>0</v>
      </c>
      <c r="J127" s="281">
        <f>SUMIFS(DelinquencyPerSector!$P$2:$P$5000, DelinquencyPerSector!$K$2:$K$5000, "="&amp;C127, DelinquencyPerSector!$J$2:$J$5000, "="&amp;B127, DelinquencyPerSector!$I$2:$I$5000,"="&amp;A127)</f>
        <v>0</v>
      </c>
      <c r="K127" s="282">
        <f t="shared" si="17"/>
        <v>0</v>
      </c>
      <c r="L127" s="283">
        <f>COUNTIFS(DelinquencyPerSector!$I:$I, "="&amp;A127, DelinquencyPerSector!$J:$J, "="&amp;B127,DelinquencyPerSector!$K:$K, "="&amp;C127,DelinquencyPerSector!$P:$P, "&gt;0")</f>
        <v>0</v>
      </c>
      <c r="M127" s="285">
        <f>SUMIFS(DelinquencyPerSector!$R$2:$R$5000,DelinquencyPerSector!$K$2:$K$5000, "="&amp;C127, DelinquencyPerSector!$J$2:$J$5000, "="&amp;B127,DelinquencyPerSector!$I$2:$I$5000,"="&amp;A127)</f>
        <v>0</v>
      </c>
      <c r="N127" s="282">
        <f t="shared" si="18"/>
        <v>0</v>
      </c>
      <c r="O127" s="283">
        <f>COUNTIFS(DelinquencyPerSector!$I:$I, "="&amp;A127, DelinquencyPerSector!$J:$J, "="&amp;B127,DelinquencyPerSector!$K:$K, "="&amp;C127,DelinquencyPerSector!$R:$R, "&gt;0")</f>
        <v>0</v>
      </c>
      <c r="P127" s="281">
        <v>82858948.650000006</v>
      </c>
      <c r="Q127" s="282">
        <f t="shared" si="19"/>
        <v>5.0017609433543938E-3</v>
      </c>
      <c r="R127" s="287">
        <f>COUNTIFS(DelinquencyPerSector!$I:$I, "="&amp;A127, DelinquencyPerSector!$J:$J, "="&amp;B127,DelinquencyPerSector!$K:$K, "="&amp;C127)</f>
        <v>5</v>
      </c>
      <c r="S127" s="288">
        <f>Table_ExternalData_18[[#This Row],[Total Port%]]-Table_ExternalData_18[[#This Row],[PAR 30+%]]</f>
        <v>5.0017609433543938E-3</v>
      </c>
      <c r="T127" s="289">
        <f>Table_ExternalData_18[[#This Row],[Total Port%]]-Table_ExternalData_18[[#This Row],[PAR 90+%]]</f>
        <v>5.0017609433543938E-3</v>
      </c>
      <c r="U127" s="280"/>
      <c r="V127" s="280"/>
    </row>
    <row r="128" spans="1:22" ht="22.8" x14ac:dyDescent="0.4">
      <c r="A128" s="280" t="s">
        <v>27</v>
      </c>
      <c r="B128" s="280" t="s">
        <v>81</v>
      </c>
      <c r="C128" s="280" t="s">
        <v>1706</v>
      </c>
      <c r="D128" s="281">
        <f>SUMIFS(DelinquencyPerSector!$L$2:$L$5000,DelinquencyPerSector!$K$2:$K$5000, "="&amp;C128, DelinquencyPerSector!$J$2:$J$5000, "="&amp;B128,DelinquencyPerSector!$I$2:$I$5000,"="&amp;A128)</f>
        <v>22587078.539999999</v>
      </c>
      <c r="E128" s="282">
        <f t="shared" si="15"/>
        <v>3.0623563452698128E-3</v>
      </c>
      <c r="F128" s="283">
        <f>COUNTIFS(DelinquencyPerSector!$I:$I, "="&amp;A128, DelinquencyPerSector!$J:$J, "="&amp;B128,DelinquencyPerSector!$K:$K, "="&amp;C128,DelinquencyPerSector!$L:$L, "&gt;0")</f>
        <v>1</v>
      </c>
      <c r="G128" s="284">
        <f>SUMIFS(DelinquencyPerSector!$N$2:$N$5000, DelinquencyPerSector!$K$2:$K$5000, "="&amp;C128, DelinquencyPerSector!$J$2:$J$5000, "="&amp;B128, DelinquencyPerSector!$I$2:$I$5000,"="&amp;A128)</f>
        <v>0</v>
      </c>
      <c r="H128" s="282">
        <f t="shared" si="16"/>
        <v>0</v>
      </c>
      <c r="I128" s="283">
        <f>COUNTIFS(DelinquencyPerSector!$I:$I, "="&amp;A128, DelinquencyPerSector!$J:$J, "="&amp;B128,DelinquencyPerSector!$K:$K, "="&amp;C128,DelinquencyPerSector!$N:$N, "&gt;0")</f>
        <v>0</v>
      </c>
      <c r="J128" s="281">
        <f>SUMIFS(DelinquencyPerSector!$P$2:$P$5000, DelinquencyPerSector!$K$2:$K$5000, "="&amp;C128, DelinquencyPerSector!$J$2:$J$5000, "="&amp;B128, DelinquencyPerSector!$I$2:$I$5000,"="&amp;A128)</f>
        <v>0</v>
      </c>
      <c r="K128" s="282">
        <f t="shared" si="17"/>
        <v>0</v>
      </c>
      <c r="L128" s="283">
        <f>COUNTIFS(DelinquencyPerSector!$I:$I, "="&amp;A128, DelinquencyPerSector!$J:$J, "="&amp;B128,DelinquencyPerSector!$K:$K, "="&amp;C128,DelinquencyPerSector!$P:$P, "&gt;0")</f>
        <v>0</v>
      </c>
      <c r="M128" s="285">
        <f>SUMIFS(DelinquencyPerSector!$R$2:$R$5000,DelinquencyPerSector!$K$2:$K$5000, "="&amp;C128, DelinquencyPerSector!$J$2:$J$5000, "="&amp;B128,DelinquencyPerSector!$I$2:$I$5000,"="&amp;A128)</f>
        <v>0</v>
      </c>
      <c r="N128" s="282">
        <f t="shared" si="18"/>
        <v>0</v>
      </c>
      <c r="O128" s="283">
        <f>COUNTIFS(DelinquencyPerSector!$I:$I, "="&amp;A128, DelinquencyPerSector!$J:$J, "="&amp;B128,DelinquencyPerSector!$K:$K, "="&amp;C128,DelinquencyPerSector!$R:$R, "&gt;0")</f>
        <v>0</v>
      </c>
      <c r="P128" s="281">
        <v>59945671.560000002</v>
      </c>
      <c r="Q128" s="282">
        <f t="shared" si="19"/>
        <v>3.6186063619811355E-3</v>
      </c>
      <c r="R128" s="287">
        <f>COUNTIFS(DelinquencyPerSector!$I:$I, "="&amp;A128, DelinquencyPerSector!$J:$J, "="&amp;B128,DelinquencyPerSector!$K:$K, "="&amp;C128)</f>
        <v>2</v>
      </c>
      <c r="S128" s="288">
        <f>Table_ExternalData_18[[#This Row],[Total Port%]]-Table_ExternalData_18[[#This Row],[PAR 30+%]]</f>
        <v>3.6186063619811355E-3</v>
      </c>
      <c r="T128" s="289">
        <f>Table_ExternalData_18[[#This Row],[Total Port%]]-Table_ExternalData_18[[#This Row],[PAR 90+%]]</f>
        <v>3.6186063619811355E-3</v>
      </c>
      <c r="U128" s="280"/>
      <c r="V128" s="280"/>
    </row>
    <row r="129" spans="1:22" ht="22.8" x14ac:dyDescent="0.4">
      <c r="A129" s="280" t="s">
        <v>27</v>
      </c>
      <c r="B129" s="280" t="s">
        <v>81</v>
      </c>
      <c r="C129" s="280" t="s">
        <v>5165</v>
      </c>
      <c r="D129" s="281">
        <f>SUMIFS(DelinquencyPerSector!$L$2:$L$5000,DelinquencyPerSector!$K$2:$K$5000, "="&amp;C129, DelinquencyPerSector!$J$2:$J$5000, "="&amp;B129,DelinquencyPerSector!$I$2:$I$5000,"="&amp;A129)</f>
        <v>0</v>
      </c>
      <c r="E129" s="282">
        <f t="shared" si="15"/>
        <v>0</v>
      </c>
      <c r="F129" s="283">
        <f>COUNTIFS(DelinquencyPerSector!$I:$I, "="&amp;A129, DelinquencyPerSector!$J:$J, "="&amp;B129,DelinquencyPerSector!$K:$K, "="&amp;C129,DelinquencyPerSector!$L:$L, "&gt;0")</f>
        <v>0</v>
      </c>
      <c r="G129" s="284">
        <f>SUMIFS(DelinquencyPerSector!$N$2:$N$5000, DelinquencyPerSector!$K$2:$K$5000, "="&amp;C129, DelinquencyPerSector!$J$2:$J$5000, "="&amp;B129, DelinquencyPerSector!$I$2:$I$5000,"="&amp;A129)</f>
        <v>0</v>
      </c>
      <c r="H129" s="282">
        <f t="shared" si="16"/>
        <v>0</v>
      </c>
      <c r="I129" s="283">
        <f>COUNTIFS(DelinquencyPerSector!$I:$I, "="&amp;A129, DelinquencyPerSector!$J:$J, "="&amp;B129,DelinquencyPerSector!$K:$K, "="&amp;C129,DelinquencyPerSector!$N:$N, "&gt;0")</f>
        <v>0</v>
      </c>
      <c r="J129" s="281">
        <f>SUMIFS(DelinquencyPerSector!$P$2:$P$5000, DelinquencyPerSector!$K$2:$K$5000, "="&amp;C129, DelinquencyPerSector!$J$2:$J$5000, "="&amp;B129, DelinquencyPerSector!$I$2:$I$5000,"="&amp;A129)</f>
        <v>0</v>
      </c>
      <c r="K129" s="282">
        <f t="shared" si="17"/>
        <v>0</v>
      </c>
      <c r="L129" s="283">
        <f>COUNTIFS(DelinquencyPerSector!$I:$I, "="&amp;A129, DelinquencyPerSector!$J:$J, "="&amp;B129,DelinquencyPerSector!$K:$K, "="&amp;C129,DelinquencyPerSector!$P:$P, "&gt;0")</f>
        <v>0</v>
      </c>
      <c r="M129" s="285">
        <f>SUMIFS(DelinquencyPerSector!$R$2:$R$5000,DelinquencyPerSector!$K$2:$K$5000, "="&amp;C129, DelinquencyPerSector!$J$2:$J$5000, "="&amp;B129,DelinquencyPerSector!$I$2:$I$5000,"="&amp;A129)</f>
        <v>0</v>
      </c>
      <c r="N129" s="282">
        <f t="shared" si="18"/>
        <v>0</v>
      </c>
      <c r="O129" s="283">
        <f>COUNTIFS(DelinquencyPerSector!$I:$I, "="&amp;A129, DelinquencyPerSector!$J:$J, "="&amp;B129,DelinquencyPerSector!$K:$K, "="&amp;C129,DelinquencyPerSector!$R:$R, "&gt;0")</f>
        <v>0</v>
      </c>
      <c r="P129" s="281">
        <v>7922507.3700000001</v>
      </c>
      <c r="Q129" s="282">
        <f t="shared" si="19"/>
        <v>4.7824029368375689E-4</v>
      </c>
      <c r="R129" s="287">
        <f>COUNTIFS(DelinquencyPerSector!$I:$I, "="&amp;A129, DelinquencyPerSector!$J:$J, "="&amp;B129,DelinquencyPerSector!$K:$K, "="&amp;C129)</f>
        <v>1</v>
      </c>
      <c r="S129" s="288">
        <f>Table_ExternalData_18[[#This Row],[Total Port%]]-Table_ExternalData_18[[#This Row],[PAR 30+%]]</f>
        <v>4.7824029368375689E-4</v>
      </c>
      <c r="T129" s="289">
        <f>Table_ExternalData_18[[#This Row],[Total Port%]]-Table_ExternalData_18[[#This Row],[PAR 90+%]]</f>
        <v>4.7824029368375689E-4</v>
      </c>
      <c r="U129" s="280"/>
      <c r="V129" s="280"/>
    </row>
    <row r="130" spans="1:22" ht="22.8" x14ac:dyDescent="0.4">
      <c r="A130" s="280" t="s">
        <v>27</v>
      </c>
      <c r="B130" s="280" t="s">
        <v>81</v>
      </c>
      <c r="C130" s="280" t="s">
        <v>4000</v>
      </c>
      <c r="D130" s="281">
        <f>SUMIFS(DelinquencyPerSector!$L$2:$L$5000,DelinquencyPerSector!$K$2:$K$5000, "="&amp;C130, DelinquencyPerSector!$J$2:$J$5000, "="&amp;B130,DelinquencyPerSector!$I$2:$I$5000,"="&amp;A130)</f>
        <v>54006263.900000006</v>
      </c>
      <c r="E130" s="282">
        <f t="shared" si="15"/>
        <v>7.3221698257963843E-3</v>
      </c>
      <c r="F130" s="283">
        <f>COUNTIFS(DelinquencyPerSector!$I:$I, "="&amp;A130, DelinquencyPerSector!$J:$J, "="&amp;B130,DelinquencyPerSector!$K:$K, "="&amp;C130,DelinquencyPerSector!$L:$L, "&gt;0")</f>
        <v>2</v>
      </c>
      <c r="G130" s="284">
        <f>SUMIFS(DelinquencyPerSector!$N$2:$N$5000, DelinquencyPerSector!$K$2:$K$5000, "="&amp;C130, DelinquencyPerSector!$J$2:$J$5000, "="&amp;B130, DelinquencyPerSector!$I$2:$I$5000,"="&amp;A130)</f>
        <v>0</v>
      </c>
      <c r="H130" s="282">
        <f t="shared" si="16"/>
        <v>0</v>
      </c>
      <c r="I130" s="283">
        <f>COUNTIFS(DelinquencyPerSector!$I:$I, "="&amp;A130, DelinquencyPerSector!$J:$J, "="&amp;B130,DelinquencyPerSector!$K:$K, "="&amp;C130,DelinquencyPerSector!$N:$N, "&gt;0")</f>
        <v>0</v>
      </c>
      <c r="J130" s="281">
        <f>SUMIFS(DelinquencyPerSector!$P$2:$P$5000, DelinquencyPerSector!$K$2:$K$5000, "="&amp;C130, DelinquencyPerSector!$J$2:$J$5000, "="&amp;B130, DelinquencyPerSector!$I$2:$I$5000,"="&amp;A130)</f>
        <v>0</v>
      </c>
      <c r="K130" s="282">
        <f t="shared" si="17"/>
        <v>0</v>
      </c>
      <c r="L130" s="283">
        <f>COUNTIFS(DelinquencyPerSector!$I:$I, "="&amp;A130, DelinquencyPerSector!$J:$J, "="&amp;B130,DelinquencyPerSector!$K:$K, "="&amp;C130,DelinquencyPerSector!$P:$P, "&gt;0")</f>
        <v>0</v>
      </c>
      <c r="M130" s="285">
        <f>SUMIFS(DelinquencyPerSector!$R$2:$R$5000,DelinquencyPerSector!$K$2:$K$5000, "="&amp;C130, DelinquencyPerSector!$J$2:$J$5000, "="&amp;B130,DelinquencyPerSector!$I$2:$I$5000,"="&amp;A130)</f>
        <v>0</v>
      </c>
      <c r="N130" s="282">
        <f t="shared" si="18"/>
        <v>0</v>
      </c>
      <c r="O130" s="283">
        <f>COUNTIFS(DelinquencyPerSector!$I:$I, "="&amp;A130, DelinquencyPerSector!$J:$J, "="&amp;B130,DelinquencyPerSector!$K:$K, "="&amp;C130,DelinquencyPerSector!$R:$R, "&gt;0")</f>
        <v>0</v>
      </c>
      <c r="P130" s="281">
        <v>54006263.899999999</v>
      </c>
      <c r="Q130" s="282">
        <f t="shared" si="19"/>
        <v>3.2600754157832328E-3</v>
      </c>
      <c r="R130" s="287">
        <f>COUNTIFS(DelinquencyPerSector!$I:$I, "="&amp;A130, DelinquencyPerSector!$J:$J, "="&amp;B130,DelinquencyPerSector!$K:$K, "="&amp;C130)</f>
        <v>2</v>
      </c>
      <c r="S130" s="288">
        <f>Table_ExternalData_18[[#This Row],[Total Port%]]-Table_ExternalData_18[[#This Row],[PAR 30+%]]</f>
        <v>3.2600754157832328E-3</v>
      </c>
      <c r="T130" s="289">
        <f>Table_ExternalData_18[[#This Row],[Total Port%]]-Table_ExternalData_18[[#This Row],[PAR 90+%]]</f>
        <v>3.2600754157832328E-3</v>
      </c>
      <c r="U130" s="280"/>
      <c r="V130" s="280"/>
    </row>
    <row r="131" spans="1:22" ht="22.8" x14ac:dyDescent="0.4">
      <c r="A131" s="280" t="s">
        <v>27</v>
      </c>
      <c r="B131" s="280" t="s">
        <v>81</v>
      </c>
      <c r="C131" s="280" t="s">
        <v>1831</v>
      </c>
      <c r="D131" s="281">
        <f>SUMIFS(DelinquencyPerSector!$L$2:$L$5000,DelinquencyPerSector!$K$2:$K$5000, "="&amp;C131, DelinquencyPerSector!$J$2:$J$5000, "="&amp;B131,DelinquencyPerSector!$I$2:$I$5000,"="&amp;A131)</f>
        <v>0</v>
      </c>
      <c r="E131" s="282">
        <f t="shared" si="15"/>
        <v>0</v>
      </c>
      <c r="F131" s="283">
        <f>COUNTIFS(DelinquencyPerSector!$I:$I, "="&amp;A131, DelinquencyPerSector!$J:$J, "="&amp;B131,DelinquencyPerSector!$K:$K, "="&amp;C131,DelinquencyPerSector!$L:$L, "&gt;0")</f>
        <v>0</v>
      </c>
      <c r="G131" s="284">
        <f>SUMIFS(DelinquencyPerSector!$N$2:$N$5000, DelinquencyPerSector!$K$2:$K$5000, "="&amp;C131, DelinquencyPerSector!$J$2:$J$5000, "="&amp;B131, DelinquencyPerSector!$I$2:$I$5000,"="&amp;A131)</f>
        <v>0</v>
      </c>
      <c r="H131" s="282">
        <f t="shared" si="16"/>
        <v>0</v>
      </c>
      <c r="I131" s="283">
        <f>COUNTIFS(DelinquencyPerSector!$I:$I, "="&amp;A131, DelinquencyPerSector!$J:$J, "="&amp;B131,DelinquencyPerSector!$K:$K, "="&amp;C131,DelinquencyPerSector!$N:$N, "&gt;0")</f>
        <v>0</v>
      </c>
      <c r="J131" s="281">
        <f>SUMIFS(DelinquencyPerSector!$P$2:$P$5000, DelinquencyPerSector!$K$2:$K$5000, "="&amp;C131, DelinquencyPerSector!$J$2:$J$5000, "="&amp;B131, DelinquencyPerSector!$I$2:$I$5000,"="&amp;A131)</f>
        <v>0</v>
      </c>
      <c r="K131" s="282">
        <f t="shared" si="17"/>
        <v>0</v>
      </c>
      <c r="L131" s="283">
        <f>COUNTIFS(DelinquencyPerSector!$I:$I, "="&amp;A131, DelinquencyPerSector!$J:$J, "="&amp;B131,DelinquencyPerSector!$K:$K, "="&amp;C131,DelinquencyPerSector!$P:$P, "&gt;0")</f>
        <v>0</v>
      </c>
      <c r="M131" s="285">
        <f>SUMIFS(DelinquencyPerSector!$R$2:$R$5000,DelinquencyPerSector!$K$2:$K$5000, "="&amp;C131, DelinquencyPerSector!$J$2:$J$5000, "="&amp;B131,DelinquencyPerSector!$I$2:$I$5000,"="&amp;A131)</f>
        <v>0</v>
      </c>
      <c r="N131" s="282">
        <f t="shared" si="18"/>
        <v>0</v>
      </c>
      <c r="O131" s="283">
        <f>COUNTIFS(DelinquencyPerSector!$I:$I, "="&amp;A131, DelinquencyPerSector!$J:$J, "="&amp;B131,DelinquencyPerSector!$K:$K, "="&amp;C131,DelinquencyPerSector!$R:$R, "&gt;0")</f>
        <v>0</v>
      </c>
      <c r="P131" s="281">
        <v>21144475.760000002</v>
      </c>
      <c r="Q131" s="282">
        <f t="shared" si="19"/>
        <v>1.2763813051841289E-3</v>
      </c>
      <c r="R131" s="287">
        <f>COUNTIFS(DelinquencyPerSector!$I:$I, "="&amp;A131, DelinquencyPerSector!$J:$J, "="&amp;B131,DelinquencyPerSector!$K:$K, "="&amp;C131)</f>
        <v>1</v>
      </c>
      <c r="S131" s="288">
        <f>Table_ExternalData_18[[#This Row],[Total Port%]]-Table_ExternalData_18[[#This Row],[PAR 30+%]]</f>
        <v>1.2763813051841289E-3</v>
      </c>
      <c r="T131" s="289">
        <f>Table_ExternalData_18[[#This Row],[Total Port%]]-Table_ExternalData_18[[#This Row],[PAR 90+%]]</f>
        <v>1.2763813051841289E-3</v>
      </c>
      <c r="U131" s="280"/>
      <c r="V131" s="280"/>
    </row>
    <row r="132" spans="1:22" ht="22.8" x14ac:dyDescent="0.4">
      <c r="A132" s="700" t="s">
        <v>27</v>
      </c>
      <c r="B132" s="700" t="s">
        <v>81</v>
      </c>
      <c r="C132" s="700" t="s">
        <v>5634</v>
      </c>
      <c r="D132" s="701">
        <f>SUMIFS(DelinquencyPerSector!$L$2:$L$5000,DelinquencyPerSector!$K$2:$K$5000, "="&amp;C132, DelinquencyPerSector!$J$2:$J$5000, "="&amp;B132,DelinquencyPerSector!$I$2:$I$5000,"="&amp;A132)</f>
        <v>0</v>
      </c>
      <c r="E132" s="702">
        <f t="shared" si="15"/>
        <v>0</v>
      </c>
      <c r="F132" s="703">
        <f>COUNTIFS(DelinquencyPerSector!$I:$I, "="&amp;A132, DelinquencyPerSector!$J:$J, "="&amp;B132,DelinquencyPerSector!$K:$K, "="&amp;C132,DelinquencyPerSector!$L:$L, "&gt;0")</f>
        <v>0</v>
      </c>
      <c r="G132" s="704">
        <f>SUMIFS(DelinquencyPerSector!$N$2:$N$5000, DelinquencyPerSector!$K$2:$K$5000, "="&amp;C132, DelinquencyPerSector!$J$2:$J$5000, "="&amp;B132, DelinquencyPerSector!$I$2:$I$5000,"="&amp;A132)</f>
        <v>0</v>
      </c>
      <c r="H132" s="702">
        <f t="shared" si="16"/>
        <v>0</v>
      </c>
      <c r="I132" s="703">
        <f>COUNTIFS(DelinquencyPerSector!$I:$I, "="&amp;A132, DelinquencyPerSector!$J:$J, "="&amp;B132,DelinquencyPerSector!$K:$K, "="&amp;C132,DelinquencyPerSector!$N:$N, "&gt;0")</f>
        <v>0</v>
      </c>
      <c r="J132" s="701">
        <f>SUMIFS(DelinquencyPerSector!$P$2:$P$5000, DelinquencyPerSector!$K$2:$K$5000, "="&amp;C132, DelinquencyPerSector!$J$2:$J$5000, "="&amp;B132, DelinquencyPerSector!$I$2:$I$5000,"="&amp;A132)</f>
        <v>0</v>
      </c>
      <c r="K132" s="702">
        <f t="shared" si="17"/>
        <v>0</v>
      </c>
      <c r="L132" s="703">
        <f>COUNTIFS(DelinquencyPerSector!$I:$I, "="&amp;A132, DelinquencyPerSector!$J:$J, "="&amp;B132,DelinquencyPerSector!$K:$K, "="&amp;C132,DelinquencyPerSector!$P:$P, "&gt;0")</f>
        <v>0</v>
      </c>
      <c r="M132" s="705">
        <f>SUMIFS(DelinquencyPerSector!$R$2:$R$5000,DelinquencyPerSector!$K$2:$K$5000, "="&amp;C132, DelinquencyPerSector!$J$2:$J$5000, "="&amp;B132,DelinquencyPerSector!$I$2:$I$5000,"="&amp;A132)</f>
        <v>0</v>
      </c>
      <c r="N132" s="702">
        <f t="shared" si="18"/>
        <v>0</v>
      </c>
      <c r="O132" s="703">
        <f>COUNTIFS(DelinquencyPerSector!$I:$I, "="&amp;A132, DelinquencyPerSector!$J:$J, "="&amp;B132,DelinquencyPerSector!$K:$K, "="&amp;C132,DelinquencyPerSector!$R:$R, "&gt;0")</f>
        <v>0</v>
      </c>
      <c r="P132" s="701">
        <v>4612884.82</v>
      </c>
      <c r="Q132" s="706">
        <f t="shared" si="19"/>
        <v>2.7845570701515729E-4</v>
      </c>
      <c r="R132" s="703">
        <f>COUNTIFS(DelinquencyPerSector!$I:$I, "="&amp;A132, DelinquencyPerSector!$J:$J, "="&amp;B132,DelinquencyPerSector!$K:$K, "="&amp;C132)</f>
        <v>1</v>
      </c>
      <c r="S132" s="707">
        <f>Table_ExternalData_18[[#This Row],[Total Port%]]-Table_ExternalData_18[[#This Row],[PAR 30+%]]</f>
        <v>2.7845570701515729E-4</v>
      </c>
      <c r="T132" s="708">
        <f>Table_ExternalData_18[[#This Row],[Total Port%]]-Table_ExternalData_18[[#This Row],[PAR 90+%]]</f>
        <v>2.7845570701515729E-4</v>
      </c>
      <c r="U132" s="280"/>
      <c r="V132" s="280"/>
    </row>
    <row r="133" spans="1:22" ht="22.8" x14ac:dyDescent="0.4">
      <c r="A133" s="700" t="s">
        <v>27</v>
      </c>
      <c r="B133" s="700" t="s">
        <v>81</v>
      </c>
      <c r="C133" s="700" t="s">
        <v>5371</v>
      </c>
      <c r="D133" s="701">
        <f>SUMIFS(DelinquencyPerSector!$L$2:$L$5000,DelinquencyPerSector!$K$2:$K$5000, "="&amp;C133, DelinquencyPerSector!$J$2:$J$5000, "="&amp;B133,DelinquencyPerSector!$I$2:$I$5000,"="&amp;A133)</f>
        <v>4599698.87</v>
      </c>
      <c r="E133" s="702">
        <f t="shared" si="15"/>
        <v>6.2362722102062918E-4</v>
      </c>
      <c r="F133" s="703">
        <f>COUNTIFS(DelinquencyPerSector!$I:$I, "="&amp;A133, DelinquencyPerSector!$J:$J, "="&amp;B133,DelinquencyPerSector!$K:$K, "="&amp;C133,DelinquencyPerSector!$L:$L, "&gt;0")</f>
        <v>1</v>
      </c>
      <c r="G133" s="704">
        <f>SUMIFS(DelinquencyPerSector!$N$2:$N$5000, DelinquencyPerSector!$K$2:$K$5000, "="&amp;C133, DelinquencyPerSector!$J$2:$J$5000, "="&amp;B133, DelinquencyPerSector!$I$2:$I$5000,"="&amp;A133)</f>
        <v>0</v>
      </c>
      <c r="H133" s="702">
        <f t="shared" si="16"/>
        <v>0</v>
      </c>
      <c r="I133" s="703">
        <f>COUNTIFS(DelinquencyPerSector!$I:$I, "="&amp;A133, DelinquencyPerSector!$J:$J, "="&amp;B133,DelinquencyPerSector!$K:$K, "="&amp;C133,DelinquencyPerSector!$N:$N, "&gt;0")</f>
        <v>0</v>
      </c>
      <c r="J133" s="701">
        <f>SUMIFS(DelinquencyPerSector!$P$2:$P$5000, DelinquencyPerSector!$K$2:$K$5000, "="&amp;C133, DelinquencyPerSector!$J$2:$J$5000, "="&amp;B133, DelinquencyPerSector!$I$2:$I$5000,"="&amp;A133)</f>
        <v>0</v>
      </c>
      <c r="K133" s="702">
        <f t="shared" si="17"/>
        <v>0</v>
      </c>
      <c r="L133" s="703">
        <f>COUNTIFS(DelinquencyPerSector!$I:$I, "="&amp;A133, DelinquencyPerSector!$J:$J, "="&amp;B133,DelinquencyPerSector!$K:$K, "="&amp;C133,DelinquencyPerSector!$P:$P, "&gt;0")</f>
        <v>0</v>
      </c>
      <c r="M133" s="705">
        <f>SUMIFS(DelinquencyPerSector!$R$2:$R$5000,DelinquencyPerSector!$K$2:$K$5000, "="&amp;C133, DelinquencyPerSector!$J$2:$J$5000, "="&amp;B133,DelinquencyPerSector!$I$2:$I$5000,"="&amp;A133)</f>
        <v>0</v>
      </c>
      <c r="N133" s="702">
        <f t="shared" si="18"/>
        <v>0</v>
      </c>
      <c r="O133" s="703">
        <f>COUNTIFS(DelinquencyPerSector!$I:$I, "="&amp;A133, DelinquencyPerSector!$J:$J, "="&amp;B133,DelinquencyPerSector!$K:$K, "="&amp;C133,DelinquencyPerSector!$R:$R, "&gt;0")</f>
        <v>0</v>
      </c>
      <c r="P133" s="701">
        <v>4599698.87</v>
      </c>
      <c r="Q133" s="706">
        <f t="shared" si="19"/>
        <v>2.7765974024529619E-4</v>
      </c>
      <c r="R133" s="703">
        <f>COUNTIFS(DelinquencyPerSector!$I:$I, "="&amp;A133, DelinquencyPerSector!$J:$J, "="&amp;B133,DelinquencyPerSector!$K:$K, "="&amp;C133)</f>
        <v>1</v>
      </c>
      <c r="S133" s="707">
        <f>Table_ExternalData_18[[#This Row],[Total Port%]]-Table_ExternalData_18[[#This Row],[PAR 30+%]]</f>
        <v>2.7765974024529619E-4</v>
      </c>
      <c r="T133" s="708">
        <f>Table_ExternalData_18[[#This Row],[Total Port%]]-Table_ExternalData_18[[#This Row],[PAR 90+%]]</f>
        <v>2.7765974024529619E-4</v>
      </c>
      <c r="U133" s="280"/>
      <c r="V133" s="280"/>
    </row>
    <row r="134" spans="1:22" ht="22.8" x14ac:dyDescent="0.4">
      <c r="A134" s="778" t="s">
        <v>27</v>
      </c>
      <c r="B134" s="778" t="s">
        <v>116</v>
      </c>
      <c r="C134" s="778" t="s">
        <v>1739</v>
      </c>
      <c r="D134" s="779">
        <f>SUMIFS(DelinquencyPerSector!$L$2:$L$5000,DelinquencyPerSector!$K$2:$K$5000, "="&amp;C134, DelinquencyPerSector!$J$2:$J$5000, "="&amp;B134,DelinquencyPerSector!$I$2:$I$5000,"="&amp;A134)</f>
        <v>29936502.710000001</v>
      </c>
      <c r="E134" s="780">
        <f t="shared" ref="E134:E136" si="20">D134/$D$3</f>
        <v>4.058791351294228E-3</v>
      </c>
      <c r="F134" s="781">
        <f>COUNTIFS(DelinquencyPerSector!$I:$I, "="&amp;A134, DelinquencyPerSector!$J:$J, "="&amp;B134,DelinquencyPerSector!$K:$K, "="&amp;C134,DelinquencyPerSector!$L:$L, "&gt;0")</f>
        <v>1</v>
      </c>
      <c r="G134" s="782">
        <f>SUMIFS(DelinquencyPerSector!$N$2:$N$5000, DelinquencyPerSector!$K$2:$K$5000, "="&amp;C134, DelinquencyPerSector!$J$2:$J$5000, "="&amp;B134, DelinquencyPerSector!$I$2:$I$5000,"="&amp;A134)</f>
        <v>0</v>
      </c>
      <c r="H134" s="780">
        <f t="shared" ref="H134:H136" si="21">G134/$G$3</f>
        <v>0</v>
      </c>
      <c r="I134" s="781">
        <f>COUNTIFS(DelinquencyPerSector!$I:$I, "="&amp;A134, DelinquencyPerSector!$J:$J, "="&amp;B134,DelinquencyPerSector!$K:$K, "="&amp;C134,DelinquencyPerSector!$N:$N, "&gt;0")</f>
        <v>0</v>
      </c>
      <c r="J134" s="779">
        <f>SUMIFS(DelinquencyPerSector!$P$2:$P$5000, DelinquencyPerSector!$K$2:$K$5000, "="&amp;C134, DelinquencyPerSector!$J$2:$J$5000, "="&amp;B134, DelinquencyPerSector!$I$2:$I$5000,"="&amp;A134)</f>
        <v>0</v>
      </c>
      <c r="K134" s="780">
        <f t="shared" ref="K134:K136" si="22">J134/$J$3</f>
        <v>0</v>
      </c>
      <c r="L134" s="781">
        <f>COUNTIFS(DelinquencyPerSector!$I:$I, "="&amp;A134, DelinquencyPerSector!$J:$J, "="&amp;B134,DelinquencyPerSector!$K:$K, "="&amp;C134,DelinquencyPerSector!$P:$P, "&gt;0")</f>
        <v>0</v>
      </c>
      <c r="M134" s="783">
        <f>SUMIFS(DelinquencyPerSector!$R$2:$R$5000,DelinquencyPerSector!$K$2:$K$5000, "="&amp;C134, DelinquencyPerSector!$J$2:$J$5000, "="&amp;B134,DelinquencyPerSector!$I$2:$I$5000,"="&amp;A134)</f>
        <v>0</v>
      </c>
      <c r="N134" s="780">
        <f t="shared" ref="N134:N136" si="23">M134/$M$3</f>
        <v>0</v>
      </c>
      <c r="O134" s="781">
        <f>COUNTIFS(DelinquencyPerSector!$I:$I, "="&amp;A134, DelinquencyPerSector!$J:$J, "="&amp;B134,DelinquencyPerSector!$K:$K, "="&amp;C134,DelinquencyPerSector!$R:$R, "&gt;0")</f>
        <v>0</v>
      </c>
      <c r="P134" s="779">
        <v>29936502.710000001</v>
      </c>
      <c r="Q134" s="784">
        <f t="shared" ref="Q134:Q136" si="24">P134/$P$3</f>
        <v>1.8071099437670811E-3</v>
      </c>
      <c r="R134" s="781">
        <f>COUNTIFS(DelinquencyPerSector!$I:$I, "="&amp;A134, DelinquencyPerSector!$J:$J, "="&amp;B134,DelinquencyPerSector!$K:$K, "="&amp;C134)</f>
        <v>1</v>
      </c>
      <c r="S134" s="785">
        <f>Table_ExternalData_18[[#This Row],[Total Port%]]-Table_ExternalData_18[[#This Row],[PAR 30+%]]</f>
        <v>1.8071099437670811E-3</v>
      </c>
      <c r="T134" s="786">
        <f>Table_ExternalData_18[[#This Row],[Total Port%]]-Table_ExternalData_18[[#This Row],[PAR 90+%]]</f>
        <v>1.8071099437670811E-3</v>
      </c>
      <c r="U134" s="280"/>
      <c r="V134" s="280"/>
    </row>
    <row r="135" spans="1:22" ht="22.8" x14ac:dyDescent="0.4">
      <c r="A135" s="792" t="s">
        <v>27</v>
      </c>
      <c r="B135" s="792" t="s">
        <v>116</v>
      </c>
      <c r="C135" s="792" t="s">
        <v>1830</v>
      </c>
      <c r="D135" s="793">
        <f>SUMIFS(DelinquencyPerSector!$L$2:$L$5000,DelinquencyPerSector!$K$2:$K$5000, "="&amp;C135, DelinquencyPerSector!$J$2:$J$5000, "="&amp;B135,DelinquencyPerSector!$I$2:$I$5000,"="&amp;A135)</f>
        <v>15389135.51</v>
      </c>
      <c r="E135" s="794">
        <f t="shared" si="20"/>
        <v>2.0864591537948182E-3</v>
      </c>
      <c r="F135" s="795">
        <f>COUNTIFS(DelinquencyPerSector!$I:$I, "="&amp;A135, DelinquencyPerSector!$J:$J, "="&amp;B135,DelinquencyPerSector!$K:$K, "="&amp;C135,DelinquencyPerSector!$L:$L, "&gt;0")</f>
        <v>1</v>
      </c>
      <c r="G135" s="796">
        <f>SUMIFS(DelinquencyPerSector!$N$2:$N$5000, DelinquencyPerSector!$K$2:$K$5000, "="&amp;C135, DelinquencyPerSector!$J$2:$J$5000, "="&amp;B135, DelinquencyPerSector!$I$2:$I$5000,"="&amp;A135)</f>
        <v>0</v>
      </c>
      <c r="H135" s="794">
        <f t="shared" si="21"/>
        <v>0</v>
      </c>
      <c r="I135" s="795">
        <f>COUNTIFS(DelinquencyPerSector!$I:$I, "="&amp;A135, DelinquencyPerSector!$J:$J, "="&amp;B135,DelinquencyPerSector!$K:$K, "="&amp;C135,DelinquencyPerSector!$N:$N, "&gt;0")</f>
        <v>0</v>
      </c>
      <c r="J135" s="793">
        <f>SUMIFS(DelinquencyPerSector!$P$2:$P$5000, DelinquencyPerSector!$K$2:$K$5000, "="&amp;C135, DelinquencyPerSector!$J$2:$J$5000, "="&amp;B135, DelinquencyPerSector!$I$2:$I$5000,"="&amp;A135)</f>
        <v>0</v>
      </c>
      <c r="K135" s="794">
        <f t="shared" si="22"/>
        <v>0</v>
      </c>
      <c r="L135" s="795">
        <f>COUNTIFS(DelinquencyPerSector!$I:$I, "="&amp;A135, DelinquencyPerSector!$J:$J, "="&amp;B135,DelinquencyPerSector!$K:$K, "="&amp;C135,DelinquencyPerSector!$P:$P, "&gt;0")</f>
        <v>0</v>
      </c>
      <c r="M135" s="797">
        <f>SUMIFS(DelinquencyPerSector!$R$2:$R$5000,DelinquencyPerSector!$K$2:$K$5000, "="&amp;C135, DelinquencyPerSector!$J$2:$J$5000, "="&amp;B135,DelinquencyPerSector!$I$2:$I$5000,"="&amp;A135)</f>
        <v>0</v>
      </c>
      <c r="N135" s="794">
        <f t="shared" si="23"/>
        <v>0</v>
      </c>
      <c r="O135" s="795">
        <f>COUNTIFS(DelinquencyPerSector!$I:$I, "="&amp;A135, DelinquencyPerSector!$J:$J, "="&amp;B135,DelinquencyPerSector!$K:$K, "="&amp;C135,DelinquencyPerSector!$R:$R, "&gt;0")</f>
        <v>0</v>
      </c>
      <c r="P135" s="793">
        <v>66176538.229999997</v>
      </c>
      <c r="Q135" s="798">
        <f t="shared" si="24"/>
        <v>3.994731162754294E-3</v>
      </c>
      <c r="R135" s="795">
        <f>COUNTIFS(DelinquencyPerSector!$I:$I, "="&amp;A135, DelinquencyPerSector!$J:$J, "="&amp;B135,DelinquencyPerSector!$K:$K, "="&amp;C135)</f>
        <v>3</v>
      </c>
      <c r="S135" s="799">
        <f>Table_ExternalData_18[[#This Row],[Total Port%]]-Table_ExternalData_18[[#This Row],[PAR 30+%]]</f>
        <v>3.994731162754294E-3</v>
      </c>
      <c r="T135" s="800">
        <f>Table_ExternalData_18[[#This Row],[Total Port%]]-Table_ExternalData_18[[#This Row],[PAR 90+%]]</f>
        <v>3.994731162754294E-3</v>
      </c>
      <c r="U135" s="280"/>
      <c r="V135" s="280"/>
    </row>
    <row r="136" spans="1:22" ht="22.8" x14ac:dyDescent="0.4">
      <c r="A136" s="814" t="s">
        <v>27</v>
      </c>
      <c r="B136" s="814" t="s">
        <v>116</v>
      </c>
      <c r="C136" s="814" t="s">
        <v>1825</v>
      </c>
      <c r="D136" s="815">
        <f>SUMIFS(DelinquencyPerSector!$L$2:$L$5000,DelinquencyPerSector!$K$2:$K$5000, "="&amp;C136, DelinquencyPerSector!$J$2:$J$5000, "="&amp;B136,DelinquencyPerSector!$I$2:$I$5000,"="&amp;A136)</f>
        <v>0</v>
      </c>
      <c r="E136" s="816">
        <f t="shared" si="20"/>
        <v>0</v>
      </c>
      <c r="F136" s="817">
        <f>COUNTIFS(DelinquencyPerSector!$I:$I, "="&amp;A136, DelinquencyPerSector!$J:$J, "="&amp;B136,DelinquencyPerSector!$K:$K, "="&amp;C136,DelinquencyPerSector!$L:$L, "&gt;0")</f>
        <v>0</v>
      </c>
      <c r="G136" s="818">
        <f>SUMIFS(DelinquencyPerSector!$N$2:$N$5000, DelinquencyPerSector!$K$2:$K$5000, "="&amp;C136, DelinquencyPerSector!$J$2:$J$5000, "="&amp;B136, DelinquencyPerSector!$I$2:$I$5000,"="&amp;A136)</f>
        <v>0</v>
      </c>
      <c r="H136" s="816">
        <f t="shared" si="21"/>
        <v>0</v>
      </c>
      <c r="I136" s="817">
        <f>COUNTIFS(DelinquencyPerSector!$I:$I, "="&amp;A136, DelinquencyPerSector!$J:$J, "="&amp;B136,DelinquencyPerSector!$K:$K, "="&amp;C136,DelinquencyPerSector!$N:$N, "&gt;0")</f>
        <v>0</v>
      </c>
      <c r="J136" s="815">
        <f>SUMIFS(DelinquencyPerSector!$P$2:$P$5000, DelinquencyPerSector!$K$2:$K$5000, "="&amp;C136, DelinquencyPerSector!$J$2:$J$5000, "="&amp;B136, DelinquencyPerSector!$I$2:$I$5000,"="&amp;A136)</f>
        <v>0</v>
      </c>
      <c r="K136" s="816">
        <f t="shared" si="22"/>
        <v>0</v>
      </c>
      <c r="L136" s="817">
        <f>COUNTIFS(DelinquencyPerSector!$I:$I, "="&amp;A136, DelinquencyPerSector!$J:$J, "="&amp;B136,DelinquencyPerSector!$K:$K, "="&amp;C136,DelinquencyPerSector!$P:$P, "&gt;0")</f>
        <v>0</v>
      </c>
      <c r="M136" s="819">
        <f>SUMIFS(DelinquencyPerSector!$R$2:$R$5000,DelinquencyPerSector!$K$2:$K$5000, "="&amp;C136, DelinquencyPerSector!$J$2:$J$5000, "="&amp;B136,DelinquencyPerSector!$I$2:$I$5000,"="&amp;A136)</f>
        <v>0</v>
      </c>
      <c r="N136" s="816">
        <f t="shared" si="23"/>
        <v>0</v>
      </c>
      <c r="O136" s="817">
        <f>COUNTIFS(DelinquencyPerSector!$I:$I, "="&amp;A136, DelinquencyPerSector!$J:$J, "="&amp;B136,DelinquencyPerSector!$K:$K, "="&amp;C136,DelinquencyPerSector!$R:$R, "&gt;0")</f>
        <v>0</v>
      </c>
      <c r="P136" s="815">
        <v>87244562.079999998</v>
      </c>
      <c r="Q136" s="820">
        <f t="shared" si="24"/>
        <v>5.266497466375971E-3</v>
      </c>
      <c r="R136" s="817">
        <f>COUNTIFS(DelinquencyPerSector!$I:$I, "="&amp;A136, DelinquencyPerSector!$J:$J, "="&amp;B136,DelinquencyPerSector!$K:$K, "="&amp;C136)</f>
        <v>4</v>
      </c>
      <c r="S136" s="821">
        <f>Table_ExternalData_18[[#This Row],[Total Port%]]-Table_ExternalData_18[[#This Row],[PAR 30+%]]</f>
        <v>5.266497466375971E-3</v>
      </c>
      <c r="T136" s="822">
        <f>Table_ExternalData_18[[#This Row],[Total Port%]]-Table_ExternalData_18[[#This Row],[PAR 90+%]]</f>
        <v>5.266497466375971E-3</v>
      </c>
      <c r="U136" s="280"/>
      <c r="V136" s="280"/>
    </row>
    <row r="137" spans="1:22" ht="20.399999999999999" x14ac:dyDescent="0.35">
      <c r="A137" s="280"/>
      <c r="B137" s="280"/>
      <c r="C137" s="280"/>
      <c r="D137" s="285"/>
      <c r="E137" s="291"/>
      <c r="F137" s="292"/>
      <c r="G137" s="293"/>
      <c r="H137" s="291"/>
      <c r="I137" s="292"/>
      <c r="J137" s="285"/>
      <c r="K137" s="291"/>
      <c r="L137" s="292"/>
      <c r="M137" s="285"/>
      <c r="N137" s="291"/>
      <c r="O137" s="292"/>
      <c r="P137" s="285"/>
      <c r="Q137" s="291"/>
      <c r="R137" s="292"/>
      <c r="S137" s="294"/>
      <c r="T137" s="295"/>
      <c r="U137" s="280"/>
      <c r="V137" s="280"/>
    </row>
    <row r="138" spans="1:22" ht="20.399999999999999" x14ac:dyDescent="0.35">
      <c r="A138" s="280"/>
      <c r="B138" s="280"/>
      <c r="C138" s="280"/>
      <c r="D138" s="285"/>
      <c r="E138" s="291"/>
      <c r="F138" s="292"/>
      <c r="G138" s="293"/>
      <c r="H138" s="291"/>
      <c r="I138" s="292"/>
      <c r="J138" s="285"/>
      <c r="K138" s="291"/>
      <c r="L138" s="292"/>
      <c r="M138" s="285"/>
      <c r="N138" s="291"/>
      <c r="O138" s="292"/>
      <c r="P138" s="285"/>
      <c r="Q138" s="291"/>
      <c r="R138" s="292"/>
      <c r="S138" s="294"/>
      <c r="T138" s="295"/>
      <c r="U138" s="280"/>
      <c r="V138" s="280"/>
    </row>
    <row r="139" spans="1:22" ht="20.399999999999999" x14ac:dyDescent="0.35">
      <c r="A139" s="280"/>
      <c r="B139" s="280"/>
      <c r="C139" s="280"/>
      <c r="D139" s="285"/>
      <c r="E139" s="291"/>
      <c r="F139" s="292"/>
      <c r="G139" s="293"/>
      <c r="H139" s="291"/>
      <c r="I139" s="292"/>
      <c r="J139" s="285"/>
      <c r="K139" s="291"/>
      <c r="L139" s="292"/>
      <c r="M139" s="285"/>
      <c r="N139" s="291"/>
      <c r="O139" s="292"/>
      <c r="P139" s="285"/>
      <c r="Q139" s="291"/>
      <c r="R139" s="292"/>
      <c r="S139" s="294"/>
      <c r="T139" s="291"/>
      <c r="U139" s="280"/>
      <c r="V139" s="280"/>
    </row>
    <row r="140" spans="1:22" ht="20.399999999999999" x14ac:dyDescent="0.35">
      <c r="U140" s="280"/>
      <c r="V140" s="280"/>
    </row>
    <row r="141" spans="1:22" ht="20.399999999999999" x14ac:dyDescent="0.35">
      <c r="U141" s="280"/>
      <c r="V141" s="280"/>
    </row>
    <row r="142" spans="1:22" ht="20.399999999999999" x14ac:dyDescent="0.35">
      <c r="U142" s="280"/>
      <c r="V142" s="280"/>
    </row>
    <row r="143" spans="1:22" ht="20.399999999999999" x14ac:dyDescent="0.35">
      <c r="U143" s="280"/>
      <c r="V143" s="280"/>
    </row>
    <row r="144" spans="1:22" ht="20.399999999999999" x14ac:dyDescent="0.35">
      <c r="U144" s="280"/>
      <c r="V144" s="280"/>
    </row>
    <row r="145" spans="21:22" ht="20.399999999999999" x14ac:dyDescent="0.35">
      <c r="U145" s="280"/>
      <c r="V145" s="280"/>
    </row>
    <row r="146" spans="21:22" ht="20.399999999999999" x14ac:dyDescent="0.35">
      <c r="U146" s="280"/>
      <c r="V146" s="280"/>
    </row>
    <row r="147" spans="21:22" ht="20.399999999999999" x14ac:dyDescent="0.35">
      <c r="U147" s="280"/>
      <c r="V147" s="280"/>
    </row>
    <row r="148" spans="21:22" ht="20.399999999999999" x14ac:dyDescent="0.35">
      <c r="U148" s="280"/>
      <c r="V148" s="280"/>
    </row>
    <row r="149" spans="21:22" ht="20.399999999999999" x14ac:dyDescent="0.35">
      <c r="U149" s="280"/>
      <c r="V149" s="280"/>
    </row>
    <row r="150" spans="21:22" ht="20.399999999999999" x14ac:dyDescent="0.35">
      <c r="U150" s="280"/>
      <c r="V150" s="280"/>
    </row>
    <row r="151" spans="21:22" ht="20.399999999999999" x14ac:dyDescent="0.35">
      <c r="U151" s="280"/>
      <c r="V151" s="280"/>
    </row>
    <row r="152" spans="21:22" ht="20.399999999999999" x14ac:dyDescent="0.35">
      <c r="U152" s="280"/>
      <c r="V152" s="280"/>
    </row>
    <row r="153" spans="21:22" ht="20.399999999999999" x14ac:dyDescent="0.35">
      <c r="U153" s="280"/>
      <c r="V153" s="280"/>
    </row>
    <row r="154" spans="21:22" ht="20.399999999999999" x14ac:dyDescent="0.35">
      <c r="U154" s="280"/>
      <c r="V154" s="280"/>
    </row>
    <row r="155" spans="21:22" ht="20.399999999999999" x14ac:dyDescent="0.35">
      <c r="U155" s="280"/>
      <c r="V155" s="280"/>
    </row>
    <row r="156" spans="21:22" ht="20.399999999999999" x14ac:dyDescent="0.35">
      <c r="U156" s="280"/>
      <c r="V156" s="280"/>
    </row>
    <row r="157" spans="21:22" ht="20.399999999999999" x14ac:dyDescent="0.35">
      <c r="U157" s="280"/>
      <c r="V157" s="280"/>
    </row>
    <row r="158" spans="21:22" ht="20.399999999999999" x14ac:dyDescent="0.35">
      <c r="U158" s="280"/>
      <c r="V158" s="280"/>
    </row>
    <row r="159" spans="21:22" ht="20.399999999999999" x14ac:dyDescent="0.35">
      <c r="U159" s="280"/>
      <c r="V159" s="280"/>
    </row>
    <row r="160" spans="21:22" ht="20.399999999999999" x14ac:dyDescent="0.35">
      <c r="U160" s="280"/>
      <c r="V160" s="280"/>
    </row>
    <row r="161" spans="21:22" ht="20.399999999999999" x14ac:dyDescent="0.35">
      <c r="U161" s="280"/>
      <c r="V161" s="280"/>
    </row>
    <row r="162" spans="21:22" ht="20.399999999999999" x14ac:dyDescent="0.35">
      <c r="U162" s="280"/>
      <c r="V162" s="280"/>
    </row>
    <row r="163" spans="21:22" ht="20.399999999999999" x14ac:dyDescent="0.35">
      <c r="U163" s="280"/>
      <c r="V163" s="280"/>
    </row>
    <row r="164" spans="21:22" ht="20.399999999999999" x14ac:dyDescent="0.35">
      <c r="U164" s="280"/>
      <c r="V164" s="280"/>
    </row>
    <row r="165" spans="21:22" ht="20.399999999999999" x14ac:dyDescent="0.35">
      <c r="U165" s="280"/>
      <c r="V165" s="280"/>
    </row>
    <row r="166" spans="21:22" ht="20.399999999999999" x14ac:dyDescent="0.35">
      <c r="U166" s="280"/>
      <c r="V166" s="280"/>
    </row>
    <row r="167" spans="21:22" ht="20.399999999999999" x14ac:dyDescent="0.35">
      <c r="U167" s="280"/>
      <c r="V167" s="280"/>
    </row>
    <row r="168" spans="21:22" ht="20.399999999999999" x14ac:dyDescent="0.35">
      <c r="U168" s="280"/>
      <c r="V168" s="280"/>
    </row>
    <row r="169" spans="21:22" ht="20.399999999999999" x14ac:dyDescent="0.35">
      <c r="U169" s="280"/>
      <c r="V169" s="280"/>
    </row>
    <row r="170" spans="21:22" ht="20.399999999999999" x14ac:dyDescent="0.35">
      <c r="U170" s="280"/>
      <c r="V170" s="280"/>
    </row>
    <row r="171" spans="21:22" ht="20.399999999999999" x14ac:dyDescent="0.35">
      <c r="U171" s="280"/>
      <c r="V171" s="280"/>
    </row>
    <row r="172" spans="21:22" ht="20.399999999999999" x14ac:dyDescent="0.35">
      <c r="U172" s="280"/>
      <c r="V172" s="280"/>
    </row>
    <row r="173" spans="21:22" ht="20.399999999999999" x14ac:dyDescent="0.35">
      <c r="U173" s="280"/>
      <c r="V173" s="280"/>
    </row>
    <row r="174" spans="21:22" ht="20.399999999999999" x14ac:dyDescent="0.35">
      <c r="U174" s="280"/>
      <c r="V174" s="280"/>
    </row>
    <row r="175" spans="21:22" ht="20.399999999999999" x14ac:dyDescent="0.35">
      <c r="U175" s="280"/>
      <c r="V175" s="280"/>
    </row>
    <row r="176" spans="21:22" ht="20.399999999999999" x14ac:dyDescent="0.35">
      <c r="U176" s="280"/>
      <c r="V176" s="280"/>
    </row>
    <row r="177" spans="21:22" ht="20.399999999999999" x14ac:dyDescent="0.35">
      <c r="U177" s="280"/>
      <c r="V177" s="280"/>
    </row>
    <row r="178" spans="21:22" ht="20.399999999999999" x14ac:dyDescent="0.35">
      <c r="U178" s="280"/>
      <c r="V178" s="280"/>
    </row>
    <row r="179" spans="21:22" ht="20.399999999999999" x14ac:dyDescent="0.35">
      <c r="U179" s="280"/>
      <c r="V179" s="280"/>
    </row>
    <row r="180" spans="21:22" ht="20.399999999999999" x14ac:dyDescent="0.35">
      <c r="U180" s="280"/>
      <c r="V180" s="280"/>
    </row>
    <row r="181" spans="21:22" ht="20.399999999999999" x14ac:dyDescent="0.35">
      <c r="U181" s="280"/>
      <c r="V181" s="280"/>
    </row>
    <row r="182" spans="21:22" ht="20.399999999999999" x14ac:dyDescent="0.35">
      <c r="U182" s="280"/>
      <c r="V182" s="280"/>
    </row>
    <row r="183" spans="21:22" ht="20.399999999999999" x14ac:dyDescent="0.35">
      <c r="U183" s="280"/>
      <c r="V183" s="280"/>
    </row>
    <row r="184" spans="21:22" ht="20.399999999999999" x14ac:dyDescent="0.35">
      <c r="U184" s="280"/>
      <c r="V184" s="280"/>
    </row>
    <row r="185" spans="21:22" ht="20.399999999999999" x14ac:dyDescent="0.35">
      <c r="U185" s="280"/>
      <c r="V185" s="280"/>
    </row>
    <row r="186" spans="21:22" ht="20.399999999999999" x14ac:dyDescent="0.35">
      <c r="U186" s="280"/>
      <c r="V186" s="280"/>
    </row>
    <row r="187" spans="21:22" ht="20.399999999999999" x14ac:dyDescent="0.35">
      <c r="U187" s="280"/>
      <c r="V187" s="280"/>
    </row>
    <row r="188" spans="21:22" ht="20.399999999999999" x14ac:dyDescent="0.35">
      <c r="U188" s="280"/>
      <c r="V188" s="280"/>
    </row>
    <row r="189" spans="21:22" ht="20.399999999999999" x14ac:dyDescent="0.35">
      <c r="U189" s="280"/>
      <c r="V189" s="280"/>
    </row>
    <row r="190" spans="21:22" ht="20.399999999999999" x14ac:dyDescent="0.35">
      <c r="U190" s="280"/>
      <c r="V190" s="280"/>
    </row>
    <row r="191" spans="21:22" ht="20.399999999999999" x14ac:dyDescent="0.35">
      <c r="U191" s="280"/>
      <c r="V191" s="280"/>
    </row>
    <row r="192" spans="21:22" ht="20.399999999999999" x14ac:dyDescent="0.35">
      <c r="U192" s="280"/>
      <c r="V192" s="280"/>
    </row>
    <row r="193" spans="21:22" ht="20.399999999999999" x14ac:dyDescent="0.35">
      <c r="U193" s="280"/>
      <c r="V193" s="280"/>
    </row>
    <row r="194" spans="21:22" ht="20.399999999999999" x14ac:dyDescent="0.35">
      <c r="U194" s="280"/>
      <c r="V194" s="280"/>
    </row>
    <row r="195" spans="21:22" ht="20.399999999999999" x14ac:dyDescent="0.35">
      <c r="U195" s="280"/>
      <c r="V195" s="280"/>
    </row>
    <row r="196" spans="21:22" ht="20.399999999999999" x14ac:dyDescent="0.35">
      <c r="U196" s="280"/>
      <c r="V196" s="280"/>
    </row>
    <row r="197" spans="21:22" ht="20.399999999999999" x14ac:dyDescent="0.35">
      <c r="U197" s="280"/>
      <c r="V197" s="280"/>
    </row>
    <row r="198" spans="21:22" ht="20.399999999999999" x14ac:dyDescent="0.35">
      <c r="U198" s="280"/>
      <c r="V198" s="280"/>
    </row>
    <row r="199" spans="21:22" ht="20.399999999999999" x14ac:dyDescent="0.35">
      <c r="U199" s="280"/>
      <c r="V199" s="280"/>
    </row>
    <row r="200" spans="21:22" ht="20.399999999999999" x14ac:dyDescent="0.35">
      <c r="U200" s="280"/>
      <c r="V200" s="280"/>
    </row>
    <row r="201" spans="21:22" ht="20.399999999999999" x14ac:dyDescent="0.35">
      <c r="U201" s="280"/>
      <c r="V201" s="280"/>
    </row>
    <row r="202" spans="21:22" ht="20.399999999999999" x14ac:dyDescent="0.35">
      <c r="U202" s="280"/>
      <c r="V202" s="280"/>
    </row>
    <row r="203" spans="21:22" ht="20.399999999999999" x14ac:dyDescent="0.35">
      <c r="U203" s="280"/>
      <c r="V203" s="280"/>
    </row>
    <row r="204" spans="21:22" ht="20.399999999999999" x14ac:dyDescent="0.35">
      <c r="U204" s="280"/>
      <c r="V204" s="280"/>
    </row>
    <row r="205" spans="21:22" ht="20.399999999999999" x14ac:dyDescent="0.35">
      <c r="U205" s="280"/>
      <c r="V205" s="280"/>
    </row>
    <row r="206" spans="21:22" ht="20.399999999999999" x14ac:dyDescent="0.35">
      <c r="U206" s="280"/>
      <c r="V206" s="280"/>
    </row>
    <row r="207" spans="21:22" ht="20.399999999999999" x14ac:dyDescent="0.35">
      <c r="U207" s="280"/>
      <c r="V207" s="280"/>
    </row>
    <row r="208" spans="21:22" ht="20.399999999999999" x14ac:dyDescent="0.35">
      <c r="U208" s="280"/>
      <c r="V208" s="280"/>
    </row>
    <row r="209" spans="21:22" ht="20.399999999999999" x14ac:dyDescent="0.35">
      <c r="U209" s="280"/>
      <c r="V209" s="280"/>
    </row>
    <row r="210" spans="21:22" ht="20.399999999999999" x14ac:dyDescent="0.35">
      <c r="U210" s="280"/>
      <c r="V210" s="280"/>
    </row>
    <row r="211" spans="21:22" ht="20.399999999999999" x14ac:dyDescent="0.35">
      <c r="U211" s="280"/>
      <c r="V211" s="280"/>
    </row>
    <row r="212" spans="21:22" ht="20.399999999999999" x14ac:dyDescent="0.35">
      <c r="U212" s="280"/>
      <c r="V212" s="280"/>
    </row>
    <row r="213" spans="21:22" ht="20.399999999999999" x14ac:dyDescent="0.35">
      <c r="U213" s="280"/>
      <c r="V213" s="280"/>
    </row>
    <row r="214" spans="21:22" ht="20.399999999999999" x14ac:dyDescent="0.35">
      <c r="U214" s="280"/>
      <c r="V214" s="280"/>
    </row>
    <row r="215" spans="21:22" ht="20.399999999999999" x14ac:dyDescent="0.35">
      <c r="U215" s="280"/>
      <c r="V215" s="280"/>
    </row>
    <row r="216" spans="21:22" ht="20.399999999999999" x14ac:dyDescent="0.35">
      <c r="U216" s="280"/>
      <c r="V216" s="280"/>
    </row>
    <row r="217" spans="21:22" ht="20.399999999999999" x14ac:dyDescent="0.35">
      <c r="U217" s="280"/>
      <c r="V217" s="280"/>
    </row>
    <row r="218" spans="21:22" ht="20.399999999999999" x14ac:dyDescent="0.35">
      <c r="U218" s="280"/>
      <c r="V218" s="280"/>
    </row>
    <row r="219" spans="21:22" ht="20.399999999999999" x14ac:dyDescent="0.35">
      <c r="U219" s="280"/>
      <c r="V219" s="280"/>
    </row>
    <row r="220" spans="21:22" ht="20.399999999999999" x14ac:dyDescent="0.35">
      <c r="U220" s="280"/>
      <c r="V220" s="280"/>
    </row>
    <row r="221" spans="21:22" ht="20.399999999999999" x14ac:dyDescent="0.35">
      <c r="U221" s="280"/>
      <c r="V221" s="280"/>
    </row>
    <row r="222" spans="21:22" ht="20.399999999999999" x14ac:dyDescent="0.35">
      <c r="U222" s="280"/>
      <c r="V222" s="280"/>
    </row>
    <row r="223" spans="21:22" ht="20.399999999999999" x14ac:dyDescent="0.35">
      <c r="U223" s="280"/>
      <c r="V223" s="280"/>
    </row>
    <row r="224" spans="21:22" ht="20.399999999999999" x14ac:dyDescent="0.35">
      <c r="U224" s="280"/>
      <c r="V224" s="280"/>
    </row>
    <row r="225" spans="21:22" ht="20.399999999999999" x14ac:dyDescent="0.35">
      <c r="U225" s="280"/>
      <c r="V225" s="280"/>
    </row>
    <row r="226" spans="21:22" ht="20.399999999999999" x14ac:dyDescent="0.35">
      <c r="U226" s="280"/>
      <c r="V226" s="280"/>
    </row>
    <row r="227" spans="21:22" ht="20.399999999999999" x14ac:dyDescent="0.35">
      <c r="U227" s="280"/>
      <c r="V227" s="280"/>
    </row>
    <row r="228" spans="21:22" ht="20.399999999999999" x14ac:dyDescent="0.35">
      <c r="U228" s="280"/>
      <c r="V228" s="280"/>
    </row>
    <row r="229" spans="21:22" ht="20.399999999999999" x14ac:dyDescent="0.35">
      <c r="U229" s="280"/>
      <c r="V229" s="280"/>
    </row>
    <row r="230" spans="21:22" ht="20.399999999999999" x14ac:dyDescent="0.35">
      <c r="U230" s="280"/>
      <c r="V230" s="280"/>
    </row>
    <row r="231" spans="21:22" ht="20.399999999999999" x14ac:dyDescent="0.35">
      <c r="U231" s="280"/>
      <c r="V231" s="280"/>
    </row>
    <row r="232" spans="21:22" ht="20.399999999999999" x14ac:dyDescent="0.35">
      <c r="U232" s="280"/>
      <c r="V232" s="280"/>
    </row>
    <row r="233" spans="21:22" ht="20.399999999999999" x14ac:dyDescent="0.35">
      <c r="U233" s="280"/>
      <c r="V233" s="280"/>
    </row>
    <row r="234" spans="21:22" ht="20.399999999999999" x14ac:dyDescent="0.35">
      <c r="U234" s="280"/>
      <c r="V234" s="280"/>
    </row>
    <row r="235" spans="21:22" ht="20.399999999999999" x14ac:dyDescent="0.35">
      <c r="U235" s="280"/>
      <c r="V235" s="280"/>
    </row>
    <row r="236" spans="21:22" ht="20.399999999999999" x14ac:dyDescent="0.35">
      <c r="U236" s="280"/>
      <c r="V236" s="280"/>
    </row>
    <row r="237" spans="21:22" ht="20.399999999999999" x14ac:dyDescent="0.35">
      <c r="U237" s="280"/>
      <c r="V237" s="280"/>
    </row>
    <row r="238" spans="21:22" ht="20.399999999999999" x14ac:dyDescent="0.35">
      <c r="U238" s="280"/>
      <c r="V238" s="280"/>
    </row>
    <row r="239" spans="21:22" ht="20.399999999999999" x14ac:dyDescent="0.35">
      <c r="U239" s="280"/>
      <c r="V239" s="280"/>
    </row>
    <row r="240" spans="21:22" ht="20.399999999999999" x14ac:dyDescent="0.35">
      <c r="U240" s="280"/>
      <c r="V240" s="280"/>
    </row>
    <row r="241" spans="21:22" ht="20.399999999999999" x14ac:dyDescent="0.35">
      <c r="U241" s="280"/>
      <c r="V241" s="280"/>
    </row>
    <row r="242" spans="21:22" ht="20.399999999999999" x14ac:dyDescent="0.35">
      <c r="U242" s="280"/>
      <c r="V242" s="280"/>
    </row>
    <row r="243" spans="21:22" ht="20.399999999999999" x14ac:dyDescent="0.35">
      <c r="U243" s="280"/>
      <c r="V243" s="280"/>
    </row>
    <row r="244" spans="21:22" ht="20.399999999999999" x14ac:dyDescent="0.35">
      <c r="U244" s="280"/>
      <c r="V244" s="280"/>
    </row>
    <row r="245" spans="21:22" ht="20.399999999999999" x14ac:dyDescent="0.35">
      <c r="U245" s="280"/>
      <c r="V245" s="280"/>
    </row>
    <row r="246" spans="21:22" ht="20.399999999999999" x14ac:dyDescent="0.35">
      <c r="U246" s="280"/>
      <c r="V246" s="280"/>
    </row>
    <row r="247" spans="21:22" ht="20.399999999999999" x14ac:dyDescent="0.35">
      <c r="U247" s="280"/>
      <c r="V247" s="280"/>
    </row>
    <row r="248" spans="21:22" ht="20.399999999999999" x14ac:dyDescent="0.35">
      <c r="U248" s="280"/>
      <c r="V248" s="280"/>
    </row>
    <row r="249" spans="21:22" ht="20.399999999999999" x14ac:dyDescent="0.35">
      <c r="U249" s="280"/>
      <c r="V249" s="280"/>
    </row>
    <row r="250" spans="21:22" ht="20.399999999999999" x14ac:dyDescent="0.35">
      <c r="U250" s="280"/>
      <c r="V250" s="280"/>
    </row>
    <row r="251" spans="21:22" ht="20.399999999999999" x14ac:dyDescent="0.35">
      <c r="U251" s="280"/>
      <c r="V251" s="280"/>
    </row>
    <row r="252" spans="21:22" ht="20.399999999999999" x14ac:dyDescent="0.35">
      <c r="U252" s="280"/>
      <c r="V252" s="280"/>
    </row>
    <row r="253" spans="21:22" ht="20.399999999999999" x14ac:dyDescent="0.35">
      <c r="U253" s="280"/>
      <c r="V253" s="280"/>
    </row>
    <row r="254" spans="21:22" ht="20.399999999999999" x14ac:dyDescent="0.35">
      <c r="U254" s="280"/>
      <c r="V254" s="280"/>
    </row>
    <row r="255" spans="21:22" ht="20.399999999999999" x14ac:dyDescent="0.35">
      <c r="U255" s="280"/>
      <c r="V255" s="280"/>
    </row>
    <row r="256" spans="21:22" ht="20.399999999999999" x14ac:dyDescent="0.35">
      <c r="U256" s="280"/>
      <c r="V256" s="280"/>
    </row>
    <row r="257" spans="21:22" ht="20.399999999999999" x14ac:dyDescent="0.35">
      <c r="U257" s="280"/>
      <c r="V257" s="280"/>
    </row>
    <row r="258" spans="21:22" ht="20.399999999999999" x14ac:dyDescent="0.35">
      <c r="U258" s="280"/>
      <c r="V258" s="280"/>
    </row>
    <row r="259" spans="21:22" ht="20.399999999999999" x14ac:dyDescent="0.35">
      <c r="U259" s="280"/>
      <c r="V259" s="280"/>
    </row>
    <row r="260" spans="21:22" ht="20.399999999999999" x14ac:dyDescent="0.35">
      <c r="U260" s="280"/>
      <c r="V260" s="280"/>
    </row>
    <row r="261" spans="21:22" ht="20.399999999999999" x14ac:dyDescent="0.35">
      <c r="U261" s="280"/>
      <c r="V261" s="280"/>
    </row>
    <row r="262" spans="21:22" ht="20.399999999999999" x14ac:dyDescent="0.35">
      <c r="U262" s="280"/>
      <c r="V262" s="280"/>
    </row>
    <row r="263" spans="21:22" ht="20.399999999999999" x14ac:dyDescent="0.35">
      <c r="U263" s="280"/>
      <c r="V263" s="280"/>
    </row>
    <row r="264" spans="21:22" ht="20.399999999999999" x14ac:dyDescent="0.35">
      <c r="U264" s="280"/>
      <c r="V264" s="280"/>
    </row>
    <row r="265" spans="21:22" ht="20.399999999999999" x14ac:dyDescent="0.35">
      <c r="U265" s="280"/>
      <c r="V265" s="280"/>
    </row>
    <row r="266" spans="21:22" ht="20.399999999999999" x14ac:dyDescent="0.35">
      <c r="U266" s="280"/>
      <c r="V266" s="280"/>
    </row>
    <row r="267" spans="21:22" ht="20.399999999999999" x14ac:dyDescent="0.35">
      <c r="U267" s="280"/>
      <c r="V267" s="280"/>
    </row>
    <row r="268" spans="21:22" ht="20.399999999999999" x14ac:dyDescent="0.35">
      <c r="U268" s="280"/>
      <c r="V268" s="280"/>
    </row>
    <row r="269" spans="21:22" ht="20.399999999999999" x14ac:dyDescent="0.35">
      <c r="U269" s="280"/>
      <c r="V269" s="280"/>
    </row>
    <row r="270" spans="21:22" ht="20.399999999999999" x14ac:dyDescent="0.35">
      <c r="U270" s="280"/>
      <c r="V270" s="280"/>
    </row>
    <row r="271" spans="21:22" ht="20.399999999999999" x14ac:dyDescent="0.35">
      <c r="U271" s="280"/>
      <c r="V271" s="280"/>
    </row>
    <row r="272" spans="21:22" ht="20.399999999999999" x14ac:dyDescent="0.35">
      <c r="U272" s="280"/>
      <c r="V272" s="280"/>
    </row>
    <row r="273" spans="21:22" ht="20.399999999999999" x14ac:dyDescent="0.35">
      <c r="U273" s="280"/>
      <c r="V273" s="280"/>
    </row>
    <row r="274" spans="21:22" ht="20.399999999999999" x14ac:dyDescent="0.35">
      <c r="U274" s="280"/>
      <c r="V274" s="280"/>
    </row>
    <row r="275" spans="21:22" ht="20.399999999999999" x14ac:dyDescent="0.35">
      <c r="U275" s="280"/>
      <c r="V275" s="280"/>
    </row>
    <row r="276" spans="21:22" ht="20.399999999999999" x14ac:dyDescent="0.35">
      <c r="U276" s="280"/>
      <c r="V276" s="280"/>
    </row>
    <row r="277" spans="21:22" ht="20.399999999999999" x14ac:dyDescent="0.35">
      <c r="U277" s="280"/>
      <c r="V277" s="280"/>
    </row>
    <row r="278" spans="21:22" ht="20.399999999999999" x14ac:dyDescent="0.35">
      <c r="U278" s="280"/>
      <c r="V278" s="280"/>
    </row>
    <row r="279" spans="21:22" ht="20.399999999999999" x14ac:dyDescent="0.35">
      <c r="U279" s="280"/>
      <c r="V279" s="280"/>
    </row>
    <row r="280" spans="21:22" ht="20.399999999999999" x14ac:dyDescent="0.35">
      <c r="U280" s="280"/>
      <c r="V280" s="280"/>
    </row>
    <row r="281" spans="21:22" ht="20.399999999999999" x14ac:dyDescent="0.35">
      <c r="U281" s="280"/>
      <c r="V281" s="280"/>
    </row>
    <row r="282" spans="21:22" ht="20.399999999999999" x14ac:dyDescent="0.35">
      <c r="U282" s="280"/>
      <c r="V282" s="280"/>
    </row>
    <row r="283" spans="21:22" ht="20.399999999999999" x14ac:dyDescent="0.35">
      <c r="U283" s="280"/>
      <c r="V283" s="280"/>
    </row>
    <row r="284" spans="21:22" ht="20.399999999999999" x14ac:dyDescent="0.35">
      <c r="U284" s="280"/>
      <c r="V284" s="280"/>
    </row>
    <row r="285" spans="21:22" ht="20.399999999999999" x14ac:dyDescent="0.35">
      <c r="U285" s="280"/>
      <c r="V285" s="280"/>
    </row>
    <row r="286" spans="21:22" ht="20.399999999999999" x14ac:dyDescent="0.35">
      <c r="U286" s="280"/>
      <c r="V286" s="280"/>
    </row>
    <row r="287" spans="21:22" ht="20.399999999999999" x14ac:dyDescent="0.35">
      <c r="U287" s="280"/>
      <c r="V287" s="280"/>
    </row>
    <row r="288" spans="21:22" ht="20.399999999999999" x14ac:dyDescent="0.35">
      <c r="U288" s="280"/>
      <c r="V288" s="280"/>
    </row>
    <row r="289" spans="21:22" ht="20.399999999999999" x14ac:dyDescent="0.35">
      <c r="U289" s="280"/>
      <c r="V289" s="280"/>
    </row>
    <row r="290" spans="21:22" ht="20.399999999999999" x14ac:dyDescent="0.35">
      <c r="U290" s="280"/>
      <c r="V290" s="280"/>
    </row>
    <row r="291" spans="21:22" ht="20.399999999999999" x14ac:dyDescent="0.35">
      <c r="U291" s="280"/>
      <c r="V291" s="280"/>
    </row>
    <row r="292" spans="21:22" ht="20.399999999999999" x14ac:dyDescent="0.35">
      <c r="U292" s="280"/>
      <c r="V292" s="280"/>
    </row>
    <row r="293" spans="21:22" ht="20.399999999999999" x14ac:dyDescent="0.35">
      <c r="U293" s="280"/>
      <c r="V293" s="280"/>
    </row>
    <row r="294" spans="21:22" ht="20.399999999999999" x14ac:dyDescent="0.35">
      <c r="U294" s="280"/>
      <c r="V294" s="280"/>
    </row>
    <row r="295" spans="21:22" ht="20.399999999999999" x14ac:dyDescent="0.35">
      <c r="U295" s="280"/>
      <c r="V295" s="280"/>
    </row>
    <row r="296" spans="21:22" ht="20.399999999999999" x14ac:dyDescent="0.35">
      <c r="U296" s="280"/>
      <c r="V296" s="280"/>
    </row>
    <row r="297" spans="21:22" ht="20.399999999999999" x14ac:dyDescent="0.35">
      <c r="U297" s="280"/>
      <c r="V297" s="280"/>
    </row>
    <row r="298" spans="21:22" ht="20.399999999999999" x14ac:dyDescent="0.35">
      <c r="U298" s="280"/>
      <c r="V298" s="280"/>
    </row>
    <row r="299" spans="21:22" ht="20.399999999999999" x14ac:dyDescent="0.35">
      <c r="U299" s="280"/>
      <c r="V299" s="280"/>
    </row>
    <row r="300" spans="21:22" ht="20.399999999999999" x14ac:dyDescent="0.35">
      <c r="U300" s="280"/>
      <c r="V300" s="280"/>
    </row>
    <row r="301" spans="21:22" ht="20.399999999999999" x14ac:dyDescent="0.35">
      <c r="U301" s="280"/>
      <c r="V301" s="280"/>
    </row>
    <row r="302" spans="21:22" ht="20.399999999999999" x14ac:dyDescent="0.35">
      <c r="U302" s="280"/>
      <c r="V302" s="280"/>
    </row>
    <row r="303" spans="21:22" ht="20.399999999999999" x14ac:dyDescent="0.35">
      <c r="U303" s="280"/>
      <c r="V303" s="280"/>
    </row>
    <row r="304" spans="21:22" ht="20.399999999999999" x14ac:dyDescent="0.35">
      <c r="U304" s="280"/>
      <c r="V304" s="280"/>
    </row>
    <row r="305" spans="21:22" ht="20.399999999999999" x14ac:dyDescent="0.35">
      <c r="U305" s="280"/>
      <c r="V305" s="280"/>
    </row>
    <row r="306" spans="21:22" ht="20.399999999999999" x14ac:dyDescent="0.35">
      <c r="U306" s="280"/>
      <c r="V306" s="280"/>
    </row>
    <row r="307" spans="21:22" ht="20.399999999999999" x14ac:dyDescent="0.35">
      <c r="U307" s="280"/>
      <c r="V307" s="280"/>
    </row>
    <row r="308" spans="21:22" ht="20.399999999999999" x14ac:dyDescent="0.35">
      <c r="U308" s="280"/>
      <c r="V308" s="280"/>
    </row>
    <row r="309" spans="21:22" ht="20.399999999999999" x14ac:dyDescent="0.35">
      <c r="U309" s="280"/>
      <c r="V309" s="280"/>
    </row>
    <row r="310" spans="21:22" ht="20.399999999999999" x14ac:dyDescent="0.35">
      <c r="U310" s="280"/>
      <c r="V310" s="280"/>
    </row>
    <row r="311" spans="21:22" ht="20.399999999999999" x14ac:dyDescent="0.35">
      <c r="U311" s="280"/>
      <c r="V311" s="280"/>
    </row>
    <row r="312" spans="21:22" ht="20.399999999999999" x14ac:dyDescent="0.35">
      <c r="U312" s="280"/>
      <c r="V312" s="280"/>
    </row>
    <row r="313" spans="21:22" ht="20.399999999999999" x14ac:dyDescent="0.35">
      <c r="U313" s="280"/>
      <c r="V313" s="280"/>
    </row>
    <row r="314" spans="21:22" ht="20.399999999999999" x14ac:dyDescent="0.35">
      <c r="U314" s="280"/>
      <c r="V314" s="280"/>
    </row>
    <row r="315" spans="21:22" ht="20.399999999999999" x14ac:dyDescent="0.35">
      <c r="U315" s="280"/>
      <c r="V315" s="280"/>
    </row>
    <row r="316" spans="21:22" ht="20.399999999999999" x14ac:dyDescent="0.35">
      <c r="U316" s="280"/>
      <c r="V316" s="280"/>
    </row>
    <row r="317" spans="21:22" ht="20.399999999999999" x14ac:dyDescent="0.35">
      <c r="U317" s="280"/>
      <c r="V317" s="280"/>
    </row>
    <row r="318" spans="21:22" ht="20.399999999999999" x14ac:dyDescent="0.35">
      <c r="U318" s="280"/>
      <c r="V318" s="280"/>
    </row>
    <row r="319" spans="21:22" ht="20.399999999999999" x14ac:dyDescent="0.35">
      <c r="U319" s="280"/>
      <c r="V319" s="280"/>
    </row>
    <row r="320" spans="21:22" ht="20.399999999999999" x14ac:dyDescent="0.35">
      <c r="U320" s="280"/>
      <c r="V320" s="280"/>
    </row>
    <row r="321" spans="21:22" ht="20.399999999999999" x14ac:dyDescent="0.35">
      <c r="U321" s="280"/>
      <c r="V321" s="280"/>
    </row>
    <row r="322" spans="21:22" ht="20.399999999999999" x14ac:dyDescent="0.35">
      <c r="U322" s="280"/>
      <c r="V322" s="280"/>
    </row>
    <row r="323" spans="21:22" ht="20.399999999999999" x14ac:dyDescent="0.35">
      <c r="U323" s="280"/>
      <c r="V323" s="280"/>
    </row>
    <row r="324" spans="21:22" ht="20.399999999999999" x14ac:dyDescent="0.35">
      <c r="U324" s="280"/>
      <c r="V324" s="280"/>
    </row>
    <row r="325" spans="21:22" ht="20.399999999999999" x14ac:dyDescent="0.35">
      <c r="U325" s="280"/>
      <c r="V325" s="280"/>
    </row>
    <row r="326" spans="21:22" ht="20.399999999999999" x14ac:dyDescent="0.35">
      <c r="U326" s="280"/>
      <c r="V326" s="280"/>
    </row>
    <row r="327" spans="21:22" ht="20.399999999999999" x14ac:dyDescent="0.35">
      <c r="U327" s="280"/>
      <c r="V327" s="280"/>
    </row>
    <row r="328" spans="21:22" ht="20.399999999999999" x14ac:dyDescent="0.35">
      <c r="U328" s="280"/>
      <c r="V328" s="280"/>
    </row>
    <row r="329" spans="21:22" ht="20.399999999999999" x14ac:dyDescent="0.35">
      <c r="U329" s="280"/>
      <c r="V329" s="280"/>
    </row>
    <row r="330" spans="21:22" ht="20.399999999999999" x14ac:dyDescent="0.35">
      <c r="U330" s="280"/>
      <c r="V330" s="280"/>
    </row>
    <row r="331" spans="21:22" ht="20.399999999999999" x14ac:dyDescent="0.35">
      <c r="U331" s="280"/>
      <c r="V331" s="280"/>
    </row>
    <row r="332" spans="21:22" ht="20.399999999999999" x14ac:dyDescent="0.35">
      <c r="U332" s="280"/>
      <c r="V332" s="280"/>
    </row>
    <row r="333" spans="21:22" ht="20.399999999999999" x14ac:dyDescent="0.35">
      <c r="U333" s="280"/>
      <c r="V333" s="280"/>
    </row>
    <row r="334" spans="21:22" ht="20.399999999999999" x14ac:dyDescent="0.35">
      <c r="U334" s="280"/>
      <c r="V334" s="280"/>
    </row>
    <row r="335" spans="21:22" ht="20.399999999999999" x14ac:dyDescent="0.35">
      <c r="U335" s="280"/>
      <c r="V335" s="280"/>
    </row>
    <row r="336" spans="21:22" ht="20.399999999999999" x14ac:dyDescent="0.35">
      <c r="U336" s="280"/>
      <c r="V336" s="280"/>
    </row>
    <row r="337" spans="21:22" ht="20.399999999999999" x14ac:dyDescent="0.35">
      <c r="U337" s="280"/>
      <c r="V337" s="280"/>
    </row>
    <row r="338" spans="21:22" ht="20.399999999999999" x14ac:dyDescent="0.35">
      <c r="U338" s="280"/>
      <c r="V338" s="280"/>
    </row>
    <row r="339" spans="21:22" ht="20.399999999999999" x14ac:dyDescent="0.35">
      <c r="U339" s="280"/>
      <c r="V339" s="280"/>
    </row>
    <row r="340" spans="21:22" ht="20.399999999999999" x14ac:dyDescent="0.35">
      <c r="U340" s="280"/>
      <c r="V340" s="280"/>
    </row>
    <row r="341" spans="21:22" ht="20.399999999999999" x14ac:dyDescent="0.35">
      <c r="U341" s="280"/>
      <c r="V341" s="280"/>
    </row>
    <row r="342" spans="21:22" ht="20.399999999999999" x14ac:dyDescent="0.35">
      <c r="U342" s="280"/>
      <c r="V342" s="280"/>
    </row>
    <row r="343" spans="21:22" ht="20.399999999999999" x14ac:dyDescent="0.35">
      <c r="U343" s="280"/>
      <c r="V343" s="280"/>
    </row>
    <row r="344" spans="21:22" ht="20.399999999999999" x14ac:dyDescent="0.35">
      <c r="U344" s="280"/>
      <c r="V344" s="280"/>
    </row>
    <row r="345" spans="21:22" ht="20.399999999999999" x14ac:dyDescent="0.35">
      <c r="U345" s="280"/>
      <c r="V345" s="280"/>
    </row>
    <row r="346" spans="21:22" ht="20.399999999999999" x14ac:dyDescent="0.35">
      <c r="U346" s="280"/>
      <c r="V346" s="280"/>
    </row>
    <row r="347" spans="21:22" ht="20.399999999999999" x14ac:dyDescent="0.35">
      <c r="U347" s="280"/>
      <c r="V347" s="280"/>
    </row>
    <row r="348" spans="21:22" ht="20.399999999999999" x14ac:dyDescent="0.35">
      <c r="U348" s="280"/>
      <c r="V348" s="280"/>
    </row>
    <row r="349" spans="21:22" ht="20.399999999999999" x14ac:dyDescent="0.35">
      <c r="U349" s="280"/>
      <c r="V349" s="280"/>
    </row>
    <row r="350" spans="21:22" ht="20.399999999999999" x14ac:dyDescent="0.35">
      <c r="U350" s="280"/>
      <c r="V350" s="280"/>
    </row>
    <row r="351" spans="21:22" ht="20.399999999999999" x14ac:dyDescent="0.35">
      <c r="U351" s="280"/>
      <c r="V351" s="280"/>
    </row>
    <row r="352" spans="21:22" ht="20.399999999999999" x14ac:dyDescent="0.35">
      <c r="U352" s="280"/>
      <c r="V352" s="280"/>
    </row>
    <row r="353" spans="21:22" ht="20.399999999999999" x14ac:dyDescent="0.35">
      <c r="U353" s="280"/>
      <c r="V353" s="280"/>
    </row>
    <row r="354" spans="21:22" ht="20.399999999999999" x14ac:dyDescent="0.35">
      <c r="U354" s="280"/>
      <c r="V354" s="280"/>
    </row>
    <row r="355" spans="21:22" ht="20.399999999999999" x14ac:dyDescent="0.35">
      <c r="U355" s="280"/>
      <c r="V355" s="280"/>
    </row>
    <row r="356" spans="21:22" ht="20.399999999999999" x14ac:dyDescent="0.35">
      <c r="U356" s="280"/>
      <c r="V356" s="280"/>
    </row>
    <row r="357" spans="21:22" ht="20.399999999999999" x14ac:dyDescent="0.35">
      <c r="U357" s="280"/>
      <c r="V357" s="280"/>
    </row>
    <row r="358" spans="21:22" ht="20.399999999999999" x14ac:dyDescent="0.35">
      <c r="U358" s="280"/>
      <c r="V358" s="280"/>
    </row>
    <row r="359" spans="21:22" ht="20.399999999999999" x14ac:dyDescent="0.35">
      <c r="U359" s="280"/>
      <c r="V359" s="280"/>
    </row>
    <row r="360" spans="21:22" ht="20.399999999999999" x14ac:dyDescent="0.35">
      <c r="U360" s="280"/>
      <c r="V360" s="280"/>
    </row>
    <row r="361" spans="21:22" ht="20.399999999999999" x14ac:dyDescent="0.35">
      <c r="U361" s="280"/>
      <c r="V361" s="280"/>
    </row>
    <row r="362" spans="21:22" ht="20.399999999999999" x14ac:dyDescent="0.35">
      <c r="U362" s="280"/>
      <c r="V362" s="280"/>
    </row>
    <row r="363" spans="21:22" ht="20.399999999999999" x14ac:dyDescent="0.35">
      <c r="U363" s="280"/>
      <c r="V363" s="280"/>
    </row>
    <row r="364" spans="21:22" ht="20.399999999999999" x14ac:dyDescent="0.35">
      <c r="U364" s="280"/>
      <c r="V364" s="280"/>
    </row>
    <row r="365" spans="21:22" ht="20.399999999999999" x14ac:dyDescent="0.35">
      <c r="U365" s="280"/>
      <c r="V365" s="280"/>
    </row>
    <row r="366" spans="21:22" ht="20.399999999999999" x14ac:dyDescent="0.35">
      <c r="U366" s="280"/>
      <c r="V366" s="280"/>
    </row>
    <row r="367" spans="21:22" ht="20.399999999999999" x14ac:dyDescent="0.35">
      <c r="U367" s="280"/>
      <c r="V367" s="280"/>
    </row>
    <row r="368" spans="21:22" ht="20.399999999999999" x14ac:dyDescent="0.35">
      <c r="U368" s="280"/>
      <c r="V368" s="280"/>
    </row>
    <row r="369" spans="21:22" ht="20.399999999999999" x14ac:dyDescent="0.35">
      <c r="U369" s="280"/>
      <c r="V369" s="280"/>
    </row>
    <row r="370" spans="21:22" ht="20.399999999999999" x14ac:dyDescent="0.35">
      <c r="U370" s="280"/>
      <c r="V370" s="280"/>
    </row>
    <row r="371" spans="21:22" ht="20.399999999999999" x14ac:dyDescent="0.35">
      <c r="U371" s="280"/>
      <c r="V371" s="280"/>
    </row>
    <row r="372" spans="21:22" ht="20.399999999999999" x14ac:dyDescent="0.35">
      <c r="U372" s="280"/>
      <c r="V372" s="280"/>
    </row>
    <row r="373" spans="21:22" ht="20.399999999999999" x14ac:dyDescent="0.35">
      <c r="U373" s="280"/>
      <c r="V373" s="280"/>
    </row>
    <row r="374" spans="21:22" ht="20.399999999999999" x14ac:dyDescent="0.35">
      <c r="U374" s="280"/>
      <c r="V374" s="280"/>
    </row>
    <row r="375" spans="21:22" ht="20.399999999999999" x14ac:dyDescent="0.35">
      <c r="U375" s="280"/>
      <c r="V375" s="280"/>
    </row>
    <row r="376" spans="21:22" ht="20.399999999999999" x14ac:dyDescent="0.35">
      <c r="U376" s="280"/>
      <c r="V376" s="280"/>
    </row>
    <row r="377" spans="21:22" ht="20.399999999999999" x14ac:dyDescent="0.35">
      <c r="U377" s="280"/>
      <c r="V377" s="280"/>
    </row>
    <row r="378" spans="21:22" ht="20.399999999999999" x14ac:dyDescent="0.35">
      <c r="U378" s="280"/>
      <c r="V378" s="280"/>
    </row>
    <row r="379" spans="21:22" ht="20.399999999999999" x14ac:dyDescent="0.35">
      <c r="U379" s="280"/>
      <c r="V379" s="280"/>
    </row>
    <row r="380" spans="21:22" ht="20.399999999999999" x14ac:dyDescent="0.35">
      <c r="U380" s="280"/>
      <c r="V380" s="280"/>
    </row>
    <row r="381" spans="21:22" ht="20.399999999999999" x14ac:dyDescent="0.35">
      <c r="U381" s="280"/>
      <c r="V381" s="280"/>
    </row>
    <row r="382" spans="21:22" ht="20.399999999999999" x14ac:dyDescent="0.35">
      <c r="U382" s="280"/>
      <c r="V382" s="280"/>
    </row>
    <row r="383" spans="21:22" ht="20.399999999999999" x14ac:dyDescent="0.35">
      <c r="U383" s="280"/>
      <c r="V383" s="280"/>
    </row>
    <row r="384" spans="21:22" ht="20.399999999999999" x14ac:dyDescent="0.35">
      <c r="U384" s="280"/>
      <c r="V384" s="280"/>
    </row>
    <row r="385" spans="21:22" ht="20.399999999999999" x14ac:dyDescent="0.35">
      <c r="U385" s="280"/>
      <c r="V385" s="280"/>
    </row>
    <row r="386" spans="21:22" ht="20.399999999999999" x14ac:dyDescent="0.35">
      <c r="U386" s="280"/>
      <c r="V386" s="280"/>
    </row>
    <row r="387" spans="21:22" ht="20.399999999999999" x14ac:dyDescent="0.35">
      <c r="U387" s="280"/>
      <c r="V387" s="280"/>
    </row>
    <row r="388" spans="21:22" ht="20.399999999999999" x14ac:dyDescent="0.35">
      <c r="U388" s="280"/>
      <c r="V388" s="280"/>
    </row>
    <row r="389" spans="21:22" ht="20.399999999999999" x14ac:dyDescent="0.35">
      <c r="U389" s="280"/>
      <c r="V389" s="280"/>
    </row>
    <row r="390" spans="21:22" ht="20.399999999999999" x14ac:dyDescent="0.35">
      <c r="U390" s="280"/>
      <c r="V390" s="280"/>
    </row>
    <row r="391" spans="21:22" ht="20.399999999999999" x14ac:dyDescent="0.35">
      <c r="U391" s="280"/>
      <c r="V391" s="280"/>
    </row>
    <row r="392" spans="21:22" ht="20.399999999999999" x14ac:dyDescent="0.35">
      <c r="U392" s="280"/>
      <c r="V392" s="280"/>
    </row>
    <row r="393" spans="21:22" ht="20.399999999999999" x14ac:dyDescent="0.35">
      <c r="U393" s="280"/>
      <c r="V393" s="280"/>
    </row>
    <row r="394" spans="21:22" ht="20.399999999999999" x14ac:dyDescent="0.35">
      <c r="U394" s="280"/>
      <c r="V394" s="280"/>
    </row>
    <row r="395" spans="21:22" ht="20.399999999999999" x14ac:dyDescent="0.35">
      <c r="U395" s="280"/>
      <c r="V395" s="280"/>
    </row>
    <row r="396" spans="21:22" ht="20.399999999999999" x14ac:dyDescent="0.35">
      <c r="U396" s="280"/>
      <c r="V396" s="280"/>
    </row>
    <row r="397" spans="21:22" ht="20.399999999999999" x14ac:dyDescent="0.35">
      <c r="U397" s="280"/>
      <c r="V397" s="280"/>
    </row>
    <row r="398" spans="21:22" ht="20.399999999999999" x14ac:dyDescent="0.35">
      <c r="U398" s="280"/>
      <c r="V398" s="280"/>
    </row>
    <row r="399" spans="21:22" ht="20.399999999999999" x14ac:dyDescent="0.35">
      <c r="U399" s="280"/>
      <c r="V399" s="280"/>
    </row>
    <row r="400" spans="21:22" ht="20.399999999999999" x14ac:dyDescent="0.35">
      <c r="U400" s="280"/>
      <c r="V400" s="280"/>
    </row>
    <row r="401" spans="21:22" ht="20.399999999999999" x14ac:dyDescent="0.35">
      <c r="U401" s="280"/>
      <c r="V401" s="280"/>
    </row>
    <row r="402" spans="21:22" ht="20.399999999999999" x14ac:dyDescent="0.35">
      <c r="U402" s="280"/>
      <c r="V402" s="280"/>
    </row>
    <row r="403" spans="21:22" ht="20.399999999999999" x14ac:dyDescent="0.35">
      <c r="U403" s="280"/>
      <c r="V403" s="280"/>
    </row>
    <row r="404" spans="21:22" ht="20.399999999999999" x14ac:dyDescent="0.35">
      <c r="U404" s="280"/>
      <c r="V404" s="280"/>
    </row>
    <row r="405" spans="21:22" ht="20.399999999999999" x14ac:dyDescent="0.35">
      <c r="U405" s="280"/>
      <c r="V405" s="280"/>
    </row>
    <row r="406" spans="21:22" ht="20.399999999999999" x14ac:dyDescent="0.35">
      <c r="U406" s="280"/>
      <c r="V406" s="280"/>
    </row>
    <row r="407" spans="21:22" ht="20.399999999999999" x14ac:dyDescent="0.35">
      <c r="U407" s="280"/>
      <c r="V407" s="280"/>
    </row>
    <row r="408" spans="21:22" ht="20.399999999999999" x14ac:dyDescent="0.35">
      <c r="U408" s="280"/>
      <c r="V408" s="280"/>
    </row>
    <row r="409" spans="21:22" ht="20.399999999999999" x14ac:dyDescent="0.35">
      <c r="U409" s="280"/>
      <c r="V409" s="280"/>
    </row>
    <row r="410" spans="21:22" ht="20.399999999999999" x14ac:dyDescent="0.35">
      <c r="U410" s="280"/>
      <c r="V410" s="280"/>
    </row>
    <row r="411" spans="21:22" ht="20.399999999999999" x14ac:dyDescent="0.35">
      <c r="U411" s="280"/>
      <c r="V411" s="280"/>
    </row>
    <row r="412" spans="21:22" ht="20.399999999999999" x14ac:dyDescent="0.35">
      <c r="U412" s="280"/>
      <c r="V412" s="280"/>
    </row>
    <row r="413" spans="21:22" ht="20.399999999999999" x14ac:dyDescent="0.35">
      <c r="U413" s="280"/>
      <c r="V413" s="280"/>
    </row>
    <row r="414" spans="21:22" ht="20.399999999999999" x14ac:dyDescent="0.35">
      <c r="U414" s="280"/>
      <c r="V414" s="280"/>
    </row>
    <row r="415" spans="21:22" ht="20.399999999999999" x14ac:dyDescent="0.35">
      <c r="U415" s="280"/>
      <c r="V415" s="280"/>
    </row>
    <row r="416" spans="21:22" ht="20.399999999999999" x14ac:dyDescent="0.35">
      <c r="U416" s="280"/>
      <c r="V416" s="280"/>
    </row>
    <row r="417" spans="21:22" ht="20.399999999999999" x14ac:dyDescent="0.35">
      <c r="U417" s="280"/>
      <c r="V417" s="280"/>
    </row>
    <row r="418" spans="21:22" ht="20.399999999999999" x14ac:dyDescent="0.35">
      <c r="U418" s="280"/>
      <c r="V418" s="280"/>
    </row>
    <row r="419" spans="21:22" ht="20.399999999999999" x14ac:dyDescent="0.35">
      <c r="U419" s="280"/>
      <c r="V419" s="280"/>
    </row>
    <row r="420" spans="21:22" ht="20.399999999999999" x14ac:dyDescent="0.35">
      <c r="U420" s="280"/>
      <c r="V420" s="280"/>
    </row>
    <row r="421" spans="21:22" ht="20.399999999999999" x14ac:dyDescent="0.35">
      <c r="U421" s="280"/>
      <c r="V421" s="280"/>
    </row>
    <row r="422" spans="21:22" ht="20.399999999999999" x14ac:dyDescent="0.35">
      <c r="U422" s="280"/>
      <c r="V422" s="280"/>
    </row>
    <row r="423" spans="21:22" ht="20.399999999999999" x14ac:dyDescent="0.35">
      <c r="U423" s="280"/>
      <c r="V423" s="280"/>
    </row>
    <row r="424" spans="21:22" ht="20.399999999999999" x14ac:dyDescent="0.35">
      <c r="U424" s="280"/>
      <c r="V424" s="280"/>
    </row>
    <row r="425" spans="21:22" ht="20.399999999999999" x14ac:dyDescent="0.35">
      <c r="U425" s="280"/>
      <c r="V425" s="280"/>
    </row>
    <row r="426" spans="21:22" ht="20.399999999999999" x14ac:dyDescent="0.35">
      <c r="U426" s="280"/>
      <c r="V426" s="280"/>
    </row>
    <row r="427" spans="21:22" ht="20.399999999999999" x14ac:dyDescent="0.35">
      <c r="U427" s="280"/>
      <c r="V427" s="280"/>
    </row>
    <row r="428" spans="21:22" ht="20.399999999999999" x14ac:dyDescent="0.35">
      <c r="U428" s="280"/>
      <c r="V428" s="280"/>
    </row>
    <row r="429" spans="21:22" ht="20.399999999999999" x14ac:dyDescent="0.35">
      <c r="U429" s="280"/>
      <c r="V429" s="280"/>
    </row>
    <row r="430" spans="21:22" ht="20.399999999999999" x14ac:dyDescent="0.35">
      <c r="U430" s="280"/>
      <c r="V430" s="280"/>
    </row>
    <row r="431" spans="21:22" ht="20.399999999999999" x14ac:dyDescent="0.35">
      <c r="U431" s="280"/>
      <c r="V431" s="280"/>
    </row>
    <row r="432" spans="21:22" ht="20.399999999999999" x14ac:dyDescent="0.35">
      <c r="U432" s="280"/>
      <c r="V432" s="280"/>
    </row>
    <row r="433" spans="21:22" ht="20.399999999999999" x14ac:dyDescent="0.35">
      <c r="U433" s="280"/>
      <c r="V433" s="280"/>
    </row>
    <row r="434" spans="21:22" ht="20.399999999999999" x14ac:dyDescent="0.35">
      <c r="U434" s="280"/>
      <c r="V434" s="280"/>
    </row>
    <row r="435" spans="21:22" ht="20.399999999999999" x14ac:dyDescent="0.35">
      <c r="U435" s="280"/>
      <c r="V435" s="280"/>
    </row>
    <row r="436" spans="21:22" ht="20.399999999999999" x14ac:dyDescent="0.35">
      <c r="U436" s="280"/>
      <c r="V436" s="280"/>
    </row>
    <row r="437" spans="21:22" ht="20.399999999999999" x14ac:dyDescent="0.35">
      <c r="U437" s="280"/>
      <c r="V437" s="280"/>
    </row>
    <row r="438" spans="21:22" ht="20.399999999999999" x14ac:dyDescent="0.35">
      <c r="U438" s="280"/>
      <c r="V438" s="280"/>
    </row>
    <row r="439" spans="21:22" ht="20.399999999999999" x14ac:dyDescent="0.35">
      <c r="U439" s="280"/>
      <c r="V439" s="280"/>
    </row>
    <row r="440" spans="21:22" ht="20.399999999999999" x14ac:dyDescent="0.35">
      <c r="U440" s="280"/>
      <c r="V440" s="280"/>
    </row>
    <row r="441" spans="21:22" ht="20.399999999999999" x14ac:dyDescent="0.35">
      <c r="U441" s="280"/>
      <c r="V441" s="280"/>
    </row>
    <row r="442" spans="21:22" ht="20.399999999999999" x14ac:dyDescent="0.35">
      <c r="U442" s="280"/>
      <c r="V442" s="280"/>
    </row>
    <row r="443" spans="21:22" ht="20.399999999999999" x14ac:dyDescent="0.35">
      <c r="U443" s="280"/>
      <c r="V443" s="280"/>
    </row>
    <row r="444" spans="21:22" ht="20.399999999999999" x14ac:dyDescent="0.35">
      <c r="U444" s="280"/>
      <c r="V444" s="280"/>
    </row>
    <row r="445" spans="21:22" ht="20.399999999999999" x14ac:dyDescent="0.35">
      <c r="U445" s="280"/>
      <c r="V445" s="280"/>
    </row>
    <row r="446" spans="21:22" ht="20.399999999999999" x14ac:dyDescent="0.35">
      <c r="U446" s="280"/>
      <c r="V446" s="280"/>
    </row>
    <row r="447" spans="21:22" ht="20.399999999999999" x14ac:dyDescent="0.35">
      <c r="U447" s="280"/>
      <c r="V447" s="280"/>
    </row>
    <row r="448" spans="21:22" ht="20.399999999999999" x14ac:dyDescent="0.35">
      <c r="U448" s="280"/>
      <c r="V448" s="280"/>
    </row>
    <row r="449" spans="21:22" ht="20.399999999999999" x14ac:dyDescent="0.35">
      <c r="U449" s="280"/>
      <c r="V449" s="280"/>
    </row>
    <row r="450" spans="21:22" ht="20.399999999999999" x14ac:dyDescent="0.35">
      <c r="U450" s="280"/>
      <c r="V450" s="280"/>
    </row>
    <row r="451" spans="21:22" ht="20.399999999999999" x14ac:dyDescent="0.35">
      <c r="U451" s="280"/>
      <c r="V451" s="280"/>
    </row>
    <row r="452" spans="21:22" ht="20.399999999999999" x14ac:dyDescent="0.35">
      <c r="U452" s="280"/>
      <c r="V452" s="280"/>
    </row>
    <row r="453" spans="21:22" ht="20.399999999999999" x14ac:dyDescent="0.35">
      <c r="U453" s="280"/>
      <c r="V453" s="280"/>
    </row>
    <row r="454" spans="21:22" ht="20.399999999999999" x14ac:dyDescent="0.35">
      <c r="U454" s="280"/>
      <c r="V454" s="280"/>
    </row>
    <row r="455" spans="21:22" ht="20.399999999999999" x14ac:dyDescent="0.35">
      <c r="U455" s="280"/>
      <c r="V455" s="280"/>
    </row>
    <row r="456" spans="21:22" ht="20.399999999999999" x14ac:dyDescent="0.35">
      <c r="U456" s="280"/>
      <c r="V456" s="280"/>
    </row>
    <row r="457" spans="21:22" ht="20.399999999999999" x14ac:dyDescent="0.35">
      <c r="U457" s="280"/>
      <c r="V457" s="280"/>
    </row>
    <row r="458" spans="21:22" ht="20.399999999999999" x14ac:dyDescent="0.35">
      <c r="U458" s="280"/>
      <c r="V458" s="280"/>
    </row>
    <row r="459" spans="21:22" ht="20.399999999999999" x14ac:dyDescent="0.35">
      <c r="U459" s="280"/>
      <c r="V459" s="280"/>
    </row>
    <row r="460" spans="21:22" ht="20.399999999999999" x14ac:dyDescent="0.35">
      <c r="U460" s="280"/>
      <c r="V460" s="280"/>
    </row>
    <row r="461" spans="21:22" ht="20.399999999999999" x14ac:dyDescent="0.35">
      <c r="U461" s="280"/>
      <c r="V461" s="280"/>
    </row>
    <row r="462" spans="21:22" ht="20.399999999999999" x14ac:dyDescent="0.35">
      <c r="U462" s="280"/>
      <c r="V462" s="280"/>
    </row>
    <row r="463" spans="21:22" ht="20.399999999999999" x14ac:dyDescent="0.35">
      <c r="U463" s="280"/>
      <c r="V463" s="280"/>
    </row>
    <row r="464" spans="21:22" ht="20.399999999999999" x14ac:dyDescent="0.35">
      <c r="U464" s="280"/>
      <c r="V464" s="280"/>
    </row>
    <row r="465" spans="21:22" ht="20.399999999999999" x14ac:dyDescent="0.35">
      <c r="U465" s="280"/>
      <c r="V465" s="280"/>
    </row>
    <row r="466" spans="21:22" ht="20.399999999999999" x14ac:dyDescent="0.35">
      <c r="U466" s="280"/>
      <c r="V466" s="280"/>
    </row>
    <row r="467" spans="21:22" ht="20.399999999999999" x14ac:dyDescent="0.35">
      <c r="U467" s="280"/>
      <c r="V467" s="280"/>
    </row>
    <row r="468" spans="21:22" ht="20.399999999999999" x14ac:dyDescent="0.35">
      <c r="U468" s="280"/>
      <c r="V468" s="280"/>
    </row>
    <row r="469" spans="21:22" ht="20.399999999999999" x14ac:dyDescent="0.35">
      <c r="U469" s="280"/>
      <c r="V469" s="280"/>
    </row>
    <row r="470" spans="21:22" ht="20.399999999999999" x14ac:dyDescent="0.35">
      <c r="U470" s="280"/>
      <c r="V470" s="280"/>
    </row>
    <row r="471" spans="21:22" ht="20.399999999999999" x14ac:dyDescent="0.35">
      <c r="U471" s="280"/>
      <c r="V471" s="280"/>
    </row>
    <row r="472" spans="21:22" ht="20.399999999999999" x14ac:dyDescent="0.35">
      <c r="U472" s="280"/>
      <c r="V472" s="280"/>
    </row>
    <row r="473" spans="21:22" ht="20.399999999999999" x14ac:dyDescent="0.35">
      <c r="U473" s="280"/>
      <c r="V473" s="280"/>
    </row>
    <row r="474" spans="21:22" ht="20.399999999999999" x14ac:dyDescent="0.35">
      <c r="U474" s="280"/>
      <c r="V474" s="280"/>
    </row>
    <row r="475" spans="21:22" ht="20.399999999999999" x14ac:dyDescent="0.35">
      <c r="U475" s="280"/>
      <c r="V475" s="280"/>
    </row>
    <row r="476" spans="21:22" ht="20.399999999999999" x14ac:dyDescent="0.35">
      <c r="U476" s="280"/>
      <c r="V476" s="280"/>
    </row>
    <row r="477" spans="21:22" ht="20.399999999999999" x14ac:dyDescent="0.35">
      <c r="U477" s="280"/>
      <c r="V477" s="280"/>
    </row>
    <row r="478" spans="21:22" ht="20.399999999999999" x14ac:dyDescent="0.35">
      <c r="U478" s="280"/>
      <c r="V478" s="280"/>
    </row>
    <row r="479" spans="21:22" ht="20.399999999999999" x14ac:dyDescent="0.35">
      <c r="U479" s="280"/>
      <c r="V479" s="280"/>
    </row>
    <row r="480" spans="21:22" ht="20.399999999999999" x14ac:dyDescent="0.35">
      <c r="U480" s="280"/>
      <c r="V480" s="280"/>
    </row>
    <row r="481" spans="21:22" ht="20.399999999999999" x14ac:dyDescent="0.35">
      <c r="U481" s="280"/>
      <c r="V481" s="280"/>
    </row>
    <row r="482" spans="21:22" ht="20.399999999999999" x14ac:dyDescent="0.35">
      <c r="U482" s="280"/>
      <c r="V482" s="280"/>
    </row>
    <row r="483" spans="21:22" ht="20.399999999999999" x14ac:dyDescent="0.35">
      <c r="U483" s="280"/>
      <c r="V483" s="280"/>
    </row>
    <row r="484" spans="21:22" ht="20.399999999999999" x14ac:dyDescent="0.35">
      <c r="U484" s="280"/>
      <c r="V484" s="280"/>
    </row>
    <row r="485" spans="21:22" ht="20.399999999999999" x14ac:dyDescent="0.35">
      <c r="U485" s="280"/>
      <c r="V485" s="280"/>
    </row>
    <row r="486" spans="21:22" ht="20.399999999999999" x14ac:dyDescent="0.35">
      <c r="U486" s="280"/>
      <c r="V486" s="280"/>
    </row>
    <row r="487" spans="21:22" ht="20.399999999999999" x14ac:dyDescent="0.35">
      <c r="U487" s="280"/>
      <c r="V487" s="280"/>
    </row>
    <row r="488" spans="21:22" ht="20.399999999999999" x14ac:dyDescent="0.35">
      <c r="U488" s="280"/>
      <c r="V488" s="280"/>
    </row>
    <row r="489" spans="21:22" ht="20.399999999999999" x14ac:dyDescent="0.35">
      <c r="U489" s="280"/>
      <c r="V489" s="280"/>
    </row>
    <row r="490" spans="21:22" ht="20.399999999999999" x14ac:dyDescent="0.35">
      <c r="U490" s="280"/>
      <c r="V490" s="280"/>
    </row>
    <row r="491" spans="21:22" ht="20.399999999999999" x14ac:dyDescent="0.35">
      <c r="U491" s="280"/>
      <c r="V491" s="280"/>
    </row>
    <row r="492" spans="21:22" ht="20.399999999999999" x14ac:dyDescent="0.35">
      <c r="U492" s="280"/>
      <c r="V492" s="280"/>
    </row>
    <row r="493" spans="21:22" ht="20.399999999999999" x14ac:dyDescent="0.35">
      <c r="U493" s="280"/>
      <c r="V493" s="280"/>
    </row>
    <row r="494" spans="21:22" ht="20.399999999999999" x14ac:dyDescent="0.35">
      <c r="U494" s="280"/>
      <c r="V494" s="280"/>
    </row>
    <row r="495" spans="21:22" ht="20.399999999999999" x14ac:dyDescent="0.35">
      <c r="U495" s="280"/>
      <c r="V495" s="280"/>
    </row>
    <row r="496" spans="21:22" ht="20.399999999999999" x14ac:dyDescent="0.35">
      <c r="U496" s="280"/>
      <c r="V496" s="280"/>
    </row>
    <row r="497" spans="21:22" ht="20.399999999999999" x14ac:dyDescent="0.35">
      <c r="U497" s="280"/>
      <c r="V497" s="280"/>
    </row>
    <row r="498" spans="21:22" ht="20.399999999999999" x14ac:dyDescent="0.35">
      <c r="U498" s="280"/>
      <c r="V498" s="280"/>
    </row>
    <row r="499" spans="21:22" ht="20.399999999999999" x14ac:dyDescent="0.35">
      <c r="U499" s="280"/>
      <c r="V499" s="280"/>
    </row>
    <row r="500" spans="21:22" ht="20.399999999999999" x14ac:dyDescent="0.35">
      <c r="U500" s="280"/>
      <c r="V500" s="280"/>
    </row>
    <row r="501" spans="21:22" ht="20.399999999999999" x14ac:dyDescent="0.35">
      <c r="U501" s="280"/>
      <c r="V501" s="280"/>
    </row>
    <row r="502" spans="21:22" ht="20.399999999999999" x14ac:dyDescent="0.35">
      <c r="U502" s="280"/>
      <c r="V502" s="280"/>
    </row>
    <row r="503" spans="21:22" ht="20.399999999999999" x14ac:dyDescent="0.35">
      <c r="U503" s="280"/>
      <c r="V503" s="280"/>
    </row>
    <row r="504" spans="21:22" ht="20.399999999999999" x14ac:dyDescent="0.35">
      <c r="U504" s="280"/>
      <c r="V504" s="280"/>
    </row>
    <row r="505" spans="21:22" ht="20.399999999999999" x14ac:dyDescent="0.35">
      <c r="U505" s="280"/>
      <c r="V505" s="280"/>
    </row>
    <row r="506" spans="21:22" ht="20.399999999999999" x14ac:dyDescent="0.35">
      <c r="U506" s="280"/>
      <c r="V506" s="280"/>
    </row>
    <row r="507" spans="21:22" ht="20.399999999999999" x14ac:dyDescent="0.35">
      <c r="U507" s="280"/>
      <c r="V507" s="280"/>
    </row>
    <row r="508" spans="21:22" ht="20.399999999999999" x14ac:dyDescent="0.35">
      <c r="U508" s="280"/>
      <c r="V508" s="280"/>
    </row>
    <row r="509" spans="21:22" ht="20.399999999999999" x14ac:dyDescent="0.35">
      <c r="U509" s="280"/>
      <c r="V509" s="280"/>
    </row>
    <row r="510" spans="21:22" ht="20.399999999999999" x14ac:dyDescent="0.35">
      <c r="U510" s="280"/>
      <c r="V510" s="280"/>
    </row>
    <row r="511" spans="21:22" ht="20.399999999999999" x14ac:dyDescent="0.35">
      <c r="U511" s="280"/>
      <c r="V511" s="280"/>
    </row>
    <row r="512" spans="21:22" ht="20.399999999999999" x14ac:dyDescent="0.35">
      <c r="U512" s="280"/>
      <c r="V512" s="280"/>
    </row>
    <row r="513" spans="21:22" ht="20.399999999999999" x14ac:dyDescent="0.35">
      <c r="U513" s="280"/>
      <c r="V513" s="280"/>
    </row>
    <row r="514" spans="21:22" ht="20.399999999999999" x14ac:dyDescent="0.35">
      <c r="U514" s="280"/>
      <c r="V514" s="280"/>
    </row>
    <row r="515" spans="21:22" ht="20.399999999999999" x14ac:dyDescent="0.35">
      <c r="U515" s="280"/>
      <c r="V515" s="280"/>
    </row>
    <row r="516" spans="21:22" ht="20.399999999999999" x14ac:dyDescent="0.35">
      <c r="U516" s="280"/>
      <c r="V516" s="280"/>
    </row>
    <row r="517" spans="21:22" ht="20.399999999999999" x14ac:dyDescent="0.35">
      <c r="U517" s="280"/>
      <c r="V517" s="280"/>
    </row>
    <row r="518" spans="21:22" ht="20.399999999999999" x14ac:dyDescent="0.35">
      <c r="U518" s="280"/>
      <c r="V518" s="280"/>
    </row>
    <row r="519" spans="21:22" ht="20.399999999999999" x14ac:dyDescent="0.35">
      <c r="U519" s="280"/>
      <c r="V519" s="280"/>
    </row>
    <row r="520" spans="21:22" ht="20.399999999999999" x14ac:dyDescent="0.35">
      <c r="U520" s="280"/>
      <c r="V520" s="280"/>
    </row>
    <row r="521" spans="21:22" ht="20.399999999999999" x14ac:dyDescent="0.35">
      <c r="U521" s="280"/>
      <c r="V521" s="280"/>
    </row>
    <row r="522" spans="21:22" ht="20.399999999999999" x14ac:dyDescent="0.35">
      <c r="U522" s="280"/>
      <c r="V522" s="280"/>
    </row>
    <row r="523" spans="21:22" ht="20.399999999999999" x14ac:dyDescent="0.35">
      <c r="U523" s="280"/>
      <c r="V523" s="280"/>
    </row>
    <row r="524" spans="21:22" ht="20.399999999999999" x14ac:dyDescent="0.35">
      <c r="U524" s="280"/>
      <c r="V524" s="280"/>
    </row>
    <row r="525" spans="21:22" ht="20.399999999999999" x14ac:dyDescent="0.35">
      <c r="U525" s="280"/>
      <c r="V525" s="280"/>
    </row>
    <row r="526" spans="21:22" ht="20.399999999999999" x14ac:dyDescent="0.35">
      <c r="U526" s="280"/>
      <c r="V526" s="280"/>
    </row>
    <row r="527" spans="21:22" ht="20.399999999999999" x14ac:dyDescent="0.35">
      <c r="U527" s="280"/>
      <c r="V527" s="280"/>
    </row>
    <row r="528" spans="21:22" ht="20.399999999999999" x14ac:dyDescent="0.35">
      <c r="U528" s="280"/>
      <c r="V528" s="280"/>
    </row>
    <row r="529" spans="21:22" ht="20.399999999999999" x14ac:dyDescent="0.35">
      <c r="U529" s="280"/>
      <c r="V529" s="280"/>
    </row>
    <row r="530" spans="21:22" ht="20.399999999999999" x14ac:dyDescent="0.35">
      <c r="U530" s="280"/>
      <c r="V530" s="280"/>
    </row>
    <row r="531" spans="21:22" ht="20.399999999999999" x14ac:dyDescent="0.35">
      <c r="U531" s="280"/>
      <c r="V531" s="280"/>
    </row>
    <row r="532" spans="21:22" ht="20.399999999999999" x14ac:dyDescent="0.35">
      <c r="U532" s="280"/>
      <c r="V532" s="280"/>
    </row>
    <row r="533" spans="21:22" ht="20.399999999999999" x14ac:dyDescent="0.35">
      <c r="U533" s="280"/>
      <c r="V533" s="280"/>
    </row>
    <row r="534" spans="21:22" ht="20.399999999999999" x14ac:dyDescent="0.35">
      <c r="U534" s="280"/>
      <c r="V534" s="280"/>
    </row>
    <row r="535" spans="21:22" ht="20.399999999999999" x14ac:dyDescent="0.35">
      <c r="U535" s="280"/>
      <c r="V535" s="280"/>
    </row>
    <row r="536" spans="21:22" ht="20.399999999999999" x14ac:dyDescent="0.35">
      <c r="U536" s="280"/>
      <c r="V536" s="280"/>
    </row>
    <row r="537" spans="21:22" ht="20.399999999999999" x14ac:dyDescent="0.35">
      <c r="U537" s="280"/>
      <c r="V537" s="280"/>
    </row>
    <row r="538" spans="21:22" ht="20.399999999999999" x14ac:dyDescent="0.35">
      <c r="U538" s="280"/>
      <c r="V538" s="280"/>
    </row>
    <row r="539" spans="21:22" ht="20.399999999999999" x14ac:dyDescent="0.35">
      <c r="U539" s="280"/>
      <c r="V539" s="280"/>
    </row>
    <row r="540" spans="21:22" ht="20.399999999999999" x14ac:dyDescent="0.35">
      <c r="U540" s="280"/>
      <c r="V540" s="280"/>
    </row>
    <row r="541" spans="21:22" ht="20.399999999999999" x14ac:dyDescent="0.35">
      <c r="U541" s="280"/>
      <c r="V541" s="280"/>
    </row>
    <row r="542" spans="21:22" ht="20.399999999999999" x14ac:dyDescent="0.35">
      <c r="U542" s="280"/>
      <c r="V542" s="280"/>
    </row>
    <row r="543" spans="21:22" ht="20.399999999999999" x14ac:dyDescent="0.35">
      <c r="U543" s="280"/>
      <c r="V543" s="280"/>
    </row>
    <row r="544" spans="21:22" ht="20.399999999999999" x14ac:dyDescent="0.35">
      <c r="U544" s="280"/>
      <c r="V544" s="280"/>
    </row>
    <row r="545" spans="21:22" ht="20.399999999999999" x14ac:dyDescent="0.35">
      <c r="U545" s="280"/>
      <c r="V545" s="280"/>
    </row>
    <row r="546" spans="21:22" ht="20.399999999999999" x14ac:dyDescent="0.35">
      <c r="U546" s="280"/>
      <c r="V546" s="280"/>
    </row>
    <row r="547" spans="21:22" ht="20.399999999999999" x14ac:dyDescent="0.35">
      <c r="U547" s="280"/>
      <c r="V547" s="280"/>
    </row>
    <row r="548" spans="21:22" ht="20.399999999999999" x14ac:dyDescent="0.35">
      <c r="U548" s="280"/>
      <c r="V548" s="280"/>
    </row>
    <row r="549" spans="21:22" ht="20.399999999999999" x14ac:dyDescent="0.35">
      <c r="U549" s="280"/>
      <c r="V549" s="280"/>
    </row>
    <row r="550" spans="21:22" ht="20.399999999999999" x14ac:dyDescent="0.35">
      <c r="U550" s="280"/>
      <c r="V550" s="280"/>
    </row>
    <row r="551" spans="21:22" ht="20.399999999999999" x14ac:dyDescent="0.35">
      <c r="U551" s="280"/>
      <c r="V551" s="280"/>
    </row>
    <row r="552" spans="21:22" ht="20.399999999999999" x14ac:dyDescent="0.35">
      <c r="U552" s="280"/>
      <c r="V552" s="280"/>
    </row>
    <row r="553" spans="21:22" ht="20.399999999999999" x14ac:dyDescent="0.35">
      <c r="U553" s="280"/>
      <c r="V553" s="280"/>
    </row>
    <row r="554" spans="21:22" ht="20.399999999999999" x14ac:dyDescent="0.35">
      <c r="U554" s="280"/>
      <c r="V554" s="280"/>
    </row>
    <row r="555" spans="21:22" ht="20.399999999999999" x14ac:dyDescent="0.35">
      <c r="U555" s="280"/>
      <c r="V555" s="280"/>
    </row>
    <row r="556" spans="21:22" ht="20.399999999999999" x14ac:dyDescent="0.35">
      <c r="U556" s="280"/>
      <c r="V556" s="280"/>
    </row>
    <row r="557" spans="21:22" ht="20.399999999999999" x14ac:dyDescent="0.35">
      <c r="U557" s="280"/>
      <c r="V557" s="280"/>
    </row>
    <row r="558" spans="21:22" ht="20.399999999999999" x14ac:dyDescent="0.35">
      <c r="U558" s="280"/>
      <c r="V558" s="280"/>
    </row>
    <row r="559" spans="21:22" ht="20.399999999999999" x14ac:dyDescent="0.35">
      <c r="U559" s="280"/>
      <c r="V559" s="280"/>
    </row>
    <row r="560" spans="21:22" ht="20.399999999999999" x14ac:dyDescent="0.35">
      <c r="U560" s="280"/>
      <c r="V560" s="280"/>
    </row>
    <row r="561" spans="21:22" ht="20.399999999999999" x14ac:dyDescent="0.35">
      <c r="U561" s="280"/>
      <c r="V561" s="280"/>
    </row>
    <row r="562" spans="21:22" ht="20.399999999999999" x14ac:dyDescent="0.35">
      <c r="U562" s="280"/>
      <c r="V562" s="280"/>
    </row>
    <row r="563" spans="21:22" ht="20.399999999999999" x14ac:dyDescent="0.35">
      <c r="U563" s="280"/>
      <c r="V563" s="280"/>
    </row>
    <row r="564" spans="21:22" ht="20.399999999999999" x14ac:dyDescent="0.35">
      <c r="U564" s="280"/>
      <c r="V564" s="280"/>
    </row>
    <row r="565" spans="21:22" ht="20.399999999999999" x14ac:dyDescent="0.35">
      <c r="U565" s="280"/>
      <c r="V565" s="280"/>
    </row>
    <row r="566" spans="21:22" ht="20.399999999999999" x14ac:dyDescent="0.35">
      <c r="U566" s="280"/>
      <c r="V566" s="280"/>
    </row>
    <row r="567" spans="21:22" ht="20.399999999999999" x14ac:dyDescent="0.35">
      <c r="U567" s="280"/>
      <c r="V567" s="280"/>
    </row>
    <row r="568" spans="21:22" ht="20.399999999999999" x14ac:dyDescent="0.35">
      <c r="U568" s="280"/>
      <c r="V568" s="280"/>
    </row>
    <row r="569" spans="21:22" ht="20.399999999999999" x14ac:dyDescent="0.35">
      <c r="U569" s="280"/>
      <c r="V569" s="280"/>
    </row>
    <row r="570" spans="21:22" ht="20.399999999999999" x14ac:dyDescent="0.35">
      <c r="U570" s="280"/>
      <c r="V570" s="280"/>
    </row>
    <row r="571" spans="21:22" ht="20.399999999999999" x14ac:dyDescent="0.35">
      <c r="U571" s="280"/>
      <c r="V571" s="280"/>
    </row>
    <row r="572" spans="21:22" ht="20.399999999999999" x14ac:dyDescent="0.35">
      <c r="U572" s="280"/>
      <c r="V572" s="280"/>
    </row>
    <row r="573" spans="21:22" ht="20.399999999999999" x14ac:dyDescent="0.35">
      <c r="U573" s="280"/>
      <c r="V573" s="280"/>
    </row>
    <row r="574" spans="21:22" ht="20.399999999999999" x14ac:dyDescent="0.35">
      <c r="U574" s="280"/>
      <c r="V574" s="280"/>
    </row>
    <row r="575" spans="21:22" ht="20.399999999999999" x14ac:dyDescent="0.35">
      <c r="U575" s="280"/>
      <c r="V575" s="280"/>
    </row>
    <row r="576" spans="21:22" ht="20.399999999999999" x14ac:dyDescent="0.35">
      <c r="U576" s="280"/>
      <c r="V576" s="280"/>
    </row>
    <row r="577" spans="21:22" ht="20.399999999999999" x14ac:dyDescent="0.35">
      <c r="U577" s="280"/>
      <c r="V577" s="280"/>
    </row>
    <row r="578" spans="21:22" ht="20.399999999999999" x14ac:dyDescent="0.35">
      <c r="U578" s="280"/>
      <c r="V578" s="280"/>
    </row>
    <row r="579" spans="21:22" ht="20.399999999999999" x14ac:dyDescent="0.35">
      <c r="U579" s="280"/>
      <c r="V579" s="280"/>
    </row>
    <row r="580" spans="21:22" ht="20.399999999999999" x14ac:dyDescent="0.35">
      <c r="U580" s="280"/>
      <c r="V580" s="280"/>
    </row>
    <row r="581" spans="21:22" ht="20.399999999999999" x14ac:dyDescent="0.35">
      <c r="U581" s="280"/>
      <c r="V581" s="280"/>
    </row>
    <row r="582" spans="21:22" ht="20.399999999999999" x14ac:dyDescent="0.35">
      <c r="U582" s="280"/>
      <c r="V582" s="280"/>
    </row>
    <row r="583" spans="21:22" ht="20.399999999999999" x14ac:dyDescent="0.35">
      <c r="U583" s="280"/>
      <c r="V583" s="280"/>
    </row>
    <row r="584" spans="21:22" ht="20.399999999999999" x14ac:dyDescent="0.35">
      <c r="U584" s="280"/>
      <c r="V584" s="280"/>
    </row>
    <row r="585" spans="21:22" ht="20.399999999999999" x14ac:dyDescent="0.35">
      <c r="U585" s="280"/>
      <c r="V585" s="280"/>
    </row>
    <row r="586" spans="21:22" ht="20.399999999999999" x14ac:dyDescent="0.35">
      <c r="U586" s="280"/>
      <c r="V586" s="280"/>
    </row>
    <row r="587" spans="21:22" ht="20.399999999999999" x14ac:dyDescent="0.35">
      <c r="U587" s="280"/>
      <c r="V587" s="280"/>
    </row>
    <row r="588" spans="21:22" ht="20.399999999999999" x14ac:dyDescent="0.35">
      <c r="U588" s="280"/>
      <c r="V588" s="280"/>
    </row>
    <row r="589" spans="21:22" ht="20.399999999999999" x14ac:dyDescent="0.35">
      <c r="U589" s="280"/>
      <c r="V589" s="280"/>
    </row>
    <row r="590" spans="21:22" ht="20.399999999999999" x14ac:dyDescent="0.35">
      <c r="U590" s="280"/>
      <c r="V590" s="280"/>
    </row>
    <row r="591" spans="21:22" ht="20.399999999999999" x14ac:dyDescent="0.35">
      <c r="U591" s="280"/>
      <c r="V591" s="280"/>
    </row>
    <row r="592" spans="21:22" ht="20.399999999999999" x14ac:dyDescent="0.35">
      <c r="U592" s="280"/>
      <c r="V592" s="280"/>
    </row>
    <row r="593" spans="21:22" ht="20.399999999999999" x14ac:dyDescent="0.35">
      <c r="U593" s="280"/>
      <c r="V593" s="280"/>
    </row>
    <row r="594" spans="21:22" ht="20.399999999999999" x14ac:dyDescent="0.35">
      <c r="U594" s="280"/>
      <c r="V594" s="280"/>
    </row>
    <row r="595" spans="21:22" ht="20.399999999999999" x14ac:dyDescent="0.35">
      <c r="U595" s="280"/>
      <c r="V595" s="280"/>
    </row>
    <row r="596" spans="21:22" ht="20.399999999999999" x14ac:dyDescent="0.35">
      <c r="U596" s="280"/>
      <c r="V596" s="280"/>
    </row>
    <row r="597" spans="21:22" ht="20.399999999999999" x14ac:dyDescent="0.35">
      <c r="U597" s="280"/>
      <c r="V597" s="280"/>
    </row>
    <row r="598" spans="21:22" ht="20.399999999999999" x14ac:dyDescent="0.35">
      <c r="U598" s="280"/>
      <c r="V598" s="280"/>
    </row>
    <row r="599" spans="21:22" ht="20.399999999999999" x14ac:dyDescent="0.35">
      <c r="U599" s="280"/>
      <c r="V599" s="280"/>
    </row>
    <row r="600" spans="21:22" ht="20.399999999999999" x14ac:dyDescent="0.35">
      <c r="U600" s="280"/>
      <c r="V600" s="280"/>
    </row>
    <row r="601" spans="21:22" ht="20.399999999999999" x14ac:dyDescent="0.35">
      <c r="U601" s="280"/>
      <c r="V601" s="280"/>
    </row>
    <row r="602" spans="21:22" ht="20.399999999999999" x14ac:dyDescent="0.35">
      <c r="U602" s="280"/>
      <c r="V602" s="280"/>
    </row>
    <row r="603" spans="21:22" ht="20.399999999999999" x14ac:dyDescent="0.35">
      <c r="U603" s="280"/>
      <c r="V603" s="280"/>
    </row>
    <row r="604" spans="21:22" ht="20.399999999999999" x14ac:dyDescent="0.35">
      <c r="U604" s="280"/>
      <c r="V604" s="280"/>
    </row>
    <row r="605" spans="21:22" ht="20.399999999999999" x14ac:dyDescent="0.35">
      <c r="U605" s="280"/>
      <c r="V605" s="280"/>
    </row>
    <row r="606" spans="21:22" ht="20.399999999999999" x14ac:dyDescent="0.35">
      <c r="U606" s="280"/>
      <c r="V606" s="280"/>
    </row>
    <row r="607" spans="21:22" ht="20.399999999999999" x14ac:dyDescent="0.35">
      <c r="U607" s="280"/>
      <c r="V607" s="280"/>
    </row>
    <row r="608" spans="21:22" ht="20.399999999999999" x14ac:dyDescent="0.35">
      <c r="U608" s="280"/>
      <c r="V608" s="280"/>
    </row>
    <row r="609" spans="21:22" ht="20.399999999999999" x14ac:dyDescent="0.35">
      <c r="U609" s="280"/>
      <c r="V609" s="280"/>
    </row>
    <row r="610" spans="21:22" ht="20.399999999999999" x14ac:dyDescent="0.35">
      <c r="U610" s="280"/>
      <c r="V610" s="280"/>
    </row>
    <row r="611" spans="21:22" ht="20.399999999999999" x14ac:dyDescent="0.35">
      <c r="U611" s="280"/>
      <c r="V611" s="280"/>
    </row>
    <row r="612" spans="21:22" ht="20.399999999999999" x14ac:dyDescent="0.35">
      <c r="U612" s="280"/>
      <c r="V612" s="280"/>
    </row>
    <row r="613" spans="21:22" ht="20.399999999999999" x14ac:dyDescent="0.35">
      <c r="U613" s="280"/>
      <c r="V613" s="280"/>
    </row>
    <row r="614" spans="21:22" ht="20.399999999999999" x14ac:dyDescent="0.35">
      <c r="U614" s="280"/>
      <c r="V614" s="280"/>
    </row>
    <row r="615" spans="21:22" ht="20.399999999999999" x14ac:dyDescent="0.35">
      <c r="U615" s="280"/>
      <c r="V615" s="280"/>
    </row>
    <row r="616" spans="21:22" ht="20.399999999999999" x14ac:dyDescent="0.35">
      <c r="U616" s="280"/>
      <c r="V616" s="280"/>
    </row>
    <row r="617" spans="21:22" ht="20.399999999999999" x14ac:dyDescent="0.35">
      <c r="U617" s="280"/>
      <c r="V617" s="280"/>
    </row>
    <row r="618" spans="21:22" ht="20.399999999999999" x14ac:dyDescent="0.35">
      <c r="U618" s="280"/>
      <c r="V618" s="280"/>
    </row>
    <row r="619" spans="21:22" ht="20.399999999999999" x14ac:dyDescent="0.35">
      <c r="U619" s="280"/>
      <c r="V619" s="280"/>
    </row>
    <row r="620" spans="21:22" ht="20.399999999999999" x14ac:dyDescent="0.35">
      <c r="U620" s="280"/>
      <c r="V620" s="280"/>
    </row>
    <row r="621" spans="21:22" ht="20.399999999999999" x14ac:dyDescent="0.35">
      <c r="U621" s="280"/>
      <c r="V621" s="280"/>
    </row>
    <row r="622" spans="21:22" ht="20.399999999999999" x14ac:dyDescent="0.35">
      <c r="U622" s="280"/>
      <c r="V622" s="280"/>
    </row>
    <row r="623" spans="21:22" ht="20.399999999999999" x14ac:dyDescent="0.35">
      <c r="U623" s="280"/>
      <c r="V623" s="280"/>
    </row>
    <row r="624" spans="21:22" ht="20.399999999999999" x14ac:dyDescent="0.35">
      <c r="U624" s="280"/>
      <c r="V624" s="280"/>
    </row>
    <row r="625" spans="21:22" ht="20.399999999999999" x14ac:dyDescent="0.35">
      <c r="U625" s="280"/>
      <c r="V625" s="280"/>
    </row>
    <row r="626" spans="21:22" ht="20.399999999999999" x14ac:dyDescent="0.35">
      <c r="U626" s="280"/>
      <c r="V626" s="280"/>
    </row>
    <row r="627" spans="21:22" ht="20.399999999999999" x14ac:dyDescent="0.35">
      <c r="U627" s="280"/>
      <c r="V627" s="280"/>
    </row>
    <row r="628" spans="21:22" ht="20.399999999999999" x14ac:dyDescent="0.35">
      <c r="U628" s="280"/>
      <c r="V628" s="280"/>
    </row>
    <row r="629" spans="21:22" ht="20.399999999999999" x14ac:dyDescent="0.35">
      <c r="U629" s="280"/>
      <c r="V629" s="280"/>
    </row>
    <row r="630" spans="21:22" ht="20.399999999999999" x14ac:dyDescent="0.35">
      <c r="U630" s="280"/>
      <c r="V630" s="280"/>
    </row>
    <row r="631" spans="21:22" ht="20.399999999999999" x14ac:dyDescent="0.35">
      <c r="U631" s="280"/>
      <c r="V631" s="280"/>
    </row>
    <row r="632" spans="21:22" ht="20.399999999999999" x14ac:dyDescent="0.35">
      <c r="U632" s="280"/>
      <c r="V632" s="280"/>
    </row>
    <row r="633" spans="21:22" ht="20.399999999999999" x14ac:dyDescent="0.35">
      <c r="U633" s="280"/>
      <c r="V633" s="280"/>
    </row>
    <row r="634" spans="21:22" ht="20.399999999999999" x14ac:dyDescent="0.35">
      <c r="U634" s="280"/>
      <c r="V634" s="280"/>
    </row>
    <row r="635" spans="21:22" ht="20.399999999999999" x14ac:dyDescent="0.35">
      <c r="U635" s="280"/>
      <c r="V635" s="280"/>
    </row>
    <row r="636" spans="21:22" ht="20.399999999999999" x14ac:dyDescent="0.35">
      <c r="U636" s="280"/>
      <c r="V636" s="280"/>
    </row>
    <row r="637" spans="21:22" ht="20.399999999999999" x14ac:dyDescent="0.35">
      <c r="U637" s="280"/>
      <c r="V637" s="280"/>
    </row>
    <row r="638" spans="21:22" ht="20.399999999999999" x14ac:dyDescent="0.35">
      <c r="U638" s="280"/>
      <c r="V638" s="280"/>
    </row>
    <row r="639" spans="21:22" ht="20.399999999999999" x14ac:dyDescent="0.35">
      <c r="U639" s="280"/>
      <c r="V639" s="280"/>
    </row>
    <row r="640" spans="21:22" ht="20.399999999999999" x14ac:dyDescent="0.35">
      <c r="U640" s="280"/>
      <c r="V640" s="280"/>
    </row>
    <row r="641" spans="21:22" ht="20.399999999999999" x14ac:dyDescent="0.35">
      <c r="U641" s="280"/>
      <c r="V641" s="280"/>
    </row>
    <row r="642" spans="21:22" ht="20.399999999999999" x14ac:dyDescent="0.35">
      <c r="U642" s="280"/>
      <c r="V642" s="280"/>
    </row>
    <row r="643" spans="21:22" ht="20.399999999999999" x14ac:dyDescent="0.35">
      <c r="U643" s="280"/>
      <c r="V643" s="280"/>
    </row>
    <row r="644" spans="21:22" ht="20.399999999999999" x14ac:dyDescent="0.35">
      <c r="U644" s="280"/>
      <c r="V644" s="280"/>
    </row>
    <row r="645" spans="21:22" ht="20.399999999999999" x14ac:dyDescent="0.35">
      <c r="U645" s="280"/>
      <c r="V645" s="280"/>
    </row>
    <row r="646" spans="21:22" ht="20.399999999999999" x14ac:dyDescent="0.35">
      <c r="U646" s="280"/>
      <c r="V646" s="280"/>
    </row>
    <row r="647" spans="21:22" ht="20.399999999999999" x14ac:dyDescent="0.35">
      <c r="U647" s="280"/>
      <c r="V647" s="280"/>
    </row>
    <row r="648" spans="21:22" ht="20.399999999999999" x14ac:dyDescent="0.35">
      <c r="U648" s="280"/>
      <c r="V648" s="280"/>
    </row>
    <row r="649" spans="21:22" ht="20.399999999999999" x14ac:dyDescent="0.35">
      <c r="U649" s="280"/>
      <c r="V649" s="280"/>
    </row>
    <row r="650" spans="21:22" ht="20.399999999999999" x14ac:dyDescent="0.35">
      <c r="U650" s="280"/>
      <c r="V650" s="280"/>
    </row>
    <row r="651" spans="21:22" ht="20.399999999999999" x14ac:dyDescent="0.35">
      <c r="U651" s="280"/>
      <c r="V651" s="280"/>
    </row>
    <row r="652" spans="21:22" ht="20.399999999999999" x14ac:dyDescent="0.35">
      <c r="U652" s="280"/>
      <c r="V652" s="280"/>
    </row>
    <row r="653" spans="21:22" ht="20.399999999999999" x14ac:dyDescent="0.35">
      <c r="U653" s="280"/>
      <c r="V653" s="280"/>
    </row>
    <row r="654" spans="21:22" ht="20.399999999999999" x14ac:dyDescent="0.35">
      <c r="U654" s="280"/>
      <c r="V654" s="280"/>
    </row>
    <row r="655" spans="21:22" ht="20.399999999999999" x14ac:dyDescent="0.35">
      <c r="U655" s="280"/>
      <c r="V655" s="280"/>
    </row>
    <row r="656" spans="21:22" ht="20.399999999999999" x14ac:dyDescent="0.35">
      <c r="U656" s="280"/>
      <c r="V656" s="280"/>
    </row>
    <row r="657" spans="21:22" ht="20.399999999999999" x14ac:dyDescent="0.35">
      <c r="U657" s="280"/>
      <c r="V657" s="280"/>
    </row>
    <row r="658" spans="21:22" ht="20.399999999999999" x14ac:dyDescent="0.35">
      <c r="U658" s="280"/>
      <c r="V658" s="280"/>
    </row>
    <row r="659" spans="21:22" ht="20.399999999999999" x14ac:dyDescent="0.35">
      <c r="U659" s="280"/>
      <c r="V659" s="280"/>
    </row>
    <row r="660" spans="21:22" ht="20.399999999999999" x14ac:dyDescent="0.35">
      <c r="U660" s="280"/>
      <c r="V660" s="280"/>
    </row>
    <row r="661" spans="21:22" ht="20.399999999999999" x14ac:dyDescent="0.35">
      <c r="U661" s="280"/>
      <c r="V661" s="280"/>
    </row>
    <row r="662" spans="21:22" ht="20.399999999999999" x14ac:dyDescent="0.35">
      <c r="U662" s="280"/>
      <c r="V662" s="280"/>
    </row>
    <row r="663" spans="21:22" ht="20.399999999999999" x14ac:dyDescent="0.35">
      <c r="U663" s="280"/>
      <c r="V663" s="280"/>
    </row>
    <row r="664" spans="21:22" ht="20.399999999999999" x14ac:dyDescent="0.35">
      <c r="U664" s="280"/>
      <c r="V664" s="280"/>
    </row>
    <row r="665" spans="21:22" ht="20.399999999999999" x14ac:dyDescent="0.35">
      <c r="U665" s="280"/>
      <c r="V665" s="280"/>
    </row>
    <row r="666" spans="21:22" ht="20.399999999999999" x14ac:dyDescent="0.35">
      <c r="U666" s="280"/>
      <c r="V666" s="280"/>
    </row>
    <row r="667" spans="21:22" ht="20.399999999999999" x14ac:dyDescent="0.35">
      <c r="U667" s="280"/>
      <c r="V667" s="280"/>
    </row>
    <row r="668" spans="21:22" ht="20.399999999999999" x14ac:dyDescent="0.35">
      <c r="U668" s="280"/>
      <c r="V668" s="280"/>
    </row>
    <row r="669" spans="21:22" ht="20.399999999999999" x14ac:dyDescent="0.35">
      <c r="U669" s="280"/>
      <c r="V669" s="280"/>
    </row>
    <row r="670" spans="21:22" ht="20.399999999999999" x14ac:dyDescent="0.35">
      <c r="U670" s="280"/>
      <c r="V670" s="280"/>
    </row>
    <row r="671" spans="21:22" ht="20.399999999999999" x14ac:dyDescent="0.35">
      <c r="U671" s="280"/>
      <c r="V671" s="280"/>
    </row>
    <row r="672" spans="21:22" ht="20.399999999999999" x14ac:dyDescent="0.35">
      <c r="U672" s="280"/>
      <c r="V672" s="280"/>
    </row>
    <row r="673" spans="21:22" ht="20.399999999999999" x14ac:dyDescent="0.35">
      <c r="U673" s="280"/>
      <c r="V673" s="280"/>
    </row>
    <row r="674" spans="21:22" ht="20.399999999999999" x14ac:dyDescent="0.35">
      <c r="U674" s="280"/>
      <c r="V674" s="280"/>
    </row>
    <row r="675" spans="21:22" ht="20.399999999999999" x14ac:dyDescent="0.35">
      <c r="U675" s="280"/>
      <c r="V675" s="280"/>
    </row>
    <row r="676" spans="21:22" ht="20.399999999999999" x14ac:dyDescent="0.35">
      <c r="U676" s="280"/>
      <c r="V676" s="280"/>
    </row>
    <row r="677" spans="21:22" ht="20.399999999999999" x14ac:dyDescent="0.35">
      <c r="U677" s="280"/>
      <c r="V677" s="280"/>
    </row>
    <row r="678" spans="21:22" ht="20.399999999999999" x14ac:dyDescent="0.35">
      <c r="U678" s="280"/>
      <c r="V678" s="280"/>
    </row>
    <row r="679" spans="21:22" ht="20.399999999999999" x14ac:dyDescent="0.35">
      <c r="U679" s="280"/>
      <c r="V679" s="280"/>
    </row>
    <row r="680" spans="21:22" ht="20.399999999999999" x14ac:dyDescent="0.35">
      <c r="U680" s="280"/>
      <c r="V680" s="280"/>
    </row>
    <row r="681" spans="21:22" ht="20.399999999999999" x14ac:dyDescent="0.35">
      <c r="U681" s="280"/>
      <c r="V681" s="280"/>
    </row>
    <row r="682" spans="21:22" ht="20.399999999999999" x14ac:dyDescent="0.35">
      <c r="U682" s="280"/>
      <c r="V682" s="280"/>
    </row>
    <row r="683" spans="21:22" ht="20.399999999999999" x14ac:dyDescent="0.35">
      <c r="U683" s="280"/>
      <c r="V683" s="280"/>
    </row>
    <row r="684" spans="21:22" ht="20.399999999999999" x14ac:dyDescent="0.35">
      <c r="U684" s="280"/>
      <c r="V684" s="280"/>
    </row>
    <row r="685" spans="21:22" ht="20.399999999999999" x14ac:dyDescent="0.35">
      <c r="U685" s="280"/>
      <c r="V685" s="280"/>
    </row>
    <row r="686" spans="21:22" ht="20.399999999999999" x14ac:dyDescent="0.35">
      <c r="U686" s="280"/>
      <c r="V686" s="280"/>
    </row>
    <row r="687" spans="21:22" ht="20.399999999999999" x14ac:dyDescent="0.35">
      <c r="U687" s="280"/>
      <c r="V687" s="280"/>
    </row>
    <row r="688" spans="21:22" ht="20.399999999999999" x14ac:dyDescent="0.35">
      <c r="U688" s="280"/>
      <c r="V688" s="280"/>
    </row>
    <row r="689" spans="21:22" ht="20.399999999999999" x14ac:dyDescent="0.35">
      <c r="U689" s="280"/>
      <c r="V689" s="280"/>
    </row>
    <row r="690" spans="21:22" ht="20.399999999999999" x14ac:dyDescent="0.35">
      <c r="U690" s="280"/>
      <c r="V690" s="280"/>
    </row>
    <row r="691" spans="21:22" ht="20.399999999999999" x14ac:dyDescent="0.35">
      <c r="U691" s="280"/>
      <c r="V691" s="280"/>
    </row>
    <row r="692" spans="21:22" ht="20.399999999999999" x14ac:dyDescent="0.35">
      <c r="U692" s="280"/>
      <c r="V692" s="280"/>
    </row>
    <row r="693" spans="21:22" ht="20.399999999999999" x14ac:dyDescent="0.35">
      <c r="U693" s="280"/>
      <c r="V693" s="280"/>
    </row>
    <row r="694" spans="21:22" ht="20.399999999999999" x14ac:dyDescent="0.35">
      <c r="U694" s="280"/>
      <c r="V694" s="280"/>
    </row>
    <row r="695" spans="21:22" ht="20.399999999999999" x14ac:dyDescent="0.35">
      <c r="U695" s="280"/>
      <c r="V695" s="280"/>
    </row>
    <row r="696" spans="21:22" ht="20.399999999999999" x14ac:dyDescent="0.35">
      <c r="U696" s="280"/>
      <c r="V696" s="280"/>
    </row>
    <row r="697" spans="21:22" ht="20.399999999999999" x14ac:dyDescent="0.35">
      <c r="U697" s="280"/>
      <c r="V697" s="280"/>
    </row>
    <row r="698" spans="21:22" ht="20.399999999999999" x14ac:dyDescent="0.35">
      <c r="U698" s="280"/>
      <c r="V698" s="280"/>
    </row>
    <row r="699" spans="21:22" ht="20.399999999999999" x14ac:dyDescent="0.35">
      <c r="U699" s="280"/>
      <c r="V699" s="280"/>
    </row>
    <row r="700" spans="21:22" ht="20.399999999999999" x14ac:dyDescent="0.35">
      <c r="U700" s="280"/>
      <c r="V700" s="280"/>
    </row>
    <row r="701" spans="21:22" ht="20.399999999999999" x14ac:dyDescent="0.35">
      <c r="U701" s="280"/>
      <c r="V701" s="280"/>
    </row>
    <row r="702" spans="21:22" ht="20.399999999999999" x14ac:dyDescent="0.35">
      <c r="U702" s="280"/>
      <c r="V702" s="280"/>
    </row>
    <row r="703" spans="21:22" ht="20.399999999999999" x14ac:dyDescent="0.35">
      <c r="U703" s="280"/>
      <c r="V703" s="280"/>
    </row>
    <row r="704" spans="21:22" ht="20.399999999999999" x14ac:dyDescent="0.35">
      <c r="U704" s="280"/>
      <c r="V704" s="280"/>
    </row>
    <row r="705" spans="21:22" ht="20.399999999999999" x14ac:dyDescent="0.35">
      <c r="U705" s="280"/>
      <c r="V705" s="280"/>
    </row>
    <row r="706" spans="21:22" ht="20.399999999999999" x14ac:dyDescent="0.35">
      <c r="U706" s="280"/>
      <c r="V706" s="280"/>
    </row>
    <row r="707" spans="21:22" ht="20.399999999999999" x14ac:dyDescent="0.35">
      <c r="U707" s="280"/>
      <c r="V707" s="280"/>
    </row>
    <row r="708" spans="21:22" ht="20.399999999999999" x14ac:dyDescent="0.35">
      <c r="U708" s="280"/>
      <c r="V708" s="280"/>
    </row>
    <row r="709" spans="21:22" ht="20.399999999999999" x14ac:dyDescent="0.35">
      <c r="U709" s="280"/>
      <c r="V709" s="280"/>
    </row>
    <row r="710" spans="21:22" ht="20.399999999999999" x14ac:dyDescent="0.35">
      <c r="U710" s="280"/>
      <c r="V710" s="280"/>
    </row>
    <row r="711" spans="21:22" ht="20.399999999999999" x14ac:dyDescent="0.35">
      <c r="U711" s="280"/>
      <c r="V711" s="280"/>
    </row>
    <row r="712" spans="21:22" ht="20.399999999999999" x14ac:dyDescent="0.35">
      <c r="U712" s="280"/>
      <c r="V712" s="280"/>
    </row>
    <row r="713" spans="21:22" ht="20.399999999999999" x14ac:dyDescent="0.35">
      <c r="U713" s="280"/>
      <c r="V713" s="280"/>
    </row>
    <row r="714" spans="21:22" ht="20.399999999999999" x14ac:dyDescent="0.35">
      <c r="U714" s="280"/>
      <c r="V714" s="280"/>
    </row>
    <row r="715" spans="21:22" ht="20.399999999999999" x14ac:dyDescent="0.35">
      <c r="U715" s="280"/>
      <c r="V715" s="280"/>
    </row>
    <row r="716" spans="21:22" ht="20.399999999999999" x14ac:dyDescent="0.35">
      <c r="U716" s="280"/>
      <c r="V716" s="280"/>
    </row>
    <row r="717" spans="21:22" ht="20.399999999999999" x14ac:dyDescent="0.35">
      <c r="U717" s="280"/>
      <c r="V717" s="280"/>
    </row>
    <row r="718" spans="21:22" ht="20.399999999999999" x14ac:dyDescent="0.35">
      <c r="U718" s="280"/>
      <c r="V718" s="280"/>
    </row>
    <row r="719" spans="21:22" ht="20.399999999999999" x14ac:dyDescent="0.35">
      <c r="U719" s="280"/>
      <c r="V719" s="280"/>
    </row>
    <row r="720" spans="21:22" ht="20.399999999999999" x14ac:dyDescent="0.35">
      <c r="U720" s="280"/>
      <c r="V720" s="280"/>
    </row>
    <row r="721" spans="21:22" ht="20.399999999999999" x14ac:dyDescent="0.35">
      <c r="U721" s="280"/>
      <c r="V721" s="280"/>
    </row>
    <row r="722" spans="21:22" ht="20.399999999999999" x14ac:dyDescent="0.35">
      <c r="U722" s="280"/>
      <c r="V722" s="280"/>
    </row>
    <row r="723" spans="21:22" ht="20.399999999999999" x14ac:dyDescent="0.35">
      <c r="U723" s="280"/>
      <c r="V723" s="280"/>
    </row>
    <row r="724" spans="21:22" ht="20.399999999999999" x14ac:dyDescent="0.35">
      <c r="U724" s="280"/>
      <c r="V724" s="280"/>
    </row>
    <row r="725" spans="21:22" ht="20.399999999999999" x14ac:dyDescent="0.35">
      <c r="U725" s="280"/>
      <c r="V725" s="280"/>
    </row>
    <row r="726" spans="21:22" ht="20.399999999999999" x14ac:dyDescent="0.35">
      <c r="U726" s="280"/>
      <c r="V726" s="280"/>
    </row>
    <row r="727" spans="21:22" ht="20.399999999999999" x14ac:dyDescent="0.35">
      <c r="U727" s="280"/>
      <c r="V727" s="280"/>
    </row>
    <row r="728" spans="21:22" ht="20.399999999999999" x14ac:dyDescent="0.35">
      <c r="U728" s="280"/>
      <c r="V728" s="280"/>
    </row>
    <row r="729" spans="21:22" ht="20.399999999999999" x14ac:dyDescent="0.35">
      <c r="U729" s="280"/>
      <c r="V729" s="280"/>
    </row>
    <row r="730" spans="21:22" ht="20.399999999999999" x14ac:dyDescent="0.35">
      <c r="U730" s="280"/>
      <c r="V730" s="280"/>
    </row>
    <row r="731" spans="21:22" ht="20.399999999999999" x14ac:dyDescent="0.35">
      <c r="U731" s="280"/>
      <c r="V731" s="280"/>
    </row>
    <row r="732" spans="21:22" ht="20.399999999999999" x14ac:dyDescent="0.35">
      <c r="U732" s="280"/>
      <c r="V732" s="280"/>
    </row>
    <row r="733" spans="21:22" ht="20.399999999999999" x14ac:dyDescent="0.35">
      <c r="U733" s="280"/>
      <c r="V733" s="280"/>
    </row>
    <row r="734" spans="21:22" ht="20.399999999999999" x14ac:dyDescent="0.35">
      <c r="U734" s="280"/>
      <c r="V734" s="280"/>
    </row>
    <row r="735" spans="21:22" ht="20.399999999999999" x14ac:dyDescent="0.35">
      <c r="U735" s="280"/>
      <c r="V735" s="280"/>
    </row>
    <row r="736" spans="21:22" ht="20.399999999999999" x14ac:dyDescent="0.35">
      <c r="U736" s="280"/>
      <c r="V736" s="280"/>
    </row>
    <row r="737" spans="21:22" ht="20.399999999999999" x14ac:dyDescent="0.35">
      <c r="U737" s="280"/>
      <c r="V737" s="280"/>
    </row>
    <row r="738" spans="21:22" ht="20.399999999999999" x14ac:dyDescent="0.35">
      <c r="U738" s="280"/>
      <c r="V738" s="280"/>
    </row>
    <row r="739" spans="21:22" ht="20.399999999999999" x14ac:dyDescent="0.35">
      <c r="U739" s="280"/>
      <c r="V739" s="280"/>
    </row>
    <row r="740" spans="21:22" ht="20.399999999999999" x14ac:dyDescent="0.35">
      <c r="U740" s="280"/>
      <c r="V740" s="280"/>
    </row>
    <row r="741" spans="21:22" ht="20.399999999999999" x14ac:dyDescent="0.35">
      <c r="U741" s="280"/>
      <c r="V741" s="280"/>
    </row>
    <row r="742" spans="21:22" ht="20.399999999999999" x14ac:dyDescent="0.35">
      <c r="U742" s="280"/>
      <c r="V742" s="280"/>
    </row>
    <row r="743" spans="21:22" ht="20.399999999999999" x14ac:dyDescent="0.35">
      <c r="U743" s="280"/>
      <c r="V743" s="280"/>
    </row>
    <row r="744" spans="21:22" ht="20.399999999999999" x14ac:dyDescent="0.35">
      <c r="U744" s="280"/>
      <c r="V744" s="280"/>
    </row>
    <row r="745" spans="21:22" ht="20.399999999999999" x14ac:dyDescent="0.35">
      <c r="U745" s="280"/>
      <c r="V745" s="280"/>
    </row>
    <row r="746" spans="21:22" ht="20.399999999999999" x14ac:dyDescent="0.35">
      <c r="U746" s="280"/>
      <c r="V746" s="280"/>
    </row>
    <row r="747" spans="21:22" ht="20.399999999999999" x14ac:dyDescent="0.35">
      <c r="U747" s="280"/>
      <c r="V747" s="280"/>
    </row>
    <row r="748" spans="21:22" ht="20.399999999999999" x14ac:dyDescent="0.35">
      <c r="U748" s="280"/>
      <c r="V748" s="280"/>
    </row>
    <row r="749" spans="21:22" ht="20.399999999999999" x14ac:dyDescent="0.35">
      <c r="U749" s="280"/>
      <c r="V749" s="280"/>
    </row>
    <row r="750" spans="21:22" ht="20.399999999999999" x14ac:dyDescent="0.35">
      <c r="U750" s="280"/>
      <c r="V750" s="280"/>
    </row>
    <row r="751" spans="21:22" ht="20.399999999999999" x14ac:dyDescent="0.35">
      <c r="U751" s="280"/>
      <c r="V751" s="280"/>
    </row>
    <row r="752" spans="21:22" ht="20.399999999999999" x14ac:dyDescent="0.35">
      <c r="U752" s="280"/>
      <c r="V752" s="280"/>
    </row>
    <row r="753" spans="21:22" ht="20.399999999999999" x14ac:dyDescent="0.35">
      <c r="U753" s="280"/>
      <c r="V753" s="280"/>
    </row>
    <row r="754" spans="21:22" ht="20.399999999999999" x14ac:dyDescent="0.35">
      <c r="U754" s="280"/>
      <c r="V754" s="280"/>
    </row>
    <row r="755" spans="21:22" ht="20.399999999999999" x14ac:dyDescent="0.35">
      <c r="U755" s="280"/>
      <c r="V755" s="280"/>
    </row>
    <row r="756" spans="21:22" ht="20.399999999999999" x14ac:dyDescent="0.35">
      <c r="U756" s="280"/>
      <c r="V756" s="280"/>
    </row>
    <row r="757" spans="21:22" ht="20.399999999999999" x14ac:dyDescent="0.35">
      <c r="U757" s="280"/>
      <c r="V757" s="280"/>
    </row>
    <row r="758" spans="21:22" ht="20.399999999999999" x14ac:dyDescent="0.35">
      <c r="U758" s="280"/>
      <c r="V758" s="280"/>
    </row>
    <row r="759" spans="21:22" ht="20.399999999999999" x14ac:dyDescent="0.35">
      <c r="U759" s="280"/>
      <c r="V759" s="280"/>
    </row>
    <row r="760" spans="21:22" ht="20.399999999999999" x14ac:dyDescent="0.35">
      <c r="U760" s="280"/>
      <c r="V760" s="280"/>
    </row>
    <row r="761" spans="21:22" ht="20.399999999999999" x14ac:dyDescent="0.35">
      <c r="U761" s="280"/>
      <c r="V761" s="280"/>
    </row>
    <row r="762" spans="21:22" ht="20.399999999999999" x14ac:dyDescent="0.35">
      <c r="U762" s="280"/>
      <c r="V762" s="280"/>
    </row>
    <row r="763" spans="21:22" ht="20.399999999999999" x14ac:dyDescent="0.35">
      <c r="U763" s="280"/>
      <c r="V763" s="280"/>
    </row>
    <row r="764" spans="21:22" ht="20.399999999999999" x14ac:dyDescent="0.35">
      <c r="U764" s="280"/>
      <c r="V764" s="280"/>
    </row>
    <row r="765" spans="21:22" ht="20.399999999999999" x14ac:dyDescent="0.35">
      <c r="U765" s="280"/>
      <c r="V765" s="280"/>
    </row>
    <row r="766" spans="21:22" ht="20.399999999999999" x14ac:dyDescent="0.35">
      <c r="U766" s="280"/>
      <c r="V766" s="280"/>
    </row>
    <row r="767" spans="21:22" ht="20.399999999999999" x14ac:dyDescent="0.35">
      <c r="U767" s="280"/>
      <c r="V767" s="280"/>
    </row>
    <row r="768" spans="21:22" ht="20.399999999999999" x14ac:dyDescent="0.35">
      <c r="U768" s="280"/>
      <c r="V768" s="280"/>
    </row>
    <row r="769" spans="21:22" ht="20.399999999999999" x14ac:dyDescent="0.35">
      <c r="U769" s="280"/>
      <c r="V769" s="280"/>
    </row>
    <row r="770" spans="21:22" ht="20.399999999999999" x14ac:dyDescent="0.35">
      <c r="U770" s="280"/>
      <c r="V770" s="280"/>
    </row>
    <row r="771" spans="21:22" ht="20.399999999999999" x14ac:dyDescent="0.35">
      <c r="U771" s="280"/>
      <c r="V771" s="280"/>
    </row>
    <row r="772" spans="21:22" ht="20.399999999999999" x14ac:dyDescent="0.35">
      <c r="U772" s="280"/>
      <c r="V772" s="280"/>
    </row>
    <row r="773" spans="21:22" ht="20.399999999999999" x14ac:dyDescent="0.35">
      <c r="U773" s="280"/>
      <c r="V773" s="280"/>
    </row>
    <row r="774" spans="21:22" ht="20.399999999999999" x14ac:dyDescent="0.35">
      <c r="U774" s="280"/>
      <c r="V774" s="280"/>
    </row>
    <row r="775" spans="21:22" ht="20.399999999999999" x14ac:dyDescent="0.35">
      <c r="U775" s="280"/>
      <c r="V775" s="280"/>
    </row>
    <row r="776" spans="21:22" ht="20.399999999999999" x14ac:dyDescent="0.35">
      <c r="U776" s="280"/>
      <c r="V776" s="280"/>
    </row>
    <row r="777" spans="21:22" ht="20.399999999999999" x14ac:dyDescent="0.35">
      <c r="U777" s="280"/>
      <c r="V777" s="280"/>
    </row>
    <row r="778" spans="21:22" ht="20.399999999999999" x14ac:dyDescent="0.35">
      <c r="U778" s="280"/>
      <c r="V778" s="280"/>
    </row>
    <row r="779" spans="21:22" ht="20.399999999999999" x14ac:dyDescent="0.35">
      <c r="U779" s="280"/>
      <c r="V779" s="280"/>
    </row>
    <row r="780" spans="21:22" ht="20.399999999999999" x14ac:dyDescent="0.35">
      <c r="U780" s="280"/>
      <c r="V780" s="280"/>
    </row>
    <row r="781" spans="21:22" ht="20.399999999999999" x14ac:dyDescent="0.35">
      <c r="U781" s="280"/>
      <c r="V781" s="280"/>
    </row>
    <row r="782" spans="21:22" ht="20.399999999999999" x14ac:dyDescent="0.35">
      <c r="U782" s="280"/>
      <c r="V782" s="280"/>
    </row>
    <row r="783" spans="21:22" ht="20.399999999999999" x14ac:dyDescent="0.35">
      <c r="U783" s="280"/>
      <c r="V783" s="280"/>
    </row>
    <row r="784" spans="21:22" ht="20.399999999999999" x14ac:dyDescent="0.35">
      <c r="U784" s="280"/>
      <c r="V784" s="280"/>
    </row>
    <row r="785" spans="21:22" ht="20.399999999999999" x14ac:dyDescent="0.35">
      <c r="U785" s="280"/>
      <c r="V785" s="280"/>
    </row>
    <row r="786" spans="21:22" ht="20.399999999999999" x14ac:dyDescent="0.35">
      <c r="U786" s="280"/>
      <c r="V786" s="280"/>
    </row>
    <row r="787" spans="21:22" ht="20.399999999999999" x14ac:dyDescent="0.35">
      <c r="U787" s="280"/>
      <c r="V787" s="280"/>
    </row>
    <row r="788" spans="21:22" ht="20.399999999999999" x14ac:dyDescent="0.35">
      <c r="U788" s="280"/>
      <c r="V788" s="280"/>
    </row>
    <row r="789" spans="21:22" ht="20.399999999999999" x14ac:dyDescent="0.35">
      <c r="U789" s="280"/>
      <c r="V789" s="280"/>
    </row>
    <row r="790" spans="21:22" ht="20.399999999999999" x14ac:dyDescent="0.35">
      <c r="U790" s="280"/>
      <c r="V790" s="280"/>
    </row>
    <row r="791" spans="21:22" ht="20.399999999999999" x14ac:dyDescent="0.35">
      <c r="U791" s="280"/>
      <c r="V791" s="280"/>
    </row>
    <row r="792" spans="21:22" ht="20.399999999999999" x14ac:dyDescent="0.35">
      <c r="U792" s="280"/>
      <c r="V792" s="280"/>
    </row>
    <row r="793" spans="21:22" ht="20.399999999999999" x14ac:dyDescent="0.35">
      <c r="U793" s="280"/>
      <c r="V793" s="280"/>
    </row>
    <row r="794" spans="21:22" ht="20.399999999999999" x14ac:dyDescent="0.35">
      <c r="U794" s="280"/>
      <c r="V794" s="280"/>
    </row>
    <row r="795" spans="21:22" ht="20.399999999999999" x14ac:dyDescent="0.35">
      <c r="U795" s="280"/>
      <c r="V795" s="280"/>
    </row>
    <row r="796" spans="21:22" ht="20.399999999999999" x14ac:dyDescent="0.35">
      <c r="U796" s="280"/>
      <c r="V796" s="280"/>
    </row>
    <row r="797" spans="21:22" ht="20.399999999999999" x14ac:dyDescent="0.35">
      <c r="U797" s="280"/>
      <c r="V797" s="280"/>
    </row>
    <row r="798" spans="21:22" ht="20.399999999999999" x14ac:dyDescent="0.35">
      <c r="U798" s="280"/>
      <c r="V798" s="280"/>
    </row>
    <row r="799" spans="21:22" ht="20.399999999999999" x14ac:dyDescent="0.35">
      <c r="U799" s="280"/>
      <c r="V799" s="280"/>
    </row>
    <row r="800" spans="21:22" ht="20.399999999999999" x14ac:dyDescent="0.35">
      <c r="U800" s="280"/>
      <c r="V800" s="280"/>
    </row>
    <row r="801" spans="21:22" ht="20.399999999999999" x14ac:dyDescent="0.35">
      <c r="U801" s="280"/>
      <c r="V801" s="280"/>
    </row>
    <row r="802" spans="21:22" ht="20.399999999999999" x14ac:dyDescent="0.35">
      <c r="U802" s="280"/>
      <c r="V802" s="280"/>
    </row>
    <row r="803" spans="21:22" ht="20.399999999999999" x14ac:dyDescent="0.35">
      <c r="U803" s="280"/>
      <c r="V803" s="280"/>
    </row>
    <row r="804" spans="21:22" ht="20.399999999999999" x14ac:dyDescent="0.35">
      <c r="U804" s="280"/>
      <c r="V804" s="280"/>
    </row>
    <row r="805" spans="21:22" ht="20.399999999999999" x14ac:dyDescent="0.35">
      <c r="U805" s="280"/>
      <c r="V805" s="280"/>
    </row>
    <row r="806" spans="21:22" ht="20.399999999999999" x14ac:dyDescent="0.35">
      <c r="U806" s="280"/>
      <c r="V806" s="280"/>
    </row>
    <row r="807" spans="21:22" ht="20.399999999999999" x14ac:dyDescent="0.35">
      <c r="U807" s="280"/>
      <c r="V807" s="280"/>
    </row>
    <row r="808" spans="21:22" ht="20.399999999999999" x14ac:dyDescent="0.35">
      <c r="U808" s="280"/>
      <c r="V808" s="280"/>
    </row>
    <row r="809" spans="21:22" ht="20.399999999999999" x14ac:dyDescent="0.35">
      <c r="U809" s="280"/>
      <c r="V809" s="280"/>
    </row>
    <row r="810" spans="21:22" ht="20.399999999999999" x14ac:dyDescent="0.35">
      <c r="U810" s="280"/>
      <c r="V810" s="280"/>
    </row>
    <row r="811" spans="21:22" ht="20.399999999999999" x14ac:dyDescent="0.35">
      <c r="U811" s="280"/>
      <c r="V811" s="280"/>
    </row>
    <row r="812" spans="21:22" ht="20.399999999999999" x14ac:dyDescent="0.35">
      <c r="U812" s="280"/>
      <c r="V812" s="280"/>
    </row>
    <row r="813" spans="21:22" ht="20.399999999999999" x14ac:dyDescent="0.35">
      <c r="U813" s="280"/>
      <c r="V813" s="280"/>
    </row>
    <row r="814" spans="21:22" ht="20.399999999999999" x14ac:dyDescent="0.35">
      <c r="U814" s="280"/>
      <c r="V814" s="280"/>
    </row>
    <row r="815" spans="21:22" ht="20.399999999999999" x14ac:dyDescent="0.35">
      <c r="U815" s="280"/>
      <c r="V815" s="280"/>
    </row>
    <row r="816" spans="21:22" ht="20.399999999999999" x14ac:dyDescent="0.35">
      <c r="U816" s="280"/>
      <c r="V816" s="280"/>
    </row>
    <row r="817" spans="21:22" ht="20.399999999999999" x14ac:dyDescent="0.35">
      <c r="U817" s="280"/>
      <c r="V817" s="280"/>
    </row>
    <row r="818" spans="21:22" ht="20.399999999999999" x14ac:dyDescent="0.35">
      <c r="U818" s="280"/>
      <c r="V818" s="280"/>
    </row>
    <row r="819" spans="21:22" ht="20.399999999999999" x14ac:dyDescent="0.35">
      <c r="U819" s="280"/>
      <c r="V819" s="280"/>
    </row>
    <row r="820" spans="21:22" ht="20.399999999999999" x14ac:dyDescent="0.35">
      <c r="U820" s="280"/>
      <c r="V820" s="280"/>
    </row>
    <row r="821" spans="21:22" ht="20.399999999999999" x14ac:dyDescent="0.35">
      <c r="U821" s="280"/>
      <c r="V821" s="280"/>
    </row>
    <row r="822" spans="21:22" ht="20.399999999999999" x14ac:dyDescent="0.35">
      <c r="U822" s="280"/>
      <c r="V822" s="280"/>
    </row>
    <row r="823" spans="21:22" ht="20.399999999999999" x14ac:dyDescent="0.35">
      <c r="U823" s="280"/>
      <c r="V823" s="280"/>
    </row>
    <row r="824" spans="21:22" ht="20.399999999999999" x14ac:dyDescent="0.35">
      <c r="U824" s="280"/>
      <c r="V824" s="280"/>
    </row>
    <row r="825" spans="21:22" ht="20.399999999999999" x14ac:dyDescent="0.35">
      <c r="U825" s="280"/>
      <c r="V825" s="280"/>
    </row>
    <row r="826" spans="21:22" ht="20.399999999999999" x14ac:dyDescent="0.35">
      <c r="U826" s="280"/>
      <c r="V826" s="280"/>
    </row>
    <row r="827" spans="21:22" ht="20.399999999999999" x14ac:dyDescent="0.35">
      <c r="U827" s="280"/>
      <c r="V827" s="280"/>
    </row>
    <row r="828" spans="21:22" ht="20.399999999999999" x14ac:dyDescent="0.35">
      <c r="U828" s="280"/>
      <c r="V828" s="280"/>
    </row>
    <row r="829" spans="21:22" ht="20.399999999999999" x14ac:dyDescent="0.35">
      <c r="U829" s="280"/>
      <c r="V829" s="280"/>
    </row>
    <row r="830" spans="21:22" ht="20.399999999999999" x14ac:dyDescent="0.35">
      <c r="U830" s="280"/>
      <c r="V830" s="280"/>
    </row>
    <row r="831" spans="21:22" ht="20.399999999999999" x14ac:dyDescent="0.35">
      <c r="U831" s="280"/>
      <c r="V831" s="280"/>
    </row>
    <row r="832" spans="21:22" ht="20.399999999999999" x14ac:dyDescent="0.35">
      <c r="U832" s="280"/>
      <c r="V832" s="280"/>
    </row>
    <row r="833" spans="21:22" ht="20.399999999999999" x14ac:dyDescent="0.35">
      <c r="U833" s="280"/>
      <c r="V833" s="280"/>
    </row>
    <row r="834" spans="21:22" ht="20.399999999999999" x14ac:dyDescent="0.35">
      <c r="U834" s="280"/>
      <c r="V834" s="280"/>
    </row>
    <row r="835" spans="21:22" ht="20.399999999999999" x14ac:dyDescent="0.35">
      <c r="U835" s="280"/>
      <c r="V835" s="280"/>
    </row>
    <row r="836" spans="21:22" ht="20.399999999999999" x14ac:dyDescent="0.35">
      <c r="U836" s="280"/>
      <c r="V836" s="280"/>
    </row>
    <row r="837" spans="21:22" ht="20.399999999999999" x14ac:dyDescent="0.35">
      <c r="U837" s="280"/>
      <c r="V837" s="280"/>
    </row>
    <row r="838" spans="21:22" ht="20.399999999999999" x14ac:dyDescent="0.35">
      <c r="U838" s="280"/>
      <c r="V838" s="280"/>
    </row>
    <row r="839" spans="21:22" ht="20.399999999999999" x14ac:dyDescent="0.35">
      <c r="U839" s="280"/>
      <c r="V839" s="280"/>
    </row>
    <row r="840" spans="21:22" ht="20.399999999999999" x14ac:dyDescent="0.35">
      <c r="U840" s="280"/>
      <c r="V840" s="280"/>
    </row>
    <row r="841" spans="21:22" ht="20.399999999999999" x14ac:dyDescent="0.35">
      <c r="U841" s="280"/>
      <c r="V841" s="280"/>
    </row>
    <row r="842" spans="21:22" ht="20.399999999999999" x14ac:dyDescent="0.35">
      <c r="U842" s="280"/>
      <c r="V842" s="280"/>
    </row>
    <row r="843" spans="21:22" ht="20.399999999999999" x14ac:dyDescent="0.35">
      <c r="U843" s="280"/>
      <c r="V843" s="280"/>
    </row>
    <row r="844" spans="21:22" ht="20.399999999999999" x14ac:dyDescent="0.35">
      <c r="U844" s="280"/>
      <c r="V844" s="280"/>
    </row>
    <row r="845" spans="21:22" ht="20.399999999999999" x14ac:dyDescent="0.35">
      <c r="U845" s="280"/>
      <c r="V845" s="280"/>
    </row>
    <row r="846" spans="21:22" ht="20.399999999999999" x14ac:dyDescent="0.35">
      <c r="U846" s="280"/>
      <c r="V846" s="280"/>
    </row>
    <row r="847" spans="21:22" ht="20.399999999999999" x14ac:dyDescent="0.35">
      <c r="U847" s="280"/>
      <c r="V847" s="280"/>
    </row>
    <row r="848" spans="21:22" ht="20.399999999999999" x14ac:dyDescent="0.35">
      <c r="U848" s="280"/>
      <c r="V848" s="280"/>
    </row>
    <row r="849" spans="21:22" ht="20.399999999999999" x14ac:dyDescent="0.35">
      <c r="U849" s="280"/>
      <c r="V849" s="280"/>
    </row>
    <row r="850" spans="21:22" ht="20.399999999999999" x14ac:dyDescent="0.35">
      <c r="U850" s="280"/>
      <c r="V850" s="280"/>
    </row>
    <row r="851" spans="21:22" ht="20.399999999999999" x14ac:dyDescent="0.35">
      <c r="U851" s="280"/>
      <c r="V851" s="280"/>
    </row>
    <row r="852" spans="21:22" ht="20.399999999999999" x14ac:dyDescent="0.35">
      <c r="U852" s="280"/>
      <c r="V852" s="280"/>
    </row>
    <row r="853" spans="21:22" ht="20.399999999999999" x14ac:dyDescent="0.35">
      <c r="U853" s="280"/>
      <c r="V853" s="280"/>
    </row>
    <row r="854" spans="21:22" ht="20.399999999999999" x14ac:dyDescent="0.35">
      <c r="U854" s="280"/>
      <c r="V854" s="280"/>
    </row>
    <row r="855" spans="21:22" ht="20.399999999999999" x14ac:dyDescent="0.35">
      <c r="U855" s="280"/>
      <c r="V855" s="280"/>
    </row>
    <row r="856" spans="21:22" ht="20.399999999999999" x14ac:dyDescent="0.35">
      <c r="U856" s="280"/>
      <c r="V856" s="280"/>
    </row>
    <row r="857" spans="21:22" ht="20.399999999999999" x14ac:dyDescent="0.35">
      <c r="U857" s="280"/>
      <c r="V857" s="280"/>
    </row>
    <row r="858" spans="21:22" ht="20.399999999999999" x14ac:dyDescent="0.35">
      <c r="U858" s="280"/>
      <c r="V858" s="280"/>
    </row>
    <row r="859" spans="21:22" ht="20.399999999999999" x14ac:dyDescent="0.35">
      <c r="U859" s="280"/>
      <c r="V859" s="280"/>
    </row>
    <row r="860" spans="21:22" ht="20.399999999999999" x14ac:dyDescent="0.35">
      <c r="U860" s="280"/>
      <c r="V860" s="280"/>
    </row>
    <row r="861" spans="21:22" ht="20.399999999999999" x14ac:dyDescent="0.35">
      <c r="U861" s="280"/>
      <c r="V861" s="280"/>
    </row>
    <row r="862" spans="21:22" ht="20.399999999999999" x14ac:dyDescent="0.35">
      <c r="U862" s="280"/>
      <c r="V862" s="280"/>
    </row>
    <row r="863" spans="21:22" ht="20.399999999999999" x14ac:dyDescent="0.35">
      <c r="U863" s="280"/>
      <c r="V863" s="280"/>
    </row>
    <row r="864" spans="21:22" ht="20.399999999999999" x14ac:dyDescent="0.35">
      <c r="U864" s="280"/>
      <c r="V864" s="280"/>
    </row>
    <row r="865" spans="21:22" ht="20.399999999999999" x14ac:dyDescent="0.35">
      <c r="U865" s="280"/>
      <c r="V865" s="280"/>
    </row>
    <row r="866" spans="21:22" ht="20.399999999999999" x14ac:dyDescent="0.35">
      <c r="U866" s="280"/>
      <c r="V866" s="280"/>
    </row>
    <row r="867" spans="21:22" ht="20.399999999999999" x14ac:dyDescent="0.35">
      <c r="U867" s="280"/>
      <c r="V867" s="280"/>
    </row>
    <row r="868" spans="21:22" ht="20.399999999999999" x14ac:dyDescent="0.35">
      <c r="U868" s="280"/>
      <c r="V868" s="280"/>
    </row>
    <row r="869" spans="21:22" ht="20.399999999999999" x14ac:dyDescent="0.35">
      <c r="U869" s="280"/>
      <c r="V869" s="280"/>
    </row>
    <row r="870" spans="21:22" ht="20.399999999999999" x14ac:dyDescent="0.35">
      <c r="U870" s="280"/>
      <c r="V870" s="280"/>
    </row>
    <row r="871" spans="21:22" ht="20.399999999999999" x14ac:dyDescent="0.35">
      <c r="U871" s="280"/>
      <c r="V871" s="280"/>
    </row>
    <row r="872" spans="21:22" ht="20.399999999999999" x14ac:dyDescent="0.35">
      <c r="U872" s="280"/>
      <c r="V872" s="280"/>
    </row>
    <row r="873" spans="21:22" ht="20.399999999999999" x14ac:dyDescent="0.35">
      <c r="U873" s="280"/>
      <c r="V873" s="280"/>
    </row>
    <row r="874" spans="21:22" ht="20.399999999999999" x14ac:dyDescent="0.35">
      <c r="U874" s="280"/>
      <c r="V874" s="280"/>
    </row>
    <row r="875" spans="21:22" ht="20.399999999999999" x14ac:dyDescent="0.35">
      <c r="U875" s="280"/>
      <c r="V875" s="280"/>
    </row>
    <row r="876" spans="21:22" ht="20.399999999999999" x14ac:dyDescent="0.35">
      <c r="U876" s="280"/>
      <c r="V876" s="280"/>
    </row>
    <row r="877" spans="21:22" ht="20.399999999999999" x14ac:dyDescent="0.35">
      <c r="U877" s="280"/>
      <c r="V877" s="280"/>
    </row>
    <row r="878" spans="21:22" ht="20.399999999999999" x14ac:dyDescent="0.35">
      <c r="U878" s="280"/>
      <c r="V878" s="280"/>
    </row>
    <row r="879" spans="21:22" ht="20.399999999999999" x14ac:dyDescent="0.35">
      <c r="U879" s="280"/>
      <c r="V879" s="280"/>
    </row>
    <row r="880" spans="21:22" ht="20.399999999999999" x14ac:dyDescent="0.35">
      <c r="U880" s="280"/>
      <c r="V880" s="280"/>
    </row>
    <row r="881" spans="21:22" ht="20.399999999999999" x14ac:dyDescent="0.35">
      <c r="U881" s="280"/>
      <c r="V881" s="280"/>
    </row>
    <row r="882" spans="21:22" ht="20.399999999999999" x14ac:dyDescent="0.35">
      <c r="U882" s="280"/>
      <c r="V882" s="280"/>
    </row>
    <row r="883" spans="21:22" ht="20.399999999999999" x14ac:dyDescent="0.35">
      <c r="U883" s="280"/>
      <c r="V883" s="280"/>
    </row>
    <row r="884" spans="21:22" ht="20.399999999999999" x14ac:dyDescent="0.35">
      <c r="U884" s="280"/>
      <c r="V884" s="280"/>
    </row>
    <row r="885" spans="21:22" ht="20.399999999999999" x14ac:dyDescent="0.35">
      <c r="U885" s="280"/>
      <c r="V885" s="280"/>
    </row>
    <row r="886" spans="21:22" ht="20.399999999999999" x14ac:dyDescent="0.35">
      <c r="U886" s="280"/>
      <c r="V886" s="280"/>
    </row>
    <row r="887" spans="21:22" ht="20.399999999999999" x14ac:dyDescent="0.35">
      <c r="U887" s="280"/>
      <c r="V887" s="280"/>
    </row>
    <row r="888" spans="21:22" ht="20.399999999999999" x14ac:dyDescent="0.35">
      <c r="U888" s="280"/>
      <c r="V888" s="280"/>
    </row>
    <row r="889" spans="21:22" ht="20.399999999999999" x14ac:dyDescent="0.35">
      <c r="U889" s="280"/>
      <c r="V889" s="280"/>
    </row>
    <row r="890" spans="21:22" ht="20.399999999999999" x14ac:dyDescent="0.35">
      <c r="U890" s="280"/>
      <c r="V890" s="280"/>
    </row>
    <row r="891" spans="21:22" ht="20.399999999999999" x14ac:dyDescent="0.35">
      <c r="U891" s="280"/>
      <c r="V891" s="280"/>
    </row>
    <row r="892" spans="21:22" ht="20.399999999999999" x14ac:dyDescent="0.35">
      <c r="U892" s="280"/>
      <c r="V892" s="280"/>
    </row>
    <row r="893" spans="21:22" ht="20.399999999999999" x14ac:dyDescent="0.35">
      <c r="U893" s="280"/>
      <c r="V893" s="280"/>
    </row>
    <row r="894" spans="21:22" ht="20.399999999999999" x14ac:dyDescent="0.35">
      <c r="U894" s="280"/>
      <c r="V894" s="280"/>
    </row>
    <row r="895" spans="21:22" ht="20.399999999999999" x14ac:dyDescent="0.35">
      <c r="U895" s="280"/>
      <c r="V895" s="280"/>
    </row>
    <row r="896" spans="21:22" ht="20.399999999999999" x14ac:dyDescent="0.35">
      <c r="U896" s="280"/>
      <c r="V896" s="280"/>
    </row>
    <row r="897" spans="21:22" ht="20.399999999999999" x14ac:dyDescent="0.35">
      <c r="U897" s="280"/>
      <c r="V897" s="280"/>
    </row>
    <row r="898" spans="21:22" ht="20.399999999999999" x14ac:dyDescent="0.35">
      <c r="U898" s="280"/>
      <c r="V898" s="280"/>
    </row>
    <row r="899" spans="21:22" ht="20.399999999999999" x14ac:dyDescent="0.35">
      <c r="U899" s="280"/>
      <c r="V899" s="280"/>
    </row>
    <row r="900" spans="21:22" ht="20.399999999999999" x14ac:dyDescent="0.35">
      <c r="U900" s="280"/>
      <c r="V900" s="280"/>
    </row>
    <row r="901" spans="21:22" ht="20.399999999999999" x14ac:dyDescent="0.35">
      <c r="U901" s="280"/>
      <c r="V901" s="280"/>
    </row>
    <row r="902" spans="21:22" ht="20.399999999999999" x14ac:dyDescent="0.35">
      <c r="U902" s="280"/>
      <c r="V902" s="280"/>
    </row>
    <row r="903" spans="21:22" ht="20.399999999999999" x14ac:dyDescent="0.35">
      <c r="U903" s="280"/>
      <c r="V903" s="280"/>
    </row>
    <row r="904" spans="21:22" ht="20.399999999999999" x14ac:dyDescent="0.35">
      <c r="U904" s="280"/>
      <c r="V904" s="280"/>
    </row>
    <row r="905" spans="21:22" ht="20.399999999999999" x14ac:dyDescent="0.35">
      <c r="U905" s="280"/>
      <c r="V905" s="280"/>
    </row>
    <row r="906" spans="21:22" ht="20.399999999999999" x14ac:dyDescent="0.35">
      <c r="U906" s="280"/>
      <c r="V906" s="280"/>
    </row>
    <row r="907" spans="21:22" ht="20.399999999999999" x14ac:dyDescent="0.35">
      <c r="U907" s="280"/>
      <c r="V907" s="280"/>
    </row>
    <row r="908" spans="21:22" ht="20.399999999999999" x14ac:dyDescent="0.35">
      <c r="U908" s="280"/>
      <c r="V908" s="280"/>
    </row>
    <row r="909" spans="21:22" ht="20.399999999999999" x14ac:dyDescent="0.35">
      <c r="U909" s="280"/>
      <c r="V909" s="280"/>
    </row>
    <row r="910" spans="21:22" ht="20.399999999999999" x14ac:dyDescent="0.35">
      <c r="U910" s="280"/>
      <c r="V910" s="280"/>
    </row>
    <row r="911" spans="21:22" ht="20.399999999999999" x14ac:dyDescent="0.35">
      <c r="U911" s="280"/>
      <c r="V911" s="280"/>
    </row>
    <row r="912" spans="21:22" ht="20.399999999999999" x14ac:dyDescent="0.35">
      <c r="U912" s="280"/>
      <c r="V912" s="280"/>
    </row>
    <row r="913" spans="21:22" ht="20.399999999999999" x14ac:dyDescent="0.35">
      <c r="U913" s="280"/>
      <c r="V913" s="280"/>
    </row>
    <row r="914" spans="21:22" ht="20.399999999999999" x14ac:dyDescent="0.35">
      <c r="U914" s="280"/>
      <c r="V914" s="280"/>
    </row>
    <row r="915" spans="21:22" ht="20.399999999999999" x14ac:dyDescent="0.35">
      <c r="U915" s="280"/>
      <c r="V915" s="280"/>
    </row>
    <row r="916" spans="21:22" ht="20.399999999999999" x14ac:dyDescent="0.35">
      <c r="U916" s="280"/>
      <c r="V916" s="280"/>
    </row>
    <row r="917" spans="21:22" ht="20.399999999999999" x14ac:dyDescent="0.35">
      <c r="U917" s="280"/>
      <c r="V917" s="280"/>
    </row>
    <row r="918" spans="21:22" ht="20.399999999999999" x14ac:dyDescent="0.35">
      <c r="U918" s="280"/>
      <c r="V918" s="280"/>
    </row>
    <row r="919" spans="21:22" ht="20.399999999999999" x14ac:dyDescent="0.35">
      <c r="U919" s="280"/>
      <c r="V919" s="280"/>
    </row>
    <row r="920" spans="21:22" ht="20.399999999999999" x14ac:dyDescent="0.35">
      <c r="U920" s="280"/>
      <c r="V920" s="280"/>
    </row>
    <row r="921" spans="21:22" ht="20.399999999999999" x14ac:dyDescent="0.35">
      <c r="U921" s="280"/>
      <c r="V921" s="280"/>
    </row>
    <row r="922" spans="21:22" ht="20.399999999999999" x14ac:dyDescent="0.35">
      <c r="U922" s="280"/>
      <c r="V922" s="280"/>
    </row>
    <row r="923" spans="21:22" ht="20.399999999999999" x14ac:dyDescent="0.35">
      <c r="U923" s="280"/>
      <c r="V923" s="280"/>
    </row>
    <row r="924" spans="21:22" ht="20.399999999999999" x14ac:dyDescent="0.35">
      <c r="U924" s="280"/>
      <c r="V924" s="280"/>
    </row>
    <row r="925" spans="21:22" ht="20.399999999999999" x14ac:dyDescent="0.35">
      <c r="U925" s="280"/>
      <c r="V925" s="280"/>
    </row>
    <row r="926" spans="21:22" ht="20.399999999999999" x14ac:dyDescent="0.35">
      <c r="U926" s="280"/>
      <c r="V926" s="280"/>
    </row>
    <row r="927" spans="21:22" ht="20.399999999999999" x14ac:dyDescent="0.35">
      <c r="U927" s="280"/>
      <c r="V927" s="280"/>
    </row>
    <row r="928" spans="21:22" ht="20.399999999999999" x14ac:dyDescent="0.35">
      <c r="U928" s="280"/>
      <c r="V928" s="280"/>
    </row>
    <row r="929" spans="21:22" ht="20.399999999999999" x14ac:dyDescent="0.35">
      <c r="U929" s="280"/>
      <c r="V929" s="280"/>
    </row>
    <row r="930" spans="21:22" ht="20.399999999999999" x14ac:dyDescent="0.35">
      <c r="U930" s="280"/>
      <c r="V930" s="280"/>
    </row>
    <row r="931" spans="21:22" ht="20.399999999999999" x14ac:dyDescent="0.35">
      <c r="U931" s="280"/>
      <c r="V931" s="280"/>
    </row>
    <row r="932" spans="21:22" ht="20.399999999999999" x14ac:dyDescent="0.35">
      <c r="U932" s="280"/>
      <c r="V932" s="280"/>
    </row>
    <row r="933" spans="21:22" ht="20.399999999999999" x14ac:dyDescent="0.35">
      <c r="U933" s="280"/>
      <c r="V933" s="280"/>
    </row>
    <row r="934" spans="21:22" ht="20.399999999999999" x14ac:dyDescent="0.35">
      <c r="U934" s="280"/>
      <c r="V934" s="280"/>
    </row>
    <row r="935" spans="21:22" ht="20.399999999999999" x14ac:dyDescent="0.35">
      <c r="U935" s="280"/>
      <c r="V935" s="280"/>
    </row>
    <row r="936" spans="21:22" ht="20.399999999999999" x14ac:dyDescent="0.35">
      <c r="U936" s="280"/>
      <c r="V936" s="280"/>
    </row>
    <row r="937" spans="21:22" ht="20.399999999999999" x14ac:dyDescent="0.35">
      <c r="U937" s="280"/>
      <c r="V937" s="280"/>
    </row>
    <row r="938" spans="21:22" ht="20.399999999999999" x14ac:dyDescent="0.35">
      <c r="U938" s="280"/>
      <c r="V938" s="280"/>
    </row>
    <row r="939" spans="21:22" ht="20.399999999999999" x14ac:dyDescent="0.35">
      <c r="U939" s="280"/>
      <c r="V939" s="280"/>
    </row>
    <row r="940" spans="21:22" ht="20.399999999999999" x14ac:dyDescent="0.35">
      <c r="U940" s="280"/>
      <c r="V940" s="280"/>
    </row>
    <row r="941" spans="21:22" ht="20.399999999999999" x14ac:dyDescent="0.35">
      <c r="U941" s="280"/>
      <c r="V941" s="280"/>
    </row>
    <row r="942" spans="21:22" ht="20.399999999999999" x14ac:dyDescent="0.35">
      <c r="U942" s="280"/>
      <c r="V942" s="280"/>
    </row>
    <row r="943" spans="21:22" ht="20.399999999999999" x14ac:dyDescent="0.35">
      <c r="U943" s="280"/>
      <c r="V943" s="280"/>
    </row>
    <row r="944" spans="21:22" ht="20.399999999999999" x14ac:dyDescent="0.35">
      <c r="U944" s="280"/>
      <c r="V944" s="280"/>
    </row>
    <row r="945" spans="21:22" ht="20.399999999999999" x14ac:dyDescent="0.35">
      <c r="U945" s="280"/>
      <c r="V945" s="280"/>
    </row>
    <row r="946" spans="21:22" ht="20.399999999999999" x14ac:dyDescent="0.35">
      <c r="U946" s="280"/>
      <c r="V946" s="280"/>
    </row>
    <row r="947" spans="21:22" ht="20.399999999999999" x14ac:dyDescent="0.35">
      <c r="U947" s="280"/>
      <c r="V947" s="280"/>
    </row>
    <row r="948" spans="21:22" ht="20.399999999999999" x14ac:dyDescent="0.35">
      <c r="U948" s="280"/>
      <c r="V948" s="280"/>
    </row>
    <row r="949" spans="21:22" ht="20.399999999999999" x14ac:dyDescent="0.35">
      <c r="U949" s="280"/>
      <c r="V949" s="280"/>
    </row>
    <row r="950" spans="21:22" ht="20.399999999999999" x14ac:dyDescent="0.35">
      <c r="U950" s="280"/>
      <c r="V950" s="280"/>
    </row>
    <row r="951" spans="21:22" ht="20.399999999999999" x14ac:dyDescent="0.35">
      <c r="U951" s="280"/>
      <c r="V951" s="280"/>
    </row>
    <row r="952" spans="21:22" ht="20.399999999999999" x14ac:dyDescent="0.35">
      <c r="U952" s="280"/>
      <c r="V952" s="280"/>
    </row>
    <row r="953" spans="21:22" ht="20.399999999999999" x14ac:dyDescent="0.35">
      <c r="U953" s="280"/>
      <c r="V953" s="280"/>
    </row>
    <row r="954" spans="21:22" ht="20.399999999999999" x14ac:dyDescent="0.35">
      <c r="U954" s="280"/>
      <c r="V954" s="280"/>
    </row>
    <row r="955" spans="21:22" ht="20.399999999999999" x14ac:dyDescent="0.35">
      <c r="U955" s="280"/>
      <c r="V955" s="280"/>
    </row>
    <row r="956" spans="21:22" ht="20.399999999999999" x14ac:dyDescent="0.35">
      <c r="U956" s="280"/>
      <c r="V956" s="280"/>
    </row>
    <row r="957" spans="21:22" ht="20.399999999999999" x14ac:dyDescent="0.35">
      <c r="U957" s="280"/>
      <c r="V957" s="280"/>
    </row>
    <row r="958" spans="21:22" ht="20.399999999999999" x14ac:dyDescent="0.35">
      <c r="U958" s="280"/>
      <c r="V958" s="280"/>
    </row>
    <row r="959" spans="21:22" ht="20.399999999999999" x14ac:dyDescent="0.35">
      <c r="U959" s="280"/>
      <c r="V959" s="280"/>
    </row>
    <row r="960" spans="21:22" ht="20.399999999999999" x14ac:dyDescent="0.35">
      <c r="U960" s="280"/>
      <c r="V960" s="280"/>
    </row>
    <row r="961" spans="21:22" ht="20.399999999999999" x14ac:dyDescent="0.35">
      <c r="U961" s="280"/>
      <c r="V961" s="280"/>
    </row>
    <row r="962" spans="21:22" ht="20.399999999999999" x14ac:dyDescent="0.35">
      <c r="U962" s="280"/>
      <c r="V962" s="280"/>
    </row>
    <row r="963" spans="21:22" ht="20.399999999999999" x14ac:dyDescent="0.35">
      <c r="U963" s="280"/>
      <c r="V963" s="280"/>
    </row>
    <row r="964" spans="21:22" ht="20.399999999999999" x14ac:dyDescent="0.35">
      <c r="U964" s="280"/>
      <c r="V964" s="280"/>
    </row>
    <row r="965" spans="21:22" ht="20.399999999999999" x14ac:dyDescent="0.35">
      <c r="U965" s="280"/>
      <c r="V965" s="280"/>
    </row>
    <row r="966" spans="21:22" ht="20.399999999999999" x14ac:dyDescent="0.35">
      <c r="U966" s="280"/>
      <c r="V966" s="280"/>
    </row>
    <row r="967" spans="21:22" ht="20.399999999999999" x14ac:dyDescent="0.35">
      <c r="U967" s="280"/>
      <c r="V967" s="280"/>
    </row>
    <row r="968" spans="21:22" ht="20.399999999999999" x14ac:dyDescent="0.35">
      <c r="U968" s="280"/>
      <c r="V968" s="280"/>
    </row>
    <row r="969" spans="21:22" ht="20.399999999999999" x14ac:dyDescent="0.35">
      <c r="U969" s="280"/>
      <c r="V969" s="280"/>
    </row>
    <row r="970" spans="21:22" ht="20.399999999999999" x14ac:dyDescent="0.35">
      <c r="U970" s="280"/>
      <c r="V970" s="280"/>
    </row>
    <row r="971" spans="21:22" ht="20.399999999999999" x14ac:dyDescent="0.35">
      <c r="U971" s="280"/>
      <c r="V971" s="280"/>
    </row>
    <row r="972" spans="21:22" ht="20.399999999999999" x14ac:dyDescent="0.35">
      <c r="U972" s="280"/>
      <c r="V972" s="280"/>
    </row>
    <row r="973" spans="21:22" ht="20.399999999999999" x14ac:dyDescent="0.35">
      <c r="U973" s="280"/>
      <c r="V973" s="280"/>
    </row>
    <row r="974" spans="21:22" ht="20.399999999999999" x14ac:dyDescent="0.35">
      <c r="U974" s="280"/>
      <c r="V974" s="280"/>
    </row>
    <row r="975" spans="21:22" ht="20.399999999999999" x14ac:dyDescent="0.35">
      <c r="U975" s="280"/>
      <c r="V975" s="280"/>
    </row>
    <row r="976" spans="21:22" ht="20.399999999999999" x14ac:dyDescent="0.35">
      <c r="U976" s="280"/>
      <c r="V976" s="280"/>
    </row>
    <row r="977" spans="21:22" ht="20.399999999999999" x14ac:dyDescent="0.35">
      <c r="U977" s="280"/>
      <c r="V977" s="280"/>
    </row>
    <row r="978" spans="21:22" ht="20.399999999999999" x14ac:dyDescent="0.35">
      <c r="U978" s="280"/>
      <c r="V978" s="280"/>
    </row>
    <row r="979" spans="21:22" ht="20.399999999999999" x14ac:dyDescent="0.35">
      <c r="U979" s="280"/>
      <c r="V979" s="280"/>
    </row>
    <row r="980" spans="21:22" ht="20.399999999999999" x14ac:dyDescent="0.35">
      <c r="U980" s="280"/>
      <c r="V980" s="280"/>
    </row>
    <row r="981" spans="21:22" ht="20.399999999999999" x14ac:dyDescent="0.35">
      <c r="U981" s="280"/>
      <c r="V981" s="280"/>
    </row>
    <row r="982" spans="21:22" ht="20.399999999999999" x14ac:dyDescent="0.35">
      <c r="U982" s="280"/>
      <c r="V982" s="280"/>
    </row>
    <row r="983" spans="21:22" ht="20.399999999999999" x14ac:dyDescent="0.35">
      <c r="U983" s="280"/>
      <c r="V983" s="280"/>
    </row>
    <row r="984" spans="21:22" ht="20.399999999999999" x14ac:dyDescent="0.35">
      <c r="U984" s="280"/>
      <c r="V984" s="280"/>
    </row>
    <row r="985" spans="21:22" ht="20.399999999999999" x14ac:dyDescent="0.35">
      <c r="U985" s="280"/>
      <c r="V985" s="280"/>
    </row>
    <row r="986" spans="21:22" ht="20.399999999999999" x14ac:dyDescent="0.35">
      <c r="U986" s="280"/>
      <c r="V986" s="280"/>
    </row>
    <row r="987" spans="21:22" ht="20.399999999999999" x14ac:dyDescent="0.35">
      <c r="U987" s="280"/>
      <c r="V987" s="280"/>
    </row>
    <row r="988" spans="21:22" ht="20.399999999999999" x14ac:dyDescent="0.35">
      <c r="U988" s="280"/>
      <c r="V988" s="280"/>
    </row>
    <row r="989" spans="21:22" ht="20.399999999999999" x14ac:dyDescent="0.35">
      <c r="U989" s="280"/>
      <c r="V989" s="280"/>
    </row>
    <row r="990" spans="21:22" ht="20.399999999999999" x14ac:dyDescent="0.35">
      <c r="U990" s="280"/>
      <c r="V990" s="280"/>
    </row>
    <row r="991" spans="21:22" ht="20.399999999999999" x14ac:dyDescent="0.35">
      <c r="U991" s="280"/>
      <c r="V991" s="280"/>
    </row>
    <row r="992" spans="21:22" ht="20.399999999999999" x14ac:dyDescent="0.35">
      <c r="U992" s="280"/>
      <c r="V992" s="280"/>
    </row>
    <row r="993" spans="21:22" ht="20.399999999999999" x14ac:dyDescent="0.35">
      <c r="U993" s="280"/>
      <c r="V993" s="280"/>
    </row>
    <row r="994" spans="21:22" ht="20.399999999999999" x14ac:dyDescent="0.35">
      <c r="U994" s="280"/>
      <c r="V994" s="280"/>
    </row>
    <row r="995" spans="21:22" ht="20.399999999999999" x14ac:dyDescent="0.35">
      <c r="U995" s="280"/>
      <c r="V995" s="280"/>
    </row>
    <row r="996" spans="21:22" ht="20.399999999999999" x14ac:dyDescent="0.35">
      <c r="U996" s="280"/>
      <c r="V996" s="280"/>
    </row>
    <row r="997" spans="21:22" ht="20.399999999999999" x14ac:dyDescent="0.35">
      <c r="U997" s="280"/>
      <c r="V997" s="280"/>
    </row>
    <row r="998" spans="21:22" ht="20.399999999999999" x14ac:dyDescent="0.35">
      <c r="U998" s="280"/>
      <c r="V998" s="280"/>
    </row>
    <row r="999" spans="21:22" ht="20.399999999999999" x14ac:dyDescent="0.35">
      <c r="U999" s="280"/>
      <c r="V999" s="280"/>
    </row>
    <row r="1000" spans="21:22" ht="20.399999999999999" x14ac:dyDescent="0.35">
      <c r="U1000" s="280"/>
      <c r="V1000" s="280"/>
    </row>
    <row r="1001" spans="21:22" ht="20.399999999999999" x14ac:dyDescent="0.35">
      <c r="U1001" s="280"/>
      <c r="V1001" s="280"/>
    </row>
    <row r="1002" spans="21:22" ht="20.399999999999999" x14ac:dyDescent="0.35">
      <c r="U1002" s="280"/>
      <c r="V1002" s="280"/>
    </row>
    <row r="1003" spans="21:22" ht="20.399999999999999" x14ac:dyDescent="0.35">
      <c r="U1003" s="280"/>
      <c r="V1003" s="280"/>
    </row>
    <row r="1004" spans="21:22" ht="20.399999999999999" x14ac:dyDescent="0.35">
      <c r="U1004" s="280"/>
      <c r="V1004" s="280"/>
    </row>
    <row r="1005" spans="21:22" ht="20.399999999999999" x14ac:dyDescent="0.35">
      <c r="U1005" s="280"/>
      <c r="V1005" s="280"/>
    </row>
    <row r="1006" spans="21:22" ht="20.399999999999999" x14ac:dyDescent="0.35">
      <c r="U1006" s="280"/>
      <c r="V1006" s="280"/>
    </row>
    <row r="1007" spans="21:22" ht="20.399999999999999" x14ac:dyDescent="0.35">
      <c r="U1007" s="280"/>
      <c r="V1007" s="280"/>
    </row>
    <row r="1008" spans="21:22" ht="20.399999999999999" x14ac:dyDescent="0.35">
      <c r="U1008" s="280"/>
      <c r="V1008" s="280"/>
    </row>
    <row r="1009" spans="21:22" ht="20.399999999999999" x14ac:dyDescent="0.35">
      <c r="U1009" s="280"/>
      <c r="V1009" s="280"/>
    </row>
    <row r="1010" spans="21:22" ht="20.399999999999999" x14ac:dyDescent="0.35">
      <c r="U1010" s="280"/>
      <c r="V1010" s="280"/>
    </row>
    <row r="1011" spans="21:22" ht="20.399999999999999" x14ac:dyDescent="0.35">
      <c r="U1011" s="280"/>
      <c r="V1011" s="280"/>
    </row>
    <row r="1012" spans="21:22" ht="20.399999999999999" x14ac:dyDescent="0.35">
      <c r="U1012" s="280"/>
      <c r="V1012" s="280"/>
    </row>
    <row r="1013" spans="21:22" ht="20.399999999999999" x14ac:dyDescent="0.35">
      <c r="U1013" s="280"/>
      <c r="V1013" s="280"/>
    </row>
    <row r="1014" spans="21:22" ht="20.399999999999999" x14ac:dyDescent="0.35">
      <c r="U1014" s="280"/>
      <c r="V1014" s="280"/>
    </row>
    <row r="1015" spans="21:22" ht="20.399999999999999" x14ac:dyDescent="0.35">
      <c r="U1015" s="280"/>
      <c r="V1015" s="280"/>
    </row>
    <row r="1016" spans="21:22" ht="20.399999999999999" x14ac:dyDescent="0.35">
      <c r="U1016" s="280"/>
      <c r="V1016" s="280"/>
    </row>
    <row r="1017" spans="21:22" ht="20.399999999999999" x14ac:dyDescent="0.35">
      <c r="U1017" s="280"/>
      <c r="V1017" s="280"/>
    </row>
    <row r="1018" spans="21:22" ht="20.399999999999999" x14ac:dyDescent="0.35">
      <c r="U1018" s="280"/>
      <c r="V1018" s="280"/>
    </row>
    <row r="1019" spans="21:22" ht="20.399999999999999" x14ac:dyDescent="0.35">
      <c r="U1019" s="280"/>
      <c r="V1019" s="280"/>
    </row>
    <row r="1020" spans="21:22" ht="20.399999999999999" x14ac:dyDescent="0.35">
      <c r="U1020" s="280"/>
      <c r="V1020" s="280"/>
    </row>
    <row r="1021" spans="21:22" ht="20.399999999999999" x14ac:dyDescent="0.35">
      <c r="U1021" s="280"/>
      <c r="V1021" s="280"/>
    </row>
    <row r="1022" spans="21:22" ht="20.399999999999999" x14ac:dyDescent="0.35">
      <c r="U1022" s="280"/>
      <c r="V1022" s="280"/>
    </row>
    <row r="1023" spans="21:22" ht="20.399999999999999" x14ac:dyDescent="0.35">
      <c r="U1023" s="280"/>
      <c r="V1023" s="280"/>
    </row>
    <row r="1024" spans="21:22" ht="20.399999999999999" x14ac:dyDescent="0.35">
      <c r="U1024" s="280"/>
      <c r="V1024" s="280"/>
    </row>
    <row r="1025" spans="21:22" ht="20.399999999999999" x14ac:dyDescent="0.35">
      <c r="U1025" s="280"/>
      <c r="V1025" s="280"/>
    </row>
    <row r="1026" spans="21:22" ht="20.399999999999999" x14ac:dyDescent="0.35">
      <c r="U1026" s="280"/>
      <c r="V1026" s="280"/>
    </row>
    <row r="1027" spans="21:22" ht="20.399999999999999" x14ac:dyDescent="0.35">
      <c r="U1027" s="280"/>
      <c r="V1027" s="280"/>
    </row>
    <row r="1028" spans="21:22" ht="20.399999999999999" x14ac:dyDescent="0.35">
      <c r="U1028" s="280"/>
      <c r="V1028" s="280"/>
    </row>
    <row r="1029" spans="21:22" ht="20.399999999999999" x14ac:dyDescent="0.35">
      <c r="U1029" s="280"/>
      <c r="V1029" s="280"/>
    </row>
    <row r="1030" spans="21:22" ht="20.399999999999999" x14ac:dyDescent="0.35">
      <c r="U1030" s="280"/>
      <c r="V1030" s="280"/>
    </row>
    <row r="1031" spans="21:22" ht="20.399999999999999" x14ac:dyDescent="0.35">
      <c r="U1031" s="280"/>
      <c r="V1031" s="280"/>
    </row>
    <row r="1032" spans="21:22" ht="20.399999999999999" x14ac:dyDescent="0.35">
      <c r="U1032" s="280"/>
      <c r="V1032" s="280"/>
    </row>
    <row r="1033" spans="21:22" ht="20.399999999999999" x14ac:dyDescent="0.35">
      <c r="U1033" s="280"/>
      <c r="V1033" s="280"/>
    </row>
    <row r="1034" spans="21:22" ht="20.399999999999999" x14ac:dyDescent="0.35">
      <c r="U1034" s="280"/>
      <c r="V1034" s="280"/>
    </row>
    <row r="1035" spans="21:22" ht="20.399999999999999" x14ac:dyDescent="0.35">
      <c r="U1035" s="280"/>
      <c r="V1035" s="280"/>
    </row>
    <row r="1036" spans="21:22" ht="20.399999999999999" x14ac:dyDescent="0.35">
      <c r="U1036" s="280"/>
      <c r="V1036" s="280"/>
    </row>
    <row r="1037" spans="21:22" ht="20.399999999999999" x14ac:dyDescent="0.35">
      <c r="U1037" s="280"/>
      <c r="V1037" s="280"/>
    </row>
    <row r="1038" spans="21:22" ht="20.399999999999999" x14ac:dyDescent="0.35">
      <c r="U1038" s="280"/>
      <c r="V1038" s="280"/>
    </row>
    <row r="1039" spans="21:22" ht="20.399999999999999" x14ac:dyDescent="0.35">
      <c r="U1039" s="280"/>
      <c r="V1039" s="280"/>
    </row>
    <row r="1040" spans="21:22" ht="20.399999999999999" x14ac:dyDescent="0.35">
      <c r="U1040" s="280"/>
      <c r="V1040" s="280"/>
    </row>
    <row r="1041" spans="21:22" ht="20.399999999999999" x14ac:dyDescent="0.35">
      <c r="U1041" s="280"/>
      <c r="V1041" s="280"/>
    </row>
    <row r="1042" spans="21:22" ht="20.399999999999999" x14ac:dyDescent="0.35">
      <c r="U1042" s="280"/>
      <c r="V1042" s="280"/>
    </row>
    <row r="1043" spans="21:22" ht="20.399999999999999" x14ac:dyDescent="0.35">
      <c r="U1043" s="280"/>
      <c r="V1043" s="280"/>
    </row>
    <row r="1044" spans="21:22" ht="20.399999999999999" x14ac:dyDescent="0.35">
      <c r="U1044" s="280"/>
      <c r="V1044" s="280"/>
    </row>
    <row r="1045" spans="21:22" ht="20.399999999999999" x14ac:dyDescent="0.35">
      <c r="U1045" s="280"/>
      <c r="V1045" s="280"/>
    </row>
    <row r="1046" spans="21:22" ht="20.399999999999999" x14ac:dyDescent="0.35">
      <c r="U1046" s="280"/>
      <c r="V1046" s="280"/>
    </row>
    <row r="1047" spans="21:22" ht="20.399999999999999" x14ac:dyDescent="0.35">
      <c r="U1047" s="280"/>
      <c r="V1047" s="280"/>
    </row>
    <row r="1048" spans="21:22" ht="20.399999999999999" x14ac:dyDescent="0.35">
      <c r="U1048" s="280"/>
      <c r="V1048" s="280"/>
    </row>
    <row r="1049" spans="21:22" ht="20.399999999999999" x14ac:dyDescent="0.35">
      <c r="U1049" s="280"/>
      <c r="V1049" s="280"/>
    </row>
    <row r="1050" spans="21:22" ht="20.399999999999999" x14ac:dyDescent="0.35">
      <c r="U1050" s="280"/>
      <c r="V1050" s="280"/>
    </row>
    <row r="1051" spans="21:22" ht="20.399999999999999" x14ac:dyDescent="0.35">
      <c r="U1051" s="280"/>
      <c r="V1051" s="280"/>
    </row>
    <row r="1052" spans="21:22" ht="20.399999999999999" x14ac:dyDescent="0.35">
      <c r="U1052" s="280"/>
      <c r="V1052" s="280"/>
    </row>
    <row r="1053" spans="21:22" ht="20.399999999999999" x14ac:dyDescent="0.35">
      <c r="U1053" s="280"/>
      <c r="V1053" s="280"/>
    </row>
    <row r="1054" spans="21:22" ht="20.399999999999999" x14ac:dyDescent="0.35">
      <c r="U1054" s="280"/>
      <c r="V1054" s="280"/>
    </row>
    <row r="1055" spans="21:22" ht="20.399999999999999" x14ac:dyDescent="0.35">
      <c r="U1055" s="280"/>
      <c r="V1055" s="280"/>
    </row>
    <row r="1056" spans="21:22" ht="20.399999999999999" x14ac:dyDescent="0.35">
      <c r="U1056" s="280"/>
      <c r="V1056" s="280"/>
    </row>
    <row r="1057" spans="21:22" ht="20.399999999999999" x14ac:dyDescent="0.35">
      <c r="U1057" s="280"/>
      <c r="V1057" s="280"/>
    </row>
    <row r="1058" spans="21:22" ht="20.399999999999999" x14ac:dyDescent="0.35">
      <c r="U1058" s="280"/>
      <c r="V1058" s="280"/>
    </row>
    <row r="1059" spans="21:22" ht="20.399999999999999" x14ac:dyDescent="0.35">
      <c r="U1059" s="280"/>
      <c r="V1059" s="280"/>
    </row>
    <row r="1060" spans="21:22" ht="20.399999999999999" x14ac:dyDescent="0.35">
      <c r="U1060" s="280"/>
      <c r="V1060" s="280"/>
    </row>
    <row r="1061" spans="21:22" ht="20.399999999999999" x14ac:dyDescent="0.35">
      <c r="U1061" s="280"/>
      <c r="V1061" s="280"/>
    </row>
    <row r="1062" spans="21:22" ht="20.399999999999999" x14ac:dyDescent="0.35">
      <c r="U1062" s="280"/>
      <c r="V1062" s="280"/>
    </row>
    <row r="1063" spans="21:22" ht="20.399999999999999" x14ac:dyDescent="0.35">
      <c r="U1063" s="280"/>
      <c r="V1063" s="280"/>
    </row>
    <row r="1064" spans="21:22" ht="20.399999999999999" x14ac:dyDescent="0.35">
      <c r="U1064" s="280"/>
      <c r="V1064" s="280"/>
    </row>
    <row r="1065" spans="21:22" ht="20.399999999999999" x14ac:dyDescent="0.35">
      <c r="U1065" s="280"/>
      <c r="V1065" s="280"/>
    </row>
    <row r="1066" spans="21:22" ht="20.399999999999999" x14ac:dyDescent="0.35">
      <c r="U1066" s="280"/>
      <c r="V1066" s="280"/>
    </row>
    <row r="1067" spans="21:22" ht="20.399999999999999" x14ac:dyDescent="0.35">
      <c r="U1067" s="280"/>
      <c r="V1067" s="280"/>
    </row>
    <row r="1068" spans="21:22" ht="20.399999999999999" x14ac:dyDescent="0.35">
      <c r="U1068" s="280"/>
      <c r="V1068" s="280"/>
    </row>
    <row r="1069" spans="21:22" ht="20.399999999999999" x14ac:dyDescent="0.35">
      <c r="U1069" s="280"/>
      <c r="V1069" s="280"/>
    </row>
    <row r="1070" spans="21:22" ht="20.399999999999999" x14ac:dyDescent="0.35">
      <c r="U1070" s="280"/>
      <c r="V1070" s="280"/>
    </row>
    <row r="1071" spans="21:22" ht="20.399999999999999" x14ac:dyDescent="0.35">
      <c r="U1071" s="280"/>
      <c r="V1071" s="280"/>
    </row>
    <row r="1072" spans="21:22" ht="20.399999999999999" x14ac:dyDescent="0.35">
      <c r="U1072" s="280"/>
      <c r="V1072" s="280"/>
    </row>
    <row r="1073" spans="21:22" ht="20.399999999999999" x14ac:dyDescent="0.35">
      <c r="U1073" s="280"/>
      <c r="V1073" s="280"/>
    </row>
    <row r="1074" spans="21:22" ht="20.399999999999999" x14ac:dyDescent="0.35">
      <c r="U1074" s="280"/>
      <c r="V1074" s="280"/>
    </row>
    <row r="1075" spans="21:22" ht="20.399999999999999" x14ac:dyDescent="0.35">
      <c r="U1075" s="280"/>
      <c r="V1075" s="280"/>
    </row>
    <row r="1076" spans="21:22" ht="20.399999999999999" x14ac:dyDescent="0.35">
      <c r="U1076" s="280"/>
      <c r="V1076" s="280"/>
    </row>
    <row r="1077" spans="21:22" ht="20.399999999999999" x14ac:dyDescent="0.35">
      <c r="U1077" s="280"/>
      <c r="V1077" s="280"/>
    </row>
    <row r="1078" spans="21:22" ht="20.399999999999999" x14ac:dyDescent="0.35">
      <c r="U1078" s="280"/>
      <c r="V1078" s="280"/>
    </row>
    <row r="1079" spans="21:22" ht="20.399999999999999" x14ac:dyDescent="0.35">
      <c r="U1079" s="280"/>
      <c r="V1079" s="280"/>
    </row>
    <row r="1080" spans="21:22" ht="20.399999999999999" x14ac:dyDescent="0.35">
      <c r="U1080" s="280"/>
      <c r="V1080" s="280"/>
    </row>
    <row r="1081" spans="21:22" ht="20.399999999999999" x14ac:dyDescent="0.35">
      <c r="U1081" s="280"/>
      <c r="V1081" s="280"/>
    </row>
    <row r="1082" spans="21:22" ht="20.399999999999999" x14ac:dyDescent="0.35">
      <c r="U1082" s="280"/>
      <c r="V1082" s="280"/>
    </row>
    <row r="1083" spans="21:22" ht="20.399999999999999" x14ac:dyDescent="0.35">
      <c r="U1083" s="280"/>
      <c r="V1083" s="280"/>
    </row>
    <row r="1084" spans="21:22" ht="20.399999999999999" x14ac:dyDescent="0.35">
      <c r="U1084" s="280"/>
      <c r="V1084" s="280"/>
    </row>
    <row r="1085" spans="21:22" ht="20.399999999999999" x14ac:dyDescent="0.35">
      <c r="U1085" s="280"/>
      <c r="V1085" s="280"/>
    </row>
    <row r="1086" spans="21:22" ht="20.399999999999999" x14ac:dyDescent="0.35">
      <c r="U1086" s="280"/>
      <c r="V1086" s="280"/>
    </row>
    <row r="1087" spans="21:22" ht="20.399999999999999" x14ac:dyDescent="0.35">
      <c r="U1087" s="280"/>
      <c r="V1087" s="280"/>
    </row>
    <row r="1088" spans="21:22" ht="20.399999999999999" x14ac:dyDescent="0.35">
      <c r="U1088" s="280"/>
      <c r="V1088" s="280"/>
    </row>
    <row r="1089" spans="21:22" ht="20.399999999999999" x14ac:dyDescent="0.35">
      <c r="U1089" s="280"/>
      <c r="V1089" s="280"/>
    </row>
    <row r="1090" spans="21:22" ht="20.399999999999999" x14ac:dyDescent="0.35">
      <c r="U1090" s="280"/>
      <c r="V1090" s="280"/>
    </row>
    <row r="1091" spans="21:22" ht="20.399999999999999" x14ac:dyDescent="0.35">
      <c r="U1091" s="280"/>
      <c r="V1091" s="280"/>
    </row>
    <row r="1092" spans="21:22" ht="20.399999999999999" x14ac:dyDescent="0.35">
      <c r="U1092" s="280"/>
      <c r="V1092" s="280"/>
    </row>
    <row r="1093" spans="21:22" ht="20.399999999999999" x14ac:dyDescent="0.35">
      <c r="U1093" s="280"/>
      <c r="V1093" s="280"/>
    </row>
    <row r="1094" spans="21:22" ht="20.399999999999999" x14ac:dyDescent="0.35">
      <c r="U1094" s="280"/>
      <c r="V1094" s="280"/>
    </row>
    <row r="1095" spans="21:22" ht="20.399999999999999" x14ac:dyDescent="0.35">
      <c r="U1095" s="280"/>
      <c r="V1095" s="280"/>
    </row>
    <row r="1096" spans="21:22" ht="20.399999999999999" x14ac:dyDescent="0.35">
      <c r="U1096" s="280"/>
      <c r="V1096" s="280"/>
    </row>
    <row r="1097" spans="21:22" ht="20.399999999999999" x14ac:dyDescent="0.35">
      <c r="U1097" s="280"/>
      <c r="V1097" s="280"/>
    </row>
    <row r="1098" spans="21:22" ht="20.399999999999999" x14ac:dyDescent="0.35">
      <c r="U1098" s="280"/>
      <c r="V1098" s="280"/>
    </row>
    <row r="1099" spans="21:22" ht="20.399999999999999" x14ac:dyDescent="0.35">
      <c r="U1099" s="280"/>
      <c r="V1099" s="280"/>
    </row>
    <row r="1100" spans="21:22" ht="20.399999999999999" x14ac:dyDescent="0.35">
      <c r="U1100" s="280"/>
      <c r="V1100" s="280"/>
    </row>
    <row r="1101" spans="21:22" ht="20.399999999999999" x14ac:dyDescent="0.35">
      <c r="U1101" s="280"/>
      <c r="V1101" s="280"/>
    </row>
    <row r="1102" spans="21:22" ht="20.399999999999999" x14ac:dyDescent="0.35">
      <c r="U1102" s="280"/>
      <c r="V1102" s="280"/>
    </row>
    <row r="1103" spans="21:22" ht="20.399999999999999" x14ac:dyDescent="0.35">
      <c r="U1103" s="280"/>
      <c r="V1103" s="280"/>
    </row>
    <row r="1104" spans="21:22" ht="20.399999999999999" x14ac:dyDescent="0.35">
      <c r="U1104" s="280"/>
      <c r="V1104" s="280"/>
    </row>
    <row r="1105" spans="21:22" ht="20.399999999999999" x14ac:dyDescent="0.35">
      <c r="U1105" s="280"/>
      <c r="V1105" s="280"/>
    </row>
    <row r="1106" spans="21:22" ht="20.399999999999999" x14ac:dyDescent="0.35">
      <c r="U1106" s="280"/>
      <c r="V1106" s="280"/>
    </row>
    <row r="1107" spans="21:22" ht="20.399999999999999" x14ac:dyDescent="0.35">
      <c r="U1107" s="280"/>
      <c r="V1107" s="280"/>
    </row>
    <row r="1108" spans="21:22" ht="20.399999999999999" x14ac:dyDescent="0.35">
      <c r="U1108" s="280"/>
      <c r="V1108" s="280"/>
    </row>
    <row r="1109" spans="21:22" ht="20.399999999999999" x14ac:dyDescent="0.35">
      <c r="U1109" s="280"/>
      <c r="V1109" s="280"/>
    </row>
    <row r="1110" spans="21:22" ht="20.399999999999999" x14ac:dyDescent="0.35">
      <c r="U1110" s="280"/>
      <c r="V1110" s="280"/>
    </row>
    <row r="1111" spans="21:22" ht="20.399999999999999" x14ac:dyDescent="0.35">
      <c r="U1111" s="280"/>
      <c r="V1111" s="280"/>
    </row>
    <row r="1112" spans="21:22" ht="20.399999999999999" x14ac:dyDescent="0.35">
      <c r="U1112" s="280"/>
      <c r="V1112" s="280"/>
    </row>
    <row r="1113" spans="21:22" ht="20.399999999999999" x14ac:dyDescent="0.35">
      <c r="U1113" s="280"/>
      <c r="V1113" s="280"/>
    </row>
    <row r="1114" spans="21:22" ht="20.399999999999999" x14ac:dyDescent="0.35">
      <c r="U1114" s="280"/>
      <c r="V1114" s="280"/>
    </row>
    <row r="1115" spans="21:22" ht="20.399999999999999" x14ac:dyDescent="0.35">
      <c r="U1115" s="280"/>
      <c r="V1115" s="280"/>
    </row>
    <row r="1116" spans="21:22" ht="20.399999999999999" x14ac:dyDescent="0.35">
      <c r="U1116" s="280"/>
      <c r="V1116" s="280"/>
    </row>
    <row r="1117" spans="21:22" ht="20.399999999999999" x14ac:dyDescent="0.35">
      <c r="U1117" s="280"/>
      <c r="V1117" s="280"/>
    </row>
    <row r="1118" spans="21:22" ht="20.399999999999999" x14ac:dyDescent="0.35">
      <c r="U1118" s="280"/>
      <c r="V1118" s="280"/>
    </row>
    <row r="1119" spans="21:22" ht="20.399999999999999" x14ac:dyDescent="0.35">
      <c r="U1119" s="280"/>
      <c r="V1119" s="280"/>
    </row>
    <row r="1120" spans="21:22" ht="20.399999999999999" x14ac:dyDescent="0.35">
      <c r="U1120" s="280"/>
      <c r="V1120" s="280"/>
    </row>
    <row r="1121" spans="21:22" ht="20.399999999999999" x14ac:dyDescent="0.35">
      <c r="U1121" s="280"/>
      <c r="V1121" s="280"/>
    </row>
    <row r="1122" spans="21:22" ht="20.399999999999999" x14ac:dyDescent="0.35">
      <c r="U1122" s="280"/>
      <c r="V1122" s="280"/>
    </row>
    <row r="1123" spans="21:22" ht="20.399999999999999" x14ac:dyDescent="0.35">
      <c r="U1123" s="280"/>
      <c r="V1123" s="280"/>
    </row>
    <row r="1124" spans="21:22" ht="20.399999999999999" x14ac:dyDescent="0.35">
      <c r="U1124" s="280"/>
      <c r="V1124" s="280"/>
    </row>
    <row r="1125" spans="21:22" ht="20.399999999999999" x14ac:dyDescent="0.35">
      <c r="U1125" s="280"/>
      <c r="V1125" s="280"/>
    </row>
    <row r="1126" spans="21:22" ht="20.399999999999999" x14ac:dyDescent="0.35">
      <c r="U1126" s="280"/>
      <c r="V1126" s="280"/>
    </row>
    <row r="1127" spans="21:22" ht="20.399999999999999" x14ac:dyDescent="0.35">
      <c r="U1127" s="280"/>
      <c r="V1127" s="280"/>
    </row>
    <row r="1128" spans="21:22" ht="20.399999999999999" x14ac:dyDescent="0.35">
      <c r="U1128" s="280"/>
      <c r="V1128" s="280"/>
    </row>
    <row r="1129" spans="21:22" ht="20.399999999999999" x14ac:dyDescent="0.35">
      <c r="U1129" s="280"/>
      <c r="V1129" s="280"/>
    </row>
    <row r="1130" spans="21:22" ht="20.399999999999999" x14ac:dyDescent="0.35">
      <c r="U1130" s="280"/>
      <c r="V1130" s="280"/>
    </row>
    <row r="1131" spans="21:22" ht="20.399999999999999" x14ac:dyDescent="0.35">
      <c r="U1131" s="280"/>
      <c r="V1131" s="280"/>
    </row>
    <row r="1132" spans="21:22" ht="20.399999999999999" x14ac:dyDescent="0.35">
      <c r="U1132" s="280"/>
      <c r="V1132" s="280"/>
    </row>
    <row r="1133" spans="21:22" ht="20.399999999999999" x14ac:dyDescent="0.35">
      <c r="U1133" s="280"/>
      <c r="V1133" s="280"/>
    </row>
    <row r="1134" spans="21:22" ht="20.399999999999999" x14ac:dyDescent="0.35">
      <c r="U1134" s="280"/>
      <c r="V1134" s="280"/>
    </row>
    <row r="1135" spans="21:22" ht="20.399999999999999" x14ac:dyDescent="0.35">
      <c r="U1135" s="280"/>
      <c r="V1135" s="280"/>
    </row>
    <row r="1136" spans="21:22" ht="20.399999999999999" x14ac:dyDescent="0.35">
      <c r="U1136" s="280"/>
      <c r="V1136" s="280"/>
    </row>
    <row r="1137" spans="21:22" ht="20.399999999999999" x14ac:dyDescent="0.35">
      <c r="U1137" s="280"/>
      <c r="V1137" s="280"/>
    </row>
    <row r="1138" spans="21:22" ht="20.399999999999999" x14ac:dyDescent="0.35">
      <c r="U1138" s="280"/>
      <c r="V1138" s="280"/>
    </row>
    <row r="1139" spans="21:22" ht="20.399999999999999" x14ac:dyDescent="0.35">
      <c r="U1139" s="280"/>
      <c r="V1139" s="280"/>
    </row>
    <row r="1140" spans="21:22" ht="20.399999999999999" x14ac:dyDescent="0.35">
      <c r="U1140" s="280"/>
      <c r="V1140" s="280"/>
    </row>
    <row r="1141" spans="21:22" ht="20.399999999999999" x14ac:dyDescent="0.35">
      <c r="U1141" s="280"/>
      <c r="V1141" s="280"/>
    </row>
    <row r="1142" spans="21:22" ht="20.399999999999999" x14ac:dyDescent="0.35">
      <c r="U1142" s="280"/>
      <c r="V1142" s="280"/>
    </row>
    <row r="1143" spans="21:22" ht="20.399999999999999" x14ac:dyDescent="0.35">
      <c r="U1143" s="280"/>
      <c r="V1143" s="280"/>
    </row>
    <row r="1144" spans="21:22" ht="20.399999999999999" x14ac:dyDescent="0.35">
      <c r="U1144" s="280"/>
      <c r="V1144" s="280"/>
    </row>
    <row r="1145" spans="21:22" ht="20.399999999999999" x14ac:dyDescent="0.35">
      <c r="U1145" s="280"/>
      <c r="V1145" s="280"/>
    </row>
    <row r="1146" spans="21:22" ht="20.399999999999999" x14ac:dyDescent="0.35">
      <c r="U1146" s="280"/>
      <c r="V1146" s="280"/>
    </row>
    <row r="1147" spans="21:22" ht="20.399999999999999" x14ac:dyDescent="0.35">
      <c r="U1147" s="280"/>
      <c r="V1147" s="280"/>
    </row>
    <row r="1148" spans="21:22" ht="20.399999999999999" x14ac:dyDescent="0.35">
      <c r="U1148" s="280"/>
      <c r="V1148" s="280"/>
    </row>
    <row r="1149" spans="21:22" ht="20.399999999999999" x14ac:dyDescent="0.35">
      <c r="U1149" s="280"/>
      <c r="V1149" s="280"/>
    </row>
    <row r="1150" spans="21:22" ht="20.399999999999999" x14ac:dyDescent="0.35">
      <c r="U1150" s="280"/>
      <c r="V1150" s="280"/>
    </row>
    <row r="1151" spans="21:22" ht="20.399999999999999" x14ac:dyDescent="0.35">
      <c r="U1151" s="280"/>
      <c r="V1151" s="280"/>
    </row>
    <row r="1152" spans="21:22" ht="20.399999999999999" x14ac:dyDescent="0.35">
      <c r="U1152" s="280"/>
      <c r="V1152" s="280"/>
    </row>
    <row r="1153" spans="21:22" ht="20.399999999999999" x14ac:dyDescent="0.35">
      <c r="U1153" s="280"/>
      <c r="V1153" s="280"/>
    </row>
    <row r="1154" spans="21:22" ht="20.399999999999999" x14ac:dyDescent="0.35">
      <c r="U1154" s="280"/>
      <c r="V1154" s="280"/>
    </row>
    <row r="1155" spans="21:22" ht="20.399999999999999" x14ac:dyDescent="0.35">
      <c r="U1155" s="280"/>
      <c r="V1155" s="280"/>
    </row>
    <row r="1156" spans="21:22" ht="20.399999999999999" x14ac:dyDescent="0.35">
      <c r="U1156" s="280"/>
      <c r="V1156" s="280"/>
    </row>
    <row r="1157" spans="21:22" ht="20.399999999999999" x14ac:dyDescent="0.35">
      <c r="U1157" s="280"/>
      <c r="V1157" s="280"/>
    </row>
    <row r="1158" spans="21:22" ht="20.399999999999999" x14ac:dyDescent="0.35">
      <c r="U1158" s="280"/>
      <c r="V1158" s="280"/>
    </row>
    <row r="1159" spans="21:22" ht="20.399999999999999" x14ac:dyDescent="0.35">
      <c r="U1159" s="280"/>
      <c r="V1159" s="280"/>
    </row>
    <row r="1160" spans="21:22" ht="20.399999999999999" x14ac:dyDescent="0.35">
      <c r="U1160" s="280"/>
      <c r="V1160" s="280"/>
    </row>
    <row r="1161" spans="21:22" ht="20.399999999999999" x14ac:dyDescent="0.35">
      <c r="U1161" s="280"/>
      <c r="V1161" s="280"/>
    </row>
    <row r="1162" spans="21:22" ht="20.399999999999999" x14ac:dyDescent="0.35">
      <c r="U1162" s="280"/>
      <c r="V1162" s="280"/>
    </row>
    <row r="1163" spans="21:22" ht="20.399999999999999" x14ac:dyDescent="0.35">
      <c r="U1163" s="280"/>
      <c r="V1163" s="280"/>
    </row>
    <row r="1164" spans="21:22" ht="20.399999999999999" x14ac:dyDescent="0.35">
      <c r="U1164" s="280"/>
      <c r="V1164" s="280"/>
    </row>
    <row r="1165" spans="21:22" ht="20.399999999999999" x14ac:dyDescent="0.35">
      <c r="U1165" s="280"/>
      <c r="V1165" s="280"/>
    </row>
    <row r="1166" spans="21:22" ht="20.399999999999999" x14ac:dyDescent="0.35">
      <c r="U1166" s="280"/>
      <c r="V1166" s="280"/>
    </row>
    <row r="1167" spans="21:22" ht="20.399999999999999" x14ac:dyDescent="0.35">
      <c r="U1167" s="280"/>
      <c r="V1167" s="280"/>
    </row>
    <row r="1168" spans="21:22" ht="20.399999999999999" x14ac:dyDescent="0.35">
      <c r="U1168" s="280"/>
      <c r="V1168" s="280"/>
    </row>
    <row r="1169" spans="21:22" ht="20.399999999999999" x14ac:dyDescent="0.35">
      <c r="U1169" s="280"/>
      <c r="V1169" s="280"/>
    </row>
    <row r="1170" spans="21:22" ht="20.399999999999999" x14ac:dyDescent="0.35">
      <c r="U1170" s="280"/>
      <c r="V1170" s="280"/>
    </row>
    <row r="1171" spans="21:22" ht="20.399999999999999" x14ac:dyDescent="0.35">
      <c r="U1171" s="280"/>
      <c r="V1171" s="280"/>
    </row>
    <row r="1172" spans="21:22" ht="20.399999999999999" x14ac:dyDescent="0.35">
      <c r="U1172" s="280"/>
      <c r="V1172" s="280"/>
    </row>
    <row r="1173" spans="21:22" ht="20.399999999999999" x14ac:dyDescent="0.35">
      <c r="U1173" s="280"/>
      <c r="V1173" s="280"/>
    </row>
    <row r="1174" spans="21:22" ht="20.399999999999999" x14ac:dyDescent="0.35">
      <c r="U1174" s="280"/>
      <c r="V1174" s="280"/>
    </row>
    <row r="1175" spans="21:22" ht="20.399999999999999" x14ac:dyDescent="0.35">
      <c r="U1175" s="280"/>
      <c r="V1175" s="280"/>
    </row>
    <row r="1176" spans="21:22" ht="20.399999999999999" x14ac:dyDescent="0.35">
      <c r="U1176" s="280"/>
      <c r="V1176" s="280"/>
    </row>
    <row r="1177" spans="21:22" ht="20.399999999999999" x14ac:dyDescent="0.35">
      <c r="U1177" s="280"/>
      <c r="V1177" s="280"/>
    </row>
    <row r="1178" spans="21:22" ht="20.399999999999999" x14ac:dyDescent="0.35">
      <c r="U1178" s="280"/>
      <c r="V1178" s="280"/>
    </row>
    <row r="1179" spans="21:22" ht="20.399999999999999" x14ac:dyDescent="0.35">
      <c r="U1179" s="280"/>
      <c r="V1179" s="280"/>
    </row>
    <row r="1180" spans="21:22" ht="20.399999999999999" x14ac:dyDescent="0.35">
      <c r="U1180" s="280"/>
      <c r="V1180" s="280"/>
    </row>
    <row r="1181" spans="21:22" ht="20.399999999999999" x14ac:dyDescent="0.35">
      <c r="U1181" s="280"/>
      <c r="V1181" s="280"/>
    </row>
    <row r="1182" spans="21:22" ht="20.399999999999999" x14ac:dyDescent="0.35">
      <c r="U1182" s="280"/>
      <c r="V1182" s="280"/>
    </row>
    <row r="1183" spans="21:22" ht="20.399999999999999" x14ac:dyDescent="0.35">
      <c r="U1183" s="280"/>
      <c r="V1183" s="280"/>
    </row>
    <row r="1184" spans="21:22" ht="20.399999999999999" x14ac:dyDescent="0.35">
      <c r="U1184" s="280"/>
      <c r="V1184" s="280"/>
    </row>
    <row r="1185" spans="21:22" ht="20.399999999999999" x14ac:dyDescent="0.35">
      <c r="U1185" s="280"/>
      <c r="V1185" s="280"/>
    </row>
    <row r="1186" spans="21:22" ht="20.399999999999999" x14ac:dyDescent="0.35">
      <c r="U1186" s="280"/>
      <c r="V1186" s="280"/>
    </row>
    <row r="1187" spans="21:22" ht="20.399999999999999" x14ac:dyDescent="0.35">
      <c r="U1187" s="280"/>
      <c r="V1187" s="280"/>
    </row>
    <row r="1188" spans="21:22" ht="20.399999999999999" x14ac:dyDescent="0.35">
      <c r="U1188" s="280"/>
      <c r="V1188" s="280"/>
    </row>
    <row r="1189" spans="21:22" ht="20.399999999999999" x14ac:dyDescent="0.35">
      <c r="U1189" s="280"/>
      <c r="V1189" s="280"/>
    </row>
    <row r="1190" spans="21:22" ht="20.399999999999999" x14ac:dyDescent="0.35">
      <c r="U1190" s="280"/>
      <c r="V1190" s="280"/>
    </row>
    <row r="1191" spans="21:22" ht="20.399999999999999" x14ac:dyDescent="0.35">
      <c r="U1191" s="280"/>
      <c r="V1191" s="280"/>
    </row>
    <row r="1192" spans="21:22" ht="20.399999999999999" x14ac:dyDescent="0.35">
      <c r="U1192" s="280"/>
      <c r="V1192" s="280"/>
    </row>
    <row r="1193" spans="21:22" ht="20.399999999999999" x14ac:dyDescent="0.35">
      <c r="U1193" s="280"/>
      <c r="V1193" s="280"/>
    </row>
    <row r="1194" spans="21:22" ht="20.399999999999999" x14ac:dyDescent="0.35">
      <c r="U1194" s="280"/>
      <c r="V1194" s="280"/>
    </row>
    <row r="1195" spans="21:22" ht="20.399999999999999" x14ac:dyDescent="0.35">
      <c r="U1195" s="280"/>
      <c r="V1195" s="280"/>
    </row>
    <row r="1196" spans="21:22" ht="20.399999999999999" x14ac:dyDescent="0.35">
      <c r="U1196" s="280"/>
      <c r="V1196" s="280"/>
    </row>
    <row r="1197" spans="21:22" ht="20.399999999999999" x14ac:dyDescent="0.35">
      <c r="U1197" s="280"/>
      <c r="V1197" s="280"/>
    </row>
    <row r="1198" spans="21:22" ht="20.399999999999999" x14ac:dyDescent="0.35">
      <c r="U1198" s="280"/>
      <c r="V1198" s="280"/>
    </row>
    <row r="1199" spans="21:22" ht="20.399999999999999" x14ac:dyDescent="0.35">
      <c r="U1199" s="280"/>
      <c r="V1199" s="280"/>
    </row>
    <row r="1200" spans="21:22" ht="20.399999999999999" x14ac:dyDescent="0.35">
      <c r="U1200" s="280"/>
      <c r="V1200" s="280"/>
    </row>
    <row r="1201" spans="21:22" ht="20.399999999999999" x14ac:dyDescent="0.35">
      <c r="U1201" s="280"/>
      <c r="V1201" s="280"/>
    </row>
    <row r="1202" spans="21:22" ht="20.399999999999999" x14ac:dyDescent="0.35">
      <c r="U1202" s="280"/>
      <c r="V1202" s="280"/>
    </row>
    <row r="1203" spans="21:22" ht="20.399999999999999" x14ac:dyDescent="0.35">
      <c r="U1203" s="280"/>
      <c r="V1203" s="280"/>
    </row>
    <row r="1204" spans="21:22" ht="20.399999999999999" x14ac:dyDescent="0.35">
      <c r="U1204" s="280"/>
      <c r="V1204" s="280"/>
    </row>
    <row r="1205" spans="21:22" ht="20.399999999999999" x14ac:dyDescent="0.35">
      <c r="U1205" s="280"/>
      <c r="V1205" s="280"/>
    </row>
    <row r="1206" spans="21:22" ht="20.399999999999999" x14ac:dyDescent="0.35">
      <c r="U1206" s="280"/>
      <c r="V1206" s="280"/>
    </row>
    <row r="1207" spans="21:22" ht="20.399999999999999" x14ac:dyDescent="0.35">
      <c r="U1207" s="280"/>
      <c r="V1207" s="280"/>
    </row>
    <row r="1208" spans="21:22" ht="20.399999999999999" x14ac:dyDescent="0.35">
      <c r="U1208" s="280"/>
      <c r="V1208" s="280"/>
    </row>
    <row r="1209" spans="21:22" ht="20.399999999999999" x14ac:dyDescent="0.35">
      <c r="U1209" s="280"/>
      <c r="V1209" s="280"/>
    </row>
    <row r="1210" spans="21:22" ht="20.399999999999999" x14ac:dyDescent="0.35">
      <c r="U1210" s="280"/>
      <c r="V1210" s="280"/>
    </row>
    <row r="1211" spans="21:22" ht="20.399999999999999" x14ac:dyDescent="0.35">
      <c r="U1211" s="280"/>
      <c r="V1211" s="280"/>
    </row>
    <row r="1212" spans="21:22" ht="20.399999999999999" x14ac:dyDescent="0.35">
      <c r="U1212" s="280"/>
      <c r="V1212" s="280"/>
    </row>
    <row r="1213" spans="21:22" ht="20.399999999999999" x14ac:dyDescent="0.35">
      <c r="U1213" s="280"/>
      <c r="V1213" s="280"/>
    </row>
    <row r="1214" spans="21:22" ht="20.399999999999999" x14ac:dyDescent="0.35">
      <c r="U1214" s="280"/>
      <c r="V1214" s="280"/>
    </row>
    <row r="1215" spans="21:22" ht="20.399999999999999" x14ac:dyDescent="0.35">
      <c r="U1215" s="280"/>
      <c r="V1215" s="280"/>
    </row>
    <row r="1216" spans="21:22" ht="20.399999999999999" x14ac:dyDescent="0.35">
      <c r="U1216" s="280"/>
      <c r="V1216" s="280"/>
    </row>
    <row r="1217" spans="21:22" ht="20.399999999999999" x14ac:dyDescent="0.35">
      <c r="U1217" s="280"/>
      <c r="V1217" s="280"/>
    </row>
    <row r="1218" spans="21:22" ht="20.399999999999999" x14ac:dyDescent="0.35">
      <c r="U1218" s="280"/>
      <c r="V1218" s="280"/>
    </row>
    <row r="1219" spans="21:22" ht="20.399999999999999" x14ac:dyDescent="0.35">
      <c r="U1219" s="280"/>
      <c r="V1219" s="280"/>
    </row>
    <row r="1220" spans="21:22" ht="20.399999999999999" x14ac:dyDescent="0.35">
      <c r="U1220" s="280"/>
      <c r="V1220" s="280"/>
    </row>
    <row r="1221" spans="21:22" ht="20.399999999999999" x14ac:dyDescent="0.35">
      <c r="U1221" s="280"/>
      <c r="V1221" s="280"/>
    </row>
    <row r="1222" spans="21:22" ht="20.399999999999999" x14ac:dyDescent="0.35">
      <c r="U1222" s="280"/>
      <c r="V1222" s="280"/>
    </row>
    <row r="1223" spans="21:22" ht="20.399999999999999" x14ac:dyDescent="0.35">
      <c r="U1223" s="280"/>
      <c r="V1223" s="280"/>
    </row>
    <row r="1224" spans="21:22" ht="20.399999999999999" x14ac:dyDescent="0.35">
      <c r="U1224" s="280"/>
      <c r="V1224" s="280"/>
    </row>
    <row r="1225" spans="21:22" ht="20.399999999999999" x14ac:dyDescent="0.35">
      <c r="U1225" s="280"/>
      <c r="V1225" s="280"/>
    </row>
    <row r="1226" spans="21:22" ht="20.399999999999999" x14ac:dyDescent="0.35">
      <c r="U1226" s="280"/>
      <c r="V1226" s="280"/>
    </row>
    <row r="1227" spans="21:22" ht="20.399999999999999" x14ac:dyDescent="0.35">
      <c r="U1227" s="280"/>
      <c r="V1227" s="280"/>
    </row>
    <row r="1228" spans="21:22" ht="20.399999999999999" x14ac:dyDescent="0.35">
      <c r="U1228" s="280"/>
      <c r="V1228" s="280"/>
    </row>
    <row r="1229" spans="21:22" ht="20.399999999999999" x14ac:dyDescent="0.35">
      <c r="U1229" s="280"/>
      <c r="V1229" s="280"/>
    </row>
    <row r="1230" spans="21:22" ht="20.399999999999999" x14ac:dyDescent="0.35">
      <c r="U1230" s="280"/>
      <c r="V1230" s="280"/>
    </row>
    <row r="1231" spans="21:22" ht="20.399999999999999" x14ac:dyDescent="0.35">
      <c r="U1231" s="280"/>
      <c r="V1231" s="280"/>
    </row>
    <row r="1232" spans="21:22" ht="20.399999999999999" x14ac:dyDescent="0.35">
      <c r="U1232" s="280"/>
      <c r="V1232" s="280"/>
    </row>
    <row r="1233" spans="21:22" ht="20.399999999999999" x14ac:dyDescent="0.35">
      <c r="U1233" s="280"/>
      <c r="V1233" s="280"/>
    </row>
    <row r="1234" spans="21:22" ht="20.399999999999999" x14ac:dyDescent="0.35">
      <c r="U1234" s="280"/>
      <c r="V1234" s="280"/>
    </row>
    <row r="1235" spans="21:22" ht="20.399999999999999" x14ac:dyDescent="0.35">
      <c r="U1235" s="280"/>
      <c r="V1235" s="280"/>
    </row>
    <row r="1236" spans="21:22" ht="20.399999999999999" x14ac:dyDescent="0.35">
      <c r="U1236" s="280"/>
      <c r="V1236" s="280"/>
    </row>
    <row r="1237" spans="21:22" ht="20.399999999999999" x14ac:dyDescent="0.35">
      <c r="U1237" s="280"/>
      <c r="V1237" s="280"/>
    </row>
    <row r="1238" spans="21:22" ht="20.399999999999999" x14ac:dyDescent="0.35">
      <c r="U1238" s="280"/>
      <c r="V1238" s="280"/>
    </row>
    <row r="1239" spans="21:22" ht="20.399999999999999" x14ac:dyDescent="0.35">
      <c r="U1239" s="280"/>
      <c r="V1239" s="280"/>
    </row>
    <row r="1240" spans="21:22" ht="20.399999999999999" x14ac:dyDescent="0.35">
      <c r="U1240" s="280"/>
      <c r="V1240" s="280"/>
    </row>
    <row r="1241" spans="21:22" ht="20.399999999999999" x14ac:dyDescent="0.35">
      <c r="U1241" s="280"/>
      <c r="V1241" s="280"/>
    </row>
    <row r="1242" spans="21:22" ht="20.399999999999999" x14ac:dyDescent="0.35">
      <c r="U1242" s="280"/>
      <c r="V1242" s="280"/>
    </row>
    <row r="1243" spans="21:22" ht="20.399999999999999" x14ac:dyDescent="0.35">
      <c r="U1243" s="280"/>
      <c r="V1243" s="280"/>
    </row>
    <row r="1244" spans="21:22" ht="20.399999999999999" x14ac:dyDescent="0.35">
      <c r="U1244" s="280"/>
      <c r="V1244" s="280"/>
    </row>
    <row r="1245" spans="21:22" ht="20.399999999999999" x14ac:dyDescent="0.35">
      <c r="U1245" s="280"/>
      <c r="V1245" s="280"/>
    </row>
    <row r="1246" spans="21:22" ht="20.399999999999999" x14ac:dyDescent="0.35">
      <c r="U1246" s="280"/>
      <c r="V1246" s="280"/>
    </row>
    <row r="1247" spans="21:22" ht="20.399999999999999" x14ac:dyDescent="0.35">
      <c r="U1247" s="280"/>
      <c r="V1247" s="280"/>
    </row>
    <row r="1248" spans="21:22" ht="20.399999999999999" x14ac:dyDescent="0.35">
      <c r="U1248" s="280"/>
      <c r="V1248" s="280"/>
    </row>
    <row r="1249" spans="21:22" ht="20.399999999999999" x14ac:dyDescent="0.35">
      <c r="U1249" s="280"/>
      <c r="V1249" s="280"/>
    </row>
    <row r="1250" spans="21:22" ht="20.399999999999999" x14ac:dyDescent="0.35">
      <c r="U1250" s="280"/>
      <c r="V1250" s="280"/>
    </row>
    <row r="1251" spans="21:22" ht="20.399999999999999" x14ac:dyDescent="0.35">
      <c r="U1251" s="280"/>
      <c r="V1251" s="280"/>
    </row>
    <row r="1252" spans="21:22" ht="20.399999999999999" x14ac:dyDescent="0.35">
      <c r="U1252" s="280"/>
      <c r="V1252" s="280"/>
    </row>
    <row r="1253" spans="21:22" ht="20.399999999999999" x14ac:dyDescent="0.35">
      <c r="U1253" s="280"/>
      <c r="V1253" s="280"/>
    </row>
    <row r="1254" spans="21:22" ht="20.399999999999999" x14ac:dyDescent="0.35">
      <c r="U1254" s="280"/>
      <c r="V1254" s="280"/>
    </row>
    <row r="1255" spans="21:22" ht="20.399999999999999" x14ac:dyDescent="0.35">
      <c r="U1255" s="280"/>
      <c r="V1255" s="280"/>
    </row>
    <row r="1256" spans="21:22" ht="20.399999999999999" x14ac:dyDescent="0.35">
      <c r="U1256" s="280"/>
      <c r="V1256" s="280"/>
    </row>
    <row r="1257" spans="21:22" ht="20.399999999999999" x14ac:dyDescent="0.35">
      <c r="U1257" s="280"/>
      <c r="V1257" s="280"/>
    </row>
    <row r="1258" spans="21:22" ht="20.399999999999999" x14ac:dyDescent="0.35">
      <c r="U1258" s="280"/>
      <c r="V1258" s="280"/>
    </row>
    <row r="1259" spans="21:22" ht="20.399999999999999" x14ac:dyDescent="0.35">
      <c r="U1259" s="280"/>
      <c r="V1259" s="280"/>
    </row>
    <row r="1260" spans="21:22" ht="20.399999999999999" x14ac:dyDescent="0.35">
      <c r="U1260" s="280"/>
      <c r="V1260" s="280"/>
    </row>
    <row r="1261" spans="21:22" ht="20.399999999999999" x14ac:dyDescent="0.35">
      <c r="U1261" s="280"/>
      <c r="V1261" s="280"/>
    </row>
    <row r="1262" spans="21:22" ht="20.399999999999999" x14ac:dyDescent="0.35">
      <c r="U1262" s="280"/>
      <c r="V1262" s="280"/>
    </row>
    <row r="1263" spans="21:22" ht="20.399999999999999" x14ac:dyDescent="0.35">
      <c r="U1263" s="280"/>
      <c r="V1263" s="280"/>
    </row>
    <row r="1264" spans="21:22" ht="20.399999999999999" x14ac:dyDescent="0.35">
      <c r="U1264" s="280"/>
      <c r="V1264" s="280"/>
    </row>
    <row r="1265" spans="21:22" ht="20.399999999999999" x14ac:dyDescent="0.35">
      <c r="U1265" s="280"/>
      <c r="V1265" s="280"/>
    </row>
    <row r="1266" spans="21:22" ht="20.399999999999999" x14ac:dyDescent="0.35">
      <c r="U1266" s="280"/>
      <c r="V1266" s="280"/>
    </row>
    <row r="1267" spans="21:22" ht="20.399999999999999" x14ac:dyDescent="0.35">
      <c r="U1267" s="280"/>
      <c r="V1267" s="280"/>
    </row>
    <row r="1268" spans="21:22" ht="20.399999999999999" x14ac:dyDescent="0.35">
      <c r="U1268" s="280"/>
      <c r="V1268" s="280"/>
    </row>
    <row r="1269" spans="21:22" ht="20.399999999999999" x14ac:dyDescent="0.35">
      <c r="U1269" s="280"/>
      <c r="V1269" s="280"/>
    </row>
    <row r="1270" spans="21:22" ht="20.399999999999999" x14ac:dyDescent="0.35">
      <c r="U1270" s="280"/>
      <c r="V1270" s="280"/>
    </row>
    <row r="1271" spans="21:22" ht="20.399999999999999" x14ac:dyDescent="0.35">
      <c r="U1271" s="280"/>
      <c r="V1271" s="280"/>
    </row>
    <row r="1272" spans="21:22" ht="20.399999999999999" x14ac:dyDescent="0.35">
      <c r="U1272" s="280"/>
      <c r="V1272" s="280"/>
    </row>
    <row r="1273" spans="21:22" ht="20.399999999999999" x14ac:dyDescent="0.35">
      <c r="U1273" s="280"/>
      <c r="V1273" s="280"/>
    </row>
    <row r="1274" spans="21:22" ht="20.399999999999999" x14ac:dyDescent="0.35">
      <c r="U1274" s="280"/>
      <c r="V1274" s="280"/>
    </row>
    <row r="1275" spans="21:22" ht="20.399999999999999" x14ac:dyDescent="0.35">
      <c r="U1275" s="280"/>
      <c r="V1275" s="280"/>
    </row>
    <row r="1276" spans="21:22" ht="20.399999999999999" x14ac:dyDescent="0.35">
      <c r="U1276" s="280"/>
      <c r="V1276" s="280"/>
    </row>
    <row r="1277" spans="21:22" ht="20.399999999999999" x14ac:dyDescent="0.35">
      <c r="U1277" s="280"/>
      <c r="V1277" s="280"/>
    </row>
    <row r="1278" spans="21:22" ht="20.399999999999999" x14ac:dyDescent="0.35">
      <c r="U1278" s="280"/>
      <c r="V1278" s="280"/>
    </row>
    <row r="1279" spans="21:22" ht="20.399999999999999" x14ac:dyDescent="0.35">
      <c r="U1279" s="280"/>
      <c r="V1279" s="280"/>
    </row>
    <row r="1280" spans="21:22" ht="20.399999999999999" x14ac:dyDescent="0.35">
      <c r="U1280" s="280"/>
      <c r="V1280" s="280"/>
    </row>
    <row r="1281" spans="21:22" ht="20.399999999999999" x14ac:dyDescent="0.35">
      <c r="U1281" s="280"/>
      <c r="V1281" s="280"/>
    </row>
    <row r="1282" spans="21:22" ht="20.399999999999999" x14ac:dyDescent="0.35">
      <c r="U1282" s="280"/>
      <c r="V1282" s="280"/>
    </row>
    <row r="1283" spans="21:22" ht="20.399999999999999" x14ac:dyDescent="0.35">
      <c r="U1283" s="280"/>
      <c r="V1283" s="280"/>
    </row>
    <row r="1284" spans="21:22" ht="20.399999999999999" x14ac:dyDescent="0.35">
      <c r="U1284" s="280"/>
      <c r="V1284" s="280"/>
    </row>
    <row r="1285" spans="21:22" ht="20.399999999999999" x14ac:dyDescent="0.35">
      <c r="U1285" s="280"/>
      <c r="V1285" s="280"/>
    </row>
    <row r="1286" spans="21:22" ht="20.399999999999999" x14ac:dyDescent="0.35">
      <c r="U1286" s="280"/>
      <c r="V1286" s="280"/>
    </row>
    <row r="1287" spans="21:22" ht="20.399999999999999" x14ac:dyDescent="0.35">
      <c r="U1287" s="280"/>
      <c r="V1287" s="280"/>
    </row>
    <row r="1288" spans="21:22" ht="20.399999999999999" x14ac:dyDescent="0.35">
      <c r="U1288" s="280"/>
      <c r="V1288" s="280"/>
    </row>
    <row r="1289" spans="21:22" ht="20.399999999999999" x14ac:dyDescent="0.35">
      <c r="U1289" s="280"/>
      <c r="V1289" s="280"/>
    </row>
    <row r="1290" spans="21:22" ht="20.399999999999999" x14ac:dyDescent="0.35">
      <c r="U1290" s="280"/>
      <c r="V1290" s="280"/>
    </row>
    <row r="1291" spans="21:22" ht="20.399999999999999" x14ac:dyDescent="0.35">
      <c r="U1291" s="280"/>
      <c r="V1291" s="280"/>
    </row>
    <row r="1292" spans="21:22" ht="20.399999999999999" x14ac:dyDescent="0.35">
      <c r="U1292" s="280"/>
      <c r="V1292" s="280"/>
    </row>
    <row r="1293" spans="21:22" ht="20.399999999999999" x14ac:dyDescent="0.35">
      <c r="U1293" s="280"/>
      <c r="V1293" s="280"/>
    </row>
    <row r="1294" spans="21:22" ht="20.399999999999999" x14ac:dyDescent="0.35">
      <c r="U1294" s="280"/>
      <c r="V1294" s="280"/>
    </row>
    <row r="1295" spans="21:22" ht="20.399999999999999" x14ac:dyDescent="0.35">
      <c r="U1295" s="280"/>
      <c r="V1295" s="280"/>
    </row>
    <row r="1296" spans="21:22" ht="20.399999999999999" x14ac:dyDescent="0.35">
      <c r="U1296" s="280"/>
      <c r="V1296" s="280"/>
    </row>
    <row r="1297" spans="21:22" ht="20.399999999999999" x14ac:dyDescent="0.35">
      <c r="U1297" s="280"/>
      <c r="V1297" s="280"/>
    </row>
    <row r="1298" spans="21:22" ht="20.399999999999999" x14ac:dyDescent="0.35">
      <c r="U1298" s="280"/>
      <c r="V1298" s="280"/>
    </row>
    <row r="1299" spans="21:22" ht="20.399999999999999" x14ac:dyDescent="0.35">
      <c r="U1299" s="280"/>
      <c r="V1299" s="280"/>
    </row>
    <row r="1300" spans="21:22" ht="20.399999999999999" x14ac:dyDescent="0.35">
      <c r="U1300" s="280"/>
      <c r="V1300" s="280"/>
    </row>
    <row r="1301" spans="21:22" ht="20.399999999999999" x14ac:dyDescent="0.35">
      <c r="U1301" s="280"/>
      <c r="V1301" s="280"/>
    </row>
    <row r="1302" spans="21:22" ht="20.399999999999999" x14ac:dyDescent="0.35">
      <c r="U1302" s="280"/>
      <c r="V1302" s="280"/>
    </row>
    <row r="1303" spans="21:22" ht="20.399999999999999" x14ac:dyDescent="0.35">
      <c r="U1303" s="280"/>
      <c r="V1303" s="280"/>
    </row>
    <row r="1304" spans="21:22" ht="20.399999999999999" x14ac:dyDescent="0.35">
      <c r="U1304" s="280"/>
      <c r="V1304" s="280"/>
    </row>
    <row r="1305" spans="21:22" ht="20.399999999999999" x14ac:dyDescent="0.35">
      <c r="U1305" s="280"/>
      <c r="V1305" s="280"/>
    </row>
    <row r="1306" spans="21:22" ht="20.399999999999999" x14ac:dyDescent="0.35">
      <c r="U1306" s="280"/>
      <c r="V1306" s="280"/>
    </row>
    <row r="1307" spans="21:22" ht="20.399999999999999" x14ac:dyDescent="0.35">
      <c r="U1307" s="280"/>
      <c r="V1307" s="280"/>
    </row>
    <row r="1308" spans="21:22" ht="20.399999999999999" x14ac:dyDescent="0.35">
      <c r="U1308" s="280"/>
      <c r="V1308" s="280"/>
    </row>
    <row r="1309" spans="21:22" ht="20.399999999999999" x14ac:dyDescent="0.35">
      <c r="U1309" s="280"/>
      <c r="V1309" s="280"/>
    </row>
    <row r="1310" spans="21:22" ht="20.399999999999999" x14ac:dyDescent="0.35">
      <c r="U1310" s="280"/>
      <c r="V1310" s="280"/>
    </row>
    <row r="1311" spans="21:22" ht="20.399999999999999" x14ac:dyDescent="0.35">
      <c r="U1311" s="280"/>
      <c r="V1311" s="280"/>
    </row>
    <row r="1312" spans="21:22" ht="20.399999999999999" x14ac:dyDescent="0.35">
      <c r="U1312" s="280"/>
      <c r="V1312" s="280"/>
    </row>
    <row r="1313" spans="21:22" ht="20.399999999999999" x14ac:dyDescent="0.35">
      <c r="U1313" s="280"/>
      <c r="V1313" s="280"/>
    </row>
    <row r="1314" spans="21:22" ht="20.399999999999999" x14ac:dyDescent="0.35">
      <c r="U1314" s="280"/>
      <c r="V1314" s="280"/>
    </row>
    <row r="1315" spans="21:22" ht="20.399999999999999" x14ac:dyDescent="0.35">
      <c r="U1315" s="280"/>
      <c r="V1315" s="280"/>
    </row>
    <row r="1316" spans="21:22" ht="20.399999999999999" x14ac:dyDescent="0.35">
      <c r="U1316" s="280"/>
      <c r="V1316" s="280"/>
    </row>
    <row r="1317" spans="21:22" ht="20.399999999999999" x14ac:dyDescent="0.35">
      <c r="U1317" s="280"/>
      <c r="V1317" s="280"/>
    </row>
    <row r="1318" spans="21:22" ht="20.399999999999999" x14ac:dyDescent="0.35">
      <c r="U1318" s="280"/>
      <c r="V1318" s="280"/>
    </row>
    <row r="1319" spans="21:22" ht="20.399999999999999" x14ac:dyDescent="0.35">
      <c r="U1319" s="280"/>
      <c r="V1319" s="280"/>
    </row>
    <row r="1320" spans="21:22" ht="20.399999999999999" x14ac:dyDescent="0.35">
      <c r="U1320" s="280"/>
      <c r="V1320" s="280"/>
    </row>
    <row r="1321" spans="21:22" ht="20.399999999999999" x14ac:dyDescent="0.35">
      <c r="U1321" s="280"/>
      <c r="V1321" s="280"/>
    </row>
    <row r="1322" spans="21:22" ht="20.399999999999999" x14ac:dyDescent="0.35">
      <c r="U1322" s="280"/>
      <c r="V1322" s="280"/>
    </row>
  </sheetData>
  <mergeCells count="1">
    <mergeCell ref="S2:T3"/>
  </mergeCells>
  <conditionalFormatting sqref="H6:H139">
    <cfRule type="cellIs" dxfId="151" priority="5" stopIfTrue="1" operator="greaterThan">
      <formula>0.0499</formula>
    </cfRule>
  </conditionalFormatting>
  <conditionalFormatting sqref="H5:H139">
    <cfRule type="cellIs" dxfId="150" priority="6" stopIfTrue="1" operator="between">
      <formula>0.0449</formula>
      <formula>0.0499</formula>
    </cfRule>
  </conditionalFormatting>
  <conditionalFormatting sqref="Q6:Q139">
    <cfRule type="cellIs" dxfId="149" priority="3" stopIfTrue="1" operator="greaterThan">
      <formula>0.0499</formula>
    </cfRule>
    <cfRule type="cellIs" dxfId="148" priority="4" stopIfTrue="1" operator="between">
      <formula>0.0499</formula>
      <formula>0.0499</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ellIs" priority="1" operator="lessThanOrEqual" id="{1A0EAFBD-95FF-4EAB-9E08-07E1B0848E14}">
            <xm:f>'X:\Users\INTERN1\Dropbox\Dropbox\Stage_DID\Work-Stage\Frederic Requests\[20160210_UG_Credit Daily Dashboard_T2 0.xlsm]Parameters'!#REF!</xm:f>
            <x14:dxf>
              <fill>
                <patternFill>
                  <bgColor rgb="FFFF0000"/>
                </patternFill>
              </fill>
            </x14:dxf>
          </x14:cfRule>
          <x14:cfRule type="cellIs" priority="2" operator="greaterThanOrEqual" id="{7D38A08A-3046-4EA7-AE2A-EBBB6ECD1342}">
            <xm:f>'X:\Users\INTERN1\Dropbox\Dropbox\Stage_DID\Work-Stage\Frederic Requests\[20160210_UG_Credit Daily Dashboard_T2 0.xlsm]Parameters'!#REF!+'X:\Users\INTERN1\Dropbox\Dropbox\Stage_DID\Work-Stage\Frederic Requests\[20160210_UG_Credit Daily Dashboard_T2 0.xlsm]Parameters'!#REF!</xm:f>
            <x14:dxf>
              <font>
                <b/>
                <i val="0"/>
                <color theme="0"/>
              </font>
              <fill>
                <patternFill>
                  <bgColor rgb="FF00B050"/>
                </patternFill>
              </fill>
            </x14:dxf>
          </x14:cfRule>
          <xm:sqref>S6:T139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F145"/>
  <sheetViews>
    <sheetView workbookViewId="0">
      <selection sqref="A1:F145"/>
    </sheetView>
  </sheetViews>
  <sheetFormatPr defaultRowHeight="13.2" x14ac:dyDescent="0.25"/>
  <cols>
    <col min="1" max="1" width="9.6640625" customWidth="1"/>
    <col min="2" max="2" width="13.88671875" customWidth="1"/>
    <col min="3" max="3" width="14.44140625" customWidth="1"/>
    <col min="5" max="5" width="10.44140625" customWidth="1"/>
  </cols>
  <sheetData>
    <row r="1" spans="1:6" x14ac:dyDescent="0.25">
      <c r="A1" t="s">
        <v>21</v>
      </c>
      <c r="B1" t="s">
        <v>319</v>
      </c>
      <c r="C1" t="s">
        <v>318</v>
      </c>
      <c r="D1" t="s">
        <v>317</v>
      </c>
      <c r="E1" t="s">
        <v>316</v>
      </c>
      <c r="F1" t="s">
        <v>315</v>
      </c>
    </row>
    <row r="2" spans="1:6" x14ac:dyDescent="0.25">
      <c r="A2" t="s">
        <v>36</v>
      </c>
      <c r="B2" t="s">
        <v>97</v>
      </c>
      <c r="C2" t="s">
        <v>312</v>
      </c>
      <c r="D2">
        <v>26</v>
      </c>
      <c r="E2">
        <v>302584407.64999998</v>
      </c>
      <c r="F2">
        <v>1.3889</v>
      </c>
    </row>
    <row r="3" spans="1:6" x14ac:dyDescent="0.25">
      <c r="A3" t="s">
        <v>35</v>
      </c>
      <c r="B3" t="s">
        <v>121</v>
      </c>
      <c r="C3" t="s">
        <v>312</v>
      </c>
      <c r="D3">
        <v>17</v>
      </c>
      <c r="E3">
        <v>545603214.92999995</v>
      </c>
      <c r="F3">
        <v>2.5045000000000002</v>
      </c>
    </row>
    <row r="4" spans="1:6" x14ac:dyDescent="0.25">
      <c r="A4" t="s">
        <v>36</v>
      </c>
      <c r="B4" t="s">
        <v>118</v>
      </c>
      <c r="C4" t="s">
        <v>312</v>
      </c>
      <c r="D4">
        <v>3</v>
      </c>
      <c r="E4">
        <v>27782304.16</v>
      </c>
      <c r="F4">
        <v>0.1275</v>
      </c>
    </row>
    <row r="5" spans="1:6" x14ac:dyDescent="0.25">
      <c r="A5" t="s">
        <v>36</v>
      </c>
      <c r="B5" t="s">
        <v>26</v>
      </c>
      <c r="C5" t="s">
        <v>312</v>
      </c>
      <c r="D5">
        <v>2</v>
      </c>
      <c r="E5">
        <v>16714901.73</v>
      </c>
      <c r="F5">
        <v>7.6700000000000004E-2</v>
      </c>
    </row>
    <row r="6" spans="1:6" x14ac:dyDescent="0.25">
      <c r="A6" t="s">
        <v>35</v>
      </c>
      <c r="B6" t="s">
        <v>26</v>
      </c>
      <c r="C6" t="s">
        <v>312</v>
      </c>
      <c r="D6">
        <v>7</v>
      </c>
      <c r="E6">
        <v>198789188.18000001</v>
      </c>
      <c r="F6">
        <v>0.91249999999999998</v>
      </c>
    </row>
    <row r="7" spans="1:6" x14ac:dyDescent="0.25">
      <c r="A7" t="s">
        <v>45</v>
      </c>
      <c r="B7" t="s">
        <v>26</v>
      </c>
      <c r="C7" t="s">
        <v>312</v>
      </c>
      <c r="D7">
        <v>1</v>
      </c>
      <c r="E7">
        <v>22457908.68</v>
      </c>
      <c r="F7">
        <v>0.10299999999999999</v>
      </c>
    </row>
    <row r="8" spans="1:6" x14ac:dyDescent="0.25">
      <c r="A8" t="s">
        <v>43</v>
      </c>
      <c r="B8" t="s">
        <v>26</v>
      </c>
      <c r="C8" t="s">
        <v>312</v>
      </c>
      <c r="D8">
        <v>1</v>
      </c>
      <c r="E8">
        <v>3859953.87</v>
      </c>
      <c r="F8">
        <v>1.77E-2</v>
      </c>
    </row>
    <row r="9" spans="1:6" x14ac:dyDescent="0.25">
      <c r="A9" t="s">
        <v>42</v>
      </c>
      <c r="B9" t="s">
        <v>26</v>
      </c>
      <c r="C9" t="s">
        <v>312</v>
      </c>
      <c r="D9">
        <v>6</v>
      </c>
      <c r="E9">
        <v>77658700.920000002</v>
      </c>
      <c r="F9">
        <v>0.35639999999999999</v>
      </c>
    </row>
    <row r="10" spans="1:6" x14ac:dyDescent="0.25">
      <c r="A10" t="s">
        <v>31</v>
      </c>
      <c r="B10" t="s">
        <v>26</v>
      </c>
      <c r="C10" t="s">
        <v>312</v>
      </c>
      <c r="D10">
        <v>1</v>
      </c>
      <c r="E10">
        <v>4763342.38</v>
      </c>
      <c r="F10">
        <v>2.18E-2</v>
      </c>
    </row>
    <row r="11" spans="1:6" x14ac:dyDescent="0.25">
      <c r="A11" t="s">
        <v>28</v>
      </c>
      <c r="B11" t="s">
        <v>26</v>
      </c>
      <c r="C11" t="s">
        <v>312</v>
      </c>
      <c r="D11">
        <v>26</v>
      </c>
      <c r="E11">
        <v>70261376.890000001</v>
      </c>
      <c r="F11">
        <v>0.32250000000000001</v>
      </c>
    </row>
    <row r="12" spans="1:6" x14ac:dyDescent="0.25">
      <c r="A12" t="s">
        <v>44</v>
      </c>
      <c r="B12" t="s">
        <v>26</v>
      </c>
      <c r="C12" t="s">
        <v>312</v>
      </c>
      <c r="D12">
        <v>3</v>
      </c>
      <c r="E12">
        <v>24406728.02</v>
      </c>
      <c r="F12">
        <v>0.112</v>
      </c>
    </row>
    <row r="13" spans="1:6" x14ac:dyDescent="0.25">
      <c r="A13" t="s">
        <v>29</v>
      </c>
      <c r="B13" t="s">
        <v>26</v>
      </c>
      <c r="C13" t="s">
        <v>312</v>
      </c>
      <c r="D13">
        <v>2</v>
      </c>
      <c r="E13">
        <v>63971868.210000001</v>
      </c>
      <c r="F13">
        <v>0.29360000000000003</v>
      </c>
    </row>
    <row r="14" spans="1:6" x14ac:dyDescent="0.25">
      <c r="A14" t="s">
        <v>25</v>
      </c>
      <c r="B14" t="s">
        <v>26</v>
      </c>
      <c r="C14" t="s">
        <v>312</v>
      </c>
      <c r="D14">
        <v>50</v>
      </c>
      <c r="E14">
        <v>626949482.47000003</v>
      </c>
      <c r="F14">
        <v>2.8778999999999999</v>
      </c>
    </row>
    <row r="15" spans="1:6" x14ac:dyDescent="0.25">
      <c r="A15" t="s">
        <v>37</v>
      </c>
      <c r="B15" t="s">
        <v>26</v>
      </c>
      <c r="C15" t="s">
        <v>312</v>
      </c>
      <c r="D15">
        <v>4</v>
      </c>
      <c r="E15">
        <v>67980407.189999998</v>
      </c>
      <c r="F15">
        <v>0.312</v>
      </c>
    </row>
    <row r="16" spans="1:6" x14ac:dyDescent="0.25">
      <c r="A16" t="s">
        <v>36</v>
      </c>
      <c r="B16" t="s">
        <v>1023</v>
      </c>
      <c r="C16" t="s">
        <v>312</v>
      </c>
      <c r="D16">
        <v>7</v>
      </c>
      <c r="E16">
        <v>85285796.849999994</v>
      </c>
      <c r="F16">
        <v>0.39140000000000003</v>
      </c>
    </row>
    <row r="17" spans="1:6" x14ac:dyDescent="0.25">
      <c r="A17" t="s">
        <v>45</v>
      </c>
      <c r="B17" t="s">
        <v>45</v>
      </c>
      <c r="C17" t="s">
        <v>312</v>
      </c>
      <c r="D17">
        <v>39</v>
      </c>
      <c r="E17">
        <v>828314774.63999999</v>
      </c>
      <c r="F17">
        <v>3.8022999999999998</v>
      </c>
    </row>
    <row r="18" spans="1:6" x14ac:dyDescent="0.25">
      <c r="A18" t="s">
        <v>43</v>
      </c>
      <c r="B18" t="s">
        <v>338</v>
      </c>
      <c r="C18" t="s">
        <v>312</v>
      </c>
      <c r="D18">
        <v>21</v>
      </c>
      <c r="E18">
        <v>320970849.07999998</v>
      </c>
      <c r="F18">
        <v>1.4733000000000001</v>
      </c>
    </row>
    <row r="19" spans="1:6" x14ac:dyDescent="0.25">
      <c r="A19" t="s">
        <v>43</v>
      </c>
      <c r="B19" t="s">
        <v>607</v>
      </c>
      <c r="C19" t="s">
        <v>312</v>
      </c>
      <c r="D19">
        <v>1</v>
      </c>
      <c r="E19">
        <v>20828767.68</v>
      </c>
      <c r="F19">
        <v>9.5600000000000004E-2</v>
      </c>
    </row>
    <row r="20" spans="1:6" x14ac:dyDescent="0.25">
      <c r="A20" t="s">
        <v>46</v>
      </c>
      <c r="B20" t="s">
        <v>46</v>
      </c>
      <c r="C20" t="s">
        <v>312</v>
      </c>
      <c r="D20">
        <v>10</v>
      </c>
      <c r="E20">
        <v>152612121.16999999</v>
      </c>
      <c r="F20">
        <v>0.70050000000000001</v>
      </c>
    </row>
    <row r="21" spans="1:6" x14ac:dyDescent="0.25">
      <c r="A21" t="s">
        <v>31</v>
      </c>
      <c r="B21" t="s">
        <v>398</v>
      </c>
      <c r="C21" t="s">
        <v>312</v>
      </c>
      <c r="D21">
        <v>1</v>
      </c>
      <c r="E21">
        <v>15096655.43</v>
      </c>
      <c r="F21">
        <v>6.9199999999999998E-2</v>
      </c>
    </row>
    <row r="22" spans="1:6" x14ac:dyDescent="0.25">
      <c r="A22" t="s">
        <v>31</v>
      </c>
      <c r="B22" t="s">
        <v>509</v>
      </c>
      <c r="C22" t="s">
        <v>312</v>
      </c>
      <c r="D22">
        <v>2</v>
      </c>
      <c r="E22">
        <v>42693243.520000003</v>
      </c>
      <c r="F22">
        <v>0.19589999999999999</v>
      </c>
    </row>
    <row r="23" spans="1:6" x14ac:dyDescent="0.25">
      <c r="A23" t="s">
        <v>31</v>
      </c>
      <c r="B23" t="s">
        <v>293</v>
      </c>
      <c r="C23" t="s">
        <v>312</v>
      </c>
      <c r="D23">
        <v>3</v>
      </c>
      <c r="E23">
        <v>87973857.079999998</v>
      </c>
      <c r="F23">
        <v>0.40379999999999999</v>
      </c>
    </row>
    <row r="24" spans="1:6" x14ac:dyDescent="0.25">
      <c r="A24" t="s">
        <v>31</v>
      </c>
      <c r="B24" t="s">
        <v>416</v>
      </c>
      <c r="C24" t="s">
        <v>312</v>
      </c>
      <c r="D24">
        <v>1</v>
      </c>
      <c r="E24">
        <v>62021404.049999997</v>
      </c>
      <c r="F24">
        <v>0.28470000000000001</v>
      </c>
    </row>
    <row r="25" spans="1:6" x14ac:dyDescent="0.25">
      <c r="A25" t="s">
        <v>28</v>
      </c>
      <c r="B25" t="s">
        <v>108</v>
      </c>
      <c r="C25" t="s">
        <v>312</v>
      </c>
      <c r="D25">
        <v>1</v>
      </c>
      <c r="E25">
        <v>3456934.27</v>
      </c>
      <c r="F25">
        <v>1.5800000000000002E-2</v>
      </c>
    </row>
    <row r="26" spans="1:6" x14ac:dyDescent="0.25">
      <c r="A26" t="s">
        <v>28</v>
      </c>
      <c r="B26" t="s">
        <v>755</v>
      </c>
      <c r="C26" t="s">
        <v>312</v>
      </c>
      <c r="D26">
        <v>1</v>
      </c>
      <c r="E26">
        <v>7829424.2300000004</v>
      </c>
      <c r="F26">
        <v>3.5900000000000001E-2</v>
      </c>
    </row>
    <row r="27" spans="1:6" x14ac:dyDescent="0.25">
      <c r="A27" t="s">
        <v>44</v>
      </c>
      <c r="B27" t="s">
        <v>92</v>
      </c>
      <c r="C27" t="s">
        <v>312</v>
      </c>
      <c r="D27">
        <v>46</v>
      </c>
      <c r="E27">
        <v>1015961466.03</v>
      </c>
      <c r="F27">
        <v>4.6635999999999997</v>
      </c>
    </row>
    <row r="28" spans="1:6" x14ac:dyDescent="0.25">
      <c r="A28" t="s">
        <v>44</v>
      </c>
      <c r="B28" t="s">
        <v>75</v>
      </c>
      <c r="C28" t="s">
        <v>312</v>
      </c>
      <c r="D28">
        <v>241</v>
      </c>
      <c r="E28">
        <v>3542211102.9400001</v>
      </c>
      <c r="F28">
        <v>16.260200000000001</v>
      </c>
    </row>
    <row r="29" spans="1:6" x14ac:dyDescent="0.25">
      <c r="A29" t="s">
        <v>29</v>
      </c>
      <c r="B29" t="s">
        <v>96</v>
      </c>
      <c r="C29" t="s">
        <v>312</v>
      </c>
      <c r="D29">
        <v>7</v>
      </c>
      <c r="E29">
        <v>188715584.53</v>
      </c>
      <c r="F29">
        <v>0.86619999999999997</v>
      </c>
    </row>
    <row r="30" spans="1:6" x14ac:dyDescent="0.25">
      <c r="A30" t="s">
        <v>29</v>
      </c>
      <c r="B30" t="s">
        <v>30</v>
      </c>
      <c r="C30" t="s">
        <v>312</v>
      </c>
      <c r="D30">
        <v>17</v>
      </c>
      <c r="E30">
        <v>205032207.44999999</v>
      </c>
      <c r="F30">
        <v>0.94110000000000005</v>
      </c>
    </row>
    <row r="31" spans="1:6" x14ac:dyDescent="0.25">
      <c r="A31" t="s">
        <v>25</v>
      </c>
      <c r="B31" t="s">
        <v>103</v>
      </c>
      <c r="C31" t="s">
        <v>312</v>
      </c>
      <c r="D31">
        <v>31</v>
      </c>
      <c r="E31">
        <v>425158964.27999997</v>
      </c>
      <c r="F31">
        <v>1.9516</v>
      </c>
    </row>
    <row r="32" spans="1:6" x14ac:dyDescent="0.25">
      <c r="A32" t="s">
        <v>25</v>
      </c>
      <c r="B32" t="s">
        <v>32</v>
      </c>
      <c r="C32" t="s">
        <v>312</v>
      </c>
      <c r="D32">
        <v>13</v>
      </c>
      <c r="E32">
        <v>176231992.72</v>
      </c>
      <c r="F32">
        <v>0.80889999999999995</v>
      </c>
    </row>
    <row r="33" spans="1:6" x14ac:dyDescent="0.25">
      <c r="A33" t="s">
        <v>25</v>
      </c>
      <c r="B33" t="s">
        <v>290</v>
      </c>
      <c r="C33" t="s">
        <v>312</v>
      </c>
      <c r="D33">
        <v>21</v>
      </c>
      <c r="E33">
        <v>106122145.67</v>
      </c>
      <c r="F33">
        <v>0.48709999999999998</v>
      </c>
    </row>
    <row r="34" spans="1:6" x14ac:dyDescent="0.25">
      <c r="A34" t="s">
        <v>25</v>
      </c>
      <c r="B34" t="s">
        <v>295</v>
      </c>
      <c r="C34" t="s">
        <v>312</v>
      </c>
      <c r="D34">
        <v>10</v>
      </c>
      <c r="E34">
        <v>164165575.62</v>
      </c>
      <c r="F34">
        <v>0.75349999999999995</v>
      </c>
    </row>
    <row r="35" spans="1:6" x14ac:dyDescent="0.25">
      <c r="A35" t="s">
        <v>25</v>
      </c>
      <c r="B35" t="s">
        <v>88</v>
      </c>
      <c r="C35" t="s">
        <v>312</v>
      </c>
      <c r="D35">
        <v>93</v>
      </c>
      <c r="E35">
        <v>1003876146.79</v>
      </c>
      <c r="F35">
        <v>4.6082000000000001</v>
      </c>
    </row>
    <row r="36" spans="1:6" x14ac:dyDescent="0.25">
      <c r="A36" t="s">
        <v>25</v>
      </c>
      <c r="B36" t="s">
        <v>286</v>
      </c>
      <c r="C36" t="s">
        <v>312</v>
      </c>
      <c r="D36">
        <v>4</v>
      </c>
      <c r="E36">
        <v>77736454.280000001</v>
      </c>
      <c r="F36">
        <v>0.35680000000000001</v>
      </c>
    </row>
    <row r="37" spans="1:6" x14ac:dyDescent="0.25">
      <c r="A37" t="s">
        <v>25</v>
      </c>
      <c r="B37" t="s">
        <v>289</v>
      </c>
      <c r="C37" t="s">
        <v>312</v>
      </c>
      <c r="D37">
        <v>8</v>
      </c>
      <c r="E37">
        <v>93658957.989999995</v>
      </c>
      <c r="F37">
        <v>0.4299</v>
      </c>
    </row>
    <row r="38" spans="1:6" x14ac:dyDescent="0.25">
      <c r="A38" t="s">
        <v>25</v>
      </c>
      <c r="B38" t="s">
        <v>106</v>
      </c>
      <c r="C38" t="s">
        <v>312</v>
      </c>
      <c r="D38">
        <v>24</v>
      </c>
      <c r="E38">
        <v>264814362.30000001</v>
      </c>
      <c r="F38">
        <v>1.2156</v>
      </c>
    </row>
    <row r="39" spans="1:6" x14ac:dyDescent="0.25">
      <c r="A39" t="s">
        <v>25</v>
      </c>
      <c r="B39" t="s">
        <v>101</v>
      </c>
      <c r="C39" t="s">
        <v>312</v>
      </c>
      <c r="D39">
        <v>12</v>
      </c>
      <c r="E39">
        <v>164054949.50999999</v>
      </c>
      <c r="F39">
        <v>0.753</v>
      </c>
    </row>
    <row r="40" spans="1:6" x14ac:dyDescent="0.25">
      <c r="A40" t="s">
        <v>25</v>
      </c>
      <c r="B40" t="s">
        <v>94</v>
      </c>
      <c r="C40" t="s">
        <v>312</v>
      </c>
      <c r="D40">
        <v>9</v>
      </c>
      <c r="E40">
        <v>69715765.879999995</v>
      </c>
      <c r="F40">
        <v>0.32</v>
      </c>
    </row>
    <row r="41" spans="1:6" x14ac:dyDescent="0.25">
      <c r="A41" t="s">
        <v>37</v>
      </c>
      <c r="B41" t="s">
        <v>38</v>
      </c>
      <c r="C41" t="s">
        <v>312</v>
      </c>
      <c r="D41">
        <v>27</v>
      </c>
      <c r="E41">
        <v>363483214</v>
      </c>
      <c r="F41">
        <v>1.6685000000000001</v>
      </c>
    </row>
    <row r="42" spans="1:6" x14ac:dyDescent="0.25">
      <c r="A42" t="s">
        <v>37</v>
      </c>
      <c r="B42" t="s">
        <v>288</v>
      </c>
      <c r="C42" t="s">
        <v>312</v>
      </c>
      <c r="D42">
        <v>21</v>
      </c>
      <c r="E42">
        <v>584395731.60000002</v>
      </c>
      <c r="F42">
        <v>2.6825999999999999</v>
      </c>
    </row>
    <row r="43" spans="1:6" x14ac:dyDescent="0.25">
      <c r="A43" t="s">
        <v>37</v>
      </c>
      <c r="B43" t="s">
        <v>686</v>
      </c>
      <c r="C43" t="s">
        <v>312</v>
      </c>
      <c r="D43">
        <v>1</v>
      </c>
      <c r="E43">
        <v>10738427.25</v>
      </c>
      <c r="F43">
        <v>4.9200000000000001E-2</v>
      </c>
    </row>
    <row r="44" spans="1:6" x14ac:dyDescent="0.25">
      <c r="A44" t="s">
        <v>27</v>
      </c>
      <c r="B44" t="s">
        <v>81</v>
      </c>
      <c r="C44" t="s">
        <v>312</v>
      </c>
      <c r="D44">
        <v>33</v>
      </c>
      <c r="E44">
        <v>726962471.44000006</v>
      </c>
      <c r="F44">
        <v>3.3370000000000002</v>
      </c>
    </row>
    <row r="45" spans="1:6" x14ac:dyDescent="0.25">
      <c r="A45" t="s">
        <v>27</v>
      </c>
      <c r="B45" t="s">
        <v>116</v>
      </c>
      <c r="C45" t="s">
        <v>312</v>
      </c>
      <c r="D45">
        <v>15</v>
      </c>
      <c r="E45">
        <v>407754026.27999997</v>
      </c>
      <c r="F45">
        <v>1.8716999999999999</v>
      </c>
    </row>
    <row r="46" spans="1:6" x14ac:dyDescent="0.25">
      <c r="A46" t="s">
        <v>41</v>
      </c>
      <c r="B46" t="s">
        <v>1189</v>
      </c>
      <c r="C46" t="s">
        <v>312</v>
      </c>
      <c r="D46">
        <v>2</v>
      </c>
      <c r="E46">
        <v>82795196.780000001</v>
      </c>
      <c r="F46">
        <v>0.38</v>
      </c>
    </row>
    <row r="47" spans="1:6" x14ac:dyDescent="0.25">
      <c r="A47" t="s">
        <v>42</v>
      </c>
      <c r="B47" t="s">
        <v>1244</v>
      </c>
      <c r="C47" t="s">
        <v>312</v>
      </c>
      <c r="D47">
        <v>3</v>
      </c>
      <c r="E47">
        <v>76595730.140000001</v>
      </c>
      <c r="F47">
        <v>0.35160000000000002</v>
      </c>
    </row>
    <row r="48" spans="1:6" x14ac:dyDescent="0.25">
      <c r="A48" t="s">
        <v>37</v>
      </c>
      <c r="B48" t="s">
        <v>2192</v>
      </c>
      <c r="C48" t="s">
        <v>312</v>
      </c>
      <c r="D48">
        <v>2</v>
      </c>
      <c r="E48">
        <v>37894175.310000002</v>
      </c>
      <c r="F48">
        <v>0.1739</v>
      </c>
    </row>
    <row r="49" spans="1:6" x14ac:dyDescent="0.25">
      <c r="A49" t="s">
        <v>31</v>
      </c>
      <c r="B49" t="s">
        <v>2309</v>
      </c>
      <c r="C49" t="s">
        <v>312</v>
      </c>
      <c r="D49">
        <v>1</v>
      </c>
      <c r="E49">
        <v>3851456.14</v>
      </c>
      <c r="F49">
        <v>1.7600000000000001E-2</v>
      </c>
    </row>
    <row r="50" spans="1:6" x14ac:dyDescent="0.25">
      <c r="A50" t="s">
        <v>31</v>
      </c>
      <c r="B50" t="s">
        <v>298</v>
      </c>
      <c r="C50" t="s">
        <v>312</v>
      </c>
      <c r="D50">
        <v>2</v>
      </c>
      <c r="E50">
        <v>65784392.939999998</v>
      </c>
      <c r="F50">
        <v>0.3019</v>
      </c>
    </row>
    <row r="51" spans="1:6" x14ac:dyDescent="0.25">
      <c r="A51" t="s">
        <v>42</v>
      </c>
      <c r="B51" t="s">
        <v>2788</v>
      </c>
      <c r="C51" t="s">
        <v>312</v>
      </c>
      <c r="D51">
        <v>1</v>
      </c>
      <c r="E51">
        <v>3258978.36</v>
      </c>
      <c r="F51">
        <v>1.49E-2</v>
      </c>
    </row>
    <row r="52" spans="1:6" x14ac:dyDescent="0.25">
      <c r="A52" t="s">
        <v>31</v>
      </c>
      <c r="B52" t="s">
        <v>1815</v>
      </c>
      <c r="C52" t="s">
        <v>312</v>
      </c>
      <c r="D52">
        <v>1</v>
      </c>
      <c r="E52">
        <v>44144334.07</v>
      </c>
      <c r="F52">
        <v>0.2026</v>
      </c>
    </row>
    <row r="53" spans="1:6" x14ac:dyDescent="0.25">
      <c r="A53" t="s">
        <v>36</v>
      </c>
      <c r="B53" t="s">
        <v>3461</v>
      </c>
      <c r="C53" t="s">
        <v>312</v>
      </c>
      <c r="D53">
        <v>1</v>
      </c>
      <c r="E53">
        <v>53235506.380000003</v>
      </c>
      <c r="F53">
        <v>0.24429999999999999</v>
      </c>
    </row>
    <row r="54" spans="1:6" x14ac:dyDescent="0.25">
      <c r="A54" t="s">
        <v>25</v>
      </c>
      <c r="B54" t="s">
        <v>3923</v>
      </c>
      <c r="C54" t="s">
        <v>312</v>
      </c>
      <c r="D54">
        <v>1</v>
      </c>
      <c r="E54">
        <v>29556695.469999999</v>
      </c>
      <c r="F54">
        <v>0.1356</v>
      </c>
    </row>
    <row r="55" spans="1:6" x14ac:dyDescent="0.25">
      <c r="A55" t="s">
        <v>36</v>
      </c>
      <c r="B55" t="s">
        <v>97</v>
      </c>
      <c r="C55" t="s">
        <v>313</v>
      </c>
      <c r="D55">
        <v>10</v>
      </c>
      <c r="E55">
        <v>166114719.81</v>
      </c>
      <c r="F55">
        <v>0.76249999999999996</v>
      </c>
    </row>
    <row r="56" spans="1:6" x14ac:dyDescent="0.25">
      <c r="A56" t="s">
        <v>35</v>
      </c>
      <c r="B56" t="s">
        <v>121</v>
      </c>
      <c r="C56" t="s">
        <v>313</v>
      </c>
      <c r="D56">
        <v>6</v>
      </c>
      <c r="E56">
        <v>144940178.71000001</v>
      </c>
      <c r="F56">
        <v>0.6653</v>
      </c>
    </row>
    <row r="57" spans="1:6" x14ac:dyDescent="0.25">
      <c r="A57" t="s">
        <v>36</v>
      </c>
      <c r="B57" t="s">
        <v>118</v>
      </c>
      <c r="C57" t="s">
        <v>313</v>
      </c>
      <c r="D57">
        <v>1</v>
      </c>
      <c r="E57">
        <v>3607841.57</v>
      </c>
      <c r="F57">
        <v>1.6500000000000001E-2</v>
      </c>
    </row>
    <row r="58" spans="1:6" x14ac:dyDescent="0.25">
      <c r="A58" t="s">
        <v>43</v>
      </c>
      <c r="B58" t="s">
        <v>26</v>
      </c>
      <c r="C58" t="s">
        <v>313</v>
      </c>
      <c r="D58">
        <v>1</v>
      </c>
      <c r="E58">
        <v>8273884.4100000001</v>
      </c>
      <c r="F58">
        <v>3.7900000000000003E-2</v>
      </c>
    </row>
    <row r="59" spans="1:6" x14ac:dyDescent="0.25">
      <c r="A59" t="s">
        <v>42</v>
      </c>
      <c r="B59" t="s">
        <v>26</v>
      </c>
      <c r="C59" t="s">
        <v>313</v>
      </c>
      <c r="D59">
        <v>3</v>
      </c>
      <c r="E59">
        <v>29528043.32</v>
      </c>
      <c r="F59">
        <v>0.13550000000000001</v>
      </c>
    </row>
    <row r="60" spans="1:6" x14ac:dyDescent="0.25">
      <c r="A60" t="s">
        <v>31</v>
      </c>
      <c r="B60" t="s">
        <v>26</v>
      </c>
      <c r="C60" t="s">
        <v>313</v>
      </c>
      <c r="D60">
        <v>1</v>
      </c>
      <c r="E60">
        <v>61824883.420000002</v>
      </c>
      <c r="F60">
        <v>0.2838</v>
      </c>
    </row>
    <row r="61" spans="1:6" x14ac:dyDescent="0.25">
      <c r="A61" t="s">
        <v>28</v>
      </c>
      <c r="B61" t="s">
        <v>26</v>
      </c>
      <c r="C61" t="s">
        <v>313</v>
      </c>
      <c r="D61">
        <v>1</v>
      </c>
      <c r="E61">
        <v>23341609</v>
      </c>
      <c r="F61">
        <v>0.1071</v>
      </c>
    </row>
    <row r="62" spans="1:6" x14ac:dyDescent="0.25">
      <c r="A62" t="s">
        <v>44</v>
      </c>
      <c r="B62" t="s">
        <v>26</v>
      </c>
      <c r="C62" t="s">
        <v>313</v>
      </c>
      <c r="D62">
        <v>3</v>
      </c>
      <c r="E62">
        <v>48525487.899999999</v>
      </c>
      <c r="F62">
        <v>0.22270000000000001</v>
      </c>
    </row>
    <row r="63" spans="1:6" x14ac:dyDescent="0.25">
      <c r="A63" t="s">
        <v>25</v>
      </c>
      <c r="B63" t="s">
        <v>26</v>
      </c>
      <c r="C63" t="s">
        <v>313</v>
      </c>
      <c r="D63">
        <v>27</v>
      </c>
      <c r="E63">
        <v>547079795.65999997</v>
      </c>
      <c r="F63">
        <v>2.5112999999999999</v>
      </c>
    </row>
    <row r="64" spans="1:6" x14ac:dyDescent="0.25">
      <c r="A64" t="s">
        <v>37</v>
      </c>
      <c r="B64" t="s">
        <v>26</v>
      </c>
      <c r="C64" t="s">
        <v>313</v>
      </c>
      <c r="D64">
        <v>3</v>
      </c>
      <c r="E64">
        <v>26779727.02</v>
      </c>
      <c r="F64">
        <v>0.1229</v>
      </c>
    </row>
    <row r="65" spans="1:6" x14ac:dyDescent="0.25">
      <c r="A65" t="s">
        <v>36</v>
      </c>
      <c r="B65" t="s">
        <v>1023</v>
      </c>
      <c r="C65" t="s">
        <v>313</v>
      </c>
      <c r="D65">
        <v>1</v>
      </c>
      <c r="E65">
        <v>18849595.68</v>
      </c>
      <c r="F65">
        <v>8.6499999999999994E-2</v>
      </c>
    </row>
    <row r="66" spans="1:6" x14ac:dyDescent="0.25">
      <c r="A66" t="s">
        <v>45</v>
      </c>
      <c r="B66" t="s">
        <v>45</v>
      </c>
      <c r="C66" t="s">
        <v>313</v>
      </c>
      <c r="D66">
        <v>11</v>
      </c>
      <c r="E66">
        <v>183904203.81999999</v>
      </c>
      <c r="F66">
        <v>0.84409999999999996</v>
      </c>
    </row>
    <row r="67" spans="1:6" x14ac:dyDescent="0.25">
      <c r="A67" t="s">
        <v>43</v>
      </c>
      <c r="B67" t="s">
        <v>338</v>
      </c>
      <c r="C67" t="s">
        <v>313</v>
      </c>
      <c r="D67">
        <v>1</v>
      </c>
      <c r="E67">
        <v>880794.21</v>
      </c>
      <c r="F67">
        <v>4.0000000000000001E-3</v>
      </c>
    </row>
    <row r="68" spans="1:6" x14ac:dyDescent="0.25">
      <c r="A68" t="s">
        <v>43</v>
      </c>
      <c r="B68" t="s">
        <v>607</v>
      </c>
      <c r="C68" t="s">
        <v>313</v>
      </c>
      <c r="D68">
        <v>1</v>
      </c>
      <c r="E68">
        <v>9485123.8900000006</v>
      </c>
      <c r="F68">
        <v>4.3499999999999997E-2</v>
      </c>
    </row>
    <row r="69" spans="1:6" x14ac:dyDescent="0.25">
      <c r="A69" t="s">
        <v>46</v>
      </c>
      <c r="B69" t="s">
        <v>46</v>
      </c>
      <c r="C69" t="s">
        <v>313</v>
      </c>
      <c r="D69">
        <v>7</v>
      </c>
      <c r="E69">
        <v>74464976.799999997</v>
      </c>
      <c r="F69">
        <v>0.34179999999999999</v>
      </c>
    </row>
    <row r="70" spans="1:6" x14ac:dyDescent="0.25">
      <c r="A70" t="s">
        <v>31</v>
      </c>
      <c r="B70" t="s">
        <v>509</v>
      </c>
      <c r="C70" t="s">
        <v>313</v>
      </c>
      <c r="D70">
        <v>1</v>
      </c>
      <c r="E70">
        <v>9930953.0700000003</v>
      </c>
      <c r="F70">
        <v>4.5499999999999999E-2</v>
      </c>
    </row>
    <row r="71" spans="1:6" x14ac:dyDescent="0.25">
      <c r="A71" t="s">
        <v>31</v>
      </c>
      <c r="B71" t="s">
        <v>293</v>
      </c>
      <c r="C71" t="s">
        <v>313</v>
      </c>
      <c r="D71">
        <v>1</v>
      </c>
      <c r="E71">
        <v>1493951.2</v>
      </c>
      <c r="F71">
        <v>6.7999999999999996E-3</v>
      </c>
    </row>
    <row r="72" spans="1:6" x14ac:dyDescent="0.25">
      <c r="A72" t="s">
        <v>31</v>
      </c>
      <c r="B72" t="s">
        <v>416</v>
      </c>
      <c r="C72" t="s">
        <v>313</v>
      </c>
      <c r="D72">
        <v>1</v>
      </c>
      <c r="E72">
        <v>35000000</v>
      </c>
      <c r="F72">
        <v>0.16059999999999999</v>
      </c>
    </row>
    <row r="73" spans="1:6" x14ac:dyDescent="0.25">
      <c r="A73" t="s">
        <v>44</v>
      </c>
      <c r="B73" t="s">
        <v>92</v>
      </c>
      <c r="C73" t="s">
        <v>313</v>
      </c>
      <c r="D73">
        <v>21</v>
      </c>
      <c r="E73">
        <v>424719274.83999997</v>
      </c>
      <c r="F73">
        <v>1.9496</v>
      </c>
    </row>
    <row r="74" spans="1:6" x14ac:dyDescent="0.25">
      <c r="A74" t="s">
        <v>44</v>
      </c>
      <c r="B74" t="s">
        <v>75</v>
      </c>
      <c r="C74" t="s">
        <v>313</v>
      </c>
      <c r="D74">
        <v>82</v>
      </c>
      <c r="E74">
        <v>1436796366.0699999</v>
      </c>
      <c r="F74">
        <v>6.5953999999999997</v>
      </c>
    </row>
    <row r="75" spans="1:6" x14ac:dyDescent="0.25">
      <c r="A75" t="s">
        <v>29</v>
      </c>
      <c r="B75" t="s">
        <v>96</v>
      </c>
      <c r="C75" t="s">
        <v>313</v>
      </c>
      <c r="D75">
        <v>1</v>
      </c>
      <c r="E75">
        <v>1751075</v>
      </c>
      <c r="F75">
        <v>8.0000000000000002E-3</v>
      </c>
    </row>
    <row r="76" spans="1:6" x14ac:dyDescent="0.25">
      <c r="A76" t="s">
        <v>29</v>
      </c>
      <c r="B76" t="s">
        <v>30</v>
      </c>
      <c r="C76" t="s">
        <v>313</v>
      </c>
      <c r="D76">
        <v>3</v>
      </c>
      <c r="E76">
        <v>34836965.350000001</v>
      </c>
      <c r="F76">
        <v>0.15989999999999999</v>
      </c>
    </row>
    <row r="77" spans="1:6" x14ac:dyDescent="0.25">
      <c r="A77" t="s">
        <v>25</v>
      </c>
      <c r="B77" t="s">
        <v>103</v>
      </c>
      <c r="C77" t="s">
        <v>313</v>
      </c>
      <c r="D77">
        <v>7</v>
      </c>
      <c r="E77">
        <v>201646867.44</v>
      </c>
      <c r="F77">
        <v>0.92559999999999998</v>
      </c>
    </row>
    <row r="78" spans="1:6" x14ac:dyDescent="0.25">
      <c r="A78" t="s">
        <v>25</v>
      </c>
      <c r="B78" t="s">
        <v>32</v>
      </c>
      <c r="C78" t="s">
        <v>313</v>
      </c>
      <c r="D78">
        <v>4</v>
      </c>
      <c r="E78">
        <v>70296692.700000003</v>
      </c>
      <c r="F78">
        <v>0.3226</v>
      </c>
    </row>
    <row r="79" spans="1:6" x14ac:dyDescent="0.25">
      <c r="A79" t="s">
        <v>25</v>
      </c>
      <c r="B79" t="s">
        <v>290</v>
      </c>
      <c r="C79" t="s">
        <v>313</v>
      </c>
      <c r="D79">
        <v>8</v>
      </c>
      <c r="E79">
        <v>117850323.86</v>
      </c>
      <c r="F79">
        <v>0.54090000000000005</v>
      </c>
    </row>
    <row r="80" spans="1:6" x14ac:dyDescent="0.25">
      <c r="A80" t="s">
        <v>25</v>
      </c>
      <c r="B80" t="s">
        <v>295</v>
      </c>
      <c r="C80" t="s">
        <v>313</v>
      </c>
      <c r="D80">
        <v>4</v>
      </c>
      <c r="E80">
        <v>33925127.229999997</v>
      </c>
      <c r="F80">
        <v>0.15570000000000001</v>
      </c>
    </row>
    <row r="81" spans="1:6" x14ac:dyDescent="0.25">
      <c r="A81" t="s">
        <v>25</v>
      </c>
      <c r="B81" t="s">
        <v>88</v>
      </c>
      <c r="C81" t="s">
        <v>313</v>
      </c>
      <c r="D81">
        <v>28</v>
      </c>
      <c r="E81">
        <v>351637478.87</v>
      </c>
      <c r="F81">
        <v>1.6141000000000001</v>
      </c>
    </row>
    <row r="82" spans="1:6" x14ac:dyDescent="0.25">
      <c r="A82" t="s">
        <v>25</v>
      </c>
      <c r="B82" t="s">
        <v>286</v>
      </c>
      <c r="C82" t="s">
        <v>313</v>
      </c>
      <c r="D82">
        <v>3</v>
      </c>
      <c r="E82">
        <v>16862145.920000002</v>
      </c>
      <c r="F82">
        <v>7.7399999999999997E-2</v>
      </c>
    </row>
    <row r="83" spans="1:6" x14ac:dyDescent="0.25">
      <c r="A83" t="s">
        <v>25</v>
      </c>
      <c r="B83" t="s">
        <v>289</v>
      </c>
      <c r="C83" t="s">
        <v>313</v>
      </c>
      <c r="D83">
        <v>7</v>
      </c>
      <c r="E83">
        <v>110254080.81999999</v>
      </c>
      <c r="F83">
        <v>0.50609999999999999</v>
      </c>
    </row>
    <row r="84" spans="1:6" x14ac:dyDescent="0.25">
      <c r="A84" t="s">
        <v>25</v>
      </c>
      <c r="B84" t="s">
        <v>106</v>
      </c>
      <c r="C84" t="s">
        <v>313</v>
      </c>
      <c r="D84">
        <v>9</v>
      </c>
      <c r="E84">
        <v>181841489.81</v>
      </c>
      <c r="F84">
        <v>0.8347</v>
      </c>
    </row>
    <row r="85" spans="1:6" x14ac:dyDescent="0.25">
      <c r="A85" t="s">
        <v>25</v>
      </c>
      <c r="B85" t="s">
        <v>101</v>
      </c>
      <c r="C85" t="s">
        <v>313</v>
      </c>
      <c r="D85">
        <v>8</v>
      </c>
      <c r="E85">
        <v>95191975.760000005</v>
      </c>
      <c r="F85">
        <v>0.43690000000000001</v>
      </c>
    </row>
    <row r="86" spans="1:6" x14ac:dyDescent="0.25">
      <c r="A86" t="s">
        <v>25</v>
      </c>
      <c r="B86" t="s">
        <v>94</v>
      </c>
      <c r="C86" t="s">
        <v>313</v>
      </c>
      <c r="D86">
        <v>4</v>
      </c>
      <c r="E86">
        <v>15819716.23</v>
      </c>
      <c r="F86">
        <v>7.2599999999999998E-2</v>
      </c>
    </row>
    <row r="87" spans="1:6" x14ac:dyDescent="0.25">
      <c r="A87" t="s">
        <v>37</v>
      </c>
      <c r="B87" t="s">
        <v>38</v>
      </c>
      <c r="C87" t="s">
        <v>313</v>
      </c>
      <c r="D87">
        <v>10</v>
      </c>
      <c r="E87">
        <v>257054020.55000001</v>
      </c>
      <c r="F87">
        <v>1.1798999999999999</v>
      </c>
    </row>
    <row r="88" spans="1:6" x14ac:dyDescent="0.25">
      <c r="A88" t="s">
        <v>37</v>
      </c>
      <c r="B88" t="s">
        <v>288</v>
      </c>
      <c r="C88" t="s">
        <v>313</v>
      </c>
      <c r="D88">
        <v>9</v>
      </c>
      <c r="E88">
        <v>143651671.03999999</v>
      </c>
      <c r="F88">
        <v>0.65939999999999999</v>
      </c>
    </row>
    <row r="89" spans="1:6" x14ac:dyDescent="0.25">
      <c r="A89" t="s">
        <v>37</v>
      </c>
      <c r="B89" t="s">
        <v>686</v>
      </c>
      <c r="C89" t="s">
        <v>313</v>
      </c>
      <c r="D89">
        <v>2</v>
      </c>
      <c r="E89">
        <v>41631242.07</v>
      </c>
      <c r="F89">
        <v>0.19109999999999999</v>
      </c>
    </row>
    <row r="90" spans="1:6" x14ac:dyDescent="0.25">
      <c r="A90" t="s">
        <v>27</v>
      </c>
      <c r="B90" t="s">
        <v>81</v>
      </c>
      <c r="C90" t="s">
        <v>313</v>
      </c>
      <c r="D90">
        <v>10</v>
      </c>
      <c r="E90">
        <v>209328562.40000001</v>
      </c>
      <c r="F90">
        <v>0.96089999999999998</v>
      </c>
    </row>
    <row r="91" spans="1:6" x14ac:dyDescent="0.25">
      <c r="A91" t="s">
        <v>27</v>
      </c>
      <c r="B91" t="s">
        <v>116</v>
      </c>
      <c r="C91" t="s">
        <v>313</v>
      </c>
      <c r="D91">
        <v>14</v>
      </c>
      <c r="E91">
        <v>281080935.86000001</v>
      </c>
      <c r="F91">
        <v>1.2902</v>
      </c>
    </row>
    <row r="92" spans="1:6" x14ac:dyDescent="0.25">
      <c r="A92" t="s">
        <v>28</v>
      </c>
      <c r="B92" t="s">
        <v>2295</v>
      </c>
      <c r="C92" t="s">
        <v>313</v>
      </c>
      <c r="D92">
        <v>1</v>
      </c>
      <c r="E92">
        <v>12159752.220000001</v>
      </c>
      <c r="F92">
        <v>5.5800000000000002E-2</v>
      </c>
    </row>
    <row r="93" spans="1:6" x14ac:dyDescent="0.25">
      <c r="A93" t="s">
        <v>31</v>
      </c>
      <c r="B93" t="s">
        <v>2586</v>
      </c>
      <c r="C93" t="s">
        <v>313</v>
      </c>
      <c r="D93">
        <v>1</v>
      </c>
      <c r="E93">
        <v>21673383.760000002</v>
      </c>
      <c r="F93">
        <v>9.9400000000000002E-2</v>
      </c>
    </row>
    <row r="94" spans="1:6" x14ac:dyDescent="0.25">
      <c r="A94" t="s">
        <v>36</v>
      </c>
      <c r="B94" t="s">
        <v>97</v>
      </c>
      <c r="C94" t="s">
        <v>314</v>
      </c>
      <c r="D94">
        <v>5</v>
      </c>
      <c r="E94">
        <v>44785657.799999997</v>
      </c>
      <c r="F94">
        <v>0.20549999999999999</v>
      </c>
    </row>
    <row r="95" spans="1:6" x14ac:dyDescent="0.25">
      <c r="A95" t="s">
        <v>35</v>
      </c>
      <c r="B95" t="s">
        <v>121</v>
      </c>
      <c r="C95" t="s">
        <v>314</v>
      </c>
      <c r="D95">
        <v>2</v>
      </c>
      <c r="E95">
        <v>8015438.4699999997</v>
      </c>
      <c r="F95">
        <v>3.6700000000000003E-2</v>
      </c>
    </row>
    <row r="96" spans="1:6" x14ac:dyDescent="0.25">
      <c r="A96" t="s">
        <v>36</v>
      </c>
      <c r="B96" t="s">
        <v>26</v>
      </c>
      <c r="C96" t="s">
        <v>314</v>
      </c>
      <c r="D96">
        <v>2</v>
      </c>
      <c r="E96">
        <v>5905646.96</v>
      </c>
      <c r="F96">
        <v>2.7099999999999999E-2</v>
      </c>
    </row>
    <row r="97" spans="1:6" x14ac:dyDescent="0.25">
      <c r="A97" t="s">
        <v>25</v>
      </c>
      <c r="B97" t="s">
        <v>26</v>
      </c>
      <c r="C97" t="s">
        <v>314</v>
      </c>
      <c r="D97">
        <v>7</v>
      </c>
      <c r="E97">
        <v>183045213.46000001</v>
      </c>
      <c r="F97">
        <v>0.84019999999999995</v>
      </c>
    </row>
    <row r="98" spans="1:6" x14ac:dyDescent="0.25">
      <c r="A98" t="s">
        <v>45</v>
      </c>
      <c r="B98" t="s">
        <v>45</v>
      </c>
      <c r="C98" t="s">
        <v>314</v>
      </c>
      <c r="D98">
        <v>5</v>
      </c>
      <c r="E98">
        <v>145316256.05000001</v>
      </c>
      <c r="F98">
        <v>0.66700000000000004</v>
      </c>
    </row>
    <row r="99" spans="1:6" x14ac:dyDescent="0.25">
      <c r="A99" t="s">
        <v>43</v>
      </c>
      <c r="B99" t="s">
        <v>338</v>
      </c>
      <c r="C99" t="s">
        <v>314</v>
      </c>
      <c r="D99">
        <v>1</v>
      </c>
      <c r="E99">
        <v>3747353.66</v>
      </c>
      <c r="F99">
        <v>1.72E-2</v>
      </c>
    </row>
    <row r="100" spans="1:6" x14ac:dyDescent="0.25">
      <c r="A100" t="s">
        <v>31</v>
      </c>
      <c r="B100" t="s">
        <v>293</v>
      </c>
      <c r="C100" t="s">
        <v>314</v>
      </c>
      <c r="D100">
        <v>1</v>
      </c>
      <c r="E100">
        <v>41796799.710000001</v>
      </c>
      <c r="F100">
        <v>0.1918</v>
      </c>
    </row>
    <row r="101" spans="1:6" x14ac:dyDescent="0.25">
      <c r="A101" t="s">
        <v>31</v>
      </c>
      <c r="B101" t="s">
        <v>291</v>
      </c>
      <c r="C101" t="s">
        <v>314</v>
      </c>
      <c r="D101">
        <v>1</v>
      </c>
      <c r="E101">
        <v>5912406.4199999999</v>
      </c>
      <c r="F101">
        <v>2.7099999999999999E-2</v>
      </c>
    </row>
    <row r="102" spans="1:6" x14ac:dyDescent="0.25">
      <c r="A102" t="s">
        <v>44</v>
      </c>
      <c r="B102" t="s">
        <v>92</v>
      </c>
      <c r="C102" t="s">
        <v>314</v>
      </c>
      <c r="D102">
        <v>8</v>
      </c>
      <c r="E102">
        <v>181472998.91999999</v>
      </c>
      <c r="F102">
        <v>0.83299999999999996</v>
      </c>
    </row>
    <row r="103" spans="1:6" x14ac:dyDescent="0.25">
      <c r="A103" t="s">
        <v>44</v>
      </c>
      <c r="B103" t="s">
        <v>75</v>
      </c>
      <c r="C103" t="s">
        <v>314</v>
      </c>
      <c r="D103">
        <v>17</v>
      </c>
      <c r="E103">
        <v>238826796.40000001</v>
      </c>
      <c r="F103">
        <v>1.0963000000000001</v>
      </c>
    </row>
    <row r="104" spans="1:6" x14ac:dyDescent="0.25">
      <c r="A104" t="s">
        <v>29</v>
      </c>
      <c r="B104" t="s">
        <v>96</v>
      </c>
      <c r="C104" t="s">
        <v>314</v>
      </c>
      <c r="D104">
        <v>1</v>
      </c>
      <c r="E104">
        <v>4676669.0599999996</v>
      </c>
      <c r="F104">
        <v>2.1399999999999999E-2</v>
      </c>
    </row>
    <row r="105" spans="1:6" x14ac:dyDescent="0.25">
      <c r="A105" t="s">
        <v>29</v>
      </c>
      <c r="B105" t="s">
        <v>30</v>
      </c>
      <c r="C105" t="s">
        <v>314</v>
      </c>
      <c r="D105">
        <v>4</v>
      </c>
      <c r="E105">
        <v>41000464.259999998</v>
      </c>
      <c r="F105">
        <v>0.18820000000000001</v>
      </c>
    </row>
    <row r="106" spans="1:6" x14ac:dyDescent="0.25">
      <c r="A106" t="s">
        <v>25</v>
      </c>
      <c r="B106" t="s">
        <v>103</v>
      </c>
      <c r="C106" t="s">
        <v>314</v>
      </c>
      <c r="D106">
        <v>2</v>
      </c>
      <c r="E106">
        <v>23428188.350000001</v>
      </c>
      <c r="F106">
        <v>0.1075</v>
      </c>
    </row>
    <row r="107" spans="1:6" x14ac:dyDescent="0.25">
      <c r="A107" t="s">
        <v>25</v>
      </c>
      <c r="B107" t="s">
        <v>32</v>
      </c>
      <c r="C107" t="s">
        <v>314</v>
      </c>
      <c r="D107">
        <v>1</v>
      </c>
      <c r="E107">
        <v>2338334.5299999998</v>
      </c>
      <c r="F107">
        <v>1.0699999999999999E-2</v>
      </c>
    </row>
    <row r="108" spans="1:6" x14ac:dyDescent="0.25">
      <c r="A108" t="s">
        <v>25</v>
      </c>
      <c r="B108" t="s">
        <v>290</v>
      </c>
      <c r="C108" t="s">
        <v>314</v>
      </c>
      <c r="D108">
        <v>2</v>
      </c>
      <c r="E108">
        <v>15539063.65</v>
      </c>
      <c r="F108">
        <v>7.1300000000000002E-2</v>
      </c>
    </row>
    <row r="109" spans="1:6" x14ac:dyDescent="0.25">
      <c r="A109" t="s">
        <v>25</v>
      </c>
      <c r="B109" t="s">
        <v>295</v>
      </c>
      <c r="C109" t="s">
        <v>314</v>
      </c>
      <c r="D109">
        <v>3</v>
      </c>
      <c r="E109">
        <v>15158142.58</v>
      </c>
      <c r="F109">
        <v>6.9500000000000006E-2</v>
      </c>
    </row>
    <row r="110" spans="1:6" x14ac:dyDescent="0.25">
      <c r="A110" t="s">
        <v>25</v>
      </c>
      <c r="B110" t="s">
        <v>88</v>
      </c>
      <c r="C110" t="s">
        <v>314</v>
      </c>
      <c r="D110">
        <v>9</v>
      </c>
      <c r="E110">
        <v>164065753.96000001</v>
      </c>
      <c r="F110">
        <v>0.75309999999999999</v>
      </c>
    </row>
    <row r="111" spans="1:6" x14ac:dyDescent="0.25">
      <c r="A111" t="s">
        <v>25</v>
      </c>
      <c r="B111" t="s">
        <v>286</v>
      </c>
      <c r="C111" t="s">
        <v>314</v>
      </c>
      <c r="D111">
        <v>3</v>
      </c>
      <c r="E111">
        <v>5046872.1100000003</v>
      </c>
      <c r="F111">
        <v>2.3099999999999999E-2</v>
      </c>
    </row>
    <row r="112" spans="1:6" x14ac:dyDescent="0.25">
      <c r="A112" t="s">
        <v>25</v>
      </c>
      <c r="B112" t="s">
        <v>289</v>
      </c>
      <c r="C112" t="s">
        <v>314</v>
      </c>
      <c r="D112">
        <v>3</v>
      </c>
      <c r="E112">
        <v>46896133.899999999</v>
      </c>
      <c r="F112">
        <v>0.2152</v>
      </c>
    </row>
    <row r="113" spans="1:6" x14ac:dyDescent="0.25">
      <c r="A113" t="s">
        <v>25</v>
      </c>
      <c r="B113" t="s">
        <v>106</v>
      </c>
      <c r="C113" t="s">
        <v>314</v>
      </c>
      <c r="D113">
        <v>3</v>
      </c>
      <c r="E113">
        <v>64597740.219999999</v>
      </c>
      <c r="F113">
        <v>0.29649999999999999</v>
      </c>
    </row>
    <row r="114" spans="1:6" x14ac:dyDescent="0.25">
      <c r="A114" t="s">
        <v>25</v>
      </c>
      <c r="B114" t="s">
        <v>101</v>
      </c>
      <c r="C114" t="s">
        <v>314</v>
      </c>
      <c r="D114">
        <v>1</v>
      </c>
      <c r="E114">
        <v>4482463.13</v>
      </c>
      <c r="F114">
        <v>2.0500000000000001E-2</v>
      </c>
    </row>
    <row r="115" spans="1:6" x14ac:dyDescent="0.25">
      <c r="A115" t="s">
        <v>25</v>
      </c>
      <c r="B115" t="s">
        <v>94</v>
      </c>
      <c r="C115" t="s">
        <v>314</v>
      </c>
      <c r="D115">
        <v>1</v>
      </c>
      <c r="E115">
        <v>2584920.2400000002</v>
      </c>
      <c r="F115">
        <v>1.18E-2</v>
      </c>
    </row>
    <row r="116" spans="1:6" x14ac:dyDescent="0.25">
      <c r="A116" t="s">
        <v>37</v>
      </c>
      <c r="B116" t="s">
        <v>38</v>
      </c>
      <c r="C116" t="s">
        <v>314</v>
      </c>
      <c r="D116">
        <v>1</v>
      </c>
      <c r="E116">
        <v>39430404.549999997</v>
      </c>
      <c r="F116">
        <v>0.18099999999999999</v>
      </c>
    </row>
    <row r="117" spans="1:6" x14ac:dyDescent="0.25">
      <c r="A117" t="s">
        <v>37</v>
      </c>
      <c r="B117" t="s">
        <v>288</v>
      </c>
      <c r="C117" t="s">
        <v>314</v>
      </c>
      <c r="D117">
        <v>2</v>
      </c>
      <c r="E117">
        <v>79325541.859999999</v>
      </c>
      <c r="F117">
        <v>0.36409999999999998</v>
      </c>
    </row>
    <row r="118" spans="1:6" x14ac:dyDescent="0.25">
      <c r="A118" t="s">
        <v>27</v>
      </c>
      <c r="B118" t="s">
        <v>81</v>
      </c>
      <c r="C118" t="s">
        <v>314</v>
      </c>
      <c r="D118">
        <v>4</v>
      </c>
      <c r="E118">
        <v>64030069.68</v>
      </c>
      <c r="F118">
        <v>0.29389999999999999</v>
      </c>
    </row>
    <row r="119" spans="1:6" x14ac:dyDescent="0.25">
      <c r="A119" t="s">
        <v>27</v>
      </c>
      <c r="B119" t="s">
        <v>116</v>
      </c>
      <c r="C119" t="s">
        <v>314</v>
      </c>
      <c r="D119">
        <v>4</v>
      </c>
      <c r="E119">
        <v>57738383.609999999</v>
      </c>
      <c r="F119">
        <v>0.26500000000000001</v>
      </c>
    </row>
    <row r="120" spans="1:6" x14ac:dyDescent="0.25">
      <c r="A120" t="s">
        <v>28</v>
      </c>
      <c r="B120" t="s">
        <v>26</v>
      </c>
      <c r="C120" t="s">
        <v>343</v>
      </c>
      <c r="D120">
        <v>2</v>
      </c>
      <c r="E120">
        <v>3796375.81</v>
      </c>
      <c r="F120">
        <v>1.7399999999999999E-2</v>
      </c>
    </row>
    <row r="121" spans="1:6" x14ac:dyDescent="0.25">
      <c r="A121" t="s">
        <v>44</v>
      </c>
      <c r="B121" t="s">
        <v>26</v>
      </c>
      <c r="C121" t="s">
        <v>343</v>
      </c>
      <c r="D121">
        <v>2</v>
      </c>
      <c r="E121">
        <v>23625458.199999999</v>
      </c>
      <c r="F121">
        <v>0.1084</v>
      </c>
    </row>
    <row r="122" spans="1:6" x14ac:dyDescent="0.25">
      <c r="A122" t="s">
        <v>45</v>
      </c>
      <c r="B122" t="s">
        <v>45</v>
      </c>
      <c r="C122" t="s">
        <v>343</v>
      </c>
      <c r="D122">
        <v>2</v>
      </c>
      <c r="E122">
        <v>9058425.0099999998</v>
      </c>
      <c r="F122">
        <v>4.1500000000000002E-2</v>
      </c>
    </row>
    <row r="123" spans="1:6" x14ac:dyDescent="0.25">
      <c r="A123" t="s">
        <v>43</v>
      </c>
      <c r="B123" t="s">
        <v>338</v>
      </c>
      <c r="C123" t="s">
        <v>343</v>
      </c>
      <c r="D123">
        <v>1</v>
      </c>
      <c r="E123">
        <v>4094164.86</v>
      </c>
      <c r="F123">
        <v>1.8700000000000001E-2</v>
      </c>
    </row>
    <row r="124" spans="1:6" x14ac:dyDescent="0.25">
      <c r="A124" t="s">
        <v>31</v>
      </c>
      <c r="B124" t="s">
        <v>293</v>
      </c>
      <c r="C124" t="s">
        <v>343</v>
      </c>
      <c r="D124">
        <v>1</v>
      </c>
      <c r="E124">
        <v>1306288.7</v>
      </c>
      <c r="F124">
        <v>5.8999999999999999E-3</v>
      </c>
    </row>
    <row r="125" spans="1:6" x14ac:dyDescent="0.25">
      <c r="A125" t="s">
        <v>44</v>
      </c>
      <c r="B125" t="s">
        <v>92</v>
      </c>
      <c r="C125" t="s">
        <v>343</v>
      </c>
      <c r="D125">
        <v>1</v>
      </c>
      <c r="E125">
        <v>2365675.29</v>
      </c>
      <c r="F125">
        <v>1.0800000000000001E-2</v>
      </c>
    </row>
    <row r="126" spans="1:6" x14ac:dyDescent="0.25">
      <c r="A126" t="s">
        <v>44</v>
      </c>
      <c r="B126" t="s">
        <v>75</v>
      </c>
      <c r="C126" t="s">
        <v>343</v>
      </c>
      <c r="D126">
        <v>7</v>
      </c>
      <c r="E126">
        <v>69072396.579999998</v>
      </c>
      <c r="F126">
        <v>0.317</v>
      </c>
    </row>
    <row r="127" spans="1:6" x14ac:dyDescent="0.25">
      <c r="A127" t="s">
        <v>29</v>
      </c>
      <c r="B127" t="s">
        <v>30</v>
      </c>
      <c r="C127" t="s">
        <v>343</v>
      </c>
      <c r="D127">
        <v>1</v>
      </c>
      <c r="E127">
        <v>797140.54</v>
      </c>
      <c r="F127">
        <v>3.5999999999999999E-3</v>
      </c>
    </row>
    <row r="128" spans="1:6" x14ac:dyDescent="0.25">
      <c r="A128" t="s">
        <v>25</v>
      </c>
      <c r="B128" t="s">
        <v>103</v>
      </c>
      <c r="C128" t="s">
        <v>343</v>
      </c>
      <c r="D128">
        <v>2</v>
      </c>
      <c r="E128">
        <v>4637814.13</v>
      </c>
      <c r="F128">
        <v>2.12E-2</v>
      </c>
    </row>
    <row r="129" spans="1:6" x14ac:dyDescent="0.25">
      <c r="A129" t="s">
        <v>25</v>
      </c>
      <c r="B129" t="s">
        <v>290</v>
      </c>
      <c r="C129" t="s">
        <v>343</v>
      </c>
      <c r="D129">
        <v>1</v>
      </c>
      <c r="E129">
        <v>3616728.44</v>
      </c>
      <c r="F129">
        <v>1.66E-2</v>
      </c>
    </row>
    <row r="130" spans="1:6" x14ac:dyDescent="0.25">
      <c r="A130" t="s">
        <v>25</v>
      </c>
      <c r="B130" t="s">
        <v>295</v>
      </c>
      <c r="C130" t="s">
        <v>343</v>
      </c>
      <c r="D130">
        <v>1</v>
      </c>
      <c r="E130">
        <v>3338233.43</v>
      </c>
      <c r="F130">
        <v>1.5299999999999999E-2</v>
      </c>
    </row>
    <row r="131" spans="1:6" x14ac:dyDescent="0.25">
      <c r="A131" t="s">
        <v>25</v>
      </c>
      <c r="B131" t="s">
        <v>88</v>
      </c>
      <c r="C131" t="s">
        <v>343</v>
      </c>
      <c r="D131">
        <v>3</v>
      </c>
      <c r="E131">
        <v>67136298.060000002</v>
      </c>
      <c r="F131">
        <v>0.30809999999999998</v>
      </c>
    </row>
    <row r="132" spans="1:6" x14ac:dyDescent="0.25">
      <c r="A132" t="s">
        <v>25</v>
      </c>
      <c r="B132" t="s">
        <v>289</v>
      </c>
      <c r="C132" t="s">
        <v>343</v>
      </c>
      <c r="D132">
        <v>2</v>
      </c>
      <c r="E132">
        <v>22388721.640000001</v>
      </c>
      <c r="F132">
        <v>0.1027</v>
      </c>
    </row>
    <row r="133" spans="1:6" x14ac:dyDescent="0.25">
      <c r="A133" t="s">
        <v>25</v>
      </c>
      <c r="B133" t="s">
        <v>101</v>
      </c>
      <c r="C133" t="s">
        <v>343</v>
      </c>
      <c r="D133">
        <v>1</v>
      </c>
      <c r="E133">
        <v>1137866.19</v>
      </c>
      <c r="F133">
        <v>5.1999999999999998E-3</v>
      </c>
    </row>
    <row r="134" spans="1:6" x14ac:dyDescent="0.25">
      <c r="A134" t="s">
        <v>37</v>
      </c>
      <c r="B134" t="s">
        <v>38</v>
      </c>
      <c r="C134" t="s">
        <v>343</v>
      </c>
      <c r="D134">
        <v>1</v>
      </c>
      <c r="E134">
        <v>6657658.71</v>
      </c>
      <c r="F134">
        <v>3.0499999999999999E-2</v>
      </c>
    </row>
    <row r="135" spans="1:6" x14ac:dyDescent="0.25">
      <c r="A135" t="s">
        <v>37</v>
      </c>
      <c r="B135" t="s">
        <v>288</v>
      </c>
      <c r="C135" t="s">
        <v>343</v>
      </c>
      <c r="D135">
        <v>2</v>
      </c>
      <c r="E135">
        <v>22388893.719999999</v>
      </c>
      <c r="F135">
        <v>0.1027</v>
      </c>
    </row>
    <row r="136" spans="1:6" x14ac:dyDescent="0.25">
      <c r="A136" t="s">
        <v>27</v>
      </c>
      <c r="B136" t="s">
        <v>81</v>
      </c>
      <c r="C136" t="s">
        <v>343</v>
      </c>
      <c r="D136">
        <v>2</v>
      </c>
      <c r="E136">
        <v>36013703.119999997</v>
      </c>
      <c r="F136">
        <v>0.1653</v>
      </c>
    </row>
    <row r="137" spans="1:6" x14ac:dyDescent="0.25">
      <c r="A137" t="s">
        <v>31</v>
      </c>
      <c r="B137" t="s">
        <v>26</v>
      </c>
      <c r="C137" t="s">
        <v>4040</v>
      </c>
      <c r="D137">
        <v>1</v>
      </c>
      <c r="E137">
        <v>45938187.520000003</v>
      </c>
      <c r="F137">
        <v>0.21079999999999999</v>
      </c>
    </row>
    <row r="138" spans="1:6" x14ac:dyDescent="0.25">
      <c r="A138" t="s">
        <v>28</v>
      </c>
      <c r="B138" t="s">
        <v>26</v>
      </c>
      <c r="C138" t="s">
        <v>4040</v>
      </c>
      <c r="D138">
        <v>1</v>
      </c>
      <c r="E138">
        <v>2475008.9</v>
      </c>
      <c r="F138">
        <v>1.1299999999999999E-2</v>
      </c>
    </row>
    <row r="139" spans="1:6" x14ac:dyDescent="0.25">
      <c r="A139" t="s">
        <v>37</v>
      </c>
      <c r="B139" t="s">
        <v>26</v>
      </c>
      <c r="C139" t="s">
        <v>4040</v>
      </c>
      <c r="D139">
        <v>1</v>
      </c>
      <c r="E139">
        <v>53041431.280000001</v>
      </c>
      <c r="F139">
        <v>0.24340000000000001</v>
      </c>
    </row>
    <row r="140" spans="1:6" x14ac:dyDescent="0.25">
      <c r="A140" t="s">
        <v>43</v>
      </c>
      <c r="B140" t="s">
        <v>338</v>
      </c>
      <c r="C140" t="s">
        <v>4040</v>
      </c>
      <c r="D140">
        <v>1</v>
      </c>
      <c r="E140">
        <v>12295348.189999999</v>
      </c>
      <c r="F140">
        <v>5.6399999999999999E-2</v>
      </c>
    </row>
    <row r="141" spans="1:6" x14ac:dyDescent="0.25">
      <c r="A141" t="s">
        <v>31</v>
      </c>
      <c r="B141" t="s">
        <v>398</v>
      </c>
      <c r="C141" t="s">
        <v>4040</v>
      </c>
      <c r="D141">
        <v>1</v>
      </c>
      <c r="E141">
        <v>3743921.05</v>
      </c>
      <c r="F141">
        <v>1.7100000000000001E-2</v>
      </c>
    </row>
    <row r="142" spans="1:6" x14ac:dyDescent="0.25">
      <c r="A142" t="s">
        <v>44</v>
      </c>
      <c r="B142" t="s">
        <v>75</v>
      </c>
      <c r="C142" t="s">
        <v>4040</v>
      </c>
      <c r="D142">
        <v>2</v>
      </c>
      <c r="E142">
        <v>5860473.9699999997</v>
      </c>
      <c r="F142">
        <v>2.69E-2</v>
      </c>
    </row>
    <row r="143" spans="1:6" x14ac:dyDescent="0.25">
      <c r="A143" t="s">
        <v>29</v>
      </c>
      <c r="B143" t="s">
        <v>30</v>
      </c>
      <c r="C143" t="s">
        <v>4040</v>
      </c>
      <c r="D143">
        <v>1</v>
      </c>
      <c r="E143">
        <v>2341465.59</v>
      </c>
      <c r="F143">
        <v>1.0699999999999999E-2</v>
      </c>
    </row>
    <row r="144" spans="1:6" x14ac:dyDescent="0.25">
      <c r="A144" t="s">
        <v>25</v>
      </c>
      <c r="B144" t="s">
        <v>106</v>
      </c>
      <c r="C144" t="s">
        <v>4040</v>
      </c>
      <c r="D144">
        <v>1</v>
      </c>
      <c r="E144">
        <v>1972828.68</v>
      </c>
      <c r="F144">
        <v>8.9999999999999993E-3</v>
      </c>
    </row>
    <row r="145" spans="1:6" x14ac:dyDescent="0.25">
      <c r="A145" t="s">
        <v>37</v>
      </c>
      <c r="B145" t="s">
        <v>288</v>
      </c>
      <c r="C145" t="s">
        <v>4040</v>
      </c>
      <c r="D145">
        <v>1</v>
      </c>
      <c r="E145">
        <v>4734181.5199999996</v>
      </c>
      <c r="F145">
        <v>2.1700000000000001E-2</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F150"/>
  <sheetViews>
    <sheetView workbookViewId="0">
      <selection sqref="A1:F151"/>
    </sheetView>
  </sheetViews>
  <sheetFormatPr defaultRowHeight="13.2" x14ac:dyDescent="0.25"/>
  <cols>
    <col min="1" max="1" width="9.6640625" customWidth="1"/>
    <col min="2" max="2" width="13.88671875" customWidth="1"/>
    <col min="3" max="3" width="14.44140625" customWidth="1"/>
    <col min="5" max="5" width="10.44140625" customWidth="1"/>
  </cols>
  <sheetData>
    <row r="1" spans="1:6" x14ac:dyDescent="0.25">
      <c r="A1" t="s">
        <v>21</v>
      </c>
      <c r="B1" t="s">
        <v>319</v>
      </c>
      <c r="C1" t="s">
        <v>318</v>
      </c>
      <c r="D1" t="s">
        <v>317</v>
      </c>
      <c r="E1" t="s">
        <v>316</v>
      </c>
      <c r="F1" t="s">
        <v>315</v>
      </c>
    </row>
    <row r="2" spans="1:6" x14ac:dyDescent="0.25">
      <c r="A2" t="s">
        <v>36</v>
      </c>
      <c r="B2" t="s">
        <v>97</v>
      </c>
      <c r="C2" t="s">
        <v>312</v>
      </c>
      <c r="D2">
        <v>27</v>
      </c>
      <c r="E2">
        <v>377182040.94999999</v>
      </c>
      <c r="F2">
        <v>1.7641</v>
      </c>
    </row>
    <row r="3" spans="1:6" x14ac:dyDescent="0.25">
      <c r="A3" t="s">
        <v>35</v>
      </c>
      <c r="B3" t="s">
        <v>121</v>
      </c>
      <c r="C3" t="s">
        <v>312</v>
      </c>
      <c r="D3">
        <v>17</v>
      </c>
      <c r="E3">
        <v>430878753.50999999</v>
      </c>
      <c r="F3">
        <v>2.0152999999999999</v>
      </c>
    </row>
    <row r="4" spans="1:6" x14ac:dyDescent="0.25">
      <c r="A4" t="s">
        <v>36</v>
      </c>
      <c r="B4" t="s">
        <v>118</v>
      </c>
      <c r="C4" t="s">
        <v>312</v>
      </c>
      <c r="D4">
        <v>2</v>
      </c>
      <c r="E4">
        <v>20260421.469999999</v>
      </c>
      <c r="F4">
        <v>9.4700000000000006E-2</v>
      </c>
    </row>
    <row r="5" spans="1:6" x14ac:dyDescent="0.25">
      <c r="A5" t="s">
        <v>36</v>
      </c>
      <c r="B5" t="s">
        <v>26</v>
      </c>
      <c r="C5" t="s">
        <v>312</v>
      </c>
      <c r="D5">
        <v>3</v>
      </c>
      <c r="E5">
        <v>51530414.57</v>
      </c>
      <c r="F5">
        <v>0.24099999999999999</v>
      </c>
    </row>
    <row r="6" spans="1:6" x14ac:dyDescent="0.25">
      <c r="A6" t="s">
        <v>35</v>
      </c>
      <c r="B6" t="s">
        <v>26</v>
      </c>
      <c r="C6" t="s">
        <v>312</v>
      </c>
      <c r="D6">
        <v>4</v>
      </c>
      <c r="E6">
        <v>127326878.16</v>
      </c>
      <c r="F6">
        <v>0.59550000000000003</v>
      </c>
    </row>
    <row r="7" spans="1:6" x14ac:dyDescent="0.25">
      <c r="A7" t="s">
        <v>45</v>
      </c>
      <c r="B7" t="s">
        <v>26</v>
      </c>
      <c r="C7" t="s">
        <v>312</v>
      </c>
      <c r="D7">
        <v>1</v>
      </c>
      <c r="E7">
        <v>22147004.719999999</v>
      </c>
      <c r="F7">
        <v>0.10349999999999999</v>
      </c>
    </row>
    <row r="8" spans="1:6" x14ac:dyDescent="0.25">
      <c r="A8" t="s">
        <v>43</v>
      </c>
      <c r="B8" t="s">
        <v>26</v>
      </c>
      <c r="C8" t="s">
        <v>312</v>
      </c>
      <c r="D8">
        <v>2</v>
      </c>
      <c r="E8">
        <v>11752311.67</v>
      </c>
      <c r="F8">
        <v>5.4899999999999997E-2</v>
      </c>
    </row>
    <row r="9" spans="1:6" x14ac:dyDescent="0.25">
      <c r="A9" t="s">
        <v>42</v>
      </c>
      <c r="B9" t="s">
        <v>26</v>
      </c>
      <c r="C9" t="s">
        <v>312</v>
      </c>
      <c r="D9">
        <v>6</v>
      </c>
      <c r="E9">
        <v>73225413.219999999</v>
      </c>
      <c r="F9">
        <v>0.34239999999999998</v>
      </c>
    </row>
    <row r="10" spans="1:6" x14ac:dyDescent="0.25">
      <c r="A10" t="s">
        <v>31</v>
      </c>
      <c r="B10" t="s">
        <v>26</v>
      </c>
      <c r="C10" t="s">
        <v>312</v>
      </c>
      <c r="D10">
        <v>1</v>
      </c>
      <c r="E10">
        <v>4316304.2699999996</v>
      </c>
      <c r="F10">
        <v>2.01E-2</v>
      </c>
    </row>
    <row r="11" spans="1:6" x14ac:dyDescent="0.25">
      <c r="A11" t="s">
        <v>28</v>
      </c>
      <c r="B11" t="s">
        <v>26</v>
      </c>
      <c r="C11" t="s">
        <v>312</v>
      </c>
      <c r="D11">
        <v>32</v>
      </c>
      <c r="E11">
        <v>84847787.450000003</v>
      </c>
      <c r="F11">
        <v>0.39679999999999999</v>
      </c>
    </row>
    <row r="12" spans="1:6" x14ac:dyDescent="0.25">
      <c r="A12" t="s">
        <v>44</v>
      </c>
      <c r="B12" t="s">
        <v>26</v>
      </c>
      <c r="C12" t="s">
        <v>312</v>
      </c>
      <c r="D12">
        <v>4</v>
      </c>
      <c r="E12">
        <v>60849341.75</v>
      </c>
      <c r="F12">
        <v>0.28460000000000002</v>
      </c>
    </row>
    <row r="13" spans="1:6" x14ac:dyDescent="0.25">
      <c r="A13" t="s">
        <v>29</v>
      </c>
      <c r="B13" t="s">
        <v>26</v>
      </c>
      <c r="C13" t="s">
        <v>312</v>
      </c>
      <c r="D13">
        <v>3</v>
      </c>
      <c r="E13">
        <v>67966178.790000007</v>
      </c>
      <c r="F13">
        <v>0.31780000000000003</v>
      </c>
    </row>
    <row r="14" spans="1:6" x14ac:dyDescent="0.25">
      <c r="A14" t="s">
        <v>25</v>
      </c>
      <c r="B14" t="s">
        <v>26</v>
      </c>
      <c r="C14" t="s">
        <v>312</v>
      </c>
      <c r="D14">
        <v>42</v>
      </c>
      <c r="E14">
        <v>597053533.55999994</v>
      </c>
      <c r="F14">
        <v>2.7925</v>
      </c>
    </row>
    <row r="15" spans="1:6" x14ac:dyDescent="0.25">
      <c r="A15" t="s">
        <v>37</v>
      </c>
      <c r="B15" t="s">
        <v>26</v>
      </c>
      <c r="C15" t="s">
        <v>312</v>
      </c>
      <c r="D15">
        <v>6</v>
      </c>
      <c r="E15">
        <v>86239976.370000005</v>
      </c>
      <c r="F15">
        <v>0.40329999999999999</v>
      </c>
    </row>
    <row r="16" spans="1:6" x14ac:dyDescent="0.25">
      <c r="A16" t="s">
        <v>27</v>
      </c>
      <c r="B16" t="s">
        <v>26</v>
      </c>
      <c r="C16" t="s">
        <v>312</v>
      </c>
      <c r="D16">
        <v>22</v>
      </c>
      <c r="E16">
        <v>540080569.04999995</v>
      </c>
      <c r="F16">
        <v>2.5259999999999998</v>
      </c>
    </row>
    <row r="17" spans="1:6" x14ac:dyDescent="0.25">
      <c r="A17" t="s">
        <v>36</v>
      </c>
      <c r="B17" t="s">
        <v>1023</v>
      </c>
      <c r="C17" t="s">
        <v>312</v>
      </c>
      <c r="D17">
        <v>7</v>
      </c>
      <c r="E17">
        <v>82304646.989999995</v>
      </c>
      <c r="F17">
        <v>0.38490000000000002</v>
      </c>
    </row>
    <row r="18" spans="1:6" x14ac:dyDescent="0.25">
      <c r="A18" t="s">
        <v>45</v>
      </c>
      <c r="B18" t="s">
        <v>45</v>
      </c>
      <c r="C18" t="s">
        <v>312</v>
      </c>
      <c r="D18">
        <v>40</v>
      </c>
      <c r="E18">
        <v>737861013.55999994</v>
      </c>
      <c r="F18">
        <v>3.4510999999999998</v>
      </c>
    </row>
    <row r="19" spans="1:6" x14ac:dyDescent="0.25">
      <c r="A19" t="s">
        <v>43</v>
      </c>
      <c r="B19" t="s">
        <v>338</v>
      </c>
      <c r="C19" t="s">
        <v>312</v>
      </c>
      <c r="D19">
        <v>21</v>
      </c>
      <c r="E19">
        <v>319571286.33999997</v>
      </c>
      <c r="F19">
        <v>1.4945999999999999</v>
      </c>
    </row>
    <row r="20" spans="1:6" x14ac:dyDescent="0.25">
      <c r="A20" t="s">
        <v>43</v>
      </c>
      <c r="B20" t="s">
        <v>607</v>
      </c>
      <c r="C20" t="s">
        <v>312</v>
      </c>
      <c r="D20">
        <v>1</v>
      </c>
      <c r="E20">
        <v>19093919.949999999</v>
      </c>
      <c r="F20">
        <v>8.9300000000000004E-2</v>
      </c>
    </row>
    <row r="21" spans="1:6" x14ac:dyDescent="0.25">
      <c r="A21" t="s">
        <v>46</v>
      </c>
      <c r="B21" t="s">
        <v>46</v>
      </c>
      <c r="C21" t="s">
        <v>312</v>
      </c>
      <c r="D21">
        <v>12</v>
      </c>
      <c r="E21">
        <v>174335460.59999999</v>
      </c>
      <c r="F21">
        <v>0.81540000000000001</v>
      </c>
    </row>
    <row r="22" spans="1:6" x14ac:dyDescent="0.25">
      <c r="A22" t="s">
        <v>31</v>
      </c>
      <c r="B22" t="s">
        <v>509</v>
      </c>
      <c r="C22" t="s">
        <v>312</v>
      </c>
      <c r="D22">
        <v>3</v>
      </c>
      <c r="E22">
        <v>50057737.590000004</v>
      </c>
      <c r="F22">
        <v>0.2341</v>
      </c>
    </row>
    <row r="23" spans="1:6" x14ac:dyDescent="0.25">
      <c r="A23" t="s">
        <v>31</v>
      </c>
      <c r="B23" t="s">
        <v>293</v>
      </c>
      <c r="C23" t="s">
        <v>312</v>
      </c>
      <c r="D23">
        <v>3</v>
      </c>
      <c r="E23">
        <v>83242273.200000003</v>
      </c>
      <c r="F23">
        <v>0.38929999999999998</v>
      </c>
    </row>
    <row r="24" spans="1:6" x14ac:dyDescent="0.25">
      <c r="A24" t="s">
        <v>31</v>
      </c>
      <c r="B24" t="s">
        <v>416</v>
      </c>
      <c r="C24" t="s">
        <v>312</v>
      </c>
      <c r="D24">
        <v>3</v>
      </c>
      <c r="E24">
        <v>100026599.69</v>
      </c>
      <c r="F24">
        <v>0.46779999999999999</v>
      </c>
    </row>
    <row r="25" spans="1:6" x14ac:dyDescent="0.25">
      <c r="A25" t="s">
        <v>28</v>
      </c>
      <c r="B25" t="s">
        <v>108</v>
      </c>
      <c r="C25" t="s">
        <v>312</v>
      </c>
      <c r="D25">
        <v>1</v>
      </c>
      <c r="E25">
        <v>3169002.95</v>
      </c>
      <c r="F25">
        <v>1.4800000000000001E-2</v>
      </c>
    </row>
    <row r="26" spans="1:6" x14ac:dyDescent="0.25">
      <c r="A26" t="s">
        <v>44</v>
      </c>
      <c r="B26" t="s">
        <v>92</v>
      </c>
      <c r="C26" t="s">
        <v>312</v>
      </c>
      <c r="D26">
        <v>39</v>
      </c>
      <c r="E26">
        <v>879834600.38</v>
      </c>
      <c r="F26">
        <v>4.1151</v>
      </c>
    </row>
    <row r="27" spans="1:6" x14ac:dyDescent="0.25">
      <c r="A27" t="s">
        <v>44</v>
      </c>
      <c r="B27" t="s">
        <v>75</v>
      </c>
      <c r="C27" t="s">
        <v>312</v>
      </c>
      <c r="D27">
        <v>237</v>
      </c>
      <c r="E27">
        <v>3392862794.4400001</v>
      </c>
      <c r="F27">
        <v>15.869</v>
      </c>
    </row>
    <row r="28" spans="1:6" x14ac:dyDescent="0.25">
      <c r="A28" t="s">
        <v>29</v>
      </c>
      <c r="B28" t="s">
        <v>96</v>
      </c>
      <c r="C28" t="s">
        <v>312</v>
      </c>
      <c r="D28">
        <v>6</v>
      </c>
      <c r="E28">
        <v>144088028.53999999</v>
      </c>
      <c r="F28">
        <v>0.67390000000000005</v>
      </c>
    </row>
    <row r="29" spans="1:6" x14ac:dyDescent="0.25">
      <c r="A29" t="s">
        <v>29</v>
      </c>
      <c r="B29" t="s">
        <v>30</v>
      </c>
      <c r="C29" t="s">
        <v>312</v>
      </c>
      <c r="D29">
        <v>14</v>
      </c>
      <c r="E29">
        <v>154433266.97</v>
      </c>
      <c r="F29">
        <v>0.72230000000000005</v>
      </c>
    </row>
    <row r="30" spans="1:6" x14ac:dyDescent="0.25">
      <c r="A30" t="s">
        <v>25</v>
      </c>
      <c r="B30" t="s">
        <v>103</v>
      </c>
      <c r="C30" t="s">
        <v>312</v>
      </c>
      <c r="D30">
        <v>25</v>
      </c>
      <c r="E30">
        <v>423975458.86000001</v>
      </c>
      <c r="F30">
        <v>1.9830000000000001</v>
      </c>
    </row>
    <row r="31" spans="1:6" x14ac:dyDescent="0.25">
      <c r="A31" t="s">
        <v>25</v>
      </c>
      <c r="B31" t="s">
        <v>32</v>
      </c>
      <c r="C31" t="s">
        <v>312</v>
      </c>
      <c r="D31">
        <v>13</v>
      </c>
      <c r="E31">
        <v>179165997.08000001</v>
      </c>
      <c r="F31">
        <v>0.83789999999999998</v>
      </c>
    </row>
    <row r="32" spans="1:6" x14ac:dyDescent="0.25">
      <c r="A32" t="s">
        <v>25</v>
      </c>
      <c r="B32" t="s">
        <v>290</v>
      </c>
      <c r="C32" t="s">
        <v>312</v>
      </c>
      <c r="D32">
        <v>22</v>
      </c>
      <c r="E32">
        <v>143745883.05000001</v>
      </c>
      <c r="F32">
        <v>0.67230000000000001</v>
      </c>
    </row>
    <row r="33" spans="1:6" x14ac:dyDescent="0.25">
      <c r="A33" t="s">
        <v>25</v>
      </c>
      <c r="B33" t="s">
        <v>295</v>
      </c>
      <c r="C33" t="s">
        <v>312</v>
      </c>
      <c r="D33">
        <v>10</v>
      </c>
      <c r="E33">
        <v>144572881.81999999</v>
      </c>
      <c r="F33">
        <v>0.67610000000000003</v>
      </c>
    </row>
    <row r="34" spans="1:6" x14ac:dyDescent="0.25">
      <c r="A34" t="s">
        <v>25</v>
      </c>
      <c r="B34" t="s">
        <v>88</v>
      </c>
      <c r="C34" t="s">
        <v>312</v>
      </c>
      <c r="D34">
        <v>90</v>
      </c>
      <c r="E34">
        <v>951127788.58000004</v>
      </c>
      <c r="F34">
        <v>4.4485999999999999</v>
      </c>
    </row>
    <row r="35" spans="1:6" x14ac:dyDescent="0.25">
      <c r="A35" t="s">
        <v>25</v>
      </c>
      <c r="B35" t="s">
        <v>286</v>
      </c>
      <c r="C35" t="s">
        <v>312</v>
      </c>
      <c r="D35">
        <v>3</v>
      </c>
      <c r="E35">
        <v>64824931.079999998</v>
      </c>
      <c r="F35">
        <v>0.30309999999999998</v>
      </c>
    </row>
    <row r="36" spans="1:6" x14ac:dyDescent="0.25">
      <c r="A36" t="s">
        <v>25</v>
      </c>
      <c r="B36" t="s">
        <v>289</v>
      </c>
      <c r="C36" t="s">
        <v>312</v>
      </c>
      <c r="D36">
        <v>8</v>
      </c>
      <c r="E36">
        <v>112340393.48999999</v>
      </c>
      <c r="F36">
        <v>0.52539999999999998</v>
      </c>
    </row>
    <row r="37" spans="1:6" x14ac:dyDescent="0.25">
      <c r="A37" t="s">
        <v>25</v>
      </c>
      <c r="B37" t="s">
        <v>106</v>
      </c>
      <c r="C37" t="s">
        <v>312</v>
      </c>
      <c r="D37">
        <v>28</v>
      </c>
      <c r="E37">
        <v>295449337.69</v>
      </c>
      <c r="F37">
        <v>1.3817999999999999</v>
      </c>
    </row>
    <row r="38" spans="1:6" x14ac:dyDescent="0.25">
      <c r="A38" t="s">
        <v>25</v>
      </c>
      <c r="B38" t="s">
        <v>101</v>
      </c>
      <c r="C38" t="s">
        <v>312</v>
      </c>
      <c r="D38">
        <v>13</v>
      </c>
      <c r="E38">
        <v>160146565.13</v>
      </c>
      <c r="F38">
        <v>0.749</v>
      </c>
    </row>
    <row r="39" spans="1:6" x14ac:dyDescent="0.25">
      <c r="A39" t="s">
        <v>25</v>
      </c>
      <c r="B39" t="s">
        <v>94</v>
      </c>
      <c r="C39" t="s">
        <v>312</v>
      </c>
      <c r="D39">
        <v>10</v>
      </c>
      <c r="E39">
        <v>78980989.819999993</v>
      </c>
      <c r="F39">
        <v>0.36940000000000001</v>
      </c>
    </row>
    <row r="40" spans="1:6" x14ac:dyDescent="0.25">
      <c r="A40" t="s">
        <v>37</v>
      </c>
      <c r="B40" t="s">
        <v>38</v>
      </c>
      <c r="C40" t="s">
        <v>312</v>
      </c>
      <c r="D40">
        <v>26</v>
      </c>
      <c r="E40">
        <v>338580401.54000002</v>
      </c>
      <c r="F40">
        <v>1.5835999999999999</v>
      </c>
    </row>
    <row r="41" spans="1:6" x14ac:dyDescent="0.25">
      <c r="A41" t="s">
        <v>37</v>
      </c>
      <c r="B41" t="s">
        <v>288</v>
      </c>
      <c r="C41" t="s">
        <v>312</v>
      </c>
      <c r="D41">
        <v>21</v>
      </c>
      <c r="E41">
        <v>536642982.91000003</v>
      </c>
      <c r="F41">
        <v>2.5099</v>
      </c>
    </row>
    <row r="42" spans="1:6" x14ac:dyDescent="0.25">
      <c r="A42" t="s">
        <v>37</v>
      </c>
      <c r="B42" t="s">
        <v>686</v>
      </c>
      <c r="C42" t="s">
        <v>312</v>
      </c>
      <c r="D42">
        <v>1</v>
      </c>
      <c r="E42">
        <v>10151368.449999999</v>
      </c>
      <c r="F42">
        <v>4.7399999999999998E-2</v>
      </c>
    </row>
    <row r="43" spans="1:6" x14ac:dyDescent="0.25">
      <c r="A43" t="s">
        <v>27</v>
      </c>
      <c r="B43" t="s">
        <v>81</v>
      </c>
      <c r="C43" t="s">
        <v>312</v>
      </c>
      <c r="D43">
        <v>31</v>
      </c>
      <c r="E43">
        <v>695717314.82000005</v>
      </c>
      <c r="F43">
        <v>3.254</v>
      </c>
    </row>
    <row r="44" spans="1:6" x14ac:dyDescent="0.25">
      <c r="A44" t="s">
        <v>27</v>
      </c>
      <c r="B44" t="s">
        <v>116</v>
      </c>
      <c r="C44" t="s">
        <v>312</v>
      </c>
      <c r="D44">
        <v>19</v>
      </c>
      <c r="E44">
        <v>502429617.17000002</v>
      </c>
      <c r="F44">
        <v>2.3498999999999999</v>
      </c>
    </row>
    <row r="45" spans="1:6" x14ac:dyDescent="0.25">
      <c r="A45" t="s">
        <v>41</v>
      </c>
      <c r="B45" t="s">
        <v>1189</v>
      </c>
      <c r="C45" t="s">
        <v>312</v>
      </c>
      <c r="D45">
        <v>2</v>
      </c>
      <c r="E45">
        <v>81260948.180000007</v>
      </c>
      <c r="F45">
        <v>0.38</v>
      </c>
    </row>
    <row r="46" spans="1:6" x14ac:dyDescent="0.25">
      <c r="A46" t="s">
        <v>42</v>
      </c>
      <c r="B46" t="s">
        <v>1244</v>
      </c>
      <c r="C46" t="s">
        <v>312</v>
      </c>
      <c r="D46">
        <v>2</v>
      </c>
      <c r="E46">
        <v>39451209.310000002</v>
      </c>
      <c r="F46">
        <v>0.1845</v>
      </c>
    </row>
    <row r="47" spans="1:6" x14ac:dyDescent="0.25">
      <c r="A47" t="s">
        <v>28</v>
      </c>
      <c r="B47" t="s">
        <v>2295</v>
      </c>
      <c r="C47" t="s">
        <v>312</v>
      </c>
      <c r="D47">
        <v>1</v>
      </c>
      <c r="E47">
        <v>11847459.470000001</v>
      </c>
      <c r="F47">
        <v>5.5399999999999998E-2</v>
      </c>
    </row>
    <row r="48" spans="1:6" x14ac:dyDescent="0.25">
      <c r="A48" t="s">
        <v>31</v>
      </c>
      <c r="B48" t="s">
        <v>2309</v>
      </c>
      <c r="C48" t="s">
        <v>312</v>
      </c>
      <c r="D48">
        <v>1</v>
      </c>
      <c r="E48">
        <v>3147442.16</v>
      </c>
      <c r="F48">
        <v>1.47E-2</v>
      </c>
    </row>
    <row r="49" spans="1:6" x14ac:dyDescent="0.25">
      <c r="A49" t="s">
        <v>31</v>
      </c>
      <c r="B49" t="s">
        <v>298</v>
      </c>
      <c r="C49" t="s">
        <v>312</v>
      </c>
      <c r="D49">
        <v>1</v>
      </c>
      <c r="E49">
        <v>61824883.420000002</v>
      </c>
      <c r="F49">
        <v>0.28910000000000002</v>
      </c>
    </row>
    <row r="50" spans="1:6" x14ac:dyDescent="0.25">
      <c r="A50" t="s">
        <v>42</v>
      </c>
      <c r="B50" t="s">
        <v>2788</v>
      </c>
      <c r="C50" t="s">
        <v>312</v>
      </c>
      <c r="D50">
        <v>1</v>
      </c>
      <c r="E50">
        <v>2852578.98</v>
      </c>
      <c r="F50">
        <v>1.3299999999999999E-2</v>
      </c>
    </row>
    <row r="51" spans="1:6" x14ac:dyDescent="0.25">
      <c r="A51" t="s">
        <v>31</v>
      </c>
      <c r="B51" t="s">
        <v>1815</v>
      </c>
      <c r="C51" t="s">
        <v>312</v>
      </c>
      <c r="D51">
        <v>1</v>
      </c>
      <c r="E51">
        <v>42556425.090000004</v>
      </c>
      <c r="F51">
        <v>0.19900000000000001</v>
      </c>
    </row>
    <row r="52" spans="1:6" x14ac:dyDescent="0.25">
      <c r="A52" t="s">
        <v>36</v>
      </c>
      <c r="B52" t="s">
        <v>3461</v>
      </c>
      <c r="C52" t="s">
        <v>312</v>
      </c>
      <c r="D52">
        <v>1</v>
      </c>
      <c r="E52">
        <v>52313362.890000001</v>
      </c>
      <c r="F52">
        <v>0.24460000000000001</v>
      </c>
    </row>
    <row r="53" spans="1:6" x14ac:dyDescent="0.25">
      <c r="A53" t="s">
        <v>25</v>
      </c>
      <c r="B53" t="s">
        <v>3923</v>
      </c>
      <c r="C53" t="s">
        <v>312</v>
      </c>
      <c r="D53">
        <v>1</v>
      </c>
      <c r="E53">
        <v>29556695.469999999</v>
      </c>
      <c r="F53">
        <v>0.13819999999999999</v>
      </c>
    </row>
    <row r="54" spans="1:6" x14ac:dyDescent="0.25">
      <c r="A54" t="s">
        <v>36</v>
      </c>
      <c r="B54" t="s">
        <v>97</v>
      </c>
      <c r="C54" t="s">
        <v>313</v>
      </c>
      <c r="D54">
        <v>7</v>
      </c>
      <c r="E54">
        <v>60310434.600000001</v>
      </c>
      <c r="F54">
        <v>0.28199999999999997</v>
      </c>
    </row>
    <row r="55" spans="1:6" x14ac:dyDescent="0.25">
      <c r="A55" t="s">
        <v>35</v>
      </c>
      <c r="B55" t="s">
        <v>121</v>
      </c>
      <c r="C55" t="s">
        <v>313</v>
      </c>
      <c r="D55">
        <v>5</v>
      </c>
      <c r="E55">
        <v>82629736.299999997</v>
      </c>
      <c r="F55">
        <v>0.38640000000000002</v>
      </c>
    </row>
    <row r="56" spans="1:6" x14ac:dyDescent="0.25">
      <c r="A56" t="s">
        <v>36</v>
      </c>
      <c r="B56" t="s">
        <v>118</v>
      </c>
      <c r="C56" t="s">
        <v>313</v>
      </c>
      <c r="D56">
        <v>2</v>
      </c>
      <c r="E56">
        <v>8052598.21</v>
      </c>
      <c r="F56">
        <v>3.7600000000000001E-2</v>
      </c>
    </row>
    <row r="57" spans="1:6" x14ac:dyDescent="0.25">
      <c r="A57" t="s">
        <v>36</v>
      </c>
      <c r="B57" t="s">
        <v>26</v>
      </c>
      <c r="C57" t="s">
        <v>313</v>
      </c>
      <c r="D57">
        <v>1</v>
      </c>
      <c r="E57">
        <v>3263616.36</v>
      </c>
      <c r="F57">
        <v>1.52E-2</v>
      </c>
    </row>
    <row r="58" spans="1:6" x14ac:dyDescent="0.25">
      <c r="A58" t="s">
        <v>35</v>
      </c>
      <c r="B58" t="s">
        <v>26</v>
      </c>
      <c r="C58" t="s">
        <v>313</v>
      </c>
      <c r="D58">
        <v>3</v>
      </c>
      <c r="E58">
        <v>68952574.450000003</v>
      </c>
      <c r="F58">
        <v>0.32250000000000001</v>
      </c>
    </row>
    <row r="59" spans="1:6" x14ac:dyDescent="0.25">
      <c r="A59" t="s">
        <v>42</v>
      </c>
      <c r="B59" t="s">
        <v>26</v>
      </c>
      <c r="C59" t="s">
        <v>313</v>
      </c>
      <c r="D59">
        <v>2</v>
      </c>
      <c r="E59">
        <v>13557307.84</v>
      </c>
      <c r="F59">
        <v>6.3399999999999998E-2</v>
      </c>
    </row>
    <row r="60" spans="1:6" x14ac:dyDescent="0.25">
      <c r="A60" t="s">
        <v>31</v>
      </c>
      <c r="B60" t="s">
        <v>26</v>
      </c>
      <c r="C60" t="s">
        <v>313</v>
      </c>
      <c r="D60">
        <v>1</v>
      </c>
      <c r="E60">
        <v>60702383.299999997</v>
      </c>
      <c r="F60">
        <v>0.28389999999999999</v>
      </c>
    </row>
    <row r="61" spans="1:6" x14ac:dyDescent="0.25">
      <c r="A61" t="s">
        <v>44</v>
      </c>
      <c r="B61" t="s">
        <v>26</v>
      </c>
      <c r="C61" t="s">
        <v>313</v>
      </c>
      <c r="D61">
        <v>2</v>
      </c>
      <c r="E61">
        <v>9696311.8000000007</v>
      </c>
      <c r="F61">
        <v>4.53E-2</v>
      </c>
    </row>
    <row r="62" spans="1:6" x14ac:dyDescent="0.25">
      <c r="A62" t="s">
        <v>25</v>
      </c>
      <c r="B62" t="s">
        <v>26</v>
      </c>
      <c r="C62" t="s">
        <v>313</v>
      </c>
      <c r="D62">
        <v>31</v>
      </c>
      <c r="E62">
        <v>531043617.08999997</v>
      </c>
      <c r="F62">
        <v>2.4836999999999998</v>
      </c>
    </row>
    <row r="63" spans="1:6" x14ac:dyDescent="0.25">
      <c r="A63" t="s">
        <v>37</v>
      </c>
      <c r="B63" t="s">
        <v>26</v>
      </c>
      <c r="C63" t="s">
        <v>313</v>
      </c>
      <c r="D63">
        <v>1</v>
      </c>
      <c r="E63">
        <v>3604779.18</v>
      </c>
      <c r="F63">
        <v>1.6799999999999999E-2</v>
      </c>
    </row>
    <row r="64" spans="1:6" x14ac:dyDescent="0.25">
      <c r="A64" t="s">
        <v>27</v>
      </c>
      <c r="B64" t="s">
        <v>26</v>
      </c>
      <c r="C64" t="s">
        <v>313</v>
      </c>
      <c r="D64">
        <v>5</v>
      </c>
      <c r="E64">
        <v>162173125.18000001</v>
      </c>
      <c r="F64">
        <v>0.75849999999999995</v>
      </c>
    </row>
    <row r="65" spans="1:6" x14ac:dyDescent="0.25">
      <c r="A65" t="s">
        <v>36</v>
      </c>
      <c r="B65" t="s">
        <v>1023</v>
      </c>
      <c r="C65" t="s">
        <v>313</v>
      </c>
      <c r="D65">
        <v>1</v>
      </c>
      <c r="E65">
        <v>17950755.899999999</v>
      </c>
      <c r="F65">
        <v>8.3900000000000002E-2</v>
      </c>
    </row>
    <row r="66" spans="1:6" x14ac:dyDescent="0.25">
      <c r="A66" t="s">
        <v>45</v>
      </c>
      <c r="B66" t="s">
        <v>45</v>
      </c>
      <c r="C66" t="s">
        <v>313</v>
      </c>
      <c r="D66">
        <v>10</v>
      </c>
      <c r="E66">
        <v>197492700.56999999</v>
      </c>
      <c r="F66">
        <v>0.92369999999999997</v>
      </c>
    </row>
    <row r="67" spans="1:6" x14ac:dyDescent="0.25">
      <c r="A67" t="s">
        <v>43</v>
      </c>
      <c r="B67" t="s">
        <v>338</v>
      </c>
      <c r="C67" t="s">
        <v>313</v>
      </c>
      <c r="D67">
        <v>1</v>
      </c>
      <c r="E67">
        <v>880794.21</v>
      </c>
      <c r="F67">
        <v>4.1000000000000003E-3</v>
      </c>
    </row>
    <row r="68" spans="1:6" x14ac:dyDescent="0.25">
      <c r="A68" t="s">
        <v>43</v>
      </c>
      <c r="B68" t="s">
        <v>607</v>
      </c>
      <c r="C68" t="s">
        <v>313</v>
      </c>
      <c r="D68">
        <v>1</v>
      </c>
      <c r="E68">
        <v>8685586.3200000003</v>
      </c>
      <c r="F68">
        <v>4.0599999999999997E-2</v>
      </c>
    </row>
    <row r="69" spans="1:6" x14ac:dyDescent="0.25">
      <c r="A69" t="s">
        <v>46</v>
      </c>
      <c r="B69" t="s">
        <v>46</v>
      </c>
      <c r="C69" t="s">
        <v>313</v>
      </c>
      <c r="D69">
        <v>6</v>
      </c>
      <c r="E69">
        <v>44932531.039999999</v>
      </c>
      <c r="F69">
        <v>0.21010000000000001</v>
      </c>
    </row>
    <row r="70" spans="1:6" x14ac:dyDescent="0.25">
      <c r="A70" t="s">
        <v>31</v>
      </c>
      <c r="B70" t="s">
        <v>398</v>
      </c>
      <c r="C70" t="s">
        <v>313</v>
      </c>
      <c r="D70">
        <v>1</v>
      </c>
      <c r="E70">
        <v>15096655.43</v>
      </c>
      <c r="F70">
        <v>7.0599999999999996E-2</v>
      </c>
    </row>
    <row r="71" spans="1:6" x14ac:dyDescent="0.25">
      <c r="A71" t="s">
        <v>28</v>
      </c>
      <c r="B71" t="s">
        <v>755</v>
      </c>
      <c r="C71" t="s">
        <v>313</v>
      </c>
      <c r="D71">
        <v>1</v>
      </c>
      <c r="E71">
        <v>7829424.2300000004</v>
      </c>
      <c r="F71">
        <v>3.6600000000000001E-2</v>
      </c>
    </row>
    <row r="72" spans="1:6" x14ac:dyDescent="0.25">
      <c r="A72" t="s">
        <v>44</v>
      </c>
      <c r="B72" t="s">
        <v>92</v>
      </c>
      <c r="C72" t="s">
        <v>313</v>
      </c>
      <c r="D72">
        <v>24</v>
      </c>
      <c r="E72">
        <v>544027930.01999998</v>
      </c>
      <c r="F72">
        <v>2.5445000000000002</v>
      </c>
    </row>
    <row r="73" spans="1:6" x14ac:dyDescent="0.25">
      <c r="A73" t="s">
        <v>44</v>
      </c>
      <c r="B73" t="s">
        <v>75</v>
      </c>
      <c r="C73" t="s">
        <v>313</v>
      </c>
      <c r="D73">
        <v>85</v>
      </c>
      <c r="E73">
        <v>1395217526.0799999</v>
      </c>
      <c r="F73">
        <v>6.5256999999999996</v>
      </c>
    </row>
    <row r="74" spans="1:6" x14ac:dyDescent="0.25">
      <c r="A74" t="s">
        <v>29</v>
      </c>
      <c r="B74" t="s">
        <v>96</v>
      </c>
      <c r="C74" t="s">
        <v>313</v>
      </c>
      <c r="D74">
        <v>3</v>
      </c>
      <c r="E74">
        <v>45598477.520000003</v>
      </c>
      <c r="F74">
        <v>0.2132</v>
      </c>
    </row>
    <row r="75" spans="1:6" x14ac:dyDescent="0.25">
      <c r="A75" t="s">
        <v>29</v>
      </c>
      <c r="B75" t="s">
        <v>30</v>
      </c>
      <c r="C75" t="s">
        <v>313</v>
      </c>
      <c r="D75">
        <v>7</v>
      </c>
      <c r="E75">
        <v>76811948.579999998</v>
      </c>
      <c r="F75">
        <v>0.35920000000000002</v>
      </c>
    </row>
    <row r="76" spans="1:6" x14ac:dyDescent="0.25">
      <c r="A76" t="s">
        <v>25</v>
      </c>
      <c r="B76" t="s">
        <v>103</v>
      </c>
      <c r="C76" t="s">
        <v>313</v>
      </c>
      <c r="D76">
        <v>10</v>
      </c>
      <c r="E76">
        <v>206301655.06999999</v>
      </c>
      <c r="F76">
        <v>0.96489999999999998</v>
      </c>
    </row>
    <row r="77" spans="1:6" x14ac:dyDescent="0.25">
      <c r="A77" t="s">
        <v>25</v>
      </c>
      <c r="B77" t="s">
        <v>32</v>
      </c>
      <c r="C77" t="s">
        <v>313</v>
      </c>
      <c r="D77">
        <v>4</v>
      </c>
      <c r="E77">
        <v>63774789.770000003</v>
      </c>
      <c r="F77">
        <v>0.29820000000000002</v>
      </c>
    </row>
    <row r="78" spans="1:6" x14ac:dyDescent="0.25">
      <c r="A78" t="s">
        <v>25</v>
      </c>
      <c r="B78" t="s">
        <v>290</v>
      </c>
      <c r="C78" t="s">
        <v>313</v>
      </c>
      <c r="D78">
        <v>8</v>
      </c>
      <c r="E78">
        <v>71459622.879999995</v>
      </c>
      <c r="F78">
        <v>0.3342</v>
      </c>
    </row>
    <row r="79" spans="1:6" x14ac:dyDescent="0.25">
      <c r="A79" t="s">
        <v>25</v>
      </c>
      <c r="B79" t="s">
        <v>295</v>
      </c>
      <c r="C79" t="s">
        <v>313</v>
      </c>
      <c r="D79">
        <v>2</v>
      </c>
      <c r="E79">
        <v>30593045.02</v>
      </c>
      <c r="F79">
        <v>0.14299999999999999</v>
      </c>
    </row>
    <row r="80" spans="1:6" x14ac:dyDescent="0.25">
      <c r="A80" t="s">
        <v>25</v>
      </c>
      <c r="B80" t="s">
        <v>88</v>
      </c>
      <c r="C80" t="s">
        <v>313</v>
      </c>
      <c r="D80">
        <v>29</v>
      </c>
      <c r="E80">
        <v>367467422.85000002</v>
      </c>
      <c r="F80">
        <v>1.7186999999999999</v>
      </c>
    </row>
    <row r="81" spans="1:6" x14ac:dyDescent="0.25">
      <c r="A81" t="s">
        <v>25</v>
      </c>
      <c r="B81" t="s">
        <v>286</v>
      </c>
      <c r="C81" t="s">
        <v>313</v>
      </c>
      <c r="D81">
        <v>2</v>
      </c>
      <c r="E81">
        <v>11593197.689999999</v>
      </c>
      <c r="F81">
        <v>5.4199999999999998E-2</v>
      </c>
    </row>
    <row r="82" spans="1:6" x14ac:dyDescent="0.25">
      <c r="A82" t="s">
        <v>25</v>
      </c>
      <c r="B82" t="s">
        <v>289</v>
      </c>
      <c r="C82" t="s">
        <v>313</v>
      </c>
      <c r="D82">
        <v>7</v>
      </c>
      <c r="E82">
        <v>107035451.11</v>
      </c>
      <c r="F82">
        <v>0.50060000000000004</v>
      </c>
    </row>
    <row r="83" spans="1:6" x14ac:dyDescent="0.25">
      <c r="A83" t="s">
        <v>25</v>
      </c>
      <c r="B83" t="s">
        <v>106</v>
      </c>
      <c r="C83" t="s">
        <v>313</v>
      </c>
      <c r="D83">
        <v>5</v>
      </c>
      <c r="E83">
        <v>101494316.33</v>
      </c>
      <c r="F83">
        <v>0.47470000000000001</v>
      </c>
    </row>
    <row r="84" spans="1:6" x14ac:dyDescent="0.25">
      <c r="A84" t="s">
        <v>25</v>
      </c>
      <c r="B84" t="s">
        <v>101</v>
      </c>
      <c r="C84" t="s">
        <v>313</v>
      </c>
      <c r="D84">
        <v>6</v>
      </c>
      <c r="E84">
        <v>89262517.420000002</v>
      </c>
      <c r="F84">
        <v>0.41739999999999999</v>
      </c>
    </row>
    <row r="85" spans="1:6" x14ac:dyDescent="0.25">
      <c r="A85" t="s">
        <v>25</v>
      </c>
      <c r="B85" t="s">
        <v>94</v>
      </c>
      <c r="C85" t="s">
        <v>313</v>
      </c>
      <c r="D85">
        <v>4</v>
      </c>
      <c r="E85">
        <v>22950024.960000001</v>
      </c>
      <c r="F85">
        <v>0.10730000000000001</v>
      </c>
    </row>
    <row r="86" spans="1:6" x14ac:dyDescent="0.25">
      <c r="A86" t="s">
        <v>37</v>
      </c>
      <c r="B86" t="s">
        <v>38</v>
      </c>
      <c r="C86" t="s">
        <v>313</v>
      </c>
      <c r="D86">
        <v>10</v>
      </c>
      <c r="E86">
        <v>245492599.27000001</v>
      </c>
      <c r="F86">
        <v>1.1482000000000001</v>
      </c>
    </row>
    <row r="87" spans="1:6" x14ac:dyDescent="0.25">
      <c r="A87" t="s">
        <v>37</v>
      </c>
      <c r="B87" t="s">
        <v>288</v>
      </c>
      <c r="C87" t="s">
        <v>313</v>
      </c>
      <c r="D87">
        <v>8</v>
      </c>
      <c r="E87">
        <v>162866861.94</v>
      </c>
      <c r="F87">
        <v>0.76170000000000004</v>
      </c>
    </row>
    <row r="88" spans="1:6" x14ac:dyDescent="0.25">
      <c r="A88" t="s">
        <v>37</v>
      </c>
      <c r="B88" t="s">
        <v>686</v>
      </c>
      <c r="C88" t="s">
        <v>313</v>
      </c>
      <c r="D88">
        <v>2</v>
      </c>
      <c r="E88">
        <v>40775978.420000002</v>
      </c>
      <c r="F88">
        <v>0.19070000000000001</v>
      </c>
    </row>
    <row r="89" spans="1:6" x14ac:dyDescent="0.25">
      <c r="A89" t="s">
        <v>27</v>
      </c>
      <c r="B89" t="s">
        <v>81</v>
      </c>
      <c r="C89" t="s">
        <v>313</v>
      </c>
      <c r="D89">
        <v>14</v>
      </c>
      <c r="E89">
        <v>219774893.46000001</v>
      </c>
      <c r="F89">
        <v>1.0279</v>
      </c>
    </row>
    <row r="90" spans="1:6" x14ac:dyDescent="0.25">
      <c r="A90" t="s">
        <v>27</v>
      </c>
      <c r="B90" t="s">
        <v>116</v>
      </c>
      <c r="C90" t="s">
        <v>313</v>
      </c>
      <c r="D90">
        <v>11</v>
      </c>
      <c r="E90">
        <v>180987899.33000001</v>
      </c>
      <c r="F90">
        <v>0.84650000000000003</v>
      </c>
    </row>
    <row r="91" spans="1:6" x14ac:dyDescent="0.25">
      <c r="A91" t="s">
        <v>42</v>
      </c>
      <c r="B91" t="s">
        <v>1244</v>
      </c>
      <c r="C91" t="s">
        <v>313</v>
      </c>
      <c r="D91">
        <v>1</v>
      </c>
      <c r="E91">
        <v>35831786.229999997</v>
      </c>
      <c r="F91">
        <v>0.16750000000000001</v>
      </c>
    </row>
    <row r="92" spans="1:6" x14ac:dyDescent="0.25">
      <c r="A92" t="s">
        <v>37</v>
      </c>
      <c r="B92" t="s">
        <v>2192</v>
      </c>
      <c r="C92" t="s">
        <v>313</v>
      </c>
      <c r="D92">
        <v>1</v>
      </c>
      <c r="E92">
        <v>11638373.449999999</v>
      </c>
      <c r="F92">
        <v>5.4399999999999997E-2</v>
      </c>
    </row>
    <row r="93" spans="1:6" x14ac:dyDescent="0.25">
      <c r="A93" t="s">
        <v>31</v>
      </c>
      <c r="B93" t="s">
        <v>2586</v>
      </c>
      <c r="C93" t="s">
        <v>313</v>
      </c>
      <c r="D93">
        <v>1</v>
      </c>
      <c r="E93">
        <v>20890137.620000001</v>
      </c>
      <c r="F93">
        <v>9.7699999999999995E-2</v>
      </c>
    </row>
    <row r="94" spans="1:6" x14ac:dyDescent="0.25">
      <c r="A94" t="s">
        <v>31</v>
      </c>
      <c r="B94" t="s">
        <v>298</v>
      </c>
      <c r="C94" t="s">
        <v>313</v>
      </c>
      <c r="D94">
        <v>1</v>
      </c>
      <c r="E94">
        <v>3959509.52</v>
      </c>
      <c r="F94">
        <v>1.8499999999999999E-2</v>
      </c>
    </row>
    <row r="95" spans="1:6" x14ac:dyDescent="0.25">
      <c r="A95" t="s">
        <v>36</v>
      </c>
      <c r="B95" t="s">
        <v>97</v>
      </c>
      <c r="C95" t="s">
        <v>314</v>
      </c>
      <c r="D95">
        <v>6</v>
      </c>
      <c r="E95">
        <v>45725124.520000003</v>
      </c>
      <c r="F95">
        <v>0.21379999999999999</v>
      </c>
    </row>
    <row r="96" spans="1:6" x14ac:dyDescent="0.25">
      <c r="A96" t="s">
        <v>35</v>
      </c>
      <c r="B96" t="s">
        <v>121</v>
      </c>
      <c r="C96" t="s">
        <v>314</v>
      </c>
      <c r="D96">
        <v>4</v>
      </c>
      <c r="E96">
        <v>120684811.31</v>
      </c>
      <c r="F96">
        <v>0.56440000000000001</v>
      </c>
    </row>
    <row r="97" spans="1:6" x14ac:dyDescent="0.25">
      <c r="A97" t="s">
        <v>36</v>
      </c>
      <c r="B97" t="s">
        <v>26</v>
      </c>
      <c r="C97" t="s">
        <v>314</v>
      </c>
      <c r="D97">
        <v>1</v>
      </c>
      <c r="E97">
        <v>1145660.1399999999</v>
      </c>
      <c r="F97">
        <v>5.3E-3</v>
      </c>
    </row>
    <row r="98" spans="1:6" x14ac:dyDescent="0.25">
      <c r="A98" t="s">
        <v>28</v>
      </c>
      <c r="B98" t="s">
        <v>26</v>
      </c>
      <c r="C98" t="s">
        <v>314</v>
      </c>
      <c r="D98">
        <v>1</v>
      </c>
      <c r="E98">
        <v>23341609</v>
      </c>
      <c r="F98">
        <v>0.1091</v>
      </c>
    </row>
    <row r="99" spans="1:6" x14ac:dyDescent="0.25">
      <c r="A99" t="s">
        <v>25</v>
      </c>
      <c r="B99" t="s">
        <v>26</v>
      </c>
      <c r="C99" t="s">
        <v>314</v>
      </c>
      <c r="D99">
        <v>8</v>
      </c>
      <c r="E99">
        <v>191661434.62</v>
      </c>
      <c r="F99">
        <v>0.89639999999999997</v>
      </c>
    </row>
    <row r="100" spans="1:6" x14ac:dyDescent="0.25">
      <c r="A100" t="s">
        <v>27</v>
      </c>
      <c r="B100" t="s">
        <v>26</v>
      </c>
      <c r="C100" t="s">
        <v>314</v>
      </c>
      <c r="D100">
        <v>5</v>
      </c>
      <c r="E100">
        <v>106967564.97</v>
      </c>
      <c r="F100">
        <v>0.50029999999999997</v>
      </c>
    </row>
    <row r="101" spans="1:6" x14ac:dyDescent="0.25">
      <c r="A101" t="s">
        <v>45</v>
      </c>
      <c r="B101" t="s">
        <v>45</v>
      </c>
      <c r="C101" t="s">
        <v>314</v>
      </c>
      <c r="D101">
        <v>5</v>
      </c>
      <c r="E101">
        <v>168530395.86000001</v>
      </c>
      <c r="F101">
        <v>0.78820000000000001</v>
      </c>
    </row>
    <row r="102" spans="1:6" x14ac:dyDescent="0.25">
      <c r="A102" t="s">
        <v>43</v>
      </c>
      <c r="B102" t="s">
        <v>338</v>
      </c>
      <c r="C102" t="s">
        <v>314</v>
      </c>
      <c r="D102">
        <v>1</v>
      </c>
      <c r="E102">
        <v>3747353.66</v>
      </c>
      <c r="F102">
        <v>1.7500000000000002E-2</v>
      </c>
    </row>
    <row r="103" spans="1:6" x14ac:dyDescent="0.25">
      <c r="A103" t="s">
        <v>31</v>
      </c>
      <c r="B103" t="s">
        <v>293</v>
      </c>
      <c r="C103" t="s">
        <v>314</v>
      </c>
      <c r="D103">
        <v>2</v>
      </c>
      <c r="E103">
        <v>42366428.43</v>
      </c>
      <c r="F103">
        <v>0.1981</v>
      </c>
    </row>
    <row r="104" spans="1:6" x14ac:dyDescent="0.25">
      <c r="A104" t="s">
        <v>31</v>
      </c>
      <c r="B104" t="s">
        <v>291</v>
      </c>
      <c r="C104" t="s">
        <v>314</v>
      </c>
      <c r="D104">
        <v>1</v>
      </c>
      <c r="E104">
        <v>5163838.92</v>
      </c>
      <c r="F104">
        <v>2.41E-2</v>
      </c>
    </row>
    <row r="105" spans="1:6" x14ac:dyDescent="0.25">
      <c r="A105" t="s">
        <v>44</v>
      </c>
      <c r="B105" t="s">
        <v>92</v>
      </c>
      <c r="C105" t="s">
        <v>314</v>
      </c>
      <c r="D105">
        <v>6</v>
      </c>
      <c r="E105">
        <v>93018749.980000004</v>
      </c>
      <c r="F105">
        <v>0.435</v>
      </c>
    </row>
    <row r="106" spans="1:6" x14ac:dyDescent="0.25">
      <c r="A106" t="s">
        <v>44</v>
      </c>
      <c r="B106" t="s">
        <v>75</v>
      </c>
      <c r="C106" t="s">
        <v>314</v>
      </c>
      <c r="D106">
        <v>29</v>
      </c>
      <c r="E106">
        <v>386313232.35000002</v>
      </c>
      <c r="F106">
        <v>1.8068</v>
      </c>
    </row>
    <row r="107" spans="1:6" x14ac:dyDescent="0.25">
      <c r="A107" t="s">
        <v>29</v>
      </c>
      <c r="B107" t="s">
        <v>30</v>
      </c>
      <c r="C107" t="s">
        <v>314</v>
      </c>
      <c r="D107">
        <v>3</v>
      </c>
      <c r="E107">
        <v>38342712.439999998</v>
      </c>
      <c r="F107">
        <v>0.17929999999999999</v>
      </c>
    </row>
    <row r="108" spans="1:6" x14ac:dyDescent="0.25">
      <c r="A108" t="s">
        <v>25</v>
      </c>
      <c r="B108" t="s">
        <v>103</v>
      </c>
      <c r="C108" t="s">
        <v>314</v>
      </c>
      <c r="D108">
        <v>1</v>
      </c>
      <c r="E108">
        <v>19806268.440000001</v>
      </c>
      <c r="F108">
        <v>9.2600000000000002E-2</v>
      </c>
    </row>
    <row r="109" spans="1:6" x14ac:dyDescent="0.25">
      <c r="A109" t="s">
        <v>25</v>
      </c>
      <c r="B109" t="s">
        <v>32</v>
      </c>
      <c r="C109" t="s">
        <v>314</v>
      </c>
      <c r="D109">
        <v>2</v>
      </c>
      <c r="E109">
        <v>4941607.45</v>
      </c>
      <c r="F109">
        <v>2.3099999999999999E-2</v>
      </c>
    </row>
    <row r="110" spans="1:6" x14ac:dyDescent="0.25">
      <c r="A110" t="s">
        <v>25</v>
      </c>
      <c r="B110" t="s">
        <v>290</v>
      </c>
      <c r="C110" t="s">
        <v>314</v>
      </c>
      <c r="D110">
        <v>2</v>
      </c>
      <c r="E110">
        <v>15055925.5</v>
      </c>
      <c r="F110">
        <v>7.0400000000000004E-2</v>
      </c>
    </row>
    <row r="111" spans="1:6" x14ac:dyDescent="0.25">
      <c r="A111" t="s">
        <v>25</v>
      </c>
      <c r="B111" t="s">
        <v>295</v>
      </c>
      <c r="C111" t="s">
        <v>314</v>
      </c>
      <c r="D111">
        <v>5</v>
      </c>
      <c r="E111">
        <v>30941244.25</v>
      </c>
      <c r="F111">
        <v>0.1447</v>
      </c>
    </row>
    <row r="112" spans="1:6" x14ac:dyDescent="0.25">
      <c r="A112" t="s">
        <v>25</v>
      </c>
      <c r="B112" t="s">
        <v>88</v>
      </c>
      <c r="C112" t="s">
        <v>314</v>
      </c>
      <c r="D112">
        <v>12</v>
      </c>
      <c r="E112">
        <v>205031432.38999999</v>
      </c>
      <c r="F112">
        <v>0.95889999999999997</v>
      </c>
    </row>
    <row r="113" spans="1:6" x14ac:dyDescent="0.25">
      <c r="A113" t="s">
        <v>25</v>
      </c>
      <c r="B113" t="s">
        <v>286</v>
      </c>
      <c r="C113" t="s">
        <v>314</v>
      </c>
      <c r="D113">
        <v>2</v>
      </c>
      <c r="E113">
        <v>17120914.039999999</v>
      </c>
      <c r="F113">
        <v>0.08</v>
      </c>
    </row>
    <row r="114" spans="1:6" x14ac:dyDescent="0.25">
      <c r="A114" t="s">
        <v>25</v>
      </c>
      <c r="B114" t="s">
        <v>289</v>
      </c>
      <c r="C114" t="s">
        <v>314</v>
      </c>
      <c r="D114">
        <v>1</v>
      </c>
      <c r="E114">
        <v>5956746.7000000002</v>
      </c>
      <c r="F114">
        <v>2.7799999999999998E-2</v>
      </c>
    </row>
    <row r="115" spans="1:6" x14ac:dyDescent="0.25">
      <c r="A115" t="s">
        <v>25</v>
      </c>
      <c r="B115" t="s">
        <v>106</v>
      </c>
      <c r="C115" t="s">
        <v>314</v>
      </c>
      <c r="D115">
        <v>3</v>
      </c>
      <c r="E115">
        <v>89102886.25</v>
      </c>
      <c r="F115">
        <v>0.41670000000000001</v>
      </c>
    </row>
    <row r="116" spans="1:6" x14ac:dyDescent="0.25">
      <c r="A116" t="s">
        <v>25</v>
      </c>
      <c r="B116" t="s">
        <v>101</v>
      </c>
      <c r="C116" t="s">
        <v>314</v>
      </c>
      <c r="D116">
        <v>2</v>
      </c>
      <c r="E116">
        <v>4991449.41</v>
      </c>
      <c r="F116">
        <v>2.3300000000000001E-2</v>
      </c>
    </row>
    <row r="117" spans="1:6" x14ac:dyDescent="0.25">
      <c r="A117" t="s">
        <v>25</v>
      </c>
      <c r="B117" t="s">
        <v>94</v>
      </c>
      <c r="C117" t="s">
        <v>314</v>
      </c>
      <c r="D117">
        <v>2</v>
      </c>
      <c r="E117">
        <v>7427798.8099999996</v>
      </c>
      <c r="F117">
        <v>3.4700000000000002E-2</v>
      </c>
    </row>
    <row r="118" spans="1:6" x14ac:dyDescent="0.25">
      <c r="A118" t="s">
        <v>37</v>
      </c>
      <c r="B118" t="s">
        <v>38</v>
      </c>
      <c r="C118" t="s">
        <v>314</v>
      </c>
      <c r="D118">
        <v>3</v>
      </c>
      <c r="E118">
        <v>105460080.2</v>
      </c>
      <c r="F118">
        <v>0.49320000000000003</v>
      </c>
    </row>
    <row r="119" spans="1:6" x14ac:dyDescent="0.25">
      <c r="A119" t="s">
        <v>37</v>
      </c>
      <c r="B119" t="s">
        <v>288</v>
      </c>
      <c r="C119" t="s">
        <v>314</v>
      </c>
      <c r="D119">
        <v>2</v>
      </c>
      <c r="E119">
        <v>77183635.609999999</v>
      </c>
      <c r="F119">
        <v>0.36099999999999999</v>
      </c>
    </row>
    <row r="120" spans="1:6" x14ac:dyDescent="0.25">
      <c r="A120" t="s">
        <v>27</v>
      </c>
      <c r="B120" t="s">
        <v>81</v>
      </c>
      <c r="C120" t="s">
        <v>314</v>
      </c>
      <c r="D120">
        <v>2</v>
      </c>
      <c r="E120">
        <v>55603631.119999997</v>
      </c>
      <c r="F120">
        <v>0.26</v>
      </c>
    </row>
    <row r="121" spans="1:6" x14ac:dyDescent="0.25">
      <c r="A121" t="s">
        <v>27</v>
      </c>
      <c r="B121" t="s">
        <v>116</v>
      </c>
      <c r="C121" t="s">
        <v>314</v>
      </c>
      <c r="D121">
        <v>4</v>
      </c>
      <c r="E121">
        <v>69669811.370000005</v>
      </c>
      <c r="F121">
        <v>0.32579999999999998</v>
      </c>
    </row>
    <row r="122" spans="1:6" x14ac:dyDescent="0.25">
      <c r="A122" t="s">
        <v>35</v>
      </c>
      <c r="B122" t="s">
        <v>121</v>
      </c>
      <c r="C122" t="s">
        <v>343</v>
      </c>
      <c r="D122">
        <v>1</v>
      </c>
      <c r="E122">
        <v>4631916.62</v>
      </c>
      <c r="F122">
        <v>2.1600000000000001E-2</v>
      </c>
    </row>
    <row r="123" spans="1:6" x14ac:dyDescent="0.25">
      <c r="A123" t="s">
        <v>31</v>
      </c>
      <c r="B123" t="s">
        <v>26</v>
      </c>
      <c r="C123" t="s">
        <v>343</v>
      </c>
      <c r="D123">
        <v>1</v>
      </c>
      <c r="E123">
        <v>45019472.990000002</v>
      </c>
      <c r="F123">
        <v>0.21049999999999999</v>
      </c>
    </row>
    <row r="124" spans="1:6" x14ac:dyDescent="0.25">
      <c r="A124" t="s">
        <v>28</v>
      </c>
      <c r="B124" t="s">
        <v>26</v>
      </c>
      <c r="C124" t="s">
        <v>343</v>
      </c>
      <c r="D124">
        <v>1</v>
      </c>
      <c r="E124">
        <v>3384437.01</v>
      </c>
      <c r="F124">
        <v>1.5800000000000002E-2</v>
      </c>
    </row>
    <row r="125" spans="1:6" x14ac:dyDescent="0.25">
      <c r="A125" t="s">
        <v>44</v>
      </c>
      <c r="B125" t="s">
        <v>26</v>
      </c>
      <c r="C125" t="s">
        <v>343</v>
      </c>
      <c r="D125">
        <v>2</v>
      </c>
      <c r="E125">
        <v>23625458.199999999</v>
      </c>
      <c r="F125">
        <v>0.1105</v>
      </c>
    </row>
    <row r="126" spans="1:6" x14ac:dyDescent="0.25">
      <c r="A126" t="s">
        <v>25</v>
      </c>
      <c r="B126" t="s">
        <v>26</v>
      </c>
      <c r="C126" t="s">
        <v>343</v>
      </c>
      <c r="D126">
        <v>1</v>
      </c>
      <c r="E126">
        <v>14213939.140000001</v>
      </c>
      <c r="F126">
        <v>6.6400000000000001E-2</v>
      </c>
    </row>
    <row r="127" spans="1:6" x14ac:dyDescent="0.25">
      <c r="A127" t="s">
        <v>27</v>
      </c>
      <c r="B127" t="s">
        <v>26</v>
      </c>
      <c r="C127" t="s">
        <v>343</v>
      </c>
      <c r="D127">
        <v>1</v>
      </c>
      <c r="E127">
        <v>2004197.98</v>
      </c>
      <c r="F127">
        <v>9.2999999999999992E-3</v>
      </c>
    </row>
    <row r="128" spans="1:6" x14ac:dyDescent="0.25">
      <c r="A128" t="s">
        <v>45</v>
      </c>
      <c r="B128" t="s">
        <v>45</v>
      </c>
      <c r="C128" t="s">
        <v>343</v>
      </c>
      <c r="D128">
        <v>1</v>
      </c>
      <c r="E128">
        <v>3411789.49</v>
      </c>
      <c r="F128">
        <v>1.5900000000000001E-2</v>
      </c>
    </row>
    <row r="129" spans="1:6" x14ac:dyDescent="0.25">
      <c r="A129" t="s">
        <v>43</v>
      </c>
      <c r="B129" t="s">
        <v>338</v>
      </c>
      <c r="C129" t="s">
        <v>343</v>
      </c>
      <c r="D129">
        <v>2</v>
      </c>
      <c r="E129">
        <v>15824510.710000001</v>
      </c>
      <c r="F129">
        <v>7.3999999999999996E-2</v>
      </c>
    </row>
    <row r="130" spans="1:6" x14ac:dyDescent="0.25">
      <c r="A130" t="s">
        <v>31</v>
      </c>
      <c r="B130" t="s">
        <v>293</v>
      </c>
      <c r="C130" t="s">
        <v>343</v>
      </c>
      <c r="D130">
        <v>1</v>
      </c>
      <c r="E130">
        <v>1306288.7</v>
      </c>
      <c r="F130">
        <v>6.1000000000000004E-3</v>
      </c>
    </row>
    <row r="131" spans="1:6" x14ac:dyDescent="0.25">
      <c r="A131" t="s">
        <v>44</v>
      </c>
      <c r="B131" t="s">
        <v>92</v>
      </c>
      <c r="C131" t="s">
        <v>343</v>
      </c>
      <c r="D131">
        <v>4</v>
      </c>
      <c r="E131">
        <v>56648616.060000002</v>
      </c>
      <c r="F131">
        <v>0.26490000000000002</v>
      </c>
    </row>
    <row r="132" spans="1:6" x14ac:dyDescent="0.25">
      <c r="A132" t="s">
        <v>44</v>
      </c>
      <c r="B132" t="s">
        <v>75</v>
      </c>
      <c r="C132" t="s">
        <v>343</v>
      </c>
      <c r="D132">
        <v>6</v>
      </c>
      <c r="E132">
        <v>43641290.090000004</v>
      </c>
      <c r="F132">
        <v>0.2041</v>
      </c>
    </row>
    <row r="133" spans="1:6" x14ac:dyDescent="0.25">
      <c r="A133" t="s">
        <v>29</v>
      </c>
      <c r="B133" t="s">
        <v>30</v>
      </c>
      <c r="C133" t="s">
        <v>343</v>
      </c>
      <c r="D133">
        <v>1</v>
      </c>
      <c r="E133">
        <v>797140.54</v>
      </c>
      <c r="F133">
        <v>3.7000000000000002E-3</v>
      </c>
    </row>
    <row r="134" spans="1:6" x14ac:dyDescent="0.25">
      <c r="A134" t="s">
        <v>25</v>
      </c>
      <c r="B134" t="s">
        <v>103</v>
      </c>
      <c r="C134" t="s">
        <v>343</v>
      </c>
      <c r="D134">
        <v>2</v>
      </c>
      <c r="E134">
        <v>6957795.6600000001</v>
      </c>
      <c r="F134">
        <v>3.2500000000000001E-2</v>
      </c>
    </row>
    <row r="135" spans="1:6" x14ac:dyDescent="0.25">
      <c r="A135" t="s">
        <v>25</v>
      </c>
      <c r="B135" t="s">
        <v>290</v>
      </c>
      <c r="C135" t="s">
        <v>343</v>
      </c>
      <c r="D135">
        <v>1</v>
      </c>
      <c r="E135">
        <v>3616728.44</v>
      </c>
      <c r="F135">
        <v>1.6899999999999998E-2</v>
      </c>
    </row>
    <row r="136" spans="1:6" x14ac:dyDescent="0.25">
      <c r="A136" t="s">
        <v>25</v>
      </c>
      <c r="B136" t="s">
        <v>295</v>
      </c>
      <c r="C136" t="s">
        <v>343</v>
      </c>
      <c r="D136">
        <v>1</v>
      </c>
      <c r="E136">
        <v>3338233.43</v>
      </c>
      <c r="F136">
        <v>1.5599999999999999E-2</v>
      </c>
    </row>
    <row r="137" spans="1:6" x14ac:dyDescent="0.25">
      <c r="A137" t="s">
        <v>25</v>
      </c>
      <c r="B137" t="s">
        <v>88</v>
      </c>
      <c r="C137" t="s">
        <v>343</v>
      </c>
      <c r="D137">
        <v>2</v>
      </c>
      <c r="E137">
        <v>56478866.369999997</v>
      </c>
      <c r="F137">
        <v>0.2641</v>
      </c>
    </row>
    <row r="138" spans="1:6" x14ac:dyDescent="0.25">
      <c r="A138" t="s">
        <v>25</v>
      </c>
      <c r="B138" t="s">
        <v>286</v>
      </c>
      <c r="C138" t="s">
        <v>343</v>
      </c>
      <c r="D138">
        <v>2</v>
      </c>
      <c r="E138">
        <v>3238507.9</v>
      </c>
      <c r="F138">
        <v>1.5100000000000001E-2</v>
      </c>
    </row>
    <row r="139" spans="1:6" x14ac:dyDescent="0.25">
      <c r="A139" t="s">
        <v>25</v>
      </c>
      <c r="B139" t="s">
        <v>289</v>
      </c>
      <c r="C139" t="s">
        <v>343</v>
      </c>
      <c r="D139">
        <v>1</v>
      </c>
      <c r="E139">
        <v>15118499.24</v>
      </c>
      <c r="F139">
        <v>7.0699999999999999E-2</v>
      </c>
    </row>
    <row r="140" spans="1:6" x14ac:dyDescent="0.25">
      <c r="A140" t="s">
        <v>25</v>
      </c>
      <c r="B140" t="s">
        <v>106</v>
      </c>
      <c r="C140" t="s">
        <v>343</v>
      </c>
      <c r="D140">
        <v>1</v>
      </c>
      <c r="E140">
        <v>4676669.0599999996</v>
      </c>
      <c r="F140">
        <v>2.18E-2</v>
      </c>
    </row>
    <row r="141" spans="1:6" x14ac:dyDescent="0.25">
      <c r="A141" t="s">
        <v>37</v>
      </c>
      <c r="B141" t="s">
        <v>38</v>
      </c>
      <c r="C141" t="s">
        <v>343</v>
      </c>
      <c r="D141">
        <v>1</v>
      </c>
      <c r="E141">
        <v>6657658.71</v>
      </c>
      <c r="F141">
        <v>3.1099999999999999E-2</v>
      </c>
    </row>
    <row r="142" spans="1:6" x14ac:dyDescent="0.25">
      <c r="A142" t="s">
        <v>37</v>
      </c>
      <c r="B142" t="s">
        <v>288</v>
      </c>
      <c r="C142" t="s">
        <v>343</v>
      </c>
      <c r="D142">
        <v>2</v>
      </c>
      <c r="E142">
        <v>20522635.48</v>
      </c>
      <c r="F142">
        <v>9.5899999999999999E-2</v>
      </c>
    </row>
    <row r="143" spans="1:6" x14ac:dyDescent="0.25">
      <c r="A143" t="s">
        <v>27</v>
      </c>
      <c r="B143" t="s">
        <v>81</v>
      </c>
      <c r="C143" t="s">
        <v>343</v>
      </c>
      <c r="D143">
        <v>1</v>
      </c>
      <c r="E143">
        <v>32908449.719999999</v>
      </c>
      <c r="F143">
        <v>0.15390000000000001</v>
      </c>
    </row>
    <row r="144" spans="1:6" x14ac:dyDescent="0.25">
      <c r="A144" t="s">
        <v>27</v>
      </c>
      <c r="B144" t="s">
        <v>26</v>
      </c>
      <c r="C144" t="s">
        <v>4040</v>
      </c>
      <c r="D144">
        <v>1</v>
      </c>
      <c r="E144">
        <v>512270.12</v>
      </c>
      <c r="F144">
        <v>2.3E-3</v>
      </c>
    </row>
    <row r="145" spans="1:6" x14ac:dyDescent="0.25">
      <c r="A145" t="s">
        <v>45</v>
      </c>
      <c r="B145" t="s">
        <v>45</v>
      </c>
      <c r="C145" t="s">
        <v>4040</v>
      </c>
      <c r="D145">
        <v>1</v>
      </c>
      <c r="E145">
        <v>2075966.23</v>
      </c>
      <c r="F145">
        <v>9.7000000000000003E-3</v>
      </c>
    </row>
    <row r="146" spans="1:6" x14ac:dyDescent="0.25">
      <c r="A146" t="s">
        <v>44</v>
      </c>
      <c r="B146" t="s">
        <v>75</v>
      </c>
      <c r="C146" t="s">
        <v>4040</v>
      </c>
      <c r="D146">
        <v>1</v>
      </c>
      <c r="E146">
        <v>24334165.850000001</v>
      </c>
      <c r="F146">
        <v>0.1138</v>
      </c>
    </row>
    <row r="147" spans="1:6" x14ac:dyDescent="0.25">
      <c r="A147" t="s">
        <v>25</v>
      </c>
      <c r="B147" t="s">
        <v>103</v>
      </c>
      <c r="C147" t="s">
        <v>4040</v>
      </c>
      <c r="D147">
        <v>1</v>
      </c>
      <c r="E147">
        <v>1301938.3799999999</v>
      </c>
      <c r="F147">
        <v>6.0000000000000001E-3</v>
      </c>
    </row>
    <row r="148" spans="1:6" x14ac:dyDescent="0.25">
      <c r="A148" t="s">
        <v>25</v>
      </c>
      <c r="B148" t="s">
        <v>88</v>
      </c>
      <c r="C148" t="s">
        <v>4040</v>
      </c>
      <c r="D148">
        <v>1</v>
      </c>
      <c r="E148">
        <v>10657431.689999999</v>
      </c>
      <c r="F148">
        <v>4.9799999999999997E-2</v>
      </c>
    </row>
    <row r="149" spans="1:6" x14ac:dyDescent="0.25">
      <c r="A149" t="s">
        <v>25</v>
      </c>
      <c r="B149" t="s">
        <v>289</v>
      </c>
      <c r="C149" t="s">
        <v>4040</v>
      </c>
      <c r="D149">
        <v>2</v>
      </c>
      <c r="E149">
        <v>22388721.640000001</v>
      </c>
      <c r="F149">
        <v>0.1047</v>
      </c>
    </row>
    <row r="150" spans="1:6" x14ac:dyDescent="0.25">
      <c r="A150" t="s">
        <v>37</v>
      </c>
      <c r="B150" t="s">
        <v>288</v>
      </c>
      <c r="C150" t="s">
        <v>4040</v>
      </c>
      <c r="D150">
        <v>1</v>
      </c>
      <c r="E150">
        <v>3861057.24</v>
      </c>
      <c r="F150">
        <v>1.7999999999999999E-2</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pageSetUpPr fitToPage="1"/>
  </sheetPr>
  <dimension ref="A3:E338"/>
  <sheetViews>
    <sheetView topLeftCell="A220" workbookViewId="0">
      <selection activeCell="C233" sqref="C233"/>
    </sheetView>
  </sheetViews>
  <sheetFormatPr defaultColWidth="8.88671875" defaultRowHeight="10.199999999999999" x14ac:dyDescent="0.2"/>
  <cols>
    <col min="1" max="1" width="38.88671875" style="58" customWidth="1"/>
    <col min="2" max="2" width="9" style="58" customWidth="1"/>
    <col min="3" max="3" width="13.109375" style="59" customWidth="1"/>
    <col min="4" max="4" width="8.33203125" style="58" customWidth="1"/>
    <col min="5" max="5" width="12.6640625" style="60" customWidth="1"/>
    <col min="6" max="13" width="38.6640625" style="58" bestFit="1" customWidth="1"/>
    <col min="14" max="14" width="11.33203125" style="58" bestFit="1" customWidth="1"/>
    <col min="15" max="16384" width="8.88671875" style="58"/>
  </cols>
  <sheetData>
    <row r="3" spans="1:5" ht="13.2" x14ac:dyDescent="0.25">
      <c r="A3"/>
      <c r="B3"/>
    </row>
    <row r="4" spans="1:5" x14ac:dyDescent="0.2">
      <c r="E4" s="58"/>
    </row>
    <row r="5" spans="1:5" x14ac:dyDescent="0.2">
      <c r="A5" s="826" t="s">
        <v>320</v>
      </c>
      <c r="B5" s="827" t="s">
        <v>322</v>
      </c>
      <c r="C5" s="827" t="s">
        <v>323</v>
      </c>
      <c r="D5" s="828" t="s">
        <v>324</v>
      </c>
      <c r="E5" s="58"/>
    </row>
    <row r="6" spans="1:5" x14ac:dyDescent="0.2">
      <c r="A6" s="829" t="s">
        <v>36</v>
      </c>
      <c r="B6" s="830">
        <v>60</v>
      </c>
      <c r="C6" s="830">
        <v>631892688.28999996</v>
      </c>
      <c r="D6" s="828">
        <v>3.8140898708301826E-2</v>
      </c>
      <c r="E6" s="58"/>
    </row>
    <row r="7" spans="1:5" x14ac:dyDescent="0.2">
      <c r="A7" s="831" t="s">
        <v>97</v>
      </c>
      <c r="B7" s="830">
        <v>38</v>
      </c>
      <c r="C7" s="830">
        <v>370190900.42999995</v>
      </c>
      <c r="D7" s="828">
        <v>2.2346698349074524E-2</v>
      </c>
      <c r="E7" s="58"/>
    </row>
    <row r="8" spans="1:5" x14ac:dyDescent="0.2">
      <c r="A8" s="832" t="s">
        <v>312</v>
      </c>
      <c r="B8" s="830">
        <v>23</v>
      </c>
      <c r="C8" s="830">
        <v>272187967.13999999</v>
      </c>
      <c r="D8" s="828">
        <v>1.6431248774906891E-2</v>
      </c>
      <c r="E8" s="58"/>
    </row>
    <row r="9" spans="1:5" x14ac:dyDescent="0.2">
      <c r="A9" s="832" t="s">
        <v>313</v>
      </c>
      <c r="B9" s="830">
        <v>7</v>
      </c>
      <c r="C9" s="830">
        <v>66165077.079999998</v>
      </c>
      <c r="D9" s="828">
        <v>3.9943035670710961E-3</v>
      </c>
      <c r="E9" s="58"/>
    </row>
    <row r="10" spans="1:5" x14ac:dyDescent="0.2">
      <c r="A10" s="832" t="s">
        <v>314</v>
      </c>
      <c r="B10" s="830">
        <v>5</v>
      </c>
      <c r="C10" s="830">
        <v>22306467.710000001</v>
      </c>
      <c r="D10" s="828">
        <v>1.3461023037750867E-3</v>
      </c>
      <c r="E10" s="58"/>
    </row>
    <row r="11" spans="1:5" x14ac:dyDescent="0.2">
      <c r="A11" s="832" t="s">
        <v>343</v>
      </c>
      <c r="B11" s="830">
        <v>3</v>
      </c>
      <c r="C11" s="830">
        <v>9531388.5</v>
      </c>
      <c r="D11" s="828">
        <v>5.7504370332145231E-4</v>
      </c>
      <c r="E11" s="58"/>
    </row>
    <row r="12" spans="1:5" x14ac:dyDescent="0.2">
      <c r="A12" s="831" t="s">
        <v>118</v>
      </c>
      <c r="B12" s="830">
        <v>7</v>
      </c>
      <c r="C12" s="830">
        <v>30313928.91</v>
      </c>
      <c r="D12" s="828">
        <v>1.8291390145651067E-3</v>
      </c>
      <c r="E12" s="58"/>
    </row>
    <row r="13" spans="1:5" x14ac:dyDescent="0.2">
      <c r="A13" s="832" t="s">
        <v>312</v>
      </c>
      <c r="B13" s="830">
        <v>4</v>
      </c>
      <c r="C13" s="830">
        <v>23899482.940000001</v>
      </c>
      <c r="D13" s="828">
        <v>1.4421096003296248E-3</v>
      </c>
      <c r="E13" s="58"/>
    </row>
    <row r="14" spans="1:5" x14ac:dyDescent="0.2">
      <c r="A14" s="832" t="s">
        <v>313</v>
      </c>
      <c r="B14" s="830">
        <v>3</v>
      </c>
      <c r="C14" s="830">
        <v>6414445.9699999997</v>
      </c>
      <c r="D14" s="828">
        <v>3.870294142354818E-4</v>
      </c>
      <c r="E14" s="58"/>
    </row>
    <row r="15" spans="1:5" x14ac:dyDescent="0.2">
      <c r="A15" s="831" t="s">
        <v>26</v>
      </c>
      <c r="B15" s="830">
        <v>2</v>
      </c>
      <c r="C15" s="830">
        <v>37538796.07</v>
      </c>
      <c r="D15" s="828">
        <v>2.2651721530836341E-3</v>
      </c>
      <c r="E15" s="58"/>
    </row>
    <row r="16" spans="1:5" x14ac:dyDescent="0.2">
      <c r="A16" s="832" t="s">
        <v>312</v>
      </c>
      <c r="B16" s="830">
        <v>1</v>
      </c>
      <c r="C16" s="830">
        <v>9848596</v>
      </c>
      <c r="D16" s="828">
        <v>5.9404514743120469E-4</v>
      </c>
      <c r="E16" s="58"/>
    </row>
    <row r="17" spans="1:5" x14ac:dyDescent="0.2">
      <c r="A17" s="832" t="s">
        <v>313</v>
      </c>
      <c r="B17" s="830">
        <v>1</v>
      </c>
      <c r="C17" s="830">
        <v>27690200.07</v>
      </c>
      <c r="D17" s="828">
        <v>1.6711270056524294E-3</v>
      </c>
      <c r="E17" s="58"/>
    </row>
    <row r="18" spans="1:5" x14ac:dyDescent="0.2">
      <c r="A18" s="831" t="s">
        <v>1023</v>
      </c>
      <c r="B18" s="830">
        <v>12</v>
      </c>
      <c r="C18" s="830">
        <v>149981710.07000002</v>
      </c>
      <c r="D18" s="828">
        <v>9.0516879282825473E-3</v>
      </c>
      <c r="E18" s="58"/>
    </row>
    <row r="19" spans="1:5" x14ac:dyDescent="0.2">
      <c r="A19" s="832" t="s">
        <v>312</v>
      </c>
      <c r="B19" s="830">
        <v>8</v>
      </c>
      <c r="C19" s="830">
        <v>85553210.870000005</v>
      </c>
      <c r="D19" s="828">
        <v>5.1643924938295296E-3</v>
      </c>
      <c r="E19" s="58"/>
    </row>
    <row r="20" spans="1:5" x14ac:dyDescent="0.2">
      <c r="A20" s="832" t="s">
        <v>313</v>
      </c>
      <c r="B20" s="830">
        <v>2</v>
      </c>
      <c r="C20" s="830">
        <v>39178397.960000001</v>
      </c>
      <c r="D20" s="828">
        <v>2.3641796776555013E-3</v>
      </c>
      <c r="E20" s="58"/>
    </row>
    <row r="21" spans="1:5" x14ac:dyDescent="0.2">
      <c r="A21" s="832" t="s">
        <v>314</v>
      </c>
      <c r="B21" s="830">
        <v>1</v>
      </c>
      <c r="C21" s="830">
        <v>1913905.56</v>
      </c>
      <c r="D21" s="828">
        <v>1.1500874066429046E-4</v>
      </c>
      <c r="E21" s="58"/>
    </row>
    <row r="22" spans="1:5" x14ac:dyDescent="0.2">
      <c r="A22" s="832" t="s">
        <v>343</v>
      </c>
      <c r="B22" s="830">
        <v>1</v>
      </c>
      <c r="C22" s="830">
        <v>23336195.68</v>
      </c>
      <c r="D22" s="828">
        <v>1.4081070161332259E-3</v>
      </c>
      <c r="E22" s="58"/>
    </row>
    <row r="23" spans="1:5" x14ac:dyDescent="0.2">
      <c r="A23" s="831" t="s">
        <v>3461</v>
      </c>
      <c r="B23" s="830">
        <v>1</v>
      </c>
      <c r="C23" s="830">
        <v>43867352.810000002</v>
      </c>
      <c r="D23" s="828">
        <v>2.6482012632960098E-3</v>
      </c>
      <c r="E23" s="58"/>
    </row>
    <row r="24" spans="1:5" x14ac:dyDescent="0.2">
      <c r="A24" s="832" t="s">
        <v>312</v>
      </c>
      <c r="B24" s="830">
        <v>1</v>
      </c>
      <c r="C24" s="830">
        <v>43867352.810000002</v>
      </c>
      <c r="D24" s="828">
        <v>2.6482012632960098E-3</v>
      </c>
      <c r="E24" s="58"/>
    </row>
    <row r="25" spans="1:5" x14ac:dyDescent="0.2">
      <c r="A25" s="829" t="s">
        <v>35</v>
      </c>
      <c r="B25" s="830">
        <v>23</v>
      </c>
      <c r="C25" s="830">
        <v>457765672.51999998</v>
      </c>
      <c r="D25" s="828">
        <v>2.7631099963597229E-2</v>
      </c>
      <c r="E25" s="58"/>
    </row>
    <row r="26" spans="1:5" x14ac:dyDescent="0.2">
      <c r="A26" s="831" t="s">
        <v>121</v>
      </c>
      <c r="B26" s="830">
        <v>17</v>
      </c>
      <c r="C26" s="830">
        <v>378243950</v>
      </c>
      <c r="D26" s="828">
        <v>2.2831735211876099E-2</v>
      </c>
      <c r="E26" s="58"/>
    </row>
    <row r="27" spans="1:5" x14ac:dyDescent="0.2">
      <c r="A27" s="832" t="s">
        <v>312</v>
      </c>
      <c r="B27" s="830">
        <v>7</v>
      </c>
      <c r="C27" s="830">
        <v>145163012.13</v>
      </c>
      <c r="D27" s="828">
        <v>8.7626659626131569E-3</v>
      </c>
      <c r="E27" s="58"/>
    </row>
    <row r="28" spans="1:5" x14ac:dyDescent="0.2">
      <c r="A28" s="832" t="s">
        <v>313</v>
      </c>
      <c r="B28" s="830">
        <v>6</v>
      </c>
      <c r="C28" s="830">
        <v>140743267.63999999</v>
      </c>
      <c r="D28" s="828">
        <v>8.4956456690708487E-3</v>
      </c>
      <c r="E28" s="58"/>
    </row>
    <row r="29" spans="1:5" x14ac:dyDescent="0.2">
      <c r="A29" s="832" t="s">
        <v>314</v>
      </c>
      <c r="B29" s="830">
        <v>2</v>
      </c>
      <c r="C29" s="830">
        <v>87589734.430000007</v>
      </c>
      <c r="D29" s="828">
        <v>5.2874018425400314E-3</v>
      </c>
      <c r="E29" s="58"/>
    </row>
    <row r="30" spans="1:5" x14ac:dyDescent="0.2">
      <c r="A30" s="832" t="s">
        <v>343</v>
      </c>
      <c r="B30" s="830">
        <v>2</v>
      </c>
      <c r="C30" s="830">
        <v>4747935.8</v>
      </c>
      <c r="D30" s="828">
        <v>2.8602173765206152E-4</v>
      </c>
      <c r="E30" s="58"/>
    </row>
    <row r="31" spans="1:5" x14ac:dyDescent="0.2">
      <c r="A31" s="831" t="s">
        <v>26</v>
      </c>
      <c r="B31" s="830">
        <v>6</v>
      </c>
      <c r="C31" s="830">
        <v>79521722.520000011</v>
      </c>
      <c r="D31" s="828">
        <v>4.7993647517211302E-3</v>
      </c>
      <c r="E31" s="58"/>
    </row>
    <row r="32" spans="1:5" x14ac:dyDescent="0.2">
      <c r="A32" s="832" t="s">
        <v>312</v>
      </c>
      <c r="B32" s="830">
        <v>3</v>
      </c>
      <c r="C32" s="830">
        <v>46026651.880000003</v>
      </c>
      <c r="D32" s="828">
        <v>2.7782111440469472E-3</v>
      </c>
      <c r="E32" s="58"/>
    </row>
    <row r="33" spans="1:5" x14ac:dyDescent="0.2">
      <c r="A33" s="832" t="s">
        <v>313</v>
      </c>
      <c r="B33" s="830">
        <v>2</v>
      </c>
      <c r="C33" s="830">
        <v>31319456.52</v>
      </c>
      <c r="D33" s="828">
        <v>1.8901436509174694E-3</v>
      </c>
      <c r="E33" s="58"/>
    </row>
    <row r="34" spans="1:5" x14ac:dyDescent="0.2">
      <c r="A34" s="832" t="s">
        <v>314</v>
      </c>
      <c r="B34" s="830">
        <v>1</v>
      </c>
      <c r="C34" s="830">
        <v>2175614.12</v>
      </c>
      <c r="D34" s="828">
        <v>1.3100995675671348E-4</v>
      </c>
      <c r="E34" s="58"/>
    </row>
    <row r="35" spans="1:5" x14ac:dyDescent="0.2">
      <c r="A35" s="829" t="s">
        <v>45</v>
      </c>
      <c r="B35" s="830">
        <v>49</v>
      </c>
      <c r="C35" s="830">
        <v>740057508.87</v>
      </c>
      <c r="D35" s="828">
        <v>4.4674395254039295E-2</v>
      </c>
      <c r="E35" s="58"/>
    </row>
    <row r="36" spans="1:5" x14ac:dyDescent="0.2">
      <c r="A36" s="831" t="s">
        <v>26</v>
      </c>
      <c r="B36" s="830">
        <v>1</v>
      </c>
      <c r="C36" s="830">
        <v>19299402.359999999</v>
      </c>
      <c r="D36" s="828">
        <v>1.1650885467295513E-3</v>
      </c>
      <c r="E36" s="58"/>
    </row>
    <row r="37" spans="1:5" x14ac:dyDescent="0.2">
      <c r="A37" s="832" t="s">
        <v>312</v>
      </c>
      <c r="B37" s="830">
        <v>1</v>
      </c>
      <c r="C37" s="830">
        <v>19299402.359999999</v>
      </c>
      <c r="D37" s="828">
        <v>1.1650885467295513E-3</v>
      </c>
      <c r="E37" s="58"/>
    </row>
    <row r="38" spans="1:5" x14ac:dyDescent="0.2">
      <c r="A38" s="831" t="s">
        <v>45</v>
      </c>
      <c r="B38" s="830">
        <v>48</v>
      </c>
      <c r="C38" s="830">
        <v>720758106.50999999</v>
      </c>
      <c r="D38" s="828">
        <v>4.350930670730975E-2</v>
      </c>
      <c r="E38" s="58"/>
    </row>
    <row r="39" spans="1:5" x14ac:dyDescent="0.2">
      <c r="A39" s="832" t="s">
        <v>312</v>
      </c>
      <c r="B39" s="830">
        <v>27</v>
      </c>
      <c r="C39" s="830">
        <v>473434854.24000001</v>
      </c>
      <c r="D39" s="828">
        <v>2.858017209307907E-2</v>
      </c>
      <c r="E39" s="58"/>
    </row>
    <row r="40" spans="1:5" x14ac:dyDescent="0.2">
      <c r="A40" s="832" t="s">
        <v>313</v>
      </c>
      <c r="B40" s="830">
        <v>9</v>
      </c>
      <c r="C40" s="830">
        <v>96699396.030000001</v>
      </c>
      <c r="D40" s="828">
        <v>5.837443645717073E-3</v>
      </c>
      <c r="E40" s="58"/>
    </row>
    <row r="41" spans="1:5" x14ac:dyDescent="0.2">
      <c r="A41" s="832" t="s">
        <v>314</v>
      </c>
      <c r="B41" s="830">
        <v>7</v>
      </c>
      <c r="C41" s="830">
        <v>66874228.240000002</v>
      </c>
      <c r="D41" s="828">
        <v>4.0363067593137073E-3</v>
      </c>
      <c r="E41" s="58"/>
    </row>
    <row r="42" spans="1:5" x14ac:dyDescent="0.2">
      <c r="A42" s="832" t="s">
        <v>343</v>
      </c>
      <c r="B42" s="830">
        <v>5</v>
      </c>
      <c r="C42" s="830">
        <v>83749628</v>
      </c>
      <c r="D42" s="828">
        <v>5.0553842091998974E-3</v>
      </c>
      <c r="E42" s="58"/>
    </row>
    <row r="43" spans="1:5" x14ac:dyDescent="0.2">
      <c r="A43" s="829" t="s">
        <v>43</v>
      </c>
      <c r="B43" s="830">
        <v>25</v>
      </c>
      <c r="C43" s="830">
        <v>340275211.90999997</v>
      </c>
      <c r="D43" s="828">
        <v>2.0540561082642277E-2</v>
      </c>
      <c r="E43" s="58"/>
    </row>
    <row r="44" spans="1:5" x14ac:dyDescent="0.2">
      <c r="A44" s="831" t="s">
        <v>26</v>
      </c>
      <c r="B44" s="830">
        <v>1</v>
      </c>
      <c r="C44" s="830">
        <v>4626744.96</v>
      </c>
      <c r="D44" s="828">
        <v>2.7902120561162642E-4</v>
      </c>
      <c r="E44" s="58"/>
    </row>
    <row r="45" spans="1:5" x14ac:dyDescent="0.2">
      <c r="A45" s="832" t="s">
        <v>313</v>
      </c>
      <c r="B45" s="830">
        <v>1</v>
      </c>
      <c r="C45" s="830">
        <v>4626744.96</v>
      </c>
      <c r="D45" s="828">
        <v>2.7902120561162642E-4</v>
      </c>
      <c r="E45" s="58"/>
    </row>
    <row r="46" spans="1:5" x14ac:dyDescent="0.2">
      <c r="A46" s="831" t="s">
        <v>338</v>
      </c>
      <c r="B46" s="830">
        <v>24</v>
      </c>
      <c r="C46" s="830">
        <v>335648466.94999999</v>
      </c>
      <c r="D46" s="828">
        <v>2.0261539877030652E-2</v>
      </c>
      <c r="E46" s="58"/>
    </row>
    <row r="47" spans="1:5" x14ac:dyDescent="0.2">
      <c r="A47" s="832" t="s">
        <v>312</v>
      </c>
      <c r="B47" s="830">
        <v>21</v>
      </c>
      <c r="C47" s="830">
        <v>279150756.5</v>
      </c>
      <c r="D47" s="828">
        <v>1.6851280697332993E-2</v>
      </c>
      <c r="E47" s="58"/>
    </row>
    <row r="48" spans="1:5" x14ac:dyDescent="0.2">
      <c r="A48" s="832" t="s">
        <v>313</v>
      </c>
      <c r="B48" s="830">
        <v>2</v>
      </c>
      <c r="C48" s="830">
        <v>47599635.43</v>
      </c>
      <c r="D48" s="828">
        <v>2.873218364595709E-3</v>
      </c>
      <c r="E48" s="58"/>
    </row>
    <row r="49" spans="1:5" x14ac:dyDescent="0.2">
      <c r="A49" s="832" t="s">
        <v>343</v>
      </c>
      <c r="B49" s="830">
        <v>1</v>
      </c>
      <c r="C49" s="830">
        <v>8898075.0199999996</v>
      </c>
      <c r="D49" s="828">
        <v>5.3704081510194766E-4</v>
      </c>
      <c r="E49" s="58"/>
    </row>
    <row r="50" spans="1:5" x14ac:dyDescent="0.2">
      <c r="A50" s="829" t="s">
        <v>46</v>
      </c>
      <c r="B50" s="830">
        <v>18</v>
      </c>
      <c r="C50" s="830">
        <v>224623576.95000002</v>
      </c>
      <c r="D50" s="828">
        <v>1.3558030410311183E-2</v>
      </c>
      <c r="E50" s="58"/>
    </row>
    <row r="51" spans="1:5" x14ac:dyDescent="0.2">
      <c r="A51" s="831" t="s">
        <v>46</v>
      </c>
      <c r="B51" s="830">
        <v>18</v>
      </c>
      <c r="C51" s="830">
        <v>224623576.95000002</v>
      </c>
      <c r="D51" s="828">
        <v>1.3558030410311183E-2</v>
      </c>
      <c r="E51" s="58"/>
    </row>
    <row r="52" spans="1:5" x14ac:dyDescent="0.2">
      <c r="A52" s="832" t="s">
        <v>312</v>
      </c>
      <c r="B52" s="830">
        <v>8</v>
      </c>
      <c r="C52" s="830">
        <v>170683483.81</v>
      </c>
      <c r="D52" s="828">
        <v>1.0303783087514649E-2</v>
      </c>
      <c r="E52" s="58"/>
    </row>
    <row r="53" spans="1:5" x14ac:dyDescent="0.2">
      <c r="A53" s="832" t="s">
        <v>313</v>
      </c>
      <c r="B53" s="830">
        <v>5</v>
      </c>
      <c r="C53" s="830">
        <v>34320702.530000001</v>
      </c>
      <c r="D53" s="828">
        <v>2.0711574079630051E-3</v>
      </c>
      <c r="E53" s="58"/>
    </row>
    <row r="54" spans="1:5" x14ac:dyDescent="0.2">
      <c r="A54" s="832" t="s">
        <v>314</v>
      </c>
      <c r="B54" s="830">
        <v>4</v>
      </c>
      <c r="C54" s="830">
        <v>18369082</v>
      </c>
      <c r="D54" s="828">
        <v>1.1080842144002942E-3</v>
      </c>
      <c r="E54" s="58"/>
    </row>
    <row r="55" spans="1:5" x14ac:dyDescent="0.2">
      <c r="A55" s="832" t="s">
        <v>4040</v>
      </c>
      <c r="B55" s="830">
        <v>1</v>
      </c>
      <c r="C55" s="830">
        <v>1250308.6100000001</v>
      </c>
      <c r="D55" s="828">
        <v>7.5005700433232903E-5</v>
      </c>
      <c r="E55" s="58"/>
    </row>
    <row r="56" spans="1:5" x14ac:dyDescent="0.2">
      <c r="A56" s="829" t="s">
        <v>42</v>
      </c>
      <c r="B56" s="830">
        <v>7</v>
      </c>
      <c r="C56" s="830">
        <v>96735928.170000002</v>
      </c>
      <c r="D56" s="828">
        <v>5.837443645717073E-3</v>
      </c>
      <c r="E56" s="58"/>
    </row>
    <row r="57" spans="1:5" x14ac:dyDescent="0.2">
      <c r="A57" s="831" t="s">
        <v>26</v>
      </c>
      <c r="B57" s="830">
        <v>4</v>
      </c>
      <c r="C57" s="830">
        <v>41179027.93</v>
      </c>
      <c r="D57" s="828">
        <v>2.4841887983486741E-3</v>
      </c>
      <c r="E57" s="58"/>
    </row>
    <row r="58" spans="1:5" x14ac:dyDescent="0.2">
      <c r="A58" s="832" t="s">
        <v>313</v>
      </c>
      <c r="B58" s="830">
        <v>2</v>
      </c>
      <c r="C58" s="830">
        <v>16869343.699999999</v>
      </c>
      <c r="D58" s="828">
        <v>1.0180773738804147E-3</v>
      </c>
      <c r="E58" s="58"/>
    </row>
    <row r="59" spans="1:5" x14ac:dyDescent="0.2">
      <c r="A59" s="832" t="s">
        <v>314</v>
      </c>
      <c r="B59" s="830">
        <v>1</v>
      </c>
      <c r="C59" s="830">
        <v>20686130.359999999</v>
      </c>
      <c r="D59" s="828">
        <v>1.2480948552089956E-3</v>
      </c>
      <c r="E59" s="58"/>
    </row>
    <row r="60" spans="1:5" x14ac:dyDescent="0.2">
      <c r="A60" s="832" t="s">
        <v>343</v>
      </c>
      <c r="B60" s="830">
        <v>1</v>
      </c>
      <c r="C60" s="830">
        <v>3623553.87</v>
      </c>
      <c r="D60" s="828">
        <v>2.1801656925926366E-4</v>
      </c>
      <c r="E60" s="58"/>
    </row>
    <row r="61" spans="1:5" x14ac:dyDescent="0.2">
      <c r="A61" s="831" t="s">
        <v>1244</v>
      </c>
      <c r="B61" s="830">
        <v>3</v>
      </c>
      <c r="C61" s="830">
        <v>55556900.240000002</v>
      </c>
      <c r="D61" s="828">
        <v>3.3532548473683994E-3</v>
      </c>
      <c r="E61" s="58"/>
    </row>
    <row r="62" spans="1:5" x14ac:dyDescent="0.2">
      <c r="A62" s="832" t="s">
        <v>312</v>
      </c>
      <c r="B62" s="830">
        <v>3</v>
      </c>
      <c r="C62" s="830">
        <v>55556900.240000002</v>
      </c>
      <c r="D62" s="828">
        <v>3.3532548473683994E-3</v>
      </c>
      <c r="E62" s="58"/>
    </row>
    <row r="63" spans="1:5" x14ac:dyDescent="0.2">
      <c r="A63" s="829" t="s">
        <v>31</v>
      </c>
      <c r="B63" s="830">
        <v>20</v>
      </c>
      <c r="C63" s="830">
        <v>334817841.02999997</v>
      </c>
      <c r="D63" s="828">
        <v>2.020553562070717E-2</v>
      </c>
      <c r="E63" s="58"/>
    </row>
    <row r="64" spans="1:5" x14ac:dyDescent="0.2">
      <c r="A64" s="831" t="s">
        <v>26</v>
      </c>
      <c r="B64" s="830">
        <v>2</v>
      </c>
      <c r="C64" s="830">
        <v>49576367.859999999</v>
      </c>
      <c r="D64" s="828">
        <v>2.9922274092831045E-3</v>
      </c>
      <c r="E64" s="58"/>
    </row>
    <row r="65" spans="1:5" x14ac:dyDescent="0.2">
      <c r="A65" s="832" t="s">
        <v>312</v>
      </c>
      <c r="B65" s="830">
        <v>1</v>
      </c>
      <c r="C65" s="830">
        <v>48956677.560000002</v>
      </c>
      <c r="D65" s="828">
        <v>2.9552245970693768E-3</v>
      </c>
      <c r="E65" s="58"/>
    </row>
    <row r="66" spans="1:5" x14ac:dyDescent="0.2">
      <c r="A66" s="832" t="s">
        <v>313</v>
      </c>
      <c r="B66" s="830">
        <v>1</v>
      </c>
      <c r="C66" s="830">
        <v>619690.30000000005</v>
      </c>
      <c r="D66" s="828">
        <v>3.7002812213728236E-5</v>
      </c>
      <c r="E66" s="58"/>
    </row>
    <row r="67" spans="1:5" x14ac:dyDescent="0.2">
      <c r="A67" s="831" t="s">
        <v>509</v>
      </c>
      <c r="B67" s="830">
        <v>4</v>
      </c>
      <c r="C67" s="830">
        <v>33771099.689999998</v>
      </c>
      <c r="D67" s="828">
        <v>2.038154899772382E-3</v>
      </c>
      <c r="E67" s="58"/>
    </row>
    <row r="68" spans="1:5" x14ac:dyDescent="0.2">
      <c r="A68" s="832" t="s">
        <v>312</v>
      </c>
      <c r="B68" s="830">
        <v>2</v>
      </c>
      <c r="C68" s="830">
        <v>26009931.620000001</v>
      </c>
      <c r="D68" s="828">
        <v>1.570119329069009E-3</v>
      </c>
      <c r="E68" s="58"/>
    </row>
    <row r="69" spans="1:5" x14ac:dyDescent="0.2">
      <c r="A69" s="832" t="s">
        <v>314</v>
      </c>
      <c r="B69" s="830">
        <v>1</v>
      </c>
      <c r="C69" s="830">
        <v>2360581.64</v>
      </c>
      <c r="D69" s="828">
        <v>1.4201079282025433E-4</v>
      </c>
      <c r="E69" s="58"/>
    </row>
    <row r="70" spans="1:5" x14ac:dyDescent="0.2">
      <c r="A70" s="832" t="s">
        <v>343</v>
      </c>
      <c r="B70" s="830">
        <v>1</v>
      </c>
      <c r="C70" s="830">
        <v>5400586.4299999997</v>
      </c>
      <c r="D70" s="828">
        <v>3.2602477788311904E-4</v>
      </c>
      <c r="E70" s="58"/>
    </row>
    <row r="71" spans="1:5" x14ac:dyDescent="0.2">
      <c r="A71" s="831" t="s">
        <v>293</v>
      </c>
      <c r="B71" s="830">
        <v>2</v>
      </c>
      <c r="C71" s="830">
        <v>50275195.899999999</v>
      </c>
      <c r="D71" s="828">
        <v>3.0342306015257153E-3</v>
      </c>
      <c r="E71" s="58"/>
    </row>
    <row r="72" spans="1:5" x14ac:dyDescent="0.2">
      <c r="A72" s="832" t="s">
        <v>312</v>
      </c>
      <c r="B72" s="830">
        <v>1</v>
      </c>
      <c r="C72" s="830">
        <v>28696864.579999998</v>
      </c>
      <c r="D72" s="828">
        <v>1.732131642004792E-3</v>
      </c>
      <c r="E72" s="58"/>
    </row>
    <row r="73" spans="1:5" x14ac:dyDescent="0.2">
      <c r="A73" s="832" t="s">
        <v>314</v>
      </c>
      <c r="B73" s="830">
        <v>1</v>
      </c>
      <c r="C73" s="830">
        <v>21578331.32</v>
      </c>
      <c r="D73" s="828">
        <v>1.3020989595209235E-3</v>
      </c>
      <c r="E73" s="58"/>
    </row>
    <row r="74" spans="1:5" x14ac:dyDescent="0.2">
      <c r="A74" s="831" t="s">
        <v>416</v>
      </c>
      <c r="B74" s="830">
        <v>2</v>
      </c>
      <c r="C74" s="830">
        <v>74192972.340000004</v>
      </c>
      <c r="D74" s="828">
        <v>4.4783403538668932E-3</v>
      </c>
      <c r="E74" s="58"/>
    </row>
    <row r="75" spans="1:5" x14ac:dyDescent="0.2">
      <c r="A75" s="832" t="s">
        <v>313</v>
      </c>
      <c r="B75" s="830">
        <v>1</v>
      </c>
      <c r="C75" s="830">
        <v>52485275.039999999</v>
      </c>
      <c r="D75" s="828">
        <v>3.1682407862997585E-3</v>
      </c>
      <c r="E75" s="58"/>
    </row>
    <row r="76" spans="1:5" x14ac:dyDescent="0.2">
      <c r="A76" s="832" t="s">
        <v>314</v>
      </c>
      <c r="B76" s="830">
        <v>1</v>
      </c>
      <c r="C76" s="830">
        <v>21707697.300000001</v>
      </c>
      <c r="D76" s="828">
        <v>1.3100995675671349E-3</v>
      </c>
      <c r="E76" s="58"/>
    </row>
    <row r="77" spans="1:5" x14ac:dyDescent="0.2">
      <c r="A77" s="831" t="s">
        <v>2586</v>
      </c>
      <c r="B77" s="830">
        <v>1</v>
      </c>
      <c r="C77" s="830">
        <v>14456376.6</v>
      </c>
      <c r="D77" s="828">
        <v>8.7206627703705466E-4</v>
      </c>
      <c r="E77" s="58"/>
    </row>
    <row r="78" spans="1:5" x14ac:dyDescent="0.2">
      <c r="A78" s="832" t="s">
        <v>314</v>
      </c>
      <c r="B78" s="830">
        <v>1</v>
      </c>
      <c r="C78" s="830">
        <v>14456376.6</v>
      </c>
      <c r="D78" s="828">
        <v>8.7206627703705466E-4</v>
      </c>
      <c r="E78" s="58"/>
    </row>
    <row r="79" spans="1:5" x14ac:dyDescent="0.2">
      <c r="A79" s="831" t="s">
        <v>298</v>
      </c>
      <c r="B79" s="830">
        <v>2</v>
      </c>
      <c r="C79" s="830">
        <v>55164799.009999998</v>
      </c>
      <c r="D79" s="828">
        <v>3.3302530992355417E-3</v>
      </c>
      <c r="E79" s="58"/>
    </row>
    <row r="80" spans="1:5" x14ac:dyDescent="0.2">
      <c r="A80" s="832" t="s">
        <v>312</v>
      </c>
      <c r="B80" s="830">
        <v>2</v>
      </c>
      <c r="C80" s="830">
        <v>55164799.009999998</v>
      </c>
      <c r="D80" s="828">
        <v>3.3302530992355417E-3</v>
      </c>
      <c r="E80" s="58"/>
    </row>
    <row r="81" spans="1:5" x14ac:dyDescent="0.2">
      <c r="A81" s="831" t="s">
        <v>1815</v>
      </c>
      <c r="B81" s="830">
        <v>2</v>
      </c>
      <c r="C81" s="830">
        <v>42597339.379999995</v>
      </c>
      <c r="D81" s="828">
        <v>2.5701953348454478E-3</v>
      </c>
      <c r="E81" s="58"/>
    </row>
    <row r="82" spans="1:5" x14ac:dyDescent="0.2">
      <c r="A82" s="832" t="s">
        <v>312</v>
      </c>
      <c r="B82" s="830">
        <v>1</v>
      </c>
      <c r="C82" s="830">
        <v>27791794.84</v>
      </c>
      <c r="D82" s="828">
        <v>1.6771274616870877E-3</v>
      </c>
      <c r="E82" s="58"/>
    </row>
    <row r="83" spans="1:5" x14ac:dyDescent="0.2">
      <c r="A83" s="832" t="s">
        <v>313</v>
      </c>
      <c r="B83" s="830">
        <v>1</v>
      </c>
      <c r="C83" s="830">
        <v>14805544.539999999</v>
      </c>
      <c r="D83" s="828">
        <v>8.9306787315835995E-4</v>
      </c>
      <c r="E83" s="58"/>
    </row>
    <row r="84" spans="1:5" x14ac:dyDescent="0.2">
      <c r="A84" s="831" t="s">
        <v>4416</v>
      </c>
      <c r="B84" s="830">
        <v>1</v>
      </c>
      <c r="C84" s="830">
        <v>1362114.19</v>
      </c>
      <c r="D84" s="828">
        <v>8.2006232473667988E-5</v>
      </c>
      <c r="E84" s="58"/>
    </row>
    <row r="85" spans="1:5" x14ac:dyDescent="0.2">
      <c r="A85" s="832" t="s">
        <v>313</v>
      </c>
      <c r="B85" s="830">
        <v>1</v>
      </c>
      <c r="C85" s="830">
        <v>1362114.19</v>
      </c>
      <c r="D85" s="828">
        <v>8.2006232473667988E-5</v>
      </c>
      <c r="E85" s="58"/>
    </row>
    <row r="86" spans="1:5" x14ac:dyDescent="0.2">
      <c r="A86" s="831" t="s">
        <v>2309</v>
      </c>
      <c r="B86" s="830">
        <v>2</v>
      </c>
      <c r="C86" s="830">
        <v>7459599.8699999992</v>
      </c>
      <c r="D86" s="828">
        <v>4.4903412659362107E-4</v>
      </c>
      <c r="E86" s="58"/>
    </row>
    <row r="87" spans="1:5" x14ac:dyDescent="0.2">
      <c r="A87" s="832" t="s">
        <v>312</v>
      </c>
      <c r="B87" s="830">
        <v>1</v>
      </c>
      <c r="C87" s="830">
        <v>2345949.7799999998</v>
      </c>
      <c r="D87" s="828">
        <v>1.4101071681447787E-4</v>
      </c>
      <c r="E87" s="58"/>
    </row>
    <row r="88" spans="1:5" x14ac:dyDescent="0.2">
      <c r="A88" s="832" t="s">
        <v>314</v>
      </c>
      <c r="B88" s="830">
        <v>1</v>
      </c>
      <c r="C88" s="830">
        <v>5113650.09</v>
      </c>
      <c r="D88" s="828">
        <v>3.0802340977914317E-4</v>
      </c>
      <c r="E88" s="58"/>
    </row>
    <row r="89" spans="1:5" x14ac:dyDescent="0.2">
      <c r="A89" s="831" t="s">
        <v>5187</v>
      </c>
      <c r="B89" s="830">
        <v>1</v>
      </c>
      <c r="C89" s="830">
        <v>5179992.92</v>
      </c>
      <c r="D89" s="828">
        <v>3.1202371380224889E-4</v>
      </c>
      <c r="E89" s="58"/>
    </row>
    <row r="90" spans="1:5" x14ac:dyDescent="0.2">
      <c r="A90" s="832" t="s">
        <v>312</v>
      </c>
      <c r="B90" s="830">
        <v>1</v>
      </c>
      <c r="C90" s="830">
        <v>5179992.92</v>
      </c>
      <c r="D90" s="828">
        <v>3.1202371380224889E-4</v>
      </c>
      <c r="E90" s="58"/>
    </row>
    <row r="91" spans="1:5" x14ac:dyDescent="0.2">
      <c r="A91" s="831" t="s">
        <v>5390</v>
      </c>
      <c r="B91" s="830">
        <v>1</v>
      </c>
      <c r="C91" s="830">
        <v>781983.27</v>
      </c>
      <c r="D91" s="828">
        <v>4.7003572271492628E-5</v>
      </c>
      <c r="E91" s="58"/>
    </row>
    <row r="92" spans="1:5" x14ac:dyDescent="0.2">
      <c r="A92" s="832" t="s">
        <v>312</v>
      </c>
      <c r="B92" s="830">
        <v>1</v>
      </c>
      <c r="C92" s="830">
        <v>781983.27</v>
      </c>
      <c r="D92" s="828">
        <v>4.7003572271492628E-5</v>
      </c>
      <c r="E92" s="58"/>
    </row>
    <row r="93" spans="1:5" x14ac:dyDescent="0.2">
      <c r="A93" s="829" t="s">
        <v>28</v>
      </c>
      <c r="B93" s="830">
        <v>26</v>
      </c>
      <c r="C93" s="830">
        <v>106354580.43999998</v>
      </c>
      <c r="D93" s="828">
        <v>6.4184878050731848E-3</v>
      </c>
      <c r="E93" s="58"/>
    </row>
    <row r="94" spans="1:5" x14ac:dyDescent="0.2">
      <c r="A94" s="831" t="s">
        <v>26</v>
      </c>
      <c r="B94" s="830">
        <v>13</v>
      </c>
      <c r="C94" s="830">
        <v>75949411.739999995</v>
      </c>
      <c r="D94" s="828">
        <v>4.5833483344734196E-3</v>
      </c>
      <c r="E94" s="58"/>
    </row>
    <row r="95" spans="1:5" x14ac:dyDescent="0.2">
      <c r="A95" s="832" t="s">
        <v>312</v>
      </c>
      <c r="B95" s="830">
        <v>11</v>
      </c>
      <c r="C95" s="830">
        <v>56937868.289999999</v>
      </c>
      <c r="D95" s="828">
        <v>3.4372612318536201E-3</v>
      </c>
      <c r="E95" s="58"/>
    </row>
    <row r="96" spans="1:5" x14ac:dyDescent="0.2">
      <c r="A96" s="832" t="s">
        <v>313</v>
      </c>
      <c r="B96" s="830">
        <v>1</v>
      </c>
      <c r="C96" s="830">
        <v>10667138.1</v>
      </c>
      <c r="D96" s="828">
        <v>6.4304887171425017E-4</v>
      </c>
      <c r="E96" s="58"/>
    </row>
    <row r="97" spans="1:5" x14ac:dyDescent="0.2">
      <c r="A97" s="832" t="s">
        <v>314</v>
      </c>
      <c r="B97" s="830">
        <v>1</v>
      </c>
      <c r="C97" s="830">
        <v>8344405.3499999996</v>
      </c>
      <c r="D97" s="828">
        <v>5.0303823090554873E-4</v>
      </c>
      <c r="E97" s="58"/>
    </row>
    <row r="98" spans="1:5" x14ac:dyDescent="0.2">
      <c r="A98" s="831" t="s">
        <v>755</v>
      </c>
      <c r="B98" s="830">
        <v>1</v>
      </c>
      <c r="C98" s="830">
        <v>3431151.96</v>
      </c>
      <c r="D98" s="828">
        <v>2.0701573319572284E-4</v>
      </c>
      <c r="E98" s="58"/>
    </row>
    <row r="99" spans="1:5" x14ac:dyDescent="0.2">
      <c r="A99" s="832" t="s">
        <v>313</v>
      </c>
      <c r="B99" s="830">
        <v>1</v>
      </c>
      <c r="C99" s="830">
        <v>3431151.96</v>
      </c>
      <c r="D99" s="828">
        <v>2.0701573319572284E-4</v>
      </c>
      <c r="E99" s="58"/>
    </row>
    <row r="100" spans="1:5" x14ac:dyDescent="0.2">
      <c r="A100" s="831" t="s">
        <v>108</v>
      </c>
      <c r="B100" s="830">
        <v>12</v>
      </c>
      <c r="C100" s="830">
        <v>26974016.739999998</v>
      </c>
      <c r="D100" s="828">
        <v>1.6281237374040423E-3</v>
      </c>
      <c r="E100" s="58"/>
    </row>
    <row r="101" spans="1:5" x14ac:dyDescent="0.2">
      <c r="A101" s="832" t="s">
        <v>312</v>
      </c>
      <c r="B101" s="830">
        <v>12</v>
      </c>
      <c r="C101" s="830">
        <v>26974016.739999998</v>
      </c>
      <c r="D101" s="828">
        <v>1.6281237374040423E-3</v>
      </c>
      <c r="E101" s="58"/>
    </row>
    <row r="102" spans="1:5" x14ac:dyDescent="0.2">
      <c r="A102" s="829" t="s">
        <v>44</v>
      </c>
      <c r="B102" s="830">
        <v>368</v>
      </c>
      <c r="C102" s="830">
        <v>5034924181.0699997</v>
      </c>
      <c r="D102" s="828">
        <v>0.30394810005560413</v>
      </c>
      <c r="E102" s="58"/>
    </row>
    <row r="103" spans="1:5" x14ac:dyDescent="0.2">
      <c r="A103" s="831" t="s">
        <v>26</v>
      </c>
      <c r="B103" s="830">
        <v>9</v>
      </c>
      <c r="C103" s="830">
        <v>91810954.100000009</v>
      </c>
      <c r="D103" s="828">
        <v>5.5414211480072466E-3</v>
      </c>
      <c r="E103" s="58"/>
    </row>
    <row r="104" spans="1:5" x14ac:dyDescent="0.2">
      <c r="A104" s="832" t="s">
        <v>312</v>
      </c>
      <c r="B104" s="830">
        <v>7</v>
      </c>
      <c r="C104" s="830">
        <v>58451033.57</v>
      </c>
      <c r="D104" s="828">
        <v>3.5282681483792761E-3</v>
      </c>
      <c r="E104" s="58"/>
    </row>
    <row r="105" spans="1:5" x14ac:dyDescent="0.2">
      <c r="A105" s="832" t="s">
        <v>313</v>
      </c>
      <c r="B105" s="830">
        <v>1</v>
      </c>
      <c r="C105" s="830">
        <v>28100045.739999998</v>
      </c>
      <c r="D105" s="828">
        <v>1.6961289057968402E-3</v>
      </c>
      <c r="E105" s="58"/>
    </row>
    <row r="106" spans="1:5" x14ac:dyDescent="0.2">
      <c r="A106" s="832" t="s">
        <v>343</v>
      </c>
      <c r="B106" s="830">
        <v>1</v>
      </c>
      <c r="C106" s="830">
        <v>5259874.79</v>
      </c>
      <c r="D106" s="828">
        <v>3.1702409383113108E-4</v>
      </c>
      <c r="E106" s="58"/>
    </row>
    <row r="107" spans="1:5" x14ac:dyDescent="0.2">
      <c r="A107" s="831" t="s">
        <v>92</v>
      </c>
      <c r="B107" s="830">
        <v>77</v>
      </c>
      <c r="C107" s="830">
        <v>1178627747.3299999</v>
      </c>
      <c r="D107" s="828">
        <v>7.1150407430964749E-2</v>
      </c>
      <c r="E107" s="58"/>
    </row>
    <row r="108" spans="1:5" x14ac:dyDescent="0.2">
      <c r="A108" s="832" t="s">
        <v>312</v>
      </c>
      <c r="B108" s="830">
        <v>41</v>
      </c>
      <c r="C108" s="830">
        <v>658438652.54999995</v>
      </c>
      <c r="D108" s="828">
        <v>3.9749020925590337E-2</v>
      </c>
      <c r="E108" s="58"/>
    </row>
    <row r="109" spans="1:5" x14ac:dyDescent="0.2">
      <c r="A109" s="832" t="s">
        <v>313</v>
      </c>
      <c r="B109" s="830">
        <v>17</v>
      </c>
      <c r="C109" s="830">
        <v>317872358.19</v>
      </c>
      <c r="D109" s="828">
        <v>1.9189458398838309E-2</v>
      </c>
      <c r="E109" s="58"/>
    </row>
    <row r="110" spans="1:5" x14ac:dyDescent="0.2">
      <c r="A110" s="832" t="s">
        <v>314</v>
      </c>
      <c r="B110" s="830">
        <v>13</v>
      </c>
      <c r="C110" s="830">
        <v>127577969.04000001</v>
      </c>
      <c r="D110" s="828">
        <v>7.7015853204843556E-3</v>
      </c>
      <c r="E110" s="58"/>
    </row>
    <row r="111" spans="1:5" x14ac:dyDescent="0.2">
      <c r="A111" s="832" t="s">
        <v>343</v>
      </c>
      <c r="B111" s="830">
        <v>4</v>
      </c>
      <c r="C111" s="830">
        <v>73302109.790000007</v>
      </c>
      <c r="D111" s="828">
        <v>4.4243362495549653E-3</v>
      </c>
      <c r="E111" s="58"/>
    </row>
    <row r="112" spans="1:5" x14ac:dyDescent="0.2">
      <c r="A112" s="832" t="s">
        <v>4040</v>
      </c>
      <c r="B112" s="830">
        <v>2</v>
      </c>
      <c r="C112" s="830">
        <v>1436657.76</v>
      </c>
      <c r="D112" s="828">
        <v>8.600653649677374E-5</v>
      </c>
      <c r="E112" s="58"/>
    </row>
    <row r="113" spans="1:5" x14ac:dyDescent="0.2">
      <c r="A113" s="831" t="s">
        <v>75</v>
      </c>
      <c r="B113" s="830">
        <v>282</v>
      </c>
      <c r="C113" s="830">
        <v>3764485479.6400003</v>
      </c>
      <c r="D113" s="828">
        <v>0.22725627147663219</v>
      </c>
      <c r="E113" s="58"/>
    </row>
    <row r="114" spans="1:5" x14ac:dyDescent="0.2">
      <c r="A114" s="832" t="s">
        <v>312</v>
      </c>
      <c r="B114" s="830">
        <v>145</v>
      </c>
      <c r="C114" s="830">
        <v>2089010806.1600001</v>
      </c>
      <c r="D114" s="828">
        <v>0.12611158448042051</v>
      </c>
      <c r="E114" s="58"/>
    </row>
    <row r="115" spans="1:5" x14ac:dyDescent="0.2">
      <c r="A115" s="832" t="s">
        <v>313</v>
      </c>
      <c r="B115" s="830">
        <v>91</v>
      </c>
      <c r="C115" s="830">
        <v>1359882667.77</v>
      </c>
      <c r="D115" s="828">
        <v>8.2094239162176313E-2</v>
      </c>
      <c r="E115" s="58"/>
    </row>
    <row r="116" spans="1:5" x14ac:dyDescent="0.2">
      <c r="A116" s="832" t="s">
        <v>314</v>
      </c>
      <c r="B116" s="830">
        <v>26</v>
      </c>
      <c r="C116" s="830">
        <v>224611545.22999999</v>
      </c>
      <c r="D116" s="828">
        <v>1.3559030486316957E-2</v>
      </c>
      <c r="E116" s="58"/>
    </row>
    <row r="117" spans="1:5" x14ac:dyDescent="0.2">
      <c r="A117" s="832" t="s">
        <v>343</v>
      </c>
      <c r="B117" s="830">
        <v>15</v>
      </c>
      <c r="C117" s="830">
        <v>62063879.780000001</v>
      </c>
      <c r="D117" s="828">
        <v>3.7462847176385396E-3</v>
      </c>
      <c r="E117" s="58"/>
    </row>
    <row r="118" spans="1:5" x14ac:dyDescent="0.2">
      <c r="A118" s="832" t="s">
        <v>4040</v>
      </c>
      <c r="B118" s="830">
        <v>5</v>
      </c>
      <c r="C118" s="830">
        <v>28916580.699999999</v>
      </c>
      <c r="D118" s="828">
        <v>1.7451326300798856E-3</v>
      </c>
      <c r="E118" s="58"/>
    </row>
    <row r="119" spans="1:5" x14ac:dyDescent="0.2">
      <c r="A119" s="829" t="s">
        <v>29</v>
      </c>
      <c r="B119" s="830">
        <v>28</v>
      </c>
      <c r="C119" s="830">
        <v>379277926.64000005</v>
      </c>
      <c r="D119" s="828">
        <v>2.2893739924234231E-2</v>
      </c>
      <c r="E119" s="58"/>
    </row>
    <row r="120" spans="1:5" x14ac:dyDescent="0.2">
      <c r="A120" s="831" t="s">
        <v>26</v>
      </c>
      <c r="B120" s="830">
        <v>2</v>
      </c>
      <c r="C120" s="830">
        <v>33207313.059999999</v>
      </c>
      <c r="D120" s="828">
        <v>2.0041523155759832E-3</v>
      </c>
      <c r="E120" s="58"/>
    </row>
    <row r="121" spans="1:5" x14ac:dyDescent="0.2">
      <c r="A121" s="832" t="s">
        <v>312</v>
      </c>
      <c r="B121" s="830">
        <v>2</v>
      </c>
      <c r="C121" s="830">
        <v>33207313.059999999</v>
      </c>
      <c r="D121" s="828">
        <v>2.0041523155759832E-3</v>
      </c>
      <c r="E121" s="58"/>
    </row>
    <row r="122" spans="1:5" x14ac:dyDescent="0.2">
      <c r="A122" s="831" t="s">
        <v>96</v>
      </c>
      <c r="B122" s="830">
        <v>9</v>
      </c>
      <c r="C122" s="830">
        <v>176559668.54000002</v>
      </c>
      <c r="D122" s="828">
        <v>1.065780999355951E-2</v>
      </c>
      <c r="E122" s="58"/>
    </row>
    <row r="123" spans="1:5" x14ac:dyDescent="0.2">
      <c r="A123" s="832" t="s">
        <v>312</v>
      </c>
      <c r="B123" s="830">
        <v>8</v>
      </c>
      <c r="C123" s="830">
        <v>143337756.65000001</v>
      </c>
      <c r="D123" s="828">
        <v>8.6526576019777483E-3</v>
      </c>
      <c r="E123" s="58"/>
    </row>
    <row r="124" spans="1:5" x14ac:dyDescent="0.2">
      <c r="A124" s="832" t="s">
        <v>313</v>
      </c>
      <c r="B124" s="830">
        <v>1</v>
      </c>
      <c r="C124" s="830">
        <v>33221911.890000001</v>
      </c>
      <c r="D124" s="828">
        <v>2.0051523915817601E-3</v>
      </c>
      <c r="E124" s="58"/>
    </row>
    <row r="125" spans="1:5" x14ac:dyDescent="0.2">
      <c r="A125" s="831" t="s">
        <v>30</v>
      </c>
      <c r="B125" s="830">
        <v>17</v>
      </c>
      <c r="C125" s="830">
        <v>169510945.04000002</v>
      </c>
      <c r="D125" s="828">
        <v>1.0231777615098747E-2</v>
      </c>
      <c r="E125" s="58"/>
    </row>
    <row r="126" spans="1:5" x14ac:dyDescent="0.2">
      <c r="A126" s="832" t="s">
        <v>312</v>
      </c>
      <c r="B126" s="830">
        <v>10</v>
      </c>
      <c r="C126" s="830">
        <v>105658770.84999999</v>
      </c>
      <c r="D126" s="828">
        <v>6.3784847648421274E-3</v>
      </c>
      <c r="E126" s="58"/>
    </row>
    <row r="127" spans="1:5" x14ac:dyDescent="0.2">
      <c r="A127" s="832" t="s">
        <v>313</v>
      </c>
      <c r="B127" s="830">
        <v>5</v>
      </c>
      <c r="C127" s="830">
        <v>62108827.68</v>
      </c>
      <c r="D127" s="828">
        <v>3.7492849456558694E-3</v>
      </c>
      <c r="E127" s="58"/>
    </row>
    <row r="128" spans="1:5" x14ac:dyDescent="0.2">
      <c r="A128" s="832" t="s">
        <v>314</v>
      </c>
      <c r="B128" s="830">
        <v>1</v>
      </c>
      <c r="C128" s="830">
        <v>1433967.43</v>
      </c>
      <c r="D128" s="828">
        <v>8.600653649677374E-5</v>
      </c>
      <c r="E128" s="58"/>
    </row>
    <row r="129" spans="1:5" x14ac:dyDescent="0.2">
      <c r="A129" s="832" t="s">
        <v>343</v>
      </c>
      <c r="B129" s="830">
        <v>1</v>
      </c>
      <c r="C129" s="830">
        <v>309379.08</v>
      </c>
      <c r="D129" s="828">
        <v>1.8001368103975899E-5</v>
      </c>
      <c r="E129" s="58"/>
    </row>
    <row r="130" spans="1:5" x14ac:dyDescent="0.2">
      <c r="A130" s="829" t="s">
        <v>25</v>
      </c>
      <c r="B130" s="830">
        <v>649</v>
      </c>
      <c r="C130" s="830">
        <v>5509248664.2700005</v>
      </c>
      <c r="D130" s="828">
        <v>0.33256827518891424</v>
      </c>
      <c r="E130" s="58"/>
    </row>
    <row r="131" spans="1:5" x14ac:dyDescent="0.2">
      <c r="A131" s="831" t="s">
        <v>26</v>
      </c>
      <c r="B131" s="830">
        <v>126</v>
      </c>
      <c r="C131" s="830">
        <v>1125780091.5600002</v>
      </c>
      <c r="D131" s="828">
        <v>6.7960164972537901E-2</v>
      </c>
      <c r="E131" s="58"/>
    </row>
    <row r="132" spans="1:5" x14ac:dyDescent="0.2">
      <c r="A132" s="832" t="s">
        <v>312</v>
      </c>
      <c r="B132" s="830">
        <v>54</v>
      </c>
      <c r="C132" s="830">
        <v>370414633.47000003</v>
      </c>
      <c r="D132" s="828">
        <v>2.2360699413155397E-2</v>
      </c>
      <c r="E132" s="58"/>
    </row>
    <row r="133" spans="1:5" x14ac:dyDescent="0.2">
      <c r="A133" s="832" t="s">
        <v>313</v>
      </c>
      <c r="B133" s="830">
        <v>44</v>
      </c>
      <c r="C133" s="830">
        <v>418247661.42000002</v>
      </c>
      <c r="D133" s="828">
        <v>2.5248918917837752E-2</v>
      </c>
      <c r="E133" s="58"/>
    </row>
    <row r="134" spans="1:5" x14ac:dyDescent="0.2">
      <c r="A134" s="832" t="s">
        <v>314</v>
      </c>
      <c r="B134" s="830">
        <v>18</v>
      </c>
      <c r="C134" s="830">
        <v>195598609.78999999</v>
      </c>
      <c r="D134" s="828">
        <v>1.1807897400202414E-2</v>
      </c>
      <c r="E134" s="58"/>
    </row>
    <row r="135" spans="1:5" x14ac:dyDescent="0.2">
      <c r="A135" s="832" t="s">
        <v>343</v>
      </c>
      <c r="B135" s="830">
        <v>9</v>
      </c>
      <c r="C135" s="830">
        <v>93076285.659999996</v>
      </c>
      <c r="D135" s="828">
        <v>5.618427000452033E-3</v>
      </c>
      <c r="E135" s="58"/>
    </row>
    <row r="136" spans="1:5" x14ac:dyDescent="0.2">
      <c r="A136" s="832" t="s">
        <v>4040</v>
      </c>
      <c r="B136" s="830">
        <v>1</v>
      </c>
      <c r="C136" s="830">
        <v>48442901.219999999</v>
      </c>
      <c r="D136" s="828">
        <v>2.924222240890307E-3</v>
      </c>
      <c r="E136" s="58"/>
    </row>
    <row r="137" spans="1:5" x14ac:dyDescent="0.2">
      <c r="A137" s="831" t="s">
        <v>103</v>
      </c>
      <c r="B137" s="830">
        <v>33</v>
      </c>
      <c r="C137" s="830">
        <v>371339083.11000001</v>
      </c>
      <c r="D137" s="828">
        <v>2.2415703593473099E-2</v>
      </c>
      <c r="E137" s="58"/>
    </row>
    <row r="138" spans="1:5" x14ac:dyDescent="0.2">
      <c r="A138" s="832" t="s">
        <v>312</v>
      </c>
      <c r="B138" s="830">
        <v>15</v>
      </c>
      <c r="C138" s="830">
        <v>135601030.75</v>
      </c>
      <c r="D138" s="828">
        <v>8.1856221072801518E-3</v>
      </c>
      <c r="E138" s="58"/>
    </row>
    <row r="139" spans="1:5" x14ac:dyDescent="0.2">
      <c r="A139" s="832" t="s">
        <v>313</v>
      </c>
      <c r="B139" s="830">
        <v>14</v>
      </c>
      <c r="C139" s="830">
        <v>177678486.83000001</v>
      </c>
      <c r="D139" s="828">
        <v>1.0725815161952307E-2</v>
      </c>
      <c r="E139" s="58"/>
    </row>
    <row r="140" spans="1:5" x14ac:dyDescent="0.2">
      <c r="A140" s="832" t="s">
        <v>314</v>
      </c>
      <c r="B140" s="830">
        <v>3</v>
      </c>
      <c r="C140" s="830">
        <v>56102742.780000001</v>
      </c>
      <c r="D140" s="828">
        <v>3.3862573555590221E-3</v>
      </c>
      <c r="E140" s="58"/>
    </row>
    <row r="141" spans="1:5" x14ac:dyDescent="0.2">
      <c r="A141" s="832" t="s">
        <v>343</v>
      </c>
      <c r="B141" s="830">
        <v>1</v>
      </c>
      <c r="C141" s="830">
        <v>1956822.75</v>
      </c>
      <c r="D141" s="828">
        <v>1.1800896868161978E-4</v>
      </c>
      <c r="E141" s="58"/>
    </row>
    <row r="142" spans="1:5" x14ac:dyDescent="0.2">
      <c r="A142" s="831" t="s">
        <v>32</v>
      </c>
      <c r="B142" s="830">
        <v>18</v>
      </c>
      <c r="C142" s="830">
        <v>127768822.97</v>
      </c>
      <c r="D142" s="828">
        <v>7.7105860045363437E-3</v>
      </c>
      <c r="E142" s="58"/>
    </row>
    <row r="143" spans="1:5" x14ac:dyDescent="0.2">
      <c r="A143" s="832" t="s">
        <v>312</v>
      </c>
      <c r="B143" s="830">
        <v>8</v>
      </c>
      <c r="C143" s="830">
        <v>60889052.189999998</v>
      </c>
      <c r="D143" s="828">
        <v>3.6752793212284128E-3</v>
      </c>
      <c r="E143" s="58"/>
    </row>
    <row r="144" spans="1:5" x14ac:dyDescent="0.2">
      <c r="A144" s="832" t="s">
        <v>313</v>
      </c>
      <c r="B144" s="830">
        <v>7</v>
      </c>
      <c r="C144" s="830">
        <v>27296678.600000001</v>
      </c>
      <c r="D144" s="828">
        <v>1.6471251815137948E-3</v>
      </c>
      <c r="E144" s="58"/>
    </row>
    <row r="145" spans="1:5" x14ac:dyDescent="0.2">
      <c r="A145" s="832" t="s">
        <v>314</v>
      </c>
      <c r="B145" s="830">
        <v>1</v>
      </c>
      <c r="C145" s="830">
        <v>25109756.34</v>
      </c>
      <c r="D145" s="828">
        <v>1.5151151487513047E-3</v>
      </c>
      <c r="E145" s="58"/>
    </row>
    <row r="146" spans="1:5" x14ac:dyDescent="0.2">
      <c r="A146" s="832" t="s">
        <v>343</v>
      </c>
      <c r="B146" s="830">
        <v>2</v>
      </c>
      <c r="C146" s="830">
        <v>14473335.84</v>
      </c>
      <c r="D146" s="828">
        <v>8.7306635304283111E-4</v>
      </c>
      <c r="E146" s="58"/>
    </row>
    <row r="147" spans="1:5" x14ac:dyDescent="0.2">
      <c r="A147" s="831" t="s">
        <v>290</v>
      </c>
      <c r="B147" s="830">
        <v>24</v>
      </c>
      <c r="C147" s="830">
        <v>109130243.88999999</v>
      </c>
      <c r="D147" s="828">
        <v>6.5865005740436255E-3</v>
      </c>
      <c r="E147" s="58"/>
    </row>
    <row r="148" spans="1:5" x14ac:dyDescent="0.2">
      <c r="A148" s="832" t="s">
        <v>312</v>
      </c>
      <c r="B148" s="830">
        <v>11</v>
      </c>
      <c r="C148" s="830">
        <v>34093428.689999998</v>
      </c>
      <c r="D148" s="828">
        <v>2.0581564198879111E-3</v>
      </c>
      <c r="E148" s="58"/>
    </row>
    <row r="149" spans="1:5" x14ac:dyDescent="0.2">
      <c r="A149" s="832" t="s">
        <v>313</v>
      </c>
      <c r="B149" s="830">
        <v>8</v>
      </c>
      <c r="C149" s="830">
        <v>54084185.259999998</v>
      </c>
      <c r="D149" s="828">
        <v>3.2642480828542968E-3</v>
      </c>
      <c r="E149" s="58"/>
    </row>
    <row r="150" spans="1:5" x14ac:dyDescent="0.2">
      <c r="A150" s="832" t="s">
        <v>314</v>
      </c>
      <c r="B150" s="830">
        <v>1</v>
      </c>
      <c r="C150" s="830">
        <v>6329044.9100000001</v>
      </c>
      <c r="D150" s="828">
        <v>3.8202903420659961E-4</v>
      </c>
      <c r="E150" s="58"/>
    </row>
    <row r="151" spans="1:5" x14ac:dyDescent="0.2">
      <c r="A151" s="832" t="s">
        <v>343</v>
      </c>
      <c r="B151" s="830">
        <v>3</v>
      </c>
      <c r="C151" s="830">
        <v>4087605.05</v>
      </c>
      <c r="D151" s="828">
        <v>2.4601869742100395E-4</v>
      </c>
      <c r="E151" s="58"/>
    </row>
    <row r="152" spans="1:5" x14ac:dyDescent="0.2">
      <c r="A152" s="832" t="s">
        <v>4040</v>
      </c>
      <c r="B152" s="830">
        <v>1</v>
      </c>
      <c r="C152" s="830">
        <v>10535979.98</v>
      </c>
      <c r="D152" s="828">
        <v>6.3604833967381518E-4</v>
      </c>
      <c r="E152" s="58"/>
    </row>
    <row r="153" spans="1:5" x14ac:dyDescent="0.2">
      <c r="A153" s="831" t="s">
        <v>295</v>
      </c>
      <c r="B153" s="830">
        <v>14</v>
      </c>
      <c r="C153" s="830">
        <v>136498062.37</v>
      </c>
      <c r="D153" s="828">
        <v>8.2386261355863032E-3</v>
      </c>
      <c r="E153" s="58"/>
    </row>
    <row r="154" spans="1:5" x14ac:dyDescent="0.2">
      <c r="A154" s="832" t="s">
        <v>312</v>
      </c>
      <c r="B154" s="830">
        <v>5</v>
      </c>
      <c r="C154" s="830">
        <v>50697647.020000003</v>
      </c>
      <c r="D154" s="828">
        <v>3.0602325776759027E-3</v>
      </c>
      <c r="E154" s="58"/>
    </row>
    <row r="155" spans="1:5" x14ac:dyDescent="0.2">
      <c r="A155" s="832" t="s">
        <v>313</v>
      </c>
      <c r="B155" s="830">
        <v>3</v>
      </c>
      <c r="C155" s="830">
        <v>51182304.490000002</v>
      </c>
      <c r="D155" s="828">
        <v>3.0892347818434196E-3</v>
      </c>
      <c r="E155" s="58"/>
    </row>
    <row r="156" spans="1:5" x14ac:dyDescent="0.2">
      <c r="A156" s="832" t="s">
        <v>314</v>
      </c>
      <c r="B156" s="830">
        <v>3</v>
      </c>
      <c r="C156" s="830">
        <v>22552425.129999999</v>
      </c>
      <c r="D156" s="828">
        <v>1.3611034438617332E-3</v>
      </c>
      <c r="E156" s="58"/>
    </row>
    <row r="157" spans="1:5" x14ac:dyDescent="0.2">
      <c r="A157" s="832" t="s">
        <v>343</v>
      </c>
      <c r="B157" s="830">
        <v>3</v>
      </c>
      <c r="C157" s="830">
        <v>12065685.73</v>
      </c>
      <c r="D157" s="828">
        <v>7.2805533220524749E-4</v>
      </c>
      <c r="E157" s="58"/>
    </row>
    <row r="158" spans="1:5" x14ac:dyDescent="0.2">
      <c r="A158" s="831" t="s">
        <v>88</v>
      </c>
      <c r="B158" s="830">
        <v>352</v>
      </c>
      <c r="C158" s="830">
        <v>2827046645.0700002</v>
      </c>
      <c r="D158" s="828">
        <v>0.17066497053776084</v>
      </c>
      <c r="E158" s="58"/>
    </row>
    <row r="159" spans="1:5" x14ac:dyDescent="0.2">
      <c r="A159" s="832" t="s">
        <v>312</v>
      </c>
      <c r="B159" s="830">
        <v>242</v>
      </c>
      <c r="C159" s="830">
        <v>1810652195.3399999</v>
      </c>
      <c r="D159" s="828">
        <v>0.10930730735535898</v>
      </c>
      <c r="E159" s="58"/>
    </row>
    <row r="160" spans="1:5" x14ac:dyDescent="0.2">
      <c r="A160" s="832" t="s">
        <v>313</v>
      </c>
      <c r="B160" s="830">
        <v>80</v>
      </c>
      <c r="C160" s="830">
        <v>704602205.42999995</v>
      </c>
      <c r="D160" s="828">
        <v>4.2536232753689278E-2</v>
      </c>
      <c r="E160" s="58"/>
    </row>
    <row r="161" spans="1:5" x14ac:dyDescent="0.2">
      <c r="A161" s="832" t="s">
        <v>314</v>
      </c>
      <c r="B161" s="830">
        <v>21</v>
      </c>
      <c r="C161" s="830">
        <v>225142779.49000001</v>
      </c>
      <c r="D161" s="828">
        <v>1.3591032918501804E-2</v>
      </c>
      <c r="E161" s="58"/>
    </row>
    <row r="162" spans="1:5" x14ac:dyDescent="0.2">
      <c r="A162" s="832" t="s">
        <v>343</v>
      </c>
      <c r="B162" s="830">
        <v>6</v>
      </c>
      <c r="C162" s="830">
        <v>79589440.099999994</v>
      </c>
      <c r="D162" s="828">
        <v>4.8043651317500125E-3</v>
      </c>
      <c r="E162" s="58"/>
    </row>
    <row r="163" spans="1:5" x14ac:dyDescent="0.2">
      <c r="A163" s="832" t="s">
        <v>4040</v>
      </c>
      <c r="B163" s="830">
        <v>3</v>
      </c>
      <c r="C163" s="830">
        <v>7060024.71</v>
      </c>
      <c r="D163" s="828">
        <v>4.2603237846076291E-4</v>
      </c>
      <c r="E163" s="58"/>
    </row>
    <row r="164" spans="1:5" x14ac:dyDescent="0.2">
      <c r="A164" s="831" t="s">
        <v>286</v>
      </c>
      <c r="B164" s="830">
        <v>8</v>
      </c>
      <c r="C164" s="830">
        <v>45852631.460000001</v>
      </c>
      <c r="D164" s="828">
        <v>2.7662102319776301E-3</v>
      </c>
      <c r="E164" s="58"/>
    </row>
    <row r="165" spans="1:5" x14ac:dyDescent="0.2">
      <c r="A165" s="832" t="s">
        <v>312</v>
      </c>
      <c r="B165" s="830">
        <v>6</v>
      </c>
      <c r="C165" s="830">
        <v>41410020.189999998</v>
      </c>
      <c r="D165" s="828">
        <v>2.499189938435321E-3</v>
      </c>
      <c r="E165" s="58"/>
    </row>
    <row r="166" spans="1:5" x14ac:dyDescent="0.2">
      <c r="A166" s="832" t="s">
        <v>313</v>
      </c>
      <c r="B166" s="830">
        <v>1</v>
      </c>
      <c r="C166" s="830">
        <v>3837077.99</v>
      </c>
      <c r="D166" s="828">
        <v>2.3101755733435735E-4</v>
      </c>
      <c r="E166" s="58"/>
    </row>
    <row r="167" spans="1:5" x14ac:dyDescent="0.2">
      <c r="A167" s="832" t="s">
        <v>343</v>
      </c>
      <c r="B167" s="830">
        <v>1</v>
      </c>
      <c r="C167" s="830">
        <v>605533.28</v>
      </c>
      <c r="D167" s="828">
        <v>3.6002736207951798E-5</v>
      </c>
      <c r="E167" s="58"/>
    </row>
    <row r="168" spans="1:5" x14ac:dyDescent="0.2">
      <c r="A168" s="831" t="s">
        <v>289</v>
      </c>
      <c r="B168" s="830">
        <v>16</v>
      </c>
      <c r="C168" s="830">
        <v>238665480.89000002</v>
      </c>
      <c r="D168" s="828">
        <v>1.4406094863209602E-2</v>
      </c>
      <c r="E168" s="58"/>
    </row>
    <row r="169" spans="1:5" x14ac:dyDescent="0.2">
      <c r="A169" s="832" t="s">
        <v>312</v>
      </c>
      <c r="B169" s="830">
        <v>5</v>
      </c>
      <c r="C169" s="830">
        <v>102110650.45999999</v>
      </c>
      <c r="D169" s="828">
        <v>6.1634684236001923E-3</v>
      </c>
      <c r="E169" s="58"/>
    </row>
    <row r="170" spans="1:5" x14ac:dyDescent="0.2">
      <c r="A170" s="832" t="s">
        <v>313</v>
      </c>
      <c r="B170" s="830">
        <v>8</v>
      </c>
      <c r="C170" s="830">
        <v>129675930.59999999</v>
      </c>
      <c r="D170" s="828">
        <v>7.8275948972121867E-3</v>
      </c>
      <c r="E170" s="58"/>
    </row>
    <row r="171" spans="1:5" x14ac:dyDescent="0.2">
      <c r="A171" s="832" t="s">
        <v>314</v>
      </c>
      <c r="B171" s="830">
        <v>3</v>
      </c>
      <c r="C171" s="830">
        <v>6878899.8300000001</v>
      </c>
      <c r="D171" s="828">
        <v>4.1503154239722214E-4</v>
      </c>
      <c r="E171" s="58"/>
    </row>
    <row r="172" spans="1:5" x14ac:dyDescent="0.2">
      <c r="A172" s="831" t="s">
        <v>106</v>
      </c>
      <c r="B172" s="830">
        <v>20</v>
      </c>
      <c r="C172" s="830">
        <v>237272541.94999999</v>
      </c>
      <c r="D172" s="828">
        <v>1.432208847872438E-2</v>
      </c>
      <c r="E172" s="58"/>
    </row>
    <row r="173" spans="1:5" x14ac:dyDescent="0.2">
      <c r="A173" s="832" t="s">
        <v>312</v>
      </c>
      <c r="B173" s="830">
        <v>10</v>
      </c>
      <c r="C173" s="830">
        <v>130961524.23</v>
      </c>
      <c r="D173" s="828">
        <v>7.9056008256627487E-3</v>
      </c>
      <c r="E173" s="58"/>
    </row>
    <row r="174" spans="1:5" x14ac:dyDescent="0.2">
      <c r="A174" s="832" t="s">
        <v>313</v>
      </c>
      <c r="B174" s="830">
        <v>6</v>
      </c>
      <c r="C174" s="830">
        <v>66249642.149999999</v>
      </c>
      <c r="D174" s="828">
        <v>3.9993039470999784E-3</v>
      </c>
      <c r="E174" s="58"/>
    </row>
    <row r="175" spans="1:5" x14ac:dyDescent="0.2">
      <c r="A175" s="832" t="s">
        <v>314</v>
      </c>
      <c r="B175" s="830">
        <v>3</v>
      </c>
      <c r="C175" s="830">
        <v>16426369.390000001</v>
      </c>
      <c r="D175" s="828">
        <v>9.910753217244508E-4</v>
      </c>
      <c r="E175" s="58"/>
    </row>
    <row r="176" spans="1:5" x14ac:dyDescent="0.2">
      <c r="A176" s="832" t="s">
        <v>343</v>
      </c>
      <c r="B176" s="830">
        <v>1</v>
      </c>
      <c r="C176" s="830">
        <v>23635006.18</v>
      </c>
      <c r="D176" s="828">
        <v>1.4261083842372019E-3</v>
      </c>
      <c r="E176" s="58"/>
    </row>
    <row r="177" spans="1:5" x14ac:dyDescent="0.2">
      <c r="A177" s="831" t="s">
        <v>101</v>
      </c>
      <c r="B177" s="830">
        <v>13</v>
      </c>
      <c r="C177" s="830">
        <v>140577531.65000001</v>
      </c>
      <c r="D177" s="828">
        <v>8.4856449090130841E-3</v>
      </c>
      <c r="E177" s="58"/>
    </row>
    <row r="178" spans="1:5" x14ac:dyDescent="0.2">
      <c r="A178" s="832" t="s">
        <v>312</v>
      </c>
      <c r="B178" s="830">
        <v>7</v>
      </c>
      <c r="C178" s="830">
        <v>80152359.890000001</v>
      </c>
      <c r="D178" s="828">
        <v>4.8383677159464112E-3</v>
      </c>
      <c r="E178" s="58"/>
    </row>
    <row r="179" spans="1:5" x14ac:dyDescent="0.2">
      <c r="A179" s="832" t="s">
        <v>313</v>
      </c>
      <c r="B179" s="830">
        <v>5</v>
      </c>
      <c r="C179" s="830">
        <v>47618134.18</v>
      </c>
      <c r="D179" s="828">
        <v>2.874218440601485E-3</v>
      </c>
    </row>
    <row r="180" spans="1:5" x14ac:dyDescent="0.2">
      <c r="A180" s="832" t="s">
        <v>314</v>
      </c>
      <c r="B180" s="830">
        <v>1</v>
      </c>
      <c r="C180" s="830">
        <v>12807037.58</v>
      </c>
      <c r="D180" s="828">
        <v>7.7305875246518713E-4</v>
      </c>
    </row>
    <row r="181" spans="1:5" x14ac:dyDescent="0.2">
      <c r="A181" s="831" t="s">
        <v>94</v>
      </c>
      <c r="B181" s="830">
        <v>24</v>
      </c>
      <c r="C181" s="830">
        <v>124478228.47000001</v>
      </c>
      <c r="D181" s="828">
        <v>7.5125709553926084E-3</v>
      </c>
    </row>
    <row r="182" spans="1:5" x14ac:dyDescent="0.2">
      <c r="A182" s="832" t="s">
        <v>312</v>
      </c>
      <c r="B182" s="830">
        <v>17</v>
      </c>
      <c r="C182" s="830">
        <v>83035797.090000004</v>
      </c>
      <c r="D182" s="828">
        <v>5.0123809409515115E-3</v>
      </c>
    </row>
    <row r="183" spans="1:5" x14ac:dyDescent="0.2">
      <c r="A183" s="832" t="s">
        <v>313</v>
      </c>
      <c r="B183" s="830">
        <v>4</v>
      </c>
      <c r="C183" s="830">
        <v>39433383.829999998</v>
      </c>
      <c r="D183" s="828">
        <v>2.3801808937479242E-3</v>
      </c>
    </row>
    <row r="184" spans="1:5" x14ac:dyDescent="0.2">
      <c r="A184" s="832" t="s">
        <v>314</v>
      </c>
      <c r="B184" s="830">
        <v>1</v>
      </c>
      <c r="C184" s="830">
        <v>851743.54</v>
      </c>
      <c r="D184" s="828">
        <v>5.1003876294598387E-5</v>
      </c>
    </row>
    <row r="185" spans="1:5" x14ac:dyDescent="0.2">
      <c r="A185" s="832" t="s">
        <v>343</v>
      </c>
      <c r="B185" s="830">
        <v>2</v>
      </c>
      <c r="C185" s="830">
        <v>1157304.01</v>
      </c>
      <c r="D185" s="828">
        <v>6.9005244398574276E-5</v>
      </c>
    </row>
    <row r="186" spans="1:5" x14ac:dyDescent="0.2">
      <c r="A186" s="831" t="s">
        <v>3923</v>
      </c>
      <c r="B186" s="830">
        <v>1</v>
      </c>
      <c r="C186" s="830">
        <v>24839300.879999999</v>
      </c>
      <c r="D186" s="828">
        <v>1.4991139326588818E-3</v>
      </c>
    </row>
    <row r="187" spans="1:5" x14ac:dyDescent="0.2">
      <c r="A187" s="832" t="s">
        <v>312</v>
      </c>
      <c r="B187" s="830">
        <v>1</v>
      </c>
      <c r="C187" s="830">
        <v>24839300.879999999</v>
      </c>
      <c r="D187" s="828">
        <v>1.4991139326588818E-3</v>
      </c>
    </row>
    <row r="188" spans="1:5" x14ac:dyDescent="0.2">
      <c r="A188" s="829" t="s">
        <v>37</v>
      </c>
      <c r="B188" s="830">
        <v>69</v>
      </c>
      <c r="C188" s="830">
        <v>951137645.39999998</v>
      </c>
      <c r="D188" s="828">
        <v>5.740936311159648E-2</v>
      </c>
    </row>
    <row r="189" spans="1:5" x14ac:dyDescent="0.2">
      <c r="A189" s="831" t="s">
        <v>26</v>
      </c>
      <c r="B189" s="830">
        <v>3</v>
      </c>
      <c r="C189" s="830">
        <v>28188265.640000001</v>
      </c>
      <c r="D189" s="828">
        <v>1.6991291338141696E-3</v>
      </c>
    </row>
    <row r="190" spans="1:5" x14ac:dyDescent="0.2">
      <c r="A190" s="832" t="s">
        <v>312</v>
      </c>
      <c r="B190" s="830">
        <v>1</v>
      </c>
      <c r="C190" s="830">
        <v>1026841.7</v>
      </c>
      <c r="D190" s="828">
        <v>6.1004636352362772E-5</v>
      </c>
    </row>
    <row r="191" spans="1:5" x14ac:dyDescent="0.2">
      <c r="A191" s="832" t="s">
        <v>313</v>
      </c>
      <c r="B191" s="830">
        <v>1</v>
      </c>
      <c r="C191" s="830">
        <v>11942392.939999999</v>
      </c>
      <c r="D191" s="828">
        <v>7.2005472415903593E-4</v>
      </c>
    </row>
    <row r="192" spans="1:5" x14ac:dyDescent="0.2">
      <c r="A192" s="832" t="s">
        <v>314</v>
      </c>
      <c r="B192" s="830">
        <v>1</v>
      </c>
      <c r="C192" s="830">
        <v>15219031</v>
      </c>
      <c r="D192" s="828">
        <v>9.1806977330277087E-4</v>
      </c>
    </row>
    <row r="193" spans="1:4" x14ac:dyDescent="0.2">
      <c r="A193" s="831" t="s">
        <v>38</v>
      </c>
      <c r="B193" s="830">
        <v>37</v>
      </c>
      <c r="C193" s="830">
        <v>423180420.03999996</v>
      </c>
      <c r="D193" s="828">
        <v>2.5543941339541801E-2</v>
      </c>
    </row>
    <row r="194" spans="1:4" x14ac:dyDescent="0.2">
      <c r="A194" s="832" t="s">
        <v>312</v>
      </c>
      <c r="B194" s="830">
        <v>19</v>
      </c>
      <c r="C194" s="830">
        <v>165919687.66999999</v>
      </c>
      <c r="D194" s="828">
        <v>1.0015761197851036E-2</v>
      </c>
    </row>
    <row r="195" spans="1:4" x14ac:dyDescent="0.2">
      <c r="A195" s="832" t="s">
        <v>313</v>
      </c>
      <c r="B195" s="830">
        <v>10</v>
      </c>
      <c r="C195" s="830">
        <v>142427801.88999999</v>
      </c>
      <c r="D195" s="828">
        <v>8.5976534216600457E-3</v>
      </c>
    </row>
    <row r="196" spans="1:4" x14ac:dyDescent="0.2">
      <c r="A196" s="832" t="s">
        <v>314</v>
      </c>
      <c r="B196" s="830">
        <v>6</v>
      </c>
      <c r="C196" s="830">
        <v>43102744.560000002</v>
      </c>
      <c r="D196" s="828">
        <v>2.6011976910245175E-3</v>
      </c>
    </row>
    <row r="197" spans="1:4" x14ac:dyDescent="0.2">
      <c r="A197" s="832" t="s">
        <v>343</v>
      </c>
      <c r="B197" s="830">
        <v>2</v>
      </c>
      <c r="C197" s="830">
        <v>71730185.920000002</v>
      </c>
      <c r="D197" s="828">
        <v>4.3293290290062035E-3</v>
      </c>
    </row>
    <row r="198" spans="1:4" x14ac:dyDescent="0.2">
      <c r="A198" s="831" t="s">
        <v>288</v>
      </c>
      <c r="B198" s="830">
        <v>23</v>
      </c>
      <c r="C198" s="830">
        <v>412408599.88999999</v>
      </c>
      <c r="D198" s="828">
        <v>2.4893891935787112E-2</v>
      </c>
    </row>
    <row r="199" spans="1:4" x14ac:dyDescent="0.2">
      <c r="A199" s="832" t="s">
        <v>312</v>
      </c>
      <c r="B199" s="830">
        <v>9</v>
      </c>
      <c r="C199" s="830">
        <v>157469908.18000001</v>
      </c>
      <c r="D199" s="828">
        <v>9.5057224349050506E-3</v>
      </c>
    </row>
    <row r="200" spans="1:4" x14ac:dyDescent="0.2">
      <c r="A200" s="832" t="s">
        <v>313</v>
      </c>
      <c r="B200" s="830">
        <v>6</v>
      </c>
      <c r="C200" s="830">
        <v>87850769.760000005</v>
      </c>
      <c r="D200" s="828">
        <v>5.3034030586324547E-3</v>
      </c>
    </row>
    <row r="201" spans="1:4" x14ac:dyDescent="0.2">
      <c r="A201" s="832" t="s">
        <v>314</v>
      </c>
      <c r="B201" s="830">
        <v>5</v>
      </c>
      <c r="C201" s="830">
        <v>126442761.20999999</v>
      </c>
      <c r="D201" s="828">
        <v>7.6325800760857808E-3</v>
      </c>
    </row>
    <row r="202" spans="1:4" x14ac:dyDescent="0.2">
      <c r="A202" s="832" t="s">
        <v>343</v>
      </c>
      <c r="B202" s="830">
        <v>2</v>
      </c>
      <c r="C202" s="830">
        <v>7487476.4199999999</v>
      </c>
      <c r="D202" s="828">
        <v>4.5103427860517393E-4</v>
      </c>
    </row>
    <row r="203" spans="1:4" x14ac:dyDescent="0.2">
      <c r="A203" s="832" t="s">
        <v>4040</v>
      </c>
      <c r="B203" s="830">
        <v>1</v>
      </c>
      <c r="C203" s="830">
        <v>33157684.32</v>
      </c>
      <c r="D203" s="828">
        <v>2.0011520875586543E-3</v>
      </c>
    </row>
    <row r="204" spans="1:4" x14ac:dyDescent="0.2">
      <c r="A204" s="831" t="s">
        <v>686</v>
      </c>
      <c r="B204" s="830">
        <v>5</v>
      </c>
      <c r="C204" s="830">
        <v>82858948.650000006</v>
      </c>
      <c r="D204" s="828">
        <v>5.0013801048879704E-3</v>
      </c>
    </row>
    <row r="205" spans="1:4" x14ac:dyDescent="0.2">
      <c r="A205" s="832" t="s">
        <v>312</v>
      </c>
      <c r="B205" s="830">
        <v>2</v>
      </c>
      <c r="C205" s="830">
        <v>40260001.770000003</v>
      </c>
      <c r="D205" s="828">
        <v>2.4301846940367462E-3</v>
      </c>
    </row>
    <row r="206" spans="1:4" x14ac:dyDescent="0.2">
      <c r="A206" s="832" t="s">
        <v>313</v>
      </c>
      <c r="B206" s="830">
        <v>3</v>
      </c>
      <c r="C206" s="830">
        <v>42598946.880000003</v>
      </c>
      <c r="D206" s="828">
        <v>2.5711954108512242E-3</v>
      </c>
    </row>
    <row r="207" spans="1:4" x14ac:dyDescent="0.2">
      <c r="A207" s="831" t="s">
        <v>2192</v>
      </c>
      <c r="B207" s="830">
        <v>1</v>
      </c>
      <c r="C207" s="830">
        <v>4501411.18</v>
      </c>
      <c r="D207" s="828">
        <v>2.7102059756541492E-4</v>
      </c>
    </row>
    <row r="208" spans="1:4" x14ac:dyDescent="0.2">
      <c r="A208" s="832" t="s">
        <v>313</v>
      </c>
      <c r="B208" s="830">
        <v>1</v>
      </c>
      <c r="C208" s="830">
        <v>4501411.18</v>
      </c>
      <c r="D208" s="828">
        <v>2.7102059756541492E-4</v>
      </c>
    </row>
    <row r="209" spans="1:4" x14ac:dyDescent="0.2">
      <c r="A209" s="829" t="s">
        <v>27</v>
      </c>
      <c r="B209" s="830">
        <v>107</v>
      </c>
      <c r="C209" s="830">
        <v>1691635360.1800001</v>
      </c>
      <c r="D209" s="828">
        <v>0.1021167608738264</v>
      </c>
    </row>
    <row r="210" spans="1:4" x14ac:dyDescent="0.2">
      <c r="A210" s="831" t="s">
        <v>26</v>
      </c>
      <c r="B210" s="830">
        <v>32</v>
      </c>
      <c r="C210" s="830">
        <v>531024704.56999999</v>
      </c>
      <c r="D210" s="828">
        <v>3.2056436289157969E-2</v>
      </c>
    </row>
    <row r="211" spans="1:4" x14ac:dyDescent="0.2">
      <c r="A211" s="832" t="s">
        <v>312</v>
      </c>
      <c r="B211" s="830">
        <v>16</v>
      </c>
      <c r="C211" s="830">
        <v>216484950.66</v>
      </c>
      <c r="D211" s="828">
        <v>1.3068993243486503E-2</v>
      </c>
    </row>
    <row r="212" spans="1:4" x14ac:dyDescent="0.2">
      <c r="A212" s="832" t="s">
        <v>313</v>
      </c>
      <c r="B212" s="830">
        <v>12</v>
      </c>
      <c r="C212" s="830">
        <v>241771322.77000001</v>
      </c>
      <c r="D212" s="828">
        <v>1.4595109228301349E-2</v>
      </c>
    </row>
    <row r="213" spans="1:4" x14ac:dyDescent="0.2">
      <c r="A213" s="832" t="s">
        <v>314</v>
      </c>
      <c r="B213" s="830">
        <v>3</v>
      </c>
      <c r="C213" s="830">
        <v>68305668</v>
      </c>
      <c r="D213" s="828">
        <v>4.1233133718162574E-3</v>
      </c>
    </row>
    <row r="214" spans="1:4" x14ac:dyDescent="0.2">
      <c r="A214" s="832" t="s">
        <v>343</v>
      </c>
      <c r="B214" s="830">
        <v>1</v>
      </c>
      <c r="C214" s="830">
        <v>4462763.1399999997</v>
      </c>
      <c r="D214" s="828">
        <v>2.6902044555386206E-4</v>
      </c>
    </row>
    <row r="215" spans="1:4" x14ac:dyDescent="0.2">
      <c r="A215" s="831" t="s">
        <v>81</v>
      </c>
      <c r="B215" s="830">
        <v>49</v>
      </c>
      <c r="C215" s="830">
        <v>726962070.49000013</v>
      </c>
      <c r="D215" s="828">
        <v>4.3884335209475919E-2</v>
      </c>
    </row>
    <row r="216" spans="1:4" x14ac:dyDescent="0.2">
      <c r="A216" s="832" t="s">
        <v>312</v>
      </c>
      <c r="B216" s="830">
        <v>28</v>
      </c>
      <c r="C216" s="830">
        <v>379013953.13</v>
      </c>
      <c r="D216" s="828">
        <v>2.2880738936159144E-2</v>
      </c>
    </row>
    <row r="217" spans="1:4" x14ac:dyDescent="0.2">
      <c r="A217" s="832" t="s">
        <v>313</v>
      </c>
      <c r="B217" s="830">
        <v>13</v>
      </c>
      <c r="C217" s="830">
        <v>215113523.83000001</v>
      </c>
      <c r="D217" s="828">
        <v>1.2985986935007058E-2</v>
      </c>
    </row>
    <row r="218" spans="1:4" x14ac:dyDescent="0.2">
      <c r="A218" s="832" t="s">
        <v>314</v>
      </c>
      <c r="B218" s="830">
        <v>5</v>
      </c>
      <c r="C218" s="830">
        <v>85346124.700000003</v>
      </c>
      <c r="D218" s="828">
        <v>5.1513915057544366E-3</v>
      </c>
    </row>
    <row r="219" spans="1:4" x14ac:dyDescent="0.2">
      <c r="A219" s="832" t="s">
        <v>343</v>
      </c>
      <c r="B219" s="830">
        <v>2</v>
      </c>
      <c r="C219" s="830">
        <v>25135498.239999998</v>
      </c>
      <c r="D219" s="828">
        <v>1.5171153007628576E-3</v>
      </c>
    </row>
    <row r="220" spans="1:4" x14ac:dyDescent="0.2">
      <c r="A220" s="832" t="s">
        <v>4040</v>
      </c>
      <c r="B220" s="830">
        <v>1</v>
      </c>
      <c r="C220" s="830">
        <v>22352970.59</v>
      </c>
      <c r="D220" s="828">
        <v>1.3491025317924159E-3</v>
      </c>
    </row>
    <row r="221" spans="1:4" x14ac:dyDescent="0.2">
      <c r="A221" s="831" t="s">
        <v>116</v>
      </c>
      <c r="B221" s="830">
        <v>26</v>
      </c>
      <c r="C221" s="830">
        <v>433648585.12000006</v>
      </c>
      <c r="D221" s="828">
        <v>2.6175989375192509E-2</v>
      </c>
    </row>
    <row r="222" spans="1:4" x14ac:dyDescent="0.2">
      <c r="A222" s="832" t="s">
        <v>312</v>
      </c>
      <c r="B222" s="830">
        <v>14</v>
      </c>
      <c r="C222" s="830">
        <v>246379357.81999999</v>
      </c>
      <c r="D222" s="828">
        <v>1.4873130357907199E-2</v>
      </c>
    </row>
    <row r="223" spans="1:4" x14ac:dyDescent="0.2">
      <c r="A223" s="832" t="s">
        <v>313</v>
      </c>
      <c r="B223" s="830">
        <v>5</v>
      </c>
      <c r="C223" s="830">
        <v>98499235.420000002</v>
      </c>
      <c r="D223" s="828">
        <v>5.9454518543409288E-3</v>
      </c>
    </row>
    <row r="224" spans="1:4" x14ac:dyDescent="0.2">
      <c r="A224" s="832" t="s">
        <v>314</v>
      </c>
      <c r="B224" s="830">
        <v>2</v>
      </c>
      <c r="C224" s="830">
        <v>47587521.969999999</v>
      </c>
      <c r="D224" s="828">
        <v>2.8722182885899325E-3</v>
      </c>
    </row>
    <row r="225" spans="1:4" x14ac:dyDescent="0.2">
      <c r="A225" s="832" t="s">
        <v>343</v>
      </c>
      <c r="B225" s="830">
        <v>2</v>
      </c>
      <c r="C225" s="830">
        <v>1301420.98</v>
      </c>
      <c r="D225" s="828">
        <v>7.8005928450562223E-5</v>
      </c>
    </row>
    <row r="226" spans="1:4" x14ac:dyDescent="0.2">
      <c r="A226" s="832" t="s">
        <v>4040</v>
      </c>
      <c r="B226" s="830">
        <v>3</v>
      </c>
      <c r="C226" s="830">
        <v>39881048.93</v>
      </c>
      <c r="D226" s="828">
        <v>2.4071829459038881E-3</v>
      </c>
    </row>
    <row r="227" spans="1:4" x14ac:dyDescent="0.2">
      <c r="A227" s="829" t="s">
        <v>41</v>
      </c>
      <c r="B227" s="830">
        <v>2</v>
      </c>
      <c r="C227" s="830">
        <v>67208602.450000003</v>
      </c>
      <c r="D227" s="828">
        <v>4.0573083554350121E-3</v>
      </c>
    </row>
    <row r="228" spans="1:4" x14ac:dyDescent="0.2">
      <c r="A228" s="831" t="s">
        <v>1189</v>
      </c>
      <c r="B228" s="830">
        <v>2</v>
      </c>
      <c r="C228" s="830">
        <v>67208602.450000003</v>
      </c>
      <c r="D228" s="828">
        <v>4.0573083554350121E-3</v>
      </c>
    </row>
    <row r="229" spans="1:4" x14ac:dyDescent="0.2">
      <c r="A229" s="832" t="s">
        <v>312</v>
      </c>
      <c r="B229" s="830">
        <v>2</v>
      </c>
      <c r="C229" s="830">
        <v>67208602.450000003</v>
      </c>
      <c r="D229" s="828">
        <v>4.0573083554350121E-3</v>
      </c>
    </row>
    <row r="230" spans="1:4" x14ac:dyDescent="0.2">
      <c r="A230" s="829" t="s">
        <v>321</v>
      </c>
      <c r="B230" s="830">
        <v>1451</v>
      </c>
      <c r="C230" s="833">
        <v>16565955388.189999</v>
      </c>
      <c r="D230" s="828">
        <v>1</v>
      </c>
    </row>
    <row r="231" spans="1:4" ht="13.2" x14ac:dyDescent="0.25">
      <c r="A231"/>
      <c r="B231"/>
      <c r="C231"/>
      <c r="D231"/>
    </row>
    <row r="232" spans="1:4" ht="13.2" x14ac:dyDescent="0.25">
      <c r="A232"/>
      <c r="B232"/>
      <c r="C232"/>
      <c r="D232"/>
    </row>
    <row r="233" spans="1:4" ht="13.2" x14ac:dyDescent="0.25">
      <c r="A233"/>
      <c r="B233"/>
      <c r="C233"/>
      <c r="D233"/>
    </row>
    <row r="234" spans="1:4" ht="13.2" x14ac:dyDescent="0.25">
      <c r="A234"/>
      <c r="B234"/>
      <c r="C234"/>
      <c r="D234"/>
    </row>
    <row r="235" spans="1:4" ht="13.2" x14ac:dyDescent="0.25">
      <c r="A235"/>
      <c r="B235"/>
      <c r="C235"/>
      <c r="D235"/>
    </row>
    <row r="236" spans="1:4" ht="13.2" x14ac:dyDescent="0.25">
      <c r="A236"/>
      <c r="B236"/>
      <c r="C236"/>
      <c r="D236"/>
    </row>
    <row r="237" spans="1:4" ht="13.2" x14ac:dyDescent="0.25">
      <c r="A237"/>
      <c r="B237"/>
      <c r="C237"/>
      <c r="D237"/>
    </row>
    <row r="238" spans="1:4" ht="13.2" x14ac:dyDescent="0.25">
      <c r="A238"/>
      <c r="B238"/>
      <c r="C238"/>
      <c r="D238"/>
    </row>
    <row r="239" spans="1:4" ht="13.2" x14ac:dyDescent="0.25">
      <c r="A239"/>
      <c r="B239"/>
      <c r="C239"/>
      <c r="D239"/>
    </row>
    <row r="240" spans="1:4" ht="13.2" x14ac:dyDescent="0.25">
      <c r="A240"/>
      <c r="B240"/>
      <c r="C240"/>
      <c r="D240"/>
    </row>
    <row r="241" spans="1:4" ht="13.2" x14ac:dyDescent="0.25">
      <c r="A241"/>
      <c r="B241"/>
      <c r="C241"/>
      <c r="D241"/>
    </row>
    <row r="242" spans="1:4" ht="13.2" x14ac:dyDescent="0.25">
      <c r="A242"/>
      <c r="B242"/>
      <c r="C242"/>
      <c r="D242"/>
    </row>
    <row r="243" spans="1:4" ht="13.2" x14ac:dyDescent="0.25">
      <c r="A243"/>
      <c r="B243"/>
      <c r="C243"/>
      <c r="D243"/>
    </row>
    <row r="244" spans="1:4" ht="13.2" x14ac:dyDescent="0.25">
      <c r="A244"/>
      <c r="B244"/>
      <c r="C244" s="105"/>
      <c r="D244"/>
    </row>
    <row r="245" spans="1:4" ht="13.2" x14ac:dyDescent="0.25">
      <c r="A245"/>
      <c r="B245"/>
      <c r="C245" s="105"/>
      <c r="D245"/>
    </row>
    <row r="246" spans="1:4" ht="13.2" x14ac:dyDescent="0.25">
      <c r="A246"/>
      <c r="B246"/>
      <c r="C246" s="105"/>
      <c r="D246"/>
    </row>
    <row r="247" spans="1:4" ht="13.2" x14ac:dyDescent="0.25">
      <c r="A247"/>
      <c r="B247"/>
      <c r="C247" s="105"/>
      <c r="D247"/>
    </row>
    <row r="248" spans="1:4" ht="13.2" x14ac:dyDescent="0.25">
      <c r="A248"/>
      <c r="B248"/>
      <c r="C248" s="105"/>
      <c r="D248"/>
    </row>
    <row r="249" spans="1:4" ht="13.2" x14ac:dyDescent="0.25">
      <c r="A249"/>
      <c r="B249"/>
      <c r="C249" s="105"/>
      <c r="D249"/>
    </row>
    <row r="250" spans="1:4" ht="13.2" x14ac:dyDescent="0.25">
      <c r="A250"/>
      <c r="B250"/>
      <c r="C250" s="105"/>
      <c r="D250"/>
    </row>
    <row r="251" spans="1:4" ht="13.2" x14ac:dyDescent="0.25">
      <c r="A251"/>
      <c r="B251"/>
      <c r="C251" s="105"/>
      <c r="D251"/>
    </row>
    <row r="252" spans="1:4" ht="13.2" x14ac:dyDescent="0.25">
      <c r="A252"/>
      <c r="B252"/>
      <c r="C252" s="105"/>
      <c r="D252"/>
    </row>
    <row r="253" spans="1:4" ht="13.2" x14ac:dyDescent="0.25">
      <c r="A253"/>
      <c r="B253"/>
      <c r="C253" s="105"/>
      <c r="D253"/>
    </row>
    <row r="254" spans="1:4" ht="13.2" x14ac:dyDescent="0.25">
      <c r="A254"/>
      <c r="B254"/>
      <c r="C254" s="105"/>
      <c r="D254"/>
    </row>
    <row r="255" spans="1:4" ht="13.2" x14ac:dyDescent="0.25">
      <c r="A255"/>
      <c r="B255"/>
      <c r="C255" s="105"/>
      <c r="D255"/>
    </row>
    <row r="256" spans="1:4" ht="13.2" x14ac:dyDescent="0.25">
      <c r="A256"/>
      <c r="B256"/>
      <c r="C256" s="105"/>
      <c r="D256"/>
    </row>
    <row r="257" spans="1:4" ht="13.2" x14ac:dyDescent="0.25">
      <c r="A257"/>
      <c r="B257"/>
      <c r="C257" s="105"/>
      <c r="D257"/>
    </row>
    <row r="258" spans="1:4" ht="13.2" x14ac:dyDescent="0.25">
      <c r="A258"/>
      <c r="B258"/>
      <c r="C258" s="105"/>
      <c r="D258"/>
    </row>
    <row r="259" spans="1:4" ht="13.2" x14ac:dyDescent="0.25">
      <c r="A259"/>
      <c r="B259"/>
      <c r="C259" s="105"/>
      <c r="D259"/>
    </row>
    <row r="260" spans="1:4" ht="13.2" x14ac:dyDescent="0.25">
      <c r="A260"/>
      <c r="B260"/>
      <c r="C260" s="105"/>
      <c r="D260"/>
    </row>
    <row r="261" spans="1:4" ht="13.2" x14ac:dyDescent="0.25">
      <c r="A261"/>
      <c r="B261"/>
      <c r="C261" s="105"/>
      <c r="D261"/>
    </row>
    <row r="262" spans="1:4" ht="13.2" x14ac:dyDescent="0.25">
      <c r="A262"/>
      <c r="B262"/>
      <c r="C262" s="105"/>
      <c r="D262"/>
    </row>
    <row r="263" spans="1:4" ht="13.2" x14ac:dyDescent="0.25">
      <c r="A263"/>
      <c r="B263"/>
      <c r="C263" s="105"/>
      <c r="D263"/>
    </row>
    <row r="264" spans="1:4" ht="13.2" x14ac:dyDescent="0.25">
      <c r="A264"/>
      <c r="B264"/>
      <c r="C264" s="105"/>
      <c r="D264"/>
    </row>
    <row r="265" spans="1:4" ht="13.2" x14ac:dyDescent="0.25">
      <c r="A265"/>
      <c r="B265"/>
      <c r="C265" s="105"/>
      <c r="D265"/>
    </row>
    <row r="266" spans="1:4" ht="13.2" x14ac:dyDescent="0.25">
      <c r="A266"/>
      <c r="B266"/>
      <c r="C266" s="105"/>
      <c r="D266"/>
    </row>
    <row r="267" spans="1:4" ht="13.2" x14ac:dyDescent="0.25">
      <c r="A267"/>
      <c r="B267"/>
      <c r="C267" s="105"/>
      <c r="D267"/>
    </row>
    <row r="268" spans="1:4" ht="13.2" x14ac:dyDescent="0.25">
      <c r="A268"/>
      <c r="B268"/>
      <c r="C268" s="105"/>
      <c r="D268"/>
    </row>
    <row r="269" spans="1:4" ht="13.2" x14ac:dyDescent="0.25">
      <c r="A269"/>
      <c r="B269"/>
      <c r="C269" s="105"/>
      <c r="D269"/>
    </row>
    <row r="270" spans="1:4" ht="13.2" x14ac:dyDescent="0.25">
      <c r="A270"/>
      <c r="B270"/>
      <c r="C270" s="105"/>
      <c r="D270"/>
    </row>
    <row r="271" spans="1:4" ht="13.2" x14ac:dyDescent="0.25">
      <c r="A271"/>
      <c r="B271"/>
      <c r="C271" s="105"/>
      <c r="D271"/>
    </row>
    <row r="272" spans="1:4" ht="13.2" x14ac:dyDescent="0.25">
      <c r="A272"/>
      <c r="B272"/>
      <c r="C272" s="105"/>
      <c r="D272"/>
    </row>
    <row r="273" spans="1:4" ht="13.2" x14ac:dyDescent="0.25">
      <c r="A273"/>
      <c r="B273"/>
      <c r="C273" s="105"/>
      <c r="D273"/>
    </row>
    <row r="274" spans="1:4" ht="13.2" x14ac:dyDescent="0.25">
      <c r="A274"/>
      <c r="B274"/>
      <c r="C274" s="105"/>
      <c r="D274"/>
    </row>
    <row r="275" spans="1:4" ht="13.2" x14ac:dyDescent="0.25">
      <c r="A275"/>
      <c r="B275"/>
      <c r="C275" s="105"/>
      <c r="D275"/>
    </row>
    <row r="276" spans="1:4" ht="13.2" x14ac:dyDescent="0.25">
      <c r="A276"/>
      <c r="B276"/>
      <c r="C276" s="105"/>
      <c r="D276"/>
    </row>
    <row r="277" spans="1:4" ht="13.2" x14ac:dyDescent="0.25">
      <c r="A277"/>
      <c r="B277"/>
      <c r="C277" s="105"/>
      <c r="D277"/>
    </row>
    <row r="278" spans="1:4" ht="13.2" x14ac:dyDescent="0.25">
      <c r="A278"/>
      <c r="B278"/>
      <c r="C278" s="105"/>
      <c r="D278"/>
    </row>
    <row r="279" spans="1:4" ht="13.2" x14ac:dyDescent="0.25">
      <c r="A279"/>
      <c r="B279"/>
      <c r="C279" s="105"/>
      <c r="D279"/>
    </row>
    <row r="280" spans="1:4" ht="13.2" x14ac:dyDescent="0.25">
      <c r="A280"/>
      <c r="B280"/>
      <c r="C280" s="105"/>
      <c r="D280"/>
    </row>
    <row r="281" spans="1:4" ht="13.2" x14ac:dyDescent="0.25">
      <c r="A281"/>
      <c r="B281"/>
      <c r="C281" s="105"/>
      <c r="D281"/>
    </row>
    <row r="282" spans="1:4" ht="13.2" x14ac:dyDescent="0.25">
      <c r="A282"/>
      <c r="B282"/>
      <c r="C282" s="105"/>
      <c r="D282"/>
    </row>
    <row r="283" spans="1:4" ht="13.2" x14ac:dyDescent="0.25">
      <c r="A283"/>
      <c r="B283"/>
      <c r="C283" s="105"/>
      <c r="D283"/>
    </row>
    <row r="284" spans="1:4" ht="13.2" x14ac:dyDescent="0.25">
      <c r="A284"/>
      <c r="B284"/>
      <c r="C284" s="105"/>
      <c r="D284"/>
    </row>
    <row r="285" spans="1:4" ht="13.2" x14ac:dyDescent="0.25">
      <c r="A285"/>
      <c r="B285"/>
      <c r="C285" s="105"/>
      <c r="D285"/>
    </row>
    <row r="286" spans="1:4" ht="13.2" x14ac:dyDescent="0.25">
      <c r="A286"/>
      <c r="B286"/>
      <c r="C286" s="105"/>
      <c r="D286"/>
    </row>
    <row r="287" spans="1:4" ht="13.2" x14ac:dyDescent="0.25">
      <c r="A287"/>
      <c r="B287"/>
      <c r="C287" s="105"/>
      <c r="D287"/>
    </row>
    <row r="288" spans="1:4" ht="13.2" x14ac:dyDescent="0.25">
      <c r="A288"/>
      <c r="B288"/>
      <c r="C288" s="105"/>
      <c r="D288"/>
    </row>
    <row r="289" spans="1:4" ht="13.2" x14ac:dyDescent="0.25">
      <c r="A289"/>
      <c r="B289"/>
      <c r="C289" s="105"/>
      <c r="D289"/>
    </row>
    <row r="290" spans="1:4" ht="13.2" x14ac:dyDescent="0.25">
      <c r="A290"/>
      <c r="B290"/>
      <c r="C290" s="105"/>
      <c r="D290"/>
    </row>
    <row r="291" spans="1:4" ht="13.2" x14ac:dyDescent="0.25">
      <c r="A291"/>
      <c r="B291"/>
      <c r="C291" s="105"/>
      <c r="D291"/>
    </row>
    <row r="292" spans="1:4" ht="13.2" x14ac:dyDescent="0.25">
      <c r="A292"/>
      <c r="B292"/>
      <c r="C292" s="105"/>
      <c r="D292"/>
    </row>
    <row r="293" spans="1:4" ht="13.2" x14ac:dyDescent="0.25">
      <c r="A293"/>
      <c r="B293"/>
      <c r="C293" s="105"/>
      <c r="D293"/>
    </row>
    <row r="294" spans="1:4" ht="13.2" x14ac:dyDescent="0.25">
      <c r="A294"/>
      <c r="B294"/>
      <c r="C294" s="105"/>
      <c r="D294"/>
    </row>
    <row r="295" spans="1:4" ht="13.2" x14ac:dyDescent="0.25">
      <c r="A295"/>
      <c r="B295"/>
      <c r="C295" s="105"/>
      <c r="D295"/>
    </row>
    <row r="296" spans="1:4" ht="13.2" x14ac:dyDescent="0.25">
      <c r="A296"/>
      <c r="B296"/>
      <c r="C296" s="105"/>
      <c r="D296"/>
    </row>
    <row r="297" spans="1:4" ht="13.2" x14ac:dyDescent="0.25">
      <c r="A297"/>
      <c r="B297"/>
      <c r="C297" s="105"/>
      <c r="D297"/>
    </row>
    <row r="298" spans="1:4" ht="13.2" x14ac:dyDescent="0.25">
      <c r="A298"/>
      <c r="B298"/>
      <c r="C298" s="105"/>
      <c r="D298"/>
    </row>
    <row r="299" spans="1:4" ht="13.2" x14ac:dyDescent="0.25">
      <c r="A299"/>
      <c r="B299"/>
      <c r="C299" s="105"/>
      <c r="D299"/>
    </row>
    <row r="300" spans="1:4" ht="13.2" x14ac:dyDescent="0.25">
      <c r="A300"/>
      <c r="B300"/>
      <c r="C300" s="105"/>
      <c r="D300"/>
    </row>
    <row r="301" spans="1:4" ht="13.2" x14ac:dyDescent="0.25">
      <c r="A301"/>
      <c r="B301"/>
      <c r="C301" s="105"/>
      <c r="D301"/>
    </row>
    <row r="302" spans="1:4" ht="13.2" x14ac:dyDescent="0.25">
      <c r="A302"/>
      <c r="B302"/>
      <c r="C302" s="105"/>
      <c r="D302"/>
    </row>
    <row r="303" spans="1:4" ht="13.2" x14ac:dyDescent="0.25">
      <c r="A303"/>
      <c r="B303"/>
      <c r="C303" s="105"/>
      <c r="D303"/>
    </row>
    <row r="304" spans="1:4" ht="13.2" x14ac:dyDescent="0.25">
      <c r="A304"/>
      <c r="B304"/>
      <c r="C304" s="105"/>
      <c r="D304"/>
    </row>
    <row r="305" spans="1:4" ht="13.2" x14ac:dyDescent="0.25">
      <c r="A305"/>
      <c r="B305"/>
      <c r="C305" s="105"/>
      <c r="D305"/>
    </row>
    <row r="306" spans="1:4" ht="13.2" x14ac:dyDescent="0.25">
      <c r="A306"/>
      <c r="B306"/>
      <c r="C306" s="105"/>
      <c r="D306"/>
    </row>
    <row r="307" spans="1:4" ht="13.2" x14ac:dyDescent="0.25">
      <c r="A307"/>
      <c r="B307"/>
      <c r="C307" s="105"/>
      <c r="D307"/>
    </row>
    <row r="308" spans="1:4" ht="13.2" x14ac:dyDescent="0.25">
      <c r="A308"/>
      <c r="B308"/>
      <c r="C308" s="105"/>
      <c r="D308"/>
    </row>
    <row r="309" spans="1:4" ht="13.2" x14ac:dyDescent="0.25">
      <c r="A309"/>
      <c r="B309"/>
      <c r="C309" s="105"/>
      <c r="D309"/>
    </row>
    <row r="310" spans="1:4" ht="13.2" x14ac:dyDescent="0.25">
      <c r="A310"/>
      <c r="B310"/>
      <c r="C310" s="105"/>
      <c r="D310"/>
    </row>
    <row r="311" spans="1:4" ht="13.2" x14ac:dyDescent="0.25">
      <c r="A311"/>
      <c r="B311"/>
      <c r="C311" s="105"/>
      <c r="D311"/>
    </row>
    <row r="312" spans="1:4" ht="13.2" x14ac:dyDescent="0.25">
      <c r="A312"/>
      <c r="B312"/>
      <c r="C312" s="105"/>
      <c r="D312"/>
    </row>
    <row r="313" spans="1:4" ht="13.2" x14ac:dyDescent="0.25">
      <c r="A313"/>
      <c r="B313"/>
      <c r="C313" s="105"/>
      <c r="D313"/>
    </row>
    <row r="314" spans="1:4" ht="13.2" x14ac:dyDescent="0.25">
      <c r="A314"/>
      <c r="B314"/>
      <c r="C314" s="105"/>
      <c r="D314"/>
    </row>
    <row r="315" spans="1:4" ht="13.2" x14ac:dyDescent="0.25">
      <c r="A315"/>
      <c r="B315"/>
      <c r="C315" s="105"/>
      <c r="D315"/>
    </row>
    <row r="316" spans="1:4" ht="13.2" x14ac:dyDescent="0.25">
      <c r="A316"/>
      <c r="B316"/>
      <c r="C316" s="105"/>
      <c r="D316"/>
    </row>
    <row r="317" spans="1:4" ht="13.2" x14ac:dyDescent="0.25">
      <c r="A317"/>
      <c r="B317"/>
      <c r="C317" s="105"/>
      <c r="D317"/>
    </row>
    <row r="318" spans="1:4" ht="13.2" x14ac:dyDescent="0.25">
      <c r="A318"/>
      <c r="B318"/>
      <c r="C318" s="105"/>
      <c r="D318"/>
    </row>
    <row r="319" spans="1:4" ht="13.2" x14ac:dyDescent="0.25">
      <c r="A319"/>
      <c r="B319"/>
      <c r="C319" s="105"/>
      <c r="D319"/>
    </row>
    <row r="320" spans="1:4" ht="13.2" x14ac:dyDescent="0.25">
      <c r="A320"/>
      <c r="B320"/>
      <c r="C320" s="105"/>
      <c r="D320"/>
    </row>
    <row r="321" spans="1:4" ht="13.2" x14ac:dyDescent="0.25">
      <c r="A321"/>
      <c r="B321"/>
      <c r="C321" s="105"/>
      <c r="D321"/>
    </row>
    <row r="322" spans="1:4" ht="13.2" x14ac:dyDescent="0.25">
      <c r="A322"/>
      <c r="B322"/>
      <c r="C322" s="105"/>
      <c r="D322"/>
    </row>
    <row r="323" spans="1:4" ht="13.2" x14ac:dyDescent="0.25">
      <c r="A323"/>
      <c r="B323"/>
      <c r="C323" s="105"/>
      <c r="D323"/>
    </row>
    <row r="324" spans="1:4" ht="13.2" x14ac:dyDescent="0.25">
      <c r="A324"/>
      <c r="B324"/>
      <c r="C324" s="105"/>
      <c r="D324"/>
    </row>
    <row r="325" spans="1:4" ht="13.2" x14ac:dyDescent="0.25">
      <c r="A325"/>
      <c r="B325"/>
      <c r="C325" s="105"/>
      <c r="D325"/>
    </row>
    <row r="326" spans="1:4" ht="13.2" x14ac:dyDescent="0.25">
      <c r="A326"/>
      <c r="B326"/>
      <c r="C326" s="105"/>
      <c r="D326"/>
    </row>
    <row r="327" spans="1:4" ht="13.2" x14ac:dyDescent="0.25">
      <c r="A327"/>
      <c r="B327"/>
      <c r="C327" s="105"/>
      <c r="D327"/>
    </row>
    <row r="328" spans="1:4" ht="13.2" x14ac:dyDescent="0.25">
      <c r="A328"/>
      <c r="B328"/>
      <c r="C328" s="105"/>
      <c r="D328"/>
    </row>
    <row r="329" spans="1:4" ht="13.2" x14ac:dyDescent="0.25">
      <c r="A329"/>
      <c r="B329"/>
      <c r="C329" s="105"/>
      <c r="D329"/>
    </row>
    <row r="330" spans="1:4" ht="13.2" x14ac:dyDescent="0.25">
      <c r="A330"/>
      <c r="B330"/>
      <c r="C330" s="105"/>
      <c r="D330"/>
    </row>
    <row r="331" spans="1:4" ht="13.2" x14ac:dyDescent="0.25">
      <c r="A331"/>
      <c r="B331"/>
      <c r="C331" s="105"/>
      <c r="D331"/>
    </row>
    <row r="332" spans="1:4" ht="13.2" x14ac:dyDescent="0.25">
      <c r="A332"/>
      <c r="B332"/>
      <c r="C332" s="105"/>
      <c r="D332"/>
    </row>
    <row r="333" spans="1:4" ht="13.2" x14ac:dyDescent="0.25">
      <c r="A333"/>
      <c r="B333"/>
      <c r="C333" s="105"/>
      <c r="D333"/>
    </row>
    <row r="334" spans="1:4" ht="13.2" x14ac:dyDescent="0.25">
      <c r="A334"/>
      <c r="B334"/>
      <c r="C334" s="105"/>
      <c r="D334"/>
    </row>
    <row r="335" spans="1:4" ht="13.2" x14ac:dyDescent="0.25">
      <c r="A335"/>
      <c r="B335"/>
      <c r="C335" s="105"/>
      <c r="D335"/>
    </row>
    <row r="336" spans="1:4" ht="13.2" x14ac:dyDescent="0.25">
      <c r="A336"/>
      <c r="B336"/>
      <c r="C336" s="105"/>
      <c r="D336"/>
    </row>
    <row r="337" spans="1:4" ht="13.2" x14ac:dyDescent="0.25">
      <c r="A337"/>
      <c r="B337"/>
      <c r="C337" s="105"/>
      <c r="D337"/>
    </row>
    <row r="338" spans="1:4" ht="13.2" x14ac:dyDescent="0.25">
      <c r="A338"/>
      <c r="B338"/>
      <c r="C338" s="105"/>
      <c r="D338"/>
    </row>
  </sheetData>
  <conditionalFormatting pivot="1" sqref="D6:D230">
    <cfRule type="cellIs" dxfId="123" priority="67" operator="lessThan">
      <formula>0.05</formula>
    </cfRule>
    <cfRule type="cellIs" dxfId="122" priority="68" operator="between">
      <formula>0.05</formula>
      <formula>0.1</formula>
    </cfRule>
    <cfRule type="cellIs" dxfId="121" priority="72" operator="greaterThan">
      <formula>0.1</formula>
    </cfRule>
  </conditionalFormatting>
  <conditionalFormatting sqref="D1:D5 D339:D1048576">
    <cfRule type="cellIs" dxfId="120" priority="64" operator="lessThan">
      <formula>"5$E$0.00%"</formula>
    </cfRule>
    <cfRule type="cellIs" dxfId="119" priority="65" operator="between">
      <formula>0.05</formula>
      <formula>0.1</formula>
    </cfRule>
    <cfRule type="cellIs" dxfId="118" priority="66" operator="greaterThan">
      <formula>0.1</formula>
    </cfRule>
  </conditionalFormatting>
  <conditionalFormatting sqref="D1:D5 D244:D1048576">
    <cfRule type="cellIs" dxfId="117" priority="1" operator="lessThan">
      <formula>"5$E$0.00%"</formula>
    </cfRule>
    <cfRule type="cellIs" dxfId="116" priority="2" operator="between">
      <formula>0.05</formula>
      <formula>0.1</formula>
    </cfRule>
    <cfRule type="cellIs" dxfId="115" priority="3" operator="greaterThan">
      <formula>0.1</formula>
    </cfRule>
    <cfRule type="cellIs" dxfId="114" priority="4" operator="lessThan">
      <formula>"5$E$0.00%"</formula>
    </cfRule>
    <cfRule type="cellIs" dxfId="113" priority="5" operator="between">
      <formula>0.05</formula>
      <formula>0.1</formula>
    </cfRule>
    <cfRule type="cellIs" dxfId="112" priority="6" operator="greaterThan">
      <formula>0.1</formula>
    </cfRule>
    <cfRule type="cellIs" dxfId="111" priority="7" operator="lessThan">
      <formula>"5$E$0.00%"</formula>
    </cfRule>
    <cfRule type="cellIs" dxfId="110" priority="8" operator="between">
      <formula>0.05</formula>
      <formula>0.1</formula>
    </cfRule>
    <cfRule type="cellIs" dxfId="109" priority="9" operator="greaterThan">
      <formula>0.1</formula>
    </cfRule>
    <cfRule type="cellIs" dxfId="108" priority="10" operator="lessThan">
      <formula>"5$E$0.00%"</formula>
    </cfRule>
    <cfRule type="cellIs" dxfId="107" priority="11" operator="between">
      <formula>0.05</formula>
      <formula>0.1</formula>
    </cfRule>
    <cfRule type="cellIs" dxfId="106" priority="12" operator="greaterThan">
      <formula>0.1</formula>
    </cfRule>
    <cfRule type="cellIs" dxfId="105" priority="13" operator="lessThan">
      <formula>"5$E$0.00%"</formula>
    </cfRule>
    <cfRule type="cellIs" dxfId="104" priority="14" operator="between">
      <formula>0.05</formula>
      <formula>0.1</formula>
    </cfRule>
    <cfRule type="cellIs" dxfId="103" priority="15" operator="greaterThan">
      <formula>0.1</formula>
    </cfRule>
    <cfRule type="cellIs" dxfId="102" priority="16" operator="lessThan">
      <formula>"5$E$0.00%"</formula>
    </cfRule>
    <cfRule type="cellIs" dxfId="101" priority="17" operator="between">
      <formula>0.05</formula>
      <formula>0.1</formula>
    </cfRule>
    <cfRule type="cellIs" dxfId="100" priority="18" operator="greaterThan">
      <formula>0.1</formula>
    </cfRule>
    <cfRule type="cellIs" dxfId="99" priority="19" operator="lessThan">
      <formula>"5$E$0.00%"</formula>
    </cfRule>
    <cfRule type="cellIs" dxfId="98" priority="20" operator="between">
      <formula>0.05</formula>
      <formula>0.1</formula>
    </cfRule>
    <cfRule type="cellIs" dxfId="97" priority="21" operator="greaterThan">
      <formula>0.1</formula>
    </cfRule>
    <cfRule type="cellIs" dxfId="96" priority="22" operator="lessThan">
      <formula>"5$E$0.00%"</formula>
    </cfRule>
    <cfRule type="cellIs" dxfId="95" priority="23" operator="between">
      <formula>0.05</formula>
      <formula>0.1</formula>
    </cfRule>
    <cfRule type="cellIs" dxfId="94" priority="24" operator="greaterThan">
      <formula>0.1</formula>
    </cfRule>
    <cfRule type="cellIs" dxfId="93" priority="25" operator="lessThan">
      <formula>"5$E$0.00%"</formula>
    </cfRule>
    <cfRule type="cellIs" dxfId="92" priority="26" operator="between">
      <formula>0.05</formula>
      <formula>0.1</formula>
    </cfRule>
    <cfRule type="cellIs" dxfId="91" priority="27" operator="greaterThan">
      <formula>0.1</formula>
    </cfRule>
    <cfRule type="cellIs" dxfId="90" priority="28" operator="lessThan">
      <formula>"5$E$0.00%"</formula>
    </cfRule>
    <cfRule type="cellIs" dxfId="89" priority="29" operator="between">
      <formula>0.05</formula>
      <formula>0.1</formula>
    </cfRule>
    <cfRule type="cellIs" dxfId="88" priority="30" operator="greaterThan">
      <formula>0.1</formula>
    </cfRule>
    <cfRule type="cellIs" dxfId="87" priority="31" operator="lessThan">
      <formula>"5$E$0.00%"</formula>
    </cfRule>
    <cfRule type="cellIs" dxfId="86" priority="32" operator="between">
      <formula>0.05</formula>
      <formula>0.1</formula>
    </cfRule>
    <cfRule type="cellIs" dxfId="85" priority="33" operator="greaterThan">
      <formula>0.1</formula>
    </cfRule>
    <cfRule type="cellIs" dxfId="84" priority="34" operator="lessThan">
      <formula>"5$E$0.00%"</formula>
    </cfRule>
    <cfRule type="cellIs" dxfId="83" priority="35" operator="between">
      <formula>0.05</formula>
      <formula>0.1</formula>
    </cfRule>
    <cfRule type="cellIs" dxfId="82" priority="36" operator="greaterThan">
      <formula>0.1</formula>
    </cfRule>
    <cfRule type="cellIs" dxfId="81" priority="37" operator="lessThan">
      <formula>"5$E$0.00%"</formula>
    </cfRule>
    <cfRule type="cellIs" dxfId="80" priority="38" operator="between">
      <formula>0.05</formula>
      <formula>0.1</formula>
    </cfRule>
    <cfRule type="cellIs" dxfId="79" priority="39" operator="greaterThan">
      <formula>0.1</formula>
    </cfRule>
    <cfRule type="cellIs" dxfId="78" priority="40" operator="lessThan">
      <formula>"5$E$0.00%"</formula>
    </cfRule>
    <cfRule type="cellIs" dxfId="77" priority="41" operator="between">
      <formula>0.05</formula>
      <formula>0.1</formula>
    </cfRule>
    <cfRule type="cellIs" dxfId="76" priority="42" operator="greaterThan">
      <formula>0.1</formula>
    </cfRule>
    <cfRule type="cellIs" dxfId="75" priority="43" operator="lessThan">
      <formula>"5$E$0.00%"</formula>
    </cfRule>
    <cfRule type="cellIs" dxfId="74" priority="44" operator="between">
      <formula>0.05</formula>
      <formula>0.1</formula>
    </cfRule>
    <cfRule type="cellIs" dxfId="73" priority="45" operator="greaterThan">
      <formula>0.1</formula>
    </cfRule>
    <cfRule type="cellIs" dxfId="72" priority="46" operator="lessThan">
      <formula>"5$E$0.00%"</formula>
    </cfRule>
    <cfRule type="cellIs" dxfId="71" priority="47" operator="between">
      <formula>0.05</formula>
      <formula>0.1</formula>
    </cfRule>
    <cfRule type="cellIs" dxfId="70" priority="48" operator="greaterThan">
      <formula>0.1</formula>
    </cfRule>
    <cfRule type="cellIs" dxfId="69" priority="49" operator="lessThan">
      <formula>"5$E$0.00%"</formula>
    </cfRule>
    <cfRule type="cellIs" dxfId="68" priority="50" operator="between">
      <formula>0.05</formula>
      <formula>0.1</formula>
    </cfRule>
    <cfRule type="cellIs" dxfId="67" priority="51" operator="greaterThan">
      <formula>0.1</formula>
    </cfRule>
    <cfRule type="cellIs" dxfId="66" priority="52" operator="lessThan">
      <formula>"5$E$0.00%"</formula>
    </cfRule>
    <cfRule type="cellIs" dxfId="65" priority="53" operator="between">
      <formula>0.05</formula>
      <formula>0.1</formula>
    </cfRule>
    <cfRule type="cellIs" dxfId="64" priority="54" operator="greaterThan">
      <formula>0.1</formula>
    </cfRule>
    <cfRule type="cellIs" dxfId="63" priority="55" operator="lessThan">
      <formula>"5$E$0.00%"</formula>
    </cfRule>
    <cfRule type="cellIs" dxfId="62" priority="56" operator="between">
      <formula>0.05</formula>
      <formula>0.1</formula>
    </cfRule>
    <cfRule type="cellIs" dxfId="61" priority="57" operator="greaterThan">
      <formula>0.1</formula>
    </cfRule>
    <cfRule type="cellIs" dxfId="60" priority="58" operator="lessThan">
      <formula>"5$E$0.00%"</formula>
    </cfRule>
    <cfRule type="cellIs" dxfId="59" priority="59" operator="between">
      <formula>0.05</formula>
      <formula>0.1</formula>
    </cfRule>
    <cfRule type="cellIs" dxfId="58" priority="60" operator="greaterThan">
      <formula>0.1</formula>
    </cfRule>
    <cfRule type="cellIs" dxfId="57" priority="61" operator="lessThan">
      <formula>"5$E$0.00%"</formula>
    </cfRule>
    <cfRule type="cellIs" dxfId="56" priority="62" operator="between">
      <formula>0.05</formula>
      <formula>0.1</formula>
    </cfRule>
    <cfRule type="cellIs" dxfId="55" priority="63" operator="greaterThan">
      <formula>0.1</formula>
    </cfRule>
  </conditionalFormatting>
  <pageMargins left="0.7" right="0.7" top="0.75" bottom="0.75" header="0.3" footer="0.3"/>
  <pageSetup paperSize="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Macro3">
                <anchor moveWithCells="1">
                  <from>
                    <xdr:col>5</xdr:col>
                    <xdr:colOff>480060</xdr:colOff>
                    <xdr:row>5</xdr:row>
                    <xdr:rowOff>22860</xdr:rowOff>
                  </from>
                  <to>
                    <xdr:col>5</xdr:col>
                    <xdr:colOff>975360</xdr:colOff>
                    <xdr:row>6</xdr:row>
                    <xdr:rowOff>99060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
  <sheetViews>
    <sheetView workbookViewId="0"/>
  </sheetViews>
  <sheetFormatPr defaultRowHeight="13.2" x14ac:dyDescent="0.2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W1452"/>
  <sheetViews>
    <sheetView workbookViewId="0">
      <selection activeCell="B26" sqref="B26"/>
    </sheetView>
  </sheetViews>
  <sheetFormatPr defaultRowHeight="13.2" x14ac:dyDescent="0.25"/>
  <cols>
    <col min="1" max="1" width="68.5546875" bestFit="1" customWidth="1"/>
    <col min="2" max="2" width="35.6640625" bestFit="1" customWidth="1"/>
    <col min="3" max="3" width="17.109375" bestFit="1" customWidth="1"/>
    <col min="4" max="4" width="23.6640625" style="105" bestFit="1" customWidth="1"/>
    <col min="5" max="5" width="19.44140625" bestFit="1" customWidth="1"/>
    <col min="6" max="6" width="12.88671875" style="105" bestFit="1" customWidth="1"/>
    <col min="7" max="7" width="16.109375" style="105" bestFit="1" customWidth="1"/>
    <col min="8" max="8" width="19.109375" bestFit="1" customWidth="1"/>
    <col min="9" max="9" width="17.33203125" bestFit="1" customWidth="1"/>
    <col min="10" max="12" width="13.6640625" bestFit="1" customWidth="1"/>
    <col min="13" max="13" width="16.44140625" bestFit="1" customWidth="1"/>
    <col min="14" max="14" width="16.33203125" bestFit="1" customWidth="1"/>
    <col min="15" max="15" width="36.33203125" bestFit="1" customWidth="1"/>
    <col min="16" max="16" width="35.88671875" bestFit="1" customWidth="1"/>
    <col min="17" max="17" width="45.109375" bestFit="1" customWidth="1"/>
    <col min="18" max="20" width="14" style="105" bestFit="1" customWidth="1"/>
    <col min="21" max="21" width="18.44140625" style="109" bestFit="1" customWidth="1"/>
    <col min="22" max="22" width="19.5546875" style="109" bestFit="1" customWidth="1"/>
    <col min="23" max="23" width="18.33203125" bestFit="1" customWidth="1"/>
  </cols>
  <sheetData>
    <row r="1" spans="1:23" x14ac:dyDescent="0.25">
      <c r="A1" t="s">
        <v>51</v>
      </c>
      <c r="B1" t="s">
        <v>52</v>
      </c>
      <c r="C1" t="s">
        <v>54</v>
      </c>
      <c r="D1" s="105" t="s">
        <v>55</v>
      </c>
      <c r="E1" t="s">
        <v>56</v>
      </c>
      <c r="F1" s="105" t="s">
        <v>57</v>
      </c>
      <c r="G1" s="105" t="s">
        <v>53</v>
      </c>
      <c r="H1" t="s">
        <v>58</v>
      </c>
      <c r="I1" t="s">
        <v>59</v>
      </c>
      <c r="J1" t="s">
        <v>60</v>
      </c>
      <c r="K1" t="s">
        <v>61</v>
      </c>
      <c r="L1" t="s">
        <v>62</v>
      </c>
      <c r="M1" t="s">
        <v>11</v>
      </c>
      <c r="N1" t="s">
        <v>12</v>
      </c>
      <c r="O1" t="s">
        <v>21</v>
      </c>
      <c r="P1" t="s">
        <v>22</v>
      </c>
      <c r="Q1" t="s">
        <v>23</v>
      </c>
      <c r="R1" s="106" t="s">
        <v>1202</v>
      </c>
      <c r="S1" s="106" t="s">
        <v>1203</v>
      </c>
      <c r="T1" s="106" t="s">
        <v>1204</v>
      </c>
      <c r="U1" s="109" t="s">
        <v>1221</v>
      </c>
      <c r="V1" s="109" t="s">
        <v>1222</v>
      </c>
      <c r="W1" t="s">
        <v>1223</v>
      </c>
    </row>
    <row r="2" spans="1:23" x14ac:dyDescent="0.25">
      <c r="A2" t="s">
        <v>333</v>
      </c>
      <c r="B2" t="s">
        <v>1282</v>
      </c>
      <c r="C2">
        <v>40</v>
      </c>
      <c r="D2" s="105">
        <v>1496244.82</v>
      </c>
      <c r="E2" t="s">
        <v>5724</v>
      </c>
      <c r="F2" s="105">
        <v>89344.39</v>
      </c>
      <c r="G2" s="105">
        <v>1586606.27</v>
      </c>
      <c r="H2" s="143">
        <v>41957.638357060183</v>
      </c>
      <c r="I2" s="143">
        <v>43053</v>
      </c>
      <c r="J2" t="s">
        <v>334</v>
      </c>
      <c r="K2" t="s">
        <v>1280</v>
      </c>
      <c r="L2" t="s">
        <v>1280</v>
      </c>
      <c r="M2">
        <v>101042</v>
      </c>
      <c r="N2" t="s">
        <v>326</v>
      </c>
      <c r="O2" t="s">
        <v>36</v>
      </c>
      <c r="P2" t="s">
        <v>97</v>
      </c>
      <c r="Q2" t="s">
        <v>98</v>
      </c>
      <c r="R2" s="105">
        <f>IF(Table__192.168.1.150_Daily_Delinquency_With_Sectors[[#This Row],[Days in Arrears]] &gt; 0, Table__192.168.1.150_Daily_Delinquency_With_Sectors[[#This Row],[Outstanding Balance]],0)</f>
        <v>1496244.82</v>
      </c>
      <c r="S2" s="105">
        <f>IF(Table__192.168.1.150_Daily_Delinquency_With_Sectors[[#This Row],[Days in Arrears]] &gt; 30, Table__192.168.1.150_Daily_Delinquency_With_Sectors[[#This Row],[Outstanding Balance]],0)</f>
        <v>1496244.82</v>
      </c>
      <c r="T2" s="105">
        <f>IF(Table__192.168.1.150_Daily_Delinquency_With_Sectors[[#This Row],[Days in Arrears]] &gt; 90, Table__192.168.1.150_Daily_Delinquency_With_Sectors[[#This Row],[Outstanding Balance]],0)</f>
        <v>0</v>
      </c>
      <c r="U2" s="109">
        <f>IF(Table__192.168.1.150_Daily_Delinquency_With_Sectors[[#This Row],[Days in Arrears]] &gt;= 1,1,0)</f>
        <v>1</v>
      </c>
      <c r="V2" s="109">
        <f>IF(Table__192.168.1.150_Daily_Delinquency_With_Sectors[[#This Row],[Days in Arrears]] &gt; 30,1,0)</f>
        <v>1</v>
      </c>
      <c r="W2" s="109">
        <f>IF(Table__192.168.1.150_Daily_Delinquency_With_Sectors[[#This Row],[Days in Arrears]] &gt; 90,1,0)</f>
        <v>0</v>
      </c>
    </row>
    <row r="3" spans="1:23" x14ac:dyDescent="0.25">
      <c r="A3" t="s">
        <v>603</v>
      </c>
      <c r="B3" t="s">
        <v>1284</v>
      </c>
      <c r="C3">
        <v>-8</v>
      </c>
      <c r="D3" s="105">
        <v>1787422.92</v>
      </c>
      <c r="E3" t="s">
        <v>491</v>
      </c>
      <c r="F3" s="105">
        <v>37535.879999999997</v>
      </c>
      <c r="G3" s="105">
        <v>1841045.61</v>
      </c>
      <c r="H3" s="143">
        <v>41970.484529710651</v>
      </c>
      <c r="I3" s="143">
        <v>43071</v>
      </c>
      <c r="J3" t="s">
        <v>604</v>
      </c>
      <c r="K3" t="s">
        <v>605</v>
      </c>
      <c r="L3" t="s">
        <v>1280</v>
      </c>
      <c r="M3">
        <v>101068</v>
      </c>
      <c r="N3" t="s">
        <v>602</v>
      </c>
      <c r="O3" t="s">
        <v>44</v>
      </c>
      <c r="P3" t="s">
        <v>75</v>
      </c>
      <c r="Q3" t="s">
        <v>26</v>
      </c>
      <c r="R3" s="105">
        <f>IF(Table__192.168.1.150_Daily_Delinquency_With_Sectors[[#This Row],[Days in Arrears]] &gt; 0, Table__192.168.1.150_Daily_Delinquency_With_Sectors[[#This Row],[Outstanding Balance]],0)</f>
        <v>0</v>
      </c>
      <c r="S3" s="105">
        <f>IF(Table__192.168.1.150_Daily_Delinquency_With_Sectors[[#This Row],[Days in Arrears]] &gt; 30, Table__192.168.1.150_Daily_Delinquency_With_Sectors[[#This Row],[Outstanding Balance]],0)</f>
        <v>0</v>
      </c>
      <c r="T3" s="105">
        <f>IF(Table__192.168.1.150_Daily_Delinquency_With_Sectors[[#This Row],[Days in Arrears]] &gt; 90, Table__192.168.1.150_Daily_Delinquency_With_Sectors[[#This Row],[Outstanding Balance]],0)</f>
        <v>0</v>
      </c>
      <c r="U3" s="109">
        <f>IF(Table__192.168.1.150_Daily_Delinquency_With_Sectors[[#This Row],[Days in Arrears]] &gt;= 1,1,0)</f>
        <v>0</v>
      </c>
      <c r="V3" s="109">
        <f>IF(Table__192.168.1.150_Daily_Delinquency_With_Sectors[[#This Row],[Days in Arrears]] &gt; 30,1,0)</f>
        <v>0</v>
      </c>
      <c r="W3" s="109">
        <f>IF(Table__192.168.1.150_Daily_Delinquency_With_Sectors[[#This Row],[Days in Arrears]] &gt; 90,1,0)</f>
        <v>0</v>
      </c>
    </row>
    <row r="4" spans="1:23" x14ac:dyDescent="0.25">
      <c r="A4" t="s">
        <v>596</v>
      </c>
      <c r="B4" t="s">
        <v>1284</v>
      </c>
      <c r="C4">
        <v>6</v>
      </c>
      <c r="D4" s="105">
        <v>1348808.9</v>
      </c>
      <c r="E4" t="s">
        <v>546</v>
      </c>
      <c r="F4" s="105">
        <v>6689.88</v>
      </c>
      <c r="G4" s="105">
        <v>1388948.2</v>
      </c>
      <c r="H4" s="143">
        <v>41988.481454317131</v>
      </c>
      <c r="I4" s="143">
        <v>43087</v>
      </c>
      <c r="J4" t="s">
        <v>597</v>
      </c>
      <c r="K4" t="s">
        <v>1280</v>
      </c>
      <c r="L4" t="s">
        <v>1280</v>
      </c>
      <c r="M4">
        <v>101114</v>
      </c>
      <c r="N4" t="s">
        <v>595</v>
      </c>
      <c r="O4" t="s">
        <v>44</v>
      </c>
      <c r="P4" t="s">
        <v>75</v>
      </c>
      <c r="Q4" t="s">
        <v>26</v>
      </c>
      <c r="R4" s="105">
        <f>IF(Table__192.168.1.150_Daily_Delinquency_With_Sectors[[#This Row],[Days in Arrears]] &gt; 0, Table__192.168.1.150_Daily_Delinquency_With_Sectors[[#This Row],[Outstanding Balance]],0)</f>
        <v>1348808.9</v>
      </c>
      <c r="S4" s="105">
        <f>IF(Table__192.168.1.150_Daily_Delinquency_With_Sectors[[#This Row],[Days in Arrears]] &gt; 30, Table__192.168.1.150_Daily_Delinquency_With_Sectors[[#This Row],[Outstanding Balance]],0)</f>
        <v>0</v>
      </c>
      <c r="T4" s="105">
        <f>IF(Table__192.168.1.150_Daily_Delinquency_With_Sectors[[#This Row],[Days in Arrears]] &gt; 90, Table__192.168.1.150_Daily_Delinquency_With_Sectors[[#This Row],[Outstanding Balance]],0)</f>
        <v>0</v>
      </c>
      <c r="U4" s="109">
        <f>IF(Table__192.168.1.150_Daily_Delinquency_With_Sectors[[#This Row],[Days in Arrears]] &gt;= 1,1,0)</f>
        <v>1</v>
      </c>
      <c r="V4" s="109">
        <f>IF(Table__192.168.1.150_Daily_Delinquency_With_Sectors[[#This Row],[Days in Arrears]] &gt; 30,1,0)</f>
        <v>0</v>
      </c>
      <c r="W4" s="109">
        <f>IF(Table__192.168.1.150_Daily_Delinquency_With_Sectors[[#This Row],[Days in Arrears]] &gt; 90,1,0)</f>
        <v>0</v>
      </c>
    </row>
    <row r="5" spans="1:23" x14ac:dyDescent="0.25">
      <c r="A5" t="s">
        <v>279</v>
      </c>
      <c r="B5" t="s">
        <v>1284</v>
      </c>
      <c r="C5">
        <v>39</v>
      </c>
      <c r="D5" s="105">
        <v>6896243.7000000002</v>
      </c>
      <c r="E5" t="s">
        <v>1039</v>
      </c>
      <c r="F5" s="105">
        <v>362625.13</v>
      </c>
      <c r="G5" s="105">
        <v>7421104.2699999996</v>
      </c>
      <c r="H5" s="143">
        <v>42006.451877627318</v>
      </c>
      <c r="I5" s="143">
        <v>43115</v>
      </c>
      <c r="J5" t="s">
        <v>280</v>
      </c>
      <c r="K5" t="s">
        <v>281</v>
      </c>
      <c r="L5" t="s">
        <v>1280</v>
      </c>
      <c r="M5">
        <v>101181</v>
      </c>
      <c r="N5" t="s">
        <v>120</v>
      </c>
      <c r="O5" t="s">
        <v>44</v>
      </c>
      <c r="P5" t="s">
        <v>92</v>
      </c>
      <c r="Q5" t="s">
        <v>26</v>
      </c>
      <c r="R5" s="105">
        <f>IF(Table__192.168.1.150_Daily_Delinquency_With_Sectors[[#This Row],[Days in Arrears]] &gt; 0, Table__192.168.1.150_Daily_Delinquency_With_Sectors[[#This Row],[Outstanding Balance]],0)</f>
        <v>6896243.7000000002</v>
      </c>
      <c r="S5" s="105">
        <f>IF(Table__192.168.1.150_Daily_Delinquency_With_Sectors[[#This Row],[Days in Arrears]] &gt; 30, Table__192.168.1.150_Daily_Delinquency_With_Sectors[[#This Row],[Outstanding Balance]],0)</f>
        <v>6896243.7000000002</v>
      </c>
      <c r="T5" s="105">
        <f>IF(Table__192.168.1.150_Daily_Delinquency_With_Sectors[[#This Row],[Days in Arrears]] &gt; 90, Table__192.168.1.150_Daily_Delinquency_With_Sectors[[#This Row],[Outstanding Balance]],0)</f>
        <v>0</v>
      </c>
      <c r="U5" s="109">
        <f>IF(Table__192.168.1.150_Daily_Delinquency_With_Sectors[[#This Row],[Days in Arrears]] &gt;= 1,1,0)</f>
        <v>1</v>
      </c>
      <c r="V5" s="109">
        <f>IF(Table__192.168.1.150_Daily_Delinquency_With_Sectors[[#This Row],[Days in Arrears]] &gt; 30,1,0)</f>
        <v>1</v>
      </c>
      <c r="W5" s="109">
        <f>IF(Table__192.168.1.150_Daily_Delinquency_With_Sectors[[#This Row],[Days in Arrears]] &gt; 90,1,0)</f>
        <v>0</v>
      </c>
    </row>
    <row r="6" spans="1:23" x14ac:dyDescent="0.25">
      <c r="A6" t="s">
        <v>745</v>
      </c>
      <c r="B6" t="s">
        <v>1283</v>
      </c>
      <c r="C6">
        <v>23</v>
      </c>
      <c r="D6" s="105">
        <v>9430003.2799999993</v>
      </c>
      <c r="E6" t="s">
        <v>468</v>
      </c>
      <c r="F6" s="105">
        <v>169700.16</v>
      </c>
      <c r="G6" s="105">
        <v>10017074.689999999</v>
      </c>
      <c r="H6" s="143">
        <v>42059.636060914352</v>
      </c>
      <c r="I6" s="143">
        <v>43160</v>
      </c>
      <c r="J6" t="s">
        <v>746</v>
      </c>
      <c r="K6" t="s">
        <v>1280</v>
      </c>
      <c r="L6" t="s">
        <v>1280</v>
      </c>
      <c r="M6">
        <v>101304</v>
      </c>
      <c r="N6" t="s">
        <v>744</v>
      </c>
      <c r="O6" t="s">
        <v>44</v>
      </c>
      <c r="P6" t="s">
        <v>75</v>
      </c>
      <c r="Q6" t="s">
        <v>26</v>
      </c>
      <c r="R6" s="105">
        <f>IF(Table__192.168.1.150_Daily_Delinquency_With_Sectors[[#This Row],[Days in Arrears]] &gt; 0, Table__192.168.1.150_Daily_Delinquency_With_Sectors[[#This Row],[Outstanding Balance]],0)</f>
        <v>9430003.2799999993</v>
      </c>
      <c r="S6" s="105">
        <f>IF(Table__192.168.1.150_Daily_Delinquency_With_Sectors[[#This Row],[Days in Arrears]] &gt; 30, Table__192.168.1.150_Daily_Delinquency_With_Sectors[[#This Row],[Outstanding Balance]],0)</f>
        <v>0</v>
      </c>
      <c r="T6" s="105">
        <f>IF(Table__192.168.1.150_Daily_Delinquency_With_Sectors[[#This Row],[Days in Arrears]] &gt; 90, Table__192.168.1.150_Daily_Delinquency_With_Sectors[[#This Row],[Outstanding Balance]],0)</f>
        <v>0</v>
      </c>
      <c r="U6" s="109">
        <f>IF(Table__192.168.1.150_Daily_Delinquency_With_Sectors[[#This Row],[Days in Arrears]] &gt;= 1,1,0)</f>
        <v>1</v>
      </c>
      <c r="V6" s="109">
        <f>IF(Table__192.168.1.150_Daily_Delinquency_With_Sectors[[#This Row],[Days in Arrears]] &gt; 30,1,0)</f>
        <v>0</v>
      </c>
      <c r="W6" s="109">
        <f>IF(Table__192.168.1.150_Daily_Delinquency_With_Sectors[[#This Row],[Days in Arrears]] &gt; 90,1,0)</f>
        <v>0</v>
      </c>
    </row>
    <row r="7" spans="1:23" x14ac:dyDescent="0.25">
      <c r="A7" t="s">
        <v>140</v>
      </c>
      <c r="B7" t="s">
        <v>1281</v>
      </c>
      <c r="C7">
        <v>23</v>
      </c>
      <c r="D7" s="105">
        <v>3431151.96</v>
      </c>
      <c r="E7" t="s">
        <v>1191</v>
      </c>
      <c r="F7" s="105">
        <v>189931.83</v>
      </c>
      <c r="G7" s="105">
        <v>3797879.23</v>
      </c>
      <c r="H7" s="143">
        <v>42061.503410300924</v>
      </c>
      <c r="I7" s="143">
        <v>43160</v>
      </c>
      <c r="J7" t="s">
        <v>141</v>
      </c>
      <c r="K7" t="s">
        <v>142</v>
      </c>
      <c r="L7" t="s">
        <v>143</v>
      </c>
      <c r="M7">
        <v>101313</v>
      </c>
      <c r="N7" t="s">
        <v>139</v>
      </c>
      <c r="O7" t="s">
        <v>28</v>
      </c>
      <c r="P7" t="s">
        <v>755</v>
      </c>
      <c r="Q7" t="s">
        <v>26</v>
      </c>
      <c r="R7" s="105">
        <f>IF(Table__192.168.1.150_Daily_Delinquency_With_Sectors[[#This Row],[Days in Arrears]] &gt; 0, Table__192.168.1.150_Daily_Delinquency_With_Sectors[[#This Row],[Outstanding Balance]],0)</f>
        <v>3431151.96</v>
      </c>
      <c r="S7" s="105">
        <f>IF(Table__192.168.1.150_Daily_Delinquency_With_Sectors[[#This Row],[Days in Arrears]] &gt; 30, Table__192.168.1.150_Daily_Delinquency_With_Sectors[[#This Row],[Outstanding Balance]],0)</f>
        <v>0</v>
      </c>
      <c r="T7" s="105">
        <f>IF(Table__192.168.1.150_Daily_Delinquency_With_Sectors[[#This Row],[Days in Arrears]] &gt; 90, Table__192.168.1.150_Daily_Delinquency_With_Sectors[[#This Row],[Outstanding Balance]],0)</f>
        <v>0</v>
      </c>
      <c r="U7" s="109">
        <f>IF(Table__192.168.1.150_Daily_Delinquency_With_Sectors[[#This Row],[Days in Arrears]] &gt;= 1,1,0)</f>
        <v>1</v>
      </c>
      <c r="V7" s="109">
        <f>IF(Table__192.168.1.150_Daily_Delinquency_With_Sectors[[#This Row],[Days in Arrears]] &gt; 30,1,0)</f>
        <v>0</v>
      </c>
      <c r="W7" s="109">
        <f>IF(Table__192.168.1.150_Daily_Delinquency_With_Sectors[[#This Row],[Days in Arrears]] &gt; 90,1,0)</f>
        <v>0</v>
      </c>
    </row>
    <row r="8" spans="1:23" x14ac:dyDescent="0.25">
      <c r="A8" t="s">
        <v>204</v>
      </c>
      <c r="B8" t="s">
        <v>1283</v>
      </c>
      <c r="C8">
        <v>-8</v>
      </c>
      <c r="D8" s="105">
        <v>5142447.18</v>
      </c>
      <c r="E8" t="s">
        <v>3074</v>
      </c>
      <c r="F8" s="105">
        <v>107991.39</v>
      </c>
      <c r="G8" s="105">
        <v>5517678.3499999996</v>
      </c>
      <c r="H8" s="143">
        <v>42067.607975578707</v>
      </c>
      <c r="I8" s="143">
        <v>43161</v>
      </c>
      <c r="J8" t="s">
        <v>205</v>
      </c>
      <c r="K8" t="s">
        <v>206</v>
      </c>
      <c r="L8" t="s">
        <v>1280</v>
      </c>
      <c r="M8">
        <v>101339</v>
      </c>
      <c r="N8" t="s">
        <v>203</v>
      </c>
      <c r="O8" t="s">
        <v>44</v>
      </c>
      <c r="P8" t="s">
        <v>75</v>
      </c>
      <c r="Q8" t="s">
        <v>26</v>
      </c>
      <c r="R8" s="105">
        <f>IF(Table__192.168.1.150_Daily_Delinquency_With_Sectors[[#This Row],[Days in Arrears]] &gt; 0, Table__192.168.1.150_Daily_Delinquency_With_Sectors[[#This Row],[Outstanding Balance]],0)</f>
        <v>0</v>
      </c>
      <c r="S8" s="105">
        <f>IF(Table__192.168.1.150_Daily_Delinquency_With_Sectors[[#This Row],[Days in Arrears]] &gt; 30, Table__192.168.1.150_Daily_Delinquency_With_Sectors[[#This Row],[Outstanding Balance]],0)</f>
        <v>0</v>
      </c>
      <c r="T8" s="105">
        <f>IF(Table__192.168.1.150_Daily_Delinquency_With_Sectors[[#This Row],[Days in Arrears]] &gt; 90, Table__192.168.1.150_Daily_Delinquency_With_Sectors[[#This Row],[Outstanding Balance]],0)</f>
        <v>0</v>
      </c>
      <c r="U8" s="109">
        <f>IF(Table__192.168.1.150_Daily_Delinquency_With_Sectors[[#This Row],[Days in Arrears]] &gt;= 1,1,0)</f>
        <v>0</v>
      </c>
      <c r="V8" s="109">
        <f>IF(Table__192.168.1.150_Daily_Delinquency_With_Sectors[[#This Row],[Days in Arrears]] &gt; 30,1,0)</f>
        <v>0</v>
      </c>
      <c r="W8" s="109">
        <f>IF(Table__192.168.1.150_Daily_Delinquency_With_Sectors[[#This Row],[Days in Arrears]] &gt; 90,1,0)</f>
        <v>0</v>
      </c>
    </row>
    <row r="9" spans="1:23" x14ac:dyDescent="0.25">
      <c r="A9" t="s">
        <v>814</v>
      </c>
      <c r="B9" t="s">
        <v>1283</v>
      </c>
      <c r="C9">
        <v>7</v>
      </c>
      <c r="D9" s="105">
        <v>13971913.65</v>
      </c>
      <c r="E9" t="s">
        <v>468</v>
      </c>
      <c r="F9" s="105">
        <v>83766.55</v>
      </c>
      <c r="G9" s="105">
        <v>15034466.93</v>
      </c>
      <c r="H9" s="143">
        <v>42080.653667743056</v>
      </c>
      <c r="I9" s="143">
        <v>43176</v>
      </c>
      <c r="J9" t="s">
        <v>815</v>
      </c>
      <c r="K9" t="s">
        <v>1280</v>
      </c>
      <c r="L9" t="s">
        <v>1280</v>
      </c>
      <c r="M9">
        <v>101385</v>
      </c>
      <c r="N9" t="s">
        <v>809</v>
      </c>
      <c r="O9" t="s">
        <v>25</v>
      </c>
      <c r="P9" t="s">
        <v>290</v>
      </c>
      <c r="Q9" t="s">
        <v>26</v>
      </c>
      <c r="R9" s="105">
        <f>IF(Table__192.168.1.150_Daily_Delinquency_With_Sectors[[#This Row],[Days in Arrears]] &gt; 0, Table__192.168.1.150_Daily_Delinquency_With_Sectors[[#This Row],[Outstanding Balance]],0)</f>
        <v>13971913.65</v>
      </c>
      <c r="S9" s="105">
        <f>IF(Table__192.168.1.150_Daily_Delinquency_With_Sectors[[#This Row],[Days in Arrears]] &gt; 30, Table__192.168.1.150_Daily_Delinquency_With_Sectors[[#This Row],[Outstanding Balance]],0)</f>
        <v>0</v>
      </c>
      <c r="T9" s="105">
        <f>IF(Table__192.168.1.150_Daily_Delinquency_With_Sectors[[#This Row],[Days in Arrears]] &gt; 90, Table__192.168.1.150_Daily_Delinquency_With_Sectors[[#This Row],[Outstanding Balance]],0)</f>
        <v>0</v>
      </c>
      <c r="U9" s="109">
        <f>IF(Table__192.168.1.150_Daily_Delinquency_With_Sectors[[#This Row],[Days in Arrears]] &gt;= 1,1,0)</f>
        <v>1</v>
      </c>
      <c r="V9" s="109">
        <f>IF(Table__192.168.1.150_Daily_Delinquency_With_Sectors[[#This Row],[Days in Arrears]] &gt; 30,1,0)</f>
        <v>0</v>
      </c>
      <c r="W9" s="109">
        <f>IF(Table__192.168.1.150_Daily_Delinquency_With_Sectors[[#This Row],[Days in Arrears]] &gt; 90,1,0)</f>
        <v>0</v>
      </c>
    </row>
    <row r="10" spans="1:23" x14ac:dyDescent="0.25">
      <c r="A10" t="s">
        <v>627</v>
      </c>
      <c r="B10" t="s">
        <v>1283</v>
      </c>
      <c r="C10">
        <v>70</v>
      </c>
      <c r="D10" s="105">
        <v>21619863.559999999</v>
      </c>
      <c r="E10" t="s">
        <v>5725</v>
      </c>
      <c r="F10" s="105">
        <v>611192.65</v>
      </c>
      <c r="G10" s="105">
        <v>24336341.989999998</v>
      </c>
      <c r="H10" s="143">
        <v>42118.63092635417</v>
      </c>
      <c r="I10" s="143">
        <v>43234</v>
      </c>
      <c r="J10" t="s">
        <v>628</v>
      </c>
      <c r="K10" t="s">
        <v>629</v>
      </c>
      <c r="L10" t="s">
        <v>1280</v>
      </c>
      <c r="M10">
        <v>101518</v>
      </c>
      <c r="N10" t="s">
        <v>626</v>
      </c>
      <c r="O10" t="s">
        <v>45</v>
      </c>
      <c r="P10" t="s">
        <v>45</v>
      </c>
      <c r="Q10" t="s">
        <v>26</v>
      </c>
      <c r="R10" s="105">
        <f>IF(Table__192.168.1.150_Daily_Delinquency_With_Sectors[[#This Row],[Days in Arrears]] &gt; 0, Table__192.168.1.150_Daily_Delinquency_With_Sectors[[#This Row],[Outstanding Balance]],0)</f>
        <v>21619863.559999999</v>
      </c>
      <c r="S10" s="105">
        <f>IF(Table__192.168.1.150_Daily_Delinquency_With_Sectors[[#This Row],[Days in Arrears]] &gt; 30, Table__192.168.1.150_Daily_Delinquency_With_Sectors[[#This Row],[Outstanding Balance]],0)</f>
        <v>21619863.559999999</v>
      </c>
      <c r="T10" s="105">
        <f>IF(Table__192.168.1.150_Daily_Delinquency_With_Sectors[[#This Row],[Days in Arrears]] &gt; 90, Table__192.168.1.150_Daily_Delinquency_With_Sectors[[#This Row],[Outstanding Balance]],0)</f>
        <v>0</v>
      </c>
      <c r="U10" s="109">
        <f>IF(Table__192.168.1.150_Daily_Delinquency_With_Sectors[[#This Row],[Days in Arrears]] &gt;= 1,1,0)</f>
        <v>1</v>
      </c>
      <c r="V10" s="109">
        <f>IF(Table__192.168.1.150_Daily_Delinquency_With_Sectors[[#This Row],[Days in Arrears]] &gt; 30,1,0)</f>
        <v>1</v>
      </c>
      <c r="W10" s="109">
        <f>IF(Table__192.168.1.150_Daily_Delinquency_With_Sectors[[#This Row],[Days in Arrears]] &gt; 90,1,0)</f>
        <v>0</v>
      </c>
    </row>
    <row r="11" spans="1:23" x14ac:dyDescent="0.25">
      <c r="A11" t="s">
        <v>905</v>
      </c>
      <c r="B11" t="s">
        <v>1284</v>
      </c>
      <c r="C11">
        <v>-15</v>
      </c>
      <c r="D11" s="105">
        <v>16284900.460000001</v>
      </c>
      <c r="E11" t="s">
        <v>546</v>
      </c>
      <c r="F11" s="105">
        <v>227988.61</v>
      </c>
      <c r="G11" s="105">
        <v>18036911.510000002</v>
      </c>
      <c r="H11" s="143">
        <v>42123.626142094909</v>
      </c>
      <c r="I11" s="143">
        <v>43229</v>
      </c>
      <c r="J11" t="s">
        <v>906</v>
      </c>
      <c r="K11" t="s">
        <v>907</v>
      </c>
      <c r="L11" t="s">
        <v>1280</v>
      </c>
      <c r="M11">
        <v>101540</v>
      </c>
      <c r="N11" t="s">
        <v>904</v>
      </c>
      <c r="O11" t="s">
        <v>44</v>
      </c>
      <c r="P11" t="s">
        <v>75</v>
      </c>
      <c r="Q11" t="s">
        <v>26</v>
      </c>
      <c r="R11" s="105">
        <f>IF(Table__192.168.1.150_Daily_Delinquency_With_Sectors[[#This Row],[Days in Arrears]] &gt; 0, Table__192.168.1.150_Daily_Delinquency_With_Sectors[[#This Row],[Outstanding Balance]],0)</f>
        <v>0</v>
      </c>
      <c r="S11" s="105">
        <f>IF(Table__192.168.1.150_Daily_Delinquency_With_Sectors[[#This Row],[Days in Arrears]] &gt; 30, Table__192.168.1.150_Daily_Delinquency_With_Sectors[[#This Row],[Outstanding Balance]],0)</f>
        <v>0</v>
      </c>
      <c r="T11" s="105">
        <f>IF(Table__192.168.1.150_Daily_Delinquency_With_Sectors[[#This Row],[Days in Arrears]] &gt; 90, Table__192.168.1.150_Daily_Delinquency_With_Sectors[[#This Row],[Outstanding Balance]],0)</f>
        <v>0</v>
      </c>
      <c r="U11" s="109">
        <f>IF(Table__192.168.1.150_Daily_Delinquency_With_Sectors[[#This Row],[Days in Arrears]] &gt;= 1,1,0)</f>
        <v>0</v>
      </c>
      <c r="V11" s="109">
        <f>IF(Table__192.168.1.150_Daily_Delinquency_With_Sectors[[#This Row],[Days in Arrears]] &gt; 30,1,0)</f>
        <v>0</v>
      </c>
      <c r="W11" s="109">
        <f>IF(Table__192.168.1.150_Daily_Delinquency_With_Sectors[[#This Row],[Days in Arrears]] &gt; 90,1,0)</f>
        <v>0</v>
      </c>
    </row>
    <row r="12" spans="1:23" x14ac:dyDescent="0.25">
      <c r="A12" t="s">
        <v>536</v>
      </c>
      <c r="B12" t="s">
        <v>1284</v>
      </c>
      <c r="C12">
        <v>79</v>
      </c>
      <c r="D12" s="105">
        <v>25109756.34</v>
      </c>
      <c r="E12" t="s">
        <v>491</v>
      </c>
      <c r="F12" s="105">
        <v>1449906</v>
      </c>
      <c r="G12" s="105">
        <v>29024485.68</v>
      </c>
      <c r="H12" s="143">
        <v>42123.651579201389</v>
      </c>
      <c r="I12" s="143">
        <v>43225</v>
      </c>
      <c r="J12" t="s">
        <v>537</v>
      </c>
      <c r="K12" t="s">
        <v>1280</v>
      </c>
      <c r="L12" t="s">
        <v>1280</v>
      </c>
      <c r="M12">
        <v>101541</v>
      </c>
      <c r="N12" t="s">
        <v>534</v>
      </c>
      <c r="O12" t="s">
        <v>25</v>
      </c>
      <c r="P12" t="s">
        <v>32</v>
      </c>
      <c r="Q12" t="s">
        <v>26</v>
      </c>
      <c r="R12" s="105">
        <f>IF(Table__192.168.1.150_Daily_Delinquency_With_Sectors[[#This Row],[Days in Arrears]] &gt; 0, Table__192.168.1.150_Daily_Delinquency_With_Sectors[[#This Row],[Outstanding Balance]],0)</f>
        <v>25109756.34</v>
      </c>
      <c r="S12" s="105">
        <f>IF(Table__192.168.1.150_Daily_Delinquency_With_Sectors[[#This Row],[Days in Arrears]] &gt; 30, Table__192.168.1.150_Daily_Delinquency_With_Sectors[[#This Row],[Outstanding Balance]],0)</f>
        <v>25109756.34</v>
      </c>
      <c r="T12" s="105">
        <f>IF(Table__192.168.1.150_Daily_Delinquency_With_Sectors[[#This Row],[Days in Arrears]] &gt; 90, Table__192.168.1.150_Daily_Delinquency_With_Sectors[[#This Row],[Outstanding Balance]],0)</f>
        <v>0</v>
      </c>
      <c r="U12" s="109">
        <f>IF(Table__192.168.1.150_Daily_Delinquency_With_Sectors[[#This Row],[Days in Arrears]] &gt;= 1,1,0)</f>
        <v>1</v>
      </c>
      <c r="V12" s="109">
        <f>IF(Table__192.168.1.150_Daily_Delinquency_With_Sectors[[#This Row],[Days in Arrears]] &gt; 30,1,0)</f>
        <v>1</v>
      </c>
      <c r="W12" s="109">
        <f>IF(Table__192.168.1.150_Daily_Delinquency_With_Sectors[[#This Row],[Days in Arrears]] &gt; 90,1,0)</f>
        <v>0</v>
      </c>
    </row>
    <row r="13" spans="1:23" x14ac:dyDescent="0.25">
      <c r="A13" t="s">
        <v>915</v>
      </c>
      <c r="B13" t="s">
        <v>1283</v>
      </c>
      <c r="C13">
        <v>173</v>
      </c>
      <c r="D13" s="105">
        <v>32858913.73</v>
      </c>
      <c r="E13" t="s">
        <v>5726</v>
      </c>
      <c r="F13" s="105">
        <v>1917458.15</v>
      </c>
      <c r="G13" s="105">
        <v>39610400.009999998</v>
      </c>
      <c r="H13" s="143">
        <v>42124.534045405089</v>
      </c>
      <c r="I13" s="143">
        <v>43221</v>
      </c>
      <c r="J13" t="s">
        <v>916</v>
      </c>
      <c r="K13" t="s">
        <v>1280</v>
      </c>
      <c r="L13" t="s">
        <v>1280</v>
      </c>
      <c r="M13">
        <v>101547</v>
      </c>
      <c r="N13" t="s">
        <v>912</v>
      </c>
      <c r="O13" t="s">
        <v>44</v>
      </c>
      <c r="P13" t="s">
        <v>92</v>
      </c>
      <c r="Q13" t="s">
        <v>26</v>
      </c>
      <c r="R13" s="105">
        <f>IF(Table__192.168.1.150_Daily_Delinquency_With_Sectors[[#This Row],[Days in Arrears]] &gt; 0, Table__192.168.1.150_Daily_Delinquency_With_Sectors[[#This Row],[Outstanding Balance]],0)</f>
        <v>32858913.73</v>
      </c>
      <c r="S13" s="105">
        <f>IF(Table__192.168.1.150_Daily_Delinquency_With_Sectors[[#This Row],[Days in Arrears]] &gt; 30, Table__192.168.1.150_Daily_Delinquency_With_Sectors[[#This Row],[Outstanding Balance]],0)</f>
        <v>32858913.73</v>
      </c>
      <c r="T13" s="105">
        <f>IF(Table__192.168.1.150_Daily_Delinquency_With_Sectors[[#This Row],[Days in Arrears]] &gt; 90, Table__192.168.1.150_Daily_Delinquency_With_Sectors[[#This Row],[Outstanding Balance]],0)</f>
        <v>32858913.73</v>
      </c>
      <c r="U13" s="109">
        <f>IF(Table__192.168.1.150_Daily_Delinquency_With_Sectors[[#This Row],[Days in Arrears]] &gt;= 1,1,0)</f>
        <v>1</v>
      </c>
      <c r="V13" s="109">
        <f>IF(Table__192.168.1.150_Daily_Delinquency_With_Sectors[[#This Row],[Days in Arrears]] &gt; 30,1,0)</f>
        <v>1</v>
      </c>
      <c r="W13" s="109">
        <f>IF(Table__192.168.1.150_Daily_Delinquency_With_Sectors[[#This Row],[Days in Arrears]] &gt; 90,1,0)</f>
        <v>1</v>
      </c>
    </row>
    <row r="14" spans="1:23" x14ac:dyDescent="0.25">
      <c r="A14" t="s">
        <v>328</v>
      </c>
      <c r="B14" t="s">
        <v>1283</v>
      </c>
      <c r="C14">
        <v>15</v>
      </c>
      <c r="D14" s="105">
        <v>21402795.050000001</v>
      </c>
      <c r="E14" t="s">
        <v>86</v>
      </c>
      <c r="F14" s="105">
        <v>902618.17</v>
      </c>
      <c r="G14" s="105">
        <v>24020310.350000001</v>
      </c>
      <c r="H14" s="143">
        <v>42133.476330324076</v>
      </c>
      <c r="I14" s="143">
        <v>43221</v>
      </c>
      <c r="J14" t="s">
        <v>329</v>
      </c>
      <c r="K14" t="s">
        <v>1280</v>
      </c>
      <c r="L14" t="s">
        <v>1280</v>
      </c>
      <c r="M14">
        <v>101605</v>
      </c>
      <c r="N14" t="s">
        <v>325</v>
      </c>
      <c r="O14" t="s">
        <v>25</v>
      </c>
      <c r="P14" t="s">
        <v>88</v>
      </c>
      <c r="Q14" t="s">
        <v>285</v>
      </c>
      <c r="R14" s="105">
        <f>IF(Table__192.168.1.150_Daily_Delinquency_With_Sectors[[#This Row],[Days in Arrears]] &gt; 0, Table__192.168.1.150_Daily_Delinquency_With_Sectors[[#This Row],[Outstanding Balance]],0)</f>
        <v>21402795.050000001</v>
      </c>
      <c r="S14" s="105">
        <f>IF(Table__192.168.1.150_Daily_Delinquency_With_Sectors[[#This Row],[Days in Arrears]] &gt; 30, Table__192.168.1.150_Daily_Delinquency_With_Sectors[[#This Row],[Outstanding Balance]],0)</f>
        <v>0</v>
      </c>
      <c r="T14" s="105">
        <f>IF(Table__192.168.1.150_Daily_Delinquency_With_Sectors[[#This Row],[Days in Arrears]] &gt; 90, Table__192.168.1.150_Daily_Delinquency_With_Sectors[[#This Row],[Outstanding Balance]],0)</f>
        <v>0</v>
      </c>
      <c r="U14" s="109">
        <f>IF(Table__192.168.1.150_Daily_Delinquency_With_Sectors[[#This Row],[Days in Arrears]] &gt;= 1,1,0)</f>
        <v>1</v>
      </c>
      <c r="V14" s="109">
        <f>IF(Table__192.168.1.150_Daily_Delinquency_With_Sectors[[#This Row],[Days in Arrears]] &gt; 30,1,0)</f>
        <v>0</v>
      </c>
      <c r="W14" s="109">
        <f>IF(Table__192.168.1.150_Daily_Delinquency_With_Sectors[[#This Row],[Days in Arrears]] &gt; 90,1,0)</f>
        <v>0</v>
      </c>
    </row>
    <row r="15" spans="1:23" x14ac:dyDescent="0.25">
      <c r="A15" t="s">
        <v>995</v>
      </c>
      <c r="B15" t="s">
        <v>1282</v>
      </c>
      <c r="C15">
        <v>-10</v>
      </c>
      <c r="D15" s="105">
        <v>4174203.37</v>
      </c>
      <c r="E15" t="s">
        <v>86</v>
      </c>
      <c r="F15" s="105">
        <v>105746.49</v>
      </c>
      <c r="G15" s="105">
        <v>4868236.78</v>
      </c>
      <c r="H15" s="143">
        <v>42149.685221527776</v>
      </c>
      <c r="I15" s="143">
        <v>43255</v>
      </c>
      <c r="J15" t="s">
        <v>996</v>
      </c>
      <c r="K15" t="s">
        <v>997</v>
      </c>
      <c r="L15" t="s">
        <v>1280</v>
      </c>
      <c r="M15">
        <v>101670</v>
      </c>
      <c r="N15" t="s">
        <v>994</v>
      </c>
      <c r="O15" t="s">
        <v>44</v>
      </c>
      <c r="P15" t="s">
        <v>75</v>
      </c>
      <c r="Q15" t="s">
        <v>26</v>
      </c>
      <c r="R15" s="105">
        <f>IF(Table__192.168.1.150_Daily_Delinquency_With_Sectors[[#This Row],[Days in Arrears]] &gt; 0, Table__192.168.1.150_Daily_Delinquency_With_Sectors[[#This Row],[Outstanding Balance]],0)</f>
        <v>0</v>
      </c>
      <c r="S15" s="105">
        <f>IF(Table__192.168.1.150_Daily_Delinquency_With_Sectors[[#This Row],[Days in Arrears]] &gt; 30, Table__192.168.1.150_Daily_Delinquency_With_Sectors[[#This Row],[Outstanding Balance]],0)</f>
        <v>0</v>
      </c>
      <c r="T15" s="105">
        <f>IF(Table__192.168.1.150_Daily_Delinquency_With_Sectors[[#This Row],[Days in Arrears]] &gt; 90, Table__192.168.1.150_Daily_Delinquency_With_Sectors[[#This Row],[Outstanding Balance]],0)</f>
        <v>0</v>
      </c>
      <c r="U15" s="109">
        <f>IF(Table__192.168.1.150_Daily_Delinquency_With_Sectors[[#This Row],[Days in Arrears]] &gt;= 1,1,0)</f>
        <v>0</v>
      </c>
      <c r="V15" s="109">
        <f>IF(Table__192.168.1.150_Daily_Delinquency_With_Sectors[[#This Row],[Days in Arrears]] &gt; 30,1,0)</f>
        <v>0</v>
      </c>
      <c r="W15" s="109">
        <f>IF(Table__192.168.1.150_Daily_Delinquency_With_Sectors[[#This Row],[Days in Arrears]] &gt; 90,1,0)</f>
        <v>0</v>
      </c>
    </row>
    <row r="16" spans="1:23" x14ac:dyDescent="0.25">
      <c r="A16" t="s">
        <v>1007</v>
      </c>
      <c r="B16" t="s">
        <v>1281</v>
      </c>
      <c r="C16">
        <v>-16</v>
      </c>
      <c r="D16" s="105">
        <v>9083233.8300000001</v>
      </c>
      <c r="E16" t="s">
        <v>963</v>
      </c>
      <c r="F16" s="105">
        <v>137762.38</v>
      </c>
      <c r="G16" s="105">
        <v>10385851.039999999</v>
      </c>
      <c r="H16" s="143">
        <v>42150.471053935187</v>
      </c>
      <c r="I16" s="143">
        <v>43261</v>
      </c>
      <c r="J16" t="s">
        <v>1008</v>
      </c>
      <c r="K16" t="s">
        <v>1280</v>
      </c>
      <c r="L16" t="s">
        <v>1280</v>
      </c>
      <c r="M16">
        <v>101674</v>
      </c>
      <c r="N16" t="s">
        <v>1005</v>
      </c>
      <c r="O16" t="s">
        <v>44</v>
      </c>
      <c r="P16" t="s">
        <v>92</v>
      </c>
      <c r="Q16" t="s">
        <v>92</v>
      </c>
      <c r="R16" s="105">
        <f>IF(Table__192.168.1.150_Daily_Delinquency_With_Sectors[[#This Row],[Days in Arrears]] &gt; 0, Table__192.168.1.150_Daily_Delinquency_With_Sectors[[#This Row],[Outstanding Balance]],0)</f>
        <v>0</v>
      </c>
      <c r="S16" s="105">
        <f>IF(Table__192.168.1.150_Daily_Delinquency_With_Sectors[[#This Row],[Days in Arrears]] &gt; 30, Table__192.168.1.150_Daily_Delinquency_With_Sectors[[#This Row],[Outstanding Balance]],0)</f>
        <v>0</v>
      </c>
      <c r="T16" s="105">
        <f>IF(Table__192.168.1.150_Daily_Delinquency_With_Sectors[[#This Row],[Days in Arrears]] &gt; 90, Table__192.168.1.150_Daily_Delinquency_With_Sectors[[#This Row],[Outstanding Balance]],0)</f>
        <v>0</v>
      </c>
      <c r="U16" s="109">
        <f>IF(Table__192.168.1.150_Daily_Delinquency_With_Sectors[[#This Row],[Days in Arrears]] &gt;= 1,1,0)</f>
        <v>0</v>
      </c>
      <c r="V16" s="109">
        <f>IF(Table__192.168.1.150_Daily_Delinquency_With_Sectors[[#This Row],[Days in Arrears]] &gt; 30,1,0)</f>
        <v>0</v>
      </c>
      <c r="W16" s="109">
        <f>IF(Table__192.168.1.150_Daily_Delinquency_With_Sectors[[#This Row],[Days in Arrears]] &gt; 90,1,0)</f>
        <v>0</v>
      </c>
    </row>
    <row r="17" spans="1:23" x14ac:dyDescent="0.25">
      <c r="A17" t="s">
        <v>688</v>
      </c>
      <c r="B17" t="s">
        <v>1281</v>
      </c>
      <c r="C17">
        <v>-21</v>
      </c>
      <c r="D17" s="105">
        <v>7505070.71</v>
      </c>
      <c r="E17" t="s">
        <v>963</v>
      </c>
      <c r="F17" s="105">
        <v>70047.33</v>
      </c>
      <c r="G17" s="105">
        <v>8571997.5199999996</v>
      </c>
      <c r="H17" s="143">
        <v>42154.480922106479</v>
      </c>
      <c r="I17" s="143">
        <v>43266</v>
      </c>
      <c r="J17" t="s">
        <v>689</v>
      </c>
      <c r="K17" t="s">
        <v>1280</v>
      </c>
      <c r="L17" t="s">
        <v>1280</v>
      </c>
      <c r="M17">
        <v>101704</v>
      </c>
      <c r="N17" t="s">
        <v>687</v>
      </c>
      <c r="O17" t="s">
        <v>25</v>
      </c>
      <c r="P17" t="s">
        <v>106</v>
      </c>
      <c r="Q17" t="s">
        <v>26</v>
      </c>
      <c r="R17" s="105">
        <f>IF(Table__192.168.1.150_Daily_Delinquency_With_Sectors[[#This Row],[Days in Arrears]] &gt; 0, Table__192.168.1.150_Daily_Delinquency_With_Sectors[[#This Row],[Outstanding Balance]],0)</f>
        <v>0</v>
      </c>
      <c r="S17" s="105">
        <f>IF(Table__192.168.1.150_Daily_Delinquency_With_Sectors[[#This Row],[Days in Arrears]] &gt; 30, Table__192.168.1.150_Daily_Delinquency_With_Sectors[[#This Row],[Outstanding Balance]],0)</f>
        <v>0</v>
      </c>
      <c r="T17" s="105">
        <f>IF(Table__192.168.1.150_Daily_Delinquency_With_Sectors[[#This Row],[Days in Arrears]] &gt; 90, Table__192.168.1.150_Daily_Delinquency_With_Sectors[[#This Row],[Outstanding Balance]],0)</f>
        <v>0</v>
      </c>
      <c r="U17" s="109">
        <f>IF(Table__192.168.1.150_Daily_Delinquency_With_Sectors[[#This Row],[Days in Arrears]] &gt;= 1,1,0)</f>
        <v>0</v>
      </c>
      <c r="V17" s="109">
        <f>IF(Table__192.168.1.150_Daily_Delinquency_With_Sectors[[#This Row],[Days in Arrears]] &gt; 30,1,0)</f>
        <v>0</v>
      </c>
      <c r="W17" s="109">
        <f>IF(Table__192.168.1.150_Daily_Delinquency_With_Sectors[[#This Row],[Days in Arrears]] &gt; 90,1,0)</f>
        <v>0</v>
      </c>
    </row>
    <row r="18" spans="1:23" x14ac:dyDescent="0.25">
      <c r="A18" t="s">
        <v>733</v>
      </c>
      <c r="B18" t="s">
        <v>1284</v>
      </c>
      <c r="C18">
        <v>20</v>
      </c>
      <c r="D18" s="105">
        <v>14326640.18</v>
      </c>
      <c r="E18" t="s">
        <v>1467</v>
      </c>
      <c r="F18" s="105">
        <v>666480.74</v>
      </c>
      <c r="G18" s="105">
        <v>16096617.449999999</v>
      </c>
      <c r="H18" s="143">
        <v>42154.654883796298</v>
      </c>
      <c r="I18" s="143">
        <v>43224</v>
      </c>
      <c r="J18" t="s">
        <v>734</v>
      </c>
      <c r="K18" t="s">
        <v>1280</v>
      </c>
      <c r="L18" t="s">
        <v>1280</v>
      </c>
      <c r="M18">
        <v>101711</v>
      </c>
      <c r="N18" t="s">
        <v>730</v>
      </c>
      <c r="O18" t="s">
        <v>25</v>
      </c>
      <c r="P18" t="s">
        <v>26</v>
      </c>
      <c r="Q18" t="s">
        <v>26</v>
      </c>
      <c r="R18" s="105">
        <f>IF(Table__192.168.1.150_Daily_Delinquency_With_Sectors[[#This Row],[Days in Arrears]] &gt; 0, Table__192.168.1.150_Daily_Delinquency_With_Sectors[[#This Row],[Outstanding Balance]],0)</f>
        <v>14326640.18</v>
      </c>
      <c r="S18" s="105">
        <f>IF(Table__192.168.1.150_Daily_Delinquency_With_Sectors[[#This Row],[Days in Arrears]] &gt; 30, Table__192.168.1.150_Daily_Delinquency_With_Sectors[[#This Row],[Outstanding Balance]],0)</f>
        <v>0</v>
      </c>
      <c r="T18" s="105">
        <f>IF(Table__192.168.1.150_Daily_Delinquency_With_Sectors[[#This Row],[Days in Arrears]] &gt; 90, Table__192.168.1.150_Daily_Delinquency_With_Sectors[[#This Row],[Outstanding Balance]],0)</f>
        <v>0</v>
      </c>
      <c r="U18" s="109">
        <f>IF(Table__192.168.1.150_Daily_Delinquency_With_Sectors[[#This Row],[Days in Arrears]] &gt;= 1,1,0)</f>
        <v>1</v>
      </c>
      <c r="V18" s="109">
        <f>IF(Table__192.168.1.150_Daily_Delinquency_With_Sectors[[#This Row],[Days in Arrears]] &gt; 30,1,0)</f>
        <v>0</v>
      </c>
      <c r="W18" s="109">
        <f>IF(Table__192.168.1.150_Daily_Delinquency_With_Sectors[[#This Row],[Days in Arrears]] &gt; 90,1,0)</f>
        <v>0</v>
      </c>
    </row>
    <row r="19" spans="1:23" x14ac:dyDescent="0.25">
      <c r="A19" t="s">
        <v>1048</v>
      </c>
      <c r="B19" t="s">
        <v>1284</v>
      </c>
      <c r="C19">
        <v>34</v>
      </c>
      <c r="D19" s="105">
        <v>16757272.619999999</v>
      </c>
      <c r="E19" t="s">
        <v>1039</v>
      </c>
      <c r="F19" s="105">
        <v>484216.83</v>
      </c>
      <c r="G19" s="105">
        <v>19019801.079999998</v>
      </c>
      <c r="H19" s="143">
        <v>42167.549388113424</v>
      </c>
      <c r="I19" s="143">
        <v>43271</v>
      </c>
      <c r="J19" t="s">
        <v>1049</v>
      </c>
      <c r="K19" t="s">
        <v>1050</v>
      </c>
      <c r="L19" t="s">
        <v>1280</v>
      </c>
      <c r="M19">
        <v>101730</v>
      </c>
      <c r="N19" t="s">
        <v>1047</v>
      </c>
      <c r="O19" t="s">
        <v>27</v>
      </c>
      <c r="P19" t="s">
        <v>26</v>
      </c>
      <c r="Q19" t="s">
        <v>26</v>
      </c>
      <c r="R19" s="105">
        <f>IF(Table__192.168.1.150_Daily_Delinquency_With_Sectors[[#This Row],[Days in Arrears]] &gt; 0, Table__192.168.1.150_Daily_Delinquency_With_Sectors[[#This Row],[Outstanding Balance]],0)</f>
        <v>16757272.619999999</v>
      </c>
      <c r="S19" s="105">
        <f>IF(Table__192.168.1.150_Daily_Delinquency_With_Sectors[[#This Row],[Days in Arrears]] &gt; 30, Table__192.168.1.150_Daily_Delinquency_With_Sectors[[#This Row],[Outstanding Balance]],0)</f>
        <v>16757272.619999999</v>
      </c>
      <c r="T19" s="105">
        <f>IF(Table__192.168.1.150_Daily_Delinquency_With_Sectors[[#This Row],[Days in Arrears]] &gt; 90, Table__192.168.1.150_Daily_Delinquency_With_Sectors[[#This Row],[Outstanding Balance]],0)</f>
        <v>0</v>
      </c>
      <c r="U19" s="109">
        <f>IF(Table__192.168.1.150_Daily_Delinquency_With_Sectors[[#This Row],[Days in Arrears]] &gt;= 1,1,0)</f>
        <v>1</v>
      </c>
      <c r="V19" s="109">
        <f>IF(Table__192.168.1.150_Daily_Delinquency_With_Sectors[[#This Row],[Days in Arrears]] &gt; 30,1,0)</f>
        <v>1</v>
      </c>
      <c r="W19" s="109">
        <f>IF(Table__192.168.1.150_Daily_Delinquency_With_Sectors[[#This Row],[Days in Arrears]] &gt; 90,1,0)</f>
        <v>0</v>
      </c>
    </row>
    <row r="20" spans="1:23" x14ac:dyDescent="0.25">
      <c r="A20" t="s">
        <v>421</v>
      </c>
      <c r="B20" t="s">
        <v>1284</v>
      </c>
      <c r="C20">
        <v>-29</v>
      </c>
      <c r="D20" s="105">
        <v>8610988.6300000008</v>
      </c>
      <c r="E20" t="s">
        <v>546</v>
      </c>
      <c r="F20" s="105">
        <v>291061.37</v>
      </c>
      <c r="G20" s="105">
        <v>9676170.5899999999</v>
      </c>
      <c r="H20" s="143">
        <v>42172.712030243056</v>
      </c>
      <c r="I20" s="143">
        <v>43275</v>
      </c>
      <c r="J20" t="s">
        <v>422</v>
      </c>
      <c r="K20" t="s">
        <v>1280</v>
      </c>
      <c r="L20" t="s">
        <v>1280</v>
      </c>
      <c r="M20">
        <v>101743</v>
      </c>
      <c r="N20" t="s">
        <v>420</v>
      </c>
      <c r="O20" t="s">
        <v>44</v>
      </c>
      <c r="P20" t="s">
        <v>75</v>
      </c>
      <c r="Q20" t="s">
        <v>26</v>
      </c>
      <c r="R20" s="105">
        <f>IF(Table__192.168.1.150_Daily_Delinquency_With_Sectors[[#This Row],[Days in Arrears]] &gt; 0, Table__192.168.1.150_Daily_Delinquency_With_Sectors[[#This Row],[Outstanding Balance]],0)</f>
        <v>0</v>
      </c>
      <c r="S20" s="105">
        <f>IF(Table__192.168.1.150_Daily_Delinquency_With_Sectors[[#This Row],[Days in Arrears]] &gt; 30, Table__192.168.1.150_Daily_Delinquency_With_Sectors[[#This Row],[Outstanding Balance]],0)</f>
        <v>0</v>
      </c>
      <c r="T20" s="105">
        <f>IF(Table__192.168.1.150_Daily_Delinquency_With_Sectors[[#This Row],[Days in Arrears]] &gt; 90, Table__192.168.1.150_Daily_Delinquency_With_Sectors[[#This Row],[Outstanding Balance]],0)</f>
        <v>0</v>
      </c>
      <c r="U20" s="109">
        <f>IF(Table__192.168.1.150_Daily_Delinquency_With_Sectors[[#This Row],[Days in Arrears]] &gt;= 1,1,0)</f>
        <v>0</v>
      </c>
      <c r="V20" s="109">
        <f>IF(Table__192.168.1.150_Daily_Delinquency_With_Sectors[[#This Row],[Days in Arrears]] &gt; 30,1,0)</f>
        <v>0</v>
      </c>
      <c r="W20" s="109">
        <f>IF(Table__192.168.1.150_Daily_Delinquency_With_Sectors[[#This Row],[Days in Arrears]] &gt; 90,1,0)</f>
        <v>0</v>
      </c>
    </row>
    <row r="21" spans="1:23" x14ac:dyDescent="0.25">
      <c r="A21" t="s">
        <v>1080</v>
      </c>
      <c r="B21" t="s">
        <v>1284</v>
      </c>
      <c r="C21">
        <v>22</v>
      </c>
      <c r="D21" s="105">
        <v>12627589.939999999</v>
      </c>
      <c r="E21" t="s">
        <v>1039</v>
      </c>
      <c r="F21" s="105">
        <v>617904.46</v>
      </c>
      <c r="G21" s="105">
        <v>14596290.74</v>
      </c>
      <c r="H21" s="143">
        <v>42175.503005057872</v>
      </c>
      <c r="I21" s="143">
        <v>43283</v>
      </c>
      <c r="J21" t="s">
        <v>1081</v>
      </c>
      <c r="K21" t="s">
        <v>1280</v>
      </c>
      <c r="L21" t="s">
        <v>1280</v>
      </c>
      <c r="M21">
        <v>101758</v>
      </c>
      <c r="N21" t="s">
        <v>1079</v>
      </c>
      <c r="O21" t="s">
        <v>44</v>
      </c>
      <c r="P21" t="s">
        <v>75</v>
      </c>
      <c r="Q21" t="s">
        <v>26</v>
      </c>
      <c r="R21" s="105">
        <f>IF(Table__192.168.1.150_Daily_Delinquency_With_Sectors[[#This Row],[Days in Arrears]] &gt; 0, Table__192.168.1.150_Daily_Delinquency_With_Sectors[[#This Row],[Outstanding Balance]],0)</f>
        <v>12627589.939999999</v>
      </c>
      <c r="S21" s="105">
        <f>IF(Table__192.168.1.150_Daily_Delinquency_With_Sectors[[#This Row],[Days in Arrears]] &gt; 30, Table__192.168.1.150_Daily_Delinquency_With_Sectors[[#This Row],[Outstanding Balance]],0)</f>
        <v>0</v>
      </c>
      <c r="T21" s="105">
        <f>IF(Table__192.168.1.150_Daily_Delinquency_With_Sectors[[#This Row],[Days in Arrears]] &gt; 90, Table__192.168.1.150_Daily_Delinquency_With_Sectors[[#This Row],[Outstanding Balance]],0)</f>
        <v>0</v>
      </c>
      <c r="U21" s="109">
        <f>IF(Table__192.168.1.150_Daily_Delinquency_With_Sectors[[#This Row],[Days in Arrears]] &gt;= 1,1,0)</f>
        <v>1</v>
      </c>
      <c r="V21" s="109">
        <f>IF(Table__192.168.1.150_Daily_Delinquency_With_Sectors[[#This Row],[Days in Arrears]] &gt; 30,1,0)</f>
        <v>0</v>
      </c>
      <c r="W21" s="109">
        <f>IF(Table__192.168.1.150_Daily_Delinquency_With_Sectors[[#This Row],[Days in Arrears]] &gt; 90,1,0)</f>
        <v>0</v>
      </c>
    </row>
    <row r="22" spans="1:23" x14ac:dyDescent="0.25">
      <c r="A22" t="s">
        <v>1095</v>
      </c>
      <c r="B22" t="s">
        <v>1283</v>
      </c>
      <c r="C22">
        <v>-16</v>
      </c>
      <c r="D22" s="105">
        <v>10112540.810000001</v>
      </c>
      <c r="E22" t="s">
        <v>468</v>
      </c>
      <c r="F22" s="105">
        <v>131463.03</v>
      </c>
      <c r="G22" s="105">
        <v>11524768.369999999</v>
      </c>
      <c r="H22" s="143">
        <v>42180.710793020837</v>
      </c>
      <c r="I22" s="143">
        <v>43291</v>
      </c>
      <c r="J22" t="s">
        <v>1096</v>
      </c>
      <c r="K22" t="s">
        <v>1280</v>
      </c>
      <c r="L22" t="s">
        <v>1280</v>
      </c>
      <c r="M22">
        <v>101780</v>
      </c>
      <c r="N22" t="s">
        <v>1090</v>
      </c>
      <c r="O22" t="s">
        <v>27</v>
      </c>
      <c r="P22" t="s">
        <v>26</v>
      </c>
      <c r="Q22" t="s">
        <v>26</v>
      </c>
      <c r="R22" s="105">
        <f>IF(Table__192.168.1.150_Daily_Delinquency_With_Sectors[[#This Row],[Days in Arrears]] &gt; 0, Table__192.168.1.150_Daily_Delinquency_With_Sectors[[#This Row],[Outstanding Balance]],0)</f>
        <v>0</v>
      </c>
      <c r="S22" s="105">
        <f>IF(Table__192.168.1.150_Daily_Delinquency_With_Sectors[[#This Row],[Days in Arrears]] &gt; 30, Table__192.168.1.150_Daily_Delinquency_With_Sectors[[#This Row],[Outstanding Balance]],0)</f>
        <v>0</v>
      </c>
      <c r="T22" s="105">
        <f>IF(Table__192.168.1.150_Daily_Delinquency_With_Sectors[[#This Row],[Days in Arrears]] &gt; 90, Table__192.168.1.150_Daily_Delinquency_With_Sectors[[#This Row],[Outstanding Balance]],0)</f>
        <v>0</v>
      </c>
      <c r="U22" s="109">
        <f>IF(Table__192.168.1.150_Daily_Delinquency_With_Sectors[[#This Row],[Days in Arrears]] &gt;= 1,1,0)</f>
        <v>0</v>
      </c>
      <c r="V22" s="109">
        <f>IF(Table__192.168.1.150_Daily_Delinquency_With_Sectors[[#This Row],[Days in Arrears]] &gt; 30,1,0)</f>
        <v>0</v>
      </c>
      <c r="W22" s="109">
        <f>IF(Table__192.168.1.150_Daily_Delinquency_With_Sectors[[#This Row],[Days in Arrears]] &gt; 90,1,0)</f>
        <v>0</v>
      </c>
    </row>
    <row r="23" spans="1:23" x14ac:dyDescent="0.25">
      <c r="A23" t="s">
        <v>1103</v>
      </c>
      <c r="B23" t="s">
        <v>1284</v>
      </c>
      <c r="C23">
        <v>39</v>
      </c>
      <c r="D23" s="105">
        <v>11780976.289999999</v>
      </c>
      <c r="E23" t="s">
        <v>1467</v>
      </c>
      <c r="F23" s="105">
        <v>324886.45</v>
      </c>
      <c r="G23" s="105">
        <v>13474911.9</v>
      </c>
      <c r="H23" s="143">
        <v>42184.590671412036</v>
      </c>
      <c r="I23" s="143">
        <v>43296</v>
      </c>
      <c r="J23" t="s">
        <v>1104</v>
      </c>
      <c r="K23" t="s">
        <v>1280</v>
      </c>
      <c r="L23" t="s">
        <v>1280</v>
      </c>
      <c r="M23">
        <v>101791</v>
      </c>
      <c r="N23" t="s">
        <v>1101</v>
      </c>
      <c r="O23" t="s">
        <v>44</v>
      </c>
      <c r="P23" t="s">
        <v>92</v>
      </c>
      <c r="Q23" t="s">
        <v>92</v>
      </c>
      <c r="R23" s="105">
        <f>IF(Table__192.168.1.150_Daily_Delinquency_With_Sectors[[#This Row],[Days in Arrears]] &gt; 0, Table__192.168.1.150_Daily_Delinquency_With_Sectors[[#This Row],[Outstanding Balance]],0)</f>
        <v>11780976.289999999</v>
      </c>
      <c r="S23" s="105">
        <f>IF(Table__192.168.1.150_Daily_Delinquency_With_Sectors[[#This Row],[Days in Arrears]] &gt; 30, Table__192.168.1.150_Daily_Delinquency_With_Sectors[[#This Row],[Outstanding Balance]],0)</f>
        <v>11780976.289999999</v>
      </c>
      <c r="T23" s="105">
        <f>IF(Table__192.168.1.150_Daily_Delinquency_With_Sectors[[#This Row],[Days in Arrears]] &gt; 90, Table__192.168.1.150_Daily_Delinquency_With_Sectors[[#This Row],[Outstanding Balance]],0)</f>
        <v>0</v>
      </c>
      <c r="U23" s="109">
        <f>IF(Table__192.168.1.150_Daily_Delinquency_With_Sectors[[#This Row],[Days in Arrears]] &gt;= 1,1,0)</f>
        <v>1</v>
      </c>
      <c r="V23" s="109">
        <f>IF(Table__192.168.1.150_Daily_Delinquency_With_Sectors[[#This Row],[Days in Arrears]] &gt; 30,1,0)</f>
        <v>1</v>
      </c>
      <c r="W23" s="109">
        <f>IF(Table__192.168.1.150_Daily_Delinquency_With_Sectors[[#This Row],[Days in Arrears]] &gt; 90,1,0)</f>
        <v>0</v>
      </c>
    </row>
    <row r="24" spans="1:23" x14ac:dyDescent="0.25">
      <c r="A24" t="s">
        <v>345</v>
      </c>
      <c r="B24" t="s">
        <v>1284</v>
      </c>
      <c r="C24">
        <v>-1</v>
      </c>
      <c r="D24" s="105">
        <v>15998386.050000001</v>
      </c>
      <c r="E24" t="s">
        <v>546</v>
      </c>
      <c r="F24" s="105">
        <v>447954.81</v>
      </c>
      <c r="G24" s="105">
        <v>18232578.449999999</v>
      </c>
      <c r="H24" s="143">
        <v>42185.557041585649</v>
      </c>
      <c r="I24" s="143">
        <v>43276</v>
      </c>
      <c r="J24" t="s">
        <v>346</v>
      </c>
      <c r="K24" t="s">
        <v>1280</v>
      </c>
      <c r="L24" t="s">
        <v>1280</v>
      </c>
      <c r="M24">
        <v>101795</v>
      </c>
      <c r="N24" t="s">
        <v>344</v>
      </c>
      <c r="O24" t="s">
        <v>44</v>
      </c>
      <c r="P24" t="s">
        <v>75</v>
      </c>
      <c r="Q24" t="s">
        <v>26</v>
      </c>
      <c r="R24" s="105">
        <f>IF(Table__192.168.1.150_Daily_Delinquency_With_Sectors[[#This Row],[Days in Arrears]] &gt; 0, Table__192.168.1.150_Daily_Delinquency_With_Sectors[[#This Row],[Outstanding Balance]],0)</f>
        <v>0</v>
      </c>
      <c r="S24" s="105">
        <f>IF(Table__192.168.1.150_Daily_Delinquency_With_Sectors[[#This Row],[Days in Arrears]] &gt; 30, Table__192.168.1.150_Daily_Delinquency_With_Sectors[[#This Row],[Outstanding Balance]],0)</f>
        <v>0</v>
      </c>
      <c r="T24" s="105">
        <f>IF(Table__192.168.1.150_Daily_Delinquency_With_Sectors[[#This Row],[Days in Arrears]] &gt; 90, Table__192.168.1.150_Daily_Delinquency_With_Sectors[[#This Row],[Outstanding Balance]],0)</f>
        <v>0</v>
      </c>
      <c r="U24" s="109">
        <f>IF(Table__192.168.1.150_Daily_Delinquency_With_Sectors[[#This Row],[Days in Arrears]] &gt;= 1,1,0)</f>
        <v>0</v>
      </c>
      <c r="V24" s="109">
        <f>IF(Table__192.168.1.150_Daily_Delinquency_With_Sectors[[#This Row],[Days in Arrears]] &gt; 30,1,0)</f>
        <v>0</v>
      </c>
      <c r="W24" s="109">
        <f>IF(Table__192.168.1.150_Daily_Delinquency_With_Sectors[[#This Row],[Days in Arrears]] &gt; 90,1,0)</f>
        <v>0</v>
      </c>
    </row>
    <row r="25" spans="1:23" x14ac:dyDescent="0.25">
      <c r="A25" t="s">
        <v>378</v>
      </c>
      <c r="B25" t="s">
        <v>1284</v>
      </c>
      <c r="C25">
        <v>22</v>
      </c>
      <c r="D25" s="105">
        <v>29300717.640000001</v>
      </c>
      <c r="E25" t="s">
        <v>546</v>
      </c>
      <c r="F25" s="105">
        <v>1429025.65</v>
      </c>
      <c r="G25" s="105">
        <v>33864094.539999999</v>
      </c>
      <c r="H25" s="143">
        <v>42185.721404432872</v>
      </c>
      <c r="I25" s="143">
        <v>43283</v>
      </c>
      <c r="J25" t="s">
        <v>379</v>
      </c>
      <c r="K25" t="s">
        <v>380</v>
      </c>
      <c r="L25" t="s">
        <v>1280</v>
      </c>
      <c r="M25">
        <v>101802</v>
      </c>
      <c r="N25" t="s">
        <v>367</v>
      </c>
      <c r="O25" t="s">
        <v>25</v>
      </c>
      <c r="P25" t="s">
        <v>103</v>
      </c>
      <c r="Q25" t="s">
        <v>104</v>
      </c>
      <c r="R25" s="105">
        <f>IF(Table__192.168.1.150_Daily_Delinquency_With_Sectors[[#This Row],[Days in Arrears]] &gt; 0, Table__192.168.1.150_Daily_Delinquency_With_Sectors[[#This Row],[Outstanding Balance]],0)</f>
        <v>29300717.640000001</v>
      </c>
      <c r="S25" s="105">
        <f>IF(Table__192.168.1.150_Daily_Delinquency_With_Sectors[[#This Row],[Days in Arrears]] &gt; 30, Table__192.168.1.150_Daily_Delinquency_With_Sectors[[#This Row],[Outstanding Balance]],0)</f>
        <v>0</v>
      </c>
      <c r="T25" s="105">
        <f>IF(Table__192.168.1.150_Daily_Delinquency_With_Sectors[[#This Row],[Days in Arrears]] &gt; 90, Table__192.168.1.150_Daily_Delinquency_With_Sectors[[#This Row],[Outstanding Balance]],0)</f>
        <v>0</v>
      </c>
      <c r="U25" s="109">
        <f>IF(Table__192.168.1.150_Daily_Delinquency_With_Sectors[[#This Row],[Days in Arrears]] &gt;= 1,1,0)</f>
        <v>1</v>
      </c>
      <c r="V25" s="109">
        <f>IF(Table__192.168.1.150_Daily_Delinquency_With_Sectors[[#This Row],[Days in Arrears]] &gt; 30,1,0)</f>
        <v>0</v>
      </c>
      <c r="W25" s="109">
        <f>IF(Table__192.168.1.150_Daily_Delinquency_With_Sectors[[#This Row],[Days in Arrears]] &gt; 90,1,0)</f>
        <v>0</v>
      </c>
    </row>
    <row r="26" spans="1:23" x14ac:dyDescent="0.25">
      <c r="A26" t="s">
        <v>270</v>
      </c>
      <c r="B26" t="s">
        <v>1284</v>
      </c>
      <c r="C26">
        <v>-8</v>
      </c>
      <c r="D26" s="105">
        <v>17649731.629999999</v>
      </c>
      <c r="E26" t="s">
        <v>1039</v>
      </c>
      <c r="F26" s="105">
        <v>370644.36</v>
      </c>
      <c r="G26" s="105">
        <v>20114536.280000001</v>
      </c>
      <c r="H26" s="143">
        <v>42189.499219328703</v>
      </c>
      <c r="I26" s="143">
        <v>43283</v>
      </c>
      <c r="J26" t="s">
        <v>271</v>
      </c>
      <c r="K26" t="s">
        <v>272</v>
      </c>
      <c r="L26" t="s">
        <v>1280</v>
      </c>
      <c r="M26">
        <v>101815</v>
      </c>
      <c r="N26" t="s">
        <v>111</v>
      </c>
      <c r="O26" t="s">
        <v>25</v>
      </c>
      <c r="P26" t="s">
        <v>88</v>
      </c>
      <c r="Q26" t="s">
        <v>26</v>
      </c>
      <c r="R26" s="105">
        <f>IF(Table__192.168.1.150_Daily_Delinquency_With_Sectors[[#This Row],[Days in Arrears]] &gt; 0, Table__192.168.1.150_Daily_Delinquency_With_Sectors[[#This Row],[Outstanding Balance]],0)</f>
        <v>0</v>
      </c>
      <c r="S26" s="105">
        <f>IF(Table__192.168.1.150_Daily_Delinquency_With_Sectors[[#This Row],[Days in Arrears]] &gt; 30, Table__192.168.1.150_Daily_Delinquency_With_Sectors[[#This Row],[Outstanding Balance]],0)</f>
        <v>0</v>
      </c>
      <c r="T26" s="105">
        <f>IF(Table__192.168.1.150_Daily_Delinquency_With_Sectors[[#This Row],[Days in Arrears]] &gt; 90, Table__192.168.1.150_Daily_Delinquency_With_Sectors[[#This Row],[Outstanding Balance]],0)</f>
        <v>0</v>
      </c>
      <c r="U26" s="109">
        <f>IF(Table__192.168.1.150_Daily_Delinquency_With_Sectors[[#This Row],[Days in Arrears]] &gt;= 1,1,0)</f>
        <v>0</v>
      </c>
      <c r="V26" s="109">
        <f>IF(Table__192.168.1.150_Daily_Delinquency_With_Sectors[[#This Row],[Days in Arrears]] &gt; 30,1,0)</f>
        <v>0</v>
      </c>
      <c r="W26" s="109">
        <f>IF(Table__192.168.1.150_Daily_Delinquency_With_Sectors[[#This Row],[Days in Arrears]] &gt; 90,1,0)</f>
        <v>0</v>
      </c>
    </row>
    <row r="27" spans="1:23" x14ac:dyDescent="0.25">
      <c r="A27" t="s">
        <v>699</v>
      </c>
      <c r="B27" t="s">
        <v>1284</v>
      </c>
      <c r="C27">
        <v>-12</v>
      </c>
      <c r="D27" s="105">
        <v>24114640.399999999</v>
      </c>
      <c r="E27" t="s">
        <v>546</v>
      </c>
      <c r="F27" s="105">
        <v>409948.89</v>
      </c>
      <c r="G27" s="105">
        <v>27482276.73</v>
      </c>
      <c r="H27" s="143">
        <v>42191.634749965277</v>
      </c>
      <c r="I27" s="143">
        <v>43287</v>
      </c>
      <c r="J27" t="s">
        <v>700</v>
      </c>
      <c r="K27" t="s">
        <v>701</v>
      </c>
      <c r="L27" t="s">
        <v>1280</v>
      </c>
      <c r="M27">
        <v>101817</v>
      </c>
      <c r="N27" t="s">
        <v>698</v>
      </c>
      <c r="O27" t="s">
        <v>44</v>
      </c>
      <c r="P27" t="s">
        <v>75</v>
      </c>
      <c r="Q27" t="s">
        <v>26</v>
      </c>
      <c r="R27" s="105">
        <f>IF(Table__192.168.1.150_Daily_Delinquency_With_Sectors[[#This Row],[Days in Arrears]] &gt; 0, Table__192.168.1.150_Daily_Delinquency_With_Sectors[[#This Row],[Outstanding Balance]],0)</f>
        <v>0</v>
      </c>
      <c r="S27" s="105">
        <f>IF(Table__192.168.1.150_Daily_Delinquency_With_Sectors[[#This Row],[Days in Arrears]] &gt; 30, Table__192.168.1.150_Daily_Delinquency_With_Sectors[[#This Row],[Outstanding Balance]],0)</f>
        <v>0</v>
      </c>
      <c r="T27" s="105">
        <f>IF(Table__192.168.1.150_Daily_Delinquency_With_Sectors[[#This Row],[Days in Arrears]] &gt; 90, Table__192.168.1.150_Daily_Delinquency_With_Sectors[[#This Row],[Outstanding Balance]],0)</f>
        <v>0</v>
      </c>
      <c r="U27" s="109">
        <f>IF(Table__192.168.1.150_Daily_Delinquency_With_Sectors[[#This Row],[Days in Arrears]] &gt;= 1,1,0)</f>
        <v>0</v>
      </c>
      <c r="V27" s="109">
        <f>IF(Table__192.168.1.150_Daily_Delinquency_With_Sectors[[#This Row],[Days in Arrears]] &gt; 30,1,0)</f>
        <v>0</v>
      </c>
      <c r="W27" s="109">
        <f>IF(Table__192.168.1.150_Daily_Delinquency_With_Sectors[[#This Row],[Days in Arrears]] &gt; 90,1,0)</f>
        <v>0</v>
      </c>
    </row>
    <row r="28" spans="1:23" x14ac:dyDescent="0.25">
      <c r="A28" t="s">
        <v>1161</v>
      </c>
      <c r="B28" t="s">
        <v>1282</v>
      </c>
      <c r="C28">
        <v>-24</v>
      </c>
      <c r="D28" s="105">
        <v>4970824.9000000004</v>
      </c>
      <c r="E28" t="s">
        <v>1191</v>
      </c>
      <c r="F28" s="105">
        <v>33138.83</v>
      </c>
      <c r="G28" s="105">
        <v>5877374.2599999998</v>
      </c>
      <c r="H28" s="143">
        <v>42210.528615312498</v>
      </c>
      <c r="I28" s="143">
        <v>43330</v>
      </c>
      <c r="J28" t="s">
        <v>1162</v>
      </c>
      <c r="K28" t="s">
        <v>1280</v>
      </c>
      <c r="L28" t="s">
        <v>1280</v>
      </c>
      <c r="M28">
        <v>101863</v>
      </c>
      <c r="N28" t="s">
        <v>1157</v>
      </c>
      <c r="O28" t="s">
        <v>46</v>
      </c>
      <c r="P28" t="s">
        <v>46</v>
      </c>
      <c r="Q28" t="s">
        <v>26</v>
      </c>
      <c r="R28" s="105">
        <f>IF(Table__192.168.1.150_Daily_Delinquency_With_Sectors[[#This Row],[Days in Arrears]] &gt; 0, Table__192.168.1.150_Daily_Delinquency_With_Sectors[[#This Row],[Outstanding Balance]],0)</f>
        <v>0</v>
      </c>
      <c r="S28" s="105">
        <f>IF(Table__192.168.1.150_Daily_Delinquency_With_Sectors[[#This Row],[Days in Arrears]] &gt; 30, Table__192.168.1.150_Daily_Delinquency_With_Sectors[[#This Row],[Outstanding Balance]],0)</f>
        <v>0</v>
      </c>
      <c r="T28" s="105">
        <f>IF(Table__192.168.1.150_Daily_Delinquency_With_Sectors[[#This Row],[Days in Arrears]] &gt; 90, Table__192.168.1.150_Daily_Delinquency_With_Sectors[[#This Row],[Outstanding Balance]],0)</f>
        <v>0</v>
      </c>
      <c r="U28" s="109">
        <f>IF(Table__192.168.1.150_Daily_Delinquency_With_Sectors[[#This Row],[Days in Arrears]] &gt;= 1,1,0)</f>
        <v>0</v>
      </c>
      <c r="V28" s="109">
        <f>IF(Table__192.168.1.150_Daily_Delinquency_With_Sectors[[#This Row],[Days in Arrears]] &gt; 30,1,0)</f>
        <v>0</v>
      </c>
      <c r="W28" s="109">
        <f>IF(Table__192.168.1.150_Daily_Delinquency_With_Sectors[[#This Row],[Days in Arrears]] &gt; 90,1,0)</f>
        <v>0</v>
      </c>
    </row>
    <row r="29" spans="1:23" x14ac:dyDescent="0.25">
      <c r="A29" t="s">
        <v>1177</v>
      </c>
      <c r="B29" t="s">
        <v>1283</v>
      </c>
      <c r="C29">
        <v>-11</v>
      </c>
      <c r="D29" s="105">
        <v>28696864.579999998</v>
      </c>
      <c r="E29" t="s">
        <v>90</v>
      </c>
      <c r="F29" s="105">
        <v>516543.56</v>
      </c>
      <c r="G29" s="105">
        <v>33170841.039999999</v>
      </c>
      <c r="H29" s="143">
        <v>42214.663188969906</v>
      </c>
      <c r="I29" s="143">
        <v>43317</v>
      </c>
      <c r="J29" t="s">
        <v>1178</v>
      </c>
      <c r="K29" t="s">
        <v>1280</v>
      </c>
      <c r="L29" t="s">
        <v>1280</v>
      </c>
      <c r="M29">
        <v>101877</v>
      </c>
      <c r="N29" t="s">
        <v>1173</v>
      </c>
      <c r="O29" t="s">
        <v>31</v>
      </c>
      <c r="P29" t="s">
        <v>293</v>
      </c>
      <c r="Q29" t="s">
        <v>26</v>
      </c>
      <c r="R29" s="105">
        <f>IF(Table__192.168.1.150_Daily_Delinquency_With_Sectors[[#This Row],[Days in Arrears]] &gt; 0, Table__192.168.1.150_Daily_Delinquency_With_Sectors[[#This Row],[Outstanding Balance]],0)</f>
        <v>0</v>
      </c>
      <c r="S29" s="105">
        <f>IF(Table__192.168.1.150_Daily_Delinquency_With_Sectors[[#This Row],[Days in Arrears]] &gt; 30, Table__192.168.1.150_Daily_Delinquency_With_Sectors[[#This Row],[Outstanding Balance]],0)</f>
        <v>0</v>
      </c>
      <c r="T29" s="105">
        <f>IF(Table__192.168.1.150_Daily_Delinquency_With_Sectors[[#This Row],[Days in Arrears]] &gt; 90, Table__192.168.1.150_Daily_Delinquency_With_Sectors[[#This Row],[Outstanding Balance]],0)</f>
        <v>0</v>
      </c>
      <c r="U29" s="109">
        <f>IF(Table__192.168.1.150_Daily_Delinquency_With_Sectors[[#This Row],[Days in Arrears]] &gt;= 1,1,0)</f>
        <v>0</v>
      </c>
      <c r="V29" s="109">
        <f>IF(Table__192.168.1.150_Daily_Delinquency_With_Sectors[[#This Row],[Days in Arrears]] &gt; 30,1,0)</f>
        <v>0</v>
      </c>
      <c r="W29" s="109">
        <f>IF(Table__192.168.1.150_Daily_Delinquency_With_Sectors[[#This Row],[Days in Arrears]] &gt; 90,1,0)</f>
        <v>0</v>
      </c>
    </row>
    <row r="30" spans="1:23" x14ac:dyDescent="0.25">
      <c r="A30" t="s">
        <v>224</v>
      </c>
      <c r="B30" t="s">
        <v>1283</v>
      </c>
      <c r="C30">
        <v>142</v>
      </c>
      <c r="D30" s="105">
        <v>4853148.8099999996</v>
      </c>
      <c r="E30" t="s">
        <v>5725</v>
      </c>
      <c r="F30" s="105">
        <v>217005.08</v>
      </c>
      <c r="G30" s="105">
        <v>5072616.33</v>
      </c>
      <c r="H30" s="143">
        <v>42216.629636655096</v>
      </c>
      <c r="I30" s="143">
        <v>42949</v>
      </c>
      <c r="J30" t="s">
        <v>225</v>
      </c>
      <c r="K30" t="s">
        <v>226</v>
      </c>
      <c r="L30" t="s">
        <v>1280</v>
      </c>
      <c r="M30">
        <v>101892</v>
      </c>
      <c r="N30" t="s">
        <v>223</v>
      </c>
      <c r="O30" t="s">
        <v>25</v>
      </c>
      <c r="P30" t="s">
        <v>26</v>
      </c>
      <c r="Q30" t="s">
        <v>26</v>
      </c>
      <c r="R30" s="105">
        <f>IF(Table__192.168.1.150_Daily_Delinquency_With_Sectors[[#This Row],[Days in Arrears]] &gt; 0, Table__192.168.1.150_Daily_Delinquency_With_Sectors[[#This Row],[Outstanding Balance]],0)</f>
        <v>4853148.8099999996</v>
      </c>
      <c r="S30" s="105">
        <f>IF(Table__192.168.1.150_Daily_Delinquency_With_Sectors[[#This Row],[Days in Arrears]] &gt; 30, Table__192.168.1.150_Daily_Delinquency_With_Sectors[[#This Row],[Outstanding Balance]],0)</f>
        <v>4853148.8099999996</v>
      </c>
      <c r="T30" s="105">
        <f>IF(Table__192.168.1.150_Daily_Delinquency_With_Sectors[[#This Row],[Days in Arrears]] &gt; 90, Table__192.168.1.150_Daily_Delinquency_With_Sectors[[#This Row],[Outstanding Balance]],0)</f>
        <v>4853148.8099999996</v>
      </c>
      <c r="U30" s="109">
        <f>IF(Table__192.168.1.150_Daily_Delinquency_With_Sectors[[#This Row],[Days in Arrears]] &gt;= 1,1,0)</f>
        <v>1</v>
      </c>
      <c r="V30" s="109">
        <f>IF(Table__192.168.1.150_Daily_Delinquency_With_Sectors[[#This Row],[Days in Arrears]] &gt; 30,1,0)</f>
        <v>1</v>
      </c>
      <c r="W30" s="109">
        <f>IF(Table__192.168.1.150_Daily_Delinquency_With_Sectors[[#This Row],[Days in Arrears]] &gt; 90,1,0)</f>
        <v>1</v>
      </c>
    </row>
    <row r="31" spans="1:23" x14ac:dyDescent="0.25">
      <c r="A31" t="s">
        <v>654</v>
      </c>
      <c r="B31" t="s">
        <v>1283</v>
      </c>
      <c r="C31">
        <v>52</v>
      </c>
      <c r="D31" s="105">
        <v>23516676.079999998</v>
      </c>
      <c r="E31" t="s">
        <v>5726</v>
      </c>
      <c r="F31" s="105">
        <v>881515.01</v>
      </c>
      <c r="G31" s="105">
        <v>27485334.969999999</v>
      </c>
      <c r="H31" s="143">
        <v>42216.642023067128</v>
      </c>
      <c r="I31" s="143">
        <v>43314</v>
      </c>
      <c r="J31" t="s">
        <v>655</v>
      </c>
      <c r="K31" t="s">
        <v>1280</v>
      </c>
      <c r="L31" t="s">
        <v>1280</v>
      </c>
      <c r="M31">
        <v>101895</v>
      </c>
      <c r="N31" t="s">
        <v>649</v>
      </c>
      <c r="O31" t="s">
        <v>25</v>
      </c>
      <c r="P31" t="s">
        <v>26</v>
      </c>
      <c r="Q31" t="s">
        <v>26</v>
      </c>
      <c r="R31" s="105">
        <f>IF(Table__192.168.1.150_Daily_Delinquency_With_Sectors[[#This Row],[Days in Arrears]] &gt; 0, Table__192.168.1.150_Daily_Delinquency_With_Sectors[[#This Row],[Outstanding Balance]],0)</f>
        <v>23516676.079999998</v>
      </c>
      <c r="S31" s="105">
        <f>IF(Table__192.168.1.150_Daily_Delinquency_With_Sectors[[#This Row],[Days in Arrears]] &gt; 30, Table__192.168.1.150_Daily_Delinquency_With_Sectors[[#This Row],[Outstanding Balance]],0)</f>
        <v>23516676.079999998</v>
      </c>
      <c r="T31" s="105">
        <f>IF(Table__192.168.1.150_Daily_Delinquency_With_Sectors[[#This Row],[Days in Arrears]] &gt; 90, Table__192.168.1.150_Daily_Delinquency_With_Sectors[[#This Row],[Outstanding Balance]],0)</f>
        <v>0</v>
      </c>
      <c r="U31" s="109">
        <f>IF(Table__192.168.1.150_Daily_Delinquency_With_Sectors[[#This Row],[Days in Arrears]] &gt;= 1,1,0)</f>
        <v>1</v>
      </c>
      <c r="V31" s="109">
        <f>IF(Table__192.168.1.150_Daily_Delinquency_With_Sectors[[#This Row],[Days in Arrears]] &gt; 30,1,0)</f>
        <v>1</v>
      </c>
      <c r="W31" s="109">
        <f>IF(Table__192.168.1.150_Daily_Delinquency_With_Sectors[[#This Row],[Days in Arrears]] &gt; 90,1,0)</f>
        <v>0</v>
      </c>
    </row>
    <row r="32" spans="1:23" x14ac:dyDescent="0.25">
      <c r="A32" t="s">
        <v>623</v>
      </c>
      <c r="B32" t="s">
        <v>1284</v>
      </c>
      <c r="C32">
        <v>-8</v>
      </c>
      <c r="D32" s="105">
        <v>10121571.390000001</v>
      </c>
      <c r="E32" t="s">
        <v>1039</v>
      </c>
      <c r="F32" s="105">
        <v>212553</v>
      </c>
      <c r="G32" s="105">
        <v>10734848.43</v>
      </c>
      <c r="H32" s="143">
        <v>42216.681677314817</v>
      </c>
      <c r="I32" s="143">
        <v>43133</v>
      </c>
      <c r="J32" t="s">
        <v>624</v>
      </c>
      <c r="K32" t="s">
        <v>625</v>
      </c>
      <c r="L32" t="s">
        <v>1280</v>
      </c>
      <c r="M32">
        <v>101896</v>
      </c>
      <c r="N32" t="s">
        <v>621</v>
      </c>
      <c r="O32" t="s">
        <v>35</v>
      </c>
      <c r="P32" t="s">
        <v>26</v>
      </c>
      <c r="Q32" t="s">
        <v>26</v>
      </c>
      <c r="R32" s="105">
        <f>IF(Table__192.168.1.150_Daily_Delinquency_With_Sectors[[#This Row],[Days in Arrears]] &gt; 0, Table__192.168.1.150_Daily_Delinquency_With_Sectors[[#This Row],[Outstanding Balance]],0)</f>
        <v>0</v>
      </c>
      <c r="S32" s="105">
        <f>IF(Table__192.168.1.150_Daily_Delinquency_With_Sectors[[#This Row],[Days in Arrears]] &gt; 30, Table__192.168.1.150_Daily_Delinquency_With_Sectors[[#This Row],[Outstanding Balance]],0)</f>
        <v>0</v>
      </c>
      <c r="T32" s="105">
        <f>IF(Table__192.168.1.150_Daily_Delinquency_With_Sectors[[#This Row],[Days in Arrears]] &gt; 90, Table__192.168.1.150_Daily_Delinquency_With_Sectors[[#This Row],[Outstanding Balance]],0)</f>
        <v>0</v>
      </c>
      <c r="U32" s="109">
        <f>IF(Table__192.168.1.150_Daily_Delinquency_With_Sectors[[#This Row],[Days in Arrears]] &gt;= 1,1,0)</f>
        <v>0</v>
      </c>
      <c r="V32" s="109">
        <f>IF(Table__192.168.1.150_Daily_Delinquency_With_Sectors[[#This Row],[Days in Arrears]] &gt; 30,1,0)</f>
        <v>0</v>
      </c>
      <c r="W32" s="109">
        <f>IF(Table__192.168.1.150_Daily_Delinquency_With_Sectors[[#This Row],[Days in Arrears]] &gt; 90,1,0)</f>
        <v>0</v>
      </c>
    </row>
    <row r="33" spans="1:23" x14ac:dyDescent="0.25">
      <c r="A33" t="s">
        <v>1088</v>
      </c>
      <c r="B33" t="s">
        <v>1283</v>
      </c>
      <c r="C33">
        <v>-11</v>
      </c>
      <c r="D33" s="105">
        <v>28669164.699999999</v>
      </c>
      <c r="E33" t="s">
        <v>2855</v>
      </c>
      <c r="F33" s="105">
        <v>516044.96</v>
      </c>
      <c r="G33" s="105">
        <v>33138822.579999998</v>
      </c>
      <c r="H33" s="143">
        <v>42216.722978275466</v>
      </c>
      <c r="I33" s="143">
        <v>43317</v>
      </c>
      <c r="J33" t="s">
        <v>1089</v>
      </c>
      <c r="K33" t="s">
        <v>1280</v>
      </c>
      <c r="L33" t="s">
        <v>1280</v>
      </c>
      <c r="M33">
        <v>101898</v>
      </c>
      <c r="N33" t="s">
        <v>1087</v>
      </c>
      <c r="O33" t="s">
        <v>29</v>
      </c>
      <c r="P33" t="s">
        <v>96</v>
      </c>
      <c r="Q33" t="s">
        <v>26</v>
      </c>
      <c r="R33" s="105">
        <f>IF(Table__192.168.1.150_Daily_Delinquency_With_Sectors[[#This Row],[Days in Arrears]] &gt; 0, Table__192.168.1.150_Daily_Delinquency_With_Sectors[[#This Row],[Outstanding Balance]],0)</f>
        <v>0</v>
      </c>
      <c r="S33" s="105">
        <f>IF(Table__192.168.1.150_Daily_Delinquency_With_Sectors[[#This Row],[Days in Arrears]] &gt; 30, Table__192.168.1.150_Daily_Delinquency_With_Sectors[[#This Row],[Outstanding Balance]],0)</f>
        <v>0</v>
      </c>
      <c r="T33" s="105">
        <f>IF(Table__192.168.1.150_Daily_Delinquency_With_Sectors[[#This Row],[Days in Arrears]] &gt; 90, Table__192.168.1.150_Daily_Delinquency_With_Sectors[[#This Row],[Outstanding Balance]],0)</f>
        <v>0</v>
      </c>
      <c r="U33" s="109">
        <f>IF(Table__192.168.1.150_Daily_Delinquency_With_Sectors[[#This Row],[Days in Arrears]] &gt;= 1,1,0)</f>
        <v>0</v>
      </c>
      <c r="V33" s="109">
        <f>IF(Table__192.168.1.150_Daily_Delinquency_With_Sectors[[#This Row],[Days in Arrears]] &gt; 30,1,0)</f>
        <v>0</v>
      </c>
      <c r="W33" s="109">
        <f>IF(Table__192.168.1.150_Daily_Delinquency_With_Sectors[[#This Row],[Days in Arrears]] &gt; 90,1,0)</f>
        <v>0</v>
      </c>
    </row>
    <row r="34" spans="1:23" x14ac:dyDescent="0.25">
      <c r="A34" t="s">
        <v>573</v>
      </c>
      <c r="B34" t="s">
        <v>1283</v>
      </c>
      <c r="C34">
        <v>-8</v>
      </c>
      <c r="D34" s="105">
        <v>28586065.690000001</v>
      </c>
      <c r="E34" t="s">
        <v>4684</v>
      </c>
      <c r="F34" s="105">
        <v>600307.38</v>
      </c>
      <c r="G34" s="105">
        <v>33042768.030000001</v>
      </c>
      <c r="H34" s="143">
        <v>42216.604566319445</v>
      </c>
      <c r="I34" s="143">
        <v>43314</v>
      </c>
      <c r="J34" t="s">
        <v>574</v>
      </c>
      <c r="K34" t="s">
        <v>575</v>
      </c>
      <c r="L34" t="s">
        <v>1280</v>
      </c>
      <c r="M34">
        <v>101902</v>
      </c>
      <c r="N34" t="s">
        <v>572</v>
      </c>
      <c r="O34" t="s">
        <v>44</v>
      </c>
      <c r="P34" t="s">
        <v>75</v>
      </c>
      <c r="Q34" t="s">
        <v>26</v>
      </c>
      <c r="R34" s="105">
        <f>IF(Table__192.168.1.150_Daily_Delinquency_With_Sectors[[#This Row],[Days in Arrears]] &gt; 0, Table__192.168.1.150_Daily_Delinquency_With_Sectors[[#This Row],[Outstanding Balance]],0)</f>
        <v>0</v>
      </c>
      <c r="S34" s="105">
        <f>IF(Table__192.168.1.150_Daily_Delinquency_With_Sectors[[#This Row],[Days in Arrears]] &gt; 30, Table__192.168.1.150_Daily_Delinquency_With_Sectors[[#This Row],[Outstanding Balance]],0)</f>
        <v>0</v>
      </c>
      <c r="T34" s="105">
        <f>IF(Table__192.168.1.150_Daily_Delinquency_With_Sectors[[#This Row],[Days in Arrears]] &gt; 90, Table__192.168.1.150_Daily_Delinquency_With_Sectors[[#This Row],[Outstanding Balance]],0)</f>
        <v>0</v>
      </c>
      <c r="U34" s="109">
        <f>IF(Table__192.168.1.150_Daily_Delinquency_With_Sectors[[#This Row],[Days in Arrears]] &gt;= 1,1,0)</f>
        <v>0</v>
      </c>
      <c r="V34" s="109">
        <f>IF(Table__192.168.1.150_Daily_Delinquency_With_Sectors[[#This Row],[Days in Arrears]] &gt; 30,1,0)</f>
        <v>0</v>
      </c>
      <c r="W34" s="109">
        <f>IF(Table__192.168.1.150_Daily_Delinquency_With_Sectors[[#This Row],[Days in Arrears]] &gt; 90,1,0)</f>
        <v>0</v>
      </c>
    </row>
    <row r="35" spans="1:23" x14ac:dyDescent="0.25">
      <c r="A35" t="s">
        <v>282</v>
      </c>
      <c r="B35" t="s">
        <v>1284</v>
      </c>
      <c r="C35">
        <v>-10</v>
      </c>
      <c r="D35" s="105">
        <v>28641465.129999999</v>
      </c>
      <c r="E35" t="s">
        <v>491</v>
      </c>
      <c r="F35" s="105">
        <v>544187.84</v>
      </c>
      <c r="G35" s="105">
        <v>33106804.539999999</v>
      </c>
      <c r="H35" s="143">
        <v>42216.62358402778</v>
      </c>
      <c r="I35" s="143">
        <v>43316</v>
      </c>
      <c r="J35" t="s">
        <v>283</v>
      </c>
      <c r="K35" t="s">
        <v>1280</v>
      </c>
      <c r="L35" t="s">
        <v>1280</v>
      </c>
      <c r="M35">
        <v>101903</v>
      </c>
      <c r="N35" t="s">
        <v>124</v>
      </c>
      <c r="O35" t="s">
        <v>25</v>
      </c>
      <c r="P35" t="s">
        <v>106</v>
      </c>
      <c r="Q35" t="s">
        <v>107</v>
      </c>
      <c r="R35" s="105">
        <f>IF(Table__192.168.1.150_Daily_Delinquency_With_Sectors[[#This Row],[Days in Arrears]] &gt; 0, Table__192.168.1.150_Daily_Delinquency_With_Sectors[[#This Row],[Outstanding Balance]],0)</f>
        <v>0</v>
      </c>
      <c r="S35" s="105">
        <f>IF(Table__192.168.1.150_Daily_Delinquency_With_Sectors[[#This Row],[Days in Arrears]] &gt; 30, Table__192.168.1.150_Daily_Delinquency_With_Sectors[[#This Row],[Outstanding Balance]],0)</f>
        <v>0</v>
      </c>
      <c r="T35" s="105">
        <f>IF(Table__192.168.1.150_Daily_Delinquency_With_Sectors[[#This Row],[Days in Arrears]] &gt; 90, Table__192.168.1.150_Daily_Delinquency_With_Sectors[[#This Row],[Outstanding Balance]],0)</f>
        <v>0</v>
      </c>
      <c r="U35" s="109">
        <f>IF(Table__192.168.1.150_Daily_Delinquency_With_Sectors[[#This Row],[Days in Arrears]] &gt;= 1,1,0)</f>
        <v>0</v>
      </c>
      <c r="V35" s="109">
        <f>IF(Table__192.168.1.150_Daily_Delinquency_With_Sectors[[#This Row],[Days in Arrears]] &gt; 30,1,0)</f>
        <v>0</v>
      </c>
      <c r="W35" s="109">
        <f>IF(Table__192.168.1.150_Daily_Delinquency_With_Sectors[[#This Row],[Days in Arrears]] &gt; 90,1,0)</f>
        <v>0</v>
      </c>
    </row>
    <row r="36" spans="1:23" x14ac:dyDescent="0.25">
      <c r="A36" t="s">
        <v>1197</v>
      </c>
      <c r="B36" t="s">
        <v>1281</v>
      </c>
      <c r="C36">
        <v>51</v>
      </c>
      <c r="D36" s="105">
        <v>9708159.1500000004</v>
      </c>
      <c r="E36" t="s">
        <v>963</v>
      </c>
      <c r="F36" s="105">
        <v>351233.95</v>
      </c>
      <c r="G36" s="105">
        <v>11533382.52</v>
      </c>
      <c r="H36" s="143">
        <v>42219.586541006945</v>
      </c>
      <c r="I36" s="143">
        <v>43315</v>
      </c>
      <c r="J36" t="s">
        <v>1198</v>
      </c>
      <c r="K36" t="s">
        <v>1199</v>
      </c>
      <c r="L36" t="s">
        <v>1280</v>
      </c>
      <c r="M36">
        <v>101906</v>
      </c>
      <c r="N36" t="s">
        <v>1195</v>
      </c>
      <c r="O36" t="s">
        <v>27</v>
      </c>
      <c r="P36" t="s">
        <v>81</v>
      </c>
      <c r="Q36" t="s">
        <v>26</v>
      </c>
      <c r="R36" s="105">
        <f>IF(Table__192.168.1.150_Daily_Delinquency_With_Sectors[[#This Row],[Days in Arrears]] &gt; 0, Table__192.168.1.150_Daily_Delinquency_With_Sectors[[#This Row],[Outstanding Balance]],0)</f>
        <v>9708159.1500000004</v>
      </c>
      <c r="S36" s="105">
        <f>IF(Table__192.168.1.150_Daily_Delinquency_With_Sectors[[#This Row],[Days in Arrears]] &gt; 30, Table__192.168.1.150_Daily_Delinquency_With_Sectors[[#This Row],[Outstanding Balance]],0)</f>
        <v>9708159.1500000004</v>
      </c>
      <c r="T36" s="105">
        <f>IF(Table__192.168.1.150_Daily_Delinquency_With_Sectors[[#This Row],[Days in Arrears]] &gt; 90, Table__192.168.1.150_Daily_Delinquency_With_Sectors[[#This Row],[Outstanding Balance]],0)</f>
        <v>0</v>
      </c>
      <c r="U36" s="109">
        <f>IF(Table__192.168.1.150_Daily_Delinquency_With_Sectors[[#This Row],[Days in Arrears]] &gt;= 1,1,0)</f>
        <v>1</v>
      </c>
      <c r="V36" s="109">
        <f>IF(Table__192.168.1.150_Daily_Delinquency_With_Sectors[[#This Row],[Days in Arrears]] &gt; 30,1,0)</f>
        <v>1</v>
      </c>
      <c r="W36" s="109">
        <f>IF(Table__192.168.1.150_Daily_Delinquency_With_Sectors[[#This Row],[Days in Arrears]] &gt; 90,1,0)</f>
        <v>0</v>
      </c>
    </row>
    <row r="37" spans="1:23" x14ac:dyDescent="0.25">
      <c r="A37" t="s">
        <v>1200</v>
      </c>
      <c r="B37" t="s">
        <v>1283</v>
      </c>
      <c r="C37">
        <v>-9</v>
      </c>
      <c r="D37" s="105">
        <v>10823524.18</v>
      </c>
      <c r="E37" t="s">
        <v>2855</v>
      </c>
      <c r="F37" s="105">
        <v>216470.48</v>
      </c>
      <c r="G37" s="105">
        <v>11479333.310000001</v>
      </c>
      <c r="H37" s="143">
        <v>42219.720567511577</v>
      </c>
      <c r="I37" s="143">
        <v>43134</v>
      </c>
      <c r="J37" t="s">
        <v>1201</v>
      </c>
      <c r="K37" t="s">
        <v>1280</v>
      </c>
      <c r="L37" t="s">
        <v>1280</v>
      </c>
      <c r="M37">
        <v>101908</v>
      </c>
      <c r="N37" t="s">
        <v>1196</v>
      </c>
      <c r="O37" t="s">
        <v>25</v>
      </c>
      <c r="P37" t="s">
        <v>26</v>
      </c>
      <c r="Q37" t="s">
        <v>26</v>
      </c>
      <c r="R37" s="105">
        <f>IF(Table__192.168.1.150_Daily_Delinquency_With_Sectors[[#This Row],[Days in Arrears]] &gt; 0, Table__192.168.1.150_Daily_Delinquency_With_Sectors[[#This Row],[Outstanding Balance]],0)</f>
        <v>0</v>
      </c>
      <c r="S37" s="105">
        <f>IF(Table__192.168.1.150_Daily_Delinquency_With_Sectors[[#This Row],[Days in Arrears]] &gt; 30, Table__192.168.1.150_Daily_Delinquency_With_Sectors[[#This Row],[Outstanding Balance]],0)</f>
        <v>0</v>
      </c>
      <c r="T37" s="105">
        <f>IF(Table__192.168.1.150_Daily_Delinquency_With_Sectors[[#This Row],[Days in Arrears]] &gt; 90, Table__192.168.1.150_Daily_Delinquency_With_Sectors[[#This Row],[Outstanding Balance]],0)</f>
        <v>0</v>
      </c>
      <c r="U37" s="109">
        <f>IF(Table__192.168.1.150_Daily_Delinquency_With_Sectors[[#This Row],[Days in Arrears]] &gt;= 1,1,0)</f>
        <v>0</v>
      </c>
      <c r="V37" s="109">
        <f>IF(Table__192.168.1.150_Daily_Delinquency_With_Sectors[[#This Row],[Days in Arrears]] &gt; 30,1,0)</f>
        <v>0</v>
      </c>
      <c r="W37" s="109">
        <f>IF(Table__192.168.1.150_Daily_Delinquency_With_Sectors[[#This Row],[Days in Arrears]] &gt; 90,1,0)</f>
        <v>0</v>
      </c>
    </row>
    <row r="38" spans="1:23" x14ac:dyDescent="0.25">
      <c r="A38" t="s">
        <v>1231</v>
      </c>
      <c r="B38" t="s">
        <v>1283</v>
      </c>
      <c r="C38">
        <v>14</v>
      </c>
      <c r="D38" s="105">
        <v>19592683.27</v>
      </c>
      <c r="E38" t="s">
        <v>1191</v>
      </c>
      <c r="F38" s="105">
        <v>781240.11</v>
      </c>
      <c r="G38" s="105">
        <v>22929574.670000002</v>
      </c>
      <c r="H38" s="143">
        <v>42223.544226238424</v>
      </c>
      <c r="I38" s="143">
        <v>43322</v>
      </c>
      <c r="J38" t="s">
        <v>1232</v>
      </c>
      <c r="K38" t="s">
        <v>1280</v>
      </c>
      <c r="L38" t="s">
        <v>1280</v>
      </c>
      <c r="M38">
        <v>101916</v>
      </c>
      <c r="N38" t="s">
        <v>1227</v>
      </c>
      <c r="O38" t="s">
        <v>27</v>
      </c>
      <c r="P38" t="s">
        <v>26</v>
      </c>
      <c r="Q38" t="s">
        <v>26</v>
      </c>
      <c r="R38" s="105">
        <f>IF(Table__192.168.1.150_Daily_Delinquency_With_Sectors[[#This Row],[Days in Arrears]] &gt; 0, Table__192.168.1.150_Daily_Delinquency_With_Sectors[[#This Row],[Outstanding Balance]],0)</f>
        <v>19592683.27</v>
      </c>
      <c r="S38" s="105">
        <f>IF(Table__192.168.1.150_Daily_Delinquency_With_Sectors[[#This Row],[Days in Arrears]] &gt; 30, Table__192.168.1.150_Daily_Delinquency_With_Sectors[[#This Row],[Outstanding Balance]],0)</f>
        <v>0</v>
      </c>
      <c r="T38" s="105">
        <f>IF(Table__192.168.1.150_Daily_Delinquency_With_Sectors[[#This Row],[Days in Arrears]] &gt; 90, Table__192.168.1.150_Daily_Delinquency_With_Sectors[[#This Row],[Outstanding Balance]],0)</f>
        <v>0</v>
      </c>
      <c r="U38" s="109">
        <f>IF(Table__192.168.1.150_Daily_Delinquency_With_Sectors[[#This Row],[Days in Arrears]] &gt;= 1,1,0)</f>
        <v>1</v>
      </c>
      <c r="V38" s="109">
        <f>IF(Table__192.168.1.150_Daily_Delinquency_With_Sectors[[#This Row],[Days in Arrears]] &gt; 30,1,0)</f>
        <v>0</v>
      </c>
      <c r="W38" s="109">
        <f>IF(Table__192.168.1.150_Daily_Delinquency_With_Sectors[[#This Row],[Days in Arrears]] &gt; 90,1,0)</f>
        <v>0</v>
      </c>
    </row>
    <row r="39" spans="1:23" x14ac:dyDescent="0.25">
      <c r="A39" t="s">
        <v>1252</v>
      </c>
      <c r="B39" t="s">
        <v>1283</v>
      </c>
      <c r="C39">
        <v>-21</v>
      </c>
      <c r="D39" s="105">
        <v>11087834.220000001</v>
      </c>
      <c r="E39" t="s">
        <v>1191</v>
      </c>
      <c r="F39" s="105">
        <v>88702.67</v>
      </c>
      <c r="G39" s="105">
        <v>12816479.84</v>
      </c>
      <c r="H39" s="143">
        <v>42228.610583368056</v>
      </c>
      <c r="I39" s="143">
        <v>43327</v>
      </c>
      <c r="J39" t="s">
        <v>1253</v>
      </c>
      <c r="K39" t="s">
        <v>1254</v>
      </c>
      <c r="L39" t="s">
        <v>1280</v>
      </c>
      <c r="M39">
        <v>101925</v>
      </c>
      <c r="N39" t="s">
        <v>1240</v>
      </c>
      <c r="O39" t="s">
        <v>44</v>
      </c>
      <c r="P39" t="s">
        <v>75</v>
      </c>
      <c r="Q39" t="s">
        <v>26</v>
      </c>
      <c r="R39" s="105">
        <f>IF(Table__192.168.1.150_Daily_Delinquency_With_Sectors[[#This Row],[Days in Arrears]] &gt; 0, Table__192.168.1.150_Daily_Delinquency_With_Sectors[[#This Row],[Outstanding Balance]],0)</f>
        <v>0</v>
      </c>
      <c r="S39" s="105">
        <f>IF(Table__192.168.1.150_Daily_Delinquency_With_Sectors[[#This Row],[Days in Arrears]] &gt; 30, Table__192.168.1.150_Daily_Delinquency_With_Sectors[[#This Row],[Outstanding Balance]],0)</f>
        <v>0</v>
      </c>
      <c r="T39" s="105">
        <f>IF(Table__192.168.1.150_Daily_Delinquency_With_Sectors[[#This Row],[Days in Arrears]] &gt; 90, Table__192.168.1.150_Daily_Delinquency_With_Sectors[[#This Row],[Outstanding Balance]],0)</f>
        <v>0</v>
      </c>
      <c r="U39" s="109">
        <f>IF(Table__192.168.1.150_Daily_Delinquency_With_Sectors[[#This Row],[Days in Arrears]] &gt;= 1,1,0)</f>
        <v>0</v>
      </c>
      <c r="V39" s="109">
        <f>IF(Table__192.168.1.150_Daily_Delinquency_With_Sectors[[#This Row],[Days in Arrears]] &gt; 30,1,0)</f>
        <v>0</v>
      </c>
      <c r="W39" s="109">
        <f>IF(Table__192.168.1.150_Daily_Delinquency_With_Sectors[[#This Row],[Days in Arrears]] &gt; 90,1,0)</f>
        <v>0</v>
      </c>
    </row>
    <row r="40" spans="1:23" x14ac:dyDescent="0.25">
      <c r="A40" t="s">
        <v>718</v>
      </c>
      <c r="B40" t="s">
        <v>1841</v>
      </c>
      <c r="C40">
        <v>41</v>
      </c>
      <c r="D40" s="105">
        <v>8344405.3499999996</v>
      </c>
      <c r="E40" t="s">
        <v>5726</v>
      </c>
      <c r="F40" s="105">
        <v>242798.67</v>
      </c>
      <c r="G40" s="105">
        <v>8965318.0199999996</v>
      </c>
      <c r="H40" s="143">
        <v>42230.654949965276</v>
      </c>
      <c r="I40" s="143">
        <v>43144</v>
      </c>
      <c r="J40" t="s">
        <v>719</v>
      </c>
      <c r="K40" t="s">
        <v>720</v>
      </c>
      <c r="L40" t="s">
        <v>1280</v>
      </c>
      <c r="M40">
        <v>101931</v>
      </c>
      <c r="N40" t="s">
        <v>717</v>
      </c>
      <c r="O40" t="s">
        <v>28</v>
      </c>
      <c r="P40" t="s">
        <v>26</v>
      </c>
      <c r="Q40" t="s">
        <v>26</v>
      </c>
      <c r="R40" s="105">
        <f>IF(Table__192.168.1.150_Daily_Delinquency_With_Sectors[[#This Row],[Days in Arrears]] &gt; 0, Table__192.168.1.150_Daily_Delinquency_With_Sectors[[#This Row],[Outstanding Balance]],0)</f>
        <v>8344405.3499999996</v>
      </c>
      <c r="S40" s="105">
        <f>IF(Table__192.168.1.150_Daily_Delinquency_With_Sectors[[#This Row],[Days in Arrears]] &gt; 30, Table__192.168.1.150_Daily_Delinquency_With_Sectors[[#This Row],[Outstanding Balance]],0)</f>
        <v>8344405.3499999996</v>
      </c>
      <c r="T40" s="105">
        <f>IF(Table__192.168.1.150_Daily_Delinquency_With_Sectors[[#This Row],[Days in Arrears]] &gt; 90, Table__192.168.1.150_Daily_Delinquency_With_Sectors[[#This Row],[Outstanding Balance]],0)</f>
        <v>0</v>
      </c>
      <c r="U40" s="109">
        <f>IF(Table__192.168.1.150_Daily_Delinquency_With_Sectors[[#This Row],[Days in Arrears]] &gt;= 1,1,0)</f>
        <v>1</v>
      </c>
      <c r="V40" s="109">
        <f>IF(Table__192.168.1.150_Daily_Delinquency_With_Sectors[[#This Row],[Days in Arrears]] &gt; 30,1,0)</f>
        <v>1</v>
      </c>
      <c r="W40" s="109">
        <f>IF(Table__192.168.1.150_Daily_Delinquency_With_Sectors[[#This Row],[Days in Arrears]] &gt; 90,1,0)</f>
        <v>0</v>
      </c>
    </row>
    <row r="41" spans="1:23" x14ac:dyDescent="0.25">
      <c r="A41" t="s">
        <v>1125</v>
      </c>
      <c r="B41" t="s">
        <v>1284</v>
      </c>
      <c r="C41">
        <v>36</v>
      </c>
      <c r="D41" s="105">
        <v>23309290.98</v>
      </c>
      <c r="E41" t="s">
        <v>5724</v>
      </c>
      <c r="F41" s="105">
        <v>1194774.26</v>
      </c>
      <c r="G41" s="105">
        <v>27563984.710000001</v>
      </c>
      <c r="H41" s="143">
        <v>42234.622842789351</v>
      </c>
      <c r="I41" s="143">
        <v>43330</v>
      </c>
      <c r="J41" t="s">
        <v>1126</v>
      </c>
      <c r="K41" t="s">
        <v>1280</v>
      </c>
      <c r="L41" t="s">
        <v>1280</v>
      </c>
      <c r="M41">
        <v>101939</v>
      </c>
      <c r="N41" t="s">
        <v>1123</v>
      </c>
      <c r="O41" t="s">
        <v>25</v>
      </c>
      <c r="P41" t="s">
        <v>26</v>
      </c>
      <c r="Q41" t="s">
        <v>26</v>
      </c>
      <c r="R41" s="105">
        <f>IF(Table__192.168.1.150_Daily_Delinquency_With_Sectors[[#This Row],[Days in Arrears]] &gt; 0, Table__192.168.1.150_Daily_Delinquency_With_Sectors[[#This Row],[Outstanding Balance]],0)</f>
        <v>23309290.98</v>
      </c>
      <c r="S41" s="105">
        <f>IF(Table__192.168.1.150_Daily_Delinquency_With_Sectors[[#This Row],[Days in Arrears]] &gt; 30, Table__192.168.1.150_Daily_Delinquency_With_Sectors[[#This Row],[Outstanding Balance]],0)</f>
        <v>23309290.98</v>
      </c>
      <c r="T41" s="105">
        <f>IF(Table__192.168.1.150_Daily_Delinquency_With_Sectors[[#This Row],[Days in Arrears]] &gt; 90, Table__192.168.1.150_Daily_Delinquency_With_Sectors[[#This Row],[Outstanding Balance]],0)</f>
        <v>0</v>
      </c>
      <c r="U41" s="109">
        <f>IF(Table__192.168.1.150_Daily_Delinquency_With_Sectors[[#This Row],[Days in Arrears]] &gt;= 1,1,0)</f>
        <v>1</v>
      </c>
      <c r="V41" s="109">
        <f>IF(Table__192.168.1.150_Daily_Delinquency_With_Sectors[[#This Row],[Days in Arrears]] &gt; 30,1,0)</f>
        <v>1</v>
      </c>
      <c r="W41" s="109">
        <f>IF(Table__192.168.1.150_Daily_Delinquency_With_Sectors[[#This Row],[Days in Arrears]] &gt; 90,1,0)</f>
        <v>0</v>
      </c>
    </row>
    <row r="42" spans="1:23" x14ac:dyDescent="0.25">
      <c r="A42" t="s">
        <v>1267</v>
      </c>
      <c r="B42" t="s">
        <v>1283</v>
      </c>
      <c r="C42">
        <v>3</v>
      </c>
      <c r="D42" s="105">
        <v>24060353.460000001</v>
      </c>
      <c r="E42" t="s">
        <v>5167</v>
      </c>
      <c r="F42" s="105">
        <v>765894.48</v>
      </c>
      <c r="G42" s="105">
        <v>28323747.190000001</v>
      </c>
      <c r="H42" s="143">
        <v>42234.675016782407</v>
      </c>
      <c r="I42" s="143">
        <v>43333</v>
      </c>
      <c r="J42" t="s">
        <v>1268</v>
      </c>
      <c r="K42" t="s">
        <v>1269</v>
      </c>
      <c r="L42" t="s">
        <v>1280</v>
      </c>
      <c r="M42">
        <v>101943</v>
      </c>
      <c r="N42" t="s">
        <v>1266</v>
      </c>
      <c r="O42" t="s">
        <v>25</v>
      </c>
      <c r="P42" t="s">
        <v>26</v>
      </c>
      <c r="Q42" t="s">
        <v>26</v>
      </c>
      <c r="R42" s="105">
        <f>IF(Table__192.168.1.150_Daily_Delinquency_With_Sectors[[#This Row],[Days in Arrears]] &gt; 0, Table__192.168.1.150_Daily_Delinquency_With_Sectors[[#This Row],[Outstanding Balance]],0)</f>
        <v>24060353.460000001</v>
      </c>
      <c r="S42" s="105">
        <f>IF(Table__192.168.1.150_Daily_Delinquency_With_Sectors[[#This Row],[Days in Arrears]] &gt; 30, Table__192.168.1.150_Daily_Delinquency_With_Sectors[[#This Row],[Outstanding Balance]],0)</f>
        <v>0</v>
      </c>
      <c r="T42" s="105">
        <f>IF(Table__192.168.1.150_Daily_Delinquency_With_Sectors[[#This Row],[Days in Arrears]] &gt; 90, Table__192.168.1.150_Daily_Delinquency_With_Sectors[[#This Row],[Outstanding Balance]],0)</f>
        <v>0</v>
      </c>
      <c r="U42" s="109">
        <f>IF(Table__192.168.1.150_Daily_Delinquency_With_Sectors[[#This Row],[Days in Arrears]] &gt;= 1,1,0)</f>
        <v>1</v>
      </c>
      <c r="V42" s="109">
        <f>IF(Table__192.168.1.150_Daily_Delinquency_With_Sectors[[#This Row],[Days in Arrears]] &gt; 30,1,0)</f>
        <v>0</v>
      </c>
      <c r="W42" s="109">
        <f>IF(Table__192.168.1.150_Daily_Delinquency_With_Sectors[[#This Row],[Days in Arrears]] &gt; 90,1,0)</f>
        <v>0</v>
      </c>
    </row>
    <row r="43" spans="1:23" x14ac:dyDescent="0.25">
      <c r="A43" t="s">
        <v>454</v>
      </c>
      <c r="B43" t="s">
        <v>1850</v>
      </c>
      <c r="C43">
        <v>52</v>
      </c>
      <c r="D43" s="105">
        <v>29980930.129999999</v>
      </c>
      <c r="E43" t="s">
        <v>5724</v>
      </c>
      <c r="F43" s="105">
        <v>1709038.24</v>
      </c>
      <c r="G43" s="105">
        <v>36119095.039999999</v>
      </c>
      <c r="H43" s="143">
        <v>42235.604235219907</v>
      </c>
      <c r="I43" s="143">
        <v>43345</v>
      </c>
      <c r="J43" t="s">
        <v>455</v>
      </c>
      <c r="K43" t="s">
        <v>456</v>
      </c>
      <c r="L43" t="s">
        <v>1280</v>
      </c>
      <c r="M43">
        <v>101944</v>
      </c>
      <c r="N43" t="s">
        <v>451</v>
      </c>
      <c r="O43" t="s">
        <v>25</v>
      </c>
      <c r="P43" t="s">
        <v>26</v>
      </c>
      <c r="Q43" t="s">
        <v>26</v>
      </c>
      <c r="R43" s="105">
        <f>IF(Table__192.168.1.150_Daily_Delinquency_With_Sectors[[#This Row],[Days in Arrears]] &gt; 0, Table__192.168.1.150_Daily_Delinquency_With_Sectors[[#This Row],[Outstanding Balance]],0)</f>
        <v>29980930.129999999</v>
      </c>
      <c r="S43" s="105">
        <f>IF(Table__192.168.1.150_Daily_Delinquency_With_Sectors[[#This Row],[Days in Arrears]] &gt; 30, Table__192.168.1.150_Daily_Delinquency_With_Sectors[[#This Row],[Outstanding Balance]],0)</f>
        <v>29980930.129999999</v>
      </c>
      <c r="T43" s="105">
        <f>IF(Table__192.168.1.150_Daily_Delinquency_With_Sectors[[#This Row],[Days in Arrears]] &gt; 90, Table__192.168.1.150_Daily_Delinquency_With_Sectors[[#This Row],[Outstanding Balance]],0)</f>
        <v>0</v>
      </c>
      <c r="U43" s="109">
        <f>IF(Table__192.168.1.150_Daily_Delinquency_With_Sectors[[#This Row],[Days in Arrears]] &gt;= 1,1,0)</f>
        <v>1</v>
      </c>
      <c r="V43" s="109">
        <f>IF(Table__192.168.1.150_Daily_Delinquency_With_Sectors[[#This Row],[Days in Arrears]] &gt; 30,1,0)</f>
        <v>1</v>
      </c>
      <c r="W43" s="109">
        <f>IF(Table__192.168.1.150_Daily_Delinquency_With_Sectors[[#This Row],[Days in Arrears]] &gt; 90,1,0)</f>
        <v>0</v>
      </c>
    </row>
    <row r="44" spans="1:23" x14ac:dyDescent="0.25">
      <c r="A44" t="s">
        <v>855</v>
      </c>
      <c r="B44" t="s">
        <v>1283</v>
      </c>
      <c r="C44">
        <v>-13</v>
      </c>
      <c r="D44" s="105">
        <v>28568521.719999999</v>
      </c>
      <c r="E44" t="s">
        <v>468</v>
      </c>
      <c r="F44" s="105">
        <v>457096.35</v>
      </c>
      <c r="G44" s="105">
        <v>33491022.719999999</v>
      </c>
      <c r="H44" s="143">
        <v>42237.669844328702</v>
      </c>
      <c r="I44" s="143">
        <v>43350</v>
      </c>
      <c r="J44" t="s">
        <v>856</v>
      </c>
      <c r="K44" t="s">
        <v>857</v>
      </c>
      <c r="L44" t="s">
        <v>1280</v>
      </c>
      <c r="M44">
        <v>101954</v>
      </c>
      <c r="N44" t="s">
        <v>854</v>
      </c>
      <c r="O44" t="s">
        <v>29</v>
      </c>
      <c r="P44" t="s">
        <v>26</v>
      </c>
      <c r="Q44" t="s">
        <v>26</v>
      </c>
      <c r="R44" s="105">
        <f>IF(Table__192.168.1.150_Daily_Delinquency_With_Sectors[[#This Row],[Days in Arrears]] &gt; 0, Table__192.168.1.150_Daily_Delinquency_With_Sectors[[#This Row],[Outstanding Balance]],0)</f>
        <v>0</v>
      </c>
      <c r="S44" s="105">
        <f>IF(Table__192.168.1.150_Daily_Delinquency_With_Sectors[[#This Row],[Days in Arrears]] &gt; 30, Table__192.168.1.150_Daily_Delinquency_With_Sectors[[#This Row],[Outstanding Balance]],0)</f>
        <v>0</v>
      </c>
      <c r="T44" s="105">
        <f>IF(Table__192.168.1.150_Daily_Delinquency_With_Sectors[[#This Row],[Days in Arrears]] &gt; 90, Table__192.168.1.150_Daily_Delinquency_With_Sectors[[#This Row],[Outstanding Balance]],0)</f>
        <v>0</v>
      </c>
      <c r="U44" s="109">
        <f>IF(Table__192.168.1.150_Daily_Delinquency_With_Sectors[[#This Row],[Days in Arrears]] &gt;= 1,1,0)</f>
        <v>0</v>
      </c>
      <c r="V44" s="109">
        <f>IF(Table__192.168.1.150_Daily_Delinquency_With_Sectors[[#This Row],[Days in Arrears]] &gt; 30,1,0)</f>
        <v>0</v>
      </c>
      <c r="W44" s="109">
        <f>IF(Table__192.168.1.150_Daily_Delinquency_With_Sectors[[#This Row],[Days in Arrears]] &gt; 90,1,0)</f>
        <v>0</v>
      </c>
    </row>
    <row r="45" spans="1:23" x14ac:dyDescent="0.25">
      <c r="A45" t="s">
        <v>216</v>
      </c>
      <c r="B45" t="s">
        <v>1283</v>
      </c>
      <c r="C45">
        <v>83</v>
      </c>
      <c r="D45" s="105">
        <v>29369158.379999999</v>
      </c>
      <c r="E45" t="s">
        <v>5725</v>
      </c>
      <c r="F45" s="105">
        <v>1729291.43</v>
      </c>
      <c r="G45" s="105">
        <v>35900391.43</v>
      </c>
      <c r="H45" s="143">
        <v>42242.439896064818</v>
      </c>
      <c r="I45" s="143">
        <v>43344</v>
      </c>
      <c r="J45" t="s">
        <v>217</v>
      </c>
      <c r="K45" t="s">
        <v>218</v>
      </c>
      <c r="L45" t="s">
        <v>1280</v>
      </c>
      <c r="M45">
        <v>101971</v>
      </c>
      <c r="N45" t="s">
        <v>215</v>
      </c>
      <c r="O45" t="s">
        <v>45</v>
      </c>
      <c r="P45" t="s">
        <v>45</v>
      </c>
      <c r="Q45" t="s">
        <v>26</v>
      </c>
      <c r="R45" s="105">
        <f>IF(Table__192.168.1.150_Daily_Delinquency_With_Sectors[[#This Row],[Days in Arrears]] &gt; 0, Table__192.168.1.150_Daily_Delinquency_With_Sectors[[#This Row],[Outstanding Balance]],0)</f>
        <v>29369158.379999999</v>
      </c>
      <c r="S45" s="105">
        <f>IF(Table__192.168.1.150_Daily_Delinquency_With_Sectors[[#This Row],[Days in Arrears]] &gt; 30, Table__192.168.1.150_Daily_Delinquency_With_Sectors[[#This Row],[Outstanding Balance]],0)</f>
        <v>29369158.379999999</v>
      </c>
      <c r="T45" s="105">
        <f>IF(Table__192.168.1.150_Daily_Delinquency_With_Sectors[[#This Row],[Days in Arrears]] &gt; 90, Table__192.168.1.150_Daily_Delinquency_With_Sectors[[#This Row],[Outstanding Balance]],0)</f>
        <v>0</v>
      </c>
      <c r="U45" s="109">
        <f>IF(Table__192.168.1.150_Daily_Delinquency_With_Sectors[[#This Row],[Days in Arrears]] &gt;= 1,1,0)</f>
        <v>1</v>
      </c>
      <c r="V45" s="109">
        <f>IF(Table__192.168.1.150_Daily_Delinquency_With_Sectors[[#This Row],[Days in Arrears]] &gt; 30,1,0)</f>
        <v>1</v>
      </c>
      <c r="W45" s="109">
        <f>IF(Table__192.168.1.150_Daily_Delinquency_With_Sectors[[#This Row],[Days in Arrears]] &gt; 90,1,0)</f>
        <v>0</v>
      </c>
    </row>
    <row r="46" spans="1:23" x14ac:dyDescent="0.25">
      <c r="A46" t="s">
        <v>1270</v>
      </c>
      <c r="B46" t="s">
        <v>1282</v>
      </c>
      <c r="C46">
        <v>3</v>
      </c>
      <c r="D46" s="105">
        <v>4626744.96</v>
      </c>
      <c r="E46" t="s">
        <v>5726</v>
      </c>
      <c r="F46" s="105">
        <v>73591.679999999993</v>
      </c>
      <c r="G46" s="105">
        <v>5014205.82</v>
      </c>
      <c r="H46" s="143">
        <v>42243.690604050928</v>
      </c>
      <c r="I46" s="143">
        <v>43333</v>
      </c>
      <c r="J46" t="s">
        <v>1271</v>
      </c>
      <c r="K46" t="s">
        <v>1272</v>
      </c>
      <c r="L46" t="s">
        <v>1280</v>
      </c>
      <c r="M46">
        <v>101980</v>
      </c>
      <c r="N46" t="s">
        <v>1145</v>
      </c>
      <c r="O46" t="s">
        <v>43</v>
      </c>
      <c r="P46" t="s">
        <v>26</v>
      </c>
      <c r="Q46" t="s">
        <v>26</v>
      </c>
      <c r="R46" s="105">
        <f>IF(Table__192.168.1.150_Daily_Delinquency_With_Sectors[[#This Row],[Days in Arrears]] &gt; 0, Table__192.168.1.150_Daily_Delinquency_With_Sectors[[#This Row],[Outstanding Balance]],0)</f>
        <v>4626744.96</v>
      </c>
      <c r="S46" s="105">
        <f>IF(Table__192.168.1.150_Daily_Delinquency_With_Sectors[[#This Row],[Days in Arrears]] &gt; 30, Table__192.168.1.150_Daily_Delinquency_With_Sectors[[#This Row],[Outstanding Balance]],0)</f>
        <v>0</v>
      </c>
      <c r="T46" s="105">
        <f>IF(Table__192.168.1.150_Daily_Delinquency_With_Sectors[[#This Row],[Days in Arrears]] &gt; 90, Table__192.168.1.150_Daily_Delinquency_With_Sectors[[#This Row],[Outstanding Balance]],0)</f>
        <v>0</v>
      </c>
      <c r="U46" s="109">
        <f>IF(Table__192.168.1.150_Daily_Delinquency_With_Sectors[[#This Row],[Days in Arrears]] &gt;= 1,1,0)</f>
        <v>1</v>
      </c>
      <c r="V46" s="109">
        <f>IF(Table__192.168.1.150_Daily_Delinquency_With_Sectors[[#This Row],[Days in Arrears]] &gt; 30,1,0)</f>
        <v>0</v>
      </c>
      <c r="W46" s="109">
        <f>IF(Table__192.168.1.150_Daily_Delinquency_With_Sectors[[#This Row],[Days in Arrears]] &gt; 90,1,0)</f>
        <v>0</v>
      </c>
    </row>
    <row r="47" spans="1:23" x14ac:dyDescent="0.25">
      <c r="A47" t="s">
        <v>1302</v>
      </c>
      <c r="B47" t="s">
        <v>1283</v>
      </c>
      <c r="C47">
        <v>-21</v>
      </c>
      <c r="D47" s="105">
        <v>15849705.220000001</v>
      </c>
      <c r="E47" t="s">
        <v>5724</v>
      </c>
      <c r="F47" s="105">
        <v>126797.64</v>
      </c>
      <c r="G47" s="105">
        <v>18574362.559999999</v>
      </c>
      <c r="H47" s="143">
        <v>42244.742318634257</v>
      </c>
      <c r="I47" s="143">
        <v>43358</v>
      </c>
      <c r="J47" t="s">
        <v>1303</v>
      </c>
      <c r="K47" t="s">
        <v>1280</v>
      </c>
      <c r="L47" t="s">
        <v>1280</v>
      </c>
      <c r="M47">
        <v>101990</v>
      </c>
      <c r="N47" t="s">
        <v>1301</v>
      </c>
      <c r="O47" t="s">
        <v>35</v>
      </c>
      <c r="P47" t="s">
        <v>121</v>
      </c>
      <c r="Q47" t="s">
        <v>26</v>
      </c>
      <c r="R47" s="105">
        <f>IF(Table__192.168.1.150_Daily_Delinquency_With_Sectors[[#This Row],[Days in Arrears]] &gt; 0, Table__192.168.1.150_Daily_Delinquency_With_Sectors[[#This Row],[Outstanding Balance]],0)</f>
        <v>0</v>
      </c>
      <c r="S47" s="105">
        <f>IF(Table__192.168.1.150_Daily_Delinquency_With_Sectors[[#This Row],[Days in Arrears]] &gt; 30, Table__192.168.1.150_Daily_Delinquency_With_Sectors[[#This Row],[Outstanding Balance]],0)</f>
        <v>0</v>
      </c>
      <c r="T47" s="105">
        <f>IF(Table__192.168.1.150_Daily_Delinquency_With_Sectors[[#This Row],[Days in Arrears]] &gt; 90, Table__192.168.1.150_Daily_Delinquency_With_Sectors[[#This Row],[Outstanding Balance]],0)</f>
        <v>0</v>
      </c>
      <c r="U47" s="109">
        <f>IF(Table__192.168.1.150_Daily_Delinquency_With_Sectors[[#This Row],[Days in Arrears]] &gt;= 1,1,0)</f>
        <v>0</v>
      </c>
      <c r="V47" s="109">
        <f>IF(Table__192.168.1.150_Daily_Delinquency_With_Sectors[[#This Row],[Days in Arrears]] &gt; 30,1,0)</f>
        <v>0</v>
      </c>
      <c r="W47" s="109">
        <f>IF(Table__192.168.1.150_Daily_Delinquency_With_Sectors[[#This Row],[Days in Arrears]] &gt; 90,1,0)</f>
        <v>0</v>
      </c>
    </row>
    <row r="48" spans="1:23" x14ac:dyDescent="0.25">
      <c r="A48" t="s">
        <v>1305</v>
      </c>
      <c r="B48" t="s">
        <v>1283</v>
      </c>
      <c r="C48">
        <v>19</v>
      </c>
      <c r="D48" s="105">
        <v>7621404.0199999996</v>
      </c>
      <c r="E48" t="s">
        <v>468</v>
      </c>
      <c r="F48" s="105">
        <v>125442.62</v>
      </c>
      <c r="G48" s="105">
        <v>8151804.5499999998</v>
      </c>
      <c r="H48" s="143">
        <v>42244.750642743056</v>
      </c>
      <c r="I48" s="143">
        <v>43164</v>
      </c>
      <c r="J48" t="s">
        <v>1306</v>
      </c>
      <c r="K48" t="s">
        <v>1280</v>
      </c>
      <c r="L48" t="s">
        <v>1280</v>
      </c>
      <c r="M48">
        <v>101991</v>
      </c>
      <c r="N48" t="s">
        <v>1304</v>
      </c>
      <c r="O48" t="s">
        <v>44</v>
      </c>
      <c r="P48" t="s">
        <v>75</v>
      </c>
      <c r="Q48" t="s">
        <v>26</v>
      </c>
      <c r="R48" s="105">
        <f>IF(Table__192.168.1.150_Daily_Delinquency_With_Sectors[[#This Row],[Days in Arrears]] &gt; 0, Table__192.168.1.150_Daily_Delinquency_With_Sectors[[#This Row],[Outstanding Balance]],0)</f>
        <v>7621404.0199999996</v>
      </c>
      <c r="S48" s="105">
        <f>IF(Table__192.168.1.150_Daily_Delinquency_With_Sectors[[#This Row],[Days in Arrears]] &gt; 30, Table__192.168.1.150_Daily_Delinquency_With_Sectors[[#This Row],[Outstanding Balance]],0)</f>
        <v>0</v>
      </c>
      <c r="T48" s="105">
        <f>IF(Table__192.168.1.150_Daily_Delinquency_With_Sectors[[#This Row],[Days in Arrears]] &gt; 90, Table__192.168.1.150_Daily_Delinquency_With_Sectors[[#This Row],[Outstanding Balance]],0)</f>
        <v>0</v>
      </c>
      <c r="U48" s="109">
        <f>IF(Table__192.168.1.150_Daily_Delinquency_With_Sectors[[#This Row],[Days in Arrears]] &gt;= 1,1,0)</f>
        <v>1</v>
      </c>
      <c r="V48" s="109">
        <f>IF(Table__192.168.1.150_Daily_Delinquency_With_Sectors[[#This Row],[Days in Arrears]] &gt; 30,1,0)</f>
        <v>0</v>
      </c>
      <c r="W48" s="109">
        <f>IF(Table__192.168.1.150_Daily_Delinquency_With_Sectors[[#This Row],[Days in Arrears]] &gt; 90,1,0)</f>
        <v>0</v>
      </c>
    </row>
    <row r="49" spans="1:23" x14ac:dyDescent="0.25">
      <c r="A49" t="s">
        <v>729</v>
      </c>
      <c r="B49" t="s">
        <v>1850</v>
      </c>
      <c r="C49">
        <v>52</v>
      </c>
      <c r="D49" s="105">
        <v>20876300.52</v>
      </c>
      <c r="E49" t="s">
        <v>5725</v>
      </c>
      <c r="F49" s="105">
        <v>1206933.29</v>
      </c>
      <c r="G49" s="105">
        <v>25167320.199999999</v>
      </c>
      <c r="H49" s="143">
        <v>42245.596607175925</v>
      </c>
      <c r="I49" s="143">
        <v>43345</v>
      </c>
      <c r="J49" t="s">
        <v>828</v>
      </c>
      <c r="K49" t="s">
        <v>829</v>
      </c>
      <c r="L49" t="s">
        <v>1280</v>
      </c>
      <c r="M49">
        <v>101997</v>
      </c>
      <c r="N49" t="s">
        <v>824</v>
      </c>
      <c r="O49" t="s">
        <v>44</v>
      </c>
      <c r="P49" t="s">
        <v>92</v>
      </c>
      <c r="Q49" t="s">
        <v>26</v>
      </c>
      <c r="R49" s="105">
        <f>IF(Table__192.168.1.150_Daily_Delinquency_With_Sectors[[#This Row],[Days in Arrears]] &gt; 0, Table__192.168.1.150_Daily_Delinquency_With_Sectors[[#This Row],[Outstanding Balance]],0)</f>
        <v>20876300.52</v>
      </c>
      <c r="S49" s="105">
        <f>IF(Table__192.168.1.150_Daily_Delinquency_With_Sectors[[#This Row],[Days in Arrears]] &gt; 30, Table__192.168.1.150_Daily_Delinquency_With_Sectors[[#This Row],[Outstanding Balance]],0)</f>
        <v>20876300.52</v>
      </c>
      <c r="T49" s="105">
        <f>IF(Table__192.168.1.150_Daily_Delinquency_With_Sectors[[#This Row],[Days in Arrears]] &gt; 90, Table__192.168.1.150_Daily_Delinquency_With_Sectors[[#This Row],[Outstanding Balance]],0)</f>
        <v>0</v>
      </c>
      <c r="U49" s="109">
        <f>IF(Table__192.168.1.150_Daily_Delinquency_With_Sectors[[#This Row],[Days in Arrears]] &gt;= 1,1,0)</f>
        <v>1</v>
      </c>
      <c r="V49" s="109">
        <f>IF(Table__192.168.1.150_Daily_Delinquency_With_Sectors[[#This Row],[Days in Arrears]] &gt; 30,1,0)</f>
        <v>1</v>
      </c>
      <c r="W49" s="109">
        <f>IF(Table__192.168.1.150_Daily_Delinquency_With_Sectors[[#This Row],[Days in Arrears]] &gt; 90,1,0)</f>
        <v>0</v>
      </c>
    </row>
    <row r="50" spans="1:23" x14ac:dyDescent="0.25">
      <c r="A50" t="s">
        <v>1310</v>
      </c>
      <c r="B50" t="s">
        <v>1281</v>
      </c>
      <c r="C50">
        <v>109</v>
      </c>
      <c r="D50" s="105">
        <v>2682654.79</v>
      </c>
      <c r="E50" t="s">
        <v>5724</v>
      </c>
      <c r="F50" s="105">
        <v>51178.07</v>
      </c>
      <c r="G50" s="105">
        <v>2735597.62</v>
      </c>
      <c r="H50" s="143">
        <v>42247.742464317133</v>
      </c>
      <c r="I50" s="143">
        <v>42983</v>
      </c>
      <c r="J50" t="s">
        <v>1311</v>
      </c>
      <c r="K50" t="s">
        <v>1312</v>
      </c>
      <c r="L50" t="s">
        <v>1280</v>
      </c>
      <c r="M50">
        <v>102006</v>
      </c>
      <c r="N50" t="s">
        <v>1309</v>
      </c>
      <c r="O50" t="s">
        <v>37</v>
      </c>
      <c r="P50" t="s">
        <v>288</v>
      </c>
      <c r="Q50" t="s">
        <v>1313</v>
      </c>
      <c r="R50" s="105">
        <f>IF(Table__192.168.1.150_Daily_Delinquency_With_Sectors[[#This Row],[Days in Arrears]] &gt; 0, Table__192.168.1.150_Daily_Delinquency_With_Sectors[[#This Row],[Outstanding Balance]],0)</f>
        <v>2682654.79</v>
      </c>
      <c r="S50" s="105">
        <f>IF(Table__192.168.1.150_Daily_Delinquency_With_Sectors[[#This Row],[Days in Arrears]] &gt; 30, Table__192.168.1.150_Daily_Delinquency_With_Sectors[[#This Row],[Outstanding Balance]],0)</f>
        <v>2682654.79</v>
      </c>
      <c r="T50" s="105">
        <f>IF(Table__192.168.1.150_Daily_Delinquency_With_Sectors[[#This Row],[Days in Arrears]] &gt; 90, Table__192.168.1.150_Daily_Delinquency_With_Sectors[[#This Row],[Outstanding Balance]],0)</f>
        <v>2682654.79</v>
      </c>
      <c r="U50" s="109">
        <f>IF(Table__192.168.1.150_Daily_Delinquency_With_Sectors[[#This Row],[Days in Arrears]] &gt;= 1,1,0)</f>
        <v>1</v>
      </c>
      <c r="V50" s="109">
        <f>IF(Table__192.168.1.150_Daily_Delinquency_With_Sectors[[#This Row],[Days in Arrears]] &gt; 30,1,0)</f>
        <v>1</v>
      </c>
      <c r="W50" s="109">
        <f>IF(Table__192.168.1.150_Daily_Delinquency_With_Sectors[[#This Row],[Days in Arrears]] &gt; 90,1,0)</f>
        <v>1</v>
      </c>
    </row>
    <row r="51" spans="1:23" x14ac:dyDescent="0.25">
      <c r="A51" t="s">
        <v>336</v>
      </c>
      <c r="B51" t="s">
        <v>1284</v>
      </c>
      <c r="C51">
        <v>17</v>
      </c>
      <c r="D51" s="105">
        <v>10667138.1</v>
      </c>
      <c r="E51" t="s">
        <v>546</v>
      </c>
      <c r="F51" s="105">
        <v>441239.59</v>
      </c>
      <c r="G51" s="105">
        <v>12645524.74</v>
      </c>
      <c r="H51" s="143">
        <v>42247.794150810187</v>
      </c>
      <c r="I51" s="143">
        <v>43350</v>
      </c>
      <c r="J51" t="s">
        <v>337</v>
      </c>
      <c r="K51" t="s">
        <v>1280</v>
      </c>
      <c r="L51" t="s">
        <v>1280</v>
      </c>
      <c r="M51">
        <v>102010</v>
      </c>
      <c r="N51" t="s">
        <v>335</v>
      </c>
      <c r="O51" t="s">
        <v>28</v>
      </c>
      <c r="P51" t="s">
        <v>26</v>
      </c>
      <c r="Q51" t="s">
        <v>26</v>
      </c>
      <c r="R51" s="105">
        <f>IF(Table__192.168.1.150_Daily_Delinquency_With_Sectors[[#This Row],[Days in Arrears]] &gt; 0, Table__192.168.1.150_Daily_Delinquency_With_Sectors[[#This Row],[Outstanding Balance]],0)</f>
        <v>10667138.1</v>
      </c>
      <c r="S51" s="105">
        <f>IF(Table__192.168.1.150_Daily_Delinquency_With_Sectors[[#This Row],[Days in Arrears]] &gt; 30, Table__192.168.1.150_Daily_Delinquency_With_Sectors[[#This Row],[Outstanding Balance]],0)</f>
        <v>0</v>
      </c>
      <c r="T51" s="105">
        <f>IF(Table__192.168.1.150_Daily_Delinquency_With_Sectors[[#This Row],[Days in Arrears]] &gt; 90, Table__192.168.1.150_Daily_Delinquency_With_Sectors[[#This Row],[Outstanding Balance]],0)</f>
        <v>0</v>
      </c>
      <c r="U51" s="109">
        <f>IF(Table__192.168.1.150_Daily_Delinquency_With_Sectors[[#This Row],[Days in Arrears]] &gt;= 1,1,0)</f>
        <v>1</v>
      </c>
      <c r="V51" s="109">
        <f>IF(Table__192.168.1.150_Daily_Delinquency_With_Sectors[[#This Row],[Days in Arrears]] &gt; 30,1,0)</f>
        <v>0</v>
      </c>
      <c r="W51" s="109">
        <f>IF(Table__192.168.1.150_Daily_Delinquency_With_Sectors[[#This Row],[Days in Arrears]] &gt; 90,1,0)</f>
        <v>0</v>
      </c>
    </row>
    <row r="52" spans="1:23" x14ac:dyDescent="0.25">
      <c r="A52" t="s">
        <v>488</v>
      </c>
      <c r="B52" t="s">
        <v>1841</v>
      </c>
      <c r="C52">
        <v>-11</v>
      </c>
      <c r="D52" s="105">
        <v>9246013.3000000007</v>
      </c>
      <c r="E52" t="s">
        <v>963</v>
      </c>
      <c r="F52" s="105">
        <v>194166.28</v>
      </c>
      <c r="G52" s="105">
        <v>11117532.869999999</v>
      </c>
      <c r="H52" s="143">
        <v>42247.800327627316</v>
      </c>
      <c r="I52" s="143">
        <v>43348</v>
      </c>
      <c r="J52" t="s">
        <v>489</v>
      </c>
      <c r="K52" t="s">
        <v>490</v>
      </c>
      <c r="L52" t="s">
        <v>1280</v>
      </c>
      <c r="M52">
        <v>102011</v>
      </c>
      <c r="N52" t="s">
        <v>487</v>
      </c>
      <c r="O52" t="s">
        <v>36</v>
      </c>
      <c r="P52" t="s">
        <v>97</v>
      </c>
      <c r="Q52" t="s">
        <v>98</v>
      </c>
      <c r="R52" s="105">
        <f>IF(Table__192.168.1.150_Daily_Delinquency_With_Sectors[[#This Row],[Days in Arrears]] &gt; 0, Table__192.168.1.150_Daily_Delinquency_With_Sectors[[#This Row],[Outstanding Balance]],0)</f>
        <v>0</v>
      </c>
      <c r="S52" s="105">
        <f>IF(Table__192.168.1.150_Daily_Delinquency_With_Sectors[[#This Row],[Days in Arrears]] &gt; 30, Table__192.168.1.150_Daily_Delinquency_With_Sectors[[#This Row],[Outstanding Balance]],0)</f>
        <v>0</v>
      </c>
      <c r="T52" s="105">
        <f>IF(Table__192.168.1.150_Daily_Delinquency_With_Sectors[[#This Row],[Days in Arrears]] &gt; 90, Table__192.168.1.150_Daily_Delinquency_With_Sectors[[#This Row],[Outstanding Balance]],0)</f>
        <v>0</v>
      </c>
      <c r="U52" s="109">
        <f>IF(Table__192.168.1.150_Daily_Delinquency_With_Sectors[[#This Row],[Days in Arrears]] &gt;= 1,1,0)</f>
        <v>0</v>
      </c>
      <c r="V52" s="109">
        <f>IF(Table__192.168.1.150_Daily_Delinquency_With_Sectors[[#This Row],[Days in Arrears]] &gt; 30,1,0)</f>
        <v>0</v>
      </c>
      <c r="W52" s="109">
        <f>IF(Table__192.168.1.150_Daily_Delinquency_With_Sectors[[#This Row],[Days in Arrears]] &gt; 90,1,0)</f>
        <v>0</v>
      </c>
    </row>
    <row r="53" spans="1:23" x14ac:dyDescent="0.25">
      <c r="A53" t="s">
        <v>267</v>
      </c>
      <c r="B53" t="s">
        <v>1284</v>
      </c>
      <c r="C53">
        <v>14</v>
      </c>
      <c r="D53" s="105">
        <v>26970582.52</v>
      </c>
      <c r="E53" t="s">
        <v>1039</v>
      </c>
      <c r="F53" s="105">
        <v>1132359.73</v>
      </c>
      <c r="G53" s="105">
        <v>32064029.030000001</v>
      </c>
      <c r="H53" s="143">
        <v>42259.50795107639</v>
      </c>
      <c r="I53" s="143">
        <v>43353</v>
      </c>
      <c r="J53" t="s">
        <v>268</v>
      </c>
      <c r="K53" t="s">
        <v>269</v>
      </c>
      <c r="L53" t="s">
        <v>1280</v>
      </c>
      <c r="M53">
        <v>102044</v>
      </c>
      <c r="N53" t="s">
        <v>109</v>
      </c>
      <c r="O53" t="s">
        <v>25</v>
      </c>
      <c r="P53" t="s">
        <v>101</v>
      </c>
      <c r="Q53" t="s">
        <v>26</v>
      </c>
      <c r="R53" s="105">
        <f>IF(Table__192.168.1.150_Daily_Delinquency_With_Sectors[[#This Row],[Days in Arrears]] &gt; 0, Table__192.168.1.150_Daily_Delinquency_With_Sectors[[#This Row],[Outstanding Balance]],0)</f>
        <v>26970582.52</v>
      </c>
      <c r="S53" s="105">
        <f>IF(Table__192.168.1.150_Daily_Delinquency_With_Sectors[[#This Row],[Days in Arrears]] &gt; 30, Table__192.168.1.150_Daily_Delinquency_With_Sectors[[#This Row],[Outstanding Balance]],0)</f>
        <v>0</v>
      </c>
      <c r="T53" s="105">
        <f>IF(Table__192.168.1.150_Daily_Delinquency_With_Sectors[[#This Row],[Days in Arrears]] &gt; 90, Table__192.168.1.150_Daily_Delinquency_With_Sectors[[#This Row],[Outstanding Balance]],0)</f>
        <v>0</v>
      </c>
      <c r="U53" s="109">
        <f>IF(Table__192.168.1.150_Daily_Delinquency_With_Sectors[[#This Row],[Days in Arrears]] &gt;= 1,1,0)</f>
        <v>1</v>
      </c>
      <c r="V53" s="109">
        <f>IF(Table__192.168.1.150_Daily_Delinquency_With_Sectors[[#This Row],[Days in Arrears]] &gt; 30,1,0)</f>
        <v>0</v>
      </c>
      <c r="W53" s="109">
        <f>IF(Table__192.168.1.150_Daily_Delinquency_With_Sectors[[#This Row],[Days in Arrears]] &gt; 90,1,0)</f>
        <v>0</v>
      </c>
    </row>
    <row r="54" spans="1:23" x14ac:dyDescent="0.25">
      <c r="A54" t="s">
        <v>1327</v>
      </c>
      <c r="B54" t="s">
        <v>1283</v>
      </c>
      <c r="C54">
        <v>186</v>
      </c>
      <c r="D54" s="105">
        <v>36253749.93</v>
      </c>
      <c r="E54" t="s">
        <v>5724</v>
      </c>
      <c r="F54" s="105">
        <v>2107711.13</v>
      </c>
      <c r="G54" s="105">
        <v>46804152.049999997</v>
      </c>
      <c r="H54" s="143">
        <v>42263.613655173613</v>
      </c>
      <c r="I54" s="143">
        <v>43361</v>
      </c>
      <c r="J54" t="s">
        <v>1328</v>
      </c>
      <c r="K54" t="s">
        <v>1280</v>
      </c>
      <c r="L54" t="s">
        <v>1280</v>
      </c>
      <c r="M54">
        <v>102051</v>
      </c>
      <c r="N54" t="s">
        <v>1326</v>
      </c>
      <c r="O54" t="s">
        <v>27</v>
      </c>
      <c r="P54" t="s">
        <v>116</v>
      </c>
      <c r="Q54" t="s">
        <v>26</v>
      </c>
      <c r="R54" s="105">
        <f>IF(Table__192.168.1.150_Daily_Delinquency_With_Sectors[[#This Row],[Days in Arrears]] &gt; 0, Table__192.168.1.150_Daily_Delinquency_With_Sectors[[#This Row],[Outstanding Balance]],0)</f>
        <v>36253749.93</v>
      </c>
      <c r="S54" s="105">
        <f>IF(Table__192.168.1.150_Daily_Delinquency_With_Sectors[[#This Row],[Days in Arrears]] &gt; 30, Table__192.168.1.150_Daily_Delinquency_With_Sectors[[#This Row],[Outstanding Balance]],0)</f>
        <v>36253749.93</v>
      </c>
      <c r="T54" s="105">
        <f>IF(Table__192.168.1.150_Daily_Delinquency_With_Sectors[[#This Row],[Days in Arrears]] &gt; 90, Table__192.168.1.150_Daily_Delinquency_With_Sectors[[#This Row],[Outstanding Balance]],0)</f>
        <v>36253749.93</v>
      </c>
      <c r="U54" s="109">
        <f>IF(Table__192.168.1.150_Daily_Delinquency_With_Sectors[[#This Row],[Days in Arrears]] &gt;= 1,1,0)</f>
        <v>1</v>
      </c>
      <c r="V54" s="109">
        <f>IF(Table__192.168.1.150_Daily_Delinquency_With_Sectors[[#This Row],[Days in Arrears]] &gt; 30,1,0)</f>
        <v>1</v>
      </c>
      <c r="W54" s="109">
        <f>IF(Table__192.168.1.150_Daily_Delinquency_With_Sectors[[#This Row],[Days in Arrears]] &gt; 90,1,0)</f>
        <v>1</v>
      </c>
    </row>
    <row r="55" spans="1:23" x14ac:dyDescent="0.25">
      <c r="A55" t="s">
        <v>1371</v>
      </c>
      <c r="B55" t="s">
        <v>1283</v>
      </c>
      <c r="C55">
        <v>-26</v>
      </c>
      <c r="D55" s="105">
        <v>17633414.690000001</v>
      </c>
      <c r="E55" t="s">
        <v>1191</v>
      </c>
      <c r="F55" s="105">
        <v>52900.24</v>
      </c>
      <c r="G55" s="105">
        <v>20671741.350000001</v>
      </c>
      <c r="H55" s="143">
        <v>42264.720444016202</v>
      </c>
      <c r="I55" s="143">
        <v>43363</v>
      </c>
      <c r="J55" t="s">
        <v>1372</v>
      </c>
      <c r="K55" t="s">
        <v>1715</v>
      </c>
      <c r="L55" t="s">
        <v>4801</v>
      </c>
      <c r="M55">
        <v>102056</v>
      </c>
      <c r="N55" t="s">
        <v>1370</v>
      </c>
      <c r="O55" t="s">
        <v>44</v>
      </c>
      <c r="P55" t="s">
        <v>75</v>
      </c>
      <c r="Q55" t="s">
        <v>26</v>
      </c>
      <c r="R55" s="105">
        <f>IF(Table__192.168.1.150_Daily_Delinquency_With_Sectors[[#This Row],[Days in Arrears]] &gt; 0, Table__192.168.1.150_Daily_Delinquency_With_Sectors[[#This Row],[Outstanding Balance]],0)</f>
        <v>0</v>
      </c>
      <c r="S55" s="105">
        <f>IF(Table__192.168.1.150_Daily_Delinquency_With_Sectors[[#This Row],[Days in Arrears]] &gt; 30, Table__192.168.1.150_Daily_Delinquency_With_Sectors[[#This Row],[Outstanding Balance]],0)</f>
        <v>0</v>
      </c>
      <c r="T55" s="105">
        <f>IF(Table__192.168.1.150_Daily_Delinquency_With_Sectors[[#This Row],[Days in Arrears]] &gt; 90, Table__192.168.1.150_Daily_Delinquency_With_Sectors[[#This Row],[Outstanding Balance]],0)</f>
        <v>0</v>
      </c>
      <c r="U55" s="109">
        <f>IF(Table__192.168.1.150_Daily_Delinquency_With_Sectors[[#This Row],[Days in Arrears]] &gt;= 1,1,0)</f>
        <v>0</v>
      </c>
      <c r="V55" s="109">
        <f>IF(Table__192.168.1.150_Daily_Delinquency_With_Sectors[[#This Row],[Days in Arrears]] &gt; 30,1,0)</f>
        <v>0</v>
      </c>
      <c r="W55" s="109">
        <f>IF(Table__192.168.1.150_Daily_Delinquency_With_Sectors[[#This Row],[Days in Arrears]] &gt; 90,1,0)</f>
        <v>0</v>
      </c>
    </row>
    <row r="56" spans="1:23" x14ac:dyDescent="0.25">
      <c r="A56" t="s">
        <v>1213</v>
      </c>
      <c r="B56" t="s">
        <v>1850</v>
      </c>
      <c r="C56">
        <v>62</v>
      </c>
      <c r="D56" s="105">
        <v>3333418.48</v>
      </c>
      <c r="E56" t="s">
        <v>5724</v>
      </c>
      <c r="F56" s="105">
        <v>144047.5</v>
      </c>
      <c r="G56" s="105">
        <v>3700348.5</v>
      </c>
      <c r="H56" s="143">
        <v>42265.354739814815</v>
      </c>
      <c r="I56" s="143">
        <v>43181</v>
      </c>
      <c r="J56" t="s">
        <v>1214</v>
      </c>
      <c r="K56" t="s">
        <v>1280</v>
      </c>
      <c r="L56" t="s">
        <v>1280</v>
      </c>
      <c r="M56">
        <v>102057</v>
      </c>
      <c r="N56" t="s">
        <v>1211</v>
      </c>
      <c r="O56" t="s">
        <v>44</v>
      </c>
      <c r="P56" t="s">
        <v>75</v>
      </c>
      <c r="Q56" t="s">
        <v>26</v>
      </c>
      <c r="R56" s="105">
        <f>IF(Table__192.168.1.150_Daily_Delinquency_With_Sectors[[#This Row],[Days in Arrears]] &gt; 0, Table__192.168.1.150_Daily_Delinquency_With_Sectors[[#This Row],[Outstanding Balance]],0)</f>
        <v>3333418.48</v>
      </c>
      <c r="S56" s="105">
        <f>IF(Table__192.168.1.150_Daily_Delinquency_With_Sectors[[#This Row],[Days in Arrears]] &gt; 30, Table__192.168.1.150_Daily_Delinquency_With_Sectors[[#This Row],[Outstanding Balance]],0)</f>
        <v>3333418.48</v>
      </c>
      <c r="T56" s="105">
        <f>IF(Table__192.168.1.150_Daily_Delinquency_With_Sectors[[#This Row],[Days in Arrears]] &gt; 90, Table__192.168.1.150_Daily_Delinquency_With_Sectors[[#This Row],[Outstanding Balance]],0)</f>
        <v>0</v>
      </c>
      <c r="U56" s="109">
        <f>IF(Table__192.168.1.150_Daily_Delinquency_With_Sectors[[#This Row],[Days in Arrears]] &gt;= 1,1,0)</f>
        <v>1</v>
      </c>
      <c r="V56" s="109">
        <f>IF(Table__192.168.1.150_Daily_Delinquency_With_Sectors[[#This Row],[Days in Arrears]] &gt; 30,1,0)</f>
        <v>1</v>
      </c>
      <c r="W56" s="109">
        <f>IF(Table__192.168.1.150_Daily_Delinquency_With_Sectors[[#This Row],[Days in Arrears]] &gt; 90,1,0)</f>
        <v>0</v>
      </c>
    </row>
    <row r="57" spans="1:23" x14ac:dyDescent="0.25">
      <c r="A57" t="s">
        <v>1374</v>
      </c>
      <c r="B57" t="s">
        <v>1283</v>
      </c>
      <c r="C57">
        <v>-1</v>
      </c>
      <c r="D57" s="105">
        <v>17018045.469999999</v>
      </c>
      <c r="E57" t="s">
        <v>1447</v>
      </c>
      <c r="F57" s="105">
        <v>476505.27</v>
      </c>
      <c r="G57" s="105">
        <v>20231936.140000001</v>
      </c>
      <c r="H57" s="143">
        <v>42268.715586689817</v>
      </c>
      <c r="I57" s="143">
        <v>43368</v>
      </c>
      <c r="J57" t="s">
        <v>1375</v>
      </c>
      <c r="K57" t="s">
        <v>1280</v>
      </c>
      <c r="L57" t="s">
        <v>1280</v>
      </c>
      <c r="M57">
        <v>102064</v>
      </c>
      <c r="N57" t="s">
        <v>1373</v>
      </c>
      <c r="O57" t="s">
        <v>27</v>
      </c>
      <c r="P57" t="s">
        <v>81</v>
      </c>
      <c r="Q57" t="s">
        <v>26</v>
      </c>
      <c r="R57" s="105">
        <f>IF(Table__192.168.1.150_Daily_Delinquency_With_Sectors[[#This Row],[Days in Arrears]] &gt; 0, Table__192.168.1.150_Daily_Delinquency_With_Sectors[[#This Row],[Outstanding Balance]],0)</f>
        <v>0</v>
      </c>
      <c r="S57" s="105">
        <f>IF(Table__192.168.1.150_Daily_Delinquency_With_Sectors[[#This Row],[Days in Arrears]] &gt; 30, Table__192.168.1.150_Daily_Delinquency_With_Sectors[[#This Row],[Outstanding Balance]],0)</f>
        <v>0</v>
      </c>
      <c r="T57" s="105">
        <f>IF(Table__192.168.1.150_Daily_Delinquency_With_Sectors[[#This Row],[Days in Arrears]] &gt; 90, Table__192.168.1.150_Daily_Delinquency_With_Sectors[[#This Row],[Outstanding Balance]],0)</f>
        <v>0</v>
      </c>
      <c r="U57" s="109">
        <f>IF(Table__192.168.1.150_Daily_Delinquency_With_Sectors[[#This Row],[Days in Arrears]] &gt;= 1,1,0)</f>
        <v>0</v>
      </c>
      <c r="V57" s="109">
        <f>IF(Table__192.168.1.150_Daily_Delinquency_With_Sectors[[#This Row],[Days in Arrears]] &gt; 30,1,0)</f>
        <v>0</v>
      </c>
      <c r="W57" s="109">
        <f>IF(Table__192.168.1.150_Daily_Delinquency_With_Sectors[[#This Row],[Days in Arrears]] &gt; 90,1,0)</f>
        <v>0</v>
      </c>
    </row>
    <row r="58" spans="1:23" x14ac:dyDescent="0.25">
      <c r="A58" t="s">
        <v>1377</v>
      </c>
      <c r="B58" t="s">
        <v>1284</v>
      </c>
      <c r="C58">
        <v>-28</v>
      </c>
      <c r="D58" s="105">
        <v>29332124.379999999</v>
      </c>
      <c r="E58" t="s">
        <v>546</v>
      </c>
      <c r="F58" s="105">
        <v>29332.12</v>
      </c>
      <c r="G58" s="105">
        <v>34386198.030000001</v>
      </c>
      <c r="H58" s="143">
        <v>42268.742467361109</v>
      </c>
      <c r="I58" s="143">
        <v>43365</v>
      </c>
      <c r="J58" t="s">
        <v>1378</v>
      </c>
      <c r="K58" t="s">
        <v>1379</v>
      </c>
      <c r="L58" t="s">
        <v>1280</v>
      </c>
      <c r="M58">
        <v>102065</v>
      </c>
      <c r="N58" t="s">
        <v>1376</v>
      </c>
      <c r="O58" t="s">
        <v>35</v>
      </c>
      <c r="P58" t="s">
        <v>121</v>
      </c>
      <c r="Q58" t="s">
        <v>122</v>
      </c>
      <c r="R58" s="105">
        <f>IF(Table__192.168.1.150_Daily_Delinquency_With_Sectors[[#This Row],[Days in Arrears]] &gt; 0, Table__192.168.1.150_Daily_Delinquency_With_Sectors[[#This Row],[Outstanding Balance]],0)</f>
        <v>0</v>
      </c>
      <c r="S58" s="105">
        <f>IF(Table__192.168.1.150_Daily_Delinquency_With_Sectors[[#This Row],[Days in Arrears]] &gt; 30, Table__192.168.1.150_Daily_Delinquency_With_Sectors[[#This Row],[Outstanding Balance]],0)</f>
        <v>0</v>
      </c>
      <c r="T58" s="105">
        <f>IF(Table__192.168.1.150_Daily_Delinquency_With_Sectors[[#This Row],[Days in Arrears]] &gt; 90, Table__192.168.1.150_Daily_Delinquency_With_Sectors[[#This Row],[Outstanding Balance]],0)</f>
        <v>0</v>
      </c>
      <c r="U58" s="109">
        <f>IF(Table__192.168.1.150_Daily_Delinquency_With_Sectors[[#This Row],[Days in Arrears]] &gt;= 1,1,0)</f>
        <v>0</v>
      </c>
      <c r="V58" s="109">
        <f>IF(Table__192.168.1.150_Daily_Delinquency_With_Sectors[[#This Row],[Days in Arrears]] &gt; 30,1,0)</f>
        <v>0</v>
      </c>
      <c r="W58" s="109">
        <f>IF(Table__192.168.1.150_Daily_Delinquency_With_Sectors[[#This Row],[Days in Arrears]] &gt; 90,1,0)</f>
        <v>0</v>
      </c>
    </row>
    <row r="59" spans="1:23" x14ac:dyDescent="0.25">
      <c r="A59" t="s">
        <v>1420</v>
      </c>
      <c r="B59" t="s">
        <v>1283</v>
      </c>
      <c r="C59">
        <v>194</v>
      </c>
      <c r="D59" s="105">
        <v>19756376.18</v>
      </c>
      <c r="E59" t="s">
        <v>5724</v>
      </c>
      <c r="F59" s="105">
        <v>844834.28</v>
      </c>
      <c r="G59" s="105">
        <v>25546672.579999998</v>
      </c>
      <c r="H59" s="143">
        <v>42275.753918750001</v>
      </c>
      <c r="I59" s="143">
        <v>43383</v>
      </c>
      <c r="J59" t="s">
        <v>1421</v>
      </c>
      <c r="K59" t="s">
        <v>1422</v>
      </c>
      <c r="L59" t="s">
        <v>1280</v>
      </c>
      <c r="M59">
        <v>102088</v>
      </c>
      <c r="N59" t="s">
        <v>1419</v>
      </c>
      <c r="O59" t="s">
        <v>44</v>
      </c>
      <c r="P59" t="s">
        <v>75</v>
      </c>
      <c r="Q59" t="s">
        <v>26</v>
      </c>
      <c r="R59" s="105">
        <f>IF(Table__192.168.1.150_Daily_Delinquency_With_Sectors[[#This Row],[Days in Arrears]] &gt; 0, Table__192.168.1.150_Daily_Delinquency_With_Sectors[[#This Row],[Outstanding Balance]],0)</f>
        <v>19756376.18</v>
      </c>
      <c r="S59" s="105">
        <f>IF(Table__192.168.1.150_Daily_Delinquency_With_Sectors[[#This Row],[Days in Arrears]] &gt; 30, Table__192.168.1.150_Daily_Delinquency_With_Sectors[[#This Row],[Outstanding Balance]],0)</f>
        <v>19756376.18</v>
      </c>
      <c r="T59" s="105">
        <f>IF(Table__192.168.1.150_Daily_Delinquency_With_Sectors[[#This Row],[Days in Arrears]] &gt; 90, Table__192.168.1.150_Daily_Delinquency_With_Sectors[[#This Row],[Outstanding Balance]],0)</f>
        <v>19756376.18</v>
      </c>
      <c r="U59" s="109">
        <f>IF(Table__192.168.1.150_Daily_Delinquency_With_Sectors[[#This Row],[Days in Arrears]] &gt;= 1,1,0)</f>
        <v>1</v>
      </c>
      <c r="V59" s="109">
        <f>IF(Table__192.168.1.150_Daily_Delinquency_With_Sectors[[#This Row],[Days in Arrears]] &gt; 30,1,0)</f>
        <v>1</v>
      </c>
      <c r="W59" s="109">
        <f>IF(Table__192.168.1.150_Daily_Delinquency_With_Sectors[[#This Row],[Days in Arrears]] &gt; 90,1,0)</f>
        <v>1</v>
      </c>
    </row>
    <row r="60" spans="1:23" x14ac:dyDescent="0.25">
      <c r="A60" t="s">
        <v>1428</v>
      </c>
      <c r="B60" t="s">
        <v>1283</v>
      </c>
      <c r="C60">
        <v>22</v>
      </c>
      <c r="D60" s="105">
        <v>32046511.23</v>
      </c>
      <c r="E60" t="s">
        <v>2855</v>
      </c>
      <c r="F60" s="105">
        <v>668789.43999999994</v>
      </c>
      <c r="G60" s="105">
        <v>38060900.43</v>
      </c>
      <c r="H60" s="143">
        <v>42277.464006365743</v>
      </c>
      <c r="I60" s="143">
        <v>43375</v>
      </c>
      <c r="J60" t="s">
        <v>1429</v>
      </c>
      <c r="K60" t="s">
        <v>1280</v>
      </c>
      <c r="L60" t="s">
        <v>1280</v>
      </c>
      <c r="M60">
        <v>102099</v>
      </c>
      <c r="N60" t="s">
        <v>1427</v>
      </c>
      <c r="O60" t="s">
        <v>44</v>
      </c>
      <c r="P60" t="s">
        <v>75</v>
      </c>
      <c r="Q60" t="s">
        <v>26</v>
      </c>
      <c r="R60" s="105">
        <f>IF(Table__192.168.1.150_Daily_Delinquency_With_Sectors[[#This Row],[Days in Arrears]] &gt; 0, Table__192.168.1.150_Daily_Delinquency_With_Sectors[[#This Row],[Outstanding Balance]],0)</f>
        <v>32046511.23</v>
      </c>
      <c r="S60" s="105">
        <f>IF(Table__192.168.1.150_Daily_Delinquency_With_Sectors[[#This Row],[Days in Arrears]] &gt; 30, Table__192.168.1.150_Daily_Delinquency_With_Sectors[[#This Row],[Outstanding Balance]],0)</f>
        <v>0</v>
      </c>
      <c r="T60" s="105">
        <f>IF(Table__192.168.1.150_Daily_Delinquency_With_Sectors[[#This Row],[Days in Arrears]] &gt; 90, Table__192.168.1.150_Daily_Delinquency_With_Sectors[[#This Row],[Outstanding Balance]],0)</f>
        <v>0</v>
      </c>
      <c r="U60" s="109">
        <f>IF(Table__192.168.1.150_Daily_Delinquency_With_Sectors[[#This Row],[Days in Arrears]] &gt;= 1,1,0)</f>
        <v>1</v>
      </c>
      <c r="V60" s="109">
        <f>IF(Table__192.168.1.150_Daily_Delinquency_With_Sectors[[#This Row],[Days in Arrears]] &gt; 30,1,0)</f>
        <v>0</v>
      </c>
      <c r="W60" s="109">
        <f>IF(Table__192.168.1.150_Daily_Delinquency_With_Sectors[[#This Row],[Days in Arrears]] &gt; 90,1,0)</f>
        <v>0</v>
      </c>
    </row>
    <row r="61" spans="1:23" x14ac:dyDescent="0.25">
      <c r="A61" t="s">
        <v>1067</v>
      </c>
      <c r="B61" t="s">
        <v>1283</v>
      </c>
      <c r="C61">
        <v>-21</v>
      </c>
      <c r="D61" s="105">
        <v>22239297.010000002</v>
      </c>
      <c r="E61" t="s">
        <v>963</v>
      </c>
      <c r="F61" s="105">
        <v>177914.38</v>
      </c>
      <c r="G61" s="105">
        <v>25062005.690000001</v>
      </c>
      <c r="H61" s="143">
        <v>42277.528308530091</v>
      </c>
      <c r="I61" s="143">
        <v>43388</v>
      </c>
      <c r="J61" t="s">
        <v>1068</v>
      </c>
      <c r="K61" t="s">
        <v>1280</v>
      </c>
      <c r="L61" t="s">
        <v>1280</v>
      </c>
      <c r="M61">
        <v>102102</v>
      </c>
      <c r="N61" t="s">
        <v>1063</v>
      </c>
      <c r="O61" t="s">
        <v>44</v>
      </c>
      <c r="P61" t="s">
        <v>75</v>
      </c>
      <c r="Q61" t="s">
        <v>26</v>
      </c>
      <c r="R61" s="105">
        <f>IF(Table__192.168.1.150_Daily_Delinquency_With_Sectors[[#This Row],[Days in Arrears]] &gt; 0, Table__192.168.1.150_Daily_Delinquency_With_Sectors[[#This Row],[Outstanding Balance]],0)</f>
        <v>0</v>
      </c>
      <c r="S61" s="105">
        <f>IF(Table__192.168.1.150_Daily_Delinquency_With_Sectors[[#This Row],[Days in Arrears]] &gt; 30, Table__192.168.1.150_Daily_Delinquency_With_Sectors[[#This Row],[Outstanding Balance]],0)</f>
        <v>0</v>
      </c>
      <c r="T61" s="105">
        <f>IF(Table__192.168.1.150_Daily_Delinquency_With_Sectors[[#This Row],[Days in Arrears]] &gt; 90, Table__192.168.1.150_Daily_Delinquency_With_Sectors[[#This Row],[Outstanding Balance]],0)</f>
        <v>0</v>
      </c>
      <c r="U61" s="109">
        <f>IF(Table__192.168.1.150_Daily_Delinquency_With_Sectors[[#This Row],[Days in Arrears]] &gt;= 1,1,0)</f>
        <v>0</v>
      </c>
      <c r="V61" s="109">
        <f>IF(Table__192.168.1.150_Daily_Delinquency_With_Sectors[[#This Row],[Days in Arrears]] &gt; 30,1,0)</f>
        <v>0</v>
      </c>
      <c r="W61" s="109">
        <f>IF(Table__192.168.1.150_Daily_Delinquency_With_Sectors[[#This Row],[Days in Arrears]] &gt; 90,1,0)</f>
        <v>0</v>
      </c>
    </row>
    <row r="62" spans="1:23" x14ac:dyDescent="0.25">
      <c r="A62" t="s">
        <v>1435</v>
      </c>
      <c r="B62" t="s">
        <v>1281</v>
      </c>
      <c r="C62">
        <v>53</v>
      </c>
      <c r="D62" s="105">
        <v>11183352.5</v>
      </c>
      <c r="E62" t="s">
        <v>90</v>
      </c>
      <c r="F62" s="105">
        <v>481112.23</v>
      </c>
      <c r="G62" s="105">
        <v>13834566.82</v>
      </c>
      <c r="H62" s="143">
        <v>42277.652901157409</v>
      </c>
      <c r="I62" s="143">
        <v>43374</v>
      </c>
      <c r="J62" t="s">
        <v>1436</v>
      </c>
      <c r="K62" t="s">
        <v>1280</v>
      </c>
      <c r="L62" t="s">
        <v>1280</v>
      </c>
      <c r="M62">
        <v>102107</v>
      </c>
      <c r="N62" t="s">
        <v>1434</v>
      </c>
      <c r="O62" t="s">
        <v>44</v>
      </c>
      <c r="P62" t="s">
        <v>75</v>
      </c>
      <c r="Q62" t="s">
        <v>1442</v>
      </c>
      <c r="R62" s="105">
        <f>IF(Table__192.168.1.150_Daily_Delinquency_With_Sectors[[#This Row],[Days in Arrears]] &gt; 0, Table__192.168.1.150_Daily_Delinquency_With_Sectors[[#This Row],[Outstanding Balance]],0)</f>
        <v>11183352.5</v>
      </c>
      <c r="S62" s="105">
        <f>IF(Table__192.168.1.150_Daily_Delinquency_With_Sectors[[#This Row],[Days in Arrears]] &gt; 30, Table__192.168.1.150_Daily_Delinquency_With_Sectors[[#This Row],[Outstanding Balance]],0)</f>
        <v>11183352.5</v>
      </c>
      <c r="T62" s="105">
        <f>IF(Table__192.168.1.150_Daily_Delinquency_With_Sectors[[#This Row],[Days in Arrears]] &gt; 90, Table__192.168.1.150_Daily_Delinquency_With_Sectors[[#This Row],[Outstanding Balance]],0)</f>
        <v>0</v>
      </c>
      <c r="U62" s="109">
        <f>IF(Table__192.168.1.150_Daily_Delinquency_With_Sectors[[#This Row],[Days in Arrears]] &gt;= 1,1,0)</f>
        <v>1</v>
      </c>
      <c r="V62" s="109">
        <f>IF(Table__192.168.1.150_Daily_Delinquency_With_Sectors[[#This Row],[Days in Arrears]] &gt; 30,1,0)</f>
        <v>1</v>
      </c>
      <c r="W62" s="109">
        <f>IF(Table__192.168.1.150_Daily_Delinquency_With_Sectors[[#This Row],[Days in Arrears]] &gt; 90,1,0)</f>
        <v>0</v>
      </c>
    </row>
    <row r="63" spans="1:23" x14ac:dyDescent="0.25">
      <c r="A63" t="s">
        <v>646</v>
      </c>
      <c r="B63" t="s">
        <v>1284</v>
      </c>
      <c r="C63">
        <v>-13</v>
      </c>
      <c r="D63" s="105">
        <v>31785396.940000001</v>
      </c>
      <c r="E63" t="s">
        <v>491</v>
      </c>
      <c r="F63" s="105">
        <v>508566.35</v>
      </c>
      <c r="G63" s="105">
        <v>37788130.409999996</v>
      </c>
      <c r="H63" s="143">
        <v>42284.707001423609</v>
      </c>
      <c r="I63" s="143">
        <v>43380</v>
      </c>
      <c r="J63" t="s">
        <v>647</v>
      </c>
      <c r="K63" t="s">
        <v>648</v>
      </c>
      <c r="L63" t="s">
        <v>1280</v>
      </c>
      <c r="M63">
        <v>102125</v>
      </c>
      <c r="N63" t="s">
        <v>645</v>
      </c>
      <c r="O63" t="s">
        <v>44</v>
      </c>
      <c r="P63" t="s">
        <v>92</v>
      </c>
      <c r="Q63" t="s">
        <v>26</v>
      </c>
      <c r="R63" s="105">
        <f>IF(Table__192.168.1.150_Daily_Delinquency_With_Sectors[[#This Row],[Days in Arrears]] &gt; 0, Table__192.168.1.150_Daily_Delinquency_With_Sectors[[#This Row],[Outstanding Balance]],0)</f>
        <v>0</v>
      </c>
      <c r="S63" s="105">
        <f>IF(Table__192.168.1.150_Daily_Delinquency_With_Sectors[[#This Row],[Days in Arrears]] &gt; 30, Table__192.168.1.150_Daily_Delinquency_With_Sectors[[#This Row],[Outstanding Balance]],0)</f>
        <v>0</v>
      </c>
      <c r="T63" s="105">
        <f>IF(Table__192.168.1.150_Daily_Delinquency_With_Sectors[[#This Row],[Days in Arrears]] &gt; 90, Table__192.168.1.150_Daily_Delinquency_With_Sectors[[#This Row],[Outstanding Balance]],0)</f>
        <v>0</v>
      </c>
      <c r="U63" s="109">
        <f>IF(Table__192.168.1.150_Daily_Delinquency_With_Sectors[[#This Row],[Days in Arrears]] &gt;= 1,1,0)</f>
        <v>0</v>
      </c>
      <c r="V63" s="109">
        <f>IF(Table__192.168.1.150_Daily_Delinquency_With_Sectors[[#This Row],[Days in Arrears]] &gt; 30,1,0)</f>
        <v>0</v>
      </c>
      <c r="W63" s="109">
        <f>IF(Table__192.168.1.150_Daily_Delinquency_With_Sectors[[#This Row],[Days in Arrears]] &gt; 90,1,0)</f>
        <v>0</v>
      </c>
    </row>
    <row r="64" spans="1:23" x14ac:dyDescent="0.25">
      <c r="A64" t="s">
        <v>1466</v>
      </c>
      <c r="B64" t="s">
        <v>1284</v>
      </c>
      <c r="C64">
        <v>12</v>
      </c>
      <c r="D64" s="105">
        <v>21696618.77</v>
      </c>
      <c r="E64" t="s">
        <v>1467</v>
      </c>
      <c r="F64" s="105">
        <v>233092.91</v>
      </c>
      <c r="G64" s="105">
        <v>25698441.050000001</v>
      </c>
      <c r="H64" s="143">
        <v>42289.678322650463</v>
      </c>
      <c r="I64" s="143">
        <v>43385</v>
      </c>
      <c r="J64" t="s">
        <v>1468</v>
      </c>
      <c r="K64" t="s">
        <v>1469</v>
      </c>
      <c r="L64" t="s">
        <v>1280</v>
      </c>
      <c r="M64">
        <v>102129</v>
      </c>
      <c r="N64" t="s">
        <v>1455</v>
      </c>
      <c r="O64" t="s">
        <v>25</v>
      </c>
      <c r="P64" t="s">
        <v>88</v>
      </c>
      <c r="Q64" t="s">
        <v>26</v>
      </c>
      <c r="R64" s="105">
        <f>IF(Table__192.168.1.150_Daily_Delinquency_With_Sectors[[#This Row],[Days in Arrears]] &gt; 0, Table__192.168.1.150_Daily_Delinquency_With_Sectors[[#This Row],[Outstanding Balance]],0)</f>
        <v>21696618.77</v>
      </c>
      <c r="S64" s="105">
        <f>IF(Table__192.168.1.150_Daily_Delinquency_With_Sectors[[#This Row],[Days in Arrears]] &gt; 30, Table__192.168.1.150_Daily_Delinquency_With_Sectors[[#This Row],[Outstanding Balance]],0)</f>
        <v>0</v>
      </c>
      <c r="T64" s="105">
        <f>IF(Table__192.168.1.150_Daily_Delinquency_With_Sectors[[#This Row],[Days in Arrears]] &gt; 90, Table__192.168.1.150_Daily_Delinquency_With_Sectors[[#This Row],[Outstanding Balance]],0)</f>
        <v>0</v>
      </c>
      <c r="U64" s="109">
        <f>IF(Table__192.168.1.150_Daily_Delinquency_With_Sectors[[#This Row],[Days in Arrears]] &gt;= 1,1,0)</f>
        <v>1</v>
      </c>
      <c r="V64" s="109">
        <f>IF(Table__192.168.1.150_Daily_Delinquency_With_Sectors[[#This Row],[Days in Arrears]] &gt; 30,1,0)</f>
        <v>0</v>
      </c>
      <c r="W64" s="109">
        <f>IF(Table__192.168.1.150_Daily_Delinquency_With_Sectors[[#This Row],[Days in Arrears]] &gt; 90,1,0)</f>
        <v>0</v>
      </c>
    </row>
    <row r="65" spans="1:23" x14ac:dyDescent="0.25">
      <c r="A65" t="s">
        <v>1470</v>
      </c>
      <c r="B65" t="s">
        <v>1283</v>
      </c>
      <c r="C65">
        <v>9</v>
      </c>
      <c r="D65" s="105">
        <v>34294432.770000003</v>
      </c>
      <c r="E65" t="s">
        <v>5725</v>
      </c>
      <c r="F65" s="105">
        <v>1283856.78</v>
      </c>
      <c r="G65" s="105">
        <v>41343482.810000002</v>
      </c>
      <c r="H65" s="143">
        <v>42289.731255636572</v>
      </c>
      <c r="I65" s="143">
        <v>43388</v>
      </c>
      <c r="J65" t="s">
        <v>1471</v>
      </c>
      <c r="K65" t="s">
        <v>1472</v>
      </c>
      <c r="L65" t="s">
        <v>1280</v>
      </c>
      <c r="M65">
        <v>102130</v>
      </c>
      <c r="N65" t="s">
        <v>1444</v>
      </c>
      <c r="O65" t="s">
        <v>44</v>
      </c>
      <c r="P65" t="s">
        <v>75</v>
      </c>
      <c r="Q65" t="s">
        <v>26</v>
      </c>
      <c r="R65" s="105">
        <f>IF(Table__192.168.1.150_Daily_Delinquency_With_Sectors[[#This Row],[Days in Arrears]] &gt; 0, Table__192.168.1.150_Daily_Delinquency_With_Sectors[[#This Row],[Outstanding Balance]],0)</f>
        <v>34294432.770000003</v>
      </c>
      <c r="S65" s="105">
        <f>IF(Table__192.168.1.150_Daily_Delinquency_With_Sectors[[#This Row],[Days in Arrears]] &gt; 30, Table__192.168.1.150_Daily_Delinquency_With_Sectors[[#This Row],[Outstanding Balance]],0)</f>
        <v>0</v>
      </c>
      <c r="T65" s="105">
        <f>IF(Table__192.168.1.150_Daily_Delinquency_With_Sectors[[#This Row],[Days in Arrears]] &gt; 90, Table__192.168.1.150_Daily_Delinquency_With_Sectors[[#This Row],[Outstanding Balance]],0)</f>
        <v>0</v>
      </c>
      <c r="U65" s="109">
        <f>IF(Table__192.168.1.150_Daily_Delinquency_With_Sectors[[#This Row],[Days in Arrears]] &gt;= 1,1,0)</f>
        <v>1</v>
      </c>
      <c r="V65" s="109">
        <f>IF(Table__192.168.1.150_Daily_Delinquency_With_Sectors[[#This Row],[Days in Arrears]] &gt; 30,1,0)</f>
        <v>0</v>
      </c>
      <c r="W65" s="109">
        <f>IF(Table__192.168.1.150_Daily_Delinquency_With_Sectors[[#This Row],[Days in Arrears]] &gt; 90,1,0)</f>
        <v>0</v>
      </c>
    </row>
    <row r="66" spans="1:23" x14ac:dyDescent="0.25">
      <c r="A66" t="s">
        <v>1473</v>
      </c>
      <c r="B66" t="s">
        <v>1284</v>
      </c>
      <c r="C66">
        <v>39</v>
      </c>
      <c r="D66" s="105">
        <v>7044717.6100000003</v>
      </c>
      <c r="E66" t="s">
        <v>1467</v>
      </c>
      <c r="F66" s="105">
        <v>205084.59</v>
      </c>
      <c r="G66" s="105">
        <v>8453162.9299999997</v>
      </c>
      <c r="H66" s="143">
        <v>42290.472969710645</v>
      </c>
      <c r="I66" s="143">
        <v>43388</v>
      </c>
      <c r="J66" t="s">
        <v>1474</v>
      </c>
      <c r="K66" t="s">
        <v>1280</v>
      </c>
      <c r="L66" t="s">
        <v>1475</v>
      </c>
      <c r="M66">
        <v>102131</v>
      </c>
      <c r="N66" t="s">
        <v>1454</v>
      </c>
      <c r="O66" t="s">
        <v>44</v>
      </c>
      <c r="P66" t="s">
        <v>92</v>
      </c>
      <c r="Q66" t="s">
        <v>26</v>
      </c>
      <c r="R66" s="105">
        <f>IF(Table__192.168.1.150_Daily_Delinquency_With_Sectors[[#This Row],[Days in Arrears]] &gt; 0, Table__192.168.1.150_Daily_Delinquency_With_Sectors[[#This Row],[Outstanding Balance]],0)</f>
        <v>7044717.6100000003</v>
      </c>
      <c r="S66" s="105">
        <f>IF(Table__192.168.1.150_Daily_Delinquency_With_Sectors[[#This Row],[Days in Arrears]] &gt; 30, Table__192.168.1.150_Daily_Delinquency_With_Sectors[[#This Row],[Outstanding Balance]],0)</f>
        <v>7044717.6100000003</v>
      </c>
      <c r="T66" s="105">
        <f>IF(Table__192.168.1.150_Daily_Delinquency_With_Sectors[[#This Row],[Days in Arrears]] &gt; 90, Table__192.168.1.150_Daily_Delinquency_With_Sectors[[#This Row],[Outstanding Balance]],0)</f>
        <v>0</v>
      </c>
      <c r="U66" s="109">
        <f>IF(Table__192.168.1.150_Daily_Delinquency_With_Sectors[[#This Row],[Days in Arrears]] &gt;= 1,1,0)</f>
        <v>1</v>
      </c>
      <c r="V66" s="109">
        <f>IF(Table__192.168.1.150_Daily_Delinquency_With_Sectors[[#This Row],[Days in Arrears]] &gt; 30,1,0)</f>
        <v>1</v>
      </c>
      <c r="W66" s="109">
        <f>IF(Table__192.168.1.150_Daily_Delinquency_With_Sectors[[#This Row],[Days in Arrears]] &gt; 90,1,0)</f>
        <v>0</v>
      </c>
    </row>
    <row r="67" spans="1:23" x14ac:dyDescent="0.25">
      <c r="A67" t="s">
        <v>1479</v>
      </c>
      <c r="B67" t="s">
        <v>1284</v>
      </c>
      <c r="C67">
        <v>9</v>
      </c>
      <c r="D67" s="105">
        <v>18237245.899999999</v>
      </c>
      <c r="E67" t="s">
        <v>1467</v>
      </c>
      <c r="F67" s="105">
        <v>682735.07</v>
      </c>
      <c r="G67" s="105">
        <v>21985821.039999999</v>
      </c>
      <c r="H67" s="143">
        <v>42292.551115706017</v>
      </c>
      <c r="I67" s="143">
        <v>43388</v>
      </c>
      <c r="J67" t="s">
        <v>1481</v>
      </c>
      <c r="K67" t="s">
        <v>1280</v>
      </c>
      <c r="L67" t="s">
        <v>1280</v>
      </c>
      <c r="M67">
        <v>102143</v>
      </c>
      <c r="N67" t="s">
        <v>1445</v>
      </c>
      <c r="O67" t="s">
        <v>44</v>
      </c>
      <c r="P67" t="s">
        <v>75</v>
      </c>
      <c r="Q67" t="s">
        <v>26</v>
      </c>
      <c r="R67" s="105">
        <f>IF(Table__192.168.1.150_Daily_Delinquency_With_Sectors[[#This Row],[Days in Arrears]] &gt; 0, Table__192.168.1.150_Daily_Delinquency_With_Sectors[[#This Row],[Outstanding Balance]],0)</f>
        <v>18237245.899999999</v>
      </c>
      <c r="S67" s="105">
        <f>IF(Table__192.168.1.150_Daily_Delinquency_With_Sectors[[#This Row],[Days in Arrears]] &gt; 30, Table__192.168.1.150_Daily_Delinquency_With_Sectors[[#This Row],[Outstanding Balance]],0)</f>
        <v>0</v>
      </c>
      <c r="T67" s="105">
        <f>IF(Table__192.168.1.150_Daily_Delinquency_With_Sectors[[#This Row],[Days in Arrears]] &gt; 90, Table__192.168.1.150_Daily_Delinquency_With_Sectors[[#This Row],[Outstanding Balance]],0)</f>
        <v>0</v>
      </c>
      <c r="U67" s="109">
        <f>IF(Table__192.168.1.150_Daily_Delinquency_With_Sectors[[#This Row],[Days in Arrears]] &gt;= 1,1,0)</f>
        <v>1</v>
      </c>
      <c r="V67" s="109">
        <f>IF(Table__192.168.1.150_Daily_Delinquency_With_Sectors[[#This Row],[Days in Arrears]] &gt; 30,1,0)</f>
        <v>0</v>
      </c>
      <c r="W67" s="109">
        <f>IF(Table__192.168.1.150_Daily_Delinquency_With_Sectors[[#This Row],[Days in Arrears]] &gt; 90,1,0)</f>
        <v>0</v>
      </c>
    </row>
    <row r="68" spans="1:23" x14ac:dyDescent="0.25">
      <c r="A68" t="s">
        <v>702</v>
      </c>
      <c r="B68" t="s">
        <v>1282</v>
      </c>
      <c r="C68">
        <v>83</v>
      </c>
      <c r="D68" s="105">
        <v>1855095.95</v>
      </c>
      <c r="E68" t="s">
        <v>468</v>
      </c>
      <c r="F68" s="105">
        <v>124636.58</v>
      </c>
      <c r="G68" s="105">
        <v>2005443.34</v>
      </c>
      <c r="H68" s="143">
        <v>42293.454223298613</v>
      </c>
      <c r="I68" s="143">
        <v>43040</v>
      </c>
      <c r="J68" t="s">
        <v>703</v>
      </c>
      <c r="K68" t="s">
        <v>1280</v>
      </c>
      <c r="L68" t="s">
        <v>1280</v>
      </c>
      <c r="M68">
        <v>102148</v>
      </c>
      <c r="N68" t="s">
        <v>697</v>
      </c>
      <c r="O68" t="s">
        <v>44</v>
      </c>
      <c r="P68" t="s">
        <v>75</v>
      </c>
      <c r="Q68" t="s">
        <v>26</v>
      </c>
      <c r="R68" s="105">
        <f>IF(Table__192.168.1.150_Daily_Delinquency_With_Sectors[[#This Row],[Days in Arrears]] &gt; 0, Table__192.168.1.150_Daily_Delinquency_With_Sectors[[#This Row],[Outstanding Balance]],0)</f>
        <v>1855095.95</v>
      </c>
      <c r="S68" s="105">
        <f>IF(Table__192.168.1.150_Daily_Delinquency_With_Sectors[[#This Row],[Days in Arrears]] &gt; 30, Table__192.168.1.150_Daily_Delinquency_With_Sectors[[#This Row],[Outstanding Balance]],0)</f>
        <v>1855095.95</v>
      </c>
      <c r="T68" s="105">
        <f>IF(Table__192.168.1.150_Daily_Delinquency_With_Sectors[[#This Row],[Days in Arrears]] &gt; 90, Table__192.168.1.150_Daily_Delinquency_With_Sectors[[#This Row],[Outstanding Balance]],0)</f>
        <v>0</v>
      </c>
      <c r="U68" s="109">
        <f>IF(Table__192.168.1.150_Daily_Delinquency_With_Sectors[[#This Row],[Days in Arrears]] &gt;= 1,1,0)</f>
        <v>1</v>
      </c>
      <c r="V68" s="109">
        <f>IF(Table__192.168.1.150_Daily_Delinquency_With_Sectors[[#This Row],[Days in Arrears]] &gt; 30,1,0)</f>
        <v>1</v>
      </c>
      <c r="W68" s="109">
        <f>IF(Table__192.168.1.150_Daily_Delinquency_With_Sectors[[#This Row],[Days in Arrears]] &gt; 90,1,0)</f>
        <v>0</v>
      </c>
    </row>
    <row r="69" spans="1:23" x14ac:dyDescent="0.25">
      <c r="A69" t="s">
        <v>234</v>
      </c>
      <c r="B69" t="s">
        <v>1283</v>
      </c>
      <c r="C69">
        <v>-8</v>
      </c>
      <c r="D69" s="105">
        <v>30558896.16</v>
      </c>
      <c r="E69" t="s">
        <v>90</v>
      </c>
      <c r="F69" s="105">
        <v>641736.81999999995</v>
      </c>
      <c r="G69" s="105">
        <v>36840125.280000001</v>
      </c>
      <c r="H69" s="143">
        <v>42293.597538738424</v>
      </c>
      <c r="I69" s="143">
        <v>43406</v>
      </c>
      <c r="J69" t="s">
        <v>235</v>
      </c>
      <c r="K69" t="s">
        <v>1280</v>
      </c>
      <c r="L69" t="s">
        <v>1280</v>
      </c>
      <c r="M69">
        <v>102150</v>
      </c>
      <c r="N69" t="s">
        <v>233</v>
      </c>
      <c r="O69" t="s">
        <v>45</v>
      </c>
      <c r="P69" t="s">
        <v>45</v>
      </c>
      <c r="Q69" t="s">
        <v>26</v>
      </c>
      <c r="R69" s="105">
        <f>IF(Table__192.168.1.150_Daily_Delinquency_With_Sectors[[#This Row],[Days in Arrears]] &gt; 0, Table__192.168.1.150_Daily_Delinquency_With_Sectors[[#This Row],[Outstanding Balance]],0)</f>
        <v>0</v>
      </c>
      <c r="S69" s="105">
        <f>IF(Table__192.168.1.150_Daily_Delinquency_With_Sectors[[#This Row],[Days in Arrears]] &gt; 30, Table__192.168.1.150_Daily_Delinquency_With_Sectors[[#This Row],[Outstanding Balance]],0)</f>
        <v>0</v>
      </c>
      <c r="T69" s="105">
        <f>IF(Table__192.168.1.150_Daily_Delinquency_With_Sectors[[#This Row],[Days in Arrears]] &gt; 90, Table__192.168.1.150_Daily_Delinquency_With_Sectors[[#This Row],[Outstanding Balance]],0)</f>
        <v>0</v>
      </c>
      <c r="U69" s="109">
        <f>IF(Table__192.168.1.150_Daily_Delinquency_With_Sectors[[#This Row],[Days in Arrears]] &gt;= 1,1,0)</f>
        <v>0</v>
      </c>
      <c r="V69" s="109">
        <f>IF(Table__192.168.1.150_Daily_Delinquency_With_Sectors[[#This Row],[Days in Arrears]] &gt; 30,1,0)</f>
        <v>0</v>
      </c>
      <c r="W69" s="109">
        <f>IF(Table__192.168.1.150_Daily_Delinquency_With_Sectors[[#This Row],[Days in Arrears]] &gt; 90,1,0)</f>
        <v>0</v>
      </c>
    </row>
    <row r="70" spans="1:23" x14ac:dyDescent="0.25">
      <c r="A70" t="s">
        <v>1486</v>
      </c>
      <c r="B70" t="s">
        <v>1284</v>
      </c>
      <c r="C70">
        <v>68</v>
      </c>
      <c r="D70" s="105">
        <v>832429.84</v>
      </c>
      <c r="E70" t="s">
        <v>491</v>
      </c>
      <c r="F70" s="105">
        <v>12898.71</v>
      </c>
      <c r="G70" s="105">
        <v>845328.55</v>
      </c>
      <c r="H70" s="143">
        <v>42293.624338194444</v>
      </c>
      <c r="I70" s="143">
        <v>43024</v>
      </c>
      <c r="J70" t="s">
        <v>1487</v>
      </c>
      <c r="K70" t="s">
        <v>1280</v>
      </c>
      <c r="L70" t="s">
        <v>1280</v>
      </c>
      <c r="M70">
        <v>102151</v>
      </c>
      <c r="N70" t="s">
        <v>1485</v>
      </c>
      <c r="O70" t="s">
        <v>27</v>
      </c>
      <c r="P70" t="s">
        <v>81</v>
      </c>
      <c r="Q70" t="s">
        <v>26</v>
      </c>
      <c r="R70" s="105">
        <f>IF(Table__192.168.1.150_Daily_Delinquency_With_Sectors[[#This Row],[Days in Arrears]] &gt; 0, Table__192.168.1.150_Daily_Delinquency_With_Sectors[[#This Row],[Outstanding Balance]],0)</f>
        <v>832429.84</v>
      </c>
      <c r="S70" s="105">
        <f>IF(Table__192.168.1.150_Daily_Delinquency_With_Sectors[[#This Row],[Days in Arrears]] &gt; 30, Table__192.168.1.150_Daily_Delinquency_With_Sectors[[#This Row],[Outstanding Balance]],0)</f>
        <v>832429.84</v>
      </c>
      <c r="T70" s="105">
        <f>IF(Table__192.168.1.150_Daily_Delinquency_With_Sectors[[#This Row],[Days in Arrears]] &gt; 90, Table__192.168.1.150_Daily_Delinquency_With_Sectors[[#This Row],[Outstanding Balance]],0)</f>
        <v>0</v>
      </c>
      <c r="U70" s="109">
        <f>IF(Table__192.168.1.150_Daily_Delinquency_With_Sectors[[#This Row],[Days in Arrears]] &gt;= 1,1,0)</f>
        <v>1</v>
      </c>
      <c r="V70" s="109">
        <f>IF(Table__192.168.1.150_Daily_Delinquency_With_Sectors[[#This Row],[Days in Arrears]] &gt; 30,1,0)</f>
        <v>1</v>
      </c>
      <c r="W70" s="109">
        <f>IF(Table__192.168.1.150_Daily_Delinquency_With_Sectors[[#This Row],[Days in Arrears]] &gt; 90,1,0)</f>
        <v>0</v>
      </c>
    </row>
    <row r="71" spans="1:23" x14ac:dyDescent="0.25">
      <c r="A71" t="s">
        <v>723</v>
      </c>
      <c r="B71" t="s">
        <v>1284</v>
      </c>
      <c r="C71">
        <v>9</v>
      </c>
      <c r="D71" s="105">
        <v>11376146.18</v>
      </c>
      <c r="E71" t="s">
        <v>1039</v>
      </c>
      <c r="F71" s="105">
        <v>344588.51</v>
      </c>
      <c r="G71" s="105">
        <v>13633164.109999999</v>
      </c>
      <c r="H71" s="143">
        <v>42294.570270104166</v>
      </c>
      <c r="I71" s="143">
        <v>43388</v>
      </c>
      <c r="J71" t="s">
        <v>724</v>
      </c>
      <c r="K71" t="s">
        <v>725</v>
      </c>
      <c r="L71" t="s">
        <v>1280</v>
      </c>
      <c r="M71">
        <v>102156</v>
      </c>
      <c r="N71" t="s">
        <v>721</v>
      </c>
      <c r="O71" t="s">
        <v>44</v>
      </c>
      <c r="P71" t="s">
        <v>92</v>
      </c>
      <c r="Q71" t="s">
        <v>26</v>
      </c>
      <c r="R71" s="105">
        <f>IF(Table__192.168.1.150_Daily_Delinquency_With_Sectors[[#This Row],[Days in Arrears]] &gt; 0, Table__192.168.1.150_Daily_Delinquency_With_Sectors[[#This Row],[Outstanding Balance]],0)</f>
        <v>11376146.18</v>
      </c>
      <c r="S71" s="105">
        <f>IF(Table__192.168.1.150_Daily_Delinquency_With_Sectors[[#This Row],[Days in Arrears]] &gt; 30, Table__192.168.1.150_Daily_Delinquency_With_Sectors[[#This Row],[Outstanding Balance]],0)</f>
        <v>0</v>
      </c>
      <c r="T71" s="105">
        <f>IF(Table__192.168.1.150_Daily_Delinquency_With_Sectors[[#This Row],[Days in Arrears]] &gt; 90, Table__192.168.1.150_Daily_Delinquency_With_Sectors[[#This Row],[Outstanding Balance]],0)</f>
        <v>0</v>
      </c>
      <c r="U71" s="109">
        <f>IF(Table__192.168.1.150_Daily_Delinquency_With_Sectors[[#This Row],[Days in Arrears]] &gt;= 1,1,0)</f>
        <v>1</v>
      </c>
      <c r="V71" s="109">
        <f>IF(Table__192.168.1.150_Daily_Delinquency_With_Sectors[[#This Row],[Days in Arrears]] &gt; 30,1,0)</f>
        <v>0</v>
      </c>
      <c r="W71" s="109">
        <f>IF(Table__192.168.1.150_Daily_Delinquency_With_Sectors[[#This Row],[Days in Arrears]] &gt; 90,1,0)</f>
        <v>0</v>
      </c>
    </row>
    <row r="72" spans="1:23" x14ac:dyDescent="0.25">
      <c r="A72" t="s">
        <v>1505</v>
      </c>
      <c r="B72" t="s">
        <v>1283</v>
      </c>
      <c r="C72">
        <v>-7</v>
      </c>
      <c r="D72" s="105">
        <v>30325175.940000001</v>
      </c>
      <c r="E72" t="s">
        <v>5167</v>
      </c>
      <c r="F72" s="105">
        <v>667153.87</v>
      </c>
      <c r="G72" s="105">
        <v>36558365</v>
      </c>
      <c r="H72" s="143">
        <v>42300.557242129631</v>
      </c>
      <c r="I72" s="143">
        <v>43405</v>
      </c>
      <c r="J72" t="s">
        <v>1506</v>
      </c>
      <c r="K72" t="s">
        <v>1280</v>
      </c>
      <c r="L72" t="s">
        <v>1280</v>
      </c>
      <c r="M72">
        <v>102172</v>
      </c>
      <c r="N72" t="s">
        <v>1504</v>
      </c>
      <c r="O72" t="s">
        <v>44</v>
      </c>
      <c r="P72" t="s">
        <v>92</v>
      </c>
      <c r="Q72" t="s">
        <v>26</v>
      </c>
      <c r="R72" s="105">
        <f>IF(Table__192.168.1.150_Daily_Delinquency_With_Sectors[[#This Row],[Days in Arrears]] &gt; 0, Table__192.168.1.150_Daily_Delinquency_With_Sectors[[#This Row],[Outstanding Balance]],0)</f>
        <v>0</v>
      </c>
      <c r="S72" s="105">
        <f>IF(Table__192.168.1.150_Daily_Delinquency_With_Sectors[[#This Row],[Days in Arrears]] &gt; 30, Table__192.168.1.150_Daily_Delinquency_With_Sectors[[#This Row],[Outstanding Balance]],0)</f>
        <v>0</v>
      </c>
      <c r="T72" s="105">
        <f>IF(Table__192.168.1.150_Daily_Delinquency_With_Sectors[[#This Row],[Days in Arrears]] &gt; 90, Table__192.168.1.150_Daily_Delinquency_With_Sectors[[#This Row],[Outstanding Balance]],0)</f>
        <v>0</v>
      </c>
      <c r="U72" s="109">
        <f>IF(Table__192.168.1.150_Daily_Delinquency_With_Sectors[[#This Row],[Days in Arrears]] &gt;= 1,1,0)</f>
        <v>0</v>
      </c>
      <c r="V72" s="109">
        <f>IF(Table__192.168.1.150_Daily_Delinquency_With_Sectors[[#This Row],[Days in Arrears]] &gt; 30,1,0)</f>
        <v>0</v>
      </c>
      <c r="W72" s="109">
        <f>IF(Table__192.168.1.150_Daily_Delinquency_With_Sectors[[#This Row],[Days in Arrears]] &gt; 90,1,0)</f>
        <v>0</v>
      </c>
    </row>
    <row r="73" spans="1:23" x14ac:dyDescent="0.25">
      <c r="A73" t="s">
        <v>1508</v>
      </c>
      <c r="B73" t="s">
        <v>1283</v>
      </c>
      <c r="C73">
        <v>-7</v>
      </c>
      <c r="D73" s="105">
        <v>14431548.67</v>
      </c>
      <c r="E73" t="s">
        <v>5725</v>
      </c>
      <c r="F73" s="105">
        <v>317494.07</v>
      </c>
      <c r="G73" s="105">
        <v>17397881.66</v>
      </c>
      <c r="H73" s="143">
        <v>42303.658698877312</v>
      </c>
      <c r="I73" s="143">
        <v>43405</v>
      </c>
      <c r="J73" t="s">
        <v>1509</v>
      </c>
      <c r="K73" t="s">
        <v>1280</v>
      </c>
      <c r="L73" t="s">
        <v>1280</v>
      </c>
      <c r="M73">
        <v>102179</v>
      </c>
      <c r="N73" t="s">
        <v>1507</v>
      </c>
      <c r="O73" t="s">
        <v>27</v>
      </c>
      <c r="P73" t="s">
        <v>81</v>
      </c>
      <c r="Q73" t="s">
        <v>26</v>
      </c>
      <c r="R73" s="105">
        <f>IF(Table__192.168.1.150_Daily_Delinquency_With_Sectors[[#This Row],[Days in Arrears]] &gt; 0, Table__192.168.1.150_Daily_Delinquency_With_Sectors[[#This Row],[Outstanding Balance]],0)</f>
        <v>0</v>
      </c>
      <c r="S73" s="105">
        <f>IF(Table__192.168.1.150_Daily_Delinquency_With_Sectors[[#This Row],[Days in Arrears]] &gt; 30, Table__192.168.1.150_Daily_Delinquency_With_Sectors[[#This Row],[Outstanding Balance]],0)</f>
        <v>0</v>
      </c>
      <c r="T73" s="105">
        <f>IF(Table__192.168.1.150_Daily_Delinquency_With_Sectors[[#This Row],[Days in Arrears]] &gt; 90, Table__192.168.1.150_Daily_Delinquency_With_Sectors[[#This Row],[Outstanding Balance]],0)</f>
        <v>0</v>
      </c>
      <c r="U73" s="109">
        <f>IF(Table__192.168.1.150_Daily_Delinquency_With_Sectors[[#This Row],[Days in Arrears]] &gt;= 1,1,0)</f>
        <v>0</v>
      </c>
      <c r="V73" s="109">
        <f>IF(Table__192.168.1.150_Daily_Delinquency_With_Sectors[[#This Row],[Days in Arrears]] &gt; 30,1,0)</f>
        <v>0</v>
      </c>
      <c r="W73" s="109">
        <f>IF(Table__192.168.1.150_Daily_Delinquency_With_Sectors[[#This Row],[Days in Arrears]] &gt; 90,1,0)</f>
        <v>0</v>
      </c>
    </row>
    <row r="74" spans="1:23" x14ac:dyDescent="0.25">
      <c r="A74" t="s">
        <v>1514</v>
      </c>
      <c r="B74" t="s">
        <v>1284</v>
      </c>
      <c r="C74">
        <v>21</v>
      </c>
      <c r="D74" s="105">
        <v>7198622.1799999997</v>
      </c>
      <c r="E74" t="s">
        <v>546</v>
      </c>
      <c r="F74" s="105">
        <v>137443.32</v>
      </c>
      <c r="G74" s="105">
        <v>8611161.7400000002</v>
      </c>
      <c r="H74" s="143">
        <v>42305.393427777781</v>
      </c>
      <c r="I74" s="143">
        <v>43407</v>
      </c>
      <c r="J74" t="s">
        <v>1515</v>
      </c>
      <c r="K74" t="s">
        <v>1280</v>
      </c>
      <c r="L74" t="s">
        <v>1280</v>
      </c>
      <c r="M74">
        <v>102185</v>
      </c>
      <c r="N74" t="s">
        <v>1511</v>
      </c>
      <c r="O74" t="s">
        <v>42</v>
      </c>
      <c r="P74" t="s">
        <v>26</v>
      </c>
      <c r="Q74" t="s">
        <v>26</v>
      </c>
      <c r="R74" s="105">
        <f>IF(Table__192.168.1.150_Daily_Delinquency_With_Sectors[[#This Row],[Days in Arrears]] &gt; 0, Table__192.168.1.150_Daily_Delinquency_With_Sectors[[#This Row],[Outstanding Balance]],0)</f>
        <v>7198622.1799999997</v>
      </c>
      <c r="S74" s="105">
        <f>IF(Table__192.168.1.150_Daily_Delinquency_With_Sectors[[#This Row],[Days in Arrears]] &gt; 30, Table__192.168.1.150_Daily_Delinquency_With_Sectors[[#This Row],[Outstanding Balance]],0)</f>
        <v>0</v>
      </c>
      <c r="T74" s="105">
        <f>IF(Table__192.168.1.150_Daily_Delinquency_With_Sectors[[#This Row],[Days in Arrears]] &gt; 90, Table__192.168.1.150_Daily_Delinquency_With_Sectors[[#This Row],[Outstanding Balance]],0)</f>
        <v>0</v>
      </c>
      <c r="U74" s="109">
        <f>IF(Table__192.168.1.150_Daily_Delinquency_With_Sectors[[#This Row],[Days in Arrears]] &gt;= 1,1,0)</f>
        <v>1</v>
      </c>
      <c r="V74" s="109">
        <f>IF(Table__192.168.1.150_Daily_Delinquency_With_Sectors[[#This Row],[Days in Arrears]] &gt; 30,1,0)</f>
        <v>0</v>
      </c>
      <c r="W74" s="109">
        <f>IF(Table__192.168.1.150_Daily_Delinquency_With_Sectors[[#This Row],[Days in Arrears]] &gt; 90,1,0)</f>
        <v>0</v>
      </c>
    </row>
    <row r="75" spans="1:23" x14ac:dyDescent="0.25">
      <c r="A75" t="s">
        <v>1516</v>
      </c>
      <c r="B75" t="s">
        <v>1284</v>
      </c>
      <c r="C75">
        <v>-11</v>
      </c>
      <c r="D75" s="105">
        <v>16066040.01</v>
      </c>
      <c r="E75" t="s">
        <v>1467</v>
      </c>
      <c r="F75" s="105">
        <v>289188.71999999997</v>
      </c>
      <c r="G75" s="105">
        <v>19368334.66</v>
      </c>
      <c r="H75" s="143">
        <v>42305.414281793979</v>
      </c>
      <c r="I75" s="143">
        <v>43409</v>
      </c>
      <c r="J75" t="s">
        <v>1517</v>
      </c>
      <c r="K75" t="s">
        <v>1518</v>
      </c>
      <c r="L75" t="s">
        <v>1280</v>
      </c>
      <c r="M75">
        <v>102186</v>
      </c>
      <c r="N75" t="s">
        <v>1512</v>
      </c>
      <c r="O75" t="s">
        <v>44</v>
      </c>
      <c r="P75" t="s">
        <v>92</v>
      </c>
      <c r="Q75" t="s">
        <v>26</v>
      </c>
      <c r="R75" s="105">
        <f>IF(Table__192.168.1.150_Daily_Delinquency_With_Sectors[[#This Row],[Days in Arrears]] &gt; 0, Table__192.168.1.150_Daily_Delinquency_With_Sectors[[#This Row],[Outstanding Balance]],0)</f>
        <v>0</v>
      </c>
      <c r="S75" s="105">
        <f>IF(Table__192.168.1.150_Daily_Delinquency_With_Sectors[[#This Row],[Days in Arrears]] &gt; 30, Table__192.168.1.150_Daily_Delinquency_With_Sectors[[#This Row],[Outstanding Balance]],0)</f>
        <v>0</v>
      </c>
      <c r="T75" s="105">
        <f>IF(Table__192.168.1.150_Daily_Delinquency_With_Sectors[[#This Row],[Days in Arrears]] &gt; 90, Table__192.168.1.150_Daily_Delinquency_With_Sectors[[#This Row],[Outstanding Balance]],0)</f>
        <v>0</v>
      </c>
      <c r="U75" s="109">
        <f>IF(Table__192.168.1.150_Daily_Delinquency_With_Sectors[[#This Row],[Days in Arrears]] &gt;= 1,1,0)</f>
        <v>0</v>
      </c>
      <c r="V75" s="109">
        <f>IF(Table__192.168.1.150_Daily_Delinquency_With_Sectors[[#This Row],[Days in Arrears]] &gt; 30,1,0)</f>
        <v>0</v>
      </c>
      <c r="W75" s="109">
        <f>IF(Table__192.168.1.150_Daily_Delinquency_With_Sectors[[#This Row],[Days in Arrears]] &gt; 90,1,0)</f>
        <v>0</v>
      </c>
    </row>
    <row r="76" spans="1:23" x14ac:dyDescent="0.25">
      <c r="A76" t="s">
        <v>1521</v>
      </c>
      <c r="B76" t="s">
        <v>1284</v>
      </c>
      <c r="C76">
        <v>-7</v>
      </c>
      <c r="D76" s="105">
        <v>6852246.9500000002</v>
      </c>
      <c r="E76" t="s">
        <v>491</v>
      </c>
      <c r="F76" s="105">
        <v>150749.43</v>
      </c>
      <c r="G76" s="105">
        <v>8260692.2699999996</v>
      </c>
      <c r="H76" s="143">
        <v>42306.496015428238</v>
      </c>
      <c r="I76" s="143">
        <v>43405</v>
      </c>
      <c r="J76" t="s">
        <v>1522</v>
      </c>
      <c r="K76" t="s">
        <v>1280</v>
      </c>
      <c r="L76" t="s">
        <v>1280</v>
      </c>
      <c r="M76">
        <v>102190</v>
      </c>
      <c r="N76" t="s">
        <v>663</v>
      </c>
      <c r="O76" t="s">
        <v>25</v>
      </c>
      <c r="P76" t="s">
        <v>32</v>
      </c>
      <c r="Q76" t="s">
        <v>26</v>
      </c>
      <c r="R76" s="105">
        <f>IF(Table__192.168.1.150_Daily_Delinquency_With_Sectors[[#This Row],[Days in Arrears]] &gt; 0, Table__192.168.1.150_Daily_Delinquency_With_Sectors[[#This Row],[Outstanding Balance]],0)</f>
        <v>0</v>
      </c>
      <c r="S76" s="105">
        <f>IF(Table__192.168.1.150_Daily_Delinquency_With_Sectors[[#This Row],[Days in Arrears]] &gt; 30, Table__192.168.1.150_Daily_Delinquency_With_Sectors[[#This Row],[Outstanding Balance]],0)</f>
        <v>0</v>
      </c>
      <c r="T76" s="105">
        <f>IF(Table__192.168.1.150_Daily_Delinquency_With_Sectors[[#This Row],[Days in Arrears]] &gt; 90, Table__192.168.1.150_Daily_Delinquency_With_Sectors[[#This Row],[Outstanding Balance]],0)</f>
        <v>0</v>
      </c>
      <c r="U76" s="109">
        <f>IF(Table__192.168.1.150_Daily_Delinquency_With_Sectors[[#This Row],[Days in Arrears]] &gt;= 1,1,0)</f>
        <v>0</v>
      </c>
      <c r="V76" s="109">
        <f>IF(Table__192.168.1.150_Daily_Delinquency_With_Sectors[[#This Row],[Days in Arrears]] &gt; 30,1,0)</f>
        <v>0</v>
      </c>
      <c r="W76" s="109">
        <f>IF(Table__192.168.1.150_Daily_Delinquency_With_Sectors[[#This Row],[Days in Arrears]] &gt; 90,1,0)</f>
        <v>0</v>
      </c>
    </row>
    <row r="77" spans="1:23" x14ac:dyDescent="0.25">
      <c r="A77" t="s">
        <v>1152</v>
      </c>
      <c r="B77" t="s">
        <v>1841</v>
      </c>
      <c r="C77">
        <v>52</v>
      </c>
      <c r="D77" s="105">
        <v>37211861.189999998</v>
      </c>
      <c r="E77" t="s">
        <v>5725</v>
      </c>
      <c r="F77" s="105">
        <v>2165132.25</v>
      </c>
      <c r="G77" s="105">
        <v>46119217.759999998</v>
      </c>
      <c r="H77" s="143">
        <v>42306.654785648148</v>
      </c>
      <c r="I77" s="143">
        <v>43406</v>
      </c>
      <c r="J77" t="s">
        <v>1153</v>
      </c>
      <c r="K77" t="s">
        <v>1280</v>
      </c>
      <c r="L77" t="s">
        <v>1280</v>
      </c>
      <c r="M77">
        <v>102192</v>
      </c>
      <c r="N77" t="s">
        <v>1151</v>
      </c>
      <c r="O77" t="s">
        <v>35</v>
      </c>
      <c r="P77" t="s">
        <v>121</v>
      </c>
      <c r="Q77" t="s">
        <v>26</v>
      </c>
      <c r="R77" s="105">
        <f>IF(Table__192.168.1.150_Daily_Delinquency_With_Sectors[[#This Row],[Days in Arrears]] &gt; 0, Table__192.168.1.150_Daily_Delinquency_With_Sectors[[#This Row],[Outstanding Balance]],0)</f>
        <v>37211861.189999998</v>
      </c>
      <c r="S77" s="105">
        <f>IF(Table__192.168.1.150_Daily_Delinquency_With_Sectors[[#This Row],[Days in Arrears]] &gt; 30, Table__192.168.1.150_Daily_Delinquency_With_Sectors[[#This Row],[Outstanding Balance]],0)</f>
        <v>37211861.189999998</v>
      </c>
      <c r="T77" s="105">
        <f>IF(Table__192.168.1.150_Daily_Delinquency_With_Sectors[[#This Row],[Days in Arrears]] &gt; 90, Table__192.168.1.150_Daily_Delinquency_With_Sectors[[#This Row],[Outstanding Balance]],0)</f>
        <v>0</v>
      </c>
      <c r="U77" s="109">
        <f>IF(Table__192.168.1.150_Daily_Delinquency_With_Sectors[[#This Row],[Days in Arrears]] &gt;= 1,1,0)</f>
        <v>1</v>
      </c>
      <c r="V77" s="109">
        <f>IF(Table__192.168.1.150_Daily_Delinquency_With_Sectors[[#This Row],[Days in Arrears]] &gt; 30,1,0)</f>
        <v>1</v>
      </c>
      <c r="W77" s="109">
        <f>IF(Table__192.168.1.150_Daily_Delinquency_With_Sectors[[#This Row],[Days in Arrears]] &gt; 90,1,0)</f>
        <v>0</v>
      </c>
    </row>
    <row r="78" spans="1:23" x14ac:dyDescent="0.25">
      <c r="A78" t="s">
        <v>348</v>
      </c>
      <c r="B78" t="s">
        <v>1284</v>
      </c>
      <c r="C78">
        <v>23</v>
      </c>
      <c r="D78" s="105">
        <v>35106785.170000002</v>
      </c>
      <c r="E78" t="s">
        <v>491</v>
      </c>
      <c r="F78" s="105">
        <v>1776099.66</v>
      </c>
      <c r="G78" s="105">
        <v>42913975.009999998</v>
      </c>
      <c r="H78" s="143">
        <v>42308.688990127317</v>
      </c>
      <c r="I78" s="143">
        <v>43405</v>
      </c>
      <c r="J78" t="s">
        <v>349</v>
      </c>
      <c r="K78" t="s">
        <v>350</v>
      </c>
      <c r="L78" t="s">
        <v>1280</v>
      </c>
      <c r="M78">
        <v>102207</v>
      </c>
      <c r="N78" t="s">
        <v>347</v>
      </c>
      <c r="O78" t="s">
        <v>44</v>
      </c>
      <c r="P78" t="s">
        <v>75</v>
      </c>
      <c r="Q78" t="s">
        <v>26</v>
      </c>
      <c r="R78" s="105">
        <f>IF(Table__192.168.1.150_Daily_Delinquency_With_Sectors[[#This Row],[Days in Arrears]] &gt; 0, Table__192.168.1.150_Daily_Delinquency_With_Sectors[[#This Row],[Outstanding Balance]],0)</f>
        <v>35106785.170000002</v>
      </c>
      <c r="S78" s="105">
        <f>IF(Table__192.168.1.150_Daily_Delinquency_With_Sectors[[#This Row],[Days in Arrears]] &gt; 30, Table__192.168.1.150_Daily_Delinquency_With_Sectors[[#This Row],[Outstanding Balance]],0)</f>
        <v>0</v>
      </c>
      <c r="T78" s="105">
        <f>IF(Table__192.168.1.150_Daily_Delinquency_With_Sectors[[#This Row],[Days in Arrears]] &gt; 90, Table__192.168.1.150_Daily_Delinquency_With_Sectors[[#This Row],[Outstanding Balance]],0)</f>
        <v>0</v>
      </c>
      <c r="U78" s="109">
        <f>IF(Table__192.168.1.150_Daily_Delinquency_With_Sectors[[#This Row],[Days in Arrears]] &gt;= 1,1,0)</f>
        <v>1</v>
      </c>
      <c r="V78" s="109">
        <f>IF(Table__192.168.1.150_Daily_Delinquency_With_Sectors[[#This Row],[Days in Arrears]] &gt; 30,1,0)</f>
        <v>0</v>
      </c>
      <c r="W78" s="109">
        <f>IF(Table__192.168.1.150_Daily_Delinquency_With_Sectors[[#This Row],[Days in Arrears]] &gt; 90,1,0)</f>
        <v>0</v>
      </c>
    </row>
    <row r="79" spans="1:23" x14ac:dyDescent="0.25">
      <c r="A79" t="s">
        <v>847</v>
      </c>
      <c r="B79" t="s">
        <v>1284</v>
      </c>
      <c r="C79">
        <v>99</v>
      </c>
      <c r="D79" s="105">
        <v>3623553.87</v>
      </c>
      <c r="E79" t="s">
        <v>1039</v>
      </c>
      <c r="F79" s="105">
        <v>88201.33</v>
      </c>
      <c r="G79" s="105">
        <v>3807837.14</v>
      </c>
      <c r="H79" s="143">
        <v>42311.652017129629</v>
      </c>
      <c r="I79" s="143">
        <v>43054</v>
      </c>
      <c r="J79" t="s">
        <v>848</v>
      </c>
      <c r="K79" t="s">
        <v>849</v>
      </c>
      <c r="L79" t="s">
        <v>1280</v>
      </c>
      <c r="M79">
        <v>102212</v>
      </c>
      <c r="N79" t="s">
        <v>846</v>
      </c>
      <c r="O79" t="s">
        <v>42</v>
      </c>
      <c r="P79" t="s">
        <v>26</v>
      </c>
      <c r="Q79" t="s">
        <v>26</v>
      </c>
      <c r="R79" s="105">
        <f>IF(Table__192.168.1.150_Daily_Delinquency_With_Sectors[[#This Row],[Days in Arrears]] &gt; 0, Table__192.168.1.150_Daily_Delinquency_With_Sectors[[#This Row],[Outstanding Balance]],0)</f>
        <v>3623553.87</v>
      </c>
      <c r="S79" s="105">
        <f>IF(Table__192.168.1.150_Daily_Delinquency_With_Sectors[[#This Row],[Days in Arrears]] &gt; 30, Table__192.168.1.150_Daily_Delinquency_With_Sectors[[#This Row],[Outstanding Balance]],0)</f>
        <v>3623553.87</v>
      </c>
      <c r="T79" s="105">
        <f>IF(Table__192.168.1.150_Daily_Delinquency_With_Sectors[[#This Row],[Days in Arrears]] &gt; 90, Table__192.168.1.150_Daily_Delinquency_With_Sectors[[#This Row],[Outstanding Balance]],0)</f>
        <v>3623553.87</v>
      </c>
      <c r="U79" s="109">
        <f>IF(Table__192.168.1.150_Daily_Delinquency_With_Sectors[[#This Row],[Days in Arrears]] &gt;= 1,1,0)</f>
        <v>1</v>
      </c>
      <c r="V79" s="109">
        <f>IF(Table__192.168.1.150_Daily_Delinquency_With_Sectors[[#This Row],[Days in Arrears]] &gt; 30,1,0)</f>
        <v>1</v>
      </c>
      <c r="W79" s="109">
        <f>IF(Table__192.168.1.150_Daily_Delinquency_With_Sectors[[#This Row],[Days in Arrears]] &gt; 90,1,0)</f>
        <v>1</v>
      </c>
    </row>
    <row r="80" spans="1:23" x14ac:dyDescent="0.25">
      <c r="A80" t="s">
        <v>543</v>
      </c>
      <c r="B80" t="s">
        <v>1281</v>
      </c>
      <c r="C80">
        <v>-19</v>
      </c>
      <c r="D80" s="105">
        <v>10548347.9</v>
      </c>
      <c r="E80" t="s">
        <v>5167</v>
      </c>
      <c r="F80" s="105">
        <v>123064.06</v>
      </c>
      <c r="G80" s="105">
        <v>13099016.449999999</v>
      </c>
      <c r="H80" s="143">
        <v>42315.444171331015</v>
      </c>
      <c r="I80" s="143">
        <v>43417</v>
      </c>
      <c r="J80" t="s">
        <v>544</v>
      </c>
      <c r="K80" t="s">
        <v>545</v>
      </c>
      <c r="L80" t="s">
        <v>1280</v>
      </c>
      <c r="M80">
        <v>102220</v>
      </c>
      <c r="N80" t="s">
        <v>542</v>
      </c>
      <c r="O80" t="s">
        <v>25</v>
      </c>
      <c r="P80" t="s">
        <v>26</v>
      </c>
      <c r="Q80" t="s">
        <v>26</v>
      </c>
      <c r="R80" s="105">
        <f>IF(Table__192.168.1.150_Daily_Delinquency_With_Sectors[[#This Row],[Days in Arrears]] &gt; 0, Table__192.168.1.150_Daily_Delinquency_With_Sectors[[#This Row],[Outstanding Balance]],0)</f>
        <v>0</v>
      </c>
      <c r="S80" s="105">
        <f>IF(Table__192.168.1.150_Daily_Delinquency_With_Sectors[[#This Row],[Days in Arrears]] &gt; 30, Table__192.168.1.150_Daily_Delinquency_With_Sectors[[#This Row],[Outstanding Balance]],0)</f>
        <v>0</v>
      </c>
      <c r="T80" s="105">
        <f>IF(Table__192.168.1.150_Daily_Delinquency_With_Sectors[[#This Row],[Days in Arrears]] &gt; 90, Table__192.168.1.150_Daily_Delinquency_With_Sectors[[#This Row],[Outstanding Balance]],0)</f>
        <v>0</v>
      </c>
      <c r="U80" s="109">
        <f>IF(Table__192.168.1.150_Daily_Delinquency_With_Sectors[[#This Row],[Days in Arrears]] &gt;= 1,1,0)</f>
        <v>0</v>
      </c>
      <c r="V80" s="109">
        <f>IF(Table__192.168.1.150_Daily_Delinquency_With_Sectors[[#This Row],[Days in Arrears]] &gt; 30,1,0)</f>
        <v>0</v>
      </c>
      <c r="W80" s="109">
        <f>IF(Table__192.168.1.150_Daily_Delinquency_With_Sectors[[#This Row],[Days in Arrears]] &gt; 90,1,0)</f>
        <v>0</v>
      </c>
    </row>
    <row r="81" spans="1:23" x14ac:dyDescent="0.25">
      <c r="A81" t="s">
        <v>1045</v>
      </c>
      <c r="B81" t="s">
        <v>1283</v>
      </c>
      <c r="C81">
        <v>-21</v>
      </c>
      <c r="D81" s="105">
        <v>30725333.050000001</v>
      </c>
      <c r="E81" t="s">
        <v>1447</v>
      </c>
      <c r="F81" s="105">
        <v>245802.66</v>
      </c>
      <c r="G81" s="105">
        <v>37040772.43</v>
      </c>
      <c r="H81" s="143">
        <v>42317.601501041667</v>
      </c>
      <c r="I81" s="143">
        <v>43419</v>
      </c>
      <c r="J81" t="s">
        <v>1046</v>
      </c>
      <c r="K81" t="s">
        <v>1280</v>
      </c>
      <c r="L81" t="s">
        <v>1280</v>
      </c>
      <c r="M81">
        <v>102222</v>
      </c>
      <c r="N81" t="s">
        <v>1044</v>
      </c>
      <c r="O81" t="s">
        <v>45</v>
      </c>
      <c r="P81" t="s">
        <v>45</v>
      </c>
      <c r="Q81" t="s">
        <v>26</v>
      </c>
      <c r="R81" s="105">
        <f>IF(Table__192.168.1.150_Daily_Delinquency_With_Sectors[[#This Row],[Days in Arrears]] &gt; 0, Table__192.168.1.150_Daily_Delinquency_With_Sectors[[#This Row],[Outstanding Balance]],0)</f>
        <v>0</v>
      </c>
      <c r="S81" s="105">
        <f>IF(Table__192.168.1.150_Daily_Delinquency_With_Sectors[[#This Row],[Days in Arrears]] &gt; 30, Table__192.168.1.150_Daily_Delinquency_With_Sectors[[#This Row],[Outstanding Balance]],0)</f>
        <v>0</v>
      </c>
      <c r="T81" s="105">
        <f>IF(Table__192.168.1.150_Daily_Delinquency_With_Sectors[[#This Row],[Days in Arrears]] &gt; 90, Table__192.168.1.150_Daily_Delinquency_With_Sectors[[#This Row],[Outstanding Balance]],0)</f>
        <v>0</v>
      </c>
      <c r="U81" s="109">
        <f>IF(Table__192.168.1.150_Daily_Delinquency_With_Sectors[[#This Row],[Days in Arrears]] &gt;= 1,1,0)</f>
        <v>0</v>
      </c>
      <c r="V81" s="109">
        <f>IF(Table__192.168.1.150_Daily_Delinquency_With_Sectors[[#This Row],[Days in Arrears]] &gt; 30,1,0)</f>
        <v>0</v>
      </c>
      <c r="W81" s="109">
        <f>IF(Table__192.168.1.150_Daily_Delinquency_With_Sectors[[#This Row],[Days in Arrears]] &gt; 90,1,0)</f>
        <v>0</v>
      </c>
    </row>
    <row r="82" spans="1:23" x14ac:dyDescent="0.25">
      <c r="A82" t="s">
        <v>1567</v>
      </c>
      <c r="B82" t="s">
        <v>1284</v>
      </c>
      <c r="C82">
        <v>45</v>
      </c>
      <c r="D82" s="105">
        <v>7681324.2800000003</v>
      </c>
      <c r="E82" t="s">
        <v>491</v>
      </c>
      <c r="F82" s="105">
        <v>218736.73</v>
      </c>
      <c r="G82" s="105">
        <v>9306244.5999999996</v>
      </c>
      <c r="H82" s="143">
        <v>42317.61409116898</v>
      </c>
      <c r="I82" s="143">
        <v>43413</v>
      </c>
      <c r="J82" t="s">
        <v>1568</v>
      </c>
      <c r="K82" t="s">
        <v>1280</v>
      </c>
      <c r="L82" t="s">
        <v>1280</v>
      </c>
      <c r="M82">
        <v>102223</v>
      </c>
      <c r="N82" t="s">
        <v>1553</v>
      </c>
      <c r="O82" t="s">
        <v>44</v>
      </c>
      <c r="P82" t="s">
        <v>92</v>
      </c>
      <c r="Q82" t="s">
        <v>26</v>
      </c>
      <c r="R82" s="105">
        <f>IF(Table__192.168.1.150_Daily_Delinquency_With_Sectors[[#This Row],[Days in Arrears]] &gt; 0, Table__192.168.1.150_Daily_Delinquency_With_Sectors[[#This Row],[Outstanding Balance]],0)</f>
        <v>7681324.2800000003</v>
      </c>
      <c r="S82" s="105">
        <f>IF(Table__192.168.1.150_Daily_Delinquency_With_Sectors[[#This Row],[Days in Arrears]] &gt; 30, Table__192.168.1.150_Daily_Delinquency_With_Sectors[[#This Row],[Outstanding Balance]],0)</f>
        <v>7681324.2800000003</v>
      </c>
      <c r="T82" s="105">
        <f>IF(Table__192.168.1.150_Daily_Delinquency_With_Sectors[[#This Row],[Days in Arrears]] &gt; 90, Table__192.168.1.150_Daily_Delinquency_With_Sectors[[#This Row],[Outstanding Balance]],0)</f>
        <v>0</v>
      </c>
      <c r="U82" s="109">
        <f>IF(Table__192.168.1.150_Daily_Delinquency_With_Sectors[[#This Row],[Days in Arrears]] &gt;= 1,1,0)</f>
        <v>1</v>
      </c>
      <c r="V82" s="109">
        <f>IF(Table__192.168.1.150_Daily_Delinquency_With_Sectors[[#This Row],[Days in Arrears]] &gt; 30,1,0)</f>
        <v>1</v>
      </c>
      <c r="W82" s="109">
        <f>IF(Table__192.168.1.150_Daily_Delinquency_With_Sectors[[#This Row],[Days in Arrears]] &gt; 90,1,0)</f>
        <v>0</v>
      </c>
    </row>
    <row r="83" spans="1:23" x14ac:dyDescent="0.25">
      <c r="A83" t="s">
        <v>1569</v>
      </c>
      <c r="B83" t="s">
        <v>1283</v>
      </c>
      <c r="C83">
        <v>12</v>
      </c>
      <c r="D83" s="105">
        <v>3159139.76</v>
      </c>
      <c r="E83" t="s">
        <v>2855</v>
      </c>
      <c r="F83" s="105">
        <v>94774.19</v>
      </c>
      <c r="G83" s="105">
        <v>3253913.95</v>
      </c>
      <c r="H83" s="143">
        <v>42318.462431400461</v>
      </c>
      <c r="I83" s="143">
        <v>43051</v>
      </c>
      <c r="J83" t="s">
        <v>1570</v>
      </c>
      <c r="K83" t="s">
        <v>1280</v>
      </c>
      <c r="L83" t="s">
        <v>1280</v>
      </c>
      <c r="M83">
        <v>102224</v>
      </c>
      <c r="N83" t="s">
        <v>1554</v>
      </c>
      <c r="O83" t="s">
        <v>27</v>
      </c>
      <c r="P83" t="s">
        <v>26</v>
      </c>
      <c r="Q83" t="s">
        <v>26</v>
      </c>
      <c r="R83" s="105">
        <f>IF(Table__192.168.1.150_Daily_Delinquency_With_Sectors[[#This Row],[Days in Arrears]] &gt; 0, Table__192.168.1.150_Daily_Delinquency_With_Sectors[[#This Row],[Outstanding Balance]],0)</f>
        <v>3159139.76</v>
      </c>
      <c r="S83" s="105">
        <f>IF(Table__192.168.1.150_Daily_Delinquency_With_Sectors[[#This Row],[Days in Arrears]] &gt; 30, Table__192.168.1.150_Daily_Delinquency_With_Sectors[[#This Row],[Outstanding Balance]],0)</f>
        <v>0</v>
      </c>
      <c r="T83" s="105">
        <f>IF(Table__192.168.1.150_Daily_Delinquency_With_Sectors[[#This Row],[Days in Arrears]] &gt; 90, Table__192.168.1.150_Daily_Delinquency_With_Sectors[[#This Row],[Outstanding Balance]],0)</f>
        <v>0</v>
      </c>
      <c r="U83" s="109">
        <f>IF(Table__192.168.1.150_Daily_Delinquency_With_Sectors[[#This Row],[Days in Arrears]] &gt;= 1,1,0)</f>
        <v>1</v>
      </c>
      <c r="V83" s="109">
        <f>IF(Table__192.168.1.150_Daily_Delinquency_With_Sectors[[#This Row],[Days in Arrears]] &gt; 30,1,0)</f>
        <v>0</v>
      </c>
      <c r="W83" s="109">
        <f>IF(Table__192.168.1.150_Daily_Delinquency_With_Sectors[[#This Row],[Days in Arrears]] &gt; 90,1,0)</f>
        <v>0</v>
      </c>
    </row>
    <row r="84" spans="1:23" x14ac:dyDescent="0.25">
      <c r="A84" t="s">
        <v>783</v>
      </c>
      <c r="B84" t="s">
        <v>1283</v>
      </c>
      <c r="C84">
        <v>72</v>
      </c>
      <c r="D84" s="105">
        <v>21495779.050000001</v>
      </c>
      <c r="E84" t="s">
        <v>86</v>
      </c>
      <c r="F84" s="105">
        <v>639741.36</v>
      </c>
      <c r="G84" s="105">
        <v>26454593.050000001</v>
      </c>
      <c r="H84" s="143">
        <v>42319.608294675927</v>
      </c>
      <c r="I84" s="143">
        <v>43416</v>
      </c>
      <c r="J84" t="s">
        <v>784</v>
      </c>
      <c r="K84" t="s">
        <v>785</v>
      </c>
      <c r="L84" t="s">
        <v>1280</v>
      </c>
      <c r="M84">
        <v>102226</v>
      </c>
      <c r="N84" t="s">
        <v>777</v>
      </c>
      <c r="O84" t="s">
        <v>44</v>
      </c>
      <c r="P84" t="s">
        <v>75</v>
      </c>
      <c r="Q84" t="s">
        <v>26</v>
      </c>
      <c r="R84" s="105">
        <f>IF(Table__192.168.1.150_Daily_Delinquency_With_Sectors[[#This Row],[Days in Arrears]] &gt; 0, Table__192.168.1.150_Daily_Delinquency_With_Sectors[[#This Row],[Outstanding Balance]],0)</f>
        <v>21495779.050000001</v>
      </c>
      <c r="S84" s="105">
        <f>IF(Table__192.168.1.150_Daily_Delinquency_With_Sectors[[#This Row],[Days in Arrears]] &gt; 30, Table__192.168.1.150_Daily_Delinquency_With_Sectors[[#This Row],[Outstanding Balance]],0)</f>
        <v>21495779.050000001</v>
      </c>
      <c r="T84" s="105">
        <f>IF(Table__192.168.1.150_Daily_Delinquency_With_Sectors[[#This Row],[Days in Arrears]] &gt; 90, Table__192.168.1.150_Daily_Delinquency_With_Sectors[[#This Row],[Outstanding Balance]],0)</f>
        <v>0</v>
      </c>
      <c r="U84" s="109">
        <f>IF(Table__192.168.1.150_Daily_Delinquency_With_Sectors[[#This Row],[Days in Arrears]] &gt;= 1,1,0)</f>
        <v>1</v>
      </c>
      <c r="V84" s="109">
        <f>IF(Table__192.168.1.150_Daily_Delinquency_With_Sectors[[#This Row],[Days in Arrears]] &gt; 30,1,0)</f>
        <v>1</v>
      </c>
      <c r="W84" s="109">
        <f>IF(Table__192.168.1.150_Daily_Delinquency_With_Sectors[[#This Row],[Days in Arrears]] &gt; 90,1,0)</f>
        <v>0</v>
      </c>
    </row>
    <row r="85" spans="1:23" x14ac:dyDescent="0.25">
      <c r="A85" t="s">
        <v>1584</v>
      </c>
      <c r="B85" t="s">
        <v>1284</v>
      </c>
      <c r="C85">
        <v>6</v>
      </c>
      <c r="D85" s="105">
        <v>11736252.67</v>
      </c>
      <c r="E85" t="s">
        <v>1467</v>
      </c>
      <c r="F85" s="105">
        <v>289894.87</v>
      </c>
      <c r="G85" s="105">
        <v>14079112.24</v>
      </c>
      <c r="H85" s="143">
        <v>42326.438722303239</v>
      </c>
      <c r="I85" s="143">
        <v>43422</v>
      </c>
      <c r="J85" t="s">
        <v>1585</v>
      </c>
      <c r="K85" t="s">
        <v>1586</v>
      </c>
      <c r="L85" t="s">
        <v>1280</v>
      </c>
      <c r="M85">
        <v>102248</v>
      </c>
      <c r="N85" t="s">
        <v>1559</v>
      </c>
      <c r="O85" t="s">
        <v>25</v>
      </c>
      <c r="P85" t="s">
        <v>289</v>
      </c>
      <c r="Q85" t="s">
        <v>26</v>
      </c>
      <c r="R85" s="105">
        <f>IF(Table__192.168.1.150_Daily_Delinquency_With_Sectors[[#This Row],[Days in Arrears]] &gt; 0, Table__192.168.1.150_Daily_Delinquency_With_Sectors[[#This Row],[Outstanding Balance]],0)</f>
        <v>11736252.67</v>
      </c>
      <c r="S85" s="105">
        <f>IF(Table__192.168.1.150_Daily_Delinquency_With_Sectors[[#This Row],[Days in Arrears]] &gt; 30, Table__192.168.1.150_Daily_Delinquency_With_Sectors[[#This Row],[Outstanding Balance]],0)</f>
        <v>0</v>
      </c>
      <c r="T85" s="105">
        <f>IF(Table__192.168.1.150_Daily_Delinquency_With_Sectors[[#This Row],[Days in Arrears]] &gt; 90, Table__192.168.1.150_Daily_Delinquency_With_Sectors[[#This Row],[Outstanding Balance]],0)</f>
        <v>0</v>
      </c>
      <c r="U85" s="109">
        <f>IF(Table__192.168.1.150_Daily_Delinquency_With_Sectors[[#This Row],[Days in Arrears]] &gt;= 1,1,0)</f>
        <v>1</v>
      </c>
      <c r="V85" s="109">
        <f>IF(Table__192.168.1.150_Daily_Delinquency_With_Sectors[[#This Row],[Days in Arrears]] &gt; 30,1,0)</f>
        <v>0</v>
      </c>
      <c r="W85" s="109">
        <f>IF(Table__192.168.1.150_Daily_Delinquency_With_Sectors[[#This Row],[Days in Arrears]] &gt; 90,1,0)</f>
        <v>0</v>
      </c>
    </row>
    <row r="86" spans="1:23" x14ac:dyDescent="0.25">
      <c r="A86" t="s">
        <v>1589</v>
      </c>
      <c r="B86" t="s">
        <v>1283</v>
      </c>
      <c r="C86">
        <v>-25</v>
      </c>
      <c r="D86" s="105">
        <v>16413521.43</v>
      </c>
      <c r="E86" t="s">
        <v>1191</v>
      </c>
      <c r="F86" s="105">
        <v>65654.09</v>
      </c>
      <c r="G86" s="105">
        <v>19787239.120000001</v>
      </c>
      <c r="H86" s="143">
        <v>42327.745232986112</v>
      </c>
      <c r="I86" s="143">
        <v>43423</v>
      </c>
      <c r="J86" t="s">
        <v>1590</v>
      </c>
      <c r="K86" t="s">
        <v>1591</v>
      </c>
      <c r="L86" t="s">
        <v>1280</v>
      </c>
      <c r="M86">
        <v>102256</v>
      </c>
      <c r="N86" t="s">
        <v>1562</v>
      </c>
      <c r="O86" t="s">
        <v>44</v>
      </c>
      <c r="P86" t="s">
        <v>92</v>
      </c>
      <c r="Q86" t="s">
        <v>26</v>
      </c>
      <c r="R86" s="105">
        <f>IF(Table__192.168.1.150_Daily_Delinquency_With_Sectors[[#This Row],[Days in Arrears]] &gt; 0, Table__192.168.1.150_Daily_Delinquency_With_Sectors[[#This Row],[Outstanding Balance]],0)</f>
        <v>0</v>
      </c>
      <c r="S86" s="105">
        <f>IF(Table__192.168.1.150_Daily_Delinquency_With_Sectors[[#This Row],[Days in Arrears]] &gt; 30, Table__192.168.1.150_Daily_Delinquency_With_Sectors[[#This Row],[Outstanding Balance]],0)</f>
        <v>0</v>
      </c>
      <c r="T86" s="105">
        <f>IF(Table__192.168.1.150_Daily_Delinquency_With_Sectors[[#This Row],[Days in Arrears]] &gt; 90, Table__192.168.1.150_Daily_Delinquency_With_Sectors[[#This Row],[Outstanding Balance]],0)</f>
        <v>0</v>
      </c>
      <c r="U86" s="109">
        <f>IF(Table__192.168.1.150_Daily_Delinquency_With_Sectors[[#This Row],[Days in Arrears]] &gt;= 1,1,0)</f>
        <v>0</v>
      </c>
      <c r="V86" s="109">
        <f>IF(Table__192.168.1.150_Daily_Delinquency_With_Sectors[[#This Row],[Days in Arrears]] &gt; 30,1,0)</f>
        <v>0</v>
      </c>
      <c r="W86" s="109">
        <f>IF(Table__192.168.1.150_Daily_Delinquency_With_Sectors[[#This Row],[Days in Arrears]] &gt; 90,1,0)</f>
        <v>0</v>
      </c>
    </row>
    <row r="87" spans="1:23" x14ac:dyDescent="0.25">
      <c r="A87" t="s">
        <v>820</v>
      </c>
      <c r="B87" t="s">
        <v>1283</v>
      </c>
      <c r="C87">
        <v>34</v>
      </c>
      <c r="D87" s="105">
        <v>34666001.640000001</v>
      </c>
      <c r="E87" t="s">
        <v>5724</v>
      </c>
      <c r="F87" s="105">
        <v>2015858.35</v>
      </c>
      <c r="G87" s="105">
        <v>42962813.18</v>
      </c>
      <c r="H87" s="143">
        <v>42328.725100925927</v>
      </c>
      <c r="I87" s="143">
        <v>43424</v>
      </c>
      <c r="J87" t="s">
        <v>821</v>
      </c>
      <c r="K87" t="s">
        <v>822</v>
      </c>
      <c r="L87" t="s">
        <v>1280</v>
      </c>
      <c r="M87">
        <v>102259</v>
      </c>
      <c r="N87" t="s">
        <v>817</v>
      </c>
      <c r="O87" t="s">
        <v>44</v>
      </c>
      <c r="P87" t="s">
        <v>92</v>
      </c>
      <c r="Q87" t="s">
        <v>26</v>
      </c>
      <c r="R87" s="105">
        <f>IF(Table__192.168.1.150_Daily_Delinquency_With_Sectors[[#This Row],[Days in Arrears]] &gt; 0, Table__192.168.1.150_Daily_Delinquency_With_Sectors[[#This Row],[Outstanding Balance]],0)</f>
        <v>34666001.640000001</v>
      </c>
      <c r="S87" s="105">
        <f>IF(Table__192.168.1.150_Daily_Delinquency_With_Sectors[[#This Row],[Days in Arrears]] &gt; 30, Table__192.168.1.150_Daily_Delinquency_With_Sectors[[#This Row],[Outstanding Balance]],0)</f>
        <v>34666001.640000001</v>
      </c>
      <c r="T87" s="105">
        <f>IF(Table__192.168.1.150_Daily_Delinquency_With_Sectors[[#This Row],[Days in Arrears]] &gt; 90, Table__192.168.1.150_Daily_Delinquency_With_Sectors[[#This Row],[Outstanding Balance]],0)</f>
        <v>0</v>
      </c>
      <c r="U87" s="109">
        <f>IF(Table__192.168.1.150_Daily_Delinquency_With_Sectors[[#This Row],[Days in Arrears]] &gt;= 1,1,0)</f>
        <v>1</v>
      </c>
      <c r="V87" s="109">
        <f>IF(Table__192.168.1.150_Daily_Delinquency_With_Sectors[[#This Row],[Days in Arrears]] &gt; 30,1,0)</f>
        <v>1</v>
      </c>
      <c r="W87" s="109">
        <f>IF(Table__192.168.1.150_Daily_Delinquency_With_Sectors[[#This Row],[Days in Arrears]] &gt; 90,1,0)</f>
        <v>0</v>
      </c>
    </row>
    <row r="88" spans="1:23" x14ac:dyDescent="0.25">
      <c r="A88" t="s">
        <v>1155</v>
      </c>
      <c r="B88" t="s">
        <v>1283</v>
      </c>
      <c r="C88">
        <v>21</v>
      </c>
      <c r="D88" s="105">
        <v>30687345.84</v>
      </c>
      <c r="E88" t="s">
        <v>86</v>
      </c>
      <c r="F88" s="105">
        <v>1226227.81</v>
      </c>
      <c r="G88" s="105">
        <v>37760718.149999999</v>
      </c>
      <c r="H88" s="143">
        <v>42332.515357025462</v>
      </c>
      <c r="I88" s="143">
        <v>43437</v>
      </c>
      <c r="J88" t="s">
        <v>1156</v>
      </c>
      <c r="K88" t="s">
        <v>1280</v>
      </c>
      <c r="L88" t="s">
        <v>1280</v>
      </c>
      <c r="M88">
        <v>102267</v>
      </c>
      <c r="N88" t="s">
        <v>1154</v>
      </c>
      <c r="O88" t="s">
        <v>25</v>
      </c>
      <c r="P88" t="s">
        <v>26</v>
      </c>
      <c r="Q88" t="s">
        <v>26</v>
      </c>
      <c r="R88" s="105">
        <f>IF(Table__192.168.1.150_Daily_Delinquency_With_Sectors[[#This Row],[Days in Arrears]] &gt; 0, Table__192.168.1.150_Daily_Delinquency_With_Sectors[[#This Row],[Outstanding Balance]],0)</f>
        <v>30687345.84</v>
      </c>
      <c r="S88" s="105">
        <f>IF(Table__192.168.1.150_Daily_Delinquency_With_Sectors[[#This Row],[Days in Arrears]] &gt; 30, Table__192.168.1.150_Daily_Delinquency_With_Sectors[[#This Row],[Outstanding Balance]],0)</f>
        <v>0</v>
      </c>
      <c r="T88" s="105">
        <f>IF(Table__192.168.1.150_Daily_Delinquency_With_Sectors[[#This Row],[Days in Arrears]] &gt; 90, Table__192.168.1.150_Daily_Delinquency_With_Sectors[[#This Row],[Outstanding Balance]],0)</f>
        <v>0</v>
      </c>
      <c r="U88" s="109">
        <f>IF(Table__192.168.1.150_Daily_Delinquency_With_Sectors[[#This Row],[Days in Arrears]] &gt;= 1,1,0)</f>
        <v>1</v>
      </c>
      <c r="V88" s="109">
        <f>IF(Table__192.168.1.150_Daily_Delinquency_With_Sectors[[#This Row],[Days in Arrears]] &gt; 30,1,0)</f>
        <v>0</v>
      </c>
      <c r="W88" s="109">
        <f>IF(Table__192.168.1.150_Daily_Delinquency_With_Sectors[[#This Row],[Days in Arrears]] &gt; 90,1,0)</f>
        <v>0</v>
      </c>
    </row>
    <row r="89" spans="1:23" x14ac:dyDescent="0.25">
      <c r="A89" t="s">
        <v>1614</v>
      </c>
      <c r="B89" t="s">
        <v>1285</v>
      </c>
      <c r="C89">
        <v>-27</v>
      </c>
      <c r="D89" s="105">
        <v>9843742.1099999994</v>
      </c>
      <c r="E89" t="s">
        <v>284</v>
      </c>
      <c r="F89" s="105">
        <v>9843.74</v>
      </c>
      <c r="G89" s="105">
        <v>10829690.49</v>
      </c>
      <c r="H89" s="143">
        <v>42332.723250891206</v>
      </c>
      <c r="I89" s="143">
        <v>43425</v>
      </c>
      <c r="J89" t="s">
        <v>1615</v>
      </c>
      <c r="K89" t="s">
        <v>1616</v>
      </c>
      <c r="L89" t="s">
        <v>1280</v>
      </c>
      <c r="M89">
        <v>102271</v>
      </c>
      <c r="N89" t="s">
        <v>1601</v>
      </c>
      <c r="O89" t="s">
        <v>43</v>
      </c>
      <c r="P89" t="s">
        <v>338</v>
      </c>
      <c r="Q89" t="s">
        <v>26</v>
      </c>
      <c r="R89" s="105">
        <f>IF(Table__192.168.1.150_Daily_Delinquency_With_Sectors[[#This Row],[Days in Arrears]] &gt; 0, Table__192.168.1.150_Daily_Delinquency_With_Sectors[[#This Row],[Outstanding Balance]],0)</f>
        <v>0</v>
      </c>
      <c r="S89" s="105">
        <f>IF(Table__192.168.1.150_Daily_Delinquency_With_Sectors[[#This Row],[Days in Arrears]] &gt; 30, Table__192.168.1.150_Daily_Delinquency_With_Sectors[[#This Row],[Outstanding Balance]],0)</f>
        <v>0</v>
      </c>
      <c r="T89" s="105">
        <f>IF(Table__192.168.1.150_Daily_Delinquency_With_Sectors[[#This Row],[Days in Arrears]] &gt; 90, Table__192.168.1.150_Daily_Delinquency_With_Sectors[[#This Row],[Outstanding Balance]],0)</f>
        <v>0</v>
      </c>
      <c r="U89" s="109">
        <f>IF(Table__192.168.1.150_Daily_Delinquency_With_Sectors[[#This Row],[Days in Arrears]] &gt;= 1,1,0)</f>
        <v>0</v>
      </c>
      <c r="V89" s="109">
        <f>IF(Table__192.168.1.150_Daily_Delinquency_With_Sectors[[#This Row],[Days in Arrears]] &gt; 30,1,0)</f>
        <v>0</v>
      </c>
      <c r="W89" s="109">
        <f>IF(Table__192.168.1.150_Daily_Delinquency_With_Sectors[[#This Row],[Days in Arrears]] &gt; 90,1,0)</f>
        <v>0</v>
      </c>
    </row>
    <row r="90" spans="1:23" x14ac:dyDescent="0.25">
      <c r="A90" t="s">
        <v>660</v>
      </c>
      <c r="B90" t="s">
        <v>1284</v>
      </c>
      <c r="C90">
        <v>-7</v>
      </c>
      <c r="D90" s="105">
        <v>13473869.890000001</v>
      </c>
      <c r="E90" t="s">
        <v>1039</v>
      </c>
      <c r="F90" s="105">
        <v>296425.14</v>
      </c>
      <c r="G90" s="105">
        <v>16470243.960000001</v>
      </c>
      <c r="H90" s="143">
        <v>42333.516573692126</v>
      </c>
      <c r="I90" s="143">
        <v>43435</v>
      </c>
      <c r="J90" t="s">
        <v>661</v>
      </c>
      <c r="K90" t="s">
        <v>662</v>
      </c>
      <c r="L90" t="s">
        <v>1280</v>
      </c>
      <c r="M90">
        <v>102272</v>
      </c>
      <c r="N90" t="s">
        <v>659</v>
      </c>
      <c r="O90" t="s">
        <v>44</v>
      </c>
      <c r="P90" t="s">
        <v>75</v>
      </c>
      <c r="Q90" t="s">
        <v>26</v>
      </c>
      <c r="R90" s="105">
        <f>IF(Table__192.168.1.150_Daily_Delinquency_With_Sectors[[#This Row],[Days in Arrears]] &gt; 0, Table__192.168.1.150_Daily_Delinquency_With_Sectors[[#This Row],[Outstanding Balance]],0)</f>
        <v>0</v>
      </c>
      <c r="S90" s="105">
        <f>IF(Table__192.168.1.150_Daily_Delinquency_With_Sectors[[#This Row],[Days in Arrears]] &gt; 30, Table__192.168.1.150_Daily_Delinquency_With_Sectors[[#This Row],[Outstanding Balance]],0)</f>
        <v>0</v>
      </c>
      <c r="T90" s="105">
        <f>IF(Table__192.168.1.150_Daily_Delinquency_With_Sectors[[#This Row],[Days in Arrears]] &gt; 90, Table__192.168.1.150_Daily_Delinquency_With_Sectors[[#This Row],[Outstanding Balance]],0)</f>
        <v>0</v>
      </c>
      <c r="U90" s="109">
        <f>IF(Table__192.168.1.150_Daily_Delinquency_With_Sectors[[#This Row],[Days in Arrears]] &gt;= 1,1,0)</f>
        <v>0</v>
      </c>
      <c r="V90" s="109">
        <f>IF(Table__192.168.1.150_Daily_Delinquency_With_Sectors[[#This Row],[Days in Arrears]] &gt; 30,1,0)</f>
        <v>0</v>
      </c>
      <c r="W90" s="109">
        <f>IF(Table__192.168.1.150_Daily_Delinquency_With_Sectors[[#This Row],[Days in Arrears]] &gt; 90,1,0)</f>
        <v>0</v>
      </c>
    </row>
    <row r="91" spans="1:23" x14ac:dyDescent="0.25">
      <c r="A91" t="s">
        <v>1620</v>
      </c>
      <c r="B91" t="s">
        <v>1281</v>
      </c>
      <c r="C91">
        <v>-16</v>
      </c>
      <c r="D91" s="105">
        <v>8209036.5300000003</v>
      </c>
      <c r="E91" t="s">
        <v>1667</v>
      </c>
      <c r="F91" s="105">
        <v>124503.72</v>
      </c>
      <c r="G91" s="105">
        <v>10345064.24</v>
      </c>
      <c r="H91" s="143">
        <v>42334.710147881946</v>
      </c>
      <c r="I91" s="143">
        <v>43444</v>
      </c>
      <c r="J91" t="s">
        <v>1621</v>
      </c>
      <c r="K91" t="s">
        <v>1280</v>
      </c>
      <c r="L91" t="s">
        <v>1280</v>
      </c>
      <c r="M91">
        <v>102277</v>
      </c>
      <c r="N91" t="s">
        <v>1607</v>
      </c>
      <c r="O91" t="s">
        <v>25</v>
      </c>
      <c r="P91" t="s">
        <v>88</v>
      </c>
      <c r="Q91" t="s">
        <v>26</v>
      </c>
      <c r="R91" s="105">
        <f>IF(Table__192.168.1.150_Daily_Delinquency_With_Sectors[[#This Row],[Days in Arrears]] &gt; 0, Table__192.168.1.150_Daily_Delinquency_With_Sectors[[#This Row],[Outstanding Balance]],0)</f>
        <v>0</v>
      </c>
      <c r="S91" s="105">
        <f>IF(Table__192.168.1.150_Daily_Delinquency_With_Sectors[[#This Row],[Days in Arrears]] &gt; 30, Table__192.168.1.150_Daily_Delinquency_With_Sectors[[#This Row],[Outstanding Balance]],0)</f>
        <v>0</v>
      </c>
      <c r="T91" s="105">
        <f>IF(Table__192.168.1.150_Daily_Delinquency_With_Sectors[[#This Row],[Days in Arrears]] &gt; 90, Table__192.168.1.150_Daily_Delinquency_With_Sectors[[#This Row],[Outstanding Balance]],0)</f>
        <v>0</v>
      </c>
      <c r="U91" s="109">
        <f>IF(Table__192.168.1.150_Daily_Delinquency_With_Sectors[[#This Row],[Days in Arrears]] &gt;= 1,1,0)</f>
        <v>0</v>
      </c>
      <c r="V91" s="109">
        <f>IF(Table__192.168.1.150_Daily_Delinquency_With_Sectors[[#This Row],[Days in Arrears]] &gt; 30,1,0)</f>
        <v>0</v>
      </c>
      <c r="W91" s="109">
        <f>IF(Table__192.168.1.150_Daily_Delinquency_With_Sectors[[#This Row],[Days in Arrears]] &gt; 90,1,0)</f>
        <v>0</v>
      </c>
    </row>
    <row r="92" spans="1:23" x14ac:dyDescent="0.25">
      <c r="A92" t="s">
        <v>1622</v>
      </c>
      <c r="B92" t="s">
        <v>1283</v>
      </c>
      <c r="C92">
        <v>-8</v>
      </c>
      <c r="D92" s="105">
        <v>15188726.189999999</v>
      </c>
      <c r="E92" t="s">
        <v>963</v>
      </c>
      <c r="F92" s="105">
        <v>318963.25</v>
      </c>
      <c r="G92" s="105">
        <v>18566457.030000001</v>
      </c>
      <c r="H92" s="143">
        <v>42334.679847534724</v>
      </c>
      <c r="I92" s="143">
        <v>43436</v>
      </c>
      <c r="J92" t="s">
        <v>1623</v>
      </c>
      <c r="K92" t="s">
        <v>1280</v>
      </c>
      <c r="L92" t="s">
        <v>1280</v>
      </c>
      <c r="M92">
        <v>102279</v>
      </c>
      <c r="N92" t="s">
        <v>1602</v>
      </c>
      <c r="O92" t="s">
        <v>25</v>
      </c>
      <c r="P92" t="s">
        <v>26</v>
      </c>
      <c r="Q92" t="s">
        <v>26</v>
      </c>
      <c r="R92" s="105">
        <f>IF(Table__192.168.1.150_Daily_Delinquency_With_Sectors[[#This Row],[Days in Arrears]] &gt; 0, Table__192.168.1.150_Daily_Delinquency_With_Sectors[[#This Row],[Outstanding Balance]],0)</f>
        <v>0</v>
      </c>
      <c r="S92" s="105">
        <f>IF(Table__192.168.1.150_Daily_Delinquency_With_Sectors[[#This Row],[Days in Arrears]] &gt; 30, Table__192.168.1.150_Daily_Delinquency_With_Sectors[[#This Row],[Outstanding Balance]],0)</f>
        <v>0</v>
      </c>
      <c r="T92" s="105">
        <f>IF(Table__192.168.1.150_Daily_Delinquency_With_Sectors[[#This Row],[Days in Arrears]] &gt; 90, Table__192.168.1.150_Daily_Delinquency_With_Sectors[[#This Row],[Outstanding Balance]],0)</f>
        <v>0</v>
      </c>
      <c r="U92" s="109">
        <f>IF(Table__192.168.1.150_Daily_Delinquency_With_Sectors[[#This Row],[Days in Arrears]] &gt;= 1,1,0)</f>
        <v>0</v>
      </c>
      <c r="V92" s="109">
        <f>IF(Table__192.168.1.150_Daily_Delinquency_With_Sectors[[#This Row],[Days in Arrears]] &gt; 30,1,0)</f>
        <v>0</v>
      </c>
      <c r="W92" s="109">
        <f>IF(Table__192.168.1.150_Daily_Delinquency_With_Sectors[[#This Row],[Days in Arrears]] &gt; 90,1,0)</f>
        <v>0</v>
      </c>
    </row>
    <row r="93" spans="1:23" x14ac:dyDescent="0.25">
      <c r="A93" t="s">
        <v>1625</v>
      </c>
      <c r="B93" t="s">
        <v>1284</v>
      </c>
      <c r="C93">
        <v>20</v>
      </c>
      <c r="D93" s="105">
        <v>873594.96</v>
      </c>
      <c r="E93" t="s">
        <v>1467</v>
      </c>
      <c r="F93" s="105">
        <v>16449.400000000001</v>
      </c>
      <c r="G93" s="105">
        <v>899567.69</v>
      </c>
      <c r="H93" s="143">
        <v>42335.543069016203</v>
      </c>
      <c r="I93" s="143">
        <v>43073</v>
      </c>
      <c r="J93" t="s">
        <v>1626</v>
      </c>
      <c r="K93" t="s">
        <v>1627</v>
      </c>
      <c r="L93" t="s">
        <v>1280</v>
      </c>
      <c r="M93">
        <v>102282</v>
      </c>
      <c r="N93" t="s">
        <v>1603</v>
      </c>
      <c r="O93" t="s">
        <v>44</v>
      </c>
      <c r="P93" t="s">
        <v>75</v>
      </c>
      <c r="Q93" t="s">
        <v>26</v>
      </c>
      <c r="R93" s="105">
        <f>IF(Table__192.168.1.150_Daily_Delinquency_With_Sectors[[#This Row],[Days in Arrears]] &gt; 0, Table__192.168.1.150_Daily_Delinquency_With_Sectors[[#This Row],[Outstanding Balance]],0)</f>
        <v>873594.96</v>
      </c>
      <c r="S93" s="105">
        <f>IF(Table__192.168.1.150_Daily_Delinquency_With_Sectors[[#This Row],[Days in Arrears]] &gt; 30, Table__192.168.1.150_Daily_Delinquency_With_Sectors[[#This Row],[Outstanding Balance]],0)</f>
        <v>0</v>
      </c>
      <c r="T93" s="105">
        <f>IF(Table__192.168.1.150_Daily_Delinquency_With_Sectors[[#This Row],[Days in Arrears]] &gt; 90, Table__192.168.1.150_Daily_Delinquency_With_Sectors[[#This Row],[Outstanding Balance]],0)</f>
        <v>0</v>
      </c>
      <c r="U93" s="109">
        <f>IF(Table__192.168.1.150_Daily_Delinquency_With_Sectors[[#This Row],[Days in Arrears]] &gt;= 1,1,0)</f>
        <v>1</v>
      </c>
      <c r="V93" s="109">
        <f>IF(Table__192.168.1.150_Daily_Delinquency_With_Sectors[[#This Row],[Days in Arrears]] &gt; 30,1,0)</f>
        <v>0</v>
      </c>
      <c r="W93" s="109">
        <f>IF(Table__192.168.1.150_Daily_Delinquency_With_Sectors[[#This Row],[Days in Arrears]] &gt; 90,1,0)</f>
        <v>0</v>
      </c>
    </row>
    <row r="94" spans="1:23" x14ac:dyDescent="0.25">
      <c r="A94" t="s">
        <v>803</v>
      </c>
      <c r="B94" t="s">
        <v>1283</v>
      </c>
      <c r="C94">
        <v>14</v>
      </c>
      <c r="D94" s="105">
        <v>3603961.3</v>
      </c>
      <c r="E94" t="s">
        <v>1191</v>
      </c>
      <c r="F94" s="105">
        <v>126360.03</v>
      </c>
      <c r="G94" s="105">
        <v>3761407.72</v>
      </c>
      <c r="H94" s="143">
        <v>42335.629440856479</v>
      </c>
      <c r="I94" s="143">
        <v>43079</v>
      </c>
      <c r="J94" t="s">
        <v>804</v>
      </c>
      <c r="K94" t="s">
        <v>805</v>
      </c>
      <c r="L94" t="s">
        <v>1280</v>
      </c>
      <c r="M94">
        <v>102284</v>
      </c>
      <c r="N94" t="s">
        <v>802</v>
      </c>
      <c r="O94" t="s">
        <v>36</v>
      </c>
      <c r="P94" t="s">
        <v>118</v>
      </c>
      <c r="Q94" t="s">
        <v>119</v>
      </c>
      <c r="R94" s="105">
        <f>IF(Table__192.168.1.150_Daily_Delinquency_With_Sectors[[#This Row],[Days in Arrears]] &gt; 0, Table__192.168.1.150_Daily_Delinquency_With_Sectors[[#This Row],[Outstanding Balance]],0)</f>
        <v>3603961.3</v>
      </c>
      <c r="S94" s="105">
        <f>IF(Table__192.168.1.150_Daily_Delinquency_With_Sectors[[#This Row],[Days in Arrears]] &gt; 30, Table__192.168.1.150_Daily_Delinquency_With_Sectors[[#This Row],[Outstanding Balance]],0)</f>
        <v>0</v>
      </c>
      <c r="T94" s="105">
        <f>IF(Table__192.168.1.150_Daily_Delinquency_With_Sectors[[#This Row],[Days in Arrears]] &gt; 90, Table__192.168.1.150_Daily_Delinquency_With_Sectors[[#This Row],[Outstanding Balance]],0)</f>
        <v>0</v>
      </c>
      <c r="U94" s="109">
        <f>IF(Table__192.168.1.150_Daily_Delinquency_With_Sectors[[#This Row],[Days in Arrears]] &gt;= 1,1,0)</f>
        <v>1</v>
      </c>
      <c r="V94" s="109">
        <f>IF(Table__192.168.1.150_Daily_Delinquency_With_Sectors[[#This Row],[Days in Arrears]] &gt; 30,1,0)</f>
        <v>0</v>
      </c>
      <c r="W94" s="109">
        <f>IF(Table__192.168.1.150_Daily_Delinquency_With_Sectors[[#This Row],[Days in Arrears]] &gt; 90,1,0)</f>
        <v>0</v>
      </c>
    </row>
    <row r="95" spans="1:23" x14ac:dyDescent="0.25">
      <c r="A95" t="s">
        <v>538</v>
      </c>
      <c r="B95" t="s">
        <v>1284</v>
      </c>
      <c r="C95">
        <v>6</v>
      </c>
      <c r="D95" s="105">
        <v>35097849.229999997</v>
      </c>
      <c r="E95" t="s">
        <v>546</v>
      </c>
      <c r="F95" s="105">
        <v>1050865.93</v>
      </c>
      <c r="G95" s="105">
        <v>43451646.229999997</v>
      </c>
      <c r="H95" s="143">
        <v>42338.701221331015</v>
      </c>
      <c r="I95" s="143">
        <v>43452</v>
      </c>
      <c r="J95" t="s">
        <v>539</v>
      </c>
      <c r="K95" t="s">
        <v>540</v>
      </c>
      <c r="L95" t="s">
        <v>1280</v>
      </c>
      <c r="M95">
        <v>102288</v>
      </c>
      <c r="N95" t="s">
        <v>535</v>
      </c>
      <c r="O95" t="s">
        <v>25</v>
      </c>
      <c r="P95" t="s">
        <v>26</v>
      </c>
      <c r="Q95" t="s">
        <v>26</v>
      </c>
      <c r="R95" s="105">
        <f>IF(Table__192.168.1.150_Daily_Delinquency_With_Sectors[[#This Row],[Days in Arrears]] &gt; 0, Table__192.168.1.150_Daily_Delinquency_With_Sectors[[#This Row],[Outstanding Balance]],0)</f>
        <v>35097849.229999997</v>
      </c>
      <c r="S95" s="105">
        <f>IF(Table__192.168.1.150_Daily_Delinquency_With_Sectors[[#This Row],[Days in Arrears]] &gt; 30, Table__192.168.1.150_Daily_Delinquency_With_Sectors[[#This Row],[Outstanding Balance]],0)</f>
        <v>0</v>
      </c>
      <c r="T95" s="105">
        <f>IF(Table__192.168.1.150_Daily_Delinquency_With_Sectors[[#This Row],[Days in Arrears]] &gt; 90, Table__192.168.1.150_Daily_Delinquency_With_Sectors[[#This Row],[Outstanding Balance]],0)</f>
        <v>0</v>
      </c>
      <c r="U95" s="109">
        <f>IF(Table__192.168.1.150_Daily_Delinquency_With_Sectors[[#This Row],[Days in Arrears]] &gt;= 1,1,0)</f>
        <v>1</v>
      </c>
      <c r="V95" s="109">
        <f>IF(Table__192.168.1.150_Daily_Delinquency_With_Sectors[[#This Row],[Days in Arrears]] &gt; 30,1,0)</f>
        <v>0</v>
      </c>
      <c r="W95" s="109">
        <f>IF(Table__192.168.1.150_Daily_Delinquency_With_Sectors[[#This Row],[Days in Arrears]] &gt; 90,1,0)</f>
        <v>0</v>
      </c>
    </row>
    <row r="96" spans="1:23" x14ac:dyDescent="0.25">
      <c r="A96" t="s">
        <v>370</v>
      </c>
      <c r="B96" t="s">
        <v>1284</v>
      </c>
      <c r="C96">
        <v>9</v>
      </c>
      <c r="D96" s="105">
        <v>34144992.619999997</v>
      </c>
      <c r="E96" t="s">
        <v>1039</v>
      </c>
      <c r="F96" s="105">
        <v>264645.90999999997</v>
      </c>
      <c r="G96" s="105">
        <v>41501622.07</v>
      </c>
      <c r="H96" s="143">
        <v>42339.50013630787</v>
      </c>
      <c r="I96" s="143">
        <v>43449</v>
      </c>
      <c r="J96" t="s">
        <v>371</v>
      </c>
      <c r="K96" t="s">
        <v>372</v>
      </c>
      <c r="L96" t="s">
        <v>1280</v>
      </c>
      <c r="M96">
        <v>102293</v>
      </c>
      <c r="N96" t="s">
        <v>368</v>
      </c>
      <c r="O96" t="s">
        <v>44</v>
      </c>
      <c r="P96" t="s">
        <v>75</v>
      </c>
      <c r="Q96" t="s">
        <v>26</v>
      </c>
      <c r="R96" s="105">
        <f>IF(Table__192.168.1.150_Daily_Delinquency_With_Sectors[[#This Row],[Days in Arrears]] &gt; 0, Table__192.168.1.150_Daily_Delinquency_With_Sectors[[#This Row],[Outstanding Balance]],0)</f>
        <v>34144992.619999997</v>
      </c>
      <c r="S96" s="105">
        <f>IF(Table__192.168.1.150_Daily_Delinquency_With_Sectors[[#This Row],[Days in Arrears]] &gt; 30, Table__192.168.1.150_Daily_Delinquency_With_Sectors[[#This Row],[Outstanding Balance]],0)</f>
        <v>0</v>
      </c>
      <c r="T96" s="105">
        <f>IF(Table__192.168.1.150_Daily_Delinquency_With_Sectors[[#This Row],[Days in Arrears]] &gt; 90, Table__192.168.1.150_Daily_Delinquency_With_Sectors[[#This Row],[Outstanding Balance]],0)</f>
        <v>0</v>
      </c>
      <c r="U96" s="109">
        <f>IF(Table__192.168.1.150_Daily_Delinquency_With_Sectors[[#This Row],[Days in Arrears]] &gt;= 1,1,0)</f>
        <v>1</v>
      </c>
      <c r="V96" s="109">
        <f>IF(Table__192.168.1.150_Daily_Delinquency_With_Sectors[[#This Row],[Days in Arrears]] &gt; 30,1,0)</f>
        <v>0</v>
      </c>
      <c r="W96" s="109">
        <f>IF(Table__192.168.1.150_Daily_Delinquency_With_Sectors[[#This Row],[Days in Arrears]] &gt; 90,1,0)</f>
        <v>0</v>
      </c>
    </row>
    <row r="97" spans="1:23" x14ac:dyDescent="0.25">
      <c r="A97" t="s">
        <v>501</v>
      </c>
      <c r="B97" t="s">
        <v>1281</v>
      </c>
      <c r="C97">
        <v>158</v>
      </c>
      <c r="D97" s="105">
        <v>6286514.0700000003</v>
      </c>
      <c r="E97" t="s">
        <v>5725</v>
      </c>
      <c r="F97" s="105">
        <v>207927.89</v>
      </c>
      <c r="G97" s="105">
        <v>7030612.0700000003</v>
      </c>
      <c r="H97" s="143">
        <v>42339.717164895832</v>
      </c>
      <c r="I97" s="143">
        <v>43085</v>
      </c>
      <c r="J97" t="s">
        <v>502</v>
      </c>
      <c r="K97" t="s">
        <v>503</v>
      </c>
      <c r="L97" t="s">
        <v>1280</v>
      </c>
      <c r="M97">
        <v>102295</v>
      </c>
      <c r="N97" t="s">
        <v>500</v>
      </c>
      <c r="O97" t="s">
        <v>36</v>
      </c>
      <c r="P97" t="s">
        <v>97</v>
      </c>
      <c r="Q97" t="s">
        <v>98</v>
      </c>
      <c r="R97" s="105">
        <f>IF(Table__192.168.1.150_Daily_Delinquency_With_Sectors[[#This Row],[Days in Arrears]] &gt; 0, Table__192.168.1.150_Daily_Delinquency_With_Sectors[[#This Row],[Outstanding Balance]],0)</f>
        <v>6286514.0700000003</v>
      </c>
      <c r="S97" s="105">
        <f>IF(Table__192.168.1.150_Daily_Delinquency_With_Sectors[[#This Row],[Days in Arrears]] &gt; 30, Table__192.168.1.150_Daily_Delinquency_With_Sectors[[#This Row],[Outstanding Balance]],0)</f>
        <v>6286514.0700000003</v>
      </c>
      <c r="T97" s="105">
        <f>IF(Table__192.168.1.150_Daily_Delinquency_With_Sectors[[#This Row],[Days in Arrears]] &gt; 90, Table__192.168.1.150_Daily_Delinquency_With_Sectors[[#This Row],[Outstanding Balance]],0)</f>
        <v>6286514.0700000003</v>
      </c>
      <c r="U97" s="109">
        <f>IF(Table__192.168.1.150_Daily_Delinquency_With_Sectors[[#This Row],[Days in Arrears]] &gt;= 1,1,0)</f>
        <v>1</v>
      </c>
      <c r="V97" s="109">
        <f>IF(Table__192.168.1.150_Daily_Delinquency_With_Sectors[[#This Row],[Days in Arrears]] &gt; 30,1,0)</f>
        <v>1</v>
      </c>
      <c r="W97" s="109">
        <f>IF(Table__192.168.1.150_Daily_Delinquency_With_Sectors[[#This Row],[Days in Arrears]] &gt; 90,1,0)</f>
        <v>1</v>
      </c>
    </row>
    <row r="98" spans="1:23" x14ac:dyDescent="0.25">
      <c r="A98" t="s">
        <v>1632</v>
      </c>
      <c r="B98" t="s">
        <v>1284</v>
      </c>
      <c r="C98">
        <v>-11</v>
      </c>
      <c r="D98" s="105">
        <v>29312406.25</v>
      </c>
      <c r="E98" t="s">
        <v>491</v>
      </c>
      <c r="F98" s="105">
        <v>527623.31000000006</v>
      </c>
      <c r="G98" s="105">
        <v>35831018.479999997</v>
      </c>
      <c r="H98" s="143">
        <v>42340.740084606485</v>
      </c>
      <c r="I98" s="143">
        <v>43439</v>
      </c>
      <c r="J98" t="s">
        <v>1633</v>
      </c>
      <c r="K98" t="s">
        <v>1634</v>
      </c>
      <c r="L98" t="s">
        <v>1280</v>
      </c>
      <c r="M98">
        <v>102299</v>
      </c>
      <c r="N98" t="s">
        <v>1631</v>
      </c>
      <c r="O98" t="s">
        <v>44</v>
      </c>
      <c r="P98" t="s">
        <v>75</v>
      </c>
      <c r="Q98" t="s">
        <v>26</v>
      </c>
      <c r="R98" s="105">
        <f>IF(Table__192.168.1.150_Daily_Delinquency_With_Sectors[[#This Row],[Days in Arrears]] &gt; 0, Table__192.168.1.150_Daily_Delinquency_With_Sectors[[#This Row],[Outstanding Balance]],0)</f>
        <v>0</v>
      </c>
      <c r="S98" s="105">
        <f>IF(Table__192.168.1.150_Daily_Delinquency_With_Sectors[[#This Row],[Days in Arrears]] &gt; 30, Table__192.168.1.150_Daily_Delinquency_With_Sectors[[#This Row],[Outstanding Balance]],0)</f>
        <v>0</v>
      </c>
      <c r="T98" s="105">
        <f>IF(Table__192.168.1.150_Daily_Delinquency_With_Sectors[[#This Row],[Days in Arrears]] &gt; 90, Table__192.168.1.150_Daily_Delinquency_With_Sectors[[#This Row],[Outstanding Balance]],0)</f>
        <v>0</v>
      </c>
      <c r="U98" s="109">
        <f>IF(Table__192.168.1.150_Daily_Delinquency_With_Sectors[[#This Row],[Days in Arrears]] &gt;= 1,1,0)</f>
        <v>0</v>
      </c>
      <c r="V98" s="109">
        <f>IF(Table__192.168.1.150_Daily_Delinquency_With_Sectors[[#This Row],[Days in Arrears]] &gt; 30,1,0)</f>
        <v>0</v>
      </c>
      <c r="W98" s="109">
        <f>IF(Table__192.168.1.150_Daily_Delinquency_With_Sectors[[#This Row],[Days in Arrears]] &gt; 90,1,0)</f>
        <v>0</v>
      </c>
    </row>
    <row r="99" spans="1:23" x14ac:dyDescent="0.25">
      <c r="A99" t="s">
        <v>976</v>
      </c>
      <c r="B99" t="s">
        <v>1281</v>
      </c>
      <c r="C99">
        <v>-17</v>
      </c>
      <c r="D99" s="105">
        <v>1203339.55</v>
      </c>
      <c r="E99" t="s">
        <v>4684</v>
      </c>
      <c r="F99" s="105">
        <v>16846.75</v>
      </c>
      <c r="G99" s="105">
        <v>1245456.43</v>
      </c>
      <c r="H99" s="143">
        <v>42349.715272800924</v>
      </c>
      <c r="I99" s="143">
        <v>43080</v>
      </c>
      <c r="J99" t="s">
        <v>977</v>
      </c>
      <c r="K99" t="s">
        <v>978</v>
      </c>
      <c r="L99" t="s">
        <v>1280</v>
      </c>
      <c r="M99">
        <v>102318</v>
      </c>
      <c r="N99" t="s">
        <v>975</v>
      </c>
      <c r="O99" t="s">
        <v>46</v>
      </c>
      <c r="P99" t="s">
        <v>46</v>
      </c>
      <c r="Q99" t="s">
        <v>26</v>
      </c>
      <c r="R99" s="105">
        <f>IF(Table__192.168.1.150_Daily_Delinquency_With_Sectors[[#This Row],[Days in Arrears]] &gt; 0, Table__192.168.1.150_Daily_Delinquency_With_Sectors[[#This Row],[Outstanding Balance]],0)</f>
        <v>0</v>
      </c>
      <c r="S99" s="105">
        <f>IF(Table__192.168.1.150_Daily_Delinquency_With_Sectors[[#This Row],[Days in Arrears]] &gt; 30, Table__192.168.1.150_Daily_Delinquency_With_Sectors[[#This Row],[Outstanding Balance]],0)</f>
        <v>0</v>
      </c>
      <c r="T99" s="105">
        <f>IF(Table__192.168.1.150_Daily_Delinquency_With_Sectors[[#This Row],[Days in Arrears]] &gt; 90, Table__192.168.1.150_Daily_Delinquency_With_Sectors[[#This Row],[Outstanding Balance]],0)</f>
        <v>0</v>
      </c>
      <c r="U99" s="109">
        <f>IF(Table__192.168.1.150_Daily_Delinquency_With_Sectors[[#This Row],[Days in Arrears]] &gt;= 1,1,0)</f>
        <v>0</v>
      </c>
      <c r="V99" s="109">
        <f>IF(Table__192.168.1.150_Daily_Delinquency_With_Sectors[[#This Row],[Days in Arrears]] &gt; 30,1,0)</f>
        <v>0</v>
      </c>
      <c r="W99" s="109">
        <f>IF(Table__192.168.1.150_Daily_Delinquency_With_Sectors[[#This Row],[Days in Arrears]] &gt; 90,1,0)</f>
        <v>0</v>
      </c>
    </row>
    <row r="100" spans="1:23" x14ac:dyDescent="0.25">
      <c r="A100" t="s">
        <v>1133</v>
      </c>
      <c r="B100" t="s">
        <v>1283</v>
      </c>
      <c r="C100">
        <v>-18</v>
      </c>
      <c r="D100" s="105">
        <v>29227278.370000001</v>
      </c>
      <c r="E100" t="s">
        <v>1191</v>
      </c>
      <c r="F100" s="105">
        <v>321500.06</v>
      </c>
      <c r="G100" s="105">
        <v>35726959.539999999</v>
      </c>
      <c r="H100" s="143">
        <v>42350.529940775465</v>
      </c>
      <c r="I100" s="143">
        <v>43446</v>
      </c>
      <c r="J100" t="s">
        <v>1134</v>
      </c>
      <c r="K100" t="s">
        <v>1716</v>
      </c>
      <c r="L100" t="s">
        <v>1280</v>
      </c>
      <c r="M100">
        <v>102319</v>
      </c>
      <c r="N100" t="s">
        <v>1129</v>
      </c>
      <c r="O100" t="s">
        <v>44</v>
      </c>
      <c r="P100" t="s">
        <v>75</v>
      </c>
      <c r="Q100" t="s">
        <v>26</v>
      </c>
      <c r="R100" s="105">
        <f>IF(Table__192.168.1.150_Daily_Delinquency_With_Sectors[[#This Row],[Days in Arrears]] &gt; 0, Table__192.168.1.150_Daily_Delinquency_With_Sectors[[#This Row],[Outstanding Balance]],0)</f>
        <v>0</v>
      </c>
      <c r="S100" s="105">
        <f>IF(Table__192.168.1.150_Daily_Delinquency_With_Sectors[[#This Row],[Days in Arrears]] &gt; 30, Table__192.168.1.150_Daily_Delinquency_With_Sectors[[#This Row],[Outstanding Balance]],0)</f>
        <v>0</v>
      </c>
      <c r="T100" s="105">
        <f>IF(Table__192.168.1.150_Daily_Delinquency_With_Sectors[[#This Row],[Days in Arrears]] &gt; 90, Table__192.168.1.150_Daily_Delinquency_With_Sectors[[#This Row],[Outstanding Balance]],0)</f>
        <v>0</v>
      </c>
      <c r="U100" s="109">
        <f>IF(Table__192.168.1.150_Daily_Delinquency_With_Sectors[[#This Row],[Days in Arrears]] &gt;= 1,1,0)</f>
        <v>0</v>
      </c>
      <c r="V100" s="109">
        <f>IF(Table__192.168.1.150_Daily_Delinquency_With_Sectors[[#This Row],[Days in Arrears]] &gt; 30,1,0)</f>
        <v>0</v>
      </c>
      <c r="W100" s="109">
        <f>IF(Table__192.168.1.150_Daily_Delinquency_With_Sectors[[#This Row],[Days in Arrears]] &gt; 90,1,0)</f>
        <v>0</v>
      </c>
    </row>
    <row r="101" spans="1:23" x14ac:dyDescent="0.25">
      <c r="A101" t="s">
        <v>1659</v>
      </c>
      <c r="B101" t="s">
        <v>1281</v>
      </c>
      <c r="C101">
        <v>157</v>
      </c>
      <c r="D101" s="105">
        <v>1139260.83</v>
      </c>
      <c r="E101" t="s">
        <v>90</v>
      </c>
      <c r="F101" s="105">
        <v>39874.129999999997</v>
      </c>
      <c r="G101" s="105">
        <v>1179134.96</v>
      </c>
      <c r="H101" s="143">
        <v>42352.446862847224</v>
      </c>
      <c r="I101" s="143">
        <v>42903</v>
      </c>
      <c r="J101" t="s">
        <v>1660</v>
      </c>
      <c r="K101" t="s">
        <v>1661</v>
      </c>
      <c r="L101" t="s">
        <v>1280</v>
      </c>
      <c r="M101">
        <v>102320</v>
      </c>
      <c r="N101" t="s">
        <v>1656</v>
      </c>
      <c r="O101" t="s">
        <v>45</v>
      </c>
      <c r="P101" t="s">
        <v>45</v>
      </c>
      <c r="Q101" t="s">
        <v>1658</v>
      </c>
      <c r="R101" s="105">
        <f>IF(Table__192.168.1.150_Daily_Delinquency_With_Sectors[[#This Row],[Days in Arrears]] &gt; 0, Table__192.168.1.150_Daily_Delinquency_With_Sectors[[#This Row],[Outstanding Balance]],0)</f>
        <v>1139260.83</v>
      </c>
      <c r="S101" s="105">
        <f>IF(Table__192.168.1.150_Daily_Delinquency_With_Sectors[[#This Row],[Days in Arrears]] &gt; 30, Table__192.168.1.150_Daily_Delinquency_With_Sectors[[#This Row],[Outstanding Balance]],0)</f>
        <v>1139260.83</v>
      </c>
      <c r="T101" s="105">
        <f>IF(Table__192.168.1.150_Daily_Delinquency_With_Sectors[[#This Row],[Days in Arrears]] &gt; 90, Table__192.168.1.150_Daily_Delinquency_With_Sectors[[#This Row],[Outstanding Balance]],0)</f>
        <v>1139260.83</v>
      </c>
      <c r="U101" s="109">
        <f>IF(Table__192.168.1.150_Daily_Delinquency_With_Sectors[[#This Row],[Days in Arrears]] &gt;= 1,1,0)</f>
        <v>1</v>
      </c>
      <c r="V101" s="109">
        <f>IF(Table__192.168.1.150_Daily_Delinquency_With_Sectors[[#This Row],[Days in Arrears]] &gt; 30,1,0)</f>
        <v>1</v>
      </c>
      <c r="W101" s="109">
        <f>IF(Table__192.168.1.150_Daily_Delinquency_With_Sectors[[#This Row],[Days in Arrears]] &gt; 90,1,0)</f>
        <v>1</v>
      </c>
    </row>
    <row r="102" spans="1:23" x14ac:dyDescent="0.25">
      <c r="A102" t="s">
        <v>608</v>
      </c>
      <c r="B102" t="s">
        <v>1841</v>
      </c>
      <c r="C102">
        <v>39</v>
      </c>
      <c r="D102" s="105">
        <v>23772661.25</v>
      </c>
      <c r="E102" t="s">
        <v>5725</v>
      </c>
      <c r="F102" s="105">
        <v>1386697.91</v>
      </c>
      <c r="G102" s="105">
        <v>29870318.100000001</v>
      </c>
      <c r="H102" s="143">
        <v>42353.615307094908</v>
      </c>
      <c r="I102" s="143">
        <v>43449</v>
      </c>
      <c r="J102" t="s">
        <v>609</v>
      </c>
      <c r="K102" t="s">
        <v>610</v>
      </c>
      <c r="L102" t="s">
        <v>1280</v>
      </c>
      <c r="M102">
        <v>102325</v>
      </c>
      <c r="N102" t="s">
        <v>606</v>
      </c>
      <c r="O102" t="s">
        <v>27</v>
      </c>
      <c r="P102" t="s">
        <v>26</v>
      </c>
      <c r="Q102" t="s">
        <v>26</v>
      </c>
      <c r="R102" s="105">
        <f>IF(Table__192.168.1.150_Daily_Delinquency_With_Sectors[[#This Row],[Days in Arrears]] &gt; 0, Table__192.168.1.150_Daily_Delinquency_With_Sectors[[#This Row],[Outstanding Balance]],0)</f>
        <v>23772661.25</v>
      </c>
      <c r="S102" s="105">
        <f>IF(Table__192.168.1.150_Daily_Delinquency_With_Sectors[[#This Row],[Days in Arrears]] &gt; 30, Table__192.168.1.150_Daily_Delinquency_With_Sectors[[#This Row],[Outstanding Balance]],0)</f>
        <v>23772661.25</v>
      </c>
      <c r="T102" s="105">
        <f>IF(Table__192.168.1.150_Daily_Delinquency_With_Sectors[[#This Row],[Days in Arrears]] &gt; 90, Table__192.168.1.150_Daily_Delinquency_With_Sectors[[#This Row],[Outstanding Balance]],0)</f>
        <v>0</v>
      </c>
      <c r="U102" s="109">
        <f>IF(Table__192.168.1.150_Daily_Delinquency_With_Sectors[[#This Row],[Days in Arrears]] &gt;= 1,1,0)</f>
        <v>1</v>
      </c>
      <c r="V102" s="109">
        <f>IF(Table__192.168.1.150_Daily_Delinquency_With_Sectors[[#This Row],[Days in Arrears]] &gt; 30,1,0)</f>
        <v>1</v>
      </c>
      <c r="W102" s="109">
        <f>IF(Table__192.168.1.150_Daily_Delinquency_With_Sectors[[#This Row],[Days in Arrears]] &gt; 90,1,0)</f>
        <v>0</v>
      </c>
    </row>
    <row r="103" spans="1:23" x14ac:dyDescent="0.25">
      <c r="A103" t="s">
        <v>656</v>
      </c>
      <c r="B103" t="s">
        <v>1285</v>
      </c>
      <c r="C103">
        <v>-27</v>
      </c>
      <c r="D103" s="105">
        <v>1939877.81</v>
      </c>
      <c r="E103" t="s">
        <v>284</v>
      </c>
      <c r="F103" s="105">
        <v>1939.88</v>
      </c>
      <c r="G103" s="105">
        <v>2018577.34</v>
      </c>
      <c r="H103" s="143">
        <v>42353.648289930556</v>
      </c>
      <c r="I103" s="143">
        <v>43455</v>
      </c>
      <c r="J103" t="s">
        <v>657</v>
      </c>
      <c r="K103" t="s">
        <v>658</v>
      </c>
      <c r="L103" t="s">
        <v>1280</v>
      </c>
      <c r="M103">
        <v>102326</v>
      </c>
      <c r="N103" t="s">
        <v>650</v>
      </c>
      <c r="O103" t="s">
        <v>43</v>
      </c>
      <c r="P103" t="s">
        <v>338</v>
      </c>
      <c r="Q103" t="s">
        <v>339</v>
      </c>
      <c r="R103" s="105">
        <f>IF(Table__192.168.1.150_Daily_Delinquency_With_Sectors[[#This Row],[Days in Arrears]] &gt; 0, Table__192.168.1.150_Daily_Delinquency_With_Sectors[[#This Row],[Outstanding Balance]],0)</f>
        <v>0</v>
      </c>
      <c r="S103" s="105">
        <f>IF(Table__192.168.1.150_Daily_Delinquency_With_Sectors[[#This Row],[Days in Arrears]] &gt; 30, Table__192.168.1.150_Daily_Delinquency_With_Sectors[[#This Row],[Outstanding Balance]],0)</f>
        <v>0</v>
      </c>
      <c r="T103" s="105">
        <f>IF(Table__192.168.1.150_Daily_Delinquency_With_Sectors[[#This Row],[Days in Arrears]] &gt; 90, Table__192.168.1.150_Daily_Delinquency_With_Sectors[[#This Row],[Outstanding Balance]],0)</f>
        <v>0</v>
      </c>
      <c r="U103" s="109">
        <f>IF(Table__192.168.1.150_Daily_Delinquency_With_Sectors[[#This Row],[Days in Arrears]] &gt;= 1,1,0)</f>
        <v>0</v>
      </c>
      <c r="V103" s="109">
        <f>IF(Table__192.168.1.150_Daily_Delinquency_With_Sectors[[#This Row],[Days in Arrears]] &gt; 30,1,0)</f>
        <v>0</v>
      </c>
      <c r="W103" s="109">
        <f>IF(Table__192.168.1.150_Daily_Delinquency_With_Sectors[[#This Row],[Days in Arrears]] &gt; 90,1,0)</f>
        <v>0</v>
      </c>
    </row>
    <row r="104" spans="1:23" x14ac:dyDescent="0.25">
      <c r="A104" t="s">
        <v>567</v>
      </c>
      <c r="B104" t="s">
        <v>1284</v>
      </c>
      <c r="C104">
        <v>39</v>
      </c>
      <c r="D104" s="105">
        <v>1306377.28</v>
      </c>
      <c r="E104" t="s">
        <v>1039</v>
      </c>
      <c r="F104" s="105">
        <v>36672.959999999999</v>
      </c>
      <c r="G104" s="105">
        <v>1362580.57</v>
      </c>
      <c r="H104" s="143">
        <v>42353.74308310185</v>
      </c>
      <c r="I104" s="143">
        <v>43084</v>
      </c>
      <c r="J104" t="s">
        <v>568</v>
      </c>
      <c r="K104" t="s">
        <v>569</v>
      </c>
      <c r="L104" t="s">
        <v>1280</v>
      </c>
      <c r="M104">
        <v>102331</v>
      </c>
      <c r="N104" t="s">
        <v>566</v>
      </c>
      <c r="O104" t="s">
        <v>44</v>
      </c>
      <c r="P104" t="s">
        <v>75</v>
      </c>
      <c r="Q104" t="s">
        <v>26</v>
      </c>
      <c r="R104" s="105">
        <f>IF(Table__192.168.1.150_Daily_Delinquency_With_Sectors[[#This Row],[Days in Arrears]] &gt; 0, Table__192.168.1.150_Daily_Delinquency_With_Sectors[[#This Row],[Outstanding Balance]],0)</f>
        <v>1306377.28</v>
      </c>
      <c r="S104" s="105">
        <f>IF(Table__192.168.1.150_Daily_Delinquency_With_Sectors[[#This Row],[Days in Arrears]] &gt; 30, Table__192.168.1.150_Daily_Delinquency_With_Sectors[[#This Row],[Outstanding Balance]],0)</f>
        <v>1306377.28</v>
      </c>
      <c r="T104" s="105">
        <f>IF(Table__192.168.1.150_Daily_Delinquency_With_Sectors[[#This Row],[Days in Arrears]] &gt; 90, Table__192.168.1.150_Daily_Delinquency_With_Sectors[[#This Row],[Outstanding Balance]],0)</f>
        <v>0</v>
      </c>
      <c r="U104" s="109">
        <f>IF(Table__192.168.1.150_Daily_Delinquency_With_Sectors[[#This Row],[Days in Arrears]] &gt;= 1,1,0)</f>
        <v>1</v>
      </c>
      <c r="V104" s="109">
        <f>IF(Table__192.168.1.150_Daily_Delinquency_With_Sectors[[#This Row],[Days in Arrears]] &gt; 30,1,0)</f>
        <v>1</v>
      </c>
      <c r="W104" s="109">
        <f>IF(Table__192.168.1.150_Daily_Delinquency_With_Sectors[[#This Row],[Days in Arrears]] &gt; 90,1,0)</f>
        <v>0</v>
      </c>
    </row>
    <row r="105" spans="1:23" x14ac:dyDescent="0.25">
      <c r="A105" t="s">
        <v>155</v>
      </c>
      <c r="B105" t="s">
        <v>1283</v>
      </c>
      <c r="C105">
        <v>0</v>
      </c>
      <c r="D105" s="105">
        <v>6831779.8700000001</v>
      </c>
      <c r="E105" t="s">
        <v>86</v>
      </c>
      <c r="F105" s="105">
        <v>198121.62</v>
      </c>
      <c r="G105" s="105">
        <v>7140724.4000000004</v>
      </c>
      <c r="H105" s="143">
        <v>42354.499002662036</v>
      </c>
      <c r="I105" s="143">
        <v>43093</v>
      </c>
      <c r="J105" t="s">
        <v>156</v>
      </c>
      <c r="K105" t="s">
        <v>157</v>
      </c>
      <c r="L105" t="s">
        <v>158</v>
      </c>
      <c r="M105">
        <v>102332</v>
      </c>
      <c r="N105" t="s">
        <v>154</v>
      </c>
      <c r="O105" t="s">
        <v>25</v>
      </c>
      <c r="P105" t="s">
        <v>103</v>
      </c>
      <c r="Q105" t="s">
        <v>26</v>
      </c>
      <c r="R105" s="105">
        <f>IF(Table__192.168.1.150_Daily_Delinquency_With_Sectors[[#This Row],[Days in Arrears]] &gt; 0, Table__192.168.1.150_Daily_Delinquency_With_Sectors[[#This Row],[Outstanding Balance]],0)</f>
        <v>0</v>
      </c>
      <c r="S105" s="105">
        <f>IF(Table__192.168.1.150_Daily_Delinquency_With_Sectors[[#This Row],[Days in Arrears]] &gt; 30, Table__192.168.1.150_Daily_Delinquency_With_Sectors[[#This Row],[Outstanding Balance]],0)</f>
        <v>0</v>
      </c>
      <c r="T105" s="105">
        <f>IF(Table__192.168.1.150_Daily_Delinquency_With_Sectors[[#This Row],[Days in Arrears]] &gt; 90, Table__192.168.1.150_Daily_Delinquency_With_Sectors[[#This Row],[Outstanding Balance]],0)</f>
        <v>0</v>
      </c>
      <c r="U105" s="109">
        <f>IF(Table__192.168.1.150_Daily_Delinquency_With_Sectors[[#This Row],[Days in Arrears]] &gt;= 1,1,0)</f>
        <v>0</v>
      </c>
      <c r="V105" s="109">
        <f>IF(Table__192.168.1.150_Daily_Delinquency_With_Sectors[[#This Row],[Days in Arrears]] &gt; 30,1,0)</f>
        <v>0</v>
      </c>
      <c r="W105" s="109">
        <f>IF(Table__192.168.1.150_Daily_Delinquency_With_Sectors[[#This Row],[Days in Arrears]] &gt; 90,1,0)</f>
        <v>0</v>
      </c>
    </row>
    <row r="106" spans="1:23" x14ac:dyDescent="0.25">
      <c r="A106" t="s">
        <v>592</v>
      </c>
      <c r="B106" t="s">
        <v>1841</v>
      </c>
      <c r="C106">
        <v>74</v>
      </c>
      <c r="D106" s="105">
        <v>9467414.0500000007</v>
      </c>
      <c r="E106" t="s">
        <v>5725</v>
      </c>
      <c r="F106" s="105">
        <v>734329.53</v>
      </c>
      <c r="G106" s="105">
        <v>12946749.539999999</v>
      </c>
      <c r="H106" s="143">
        <v>42355.719460335647</v>
      </c>
      <c r="I106" s="143">
        <v>43475</v>
      </c>
      <c r="J106" t="s">
        <v>593</v>
      </c>
      <c r="K106" t="s">
        <v>594</v>
      </c>
      <c r="L106" t="s">
        <v>1280</v>
      </c>
      <c r="M106">
        <v>102338</v>
      </c>
      <c r="N106" t="s">
        <v>591</v>
      </c>
      <c r="O106" t="s">
        <v>25</v>
      </c>
      <c r="P106" t="s">
        <v>26</v>
      </c>
      <c r="Q106" t="s">
        <v>26</v>
      </c>
      <c r="R106" s="105">
        <f>IF(Table__192.168.1.150_Daily_Delinquency_With_Sectors[[#This Row],[Days in Arrears]] &gt; 0, Table__192.168.1.150_Daily_Delinquency_With_Sectors[[#This Row],[Outstanding Balance]],0)</f>
        <v>9467414.0500000007</v>
      </c>
      <c r="S106" s="105">
        <f>IF(Table__192.168.1.150_Daily_Delinquency_With_Sectors[[#This Row],[Days in Arrears]] &gt; 30, Table__192.168.1.150_Daily_Delinquency_With_Sectors[[#This Row],[Outstanding Balance]],0)</f>
        <v>9467414.0500000007</v>
      </c>
      <c r="T106" s="105">
        <f>IF(Table__192.168.1.150_Daily_Delinquency_With_Sectors[[#This Row],[Days in Arrears]] &gt; 90, Table__192.168.1.150_Daily_Delinquency_With_Sectors[[#This Row],[Outstanding Balance]],0)</f>
        <v>0</v>
      </c>
      <c r="U106" s="109">
        <f>IF(Table__192.168.1.150_Daily_Delinquency_With_Sectors[[#This Row],[Days in Arrears]] &gt;= 1,1,0)</f>
        <v>1</v>
      </c>
      <c r="V106" s="109">
        <f>IF(Table__192.168.1.150_Daily_Delinquency_With_Sectors[[#This Row],[Days in Arrears]] &gt; 30,1,0)</f>
        <v>1</v>
      </c>
      <c r="W106" s="109">
        <f>IF(Table__192.168.1.150_Daily_Delinquency_With_Sectors[[#This Row],[Days in Arrears]] &gt; 90,1,0)</f>
        <v>0</v>
      </c>
    </row>
    <row r="107" spans="1:23" x14ac:dyDescent="0.25">
      <c r="A107" t="s">
        <v>1114</v>
      </c>
      <c r="B107" t="s">
        <v>1284</v>
      </c>
      <c r="C107">
        <v>7</v>
      </c>
      <c r="D107" s="105">
        <v>21579944.219999999</v>
      </c>
      <c r="E107" t="s">
        <v>1039</v>
      </c>
      <c r="F107" s="105">
        <v>760040.97</v>
      </c>
      <c r="G107" s="105">
        <v>26431917.23</v>
      </c>
      <c r="H107" s="143">
        <v>42355.730444710651</v>
      </c>
      <c r="I107" s="143">
        <v>43482</v>
      </c>
      <c r="J107" t="s">
        <v>1115</v>
      </c>
      <c r="K107" t="s">
        <v>1280</v>
      </c>
      <c r="L107" t="s">
        <v>1280</v>
      </c>
      <c r="M107">
        <v>102339</v>
      </c>
      <c r="N107" t="s">
        <v>1107</v>
      </c>
      <c r="O107" t="s">
        <v>44</v>
      </c>
      <c r="P107" t="s">
        <v>75</v>
      </c>
      <c r="Q107" t="s">
        <v>26</v>
      </c>
      <c r="R107" s="105">
        <f>IF(Table__192.168.1.150_Daily_Delinquency_With_Sectors[[#This Row],[Days in Arrears]] &gt; 0, Table__192.168.1.150_Daily_Delinquency_With_Sectors[[#This Row],[Outstanding Balance]],0)</f>
        <v>21579944.219999999</v>
      </c>
      <c r="S107" s="105">
        <f>IF(Table__192.168.1.150_Daily_Delinquency_With_Sectors[[#This Row],[Days in Arrears]] &gt; 30, Table__192.168.1.150_Daily_Delinquency_With_Sectors[[#This Row],[Outstanding Balance]],0)</f>
        <v>0</v>
      </c>
      <c r="T107" s="105">
        <f>IF(Table__192.168.1.150_Daily_Delinquency_With_Sectors[[#This Row],[Days in Arrears]] &gt; 90, Table__192.168.1.150_Daily_Delinquency_With_Sectors[[#This Row],[Outstanding Balance]],0)</f>
        <v>0</v>
      </c>
      <c r="U107" s="109">
        <f>IF(Table__192.168.1.150_Daily_Delinquency_With_Sectors[[#This Row],[Days in Arrears]] &gt;= 1,1,0)</f>
        <v>1</v>
      </c>
      <c r="V107" s="109">
        <f>IF(Table__192.168.1.150_Daily_Delinquency_With_Sectors[[#This Row],[Days in Arrears]] &gt; 30,1,0)</f>
        <v>0</v>
      </c>
      <c r="W107" s="109">
        <f>IF(Table__192.168.1.150_Daily_Delinquency_With_Sectors[[#This Row],[Days in Arrears]] &gt; 90,1,0)</f>
        <v>0</v>
      </c>
    </row>
    <row r="108" spans="1:23" x14ac:dyDescent="0.25">
      <c r="A108" t="s">
        <v>1690</v>
      </c>
      <c r="B108" t="s">
        <v>1283</v>
      </c>
      <c r="C108">
        <v>83</v>
      </c>
      <c r="D108" s="105">
        <v>16299883.449999999</v>
      </c>
      <c r="E108" t="s">
        <v>5167</v>
      </c>
      <c r="F108" s="105">
        <v>405753.7</v>
      </c>
      <c r="G108" s="105">
        <v>17311890.789999999</v>
      </c>
      <c r="H108" s="143">
        <v>42359.423008796293</v>
      </c>
      <c r="I108" s="143">
        <v>43101</v>
      </c>
      <c r="J108" t="s">
        <v>1691</v>
      </c>
      <c r="K108" t="s">
        <v>1280</v>
      </c>
      <c r="L108" t="s">
        <v>1280</v>
      </c>
      <c r="M108">
        <v>102349</v>
      </c>
      <c r="N108" t="s">
        <v>1688</v>
      </c>
      <c r="O108" t="s">
        <v>44</v>
      </c>
      <c r="P108" t="s">
        <v>75</v>
      </c>
      <c r="Q108" t="s">
        <v>1442</v>
      </c>
      <c r="R108" s="105">
        <f>IF(Table__192.168.1.150_Daily_Delinquency_With_Sectors[[#This Row],[Days in Arrears]] &gt; 0, Table__192.168.1.150_Daily_Delinquency_With_Sectors[[#This Row],[Outstanding Balance]],0)</f>
        <v>16299883.449999999</v>
      </c>
      <c r="S108" s="105">
        <f>IF(Table__192.168.1.150_Daily_Delinquency_With_Sectors[[#This Row],[Days in Arrears]] &gt; 30, Table__192.168.1.150_Daily_Delinquency_With_Sectors[[#This Row],[Outstanding Balance]],0)</f>
        <v>16299883.449999999</v>
      </c>
      <c r="T108" s="105">
        <f>IF(Table__192.168.1.150_Daily_Delinquency_With_Sectors[[#This Row],[Days in Arrears]] &gt; 90, Table__192.168.1.150_Daily_Delinquency_With_Sectors[[#This Row],[Outstanding Balance]],0)</f>
        <v>0</v>
      </c>
      <c r="U108" s="109">
        <f>IF(Table__192.168.1.150_Daily_Delinquency_With_Sectors[[#This Row],[Days in Arrears]] &gt;= 1,1,0)</f>
        <v>1</v>
      </c>
      <c r="V108" s="109">
        <f>IF(Table__192.168.1.150_Daily_Delinquency_With_Sectors[[#This Row],[Days in Arrears]] &gt; 30,1,0)</f>
        <v>1</v>
      </c>
      <c r="W108" s="109">
        <f>IF(Table__192.168.1.150_Daily_Delinquency_With_Sectors[[#This Row],[Days in Arrears]] &gt; 90,1,0)</f>
        <v>0</v>
      </c>
    </row>
    <row r="109" spans="1:23" x14ac:dyDescent="0.25">
      <c r="A109" t="s">
        <v>1718</v>
      </c>
      <c r="B109" t="s">
        <v>1284</v>
      </c>
      <c r="C109">
        <v>-16</v>
      </c>
      <c r="D109" s="105">
        <v>5387739.1900000004</v>
      </c>
      <c r="E109" t="s">
        <v>1467</v>
      </c>
      <c r="F109" s="105">
        <v>70040.61</v>
      </c>
      <c r="G109" s="105">
        <v>6140142.9299999997</v>
      </c>
      <c r="H109" s="143">
        <v>42376.666967939818</v>
      </c>
      <c r="I109" s="143">
        <v>43291</v>
      </c>
      <c r="J109" t="s">
        <v>1719</v>
      </c>
      <c r="K109" t="s">
        <v>1720</v>
      </c>
      <c r="L109" t="s">
        <v>1280</v>
      </c>
      <c r="M109">
        <v>102365</v>
      </c>
      <c r="N109" t="s">
        <v>1717</v>
      </c>
      <c r="O109" t="s">
        <v>44</v>
      </c>
      <c r="P109" t="s">
        <v>75</v>
      </c>
      <c r="Q109" t="s">
        <v>26</v>
      </c>
      <c r="R109" s="105">
        <f>IF(Table__192.168.1.150_Daily_Delinquency_With_Sectors[[#This Row],[Days in Arrears]] &gt; 0, Table__192.168.1.150_Daily_Delinquency_With_Sectors[[#This Row],[Outstanding Balance]],0)</f>
        <v>0</v>
      </c>
      <c r="S109" s="105">
        <f>IF(Table__192.168.1.150_Daily_Delinquency_With_Sectors[[#This Row],[Days in Arrears]] &gt; 30, Table__192.168.1.150_Daily_Delinquency_With_Sectors[[#This Row],[Outstanding Balance]],0)</f>
        <v>0</v>
      </c>
      <c r="T109" s="105">
        <f>IF(Table__192.168.1.150_Daily_Delinquency_With_Sectors[[#This Row],[Days in Arrears]] &gt; 90, Table__192.168.1.150_Daily_Delinquency_With_Sectors[[#This Row],[Outstanding Balance]],0)</f>
        <v>0</v>
      </c>
      <c r="U109" s="109">
        <f>IF(Table__192.168.1.150_Daily_Delinquency_With_Sectors[[#This Row],[Days in Arrears]] &gt;= 1,1,0)</f>
        <v>0</v>
      </c>
      <c r="V109" s="109">
        <f>IF(Table__192.168.1.150_Daily_Delinquency_With_Sectors[[#This Row],[Days in Arrears]] &gt; 30,1,0)</f>
        <v>0</v>
      </c>
      <c r="W109" s="109">
        <f>IF(Table__192.168.1.150_Daily_Delinquency_With_Sectors[[#This Row],[Days in Arrears]] &gt; 90,1,0)</f>
        <v>0</v>
      </c>
    </row>
    <row r="110" spans="1:23" x14ac:dyDescent="0.25">
      <c r="A110" t="s">
        <v>678</v>
      </c>
      <c r="B110" t="s">
        <v>1283</v>
      </c>
      <c r="C110">
        <v>-20</v>
      </c>
      <c r="D110" s="105">
        <v>25870150.449999999</v>
      </c>
      <c r="E110" t="s">
        <v>1191</v>
      </c>
      <c r="F110" s="105">
        <v>232831.35</v>
      </c>
      <c r="G110" s="105">
        <v>32062655.93</v>
      </c>
      <c r="H110" s="143">
        <v>42383.680837928237</v>
      </c>
      <c r="I110" s="143">
        <v>43479</v>
      </c>
      <c r="J110" t="s">
        <v>679</v>
      </c>
      <c r="K110" t="s">
        <v>680</v>
      </c>
      <c r="L110" t="s">
        <v>1280</v>
      </c>
      <c r="M110">
        <v>102374</v>
      </c>
      <c r="N110" t="s">
        <v>677</v>
      </c>
      <c r="O110" t="s">
        <v>29</v>
      </c>
      <c r="P110" t="s">
        <v>96</v>
      </c>
      <c r="Q110" t="s">
        <v>96</v>
      </c>
      <c r="R110" s="105">
        <f>IF(Table__192.168.1.150_Daily_Delinquency_With_Sectors[[#This Row],[Days in Arrears]] &gt; 0, Table__192.168.1.150_Daily_Delinquency_With_Sectors[[#This Row],[Outstanding Balance]],0)</f>
        <v>0</v>
      </c>
      <c r="S110" s="105">
        <f>IF(Table__192.168.1.150_Daily_Delinquency_With_Sectors[[#This Row],[Days in Arrears]] &gt; 30, Table__192.168.1.150_Daily_Delinquency_With_Sectors[[#This Row],[Outstanding Balance]],0)</f>
        <v>0</v>
      </c>
      <c r="T110" s="105">
        <f>IF(Table__192.168.1.150_Daily_Delinquency_With_Sectors[[#This Row],[Days in Arrears]] &gt; 90, Table__192.168.1.150_Daily_Delinquency_With_Sectors[[#This Row],[Outstanding Balance]],0)</f>
        <v>0</v>
      </c>
      <c r="U110" s="109">
        <f>IF(Table__192.168.1.150_Daily_Delinquency_With_Sectors[[#This Row],[Days in Arrears]] &gt;= 1,1,0)</f>
        <v>0</v>
      </c>
      <c r="V110" s="109">
        <f>IF(Table__192.168.1.150_Daily_Delinquency_With_Sectors[[#This Row],[Days in Arrears]] &gt; 30,1,0)</f>
        <v>0</v>
      </c>
      <c r="W110" s="109">
        <f>IF(Table__192.168.1.150_Daily_Delinquency_With_Sectors[[#This Row],[Days in Arrears]] &gt; 90,1,0)</f>
        <v>0</v>
      </c>
    </row>
    <row r="111" spans="1:23" x14ac:dyDescent="0.25">
      <c r="A111" t="s">
        <v>76</v>
      </c>
      <c r="B111" t="s">
        <v>1284</v>
      </c>
      <c r="C111">
        <v>-21</v>
      </c>
      <c r="D111" s="105">
        <v>23283135.34</v>
      </c>
      <c r="E111" t="s">
        <v>491</v>
      </c>
      <c r="F111" s="105">
        <v>186265.08</v>
      </c>
      <c r="G111" s="105">
        <v>28856390.199999999</v>
      </c>
      <c r="H111" s="143">
        <v>42384.482900497685</v>
      </c>
      <c r="I111" s="143">
        <v>43480</v>
      </c>
      <c r="J111" t="s">
        <v>77</v>
      </c>
      <c r="K111" t="s">
        <v>78</v>
      </c>
      <c r="L111" t="s">
        <v>1280</v>
      </c>
      <c r="M111">
        <v>102375</v>
      </c>
      <c r="N111" t="s">
        <v>74</v>
      </c>
      <c r="O111" t="s">
        <v>25</v>
      </c>
      <c r="P111" t="s">
        <v>32</v>
      </c>
      <c r="Q111" t="s">
        <v>517</v>
      </c>
      <c r="R111" s="105">
        <f>IF(Table__192.168.1.150_Daily_Delinquency_With_Sectors[[#This Row],[Days in Arrears]] &gt; 0, Table__192.168.1.150_Daily_Delinquency_With_Sectors[[#This Row],[Outstanding Balance]],0)</f>
        <v>0</v>
      </c>
      <c r="S111" s="105">
        <f>IF(Table__192.168.1.150_Daily_Delinquency_With_Sectors[[#This Row],[Days in Arrears]] &gt; 30, Table__192.168.1.150_Daily_Delinquency_With_Sectors[[#This Row],[Outstanding Balance]],0)</f>
        <v>0</v>
      </c>
      <c r="T111" s="105">
        <f>IF(Table__192.168.1.150_Daily_Delinquency_With_Sectors[[#This Row],[Days in Arrears]] &gt; 90, Table__192.168.1.150_Daily_Delinquency_With_Sectors[[#This Row],[Outstanding Balance]],0)</f>
        <v>0</v>
      </c>
      <c r="U111" s="109">
        <f>IF(Table__192.168.1.150_Daily_Delinquency_With_Sectors[[#This Row],[Days in Arrears]] &gt;= 1,1,0)</f>
        <v>0</v>
      </c>
      <c r="V111" s="109">
        <f>IF(Table__192.168.1.150_Daily_Delinquency_With_Sectors[[#This Row],[Days in Arrears]] &gt; 30,1,0)</f>
        <v>0</v>
      </c>
      <c r="W111" s="109">
        <f>IF(Table__192.168.1.150_Daily_Delinquency_With_Sectors[[#This Row],[Days in Arrears]] &gt; 90,1,0)</f>
        <v>0</v>
      </c>
    </row>
    <row r="112" spans="1:23" x14ac:dyDescent="0.25">
      <c r="A112" t="s">
        <v>944</v>
      </c>
      <c r="B112" t="s">
        <v>1281</v>
      </c>
      <c r="C112">
        <v>14</v>
      </c>
      <c r="D112" s="105">
        <v>4875346.83</v>
      </c>
      <c r="E112" t="s">
        <v>468</v>
      </c>
      <c r="F112" s="105">
        <v>227036.9</v>
      </c>
      <c r="G112" s="105">
        <v>5310771.09</v>
      </c>
      <c r="H112" s="143">
        <v>42399.498592442127</v>
      </c>
      <c r="I112" s="143">
        <v>43142</v>
      </c>
      <c r="J112" t="s">
        <v>945</v>
      </c>
      <c r="K112" t="s">
        <v>1280</v>
      </c>
      <c r="L112" t="s">
        <v>1280</v>
      </c>
      <c r="M112">
        <v>102394</v>
      </c>
      <c r="N112" t="s">
        <v>929</v>
      </c>
      <c r="O112" t="s">
        <v>37</v>
      </c>
      <c r="P112" t="s">
        <v>38</v>
      </c>
      <c r="Q112" t="s">
        <v>39</v>
      </c>
      <c r="R112" s="105">
        <f>IF(Table__192.168.1.150_Daily_Delinquency_With_Sectors[[#This Row],[Days in Arrears]] &gt; 0, Table__192.168.1.150_Daily_Delinquency_With_Sectors[[#This Row],[Outstanding Balance]],0)</f>
        <v>4875346.83</v>
      </c>
      <c r="S112" s="105">
        <f>IF(Table__192.168.1.150_Daily_Delinquency_With_Sectors[[#This Row],[Days in Arrears]] &gt; 30, Table__192.168.1.150_Daily_Delinquency_With_Sectors[[#This Row],[Outstanding Balance]],0)</f>
        <v>0</v>
      </c>
      <c r="T112" s="105">
        <f>IF(Table__192.168.1.150_Daily_Delinquency_With_Sectors[[#This Row],[Days in Arrears]] &gt; 90, Table__192.168.1.150_Daily_Delinquency_With_Sectors[[#This Row],[Outstanding Balance]],0)</f>
        <v>0</v>
      </c>
      <c r="U112" s="109">
        <f>IF(Table__192.168.1.150_Daily_Delinquency_With_Sectors[[#This Row],[Days in Arrears]] &gt;= 1,1,0)</f>
        <v>1</v>
      </c>
      <c r="V112" s="109">
        <f>IF(Table__192.168.1.150_Daily_Delinquency_With_Sectors[[#This Row],[Days in Arrears]] &gt; 30,1,0)</f>
        <v>0</v>
      </c>
      <c r="W112" s="109">
        <f>IF(Table__192.168.1.150_Daily_Delinquency_With_Sectors[[#This Row],[Days in Arrears]] &gt; 90,1,0)</f>
        <v>0</v>
      </c>
    </row>
    <row r="113" spans="1:23" x14ac:dyDescent="0.25">
      <c r="A113" t="s">
        <v>1779</v>
      </c>
      <c r="B113" t="s">
        <v>1281</v>
      </c>
      <c r="C113">
        <v>-11</v>
      </c>
      <c r="D113" s="105">
        <v>3508983.22</v>
      </c>
      <c r="E113" t="s">
        <v>1447</v>
      </c>
      <c r="F113" s="105">
        <v>73688.649999999994</v>
      </c>
      <c r="G113" s="105">
        <v>3758839.95</v>
      </c>
      <c r="H113" s="143">
        <v>42399.587561192129</v>
      </c>
      <c r="I113" s="143">
        <v>43137</v>
      </c>
      <c r="J113" t="s">
        <v>1780</v>
      </c>
      <c r="K113" t="s">
        <v>1280</v>
      </c>
      <c r="L113" t="s">
        <v>1280</v>
      </c>
      <c r="M113">
        <v>102395</v>
      </c>
      <c r="N113" t="s">
        <v>1778</v>
      </c>
      <c r="O113" t="s">
        <v>27</v>
      </c>
      <c r="P113" t="s">
        <v>81</v>
      </c>
      <c r="Q113" t="s">
        <v>26</v>
      </c>
      <c r="R113" s="105">
        <f>IF(Table__192.168.1.150_Daily_Delinquency_With_Sectors[[#This Row],[Days in Arrears]] &gt; 0, Table__192.168.1.150_Daily_Delinquency_With_Sectors[[#This Row],[Outstanding Balance]],0)</f>
        <v>0</v>
      </c>
      <c r="S113" s="105">
        <f>IF(Table__192.168.1.150_Daily_Delinquency_With_Sectors[[#This Row],[Days in Arrears]] &gt; 30, Table__192.168.1.150_Daily_Delinquency_With_Sectors[[#This Row],[Outstanding Balance]],0)</f>
        <v>0</v>
      </c>
      <c r="T113" s="105">
        <f>IF(Table__192.168.1.150_Daily_Delinquency_With_Sectors[[#This Row],[Days in Arrears]] &gt; 90, Table__192.168.1.150_Daily_Delinquency_With_Sectors[[#This Row],[Outstanding Balance]],0)</f>
        <v>0</v>
      </c>
      <c r="U113" s="109">
        <f>IF(Table__192.168.1.150_Daily_Delinquency_With_Sectors[[#This Row],[Days in Arrears]] &gt;= 1,1,0)</f>
        <v>0</v>
      </c>
      <c r="V113" s="109">
        <f>IF(Table__192.168.1.150_Daily_Delinquency_With_Sectors[[#This Row],[Days in Arrears]] &gt; 30,1,0)</f>
        <v>0</v>
      </c>
      <c r="W113" s="109">
        <f>IF(Table__192.168.1.150_Daily_Delinquency_With_Sectors[[#This Row],[Days in Arrears]] &gt; 90,1,0)</f>
        <v>0</v>
      </c>
    </row>
    <row r="114" spans="1:23" x14ac:dyDescent="0.25">
      <c r="A114" t="s">
        <v>1749</v>
      </c>
      <c r="B114" t="s">
        <v>1284</v>
      </c>
      <c r="C114">
        <v>-21</v>
      </c>
      <c r="D114" s="105">
        <v>3356659.52</v>
      </c>
      <c r="E114" t="s">
        <v>491</v>
      </c>
      <c r="F114" s="105">
        <v>26853.279999999999</v>
      </c>
      <c r="G114" s="105">
        <v>3560043.19</v>
      </c>
      <c r="H114" s="143">
        <v>42410.686364548608</v>
      </c>
      <c r="I114" s="143">
        <v>43146</v>
      </c>
      <c r="J114" t="s">
        <v>1750</v>
      </c>
      <c r="K114" t="s">
        <v>1280</v>
      </c>
      <c r="L114" t="s">
        <v>1280</v>
      </c>
      <c r="M114">
        <v>102404</v>
      </c>
      <c r="N114" t="s">
        <v>1748</v>
      </c>
      <c r="O114" t="s">
        <v>44</v>
      </c>
      <c r="P114" t="s">
        <v>92</v>
      </c>
      <c r="Q114" t="s">
        <v>26</v>
      </c>
      <c r="R114" s="105">
        <f>IF(Table__192.168.1.150_Daily_Delinquency_With_Sectors[[#This Row],[Days in Arrears]] &gt; 0, Table__192.168.1.150_Daily_Delinquency_With_Sectors[[#This Row],[Outstanding Balance]],0)</f>
        <v>0</v>
      </c>
      <c r="S114" s="105">
        <f>IF(Table__192.168.1.150_Daily_Delinquency_With_Sectors[[#This Row],[Days in Arrears]] &gt; 30, Table__192.168.1.150_Daily_Delinquency_With_Sectors[[#This Row],[Outstanding Balance]],0)</f>
        <v>0</v>
      </c>
      <c r="T114" s="105">
        <f>IF(Table__192.168.1.150_Daily_Delinquency_With_Sectors[[#This Row],[Days in Arrears]] &gt; 90, Table__192.168.1.150_Daily_Delinquency_With_Sectors[[#This Row],[Outstanding Balance]],0)</f>
        <v>0</v>
      </c>
      <c r="U114" s="109">
        <f>IF(Table__192.168.1.150_Daily_Delinquency_With_Sectors[[#This Row],[Days in Arrears]] &gt;= 1,1,0)</f>
        <v>0</v>
      </c>
      <c r="V114" s="109">
        <f>IF(Table__192.168.1.150_Daily_Delinquency_With_Sectors[[#This Row],[Days in Arrears]] &gt; 30,1,0)</f>
        <v>0</v>
      </c>
      <c r="W114" s="109">
        <f>IF(Table__192.168.1.150_Daily_Delinquency_With_Sectors[[#This Row],[Days in Arrears]] &gt; 90,1,0)</f>
        <v>0</v>
      </c>
    </row>
    <row r="115" spans="1:23" x14ac:dyDescent="0.25">
      <c r="A115" t="s">
        <v>877</v>
      </c>
      <c r="B115" t="s">
        <v>1281</v>
      </c>
      <c r="C115">
        <v>38</v>
      </c>
      <c r="D115" s="105">
        <v>16320894.539999999</v>
      </c>
      <c r="E115" t="s">
        <v>1191</v>
      </c>
      <c r="F115" s="105">
        <v>673048.42</v>
      </c>
      <c r="G115" s="105">
        <v>21487541.030000001</v>
      </c>
      <c r="H115" s="143">
        <v>42410.706986689816</v>
      </c>
      <c r="I115" s="143">
        <v>43512</v>
      </c>
      <c r="J115" t="s">
        <v>878</v>
      </c>
      <c r="K115" t="s">
        <v>879</v>
      </c>
      <c r="L115" t="s">
        <v>1280</v>
      </c>
      <c r="M115">
        <v>102405</v>
      </c>
      <c r="N115" t="s">
        <v>872</v>
      </c>
      <c r="O115" t="s">
        <v>25</v>
      </c>
      <c r="P115" t="s">
        <v>26</v>
      </c>
      <c r="Q115" t="s">
        <v>26</v>
      </c>
      <c r="R115" s="105">
        <f>IF(Table__192.168.1.150_Daily_Delinquency_With_Sectors[[#This Row],[Days in Arrears]] &gt; 0, Table__192.168.1.150_Daily_Delinquency_With_Sectors[[#This Row],[Outstanding Balance]],0)</f>
        <v>16320894.539999999</v>
      </c>
      <c r="S115" s="105">
        <f>IF(Table__192.168.1.150_Daily_Delinquency_With_Sectors[[#This Row],[Days in Arrears]] &gt; 30, Table__192.168.1.150_Daily_Delinquency_With_Sectors[[#This Row],[Outstanding Balance]],0)</f>
        <v>16320894.539999999</v>
      </c>
      <c r="T115" s="105">
        <f>IF(Table__192.168.1.150_Daily_Delinquency_With_Sectors[[#This Row],[Days in Arrears]] &gt; 90, Table__192.168.1.150_Daily_Delinquency_With_Sectors[[#This Row],[Outstanding Balance]],0)</f>
        <v>0</v>
      </c>
      <c r="U115" s="109">
        <f>IF(Table__192.168.1.150_Daily_Delinquency_With_Sectors[[#This Row],[Days in Arrears]] &gt;= 1,1,0)</f>
        <v>1</v>
      </c>
      <c r="V115" s="109">
        <f>IF(Table__192.168.1.150_Daily_Delinquency_With_Sectors[[#This Row],[Days in Arrears]] &gt; 30,1,0)</f>
        <v>1</v>
      </c>
      <c r="W115" s="109">
        <f>IF(Table__192.168.1.150_Daily_Delinquency_With_Sectors[[#This Row],[Days in Arrears]] &gt; 90,1,0)</f>
        <v>0</v>
      </c>
    </row>
    <row r="116" spans="1:23" x14ac:dyDescent="0.25">
      <c r="A116" t="s">
        <v>1744</v>
      </c>
      <c r="B116" t="s">
        <v>1284</v>
      </c>
      <c r="C116">
        <v>-26</v>
      </c>
      <c r="D116" s="105">
        <v>24773348.710000001</v>
      </c>
      <c r="E116" t="s">
        <v>491</v>
      </c>
      <c r="F116" s="105">
        <v>74320.05</v>
      </c>
      <c r="G116" s="105">
        <v>31127680.699999999</v>
      </c>
      <c r="H116" s="143">
        <v>42413.45611767361</v>
      </c>
      <c r="I116" s="143">
        <v>43516</v>
      </c>
      <c r="J116" t="s">
        <v>1745</v>
      </c>
      <c r="K116" t="s">
        <v>1834</v>
      </c>
      <c r="L116" t="s">
        <v>1280</v>
      </c>
      <c r="M116">
        <v>102407</v>
      </c>
      <c r="N116" t="s">
        <v>1743</v>
      </c>
      <c r="O116" t="s">
        <v>45</v>
      </c>
      <c r="P116" t="s">
        <v>45</v>
      </c>
      <c r="Q116" t="s">
        <v>26</v>
      </c>
      <c r="R116" s="105">
        <f>IF(Table__192.168.1.150_Daily_Delinquency_With_Sectors[[#This Row],[Days in Arrears]] &gt; 0, Table__192.168.1.150_Daily_Delinquency_With_Sectors[[#This Row],[Outstanding Balance]],0)</f>
        <v>0</v>
      </c>
      <c r="S116" s="105">
        <f>IF(Table__192.168.1.150_Daily_Delinquency_With_Sectors[[#This Row],[Days in Arrears]] &gt; 30, Table__192.168.1.150_Daily_Delinquency_With_Sectors[[#This Row],[Outstanding Balance]],0)</f>
        <v>0</v>
      </c>
      <c r="T116" s="105">
        <f>IF(Table__192.168.1.150_Daily_Delinquency_With_Sectors[[#This Row],[Days in Arrears]] &gt; 90, Table__192.168.1.150_Daily_Delinquency_With_Sectors[[#This Row],[Outstanding Balance]],0)</f>
        <v>0</v>
      </c>
      <c r="U116" s="109">
        <f>IF(Table__192.168.1.150_Daily_Delinquency_With_Sectors[[#This Row],[Days in Arrears]] &gt;= 1,1,0)</f>
        <v>0</v>
      </c>
      <c r="V116" s="109">
        <f>IF(Table__192.168.1.150_Daily_Delinquency_With_Sectors[[#This Row],[Days in Arrears]] &gt; 30,1,0)</f>
        <v>0</v>
      </c>
      <c r="W116" s="109">
        <f>IF(Table__192.168.1.150_Daily_Delinquency_With_Sectors[[#This Row],[Days in Arrears]] &gt; 90,1,0)</f>
        <v>0</v>
      </c>
    </row>
    <row r="117" spans="1:23" x14ac:dyDescent="0.25">
      <c r="A117" t="s">
        <v>1773</v>
      </c>
      <c r="B117" t="s">
        <v>1281</v>
      </c>
      <c r="C117">
        <v>94</v>
      </c>
      <c r="D117" s="105">
        <v>1624281.74</v>
      </c>
      <c r="E117" t="s">
        <v>1191</v>
      </c>
      <c r="F117" s="105">
        <v>55113.1</v>
      </c>
      <c r="G117" s="105">
        <v>1679394.84</v>
      </c>
      <c r="H117" s="143">
        <v>42413.487209606479</v>
      </c>
      <c r="I117" s="143">
        <v>42967</v>
      </c>
      <c r="J117" t="s">
        <v>1774</v>
      </c>
      <c r="K117" t="s">
        <v>1835</v>
      </c>
      <c r="L117" t="s">
        <v>1280</v>
      </c>
      <c r="M117">
        <v>102409</v>
      </c>
      <c r="N117" t="s">
        <v>1772</v>
      </c>
      <c r="O117" t="s">
        <v>25</v>
      </c>
      <c r="P117" t="s">
        <v>26</v>
      </c>
      <c r="Q117" t="s">
        <v>26</v>
      </c>
      <c r="R117" s="105">
        <f>IF(Table__192.168.1.150_Daily_Delinquency_With_Sectors[[#This Row],[Days in Arrears]] &gt; 0, Table__192.168.1.150_Daily_Delinquency_With_Sectors[[#This Row],[Outstanding Balance]],0)</f>
        <v>1624281.74</v>
      </c>
      <c r="S117" s="105">
        <f>IF(Table__192.168.1.150_Daily_Delinquency_With_Sectors[[#This Row],[Days in Arrears]] &gt; 30, Table__192.168.1.150_Daily_Delinquency_With_Sectors[[#This Row],[Outstanding Balance]],0)</f>
        <v>1624281.74</v>
      </c>
      <c r="T117" s="105">
        <f>IF(Table__192.168.1.150_Daily_Delinquency_With_Sectors[[#This Row],[Days in Arrears]] &gt; 90, Table__192.168.1.150_Daily_Delinquency_With_Sectors[[#This Row],[Outstanding Balance]],0)</f>
        <v>1624281.74</v>
      </c>
      <c r="U117" s="109">
        <f>IF(Table__192.168.1.150_Daily_Delinquency_With_Sectors[[#This Row],[Days in Arrears]] &gt;= 1,1,0)</f>
        <v>1</v>
      </c>
      <c r="V117" s="109">
        <f>IF(Table__192.168.1.150_Daily_Delinquency_With_Sectors[[#This Row],[Days in Arrears]] &gt; 30,1,0)</f>
        <v>1</v>
      </c>
      <c r="W117" s="109">
        <f>IF(Table__192.168.1.150_Daily_Delinquency_With_Sectors[[#This Row],[Days in Arrears]] &gt; 90,1,0)</f>
        <v>1</v>
      </c>
    </row>
    <row r="118" spans="1:23" x14ac:dyDescent="0.25">
      <c r="A118" t="s">
        <v>812</v>
      </c>
      <c r="B118" t="s">
        <v>1841</v>
      </c>
      <c r="C118">
        <v>-7</v>
      </c>
      <c r="D118" s="105">
        <v>11163669.66</v>
      </c>
      <c r="E118" t="s">
        <v>86</v>
      </c>
      <c r="F118" s="105">
        <v>327467.64</v>
      </c>
      <c r="G118" s="105">
        <v>15329057.83</v>
      </c>
      <c r="H118" s="143">
        <v>42426.470221099538</v>
      </c>
      <c r="I118" s="143">
        <v>43525</v>
      </c>
      <c r="J118" t="s">
        <v>813</v>
      </c>
      <c r="K118" t="s">
        <v>1280</v>
      </c>
      <c r="L118" t="s">
        <v>1280</v>
      </c>
      <c r="M118">
        <v>102418</v>
      </c>
      <c r="N118" t="s">
        <v>810</v>
      </c>
      <c r="O118" t="s">
        <v>25</v>
      </c>
      <c r="P118" t="s">
        <v>286</v>
      </c>
      <c r="Q118" t="s">
        <v>26</v>
      </c>
      <c r="R118" s="105">
        <f>IF(Table__192.168.1.150_Daily_Delinquency_With_Sectors[[#This Row],[Days in Arrears]] &gt; 0, Table__192.168.1.150_Daily_Delinquency_With_Sectors[[#This Row],[Outstanding Balance]],0)</f>
        <v>0</v>
      </c>
      <c r="S118" s="105">
        <f>IF(Table__192.168.1.150_Daily_Delinquency_With_Sectors[[#This Row],[Days in Arrears]] &gt; 30, Table__192.168.1.150_Daily_Delinquency_With_Sectors[[#This Row],[Outstanding Balance]],0)</f>
        <v>0</v>
      </c>
      <c r="T118" s="105">
        <f>IF(Table__192.168.1.150_Daily_Delinquency_With_Sectors[[#This Row],[Days in Arrears]] &gt; 90, Table__192.168.1.150_Daily_Delinquency_With_Sectors[[#This Row],[Outstanding Balance]],0)</f>
        <v>0</v>
      </c>
      <c r="U118" s="109">
        <f>IF(Table__192.168.1.150_Daily_Delinquency_With_Sectors[[#This Row],[Days in Arrears]] &gt;= 1,1,0)</f>
        <v>0</v>
      </c>
      <c r="V118" s="109">
        <f>IF(Table__192.168.1.150_Daily_Delinquency_With_Sectors[[#This Row],[Days in Arrears]] &gt; 30,1,0)</f>
        <v>0</v>
      </c>
      <c r="W118" s="109">
        <f>IF(Table__192.168.1.150_Daily_Delinquency_With_Sectors[[#This Row],[Days in Arrears]] &gt; 90,1,0)</f>
        <v>0</v>
      </c>
    </row>
    <row r="119" spans="1:23" x14ac:dyDescent="0.25">
      <c r="A119" t="s">
        <v>164</v>
      </c>
      <c r="B119" t="s">
        <v>1284</v>
      </c>
      <c r="C119">
        <v>-12</v>
      </c>
      <c r="D119" s="105">
        <v>39703928.780000001</v>
      </c>
      <c r="E119" t="s">
        <v>1467</v>
      </c>
      <c r="F119" s="105">
        <v>674966.79</v>
      </c>
      <c r="G119" s="105">
        <v>59246620.770000003</v>
      </c>
      <c r="H119" s="143">
        <v>42427.511391203705</v>
      </c>
      <c r="I119" s="143">
        <v>43896</v>
      </c>
      <c r="J119" t="s">
        <v>165</v>
      </c>
      <c r="K119" t="s">
        <v>166</v>
      </c>
      <c r="L119" t="s">
        <v>167</v>
      </c>
      <c r="M119">
        <v>102423</v>
      </c>
      <c r="N119" t="s">
        <v>163</v>
      </c>
      <c r="O119" t="s">
        <v>44</v>
      </c>
      <c r="P119" t="s">
        <v>75</v>
      </c>
      <c r="Q119" t="s">
        <v>26</v>
      </c>
      <c r="R119" s="105">
        <f>IF(Table__192.168.1.150_Daily_Delinquency_With_Sectors[[#This Row],[Days in Arrears]] &gt; 0, Table__192.168.1.150_Daily_Delinquency_With_Sectors[[#This Row],[Outstanding Balance]],0)</f>
        <v>0</v>
      </c>
      <c r="S119" s="105">
        <f>IF(Table__192.168.1.150_Daily_Delinquency_With_Sectors[[#This Row],[Days in Arrears]] &gt; 30, Table__192.168.1.150_Daily_Delinquency_With_Sectors[[#This Row],[Outstanding Balance]],0)</f>
        <v>0</v>
      </c>
      <c r="T119" s="105">
        <f>IF(Table__192.168.1.150_Daily_Delinquency_With_Sectors[[#This Row],[Days in Arrears]] &gt; 90, Table__192.168.1.150_Daily_Delinquency_With_Sectors[[#This Row],[Outstanding Balance]],0)</f>
        <v>0</v>
      </c>
      <c r="U119" s="109">
        <f>IF(Table__192.168.1.150_Daily_Delinquency_With_Sectors[[#This Row],[Days in Arrears]] &gt;= 1,1,0)</f>
        <v>0</v>
      </c>
      <c r="V119" s="109">
        <f>IF(Table__192.168.1.150_Daily_Delinquency_With_Sectors[[#This Row],[Days in Arrears]] &gt; 30,1,0)</f>
        <v>0</v>
      </c>
      <c r="W119" s="109">
        <f>IF(Table__192.168.1.150_Daily_Delinquency_With_Sectors[[#This Row],[Days in Arrears]] &gt; 90,1,0)</f>
        <v>0</v>
      </c>
    </row>
    <row r="120" spans="1:23" x14ac:dyDescent="0.25">
      <c r="A120" t="s">
        <v>908</v>
      </c>
      <c r="B120" t="s">
        <v>1283</v>
      </c>
      <c r="C120">
        <v>30</v>
      </c>
      <c r="D120" s="105">
        <v>14161111.449999999</v>
      </c>
      <c r="E120" t="s">
        <v>1191</v>
      </c>
      <c r="F120" s="105">
        <v>336365.96</v>
      </c>
      <c r="G120" s="105">
        <v>15043877.02</v>
      </c>
      <c r="H120" s="143">
        <v>42427.581274999997</v>
      </c>
      <c r="I120" s="143">
        <v>43155</v>
      </c>
      <c r="J120" t="s">
        <v>909</v>
      </c>
      <c r="K120" t="s">
        <v>910</v>
      </c>
      <c r="L120" t="s">
        <v>1280</v>
      </c>
      <c r="M120">
        <v>102424</v>
      </c>
      <c r="N120" t="s">
        <v>902</v>
      </c>
      <c r="O120" t="s">
        <v>25</v>
      </c>
      <c r="P120" t="s">
        <v>106</v>
      </c>
      <c r="Q120" t="s">
        <v>107</v>
      </c>
      <c r="R120" s="105">
        <f>IF(Table__192.168.1.150_Daily_Delinquency_With_Sectors[[#This Row],[Days in Arrears]] &gt; 0, Table__192.168.1.150_Daily_Delinquency_With_Sectors[[#This Row],[Outstanding Balance]],0)</f>
        <v>14161111.449999999</v>
      </c>
      <c r="S120" s="105">
        <f>IF(Table__192.168.1.150_Daily_Delinquency_With_Sectors[[#This Row],[Days in Arrears]] &gt; 30, Table__192.168.1.150_Daily_Delinquency_With_Sectors[[#This Row],[Outstanding Balance]],0)</f>
        <v>0</v>
      </c>
      <c r="T120" s="105">
        <f>IF(Table__192.168.1.150_Daily_Delinquency_With_Sectors[[#This Row],[Days in Arrears]] &gt; 90, Table__192.168.1.150_Daily_Delinquency_With_Sectors[[#This Row],[Outstanding Balance]],0)</f>
        <v>0</v>
      </c>
      <c r="U120" s="109">
        <f>IF(Table__192.168.1.150_Daily_Delinquency_With_Sectors[[#This Row],[Days in Arrears]] &gt;= 1,1,0)</f>
        <v>1</v>
      </c>
      <c r="V120" s="109">
        <f>IF(Table__192.168.1.150_Daily_Delinquency_With_Sectors[[#This Row],[Days in Arrears]] &gt; 30,1,0)</f>
        <v>0</v>
      </c>
      <c r="W120" s="109">
        <f>IF(Table__192.168.1.150_Daily_Delinquency_With_Sectors[[#This Row],[Days in Arrears]] &gt; 90,1,0)</f>
        <v>0</v>
      </c>
    </row>
    <row r="121" spans="1:23" x14ac:dyDescent="0.25">
      <c r="A121" t="s">
        <v>552</v>
      </c>
      <c r="B121" t="s">
        <v>1283</v>
      </c>
      <c r="C121">
        <v>17</v>
      </c>
      <c r="D121" s="105">
        <v>20400269.43</v>
      </c>
      <c r="E121" t="s">
        <v>2855</v>
      </c>
      <c r="F121" s="105">
        <v>325321.93</v>
      </c>
      <c r="G121" s="105">
        <v>25966803.949999999</v>
      </c>
      <c r="H121" s="143">
        <v>42427.614638923609</v>
      </c>
      <c r="I121" s="143">
        <v>43531</v>
      </c>
      <c r="J121" t="s">
        <v>553</v>
      </c>
      <c r="K121" t="s">
        <v>554</v>
      </c>
      <c r="L121" t="s">
        <v>1280</v>
      </c>
      <c r="M121">
        <v>102425</v>
      </c>
      <c r="N121" t="s">
        <v>551</v>
      </c>
      <c r="O121" t="s">
        <v>25</v>
      </c>
      <c r="P121" t="s">
        <v>290</v>
      </c>
      <c r="Q121" t="s">
        <v>1824</v>
      </c>
      <c r="R121" s="105">
        <f>IF(Table__192.168.1.150_Daily_Delinquency_With_Sectors[[#This Row],[Days in Arrears]] &gt; 0, Table__192.168.1.150_Daily_Delinquency_With_Sectors[[#This Row],[Outstanding Balance]],0)</f>
        <v>20400269.43</v>
      </c>
      <c r="S121" s="105">
        <f>IF(Table__192.168.1.150_Daily_Delinquency_With_Sectors[[#This Row],[Days in Arrears]] &gt; 30, Table__192.168.1.150_Daily_Delinquency_With_Sectors[[#This Row],[Outstanding Balance]],0)</f>
        <v>0</v>
      </c>
      <c r="T121" s="105">
        <f>IF(Table__192.168.1.150_Daily_Delinquency_With_Sectors[[#This Row],[Days in Arrears]] &gt; 90, Table__192.168.1.150_Daily_Delinquency_With_Sectors[[#This Row],[Outstanding Balance]],0)</f>
        <v>0</v>
      </c>
      <c r="U121" s="109">
        <f>IF(Table__192.168.1.150_Daily_Delinquency_With_Sectors[[#This Row],[Days in Arrears]] &gt;= 1,1,0)</f>
        <v>1</v>
      </c>
      <c r="V121" s="109">
        <f>IF(Table__192.168.1.150_Daily_Delinquency_With_Sectors[[#This Row],[Days in Arrears]] &gt; 30,1,0)</f>
        <v>0</v>
      </c>
      <c r="W121" s="109">
        <f>IF(Table__192.168.1.150_Daily_Delinquency_With_Sectors[[#This Row],[Days in Arrears]] &gt; 90,1,0)</f>
        <v>0</v>
      </c>
    </row>
    <row r="122" spans="1:23" x14ac:dyDescent="0.25">
      <c r="A122" t="s">
        <v>360</v>
      </c>
      <c r="B122" t="s">
        <v>1283</v>
      </c>
      <c r="C122">
        <v>52</v>
      </c>
      <c r="D122" s="105">
        <v>32676053.670000002</v>
      </c>
      <c r="E122" t="s">
        <v>468</v>
      </c>
      <c r="F122" s="105">
        <v>1939251</v>
      </c>
      <c r="G122" s="105">
        <v>50013241.759999998</v>
      </c>
      <c r="H122" s="143">
        <v>42429.693336076387</v>
      </c>
      <c r="I122" s="143">
        <v>43892</v>
      </c>
      <c r="J122" t="s">
        <v>361</v>
      </c>
      <c r="K122" t="s">
        <v>362</v>
      </c>
      <c r="L122" t="s">
        <v>1280</v>
      </c>
      <c r="M122">
        <v>102426</v>
      </c>
      <c r="N122" t="s">
        <v>359</v>
      </c>
      <c r="O122" t="s">
        <v>25</v>
      </c>
      <c r="P122" t="s">
        <v>26</v>
      </c>
      <c r="Q122" t="s">
        <v>26</v>
      </c>
      <c r="R122" s="105">
        <f>IF(Table__192.168.1.150_Daily_Delinquency_With_Sectors[[#This Row],[Days in Arrears]] &gt; 0, Table__192.168.1.150_Daily_Delinquency_With_Sectors[[#This Row],[Outstanding Balance]],0)</f>
        <v>32676053.670000002</v>
      </c>
      <c r="S122" s="105">
        <f>IF(Table__192.168.1.150_Daily_Delinquency_With_Sectors[[#This Row],[Days in Arrears]] &gt; 30, Table__192.168.1.150_Daily_Delinquency_With_Sectors[[#This Row],[Outstanding Balance]],0)</f>
        <v>32676053.670000002</v>
      </c>
      <c r="T122" s="105">
        <f>IF(Table__192.168.1.150_Daily_Delinquency_With_Sectors[[#This Row],[Days in Arrears]] &gt; 90, Table__192.168.1.150_Daily_Delinquency_With_Sectors[[#This Row],[Outstanding Balance]],0)</f>
        <v>0</v>
      </c>
      <c r="U122" s="109">
        <f>IF(Table__192.168.1.150_Daily_Delinquency_With_Sectors[[#This Row],[Days in Arrears]] &gt;= 1,1,0)</f>
        <v>1</v>
      </c>
      <c r="V122" s="109">
        <f>IF(Table__192.168.1.150_Daily_Delinquency_With_Sectors[[#This Row],[Days in Arrears]] &gt; 30,1,0)</f>
        <v>1</v>
      </c>
      <c r="W122" s="109">
        <f>IF(Table__192.168.1.150_Daily_Delinquency_With_Sectors[[#This Row],[Days in Arrears]] &gt; 90,1,0)</f>
        <v>0</v>
      </c>
    </row>
    <row r="123" spans="1:23" x14ac:dyDescent="0.25">
      <c r="A123" t="s">
        <v>576</v>
      </c>
      <c r="B123" t="s">
        <v>1850</v>
      </c>
      <c r="C123">
        <v>-16</v>
      </c>
      <c r="D123" s="105">
        <v>37890293.920000002</v>
      </c>
      <c r="E123" t="s">
        <v>546</v>
      </c>
      <c r="F123" s="105">
        <v>492573.82</v>
      </c>
      <c r="G123" s="105">
        <v>56469725.68</v>
      </c>
      <c r="H123" s="143">
        <v>42429.801953321759</v>
      </c>
      <c r="I123" s="143">
        <v>43900</v>
      </c>
      <c r="J123" t="s">
        <v>577</v>
      </c>
      <c r="K123" t="s">
        <v>578</v>
      </c>
      <c r="L123" t="s">
        <v>1280</v>
      </c>
      <c r="M123">
        <v>102430</v>
      </c>
      <c r="N123" t="s">
        <v>570</v>
      </c>
      <c r="O123" t="s">
        <v>25</v>
      </c>
      <c r="P123" t="s">
        <v>106</v>
      </c>
      <c r="Q123" t="s">
        <v>107</v>
      </c>
      <c r="R123" s="105">
        <f>IF(Table__192.168.1.150_Daily_Delinquency_With_Sectors[[#This Row],[Days in Arrears]] &gt; 0, Table__192.168.1.150_Daily_Delinquency_With_Sectors[[#This Row],[Outstanding Balance]],0)</f>
        <v>0</v>
      </c>
      <c r="S123" s="105">
        <f>IF(Table__192.168.1.150_Daily_Delinquency_With_Sectors[[#This Row],[Days in Arrears]] &gt; 30, Table__192.168.1.150_Daily_Delinquency_With_Sectors[[#This Row],[Outstanding Balance]],0)</f>
        <v>0</v>
      </c>
      <c r="T123" s="105">
        <f>IF(Table__192.168.1.150_Daily_Delinquency_With_Sectors[[#This Row],[Days in Arrears]] &gt; 90, Table__192.168.1.150_Daily_Delinquency_With_Sectors[[#This Row],[Outstanding Balance]],0)</f>
        <v>0</v>
      </c>
      <c r="U123" s="109">
        <f>IF(Table__192.168.1.150_Daily_Delinquency_With_Sectors[[#This Row],[Days in Arrears]] &gt;= 1,1,0)</f>
        <v>0</v>
      </c>
      <c r="V123" s="109">
        <f>IF(Table__192.168.1.150_Daily_Delinquency_With_Sectors[[#This Row],[Days in Arrears]] &gt; 30,1,0)</f>
        <v>0</v>
      </c>
      <c r="W123" s="109">
        <f>IF(Table__192.168.1.150_Daily_Delinquency_With_Sectors[[#This Row],[Days in Arrears]] &gt; 90,1,0)</f>
        <v>0</v>
      </c>
    </row>
    <row r="124" spans="1:23" x14ac:dyDescent="0.25">
      <c r="A124" t="s">
        <v>1009</v>
      </c>
      <c r="B124" t="s">
        <v>1283</v>
      </c>
      <c r="C124">
        <v>-17</v>
      </c>
      <c r="D124" s="105">
        <v>35511680.869999997</v>
      </c>
      <c r="E124" t="s">
        <v>86</v>
      </c>
      <c r="F124" s="105">
        <v>426140.17</v>
      </c>
      <c r="G124" s="105">
        <v>52988394.75</v>
      </c>
      <c r="H124" s="143">
        <v>42430.377102164355</v>
      </c>
      <c r="I124" s="143">
        <v>43901</v>
      </c>
      <c r="J124" t="s">
        <v>1010</v>
      </c>
      <c r="K124" t="s">
        <v>1280</v>
      </c>
      <c r="L124" t="s">
        <v>1280</v>
      </c>
      <c r="M124">
        <v>102431</v>
      </c>
      <c r="N124" t="s">
        <v>1006</v>
      </c>
      <c r="O124" t="s">
        <v>44</v>
      </c>
      <c r="P124" t="s">
        <v>75</v>
      </c>
      <c r="Q124" t="s">
        <v>1442</v>
      </c>
      <c r="R124" s="105">
        <f>IF(Table__192.168.1.150_Daily_Delinquency_With_Sectors[[#This Row],[Days in Arrears]] &gt; 0, Table__192.168.1.150_Daily_Delinquency_With_Sectors[[#This Row],[Outstanding Balance]],0)</f>
        <v>0</v>
      </c>
      <c r="S124" s="105">
        <f>IF(Table__192.168.1.150_Daily_Delinquency_With_Sectors[[#This Row],[Days in Arrears]] &gt; 30, Table__192.168.1.150_Daily_Delinquency_With_Sectors[[#This Row],[Outstanding Balance]],0)</f>
        <v>0</v>
      </c>
      <c r="T124" s="105">
        <f>IF(Table__192.168.1.150_Daily_Delinquency_With_Sectors[[#This Row],[Days in Arrears]] &gt; 90, Table__192.168.1.150_Daily_Delinquency_With_Sectors[[#This Row],[Outstanding Balance]],0)</f>
        <v>0</v>
      </c>
      <c r="U124" s="109">
        <f>IF(Table__192.168.1.150_Daily_Delinquency_With_Sectors[[#This Row],[Days in Arrears]] &gt;= 1,1,0)</f>
        <v>0</v>
      </c>
      <c r="V124" s="109">
        <f>IF(Table__192.168.1.150_Daily_Delinquency_With_Sectors[[#This Row],[Days in Arrears]] &gt; 30,1,0)</f>
        <v>0</v>
      </c>
      <c r="W124" s="109">
        <f>IF(Table__192.168.1.150_Daily_Delinquency_With_Sectors[[#This Row],[Days in Arrears]] &gt; 90,1,0)</f>
        <v>0</v>
      </c>
    </row>
    <row r="125" spans="1:23" x14ac:dyDescent="0.25">
      <c r="A125" t="s">
        <v>1105</v>
      </c>
      <c r="B125" t="s">
        <v>1850</v>
      </c>
      <c r="C125">
        <v>14</v>
      </c>
      <c r="D125" s="105">
        <v>36671845.369999997</v>
      </c>
      <c r="E125" t="s">
        <v>546</v>
      </c>
      <c r="F125" s="105">
        <v>1099344.3799999999</v>
      </c>
      <c r="G125" s="105">
        <v>55423093.659999996</v>
      </c>
      <c r="H125" s="143">
        <v>42431.627083680556</v>
      </c>
      <c r="I125" s="143">
        <v>43900</v>
      </c>
      <c r="J125" t="s">
        <v>1106</v>
      </c>
      <c r="K125" t="s">
        <v>1280</v>
      </c>
      <c r="L125" t="s">
        <v>1280</v>
      </c>
      <c r="M125">
        <v>102434</v>
      </c>
      <c r="N125" t="s">
        <v>1100</v>
      </c>
      <c r="O125" t="s">
        <v>25</v>
      </c>
      <c r="P125" t="s">
        <v>88</v>
      </c>
      <c r="Q125" t="s">
        <v>285</v>
      </c>
      <c r="R125" s="105">
        <f>IF(Table__192.168.1.150_Daily_Delinquency_With_Sectors[[#This Row],[Days in Arrears]] &gt; 0, Table__192.168.1.150_Daily_Delinquency_With_Sectors[[#This Row],[Outstanding Balance]],0)</f>
        <v>36671845.369999997</v>
      </c>
      <c r="S125" s="105">
        <f>IF(Table__192.168.1.150_Daily_Delinquency_With_Sectors[[#This Row],[Days in Arrears]] &gt; 30, Table__192.168.1.150_Daily_Delinquency_With_Sectors[[#This Row],[Outstanding Balance]],0)</f>
        <v>0</v>
      </c>
      <c r="T125" s="105">
        <f>IF(Table__192.168.1.150_Daily_Delinquency_With_Sectors[[#This Row],[Days in Arrears]] &gt; 90, Table__192.168.1.150_Daily_Delinquency_With_Sectors[[#This Row],[Outstanding Balance]],0)</f>
        <v>0</v>
      </c>
      <c r="U125" s="109">
        <f>IF(Table__192.168.1.150_Daily_Delinquency_With_Sectors[[#This Row],[Days in Arrears]] &gt;= 1,1,0)</f>
        <v>1</v>
      </c>
      <c r="V125" s="109">
        <f>IF(Table__192.168.1.150_Daily_Delinquency_With_Sectors[[#This Row],[Days in Arrears]] &gt; 30,1,0)</f>
        <v>0</v>
      </c>
      <c r="W125" s="109">
        <f>IF(Table__192.168.1.150_Daily_Delinquency_With_Sectors[[#This Row],[Days in Arrears]] &gt; 90,1,0)</f>
        <v>0</v>
      </c>
    </row>
    <row r="126" spans="1:23" x14ac:dyDescent="0.25">
      <c r="A126" t="s">
        <v>1277</v>
      </c>
      <c r="B126" t="s">
        <v>1284</v>
      </c>
      <c r="C126">
        <v>20</v>
      </c>
      <c r="D126" s="105">
        <v>28343734.399999999</v>
      </c>
      <c r="E126" t="s">
        <v>546</v>
      </c>
      <c r="F126" s="105">
        <v>2188711.61</v>
      </c>
      <c r="G126" s="105">
        <v>36461009.710000001</v>
      </c>
      <c r="H126" s="143">
        <v>42433.590518518518</v>
      </c>
      <c r="I126" s="143">
        <v>43528</v>
      </c>
      <c r="J126" t="s">
        <v>1278</v>
      </c>
      <c r="K126" t="s">
        <v>1280</v>
      </c>
      <c r="L126" t="s">
        <v>1280</v>
      </c>
      <c r="M126">
        <v>102437</v>
      </c>
      <c r="N126" t="s">
        <v>622</v>
      </c>
      <c r="O126" t="s">
        <v>44</v>
      </c>
      <c r="P126" t="s">
        <v>75</v>
      </c>
      <c r="Q126" t="s">
        <v>26</v>
      </c>
      <c r="R126" s="105">
        <f>IF(Table__192.168.1.150_Daily_Delinquency_With_Sectors[[#This Row],[Days in Arrears]] &gt; 0, Table__192.168.1.150_Daily_Delinquency_With_Sectors[[#This Row],[Outstanding Balance]],0)</f>
        <v>28343734.399999999</v>
      </c>
      <c r="S126" s="105">
        <f>IF(Table__192.168.1.150_Daily_Delinquency_With_Sectors[[#This Row],[Days in Arrears]] &gt; 30, Table__192.168.1.150_Daily_Delinquency_With_Sectors[[#This Row],[Outstanding Balance]],0)</f>
        <v>0</v>
      </c>
      <c r="T126" s="105">
        <f>IF(Table__192.168.1.150_Daily_Delinquency_With_Sectors[[#This Row],[Days in Arrears]] &gt; 90, Table__192.168.1.150_Daily_Delinquency_With_Sectors[[#This Row],[Outstanding Balance]],0)</f>
        <v>0</v>
      </c>
      <c r="U126" s="109">
        <f>IF(Table__192.168.1.150_Daily_Delinquency_With_Sectors[[#This Row],[Days in Arrears]] &gt;= 1,1,0)</f>
        <v>1</v>
      </c>
      <c r="V126" s="109">
        <f>IF(Table__192.168.1.150_Daily_Delinquency_With_Sectors[[#This Row],[Days in Arrears]] &gt; 30,1,0)</f>
        <v>0</v>
      </c>
      <c r="W126" s="109">
        <f>IF(Table__192.168.1.150_Daily_Delinquency_With_Sectors[[#This Row],[Days in Arrears]] &gt; 90,1,0)</f>
        <v>0</v>
      </c>
    </row>
    <row r="127" spans="1:23" x14ac:dyDescent="0.25">
      <c r="A127" t="s">
        <v>514</v>
      </c>
      <c r="B127" t="s">
        <v>1281</v>
      </c>
      <c r="C127">
        <v>20</v>
      </c>
      <c r="D127" s="105">
        <v>5623301.6799999997</v>
      </c>
      <c r="E127" t="s">
        <v>86</v>
      </c>
      <c r="F127" s="105">
        <v>298220.53999999998</v>
      </c>
      <c r="G127" s="105">
        <v>6227282.8700000001</v>
      </c>
      <c r="H127" s="143">
        <v>42433.703201620374</v>
      </c>
      <c r="I127" s="143">
        <v>43163</v>
      </c>
      <c r="J127" t="s">
        <v>515</v>
      </c>
      <c r="K127" t="s">
        <v>516</v>
      </c>
      <c r="L127" t="s">
        <v>1280</v>
      </c>
      <c r="M127">
        <v>102439</v>
      </c>
      <c r="N127" t="s">
        <v>508</v>
      </c>
      <c r="O127" t="s">
        <v>25</v>
      </c>
      <c r="P127" t="s">
        <v>106</v>
      </c>
      <c r="Q127" t="s">
        <v>107</v>
      </c>
      <c r="R127" s="105">
        <f>IF(Table__192.168.1.150_Daily_Delinquency_With_Sectors[[#This Row],[Days in Arrears]] &gt; 0, Table__192.168.1.150_Daily_Delinquency_With_Sectors[[#This Row],[Outstanding Balance]],0)</f>
        <v>5623301.6799999997</v>
      </c>
      <c r="S127" s="105">
        <f>IF(Table__192.168.1.150_Daily_Delinquency_With_Sectors[[#This Row],[Days in Arrears]] &gt; 30, Table__192.168.1.150_Daily_Delinquency_With_Sectors[[#This Row],[Outstanding Balance]],0)</f>
        <v>0</v>
      </c>
      <c r="T127" s="105">
        <f>IF(Table__192.168.1.150_Daily_Delinquency_With_Sectors[[#This Row],[Days in Arrears]] &gt; 90, Table__192.168.1.150_Daily_Delinquency_With_Sectors[[#This Row],[Outstanding Balance]],0)</f>
        <v>0</v>
      </c>
      <c r="U127" s="109">
        <f>IF(Table__192.168.1.150_Daily_Delinquency_With_Sectors[[#This Row],[Days in Arrears]] &gt;= 1,1,0)</f>
        <v>1</v>
      </c>
      <c r="V127" s="109">
        <f>IF(Table__192.168.1.150_Daily_Delinquency_With_Sectors[[#This Row],[Days in Arrears]] &gt; 30,1,0)</f>
        <v>0</v>
      </c>
      <c r="W127" s="109">
        <f>IF(Table__192.168.1.150_Daily_Delinquency_With_Sectors[[#This Row],[Days in Arrears]] &gt; 90,1,0)</f>
        <v>0</v>
      </c>
    </row>
    <row r="128" spans="1:23" x14ac:dyDescent="0.25">
      <c r="A128" t="s">
        <v>1147</v>
      </c>
      <c r="B128" t="s">
        <v>1283</v>
      </c>
      <c r="C128">
        <v>190</v>
      </c>
      <c r="D128" s="105">
        <v>22352970.59</v>
      </c>
      <c r="E128" t="s">
        <v>5726</v>
      </c>
      <c r="F128" s="105">
        <v>1183820.78</v>
      </c>
      <c r="G128" s="105">
        <v>26831005.379999999</v>
      </c>
      <c r="H128" s="143">
        <v>42438.497540509263</v>
      </c>
      <c r="I128" s="143">
        <v>43173</v>
      </c>
      <c r="J128" t="s">
        <v>1859</v>
      </c>
      <c r="K128" t="s">
        <v>1280</v>
      </c>
      <c r="L128" t="s">
        <v>1280</v>
      </c>
      <c r="M128">
        <v>102444</v>
      </c>
      <c r="N128" t="s">
        <v>1858</v>
      </c>
      <c r="O128" t="s">
        <v>27</v>
      </c>
      <c r="P128" t="s">
        <v>81</v>
      </c>
      <c r="Q128" t="s">
        <v>26</v>
      </c>
      <c r="R128" s="105">
        <f>IF(Table__192.168.1.150_Daily_Delinquency_With_Sectors[[#This Row],[Days in Arrears]] &gt; 0, Table__192.168.1.150_Daily_Delinquency_With_Sectors[[#This Row],[Outstanding Balance]],0)</f>
        <v>22352970.59</v>
      </c>
      <c r="S128" s="105">
        <f>IF(Table__192.168.1.150_Daily_Delinquency_With_Sectors[[#This Row],[Days in Arrears]] &gt; 30, Table__192.168.1.150_Daily_Delinquency_With_Sectors[[#This Row],[Outstanding Balance]],0)</f>
        <v>22352970.59</v>
      </c>
      <c r="T128" s="105">
        <f>IF(Table__192.168.1.150_Daily_Delinquency_With_Sectors[[#This Row],[Days in Arrears]] &gt; 90, Table__192.168.1.150_Daily_Delinquency_With_Sectors[[#This Row],[Outstanding Balance]],0)</f>
        <v>22352970.59</v>
      </c>
      <c r="U128" s="109">
        <f>IF(Table__192.168.1.150_Daily_Delinquency_With_Sectors[[#This Row],[Days in Arrears]] &gt;= 1,1,0)</f>
        <v>1</v>
      </c>
      <c r="V128" s="109">
        <f>IF(Table__192.168.1.150_Daily_Delinquency_With_Sectors[[#This Row],[Days in Arrears]] &gt; 30,1,0)</f>
        <v>1</v>
      </c>
      <c r="W128" s="109">
        <f>IF(Table__192.168.1.150_Daily_Delinquency_With_Sectors[[#This Row],[Days in Arrears]] &gt; 90,1,0)</f>
        <v>1</v>
      </c>
    </row>
    <row r="129" spans="1:23" x14ac:dyDescent="0.25">
      <c r="A129" t="s">
        <v>1574</v>
      </c>
      <c r="B129" t="s">
        <v>1850</v>
      </c>
      <c r="C129">
        <v>-21</v>
      </c>
      <c r="D129" s="105">
        <v>29449895.48</v>
      </c>
      <c r="E129" t="s">
        <v>1467</v>
      </c>
      <c r="F129" s="105">
        <v>235599.16</v>
      </c>
      <c r="G129" s="105">
        <v>43945444.380000003</v>
      </c>
      <c r="H129" s="143">
        <v>42440.763313275464</v>
      </c>
      <c r="I129" s="143">
        <v>43905</v>
      </c>
      <c r="J129" t="s">
        <v>1575</v>
      </c>
      <c r="K129" t="s">
        <v>1280</v>
      </c>
      <c r="L129" t="s">
        <v>1280</v>
      </c>
      <c r="M129">
        <v>102449</v>
      </c>
      <c r="N129" t="s">
        <v>1555</v>
      </c>
      <c r="O129" t="s">
        <v>44</v>
      </c>
      <c r="P129" t="s">
        <v>92</v>
      </c>
      <c r="Q129" t="s">
        <v>92</v>
      </c>
      <c r="R129" s="105">
        <f>IF(Table__192.168.1.150_Daily_Delinquency_With_Sectors[[#This Row],[Days in Arrears]] &gt; 0, Table__192.168.1.150_Daily_Delinquency_With_Sectors[[#This Row],[Outstanding Balance]],0)</f>
        <v>0</v>
      </c>
      <c r="S129" s="105">
        <f>IF(Table__192.168.1.150_Daily_Delinquency_With_Sectors[[#This Row],[Days in Arrears]] &gt; 30, Table__192.168.1.150_Daily_Delinquency_With_Sectors[[#This Row],[Outstanding Balance]],0)</f>
        <v>0</v>
      </c>
      <c r="T129" s="105">
        <f>IF(Table__192.168.1.150_Daily_Delinquency_With_Sectors[[#This Row],[Days in Arrears]] &gt; 90, Table__192.168.1.150_Daily_Delinquency_With_Sectors[[#This Row],[Outstanding Balance]],0)</f>
        <v>0</v>
      </c>
      <c r="U129" s="109">
        <f>IF(Table__192.168.1.150_Daily_Delinquency_With_Sectors[[#This Row],[Days in Arrears]] &gt;= 1,1,0)</f>
        <v>0</v>
      </c>
      <c r="V129" s="109">
        <f>IF(Table__192.168.1.150_Daily_Delinquency_With_Sectors[[#This Row],[Days in Arrears]] &gt; 30,1,0)</f>
        <v>0</v>
      </c>
      <c r="W129" s="109">
        <f>IF(Table__192.168.1.150_Daily_Delinquency_With_Sectors[[#This Row],[Days in Arrears]] &gt; 90,1,0)</f>
        <v>0</v>
      </c>
    </row>
    <row r="130" spans="1:23" x14ac:dyDescent="0.25">
      <c r="A130" t="s">
        <v>1092</v>
      </c>
      <c r="B130" t="s">
        <v>1284</v>
      </c>
      <c r="C130">
        <v>-26</v>
      </c>
      <c r="D130" s="105">
        <v>29849867.420000002</v>
      </c>
      <c r="E130" t="s">
        <v>1467</v>
      </c>
      <c r="F130" s="105">
        <v>89549.6</v>
      </c>
      <c r="G130" s="105">
        <v>44542286.539999999</v>
      </c>
      <c r="H130" s="143">
        <v>42444.561077280094</v>
      </c>
      <c r="I130" s="143">
        <v>43910</v>
      </c>
      <c r="J130" t="s">
        <v>1093</v>
      </c>
      <c r="K130" t="s">
        <v>1094</v>
      </c>
      <c r="L130" t="s">
        <v>1280</v>
      </c>
      <c r="M130">
        <v>102453</v>
      </c>
      <c r="N130" t="s">
        <v>1091</v>
      </c>
      <c r="O130" t="s">
        <v>44</v>
      </c>
      <c r="P130" t="s">
        <v>92</v>
      </c>
      <c r="Q130" t="s">
        <v>26</v>
      </c>
      <c r="R130" s="105">
        <f>IF(Table__192.168.1.150_Daily_Delinquency_With_Sectors[[#This Row],[Days in Arrears]] &gt; 0, Table__192.168.1.150_Daily_Delinquency_With_Sectors[[#This Row],[Outstanding Balance]],0)</f>
        <v>0</v>
      </c>
      <c r="S130" s="105">
        <f>IF(Table__192.168.1.150_Daily_Delinquency_With_Sectors[[#This Row],[Days in Arrears]] &gt; 30, Table__192.168.1.150_Daily_Delinquency_With_Sectors[[#This Row],[Outstanding Balance]],0)</f>
        <v>0</v>
      </c>
      <c r="T130" s="105">
        <f>IF(Table__192.168.1.150_Daily_Delinquency_With_Sectors[[#This Row],[Days in Arrears]] &gt; 90, Table__192.168.1.150_Daily_Delinquency_With_Sectors[[#This Row],[Outstanding Balance]],0)</f>
        <v>0</v>
      </c>
      <c r="U130" s="109">
        <f>IF(Table__192.168.1.150_Daily_Delinquency_With_Sectors[[#This Row],[Days in Arrears]] &gt;= 1,1,0)</f>
        <v>0</v>
      </c>
      <c r="V130" s="109">
        <f>IF(Table__192.168.1.150_Daily_Delinquency_With_Sectors[[#This Row],[Days in Arrears]] &gt; 30,1,0)</f>
        <v>0</v>
      </c>
      <c r="W130" s="109">
        <f>IF(Table__192.168.1.150_Daily_Delinquency_With_Sectors[[#This Row],[Days in Arrears]] &gt; 90,1,0)</f>
        <v>0</v>
      </c>
    </row>
    <row r="131" spans="1:23" x14ac:dyDescent="0.25">
      <c r="A131" t="s">
        <v>1876</v>
      </c>
      <c r="B131" t="s">
        <v>1281</v>
      </c>
      <c r="C131">
        <v>-22</v>
      </c>
      <c r="D131" s="105">
        <v>6666053.0499999998</v>
      </c>
      <c r="E131" t="s">
        <v>1191</v>
      </c>
      <c r="F131" s="105">
        <v>62216.5</v>
      </c>
      <c r="G131" s="105">
        <v>7345725.0300000003</v>
      </c>
      <c r="H131" s="143">
        <v>42445.698319444447</v>
      </c>
      <c r="I131" s="143">
        <v>43175</v>
      </c>
      <c r="J131" t="s">
        <v>1877</v>
      </c>
      <c r="K131" t="s">
        <v>1280</v>
      </c>
      <c r="L131" t="s">
        <v>1280</v>
      </c>
      <c r="M131">
        <v>102457</v>
      </c>
      <c r="N131" t="s">
        <v>1869</v>
      </c>
      <c r="O131" t="s">
        <v>25</v>
      </c>
      <c r="P131" t="s">
        <v>26</v>
      </c>
      <c r="Q131" t="s">
        <v>26</v>
      </c>
      <c r="R131" s="105">
        <f>IF(Table__192.168.1.150_Daily_Delinquency_With_Sectors[[#This Row],[Days in Arrears]] &gt; 0, Table__192.168.1.150_Daily_Delinquency_With_Sectors[[#This Row],[Outstanding Balance]],0)</f>
        <v>0</v>
      </c>
      <c r="S131" s="105">
        <f>IF(Table__192.168.1.150_Daily_Delinquency_With_Sectors[[#This Row],[Days in Arrears]] &gt; 30, Table__192.168.1.150_Daily_Delinquency_With_Sectors[[#This Row],[Outstanding Balance]],0)</f>
        <v>0</v>
      </c>
      <c r="T131" s="105">
        <f>IF(Table__192.168.1.150_Daily_Delinquency_With_Sectors[[#This Row],[Days in Arrears]] &gt; 90, Table__192.168.1.150_Daily_Delinquency_With_Sectors[[#This Row],[Outstanding Balance]],0)</f>
        <v>0</v>
      </c>
      <c r="U131" s="109">
        <f>IF(Table__192.168.1.150_Daily_Delinquency_With_Sectors[[#This Row],[Days in Arrears]] &gt;= 1,1,0)</f>
        <v>0</v>
      </c>
      <c r="V131" s="109">
        <f>IF(Table__192.168.1.150_Daily_Delinquency_With_Sectors[[#This Row],[Days in Arrears]] &gt; 30,1,0)</f>
        <v>0</v>
      </c>
      <c r="W131" s="109">
        <f>IF(Table__192.168.1.150_Daily_Delinquency_With_Sectors[[#This Row],[Days in Arrears]] &gt; 90,1,0)</f>
        <v>0</v>
      </c>
    </row>
    <row r="132" spans="1:23" x14ac:dyDescent="0.25">
      <c r="A132" t="s">
        <v>1879</v>
      </c>
      <c r="B132" t="s">
        <v>1283</v>
      </c>
      <c r="C132">
        <v>7</v>
      </c>
      <c r="D132" s="105">
        <v>28100045.739999998</v>
      </c>
      <c r="E132" t="s">
        <v>5167</v>
      </c>
      <c r="F132" s="105">
        <v>184616.05</v>
      </c>
      <c r="G132" s="105">
        <v>36586472.240000002</v>
      </c>
      <c r="H132" s="143">
        <v>42446.599923877315</v>
      </c>
      <c r="I132" s="143">
        <v>43541</v>
      </c>
      <c r="J132" t="s">
        <v>1880</v>
      </c>
      <c r="K132" t="s">
        <v>1280</v>
      </c>
      <c r="L132" t="s">
        <v>1881</v>
      </c>
      <c r="M132">
        <v>102459</v>
      </c>
      <c r="N132" t="s">
        <v>1878</v>
      </c>
      <c r="O132" t="s">
        <v>44</v>
      </c>
      <c r="P132" t="s">
        <v>26</v>
      </c>
      <c r="Q132" t="s">
        <v>26</v>
      </c>
      <c r="R132" s="105">
        <f>IF(Table__192.168.1.150_Daily_Delinquency_With_Sectors[[#This Row],[Days in Arrears]] &gt; 0, Table__192.168.1.150_Daily_Delinquency_With_Sectors[[#This Row],[Outstanding Balance]],0)</f>
        <v>28100045.739999998</v>
      </c>
      <c r="S132" s="105">
        <f>IF(Table__192.168.1.150_Daily_Delinquency_With_Sectors[[#This Row],[Days in Arrears]] &gt; 30, Table__192.168.1.150_Daily_Delinquency_With_Sectors[[#This Row],[Outstanding Balance]],0)</f>
        <v>0</v>
      </c>
      <c r="T132" s="105">
        <f>IF(Table__192.168.1.150_Daily_Delinquency_With_Sectors[[#This Row],[Days in Arrears]] &gt; 90, Table__192.168.1.150_Daily_Delinquency_With_Sectors[[#This Row],[Outstanding Balance]],0)</f>
        <v>0</v>
      </c>
      <c r="U132" s="109">
        <f>IF(Table__192.168.1.150_Daily_Delinquency_With_Sectors[[#This Row],[Days in Arrears]] &gt;= 1,1,0)</f>
        <v>1</v>
      </c>
      <c r="V132" s="109">
        <f>IF(Table__192.168.1.150_Daily_Delinquency_With_Sectors[[#This Row],[Days in Arrears]] &gt; 30,1,0)</f>
        <v>0</v>
      </c>
      <c r="W132" s="109">
        <f>IF(Table__192.168.1.150_Daily_Delinquency_With_Sectors[[#This Row],[Days in Arrears]] &gt; 90,1,0)</f>
        <v>0</v>
      </c>
    </row>
    <row r="133" spans="1:23" x14ac:dyDescent="0.25">
      <c r="A133" t="s">
        <v>1179</v>
      </c>
      <c r="B133" t="s">
        <v>1281</v>
      </c>
      <c r="C133">
        <v>127</v>
      </c>
      <c r="D133" s="105">
        <v>20993030.940000001</v>
      </c>
      <c r="E133" t="s">
        <v>468</v>
      </c>
      <c r="F133" s="105">
        <v>1265050.9099999999</v>
      </c>
      <c r="G133" s="105">
        <v>35537314.039999999</v>
      </c>
      <c r="H133" s="143">
        <v>42446.670012499999</v>
      </c>
      <c r="I133" s="143">
        <v>43907</v>
      </c>
      <c r="J133" t="s">
        <v>1180</v>
      </c>
      <c r="K133" t="s">
        <v>1280</v>
      </c>
      <c r="L133" t="s">
        <v>1280</v>
      </c>
      <c r="M133">
        <v>102460</v>
      </c>
      <c r="N133" t="s">
        <v>1172</v>
      </c>
      <c r="O133" t="s">
        <v>44</v>
      </c>
      <c r="P133" t="s">
        <v>92</v>
      </c>
      <c r="Q133" t="s">
        <v>92</v>
      </c>
      <c r="R133" s="105">
        <f>IF(Table__192.168.1.150_Daily_Delinquency_With_Sectors[[#This Row],[Days in Arrears]] &gt; 0, Table__192.168.1.150_Daily_Delinquency_With_Sectors[[#This Row],[Outstanding Balance]],0)</f>
        <v>20993030.940000001</v>
      </c>
      <c r="S133" s="105">
        <f>IF(Table__192.168.1.150_Daily_Delinquency_With_Sectors[[#This Row],[Days in Arrears]] &gt; 30, Table__192.168.1.150_Daily_Delinquency_With_Sectors[[#This Row],[Outstanding Balance]],0)</f>
        <v>20993030.940000001</v>
      </c>
      <c r="T133" s="105">
        <f>IF(Table__192.168.1.150_Daily_Delinquency_With_Sectors[[#This Row],[Days in Arrears]] &gt; 90, Table__192.168.1.150_Daily_Delinquency_With_Sectors[[#This Row],[Outstanding Balance]],0)</f>
        <v>20993030.940000001</v>
      </c>
      <c r="U133" s="109">
        <f>IF(Table__192.168.1.150_Daily_Delinquency_With_Sectors[[#This Row],[Days in Arrears]] &gt;= 1,1,0)</f>
        <v>1</v>
      </c>
      <c r="V133" s="109">
        <f>IF(Table__192.168.1.150_Daily_Delinquency_With_Sectors[[#This Row],[Days in Arrears]] &gt; 30,1,0)</f>
        <v>1</v>
      </c>
      <c r="W133" s="109">
        <f>IF(Table__192.168.1.150_Daily_Delinquency_With_Sectors[[#This Row],[Days in Arrears]] &gt; 90,1,0)</f>
        <v>1</v>
      </c>
    </row>
    <row r="134" spans="1:23" x14ac:dyDescent="0.25">
      <c r="A134" t="s">
        <v>1131</v>
      </c>
      <c r="B134" t="s">
        <v>1284</v>
      </c>
      <c r="C134">
        <v>-27</v>
      </c>
      <c r="D134" s="105">
        <v>8068862.0700000003</v>
      </c>
      <c r="E134" t="s">
        <v>491</v>
      </c>
      <c r="F134" s="105">
        <v>16137.72</v>
      </c>
      <c r="G134" s="105">
        <v>11138601.6</v>
      </c>
      <c r="H134" s="143">
        <v>42450.687901851852</v>
      </c>
      <c r="I134" s="143">
        <v>43729</v>
      </c>
      <c r="J134" t="s">
        <v>1132</v>
      </c>
      <c r="K134" t="s">
        <v>1280</v>
      </c>
      <c r="L134" t="s">
        <v>1280</v>
      </c>
      <c r="M134">
        <v>102464</v>
      </c>
      <c r="N134" t="s">
        <v>1130</v>
      </c>
      <c r="O134" t="s">
        <v>44</v>
      </c>
      <c r="P134" t="s">
        <v>75</v>
      </c>
      <c r="Q134" t="s">
        <v>26</v>
      </c>
      <c r="R134" s="105">
        <f>IF(Table__192.168.1.150_Daily_Delinquency_With_Sectors[[#This Row],[Days in Arrears]] &gt; 0, Table__192.168.1.150_Daily_Delinquency_With_Sectors[[#This Row],[Outstanding Balance]],0)</f>
        <v>0</v>
      </c>
      <c r="S134" s="105">
        <f>IF(Table__192.168.1.150_Daily_Delinquency_With_Sectors[[#This Row],[Days in Arrears]] &gt; 30, Table__192.168.1.150_Daily_Delinquency_With_Sectors[[#This Row],[Outstanding Balance]],0)</f>
        <v>0</v>
      </c>
      <c r="T134" s="105">
        <f>IF(Table__192.168.1.150_Daily_Delinquency_With_Sectors[[#This Row],[Days in Arrears]] &gt; 90, Table__192.168.1.150_Daily_Delinquency_With_Sectors[[#This Row],[Outstanding Balance]],0)</f>
        <v>0</v>
      </c>
      <c r="U134" s="109">
        <f>IF(Table__192.168.1.150_Daily_Delinquency_With_Sectors[[#This Row],[Days in Arrears]] &gt;= 1,1,0)</f>
        <v>0</v>
      </c>
      <c r="V134" s="109">
        <f>IF(Table__192.168.1.150_Daily_Delinquency_With_Sectors[[#This Row],[Days in Arrears]] &gt; 30,1,0)</f>
        <v>0</v>
      </c>
      <c r="W134" s="109">
        <f>IF(Table__192.168.1.150_Daily_Delinquency_With_Sectors[[#This Row],[Days in Arrears]] &gt; 90,1,0)</f>
        <v>0</v>
      </c>
    </row>
    <row r="135" spans="1:23" x14ac:dyDescent="0.25">
      <c r="A135" t="s">
        <v>682</v>
      </c>
      <c r="B135" t="s">
        <v>1281</v>
      </c>
      <c r="C135">
        <v>49</v>
      </c>
      <c r="D135" s="105">
        <v>15172808.17</v>
      </c>
      <c r="E135" t="s">
        <v>1191</v>
      </c>
      <c r="F135" s="105">
        <v>1041253.33</v>
      </c>
      <c r="G135" s="105">
        <v>21027481.710000001</v>
      </c>
      <c r="H135" s="143">
        <v>42459.616795254631</v>
      </c>
      <c r="I135" s="143">
        <v>43560</v>
      </c>
      <c r="J135" t="s">
        <v>683</v>
      </c>
      <c r="K135" t="s">
        <v>684</v>
      </c>
      <c r="L135" t="s">
        <v>1280</v>
      </c>
      <c r="M135">
        <v>102479</v>
      </c>
      <c r="N135" t="s">
        <v>681</v>
      </c>
      <c r="O135" t="s">
        <v>25</v>
      </c>
      <c r="P135" t="s">
        <v>88</v>
      </c>
      <c r="Q135" t="s">
        <v>26</v>
      </c>
      <c r="R135" s="105">
        <f>IF(Table__192.168.1.150_Daily_Delinquency_With_Sectors[[#This Row],[Days in Arrears]] &gt; 0, Table__192.168.1.150_Daily_Delinquency_With_Sectors[[#This Row],[Outstanding Balance]],0)</f>
        <v>15172808.17</v>
      </c>
      <c r="S135" s="105">
        <f>IF(Table__192.168.1.150_Daily_Delinquency_With_Sectors[[#This Row],[Days in Arrears]] &gt; 30, Table__192.168.1.150_Daily_Delinquency_With_Sectors[[#This Row],[Outstanding Balance]],0)</f>
        <v>15172808.17</v>
      </c>
      <c r="T135" s="105">
        <f>IF(Table__192.168.1.150_Daily_Delinquency_With_Sectors[[#This Row],[Days in Arrears]] &gt; 90, Table__192.168.1.150_Daily_Delinquency_With_Sectors[[#This Row],[Outstanding Balance]],0)</f>
        <v>0</v>
      </c>
      <c r="U135" s="109">
        <f>IF(Table__192.168.1.150_Daily_Delinquency_With_Sectors[[#This Row],[Days in Arrears]] &gt;= 1,1,0)</f>
        <v>1</v>
      </c>
      <c r="V135" s="109">
        <f>IF(Table__192.168.1.150_Daily_Delinquency_With_Sectors[[#This Row],[Days in Arrears]] &gt; 30,1,0)</f>
        <v>1</v>
      </c>
      <c r="W135" s="109">
        <f>IF(Table__192.168.1.150_Daily_Delinquency_With_Sectors[[#This Row],[Days in Arrears]] &gt; 90,1,0)</f>
        <v>0</v>
      </c>
    </row>
    <row r="136" spans="1:23" x14ac:dyDescent="0.25">
      <c r="A136" t="s">
        <v>1112</v>
      </c>
      <c r="B136" t="s">
        <v>1281</v>
      </c>
      <c r="C136">
        <v>64</v>
      </c>
      <c r="D136" s="105">
        <v>10357297.82</v>
      </c>
      <c r="E136" t="s">
        <v>5724</v>
      </c>
      <c r="F136" s="105">
        <v>326677.87</v>
      </c>
      <c r="G136" s="105">
        <v>11507007.24</v>
      </c>
      <c r="H136" s="143">
        <v>42460.545624270831</v>
      </c>
      <c r="I136" s="143">
        <v>43179</v>
      </c>
      <c r="J136" t="s">
        <v>1113</v>
      </c>
      <c r="K136" t="s">
        <v>1280</v>
      </c>
      <c r="L136" t="s">
        <v>1280</v>
      </c>
      <c r="M136">
        <v>102483</v>
      </c>
      <c r="N136" t="s">
        <v>1108</v>
      </c>
      <c r="O136" t="s">
        <v>45</v>
      </c>
      <c r="P136" t="s">
        <v>45</v>
      </c>
      <c r="Q136" t="s">
        <v>26</v>
      </c>
      <c r="R136" s="105">
        <f>IF(Table__192.168.1.150_Daily_Delinquency_With_Sectors[[#This Row],[Days in Arrears]] &gt; 0, Table__192.168.1.150_Daily_Delinquency_With_Sectors[[#This Row],[Outstanding Balance]],0)</f>
        <v>10357297.82</v>
      </c>
      <c r="S136" s="105">
        <f>IF(Table__192.168.1.150_Daily_Delinquency_With_Sectors[[#This Row],[Days in Arrears]] &gt; 30, Table__192.168.1.150_Daily_Delinquency_With_Sectors[[#This Row],[Outstanding Balance]],0)</f>
        <v>10357297.82</v>
      </c>
      <c r="T136" s="105">
        <f>IF(Table__192.168.1.150_Daily_Delinquency_With_Sectors[[#This Row],[Days in Arrears]] &gt; 90, Table__192.168.1.150_Daily_Delinquency_With_Sectors[[#This Row],[Outstanding Balance]],0)</f>
        <v>0</v>
      </c>
      <c r="U136" s="109">
        <f>IF(Table__192.168.1.150_Daily_Delinquency_With_Sectors[[#This Row],[Days in Arrears]] &gt;= 1,1,0)</f>
        <v>1</v>
      </c>
      <c r="V136" s="109">
        <f>IF(Table__192.168.1.150_Daily_Delinquency_With_Sectors[[#This Row],[Days in Arrears]] &gt; 30,1,0)</f>
        <v>1</v>
      </c>
      <c r="W136" s="109">
        <f>IF(Table__192.168.1.150_Daily_Delinquency_With_Sectors[[#This Row],[Days in Arrears]] &gt; 90,1,0)</f>
        <v>0</v>
      </c>
    </row>
    <row r="137" spans="1:23" x14ac:dyDescent="0.25">
      <c r="A137" t="s">
        <v>1257</v>
      </c>
      <c r="B137" t="s">
        <v>1284</v>
      </c>
      <c r="C137">
        <v>-7</v>
      </c>
      <c r="D137" s="105">
        <v>33080880.539999999</v>
      </c>
      <c r="E137" t="s">
        <v>1039</v>
      </c>
      <c r="F137" s="105">
        <v>727779.37</v>
      </c>
      <c r="G137" s="105">
        <v>42713801.32</v>
      </c>
      <c r="H137" s="143">
        <v>42460.686850891201</v>
      </c>
      <c r="I137" s="143">
        <v>43556</v>
      </c>
      <c r="J137" t="s">
        <v>1258</v>
      </c>
      <c r="K137" t="s">
        <v>1280</v>
      </c>
      <c r="L137" t="s">
        <v>1280</v>
      </c>
      <c r="M137">
        <v>102486</v>
      </c>
      <c r="N137" t="s">
        <v>1256</v>
      </c>
      <c r="O137" t="s">
        <v>44</v>
      </c>
      <c r="P137" t="s">
        <v>92</v>
      </c>
      <c r="Q137" t="s">
        <v>26</v>
      </c>
      <c r="R137" s="105">
        <f>IF(Table__192.168.1.150_Daily_Delinquency_With_Sectors[[#This Row],[Days in Arrears]] &gt; 0, Table__192.168.1.150_Daily_Delinquency_With_Sectors[[#This Row],[Outstanding Balance]],0)</f>
        <v>0</v>
      </c>
      <c r="S137" s="105">
        <f>IF(Table__192.168.1.150_Daily_Delinquency_With_Sectors[[#This Row],[Days in Arrears]] &gt; 30, Table__192.168.1.150_Daily_Delinquency_With_Sectors[[#This Row],[Outstanding Balance]],0)</f>
        <v>0</v>
      </c>
      <c r="T137" s="105">
        <f>IF(Table__192.168.1.150_Daily_Delinquency_With_Sectors[[#This Row],[Days in Arrears]] &gt; 90, Table__192.168.1.150_Daily_Delinquency_With_Sectors[[#This Row],[Outstanding Balance]],0)</f>
        <v>0</v>
      </c>
      <c r="U137" s="109">
        <f>IF(Table__192.168.1.150_Daily_Delinquency_With_Sectors[[#This Row],[Days in Arrears]] &gt;= 1,1,0)</f>
        <v>0</v>
      </c>
      <c r="V137" s="109">
        <f>IF(Table__192.168.1.150_Daily_Delinquency_With_Sectors[[#This Row],[Days in Arrears]] &gt; 30,1,0)</f>
        <v>0</v>
      </c>
      <c r="W137" s="109">
        <f>IF(Table__192.168.1.150_Daily_Delinquency_With_Sectors[[#This Row],[Days in Arrears]] &gt; 90,1,0)</f>
        <v>0</v>
      </c>
    </row>
    <row r="138" spans="1:23" x14ac:dyDescent="0.25">
      <c r="A138" t="s">
        <v>463</v>
      </c>
      <c r="B138" t="s">
        <v>1283</v>
      </c>
      <c r="C138">
        <v>21</v>
      </c>
      <c r="D138" s="105">
        <v>12832112.75</v>
      </c>
      <c r="E138" t="s">
        <v>5725</v>
      </c>
      <c r="F138" s="105">
        <v>465174.77</v>
      </c>
      <c r="G138" s="105">
        <v>14075901.02</v>
      </c>
      <c r="H138" s="143">
        <v>42460.567592210646</v>
      </c>
      <c r="I138" s="143">
        <v>43193</v>
      </c>
      <c r="J138" t="s">
        <v>464</v>
      </c>
      <c r="K138" t="s">
        <v>1280</v>
      </c>
      <c r="L138" t="s">
        <v>1280</v>
      </c>
      <c r="M138">
        <v>102488</v>
      </c>
      <c r="N138" t="s">
        <v>461</v>
      </c>
      <c r="O138" t="s">
        <v>27</v>
      </c>
      <c r="P138" t="s">
        <v>81</v>
      </c>
      <c r="Q138" t="s">
        <v>1685</v>
      </c>
      <c r="R138" s="105">
        <f>IF(Table__192.168.1.150_Daily_Delinquency_With_Sectors[[#This Row],[Days in Arrears]] &gt; 0, Table__192.168.1.150_Daily_Delinquency_With_Sectors[[#This Row],[Outstanding Balance]],0)</f>
        <v>12832112.75</v>
      </c>
      <c r="S138" s="105">
        <f>IF(Table__192.168.1.150_Daily_Delinquency_With_Sectors[[#This Row],[Days in Arrears]] &gt; 30, Table__192.168.1.150_Daily_Delinquency_With_Sectors[[#This Row],[Outstanding Balance]],0)</f>
        <v>0</v>
      </c>
      <c r="T138" s="105">
        <f>IF(Table__192.168.1.150_Daily_Delinquency_With_Sectors[[#This Row],[Days in Arrears]] &gt; 90, Table__192.168.1.150_Daily_Delinquency_With_Sectors[[#This Row],[Outstanding Balance]],0)</f>
        <v>0</v>
      </c>
      <c r="U138" s="109">
        <f>IF(Table__192.168.1.150_Daily_Delinquency_With_Sectors[[#This Row],[Days in Arrears]] &gt;= 1,1,0)</f>
        <v>1</v>
      </c>
      <c r="V138" s="109">
        <f>IF(Table__192.168.1.150_Daily_Delinquency_With_Sectors[[#This Row],[Days in Arrears]] &gt; 30,1,0)</f>
        <v>0</v>
      </c>
      <c r="W138" s="109">
        <f>IF(Table__192.168.1.150_Daily_Delinquency_With_Sectors[[#This Row],[Days in Arrears]] &gt; 90,1,0)</f>
        <v>0</v>
      </c>
    </row>
    <row r="139" spans="1:23" x14ac:dyDescent="0.25">
      <c r="A139" t="s">
        <v>264</v>
      </c>
      <c r="B139" t="s">
        <v>1282</v>
      </c>
      <c r="C139">
        <v>-1</v>
      </c>
      <c r="D139" s="105">
        <v>6376301.0800000001</v>
      </c>
      <c r="E139" t="s">
        <v>5167</v>
      </c>
      <c r="F139" s="105">
        <v>238048.57</v>
      </c>
      <c r="G139" s="105">
        <v>8910082.9399999995</v>
      </c>
      <c r="H139" s="143">
        <v>42462.467640393515</v>
      </c>
      <c r="I139" s="143">
        <v>43549</v>
      </c>
      <c r="J139" t="s">
        <v>265</v>
      </c>
      <c r="K139" t="s">
        <v>266</v>
      </c>
      <c r="L139" t="s">
        <v>1280</v>
      </c>
      <c r="M139">
        <v>102491</v>
      </c>
      <c r="N139" t="s">
        <v>105</v>
      </c>
      <c r="O139" t="s">
        <v>25</v>
      </c>
      <c r="P139" t="s">
        <v>26</v>
      </c>
      <c r="Q139" t="s">
        <v>26</v>
      </c>
      <c r="R139" s="105">
        <f>IF(Table__192.168.1.150_Daily_Delinquency_With_Sectors[[#This Row],[Days in Arrears]] &gt; 0, Table__192.168.1.150_Daily_Delinquency_With_Sectors[[#This Row],[Outstanding Balance]],0)</f>
        <v>0</v>
      </c>
      <c r="S139" s="105">
        <f>IF(Table__192.168.1.150_Daily_Delinquency_With_Sectors[[#This Row],[Days in Arrears]] &gt; 30, Table__192.168.1.150_Daily_Delinquency_With_Sectors[[#This Row],[Outstanding Balance]],0)</f>
        <v>0</v>
      </c>
      <c r="T139" s="105">
        <f>IF(Table__192.168.1.150_Daily_Delinquency_With_Sectors[[#This Row],[Days in Arrears]] &gt; 90, Table__192.168.1.150_Daily_Delinquency_With_Sectors[[#This Row],[Outstanding Balance]],0)</f>
        <v>0</v>
      </c>
      <c r="U139" s="109">
        <f>IF(Table__192.168.1.150_Daily_Delinquency_With_Sectors[[#This Row],[Days in Arrears]] &gt;= 1,1,0)</f>
        <v>0</v>
      </c>
      <c r="V139" s="109">
        <f>IF(Table__192.168.1.150_Daily_Delinquency_With_Sectors[[#This Row],[Days in Arrears]] &gt; 30,1,0)</f>
        <v>0</v>
      </c>
      <c r="W139" s="109">
        <f>IF(Table__192.168.1.150_Daily_Delinquency_With_Sectors[[#This Row],[Days in Arrears]] &gt; 90,1,0)</f>
        <v>0</v>
      </c>
    </row>
    <row r="140" spans="1:23" x14ac:dyDescent="0.25">
      <c r="A140" t="s">
        <v>531</v>
      </c>
      <c r="B140" t="s">
        <v>1841</v>
      </c>
      <c r="C140">
        <v>160</v>
      </c>
      <c r="D140" s="105">
        <v>33457718.48</v>
      </c>
      <c r="E140" t="s">
        <v>90</v>
      </c>
      <c r="F140" s="105">
        <v>2003323.25</v>
      </c>
      <c r="G140" s="105">
        <v>46797972.090000004</v>
      </c>
      <c r="H140" s="143">
        <v>42464.513811076387</v>
      </c>
      <c r="I140" s="143">
        <v>43569</v>
      </c>
      <c r="J140" t="s">
        <v>532</v>
      </c>
      <c r="K140" t="s">
        <v>533</v>
      </c>
      <c r="L140" t="s">
        <v>1280</v>
      </c>
      <c r="M140">
        <v>102492</v>
      </c>
      <c r="N140" t="s">
        <v>529</v>
      </c>
      <c r="O140" t="s">
        <v>25</v>
      </c>
      <c r="P140" t="s">
        <v>88</v>
      </c>
      <c r="Q140" t="s">
        <v>285</v>
      </c>
      <c r="R140" s="105">
        <f>IF(Table__192.168.1.150_Daily_Delinquency_With_Sectors[[#This Row],[Days in Arrears]] &gt; 0, Table__192.168.1.150_Daily_Delinquency_With_Sectors[[#This Row],[Outstanding Balance]],0)</f>
        <v>33457718.48</v>
      </c>
      <c r="S140" s="105">
        <f>IF(Table__192.168.1.150_Daily_Delinquency_With_Sectors[[#This Row],[Days in Arrears]] &gt; 30, Table__192.168.1.150_Daily_Delinquency_With_Sectors[[#This Row],[Outstanding Balance]],0)</f>
        <v>33457718.48</v>
      </c>
      <c r="T140" s="105">
        <f>IF(Table__192.168.1.150_Daily_Delinquency_With_Sectors[[#This Row],[Days in Arrears]] &gt; 90, Table__192.168.1.150_Daily_Delinquency_With_Sectors[[#This Row],[Outstanding Balance]],0)</f>
        <v>33457718.48</v>
      </c>
      <c r="U140" s="109">
        <f>IF(Table__192.168.1.150_Daily_Delinquency_With_Sectors[[#This Row],[Days in Arrears]] &gt;= 1,1,0)</f>
        <v>1</v>
      </c>
      <c r="V140" s="109">
        <f>IF(Table__192.168.1.150_Daily_Delinquency_With_Sectors[[#This Row],[Days in Arrears]] &gt; 30,1,0)</f>
        <v>1</v>
      </c>
      <c r="W140" s="109">
        <f>IF(Table__192.168.1.150_Daily_Delinquency_With_Sectors[[#This Row],[Days in Arrears]] &gt; 90,1,0)</f>
        <v>1</v>
      </c>
    </row>
    <row r="141" spans="1:23" x14ac:dyDescent="0.25">
      <c r="A141" t="s">
        <v>1579</v>
      </c>
      <c r="B141" t="s">
        <v>1283</v>
      </c>
      <c r="C141">
        <v>13</v>
      </c>
      <c r="D141" s="105">
        <v>20889698.109999999</v>
      </c>
      <c r="E141" t="s">
        <v>5725</v>
      </c>
      <c r="F141" s="105">
        <v>866661.26</v>
      </c>
      <c r="G141" s="105">
        <v>27339528.699999999</v>
      </c>
      <c r="H141" s="143">
        <v>42466.533940740737</v>
      </c>
      <c r="I141" s="143">
        <v>43566</v>
      </c>
      <c r="J141" t="s">
        <v>1580</v>
      </c>
      <c r="K141" t="s">
        <v>1280</v>
      </c>
      <c r="L141" t="s">
        <v>1581</v>
      </c>
      <c r="M141">
        <v>102495</v>
      </c>
      <c r="N141" t="s">
        <v>1557</v>
      </c>
      <c r="O141" t="s">
        <v>25</v>
      </c>
      <c r="P141" t="s">
        <v>289</v>
      </c>
      <c r="Q141" t="s">
        <v>26</v>
      </c>
      <c r="R141" s="105">
        <f>IF(Table__192.168.1.150_Daily_Delinquency_With_Sectors[[#This Row],[Days in Arrears]] &gt; 0, Table__192.168.1.150_Daily_Delinquency_With_Sectors[[#This Row],[Outstanding Balance]],0)</f>
        <v>20889698.109999999</v>
      </c>
      <c r="S141" s="105">
        <f>IF(Table__192.168.1.150_Daily_Delinquency_With_Sectors[[#This Row],[Days in Arrears]] &gt; 30, Table__192.168.1.150_Daily_Delinquency_With_Sectors[[#This Row],[Outstanding Balance]],0)</f>
        <v>0</v>
      </c>
      <c r="T141" s="105">
        <f>IF(Table__192.168.1.150_Daily_Delinquency_With_Sectors[[#This Row],[Days in Arrears]] &gt; 90, Table__192.168.1.150_Daily_Delinquency_With_Sectors[[#This Row],[Outstanding Balance]],0)</f>
        <v>0</v>
      </c>
      <c r="U141" s="109">
        <f>IF(Table__192.168.1.150_Daily_Delinquency_With_Sectors[[#This Row],[Days in Arrears]] &gt;= 1,1,0)</f>
        <v>1</v>
      </c>
      <c r="V141" s="109">
        <f>IF(Table__192.168.1.150_Daily_Delinquency_With_Sectors[[#This Row],[Days in Arrears]] &gt; 30,1,0)</f>
        <v>0</v>
      </c>
      <c r="W141" s="109">
        <f>IF(Table__192.168.1.150_Daily_Delinquency_With_Sectors[[#This Row],[Days in Arrears]] &gt; 90,1,0)</f>
        <v>0</v>
      </c>
    </row>
    <row r="142" spans="1:23" x14ac:dyDescent="0.25">
      <c r="A142" t="s">
        <v>511</v>
      </c>
      <c r="B142" t="s">
        <v>1281</v>
      </c>
      <c r="C142">
        <v>15</v>
      </c>
      <c r="D142" s="105">
        <v>11412255.83</v>
      </c>
      <c r="E142" t="s">
        <v>5725</v>
      </c>
      <c r="F142" s="105">
        <v>262819.78999999998</v>
      </c>
      <c r="G142" s="105">
        <v>16738237.720000001</v>
      </c>
      <c r="H142" s="143">
        <v>42468.689994479166</v>
      </c>
      <c r="I142" s="143">
        <v>43747</v>
      </c>
      <c r="J142" t="s">
        <v>512</v>
      </c>
      <c r="K142" t="s">
        <v>513</v>
      </c>
      <c r="L142" t="s">
        <v>1280</v>
      </c>
      <c r="M142">
        <v>102501</v>
      </c>
      <c r="N142" t="s">
        <v>510</v>
      </c>
      <c r="O142" t="s">
        <v>25</v>
      </c>
      <c r="P142" t="s">
        <v>26</v>
      </c>
      <c r="Q142" t="s">
        <v>26</v>
      </c>
      <c r="R142" s="105">
        <f>IF(Table__192.168.1.150_Daily_Delinquency_With_Sectors[[#This Row],[Days in Arrears]] &gt; 0, Table__192.168.1.150_Daily_Delinquency_With_Sectors[[#This Row],[Outstanding Balance]],0)</f>
        <v>11412255.83</v>
      </c>
      <c r="S142" s="105">
        <f>IF(Table__192.168.1.150_Daily_Delinquency_With_Sectors[[#This Row],[Days in Arrears]] &gt; 30, Table__192.168.1.150_Daily_Delinquency_With_Sectors[[#This Row],[Outstanding Balance]],0)</f>
        <v>0</v>
      </c>
      <c r="T142" s="105">
        <f>IF(Table__192.168.1.150_Daily_Delinquency_With_Sectors[[#This Row],[Days in Arrears]] &gt; 90, Table__192.168.1.150_Daily_Delinquency_With_Sectors[[#This Row],[Outstanding Balance]],0)</f>
        <v>0</v>
      </c>
      <c r="U142" s="109">
        <f>IF(Table__192.168.1.150_Daily_Delinquency_With_Sectors[[#This Row],[Days in Arrears]] &gt;= 1,1,0)</f>
        <v>1</v>
      </c>
      <c r="V142" s="109">
        <f>IF(Table__192.168.1.150_Daily_Delinquency_With_Sectors[[#This Row],[Days in Arrears]] &gt; 30,1,0)</f>
        <v>0</v>
      </c>
      <c r="W142" s="109">
        <f>IF(Table__192.168.1.150_Daily_Delinquency_With_Sectors[[#This Row],[Days in Arrears]] &gt; 90,1,0)</f>
        <v>0</v>
      </c>
    </row>
    <row r="143" spans="1:23" x14ac:dyDescent="0.25">
      <c r="A143" t="s">
        <v>557</v>
      </c>
      <c r="B143" t="s">
        <v>1284</v>
      </c>
      <c r="C143">
        <v>53</v>
      </c>
      <c r="D143" s="105">
        <v>31027359.940000001</v>
      </c>
      <c r="E143" t="s">
        <v>1039</v>
      </c>
      <c r="F143" s="105">
        <v>923012.83</v>
      </c>
      <c r="G143" s="105">
        <v>47363142.310000002</v>
      </c>
      <c r="H143" s="143">
        <v>42469.519066898145</v>
      </c>
      <c r="I143" s="143">
        <v>43922</v>
      </c>
      <c r="J143" t="s">
        <v>558</v>
      </c>
      <c r="K143" t="s">
        <v>1280</v>
      </c>
      <c r="L143" t="s">
        <v>1280</v>
      </c>
      <c r="M143">
        <v>102505</v>
      </c>
      <c r="N143" t="s">
        <v>556</v>
      </c>
      <c r="O143" t="s">
        <v>44</v>
      </c>
      <c r="P143" t="s">
        <v>75</v>
      </c>
      <c r="Q143" t="s">
        <v>1442</v>
      </c>
      <c r="R143" s="105">
        <f>IF(Table__192.168.1.150_Daily_Delinquency_With_Sectors[[#This Row],[Days in Arrears]] &gt; 0, Table__192.168.1.150_Daily_Delinquency_With_Sectors[[#This Row],[Outstanding Balance]],0)</f>
        <v>31027359.940000001</v>
      </c>
      <c r="S143" s="105">
        <f>IF(Table__192.168.1.150_Daily_Delinquency_With_Sectors[[#This Row],[Days in Arrears]] &gt; 30, Table__192.168.1.150_Daily_Delinquency_With_Sectors[[#This Row],[Outstanding Balance]],0)</f>
        <v>31027359.940000001</v>
      </c>
      <c r="T143" s="105">
        <f>IF(Table__192.168.1.150_Daily_Delinquency_With_Sectors[[#This Row],[Days in Arrears]] &gt; 90, Table__192.168.1.150_Daily_Delinquency_With_Sectors[[#This Row],[Outstanding Balance]],0)</f>
        <v>0</v>
      </c>
      <c r="U143" s="109">
        <f>IF(Table__192.168.1.150_Daily_Delinquency_With_Sectors[[#This Row],[Days in Arrears]] &gt;= 1,1,0)</f>
        <v>1</v>
      </c>
      <c r="V143" s="109">
        <f>IF(Table__192.168.1.150_Daily_Delinquency_With_Sectors[[#This Row],[Days in Arrears]] &gt; 30,1,0)</f>
        <v>1</v>
      </c>
      <c r="W143" s="109">
        <f>IF(Table__192.168.1.150_Daily_Delinquency_With_Sectors[[#This Row],[Days in Arrears]] &gt; 90,1,0)</f>
        <v>0</v>
      </c>
    </row>
    <row r="144" spans="1:23" x14ac:dyDescent="0.25">
      <c r="A144" t="s">
        <v>1927</v>
      </c>
      <c r="B144" t="s">
        <v>1281</v>
      </c>
      <c r="C144">
        <v>4</v>
      </c>
      <c r="D144" s="105">
        <v>4562663.53</v>
      </c>
      <c r="E144" t="s">
        <v>5167</v>
      </c>
      <c r="F144" s="105">
        <v>18218.86</v>
      </c>
      <c r="G144" s="105">
        <v>5123510.95</v>
      </c>
      <c r="H144" s="143">
        <v>42475.657613773146</v>
      </c>
      <c r="I144" s="143">
        <v>43210</v>
      </c>
      <c r="J144" t="s">
        <v>1928</v>
      </c>
      <c r="K144" t="s">
        <v>1280</v>
      </c>
      <c r="L144" t="s">
        <v>1280</v>
      </c>
      <c r="M144">
        <v>102513</v>
      </c>
      <c r="N144" t="s">
        <v>1926</v>
      </c>
      <c r="O144" t="s">
        <v>44</v>
      </c>
      <c r="P144" t="s">
        <v>75</v>
      </c>
      <c r="Q144" t="s">
        <v>26</v>
      </c>
      <c r="R144" s="105">
        <f>IF(Table__192.168.1.150_Daily_Delinquency_With_Sectors[[#This Row],[Days in Arrears]] &gt; 0, Table__192.168.1.150_Daily_Delinquency_With_Sectors[[#This Row],[Outstanding Balance]],0)</f>
        <v>4562663.53</v>
      </c>
      <c r="S144" s="105">
        <f>IF(Table__192.168.1.150_Daily_Delinquency_With_Sectors[[#This Row],[Days in Arrears]] &gt; 30, Table__192.168.1.150_Daily_Delinquency_With_Sectors[[#This Row],[Outstanding Balance]],0)</f>
        <v>0</v>
      </c>
      <c r="T144" s="105">
        <f>IF(Table__192.168.1.150_Daily_Delinquency_With_Sectors[[#This Row],[Days in Arrears]] &gt; 90, Table__192.168.1.150_Daily_Delinquency_With_Sectors[[#This Row],[Outstanding Balance]],0)</f>
        <v>0</v>
      </c>
      <c r="U144" s="109">
        <f>IF(Table__192.168.1.150_Daily_Delinquency_With_Sectors[[#This Row],[Days in Arrears]] &gt;= 1,1,0)</f>
        <v>1</v>
      </c>
      <c r="V144" s="109">
        <f>IF(Table__192.168.1.150_Daily_Delinquency_With_Sectors[[#This Row],[Days in Arrears]] &gt; 30,1,0)</f>
        <v>0</v>
      </c>
      <c r="W144" s="109">
        <f>IF(Table__192.168.1.150_Daily_Delinquency_With_Sectors[[#This Row],[Days in Arrears]] &gt; 90,1,0)</f>
        <v>0</v>
      </c>
    </row>
    <row r="145" spans="1:23" x14ac:dyDescent="0.25">
      <c r="A145" t="s">
        <v>330</v>
      </c>
      <c r="B145" t="s">
        <v>1283</v>
      </c>
      <c r="C145">
        <v>19</v>
      </c>
      <c r="D145" s="105">
        <v>9462264.1300000008</v>
      </c>
      <c r="E145" t="s">
        <v>90</v>
      </c>
      <c r="F145" s="105">
        <v>168710.5</v>
      </c>
      <c r="G145" s="105">
        <v>10322433.26</v>
      </c>
      <c r="H145" s="143">
        <v>42475.673721840278</v>
      </c>
      <c r="I145" s="143">
        <v>43195</v>
      </c>
      <c r="J145" t="s">
        <v>331</v>
      </c>
      <c r="K145" t="s">
        <v>332</v>
      </c>
      <c r="L145" t="s">
        <v>1280</v>
      </c>
      <c r="M145">
        <v>102514</v>
      </c>
      <c r="N145" t="s">
        <v>327</v>
      </c>
      <c r="O145" t="s">
        <v>25</v>
      </c>
      <c r="P145" t="s">
        <v>103</v>
      </c>
      <c r="Q145" t="s">
        <v>1821</v>
      </c>
      <c r="R145" s="105">
        <f>IF(Table__192.168.1.150_Daily_Delinquency_With_Sectors[[#This Row],[Days in Arrears]] &gt; 0, Table__192.168.1.150_Daily_Delinquency_With_Sectors[[#This Row],[Outstanding Balance]],0)</f>
        <v>9462264.1300000008</v>
      </c>
      <c r="S145" s="105">
        <f>IF(Table__192.168.1.150_Daily_Delinquency_With_Sectors[[#This Row],[Days in Arrears]] &gt; 30, Table__192.168.1.150_Daily_Delinquency_With_Sectors[[#This Row],[Outstanding Balance]],0)</f>
        <v>0</v>
      </c>
      <c r="T145" s="105">
        <f>IF(Table__192.168.1.150_Daily_Delinquency_With_Sectors[[#This Row],[Days in Arrears]] &gt; 90, Table__192.168.1.150_Daily_Delinquency_With_Sectors[[#This Row],[Outstanding Balance]],0)</f>
        <v>0</v>
      </c>
      <c r="U145" s="109">
        <f>IF(Table__192.168.1.150_Daily_Delinquency_With_Sectors[[#This Row],[Days in Arrears]] &gt;= 1,1,0)</f>
        <v>1</v>
      </c>
      <c r="V145" s="109">
        <f>IF(Table__192.168.1.150_Daily_Delinquency_With_Sectors[[#This Row],[Days in Arrears]] &gt; 30,1,0)</f>
        <v>0</v>
      </c>
      <c r="W145" s="109">
        <f>IF(Table__192.168.1.150_Daily_Delinquency_With_Sectors[[#This Row],[Days in Arrears]] &gt; 90,1,0)</f>
        <v>0</v>
      </c>
    </row>
    <row r="146" spans="1:23" x14ac:dyDescent="0.25">
      <c r="A146" t="s">
        <v>1424</v>
      </c>
      <c r="B146" t="s">
        <v>1283</v>
      </c>
      <c r="C146">
        <v>125</v>
      </c>
      <c r="D146" s="105">
        <v>11930860.960000001</v>
      </c>
      <c r="E146" t="s">
        <v>86</v>
      </c>
      <c r="F146" s="105">
        <v>300929.06</v>
      </c>
      <c r="G146" s="105">
        <v>12876264.390000001</v>
      </c>
      <c r="H146" s="143">
        <v>42481.618425196757</v>
      </c>
      <c r="I146" s="143">
        <v>43088</v>
      </c>
      <c r="J146" t="s">
        <v>1425</v>
      </c>
      <c r="K146" t="s">
        <v>1426</v>
      </c>
      <c r="L146" t="s">
        <v>1280</v>
      </c>
      <c r="M146">
        <v>102521</v>
      </c>
      <c r="N146" t="s">
        <v>1423</v>
      </c>
      <c r="O146" t="s">
        <v>45</v>
      </c>
      <c r="P146" t="s">
        <v>45</v>
      </c>
      <c r="Q146" t="s">
        <v>26</v>
      </c>
      <c r="R146" s="105">
        <f>IF(Table__192.168.1.150_Daily_Delinquency_With_Sectors[[#This Row],[Days in Arrears]] &gt; 0, Table__192.168.1.150_Daily_Delinquency_With_Sectors[[#This Row],[Outstanding Balance]],0)</f>
        <v>11930860.960000001</v>
      </c>
      <c r="S146" s="105">
        <f>IF(Table__192.168.1.150_Daily_Delinquency_With_Sectors[[#This Row],[Days in Arrears]] &gt; 30, Table__192.168.1.150_Daily_Delinquency_With_Sectors[[#This Row],[Outstanding Balance]],0)</f>
        <v>11930860.960000001</v>
      </c>
      <c r="T146" s="105">
        <f>IF(Table__192.168.1.150_Daily_Delinquency_With_Sectors[[#This Row],[Days in Arrears]] &gt; 90, Table__192.168.1.150_Daily_Delinquency_With_Sectors[[#This Row],[Outstanding Balance]],0)</f>
        <v>11930860.960000001</v>
      </c>
      <c r="U146" s="109">
        <f>IF(Table__192.168.1.150_Daily_Delinquency_With_Sectors[[#This Row],[Days in Arrears]] &gt;= 1,1,0)</f>
        <v>1</v>
      </c>
      <c r="V146" s="109">
        <f>IF(Table__192.168.1.150_Daily_Delinquency_With_Sectors[[#This Row],[Days in Arrears]] &gt; 30,1,0)</f>
        <v>1</v>
      </c>
      <c r="W146" s="109">
        <f>IF(Table__192.168.1.150_Daily_Delinquency_With_Sectors[[#This Row],[Days in Arrears]] &gt; 90,1,0)</f>
        <v>1</v>
      </c>
    </row>
    <row r="147" spans="1:23" x14ac:dyDescent="0.25">
      <c r="A147" t="s">
        <v>525</v>
      </c>
      <c r="B147" t="s">
        <v>1284</v>
      </c>
      <c r="C147">
        <v>-29</v>
      </c>
      <c r="D147" s="105">
        <v>31136888.829999998</v>
      </c>
      <c r="E147" t="s">
        <v>1039</v>
      </c>
      <c r="F147" s="105">
        <v>954162.45</v>
      </c>
      <c r="G147" s="105">
        <v>47057972.729999997</v>
      </c>
      <c r="H147" s="143">
        <v>42483.508859837966</v>
      </c>
      <c r="I147" s="143">
        <v>43944</v>
      </c>
      <c r="J147" t="s">
        <v>526</v>
      </c>
      <c r="K147" t="s">
        <v>1280</v>
      </c>
      <c r="L147" t="s">
        <v>1280</v>
      </c>
      <c r="M147">
        <v>102528</v>
      </c>
      <c r="N147" t="s">
        <v>524</v>
      </c>
      <c r="O147" t="s">
        <v>44</v>
      </c>
      <c r="P147" t="s">
        <v>75</v>
      </c>
      <c r="Q147" t="s">
        <v>26</v>
      </c>
      <c r="R147" s="105">
        <f>IF(Table__192.168.1.150_Daily_Delinquency_With_Sectors[[#This Row],[Days in Arrears]] &gt; 0, Table__192.168.1.150_Daily_Delinquency_With_Sectors[[#This Row],[Outstanding Balance]],0)</f>
        <v>0</v>
      </c>
      <c r="S147" s="105">
        <f>IF(Table__192.168.1.150_Daily_Delinquency_With_Sectors[[#This Row],[Days in Arrears]] &gt; 30, Table__192.168.1.150_Daily_Delinquency_With_Sectors[[#This Row],[Outstanding Balance]],0)</f>
        <v>0</v>
      </c>
      <c r="T147" s="105">
        <f>IF(Table__192.168.1.150_Daily_Delinquency_With_Sectors[[#This Row],[Days in Arrears]] &gt; 90, Table__192.168.1.150_Daily_Delinquency_With_Sectors[[#This Row],[Outstanding Balance]],0)</f>
        <v>0</v>
      </c>
      <c r="U147" s="109">
        <f>IF(Table__192.168.1.150_Daily_Delinquency_With_Sectors[[#This Row],[Days in Arrears]] &gt;= 1,1,0)</f>
        <v>0</v>
      </c>
      <c r="V147" s="109">
        <f>IF(Table__192.168.1.150_Daily_Delinquency_With_Sectors[[#This Row],[Days in Arrears]] &gt; 30,1,0)</f>
        <v>0</v>
      </c>
      <c r="W147" s="109">
        <f>IF(Table__192.168.1.150_Daily_Delinquency_With_Sectors[[#This Row],[Days in Arrears]] &gt; 90,1,0)</f>
        <v>0</v>
      </c>
    </row>
    <row r="148" spans="1:23" x14ac:dyDescent="0.25">
      <c r="A148" t="s">
        <v>395</v>
      </c>
      <c r="B148" t="s">
        <v>1284</v>
      </c>
      <c r="C148">
        <v>19</v>
      </c>
      <c r="D148" s="105">
        <v>32108559.550000001</v>
      </c>
      <c r="E148" t="s">
        <v>1467</v>
      </c>
      <c r="F148" s="105">
        <v>577499.88</v>
      </c>
      <c r="G148" s="105">
        <v>49131259.700000003</v>
      </c>
      <c r="H148" s="143">
        <v>42486.576036574072</v>
      </c>
      <c r="I148" s="143">
        <v>43956</v>
      </c>
      <c r="J148" t="s">
        <v>396</v>
      </c>
      <c r="K148" t="s">
        <v>397</v>
      </c>
      <c r="L148" t="s">
        <v>1280</v>
      </c>
      <c r="M148">
        <v>102531</v>
      </c>
      <c r="N148" t="s">
        <v>392</v>
      </c>
      <c r="O148" t="s">
        <v>44</v>
      </c>
      <c r="P148" t="s">
        <v>75</v>
      </c>
      <c r="Q148" t="s">
        <v>1442</v>
      </c>
      <c r="R148" s="105">
        <f>IF(Table__192.168.1.150_Daily_Delinquency_With_Sectors[[#This Row],[Days in Arrears]] &gt; 0, Table__192.168.1.150_Daily_Delinquency_With_Sectors[[#This Row],[Outstanding Balance]],0)</f>
        <v>32108559.550000001</v>
      </c>
      <c r="S148" s="105">
        <f>IF(Table__192.168.1.150_Daily_Delinquency_With_Sectors[[#This Row],[Days in Arrears]] &gt; 30, Table__192.168.1.150_Daily_Delinquency_With_Sectors[[#This Row],[Outstanding Balance]],0)</f>
        <v>0</v>
      </c>
      <c r="T148" s="105">
        <f>IF(Table__192.168.1.150_Daily_Delinquency_With_Sectors[[#This Row],[Days in Arrears]] &gt; 90, Table__192.168.1.150_Daily_Delinquency_With_Sectors[[#This Row],[Outstanding Balance]],0)</f>
        <v>0</v>
      </c>
      <c r="U148" s="109">
        <f>IF(Table__192.168.1.150_Daily_Delinquency_With_Sectors[[#This Row],[Days in Arrears]] &gt;= 1,1,0)</f>
        <v>1</v>
      </c>
      <c r="V148" s="109">
        <f>IF(Table__192.168.1.150_Daily_Delinquency_With_Sectors[[#This Row],[Days in Arrears]] &gt; 30,1,0)</f>
        <v>0</v>
      </c>
      <c r="W148" s="109">
        <f>IF(Table__192.168.1.150_Daily_Delinquency_With_Sectors[[#This Row],[Days in Arrears]] &gt; 90,1,0)</f>
        <v>0</v>
      </c>
    </row>
    <row r="149" spans="1:23" x14ac:dyDescent="0.25">
      <c r="A149" t="s">
        <v>1961</v>
      </c>
      <c r="B149" t="s">
        <v>1284</v>
      </c>
      <c r="C149">
        <v>49</v>
      </c>
      <c r="D149" s="105">
        <v>6782563.1500000004</v>
      </c>
      <c r="E149" t="s">
        <v>1039</v>
      </c>
      <c r="F149" s="105">
        <v>214014.95</v>
      </c>
      <c r="G149" s="105">
        <v>7670491.75</v>
      </c>
      <c r="H149" s="143">
        <v>42488.521989930552</v>
      </c>
      <c r="I149" s="143">
        <v>43225</v>
      </c>
      <c r="J149" t="s">
        <v>1962</v>
      </c>
      <c r="K149" t="s">
        <v>1280</v>
      </c>
      <c r="L149" t="s">
        <v>1280</v>
      </c>
      <c r="M149">
        <v>102539</v>
      </c>
      <c r="N149" t="s">
        <v>1960</v>
      </c>
      <c r="O149" t="s">
        <v>25</v>
      </c>
      <c r="P149" t="s">
        <v>295</v>
      </c>
      <c r="Q149" t="s">
        <v>26</v>
      </c>
      <c r="R149" s="105">
        <f>IF(Table__192.168.1.150_Daily_Delinquency_With_Sectors[[#This Row],[Days in Arrears]] &gt; 0, Table__192.168.1.150_Daily_Delinquency_With_Sectors[[#This Row],[Outstanding Balance]],0)</f>
        <v>6782563.1500000004</v>
      </c>
      <c r="S149" s="105">
        <f>IF(Table__192.168.1.150_Daily_Delinquency_With_Sectors[[#This Row],[Days in Arrears]] &gt; 30, Table__192.168.1.150_Daily_Delinquency_With_Sectors[[#This Row],[Outstanding Balance]],0)</f>
        <v>6782563.1500000004</v>
      </c>
      <c r="T149" s="105">
        <f>IF(Table__192.168.1.150_Daily_Delinquency_With_Sectors[[#This Row],[Days in Arrears]] &gt; 90, Table__192.168.1.150_Daily_Delinquency_With_Sectors[[#This Row],[Outstanding Balance]],0)</f>
        <v>0</v>
      </c>
      <c r="U149" s="109">
        <f>IF(Table__192.168.1.150_Daily_Delinquency_With_Sectors[[#This Row],[Days in Arrears]] &gt;= 1,1,0)</f>
        <v>1</v>
      </c>
      <c r="V149" s="109">
        <f>IF(Table__192.168.1.150_Daily_Delinquency_With_Sectors[[#This Row],[Days in Arrears]] &gt; 30,1,0)</f>
        <v>1</v>
      </c>
      <c r="W149" s="109">
        <f>IF(Table__192.168.1.150_Daily_Delinquency_With_Sectors[[#This Row],[Days in Arrears]] &gt; 90,1,0)</f>
        <v>0</v>
      </c>
    </row>
    <row r="150" spans="1:23" x14ac:dyDescent="0.25">
      <c r="A150" t="s">
        <v>1964</v>
      </c>
      <c r="B150" t="s">
        <v>1283</v>
      </c>
      <c r="C150">
        <v>19</v>
      </c>
      <c r="D150" s="105">
        <v>33251222.120000001</v>
      </c>
      <c r="E150" t="s">
        <v>86</v>
      </c>
      <c r="F150" s="105">
        <v>1275006.75</v>
      </c>
      <c r="G150" s="105">
        <v>52870449.159999996</v>
      </c>
      <c r="H150" s="143">
        <v>42488.616505902777</v>
      </c>
      <c r="I150" s="143">
        <v>43956</v>
      </c>
      <c r="J150" t="s">
        <v>1965</v>
      </c>
      <c r="K150" t="s">
        <v>1280</v>
      </c>
      <c r="L150" t="s">
        <v>1280</v>
      </c>
      <c r="M150">
        <v>102542</v>
      </c>
      <c r="N150" t="s">
        <v>1963</v>
      </c>
      <c r="O150" t="s">
        <v>44</v>
      </c>
      <c r="P150" t="s">
        <v>75</v>
      </c>
      <c r="Q150" t="s">
        <v>26</v>
      </c>
      <c r="R150" s="105">
        <f>IF(Table__192.168.1.150_Daily_Delinquency_With_Sectors[[#This Row],[Days in Arrears]] &gt; 0, Table__192.168.1.150_Daily_Delinquency_With_Sectors[[#This Row],[Outstanding Balance]],0)</f>
        <v>33251222.120000001</v>
      </c>
      <c r="S150" s="105">
        <f>IF(Table__192.168.1.150_Daily_Delinquency_With_Sectors[[#This Row],[Days in Arrears]] &gt; 30, Table__192.168.1.150_Daily_Delinquency_With_Sectors[[#This Row],[Outstanding Balance]],0)</f>
        <v>0</v>
      </c>
      <c r="T150" s="105">
        <f>IF(Table__192.168.1.150_Daily_Delinquency_With_Sectors[[#This Row],[Days in Arrears]] &gt; 90, Table__192.168.1.150_Daily_Delinquency_With_Sectors[[#This Row],[Outstanding Balance]],0)</f>
        <v>0</v>
      </c>
      <c r="U150" s="109">
        <f>IF(Table__192.168.1.150_Daily_Delinquency_With_Sectors[[#This Row],[Days in Arrears]] &gt;= 1,1,0)</f>
        <v>1</v>
      </c>
      <c r="V150" s="109">
        <f>IF(Table__192.168.1.150_Daily_Delinquency_With_Sectors[[#This Row],[Days in Arrears]] &gt; 30,1,0)</f>
        <v>0</v>
      </c>
      <c r="W150" s="109">
        <f>IF(Table__192.168.1.150_Daily_Delinquency_With_Sectors[[#This Row],[Days in Arrears]] &gt; 90,1,0)</f>
        <v>0</v>
      </c>
    </row>
    <row r="151" spans="1:23" x14ac:dyDescent="0.25">
      <c r="A151" t="s">
        <v>483</v>
      </c>
      <c r="B151" t="s">
        <v>1279</v>
      </c>
      <c r="C151">
        <v>199</v>
      </c>
      <c r="D151" s="105">
        <v>413493.89</v>
      </c>
      <c r="E151" t="s">
        <v>5725</v>
      </c>
      <c r="F151" s="105">
        <v>16539.759999999998</v>
      </c>
      <c r="G151" s="105">
        <v>430033.65</v>
      </c>
      <c r="H151" s="143">
        <v>42488.684151504633</v>
      </c>
      <c r="I151" s="143">
        <v>42860</v>
      </c>
      <c r="J151" t="s">
        <v>484</v>
      </c>
      <c r="K151" t="s">
        <v>1280</v>
      </c>
      <c r="L151" t="s">
        <v>1280</v>
      </c>
      <c r="M151">
        <v>102543</v>
      </c>
      <c r="N151" t="s">
        <v>482</v>
      </c>
      <c r="O151" t="s">
        <v>44</v>
      </c>
      <c r="P151" t="s">
        <v>75</v>
      </c>
      <c r="Q151" t="s">
        <v>1442</v>
      </c>
      <c r="R151" s="105">
        <f>IF(Table__192.168.1.150_Daily_Delinquency_With_Sectors[[#This Row],[Days in Arrears]] &gt; 0, Table__192.168.1.150_Daily_Delinquency_With_Sectors[[#This Row],[Outstanding Balance]],0)</f>
        <v>413493.89</v>
      </c>
      <c r="S151" s="105">
        <f>IF(Table__192.168.1.150_Daily_Delinquency_With_Sectors[[#This Row],[Days in Arrears]] &gt; 30, Table__192.168.1.150_Daily_Delinquency_With_Sectors[[#This Row],[Outstanding Balance]],0)</f>
        <v>413493.89</v>
      </c>
      <c r="T151" s="105">
        <f>IF(Table__192.168.1.150_Daily_Delinquency_With_Sectors[[#This Row],[Days in Arrears]] &gt; 90, Table__192.168.1.150_Daily_Delinquency_With_Sectors[[#This Row],[Outstanding Balance]],0)</f>
        <v>413493.89</v>
      </c>
      <c r="U151" s="109">
        <f>IF(Table__192.168.1.150_Daily_Delinquency_With_Sectors[[#This Row],[Days in Arrears]] &gt;= 1,1,0)</f>
        <v>1</v>
      </c>
      <c r="V151" s="109">
        <f>IF(Table__192.168.1.150_Daily_Delinquency_With_Sectors[[#This Row],[Days in Arrears]] &gt; 30,1,0)</f>
        <v>1</v>
      </c>
      <c r="W151" s="109">
        <f>IF(Table__192.168.1.150_Daily_Delinquency_With_Sectors[[#This Row],[Days in Arrears]] &gt; 90,1,0)</f>
        <v>1</v>
      </c>
    </row>
    <row r="152" spans="1:23" x14ac:dyDescent="0.25">
      <c r="A152" t="s">
        <v>1967</v>
      </c>
      <c r="B152" t="s">
        <v>1284</v>
      </c>
      <c r="C152">
        <v>0</v>
      </c>
      <c r="D152" s="105">
        <v>6691704.0499999998</v>
      </c>
      <c r="E152" t="s">
        <v>491</v>
      </c>
      <c r="F152" s="105">
        <v>215621.57</v>
      </c>
      <c r="G152" s="105">
        <v>7493721.2000000002</v>
      </c>
      <c r="H152" s="143">
        <v>42488.770340856485</v>
      </c>
      <c r="I152" s="143">
        <v>43214</v>
      </c>
      <c r="J152" t="s">
        <v>1968</v>
      </c>
      <c r="K152" t="s">
        <v>1969</v>
      </c>
      <c r="L152" t="s">
        <v>1280</v>
      </c>
      <c r="M152">
        <v>102544</v>
      </c>
      <c r="N152" t="s">
        <v>1966</v>
      </c>
      <c r="O152" t="s">
        <v>44</v>
      </c>
      <c r="P152" t="s">
        <v>92</v>
      </c>
      <c r="Q152" t="s">
        <v>92</v>
      </c>
      <c r="R152" s="105">
        <f>IF(Table__192.168.1.150_Daily_Delinquency_With_Sectors[[#This Row],[Days in Arrears]] &gt; 0, Table__192.168.1.150_Daily_Delinquency_With_Sectors[[#This Row],[Outstanding Balance]],0)</f>
        <v>0</v>
      </c>
      <c r="S152" s="105">
        <f>IF(Table__192.168.1.150_Daily_Delinquency_With_Sectors[[#This Row],[Days in Arrears]] &gt; 30, Table__192.168.1.150_Daily_Delinquency_With_Sectors[[#This Row],[Outstanding Balance]],0)</f>
        <v>0</v>
      </c>
      <c r="T152" s="105">
        <f>IF(Table__192.168.1.150_Daily_Delinquency_With_Sectors[[#This Row],[Days in Arrears]] &gt; 90, Table__192.168.1.150_Daily_Delinquency_With_Sectors[[#This Row],[Outstanding Balance]],0)</f>
        <v>0</v>
      </c>
      <c r="U152" s="109">
        <f>IF(Table__192.168.1.150_Daily_Delinquency_With_Sectors[[#This Row],[Days in Arrears]] &gt;= 1,1,0)</f>
        <v>0</v>
      </c>
      <c r="V152" s="109">
        <f>IF(Table__192.168.1.150_Daily_Delinquency_With_Sectors[[#This Row],[Days in Arrears]] &gt; 30,1,0)</f>
        <v>0</v>
      </c>
      <c r="W152" s="109">
        <f>IF(Table__192.168.1.150_Daily_Delinquency_With_Sectors[[#This Row],[Days in Arrears]] &gt; 90,1,0)</f>
        <v>0</v>
      </c>
    </row>
    <row r="153" spans="1:23" x14ac:dyDescent="0.25">
      <c r="A153" t="s">
        <v>1263</v>
      </c>
      <c r="B153" t="s">
        <v>1284</v>
      </c>
      <c r="C153">
        <v>0</v>
      </c>
      <c r="D153" s="105">
        <v>19299402.359999999</v>
      </c>
      <c r="E153" t="s">
        <v>491</v>
      </c>
      <c r="F153" s="105">
        <v>559682.67000000004</v>
      </c>
      <c r="G153" s="105">
        <v>29539236.32</v>
      </c>
      <c r="H153" s="143">
        <v>42489.584698958337</v>
      </c>
      <c r="I153" s="143">
        <v>43945</v>
      </c>
      <c r="J153" t="s">
        <v>1264</v>
      </c>
      <c r="K153" t="s">
        <v>1265</v>
      </c>
      <c r="L153" t="s">
        <v>1280</v>
      </c>
      <c r="M153">
        <v>102546</v>
      </c>
      <c r="N153" t="s">
        <v>1262</v>
      </c>
      <c r="O153" t="s">
        <v>45</v>
      </c>
      <c r="P153" t="s">
        <v>26</v>
      </c>
      <c r="Q153" t="s">
        <v>26</v>
      </c>
      <c r="R153" s="105">
        <f>IF(Table__192.168.1.150_Daily_Delinquency_With_Sectors[[#This Row],[Days in Arrears]] &gt; 0, Table__192.168.1.150_Daily_Delinquency_With_Sectors[[#This Row],[Outstanding Balance]],0)</f>
        <v>0</v>
      </c>
      <c r="S153" s="105">
        <f>IF(Table__192.168.1.150_Daily_Delinquency_With_Sectors[[#This Row],[Days in Arrears]] &gt; 30, Table__192.168.1.150_Daily_Delinquency_With_Sectors[[#This Row],[Outstanding Balance]],0)</f>
        <v>0</v>
      </c>
      <c r="T153" s="105">
        <f>IF(Table__192.168.1.150_Daily_Delinquency_With_Sectors[[#This Row],[Days in Arrears]] &gt; 90, Table__192.168.1.150_Daily_Delinquency_With_Sectors[[#This Row],[Outstanding Balance]],0)</f>
        <v>0</v>
      </c>
      <c r="U153" s="109">
        <f>IF(Table__192.168.1.150_Daily_Delinquency_With_Sectors[[#This Row],[Days in Arrears]] &gt;= 1,1,0)</f>
        <v>0</v>
      </c>
      <c r="V153" s="109">
        <f>IF(Table__192.168.1.150_Daily_Delinquency_With_Sectors[[#This Row],[Days in Arrears]] &gt; 30,1,0)</f>
        <v>0</v>
      </c>
      <c r="W153" s="109">
        <f>IF(Table__192.168.1.150_Daily_Delinquency_With_Sectors[[#This Row],[Days in Arrears]] &gt; 90,1,0)</f>
        <v>0</v>
      </c>
    </row>
    <row r="154" spans="1:23" x14ac:dyDescent="0.25">
      <c r="A154" t="s">
        <v>258</v>
      </c>
      <c r="B154" t="s">
        <v>1283</v>
      </c>
      <c r="C154">
        <v>23</v>
      </c>
      <c r="D154" s="105">
        <v>32825576.800000001</v>
      </c>
      <c r="E154" t="s">
        <v>1447</v>
      </c>
      <c r="F154" s="105">
        <v>694304.94</v>
      </c>
      <c r="G154" s="105">
        <v>42569721.420000002</v>
      </c>
      <c r="H154" s="143">
        <v>42489.647573229166</v>
      </c>
      <c r="I154" s="143">
        <v>43586</v>
      </c>
      <c r="J154" t="s">
        <v>259</v>
      </c>
      <c r="K154" t="s">
        <v>260</v>
      </c>
      <c r="L154" t="s">
        <v>1280</v>
      </c>
      <c r="M154">
        <v>102547</v>
      </c>
      <c r="N154" t="s">
        <v>100</v>
      </c>
      <c r="O154" t="s">
        <v>25</v>
      </c>
      <c r="P154" t="s">
        <v>88</v>
      </c>
      <c r="Q154" t="s">
        <v>285</v>
      </c>
      <c r="R154" s="105">
        <f>IF(Table__192.168.1.150_Daily_Delinquency_With_Sectors[[#This Row],[Days in Arrears]] &gt; 0, Table__192.168.1.150_Daily_Delinquency_With_Sectors[[#This Row],[Outstanding Balance]],0)</f>
        <v>32825576.800000001</v>
      </c>
      <c r="S154" s="105">
        <f>IF(Table__192.168.1.150_Daily_Delinquency_With_Sectors[[#This Row],[Days in Arrears]] &gt; 30, Table__192.168.1.150_Daily_Delinquency_With_Sectors[[#This Row],[Outstanding Balance]],0)</f>
        <v>0</v>
      </c>
      <c r="T154" s="105">
        <f>IF(Table__192.168.1.150_Daily_Delinquency_With_Sectors[[#This Row],[Days in Arrears]] &gt; 90, Table__192.168.1.150_Daily_Delinquency_With_Sectors[[#This Row],[Outstanding Balance]],0)</f>
        <v>0</v>
      </c>
      <c r="U154" s="109">
        <f>IF(Table__192.168.1.150_Daily_Delinquency_With_Sectors[[#This Row],[Days in Arrears]] &gt;= 1,1,0)</f>
        <v>1</v>
      </c>
      <c r="V154" s="109">
        <f>IF(Table__192.168.1.150_Daily_Delinquency_With_Sectors[[#This Row],[Days in Arrears]] &gt; 30,1,0)</f>
        <v>0</v>
      </c>
      <c r="W154" s="109">
        <f>IF(Table__192.168.1.150_Daily_Delinquency_With_Sectors[[#This Row],[Days in Arrears]] &gt; 90,1,0)</f>
        <v>0</v>
      </c>
    </row>
    <row r="155" spans="1:23" x14ac:dyDescent="0.25">
      <c r="A155" t="s">
        <v>145</v>
      </c>
      <c r="B155" t="s">
        <v>1283</v>
      </c>
      <c r="C155">
        <v>169</v>
      </c>
      <c r="D155" s="105">
        <v>4124940.56</v>
      </c>
      <c r="E155" t="s">
        <v>5725</v>
      </c>
      <c r="F155" s="105">
        <v>0</v>
      </c>
      <c r="G155" s="105">
        <v>4124940.56</v>
      </c>
      <c r="H155" s="143">
        <v>42490.46178020833</v>
      </c>
      <c r="I155" s="143">
        <v>42891</v>
      </c>
      <c r="J155" t="s">
        <v>146</v>
      </c>
      <c r="K155" t="s">
        <v>1280</v>
      </c>
      <c r="L155" t="s">
        <v>1280</v>
      </c>
      <c r="M155">
        <v>102550</v>
      </c>
      <c r="N155" t="s">
        <v>144</v>
      </c>
      <c r="O155" t="s">
        <v>35</v>
      </c>
      <c r="P155" t="s">
        <v>121</v>
      </c>
      <c r="Q155" t="s">
        <v>299</v>
      </c>
      <c r="R155" s="105">
        <f>IF(Table__192.168.1.150_Daily_Delinquency_With_Sectors[[#This Row],[Days in Arrears]] &gt; 0, Table__192.168.1.150_Daily_Delinquency_With_Sectors[[#This Row],[Outstanding Balance]],0)</f>
        <v>4124940.56</v>
      </c>
      <c r="S155" s="105">
        <f>IF(Table__192.168.1.150_Daily_Delinquency_With_Sectors[[#This Row],[Days in Arrears]] &gt; 30, Table__192.168.1.150_Daily_Delinquency_With_Sectors[[#This Row],[Outstanding Balance]],0)</f>
        <v>4124940.56</v>
      </c>
      <c r="T155" s="105">
        <f>IF(Table__192.168.1.150_Daily_Delinquency_With_Sectors[[#This Row],[Days in Arrears]] &gt; 90, Table__192.168.1.150_Daily_Delinquency_With_Sectors[[#This Row],[Outstanding Balance]],0)</f>
        <v>4124940.56</v>
      </c>
      <c r="U155" s="109">
        <f>IF(Table__192.168.1.150_Daily_Delinquency_With_Sectors[[#This Row],[Days in Arrears]] &gt;= 1,1,0)</f>
        <v>1</v>
      </c>
      <c r="V155" s="109">
        <f>IF(Table__192.168.1.150_Daily_Delinquency_With_Sectors[[#This Row],[Days in Arrears]] &gt; 30,1,0)</f>
        <v>1</v>
      </c>
      <c r="W155" s="109">
        <f>IF(Table__192.168.1.150_Daily_Delinquency_With_Sectors[[#This Row],[Days in Arrears]] &gt; 90,1,0)</f>
        <v>1</v>
      </c>
    </row>
    <row r="156" spans="1:23" x14ac:dyDescent="0.25">
      <c r="A156" t="s">
        <v>1975</v>
      </c>
      <c r="B156" t="s">
        <v>1866</v>
      </c>
      <c r="C156">
        <v>138</v>
      </c>
      <c r="D156" s="105">
        <v>3794918.66</v>
      </c>
      <c r="E156" t="s">
        <v>1191</v>
      </c>
      <c r="F156" s="105">
        <v>302901.45</v>
      </c>
      <c r="G156" s="105">
        <v>4807979.0599999996</v>
      </c>
      <c r="H156" s="143">
        <v>42490.545032719907</v>
      </c>
      <c r="I156" s="143">
        <v>43226</v>
      </c>
      <c r="J156" t="s">
        <v>1976</v>
      </c>
      <c r="K156" t="s">
        <v>1280</v>
      </c>
      <c r="L156" t="s">
        <v>1977</v>
      </c>
      <c r="M156">
        <v>102552</v>
      </c>
      <c r="N156" t="s">
        <v>1974</v>
      </c>
      <c r="O156" t="s">
        <v>44</v>
      </c>
      <c r="P156" t="s">
        <v>75</v>
      </c>
      <c r="Q156" t="s">
        <v>26</v>
      </c>
      <c r="R156" s="105">
        <f>IF(Table__192.168.1.150_Daily_Delinquency_With_Sectors[[#This Row],[Days in Arrears]] &gt; 0, Table__192.168.1.150_Daily_Delinquency_With_Sectors[[#This Row],[Outstanding Balance]],0)</f>
        <v>3794918.66</v>
      </c>
      <c r="S156" s="105">
        <f>IF(Table__192.168.1.150_Daily_Delinquency_With_Sectors[[#This Row],[Days in Arrears]] &gt; 30, Table__192.168.1.150_Daily_Delinquency_With_Sectors[[#This Row],[Outstanding Balance]],0)</f>
        <v>3794918.66</v>
      </c>
      <c r="T156" s="105">
        <f>IF(Table__192.168.1.150_Daily_Delinquency_With_Sectors[[#This Row],[Days in Arrears]] &gt; 90, Table__192.168.1.150_Daily_Delinquency_With_Sectors[[#This Row],[Outstanding Balance]],0)</f>
        <v>3794918.66</v>
      </c>
      <c r="U156" s="109">
        <f>IF(Table__192.168.1.150_Daily_Delinquency_With_Sectors[[#This Row],[Days in Arrears]] &gt;= 1,1,0)</f>
        <v>1</v>
      </c>
      <c r="V156" s="109">
        <f>IF(Table__192.168.1.150_Daily_Delinquency_With_Sectors[[#This Row],[Days in Arrears]] &gt; 30,1,0)</f>
        <v>1</v>
      </c>
      <c r="W156" s="109">
        <f>IF(Table__192.168.1.150_Daily_Delinquency_With_Sectors[[#This Row],[Days in Arrears]] &gt; 90,1,0)</f>
        <v>1</v>
      </c>
    </row>
    <row r="157" spans="1:23" x14ac:dyDescent="0.25">
      <c r="A157" t="s">
        <v>1979</v>
      </c>
      <c r="B157" t="s">
        <v>1284</v>
      </c>
      <c r="C157">
        <v>16</v>
      </c>
      <c r="D157" s="105">
        <v>28415483.350000001</v>
      </c>
      <c r="E157" t="s">
        <v>1467</v>
      </c>
      <c r="F157" s="105">
        <v>1411149.87</v>
      </c>
      <c r="G157" s="105">
        <v>46012567.509999998</v>
      </c>
      <c r="H157" s="143">
        <v>42490.691256134261</v>
      </c>
      <c r="I157" s="143">
        <v>43959</v>
      </c>
      <c r="J157" t="s">
        <v>1980</v>
      </c>
      <c r="K157" t="s">
        <v>1280</v>
      </c>
      <c r="L157" t="s">
        <v>1280</v>
      </c>
      <c r="M157">
        <v>102558</v>
      </c>
      <c r="N157" t="s">
        <v>1978</v>
      </c>
      <c r="O157" t="s">
        <v>25</v>
      </c>
      <c r="P157" t="s">
        <v>106</v>
      </c>
      <c r="Q157" t="s">
        <v>26</v>
      </c>
      <c r="R157" s="105">
        <f>IF(Table__192.168.1.150_Daily_Delinquency_With_Sectors[[#This Row],[Days in Arrears]] &gt; 0, Table__192.168.1.150_Daily_Delinquency_With_Sectors[[#This Row],[Outstanding Balance]],0)</f>
        <v>28415483.350000001</v>
      </c>
      <c r="S157" s="105">
        <f>IF(Table__192.168.1.150_Daily_Delinquency_With_Sectors[[#This Row],[Days in Arrears]] &gt; 30, Table__192.168.1.150_Daily_Delinquency_With_Sectors[[#This Row],[Outstanding Balance]],0)</f>
        <v>0</v>
      </c>
      <c r="T157" s="105">
        <f>IF(Table__192.168.1.150_Daily_Delinquency_With_Sectors[[#This Row],[Days in Arrears]] &gt; 90, Table__192.168.1.150_Daily_Delinquency_With_Sectors[[#This Row],[Outstanding Balance]],0)</f>
        <v>0</v>
      </c>
      <c r="U157" s="109">
        <f>IF(Table__192.168.1.150_Daily_Delinquency_With_Sectors[[#This Row],[Days in Arrears]] &gt;= 1,1,0)</f>
        <v>1</v>
      </c>
      <c r="V157" s="109">
        <f>IF(Table__192.168.1.150_Daily_Delinquency_With_Sectors[[#This Row],[Days in Arrears]] &gt; 30,1,0)</f>
        <v>0</v>
      </c>
      <c r="W157" s="109">
        <f>IF(Table__192.168.1.150_Daily_Delinquency_With_Sectors[[#This Row],[Days in Arrears]] &gt; 90,1,0)</f>
        <v>0</v>
      </c>
    </row>
    <row r="158" spans="1:23" x14ac:dyDescent="0.25">
      <c r="A158" t="s">
        <v>1219</v>
      </c>
      <c r="B158" t="s">
        <v>1283</v>
      </c>
      <c r="C158">
        <v>77</v>
      </c>
      <c r="D158" s="105">
        <v>31305614.719999999</v>
      </c>
      <c r="E158" t="s">
        <v>5725</v>
      </c>
      <c r="F158" s="105">
        <v>1890834</v>
      </c>
      <c r="G158" s="105">
        <v>49721750.030000001</v>
      </c>
      <c r="H158" s="143">
        <v>42490.803992511574</v>
      </c>
      <c r="I158" s="143">
        <v>43958</v>
      </c>
      <c r="J158" t="s">
        <v>1220</v>
      </c>
      <c r="K158" t="s">
        <v>1280</v>
      </c>
      <c r="L158" t="s">
        <v>1280</v>
      </c>
      <c r="M158">
        <v>102561</v>
      </c>
      <c r="N158" t="s">
        <v>1218</v>
      </c>
      <c r="O158" t="s">
        <v>25</v>
      </c>
      <c r="P158" t="s">
        <v>88</v>
      </c>
      <c r="Q158" t="s">
        <v>26</v>
      </c>
      <c r="R158" s="105">
        <f>IF(Table__192.168.1.150_Daily_Delinquency_With_Sectors[[#This Row],[Days in Arrears]] &gt; 0, Table__192.168.1.150_Daily_Delinquency_With_Sectors[[#This Row],[Outstanding Balance]],0)</f>
        <v>31305614.719999999</v>
      </c>
      <c r="S158" s="105">
        <f>IF(Table__192.168.1.150_Daily_Delinquency_With_Sectors[[#This Row],[Days in Arrears]] &gt; 30, Table__192.168.1.150_Daily_Delinquency_With_Sectors[[#This Row],[Outstanding Balance]],0)</f>
        <v>31305614.719999999</v>
      </c>
      <c r="T158" s="105">
        <f>IF(Table__192.168.1.150_Daily_Delinquency_With_Sectors[[#This Row],[Days in Arrears]] &gt; 90, Table__192.168.1.150_Daily_Delinquency_With_Sectors[[#This Row],[Outstanding Balance]],0)</f>
        <v>0</v>
      </c>
      <c r="U158" s="109">
        <f>IF(Table__192.168.1.150_Daily_Delinquency_With_Sectors[[#This Row],[Days in Arrears]] &gt;= 1,1,0)</f>
        <v>1</v>
      </c>
      <c r="V158" s="109">
        <f>IF(Table__192.168.1.150_Daily_Delinquency_With_Sectors[[#This Row],[Days in Arrears]] &gt; 30,1,0)</f>
        <v>1</v>
      </c>
      <c r="W158" s="109">
        <f>IF(Table__192.168.1.150_Daily_Delinquency_With_Sectors[[#This Row],[Days in Arrears]] &gt; 90,1,0)</f>
        <v>0</v>
      </c>
    </row>
    <row r="159" spans="1:23" x14ac:dyDescent="0.25">
      <c r="A159" t="s">
        <v>1037</v>
      </c>
      <c r="B159" t="s">
        <v>1279</v>
      </c>
      <c r="C159">
        <v>198</v>
      </c>
      <c r="D159" s="105">
        <v>409816.06</v>
      </c>
      <c r="E159" t="s">
        <v>86</v>
      </c>
      <c r="F159" s="105">
        <v>16392.64</v>
      </c>
      <c r="G159" s="105">
        <v>426208.7</v>
      </c>
      <c r="H159" s="143">
        <v>42496.567496099538</v>
      </c>
      <c r="I159" s="143">
        <v>42861</v>
      </c>
      <c r="J159" t="s">
        <v>1038</v>
      </c>
      <c r="K159" t="s">
        <v>1280</v>
      </c>
      <c r="L159" t="s">
        <v>1280</v>
      </c>
      <c r="M159">
        <v>102567</v>
      </c>
      <c r="N159" t="s">
        <v>1036</v>
      </c>
      <c r="O159" t="s">
        <v>44</v>
      </c>
      <c r="P159" t="s">
        <v>92</v>
      </c>
      <c r="Q159" t="s">
        <v>92</v>
      </c>
      <c r="R159" s="105">
        <f>IF(Table__192.168.1.150_Daily_Delinquency_With_Sectors[[#This Row],[Days in Arrears]] &gt; 0, Table__192.168.1.150_Daily_Delinquency_With_Sectors[[#This Row],[Outstanding Balance]],0)</f>
        <v>409816.06</v>
      </c>
      <c r="S159" s="105">
        <f>IF(Table__192.168.1.150_Daily_Delinquency_With_Sectors[[#This Row],[Days in Arrears]] &gt; 30, Table__192.168.1.150_Daily_Delinquency_With_Sectors[[#This Row],[Outstanding Balance]],0)</f>
        <v>409816.06</v>
      </c>
      <c r="T159" s="105">
        <f>IF(Table__192.168.1.150_Daily_Delinquency_With_Sectors[[#This Row],[Days in Arrears]] &gt; 90, Table__192.168.1.150_Daily_Delinquency_With_Sectors[[#This Row],[Outstanding Balance]],0)</f>
        <v>409816.06</v>
      </c>
      <c r="U159" s="109">
        <f>IF(Table__192.168.1.150_Daily_Delinquency_With_Sectors[[#This Row],[Days in Arrears]] &gt;= 1,1,0)</f>
        <v>1</v>
      </c>
      <c r="V159" s="109">
        <f>IF(Table__192.168.1.150_Daily_Delinquency_With_Sectors[[#This Row],[Days in Arrears]] &gt; 30,1,0)</f>
        <v>1</v>
      </c>
      <c r="W159" s="109">
        <f>IF(Table__192.168.1.150_Daily_Delinquency_With_Sectors[[#This Row],[Days in Arrears]] &gt; 90,1,0)</f>
        <v>1</v>
      </c>
    </row>
    <row r="160" spans="1:23" x14ac:dyDescent="0.25">
      <c r="A160" t="s">
        <v>1110</v>
      </c>
      <c r="B160" t="s">
        <v>1284</v>
      </c>
      <c r="C160">
        <v>129</v>
      </c>
      <c r="D160" s="105">
        <v>42851075.539999999</v>
      </c>
      <c r="E160" t="s">
        <v>1039</v>
      </c>
      <c r="F160" s="105">
        <v>2546748.75</v>
      </c>
      <c r="G160" s="105">
        <v>69799054.439999998</v>
      </c>
      <c r="H160" s="143">
        <v>42497.483535150466</v>
      </c>
      <c r="I160" s="143">
        <v>43966</v>
      </c>
      <c r="J160" t="s">
        <v>1111</v>
      </c>
      <c r="K160" t="s">
        <v>1280</v>
      </c>
      <c r="L160" t="s">
        <v>1280</v>
      </c>
      <c r="M160">
        <v>102569</v>
      </c>
      <c r="N160" t="s">
        <v>1109</v>
      </c>
      <c r="O160" t="s">
        <v>45</v>
      </c>
      <c r="P160" t="s">
        <v>45</v>
      </c>
      <c r="Q160" t="s">
        <v>26</v>
      </c>
      <c r="R160" s="105">
        <f>IF(Table__192.168.1.150_Daily_Delinquency_With_Sectors[[#This Row],[Days in Arrears]] &gt; 0, Table__192.168.1.150_Daily_Delinquency_With_Sectors[[#This Row],[Outstanding Balance]],0)</f>
        <v>42851075.539999999</v>
      </c>
      <c r="S160" s="105">
        <f>IF(Table__192.168.1.150_Daily_Delinquency_With_Sectors[[#This Row],[Days in Arrears]] &gt; 30, Table__192.168.1.150_Daily_Delinquency_With_Sectors[[#This Row],[Outstanding Balance]],0)</f>
        <v>42851075.539999999</v>
      </c>
      <c r="T160" s="105">
        <f>IF(Table__192.168.1.150_Daily_Delinquency_With_Sectors[[#This Row],[Days in Arrears]] &gt; 90, Table__192.168.1.150_Daily_Delinquency_With_Sectors[[#This Row],[Outstanding Balance]],0)</f>
        <v>42851075.539999999</v>
      </c>
      <c r="U160" s="109">
        <f>IF(Table__192.168.1.150_Daily_Delinquency_With_Sectors[[#This Row],[Days in Arrears]] &gt;= 1,1,0)</f>
        <v>1</v>
      </c>
      <c r="V160" s="109">
        <f>IF(Table__192.168.1.150_Daily_Delinquency_With_Sectors[[#This Row],[Days in Arrears]] &gt; 30,1,0)</f>
        <v>1</v>
      </c>
      <c r="W160" s="109">
        <f>IF(Table__192.168.1.150_Daily_Delinquency_With_Sectors[[#This Row],[Days in Arrears]] &gt; 90,1,0)</f>
        <v>1</v>
      </c>
    </row>
    <row r="161" spans="1:23" x14ac:dyDescent="0.25">
      <c r="A161" t="s">
        <v>1247</v>
      </c>
      <c r="B161" t="s">
        <v>1282</v>
      </c>
      <c r="C161">
        <v>197</v>
      </c>
      <c r="D161" s="105">
        <v>6125013.7699999996</v>
      </c>
      <c r="E161" t="s">
        <v>5725</v>
      </c>
      <c r="F161" s="105">
        <v>208151.17</v>
      </c>
      <c r="G161" s="105">
        <v>6903273.46</v>
      </c>
      <c r="H161" s="143">
        <v>42497.538281250003</v>
      </c>
      <c r="I161" s="143">
        <v>43046</v>
      </c>
      <c r="J161" t="s">
        <v>1248</v>
      </c>
      <c r="K161" t="s">
        <v>1249</v>
      </c>
      <c r="L161" t="s">
        <v>1280</v>
      </c>
      <c r="M161">
        <v>102570</v>
      </c>
      <c r="N161" t="s">
        <v>1238</v>
      </c>
      <c r="O161" t="s">
        <v>25</v>
      </c>
      <c r="P161" t="s">
        <v>88</v>
      </c>
      <c r="Q161" t="s">
        <v>285</v>
      </c>
      <c r="R161" s="105">
        <f>IF(Table__192.168.1.150_Daily_Delinquency_With_Sectors[[#This Row],[Days in Arrears]] &gt; 0, Table__192.168.1.150_Daily_Delinquency_With_Sectors[[#This Row],[Outstanding Balance]],0)</f>
        <v>6125013.7699999996</v>
      </c>
      <c r="S161" s="105">
        <f>IF(Table__192.168.1.150_Daily_Delinquency_With_Sectors[[#This Row],[Days in Arrears]] &gt; 30, Table__192.168.1.150_Daily_Delinquency_With_Sectors[[#This Row],[Outstanding Balance]],0)</f>
        <v>6125013.7699999996</v>
      </c>
      <c r="T161" s="105">
        <f>IF(Table__192.168.1.150_Daily_Delinquency_With_Sectors[[#This Row],[Days in Arrears]] &gt; 90, Table__192.168.1.150_Daily_Delinquency_With_Sectors[[#This Row],[Outstanding Balance]],0)</f>
        <v>6125013.7699999996</v>
      </c>
      <c r="U161" s="109">
        <f>IF(Table__192.168.1.150_Daily_Delinquency_With_Sectors[[#This Row],[Days in Arrears]] &gt;= 1,1,0)</f>
        <v>1</v>
      </c>
      <c r="V161" s="109">
        <f>IF(Table__192.168.1.150_Daily_Delinquency_With_Sectors[[#This Row],[Days in Arrears]] &gt; 30,1,0)</f>
        <v>1</v>
      </c>
      <c r="W161" s="109">
        <f>IF(Table__192.168.1.150_Daily_Delinquency_With_Sectors[[#This Row],[Days in Arrears]] &gt; 90,1,0)</f>
        <v>1</v>
      </c>
    </row>
    <row r="162" spans="1:23" x14ac:dyDescent="0.25">
      <c r="A162" t="s">
        <v>1986</v>
      </c>
      <c r="B162" t="s">
        <v>1281</v>
      </c>
      <c r="C162">
        <v>-21</v>
      </c>
      <c r="D162" s="105">
        <v>6681366.0800000001</v>
      </c>
      <c r="E162" t="s">
        <v>86</v>
      </c>
      <c r="F162" s="105">
        <v>62359.42</v>
      </c>
      <c r="G162" s="105">
        <v>7523280.0300000003</v>
      </c>
      <c r="H162" s="143">
        <v>42499.492378900461</v>
      </c>
      <c r="I162" s="143">
        <v>43235</v>
      </c>
      <c r="J162" t="s">
        <v>1987</v>
      </c>
      <c r="K162" t="s">
        <v>1988</v>
      </c>
      <c r="L162" t="s">
        <v>1280</v>
      </c>
      <c r="M162">
        <v>102571</v>
      </c>
      <c r="N162" t="s">
        <v>99</v>
      </c>
      <c r="O162" t="s">
        <v>25</v>
      </c>
      <c r="P162" t="s">
        <v>32</v>
      </c>
      <c r="Q162" t="s">
        <v>26</v>
      </c>
      <c r="R162" s="105">
        <f>IF(Table__192.168.1.150_Daily_Delinquency_With_Sectors[[#This Row],[Days in Arrears]] &gt; 0, Table__192.168.1.150_Daily_Delinquency_With_Sectors[[#This Row],[Outstanding Balance]],0)</f>
        <v>0</v>
      </c>
      <c r="S162" s="105">
        <f>IF(Table__192.168.1.150_Daily_Delinquency_With_Sectors[[#This Row],[Days in Arrears]] &gt; 30, Table__192.168.1.150_Daily_Delinquency_With_Sectors[[#This Row],[Outstanding Balance]],0)</f>
        <v>0</v>
      </c>
      <c r="T162" s="105">
        <f>IF(Table__192.168.1.150_Daily_Delinquency_With_Sectors[[#This Row],[Days in Arrears]] &gt; 90, Table__192.168.1.150_Daily_Delinquency_With_Sectors[[#This Row],[Outstanding Balance]],0)</f>
        <v>0</v>
      </c>
      <c r="U162" s="109">
        <f>IF(Table__192.168.1.150_Daily_Delinquency_With_Sectors[[#This Row],[Days in Arrears]] &gt;= 1,1,0)</f>
        <v>0</v>
      </c>
      <c r="V162" s="109">
        <f>IF(Table__192.168.1.150_Daily_Delinquency_With_Sectors[[#This Row],[Days in Arrears]] &gt; 30,1,0)</f>
        <v>0</v>
      </c>
      <c r="W162" s="109">
        <f>IF(Table__192.168.1.150_Daily_Delinquency_With_Sectors[[#This Row],[Days in Arrears]] &gt; 90,1,0)</f>
        <v>0</v>
      </c>
    </row>
    <row r="163" spans="1:23" x14ac:dyDescent="0.25">
      <c r="A163" t="s">
        <v>1098</v>
      </c>
      <c r="B163" t="s">
        <v>1283</v>
      </c>
      <c r="C163">
        <v>164</v>
      </c>
      <c r="D163" s="105">
        <v>24709811.829999998</v>
      </c>
      <c r="E163" t="s">
        <v>5725</v>
      </c>
      <c r="F163" s="105">
        <v>1443803.19</v>
      </c>
      <c r="G163" s="105">
        <v>29788790.739999998</v>
      </c>
      <c r="H163" s="143">
        <v>42499.786681168982</v>
      </c>
      <c r="I163" s="143">
        <v>43230</v>
      </c>
      <c r="J163" t="s">
        <v>1099</v>
      </c>
      <c r="K163" t="s">
        <v>1280</v>
      </c>
      <c r="L163" t="s">
        <v>1280</v>
      </c>
      <c r="M163">
        <v>102575</v>
      </c>
      <c r="N163" t="s">
        <v>1097</v>
      </c>
      <c r="O163" t="s">
        <v>27</v>
      </c>
      <c r="P163" t="s">
        <v>81</v>
      </c>
      <c r="Q163" t="s">
        <v>26</v>
      </c>
      <c r="R163" s="105">
        <f>IF(Table__192.168.1.150_Daily_Delinquency_With_Sectors[[#This Row],[Days in Arrears]] &gt; 0, Table__192.168.1.150_Daily_Delinquency_With_Sectors[[#This Row],[Outstanding Balance]],0)</f>
        <v>24709811.829999998</v>
      </c>
      <c r="S163" s="105">
        <f>IF(Table__192.168.1.150_Daily_Delinquency_With_Sectors[[#This Row],[Days in Arrears]] &gt; 30, Table__192.168.1.150_Daily_Delinquency_With_Sectors[[#This Row],[Outstanding Balance]],0)</f>
        <v>24709811.829999998</v>
      </c>
      <c r="T163" s="105">
        <f>IF(Table__192.168.1.150_Daily_Delinquency_With_Sectors[[#This Row],[Days in Arrears]] &gt; 90, Table__192.168.1.150_Daily_Delinquency_With_Sectors[[#This Row],[Outstanding Balance]],0)</f>
        <v>24709811.829999998</v>
      </c>
      <c r="U163" s="109">
        <f>IF(Table__192.168.1.150_Daily_Delinquency_With_Sectors[[#This Row],[Days in Arrears]] &gt;= 1,1,0)</f>
        <v>1</v>
      </c>
      <c r="V163" s="109">
        <f>IF(Table__192.168.1.150_Daily_Delinquency_With_Sectors[[#This Row],[Days in Arrears]] &gt; 30,1,0)</f>
        <v>1</v>
      </c>
      <c r="W163" s="109">
        <f>IF(Table__192.168.1.150_Daily_Delinquency_With_Sectors[[#This Row],[Days in Arrears]] &gt; 90,1,0)</f>
        <v>1</v>
      </c>
    </row>
    <row r="164" spans="1:23" x14ac:dyDescent="0.25">
      <c r="A164" t="s">
        <v>862</v>
      </c>
      <c r="B164" t="s">
        <v>1841</v>
      </c>
      <c r="C164">
        <v>14</v>
      </c>
      <c r="D164" s="105">
        <v>9590763.6799999997</v>
      </c>
      <c r="E164" t="s">
        <v>5167</v>
      </c>
      <c r="F164" s="105">
        <v>314862.77</v>
      </c>
      <c r="G164" s="105">
        <v>13645322.310000001</v>
      </c>
      <c r="H164" s="143">
        <v>42500.666356168978</v>
      </c>
      <c r="I164" s="143">
        <v>43595</v>
      </c>
      <c r="J164" t="s">
        <v>863</v>
      </c>
      <c r="K164" t="s">
        <v>864</v>
      </c>
      <c r="L164" t="s">
        <v>1280</v>
      </c>
      <c r="M164">
        <v>102579</v>
      </c>
      <c r="N164" t="s">
        <v>860</v>
      </c>
      <c r="O164" t="s">
        <v>44</v>
      </c>
      <c r="P164" t="s">
        <v>75</v>
      </c>
      <c r="Q164" t="s">
        <v>26</v>
      </c>
      <c r="R164" s="105">
        <f>IF(Table__192.168.1.150_Daily_Delinquency_With_Sectors[[#This Row],[Days in Arrears]] &gt; 0, Table__192.168.1.150_Daily_Delinquency_With_Sectors[[#This Row],[Outstanding Balance]],0)</f>
        <v>9590763.6799999997</v>
      </c>
      <c r="S164" s="105">
        <f>IF(Table__192.168.1.150_Daily_Delinquency_With_Sectors[[#This Row],[Days in Arrears]] &gt; 30, Table__192.168.1.150_Daily_Delinquency_With_Sectors[[#This Row],[Outstanding Balance]],0)</f>
        <v>0</v>
      </c>
      <c r="T164" s="105">
        <f>IF(Table__192.168.1.150_Daily_Delinquency_With_Sectors[[#This Row],[Days in Arrears]] &gt; 90, Table__192.168.1.150_Daily_Delinquency_With_Sectors[[#This Row],[Outstanding Balance]],0)</f>
        <v>0</v>
      </c>
      <c r="U164" s="109">
        <f>IF(Table__192.168.1.150_Daily_Delinquency_With_Sectors[[#This Row],[Days in Arrears]] &gt;= 1,1,0)</f>
        <v>1</v>
      </c>
      <c r="V164" s="109">
        <f>IF(Table__192.168.1.150_Daily_Delinquency_With_Sectors[[#This Row],[Days in Arrears]] &gt; 30,1,0)</f>
        <v>0</v>
      </c>
      <c r="W164" s="109">
        <f>IF(Table__192.168.1.150_Daily_Delinquency_With_Sectors[[#This Row],[Days in Arrears]] &gt; 90,1,0)</f>
        <v>0</v>
      </c>
    </row>
    <row r="165" spans="1:23" x14ac:dyDescent="0.25">
      <c r="A165" t="s">
        <v>559</v>
      </c>
      <c r="B165" t="s">
        <v>1841</v>
      </c>
      <c r="C165">
        <v>39</v>
      </c>
      <c r="D165" s="105">
        <v>9057587.5299999993</v>
      </c>
      <c r="E165" t="s">
        <v>5726</v>
      </c>
      <c r="F165" s="105">
        <v>597800.02</v>
      </c>
      <c r="G165" s="105">
        <v>10541339.65</v>
      </c>
      <c r="H165" s="143">
        <v>42500.760113807868</v>
      </c>
      <c r="I165" s="143">
        <v>43235</v>
      </c>
      <c r="J165" t="s">
        <v>560</v>
      </c>
      <c r="K165" t="s">
        <v>561</v>
      </c>
      <c r="L165" t="s">
        <v>1280</v>
      </c>
      <c r="M165">
        <v>102581</v>
      </c>
      <c r="N165" t="s">
        <v>555</v>
      </c>
      <c r="O165" t="s">
        <v>25</v>
      </c>
      <c r="P165" t="s">
        <v>106</v>
      </c>
      <c r="Q165" t="s">
        <v>107</v>
      </c>
      <c r="R165" s="105">
        <f>IF(Table__192.168.1.150_Daily_Delinquency_With_Sectors[[#This Row],[Days in Arrears]] &gt; 0, Table__192.168.1.150_Daily_Delinquency_With_Sectors[[#This Row],[Outstanding Balance]],0)</f>
        <v>9057587.5299999993</v>
      </c>
      <c r="S165" s="105">
        <f>IF(Table__192.168.1.150_Daily_Delinquency_With_Sectors[[#This Row],[Days in Arrears]] &gt; 30, Table__192.168.1.150_Daily_Delinquency_With_Sectors[[#This Row],[Outstanding Balance]],0)</f>
        <v>9057587.5299999993</v>
      </c>
      <c r="T165" s="105">
        <f>IF(Table__192.168.1.150_Daily_Delinquency_With_Sectors[[#This Row],[Days in Arrears]] &gt; 90, Table__192.168.1.150_Daily_Delinquency_With_Sectors[[#This Row],[Outstanding Balance]],0)</f>
        <v>0</v>
      </c>
      <c r="U165" s="109">
        <f>IF(Table__192.168.1.150_Daily_Delinquency_With_Sectors[[#This Row],[Days in Arrears]] &gt;= 1,1,0)</f>
        <v>1</v>
      </c>
      <c r="V165" s="109">
        <f>IF(Table__192.168.1.150_Daily_Delinquency_With_Sectors[[#This Row],[Days in Arrears]] &gt; 30,1,0)</f>
        <v>1</v>
      </c>
      <c r="W165" s="109">
        <f>IF(Table__192.168.1.150_Daily_Delinquency_With_Sectors[[#This Row],[Days in Arrears]] &gt; 90,1,0)</f>
        <v>0</v>
      </c>
    </row>
    <row r="166" spans="1:23" x14ac:dyDescent="0.25">
      <c r="A166" t="s">
        <v>2051</v>
      </c>
      <c r="B166" t="s">
        <v>1284</v>
      </c>
      <c r="C166">
        <v>-17</v>
      </c>
      <c r="D166" s="105">
        <v>32170744.59</v>
      </c>
      <c r="E166" t="s">
        <v>491</v>
      </c>
      <c r="F166" s="105">
        <v>428943.26</v>
      </c>
      <c r="G166" s="105">
        <v>43299135.920000002</v>
      </c>
      <c r="H166" s="143">
        <v>42501.581520914355</v>
      </c>
      <c r="I166" s="143">
        <v>43596</v>
      </c>
      <c r="J166" t="s">
        <v>2052</v>
      </c>
      <c r="K166" t="s">
        <v>1280</v>
      </c>
      <c r="L166" t="s">
        <v>2053</v>
      </c>
      <c r="M166">
        <v>102583</v>
      </c>
      <c r="N166" t="s">
        <v>2050</v>
      </c>
      <c r="O166" t="s">
        <v>44</v>
      </c>
      <c r="P166" t="s">
        <v>75</v>
      </c>
      <c r="Q166" t="s">
        <v>1442</v>
      </c>
      <c r="R166" s="105">
        <f>IF(Table__192.168.1.150_Daily_Delinquency_With_Sectors[[#This Row],[Days in Arrears]] &gt; 0, Table__192.168.1.150_Daily_Delinquency_With_Sectors[[#This Row],[Outstanding Balance]],0)</f>
        <v>0</v>
      </c>
      <c r="S166" s="105">
        <f>IF(Table__192.168.1.150_Daily_Delinquency_With_Sectors[[#This Row],[Days in Arrears]] &gt; 30, Table__192.168.1.150_Daily_Delinquency_With_Sectors[[#This Row],[Outstanding Balance]],0)</f>
        <v>0</v>
      </c>
      <c r="T166" s="105">
        <f>IF(Table__192.168.1.150_Daily_Delinquency_With_Sectors[[#This Row],[Days in Arrears]] &gt; 90, Table__192.168.1.150_Daily_Delinquency_With_Sectors[[#This Row],[Outstanding Balance]],0)</f>
        <v>0</v>
      </c>
      <c r="U166" s="109">
        <f>IF(Table__192.168.1.150_Daily_Delinquency_With_Sectors[[#This Row],[Days in Arrears]] &gt;= 1,1,0)</f>
        <v>0</v>
      </c>
      <c r="V166" s="109">
        <f>IF(Table__192.168.1.150_Daily_Delinquency_With_Sectors[[#This Row],[Days in Arrears]] &gt; 30,1,0)</f>
        <v>0</v>
      </c>
      <c r="W166" s="109">
        <f>IF(Table__192.168.1.150_Daily_Delinquency_With_Sectors[[#This Row],[Days in Arrears]] &gt; 90,1,0)</f>
        <v>0</v>
      </c>
    </row>
    <row r="167" spans="1:23" x14ac:dyDescent="0.25">
      <c r="A167" t="s">
        <v>196</v>
      </c>
      <c r="B167" t="s">
        <v>1283</v>
      </c>
      <c r="C167">
        <v>1</v>
      </c>
      <c r="D167" s="105">
        <v>24775096.48</v>
      </c>
      <c r="E167" t="s">
        <v>86</v>
      </c>
      <c r="F167" s="105">
        <v>743252.89</v>
      </c>
      <c r="G167" s="105">
        <v>38398781.719999999</v>
      </c>
      <c r="H167" s="143">
        <v>42503.531356053238</v>
      </c>
      <c r="I167" s="143">
        <v>43974</v>
      </c>
      <c r="J167" t="s">
        <v>197</v>
      </c>
      <c r="K167" t="s">
        <v>198</v>
      </c>
      <c r="L167" t="s">
        <v>1280</v>
      </c>
      <c r="M167">
        <v>102585</v>
      </c>
      <c r="N167" t="s">
        <v>195</v>
      </c>
      <c r="O167" t="s">
        <v>44</v>
      </c>
      <c r="P167" t="s">
        <v>92</v>
      </c>
      <c r="Q167" t="s">
        <v>92</v>
      </c>
      <c r="R167" s="105">
        <f>IF(Table__192.168.1.150_Daily_Delinquency_With_Sectors[[#This Row],[Days in Arrears]] &gt; 0, Table__192.168.1.150_Daily_Delinquency_With_Sectors[[#This Row],[Outstanding Balance]],0)</f>
        <v>24775096.48</v>
      </c>
      <c r="S167" s="105">
        <f>IF(Table__192.168.1.150_Daily_Delinquency_With_Sectors[[#This Row],[Days in Arrears]] &gt; 30, Table__192.168.1.150_Daily_Delinquency_With_Sectors[[#This Row],[Outstanding Balance]],0)</f>
        <v>0</v>
      </c>
      <c r="T167" s="105">
        <f>IF(Table__192.168.1.150_Daily_Delinquency_With_Sectors[[#This Row],[Days in Arrears]] &gt; 90, Table__192.168.1.150_Daily_Delinquency_With_Sectors[[#This Row],[Outstanding Balance]],0)</f>
        <v>0</v>
      </c>
      <c r="U167" s="109">
        <f>IF(Table__192.168.1.150_Daily_Delinquency_With_Sectors[[#This Row],[Days in Arrears]] &gt;= 1,1,0)</f>
        <v>1</v>
      </c>
      <c r="V167" s="109">
        <f>IF(Table__192.168.1.150_Daily_Delinquency_With_Sectors[[#This Row],[Days in Arrears]] &gt; 30,1,0)</f>
        <v>0</v>
      </c>
      <c r="W167" s="109">
        <f>IF(Table__192.168.1.150_Daily_Delinquency_With_Sectors[[#This Row],[Days in Arrears]] &gt; 90,1,0)</f>
        <v>0</v>
      </c>
    </row>
    <row r="168" spans="1:23" x14ac:dyDescent="0.25">
      <c r="A168" t="s">
        <v>2075</v>
      </c>
      <c r="B168" t="s">
        <v>1284</v>
      </c>
      <c r="C168">
        <v>-23</v>
      </c>
      <c r="D168" s="105">
        <v>23831949.239999998</v>
      </c>
      <c r="E168" t="s">
        <v>1467</v>
      </c>
      <c r="F168" s="105">
        <v>158879.66</v>
      </c>
      <c r="G168" s="105">
        <v>32075813.68</v>
      </c>
      <c r="H168" s="143">
        <v>42506.733621678242</v>
      </c>
      <c r="I168" s="143">
        <v>43602</v>
      </c>
      <c r="J168" t="s">
        <v>2076</v>
      </c>
      <c r="K168" t="s">
        <v>1280</v>
      </c>
      <c r="L168" t="s">
        <v>1280</v>
      </c>
      <c r="M168">
        <v>102589</v>
      </c>
      <c r="N168" t="s">
        <v>2073</v>
      </c>
      <c r="O168" t="s">
        <v>25</v>
      </c>
      <c r="P168" t="s">
        <v>103</v>
      </c>
      <c r="Q168" t="s">
        <v>104</v>
      </c>
      <c r="R168" s="105">
        <f>IF(Table__192.168.1.150_Daily_Delinquency_With_Sectors[[#This Row],[Days in Arrears]] &gt; 0, Table__192.168.1.150_Daily_Delinquency_With_Sectors[[#This Row],[Outstanding Balance]],0)</f>
        <v>0</v>
      </c>
      <c r="S168" s="105">
        <f>IF(Table__192.168.1.150_Daily_Delinquency_With_Sectors[[#This Row],[Days in Arrears]] &gt; 30, Table__192.168.1.150_Daily_Delinquency_With_Sectors[[#This Row],[Outstanding Balance]],0)</f>
        <v>0</v>
      </c>
      <c r="T168" s="105">
        <f>IF(Table__192.168.1.150_Daily_Delinquency_With_Sectors[[#This Row],[Days in Arrears]] &gt; 90, Table__192.168.1.150_Daily_Delinquency_With_Sectors[[#This Row],[Outstanding Balance]],0)</f>
        <v>0</v>
      </c>
      <c r="U168" s="109">
        <f>IF(Table__192.168.1.150_Daily_Delinquency_With_Sectors[[#This Row],[Days in Arrears]] &gt;= 1,1,0)</f>
        <v>0</v>
      </c>
      <c r="V168" s="109">
        <f>IF(Table__192.168.1.150_Daily_Delinquency_With_Sectors[[#This Row],[Days in Arrears]] &gt; 30,1,0)</f>
        <v>0</v>
      </c>
      <c r="W168" s="109">
        <f>IF(Table__192.168.1.150_Daily_Delinquency_With_Sectors[[#This Row],[Days in Arrears]] &gt; 90,1,0)</f>
        <v>0</v>
      </c>
    </row>
    <row r="169" spans="1:23" x14ac:dyDescent="0.25">
      <c r="A169" t="s">
        <v>1073</v>
      </c>
      <c r="B169" t="s">
        <v>1282</v>
      </c>
      <c r="C169">
        <v>35</v>
      </c>
      <c r="D169" s="105">
        <v>954818.3</v>
      </c>
      <c r="E169" t="s">
        <v>963</v>
      </c>
      <c r="F169" s="105">
        <v>29444.62</v>
      </c>
      <c r="G169" s="105">
        <v>985278.25</v>
      </c>
      <c r="H169" s="143">
        <v>42507.562189548611</v>
      </c>
      <c r="I169" s="143">
        <v>43058</v>
      </c>
      <c r="J169" t="s">
        <v>1074</v>
      </c>
      <c r="K169" t="s">
        <v>1075</v>
      </c>
      <c r="L169" t="s">
        <v>1280</v>
      </c>
      <c r="M169">
        <v>102592</v>
      </c>
      <c r="N169" t="s">
        <v>1071</v>
      </c>
      <c r="O169" t="s">
        <v>45</v>
      </c>
      <c r="P169" t="s">
        <v>45</v>
      </c>
      <c r="Q169" t="s">
        <v>89</v>
      </c>
      <c r="R169" s="105">
        <f>IF(Table__192.168.1.150_Daily_Delinquency_With_Sectors[[#This Row],[Days in Arrears]] &gt; 0, Table__192.168.1.150_Daily_Delinquency_With_Sectors[[#This Row],[Outstanding Balance]],0)</f>
        <v>954818.3</v>
      </c>
      <c r="S169" s="105">
        <f>IF(Table__192.168.1.150_Daily_Delinquency_With_Sectors[[#This Row],[Days in Arrears]] &gt; 30, Table__192.168.1.150_Daily_Delinquency_With_Sectors[[#This Row],[Outstanding Balance]],0)</f>
        <v>954818.3</v>
      </c>
      <c r="T169" s="105">
        <f>IF(Table__192.168.1.150_Daily_Delinquency_With_Sectors[[#This Row],[Days in Arrears]] &gt; 90, Table__192.168.1.150_Daily_Delinquency_With_Sectors[[#This Row],[Outstanding Balance]],0)</f>
        <v>0</v>
      </c>
      <c r="U169" s="109">
        <f>IF(Table__192.168.1.150_Daily_Delinquency_With_Sectors[[#This Row],[Days in Arrears]] &gt;= 1,1,0)</f>
        <v>1</v>
      </c>
      <c r="V169" s="109">
        <f>IF(Table__192.168.1.150_Daily_Delinquency_With_Sectors[[#This Row],[Days in Arrears]] &gt; 30,1,0)</f>
        <v>1</v>
      </c>
      <c r="W169" s="109">
        <f>IF(Table__192.168.1.150_Daily_Delinquency_With_Sectors[[#This Row],[Days in Arrears]] &gt; 90,1,0)</f>
        <v>0</v>
      </c>
    </row>
    <row r="170" spans="1:23" x14ac:dyDescent="0.25">
      <c r="A170" t="s">
        <v>1148</v>
      </c>
      <c r="B170" t="s">
        <v>1284</v>
      </c>
      <c r="C170">
        <v>0</v>
      </c>
      <c r="D170" s="105">
        <v>20691148.239999998</v>
      </c>
      <c r="E170" t="s">
        <v>1039</v>
      </c>
      <c r="F170" s="105">
        <v>600043.30000000005</v>
      </c>
      <c r="G170" s="105">
        <v>29706214.719999999</v>
      </c>
      <c r="H170" s="143">
        <v>42508.715578356481</v>
      </c>
      <c r="I170" s="143">
        <v>43793</v>
      </c>
      <c r="J170" t="s">
        <v>1149</v>
      </c>
      <c r="K170" t="s">
        <v>1150</v>
      </c>
      <c r="L170" t="s">
        <v>1280</v>
      </c>
      <c r="M170">
        <v>102596</v>
      </c>
      <c r="N170" t="s">
        <v>1146</v>
      </c>
      <c r="O170" t="s">
        <v>44</v>
      </c>
      <c r="P170" t="s">
        <v>75</v>
      </c>
      <c r="Q170" t="s">
        <v>26</v>
      </c>
      <c r="R170" s="105">
        <f>IF(Table__192.168.1.150_Daily_Delinquency_With_Sectors[[#This Row],[Days in Arrears]] &gt; 0, Table__192.168.1.150_Daily_Delinquency_With_Sectors[[#This Row],[Outstanding Balance]],0)</f>
        <v>0</v>
      </c>
      <c r="S170" s="105">
        <f>IF(Table__192.168.1.150_Daily_Delinquency_With_Sectors[[#This Row],[Days in Arrears]] &gt; 30, Table__192.168.1.150_Daily_Delinquency_With_Sectors[[#This Row],[Outstanding Balance]],0)</f>
        <v>0</v>
      </c>
      <c r="T170" s="105">
        <f>IF(Table__192.168.1.150_Daily_Delinquency_With_Sectors[[#This Row],[Days in Arrears]] &gt; 90, Table__192.168.1.150_Daily_Delinquency_With_Sectors[[#This Row],[Outstanding Balance]],0)</f>
        <v>0</v>
      </c>
      <c r="U170" s="109">
        <f>IF(Table__192.168.1.150_Daily_Delinquency_With_Sectors[[#This Row],[Days in Arrears]] &gt;= 1,1,0)</f>
        <v>0</v>
      </c>
      <c r="V170" s="109">
        <f>IF(Table__192.168.1.150_Daily_Delinquency_With_Sectors[[#This Row],[Days in Arrears]] &gt; 30,1,0)</f>
        <v>0</v>
      </c>
      <c r="W170" s="109">
        <f>IF(Table__192.168.1.150_Daily_Delinquency_With_Sectors[[#This Row],[Days in Arrears]] &gt; 90,1,0)</f>
        <v>0</v>
      </c>
    </row>
    <row r="171" spans="1:23" x14ac:dyDescent="0.25">
      <c r="A171" t="s">
        <v>1638</v>
      </c>
      <c r="B171" t="s">
        <v>1283</v>
      </c>
      <c r="C171">
        <v>-11</v>
      </c>
      <c r="D171" s="105">
        <v>23744478.52</v>
      </c>
      <c r="E171" t="s">
        <v>2855</v>
      </c>
      <c r="F171" s="105">
        <v>427400.61</v>
      </c>
      <c r="G171" s="105">
        <v>36342771.380000003</v>
      </c>
      <c r="H171" s="143">
        <v>42508.736337349539</v>
      </c>
      <c r="I171" s="143">
        <v>43956</v>
      </c>
      <c r="J171" t="s">
        <v>1639</v>
      </c>
      <c r="K171" t="s">
        <v>1640</v>
      </c>
      <c r="L171" t="s">
        <v>1280</v>
      </c>
      <c r="M171">
        <v>102598</v>
      </c>
      <c r="N171" t="s">
        <v>1624</v>
      </c>
      <c r="O171" t="s">
        <v>44</v>
      </c>
      <c r="P171" t="s">
        <v>92</v>
      </c>
      <c r="Q171" t="s">
        <v>92</v>
      </c>
      <c r="R171" s="105">
        <f>IF(Table__192.168.1.150_Daily_Delinquency_With_Sectors[[#This Row],[Days in Arrears]] &gt; 0, Table__192.168.1.150_Daily_Delinquency_With_Sectors[[#This Row],[Outstanding Balance]],0)</f>
        <v>0</v>
      </c>
      <c r="S171" s="105">
        <f>IF(Table__192.168.1.150_Daily_Delinquency_With_Sectors[[#This Row],[Days in Arrears]] &gt; 30, Table__192.168.1.150_Daily_Delinquency_With_Sectors[[#This Row],[Outstanding Balance]],0)</f>
        <v>0</v>
      </c>
      <c r="T171" s="105">
        <f>IF(Table__192.168.1.150_Daily_Delinquency_With_Sectors[[#This Row],[Days in Arrears]] &gt; 90, Table__192.168.1.150_Daily_Delinquency_With_Sectors[[#This Row],[Outstanding Balance]],0)</f>
        <v>0</v>
      </c>
      <c r="U171" s="109">
        <f>IF(Table__192.168.1.150_Daily_Delinquency_With_Sectors[[#This Row],[Days in Arrears]] &gt;= 1,1,0)</f>
        <v>0</v>
      </c>
      <c r="V171" s="109">
        <f>IF(Table__192.168.1.150_Daily_Delinquency_With_Sectors[[#This Row],[Days in Arrears]] &gt; 30,1,0)</f>
        <v>0</v>
      </c>
      <c r="W171" s="109">
        <f>IF(Table__192.168.1.150_Daily_Delinquency_With_Sectors[[#This Row],[Days in Arrears]] &gt; 90,1,0)</f>
        <v>0</v>
      </c>
    </row>
    <row r="172" spans="1:23" x14ac:dyDescent="0.25">
      <c r="A172" t="s">
        <v>2089</v>
      </c>
      <c r="B172" t="s">
        <v>1281</v>
      </c>
      <c r="C172">
        <v>36</v>
      </c>
      <c r="D172" s="105">
        <v>8561213.2300000004</v>
      </c>
      <c r="E172" t="s">
        <v>5726</v>
      </c>
      <c r="F172" s="105">
        <v>565039.35999999999</v>
      </c>
      <c r="G172" s="105">
        <v>9963652.6999999993</v>
      </c>
      <c r="H172" s="143">
        <v>42508.752132905094</v>
      </c>
      <c r="I172" s="143">
        <v>43238</v>
      </c>
      <c r="J172" t="s">
        <v>2090</v>
      </c>
      <c r="K172" t="s">
        <v>1280</v>
      </c>
      <c r="L172" t="s">
        <v>1280</v>
      </c>
      <c r="M172">
        <v>102599</v>
      </c>
      <c r="N172" t="s">
        <v>352</v>
      </c>
      <c r="O172" t="s">
        <v>44</v>
      </c>
      <c r="P172" t="s">
        <v>92</v>
      </c>
      <c r="Q172" t="s">
        <v>92</v>
      </c>
      <c r="R172" s="105">
        <f>IF(Table__192.168.1.150_Daily_Delinquency_With_Sectors[[#This Row],[Days in Arrears]] &gt; 0, Table__192.168.1.150_Daily_Delinquency_With_Sectors[[#This Row],[Outstanding Balance]],0)</f>
        <v>8561213.2300000004</v>
      </c>
      <c r="S172" s="105">
        <f>IF(Table__192.168.1.150_Daily_Delinquency_With_Sectors[[#This Row],[Days in Arrears]] &gt; 30, Table__192.168.1.150_Daily_Delinquency_With_Sectors[[#This Row],[Outstanding Balance]],0)</f>
        <v>8561213.2300000004</v>
      </c>
      <c r="T172" s="105">
        <f>IF(Table__192.168.1.150_Daily_Delinquency_With_Sectors[[#This Row],[Days in Arrears]] &gt; 90, Table__192.168.1.150_Daily_Delinquency_With_Sectors[[#This Row],[Outstanding Balance]],0)</f>
        <v>0</v>
      </c>
      <c r="U172" s="109">
        <f>IF(Table__192.168.1.150_Daily_Delinquency_With_Sectors[[#This Row],[Days in Arrears]] &gt;= 1,1,0)</f>
        <v>1</v>
      </c>
      <c r="V172" s="109">
        <f>IF(Table__192.168.1.150_Daily_Delinquency_With_Sectors[[#This Row],[Days in Arrears]] &gt; 30,1,0)</f>
        <v>1</v>
      </c>
      <c r="W172" s="109">
        <f>IF(Table__192.168.1.150_Daily_Delinquency_With_Sectors[[#This Row],[Days in Arrears]] &gt; 90,1,0)</f>
        <v>0</v>
      </c>
    </row>
    <row r="173" spans="1:23" x14ac:dyDescent="0.25">
      <c r="A173" t="s">
        <v>2106</v>
      </c>
      <c r="B173" t="s">
        <v>1281</v>
      </c>
      <c r="C173">
        <v>-26</v>
      </c>
      <c r="D173" s="105">
        <v>5329134.6500000004</v>
      </c>
      <c r="E173" t="s">
        <v>86</v>
      </c>
      <c r="F173" s="105">
        <v>21316.54</v>
      </c>
      <c r="G173" s="105">
        <v>6099575.1900000004</v>
      </c>
      <c r="H173" s="143">
        <v>42510.571932754632</v>
      </c>
      <c r="I173" s="143">
        <v>43240</v>
      </c>
      <c r="J173" t="s">
        <v>2107</v>
      </c>
      <c r="K173" t="s">
        <v>2108</v>
      </c>
      <c r="L173" t="s">
        <v>1280</v>
      </c>
      <c r="M173">
        <v>102602</v>
      </c>
      <c r="N173" t="s">
        <v>2102</v>
      </c>
      <c r="O173" t="s">
        <v>37</v>
      </c>
      <c r="P173" t="s">
        <v>38</v>
      </c>
      <c r="Q173" t="s">
        <v>39</v>
      </c>
      <c r="R173" s="105">
        <f>IF(Table__192.168.1.150_Daily_Delinquency_With_Sectors[[#This Row],[Days in Arrears]] &gt; 0, Table__192.168.1.150_Daily_Delinquency_With_Sectors[[#This Row],[Outstanding Balance]],0)</f>
        <v>0</v>
      </c>
      <c r="S173" s="105">
        <f>IF(Table__192.168.1.150_Daily_Delinquency_With_Sectors[[#This Row],[Days in Arrears]] &gt; 30, Table__192.168.1.150_Daily_Delinquency_With_Sectors[[#This Row],[Outstanding Balance]],0)</f>
        <v>0</v>
      </c>
      <c r="T173" s="105">
        <f>IF(Table__192.168.1.150_Daily_Delinquency_With_Sectors[[#This Row],[Days in Arrears]] &gt; 90, Table__192.168.1.150_Daily_Delinquency_With_Sectors[[#This Row],[Outstanding Balance]],0)</f>
        <v>0</v>
      </c>
      <c r="U173" s="109">
        <f>IF(Table__192.168.1.150_Daily_Delinquency_With_Sectors[[#This Row],[Days in Arrears]] &gt;= 1,1,0)</f>
        <v>0</v>
      </c>
      <c r="V173" s="109">
        <f>IF(Table__192.168.1.150_Daily_Delinquency_With_Sectors[[#This Row],[Days in Arrears]] &gt; 30,1,0)</f>
        <v>0</v>
      </c>
      <c r="W173" s="109">
        <f>IF(Table__192.168.1.150_Daily_Delinquency_With_Sectors[[#This Row],[Days in Arrears]] &gt; 90,1,0)</f>
        <v>0</v>
      </c>
    </row>
    <row r="174" spans="1:23" x14ac:dyDescent="0.25">
      <c r="A174" t="s">
        <v>2111</v>
      </c>
      <c r="B174" t="s">
        <v>1283</v>
      </c>
      <c r="C174">
        <v>4</v>
      </c>
      <c r="D174" s="105">
        <v>16531356.49</v>
      </c>
      <c r="E174" t="s">
        <v>468</v>
      </c>
      <c r="F174" s="105">
        <v>46467.9</v>
      </c>
      <c r="G174" s="105">
        <v>19715105.120000001</v>
      </c>
      <c r="H174" s="143">
        <v>42510.774510763891</v>
      </c>
      <c r="I174" s="143">
        <v>43424</v>
      </c>
      <c r="J174" t="s">
        <v>2112</v>
      </c>
      <c r="K174" t="s">
        <v>1280</v>
      </c>
      <c r="L174" t="s">
        <v>1280</v>
      </c>
      <c r="M174">
        <v>102605</v>
      </c>
      <c r="N174" t="s">
        <v>590</v>
      </c>
      <c r="O174" t="s">
        <v>44</v>
      </c>
      <c r="P174" t="s">
        <v>92</v>
      </c>
      <c r="Q174" t="s">
        <v>92</v>
      </c>
      <c r="R174" s="105">
        <f>IF(Table__192.168.1.150_Daily_Delinquency_With_Sectors[[#This Row],[Days in Arrears]] &gt; 0, Table__192.168.1.150_Daily_Delinquency_With_Sectors[[#This Row],[Outstanding Balance]],0)</f>
        <v>16531356.49</v>
      </c>
      <c r="S174" s="105">
        <f>IF(Table__192.168.1.150_Daily_Delinquency_With_Sectors[[#This Row],[Days in Arrears]] &gt; 30, Table__192.168.1.150_Daily_Delinquency_With_Sectors[[#This Row],[Outstanding Balance]],0)</f>
        <v>0</v>
      </c>
      <c r="T174" s="105">
        <f>IF(Table__192.168.1.150_Daily_Delinquency_With_Sectors[[#This Row],[Days in Arrears]] &gt; 90, Table__192.168.1.150_Daily_Delinquency_With_Sectors[[#This Row],[Outstanding Balance]],0)</f>
        <v>0</v>
      </c>
      <c r="U174" s="109">
        <f>IF(Table__192.168.1.150_Daily_Delinquency_With_Sectors[[#This Row],[Days in Arrears]] &gt;= 1,1,0)</f>
        <v>1</v>
      </c>
      <c r="V174" s="109">
        <f>IF(Table__192.168.1.150_Daily_Delinquency_With_Sectors[[#This Row],[Days in Arrears]] &gt; 30,1,0)</f>
        <v>0</v>
      </c>
      <c r="W174" s="109">
        <f>IF(Table__192.168.1.150_Daily_Delinquency_With_Sectors[[#This Row],[Days in Arrears]] &gt; 90,1,0)</f>
        <v>0</v>
      </c>
    </row>
    <row r="175" spans="1:23" x14ac:dyDescent="0.25">
      <c r="A175" t="s">
        <v>1533</v>
      </c>
      <c r="B175" t="s">
        <v>1283</v>
      </c>
      <c r="C175">
        <v>-1</v>
      </c>
      <c r="D175" s="105">
        <v>20417599.690000001</v>
      </c>
      <c r="E175" t="s">
        <v>2861</v>
      </c>
      <c r="F175" s="105">
        <v>571692.79</v>
      </c>
      <c r="G175" s="105">
        <v>27083205.48</v>
      </c>
      <c r="H175" s="143">
        <v>42511.555987268519</v>
      </c>
      <c r="I175" s="143">
        <v>43610</v>
      </c>
      <c r="J175" t="s">
        <v>1534</v>
      </c>
      <c r="K175" t="s">
        <v>1280</v>
      </c>
      <c r="L175" t="s">
        <v>1535</v>
      </c>
      <c r="M175">
        <v>102607</v>
      </c>
      <c r="N175" t="s">
        <v>1530</v>
      </c>
      <c r="O175" t="s">
        <v>44</v>
      </c>
      <c r="P175" t="s">
        <v>92</v>
      </c>
      <c r="Q175" t="s">
        <v>26</v>
      </c>
      <c r="R175" s="105">
        <f>IF(Table__192.168.1.150_Daily_Delinquency_With_Sectors[[#This Row],[Days in Arrears]] &gt; 0, Table__192.168.1.150_Daily_Delinquency_With_Sectors[[#This Row],[Outstanding Balance]],0)</f>
        <v>0</v>
      </c>
      <c r="S175" s="105">
        <f>IF(Table__192.168.1.150_Daily_Delinquency_With_Sectors[[#This Row],[Days in Arrears]] &gt; 30, Table__192.168.1.150_Daily_Delinquency_With_Sectors[[#This Row],[Outstanding Balance]],0)</f>
        <v>0</v>
      </c>
      <c r="T175" s="105">
        <f>IF(Table__192.168.1.150_Daily_Delinquency_With_Sectors[[#This Row],[Days in Arrears]] &gt; 90, Table__192.168.1.150_Daily_Delinquency_With_Sectors[[#This Row],[Outstanding Balance]],0)</f>
        <v>0</v>
      </c>
      <c r="U175" s="109">
        <f>IF(Table__192.168.1.150_Daily_Delinquency_With_Sectors[[#This Row],[Days in Arrears]] &gt;= 1,1,0)</f>
        <v>0</v>
      </c>
      <c r="V175" s="109">
        <f>IF(Table__192.168.1.150_Daily_Delinquency_With_Sectors[[#This Row],[Days in Arrears]] &gt; 30,1,0)</f>
        <v>0</v>
      </c>
      <c r="W175" s="109">
        <f>IF(Table__192.168.1.150_Daily_Delinquency_With_Sectors[[#This Row],[Days in Arrears]] &gt; 90,1,0)</f>
        <v>0</v>
      </c>
    </row>
    <row r="176" spans="1:23" x14ac:dyDescent="0.25">
      <c r="A176" t="s">
        <v>1973</v>
      </c>
      <c r="B176" t="s">
        <v>1282</v>
      </c>
      <c r="C176">
        <v>123</v>
      </c>
      <c r="D176" s="105">
        <v>8898075.0199999996</v>
      </c>
      <c r="E176" t="s">
        <v>5726</v>
      </c>
      <c r="F176" s="105">
        <v>362934.77</v>
      </c>
      <c r="G176" s="105">
        <v>11289588.140000001</v>
      </c>
      <c r="H176" s="143">
        <v>42511.570760416667</v>
      </c>
      <c r="I176" s="143">
        <v>43606</v>
      </c>
      <c r="J176" t="s">
        <v>1523</v>
      </c>
      <c r="K176" t="s">
        <v>1280</v>
      </c>
      <c r="L176" t="s">
        <v>1280</v>
      </c>
      <c r="M176">
        <v>102608</v>
      </c>
      <c r="N176" t="s">
        <v>1255</v>
      </c>
      <c r="O176" t="s">
        <v>43</v>
      </c>
      <c r="P176" t="s">
        <v>338</v>
      </c>
      <c r="Q176" t="s">
        <v>339</v>
      </c>
      <c r="R176" s="105">
        <f>IF(Table__192.168.1.150_Daily_Delinquency_With_Sectors[[#This Row],[Days in Arrears]] &gt; 0, Table__192.168.1.150_Daily_Delinquency_With_Sectors[[#This Row],[Outstanding Balance]],0)</f>
        <v>8898075.0199999996</v>
      </c>
      <c r="S176" s="105">
        <f>IF(Table__192.168.1.150_Daily_Delinquency_With_Sectors[[#This Row],[Days in Arrears]] &gt; 30, Table__192.168.1.150_Daily_Delinquency_With_Sectors[[#This Row],[Outstanding Balance]],0)</f>
        <v>8898075.0199999996</v>
      </c>
      <c r="T176" s="105">
        <f>IF(Table__192.168.1.150_Daily_Delinquency_With_Sectors[[#This Row],[Days in Arrears]] &gt; 90, Table__192.168.1.150_Daily_Delinquency_With_Sectors[[#This Row],[Outstanding Balance]],0)</f>
        <v>8898075.0199999996</v>
      </c>
      <c r="U176" s="109">
        <f>IF(Table__192.168.1.150_Daily_Delinquency_With_Sectors[[#This Row],[Days in Arrears]] &gt;= 1,1,0)</f>
        <v>1</v>
      </c>
      <c r="V176" s="109">
        <f>IF(Table__192.168.1.150_Daily_Delinquency_With_Sectors[[#This Row],[Days in Arrears]] &gt; 30,1,0)</f>
        <v>1</v>
      </c>
      <c r="W176" s="109">
        <f>IF(Table__192.168.1.150_Daily_Delinquency_With_Sectors[[#This Row],[Days in Arrears]] &gt; 90,1,0)</f>
        <v>1</v>
      </c>
    </row>
    <row r="177" spans="1:23" x14ac:dyDescent="0.25">
      <c r="A177" t="s">
        <v>2113</v>
      </c>
      <c r="B177" t="s">
        <v>1281</v>
      </c>
      <c r="C177">
        <v>123</v>
      </c>
      <c r="D177" s="105">
        <v>5400586.4299999997</v>
      </c>
      <c r="E177" t="s">
        <v>468</v>
      </c>
      <c r="F177" s="105">
        <v>171851.34</v>
      </c>
      <c r="G177" s="105">
        <v>5853741.4400000004</v>
      </c>
      <c r="H177" s="143">
        <v>42511.581972997687</v>
      </c>
      <c r="I177" s="143">
        <v>43060</v>
      </c>
      <c r="J177" t="s">
        <v>2114</v>
      </c>
      <c r="K177" t="s">
        <v>1280</v>
      </c>
      <c r="L177" t="s">
        <v>1280</v>
      </c>
      <c r="M177">
        <v>102609</v>
      </c>
      <c r="N177" t="s">
        <v>2100</v>
      </c>
      <c r="O177" t="s">
        <v>31</v>
      </c>
      <c r="P177" t="s">
        <v>509</v>
      </c>
      <c r="Q177" t="s">
        <v>1814</v>
      </c>
      <c r="R177" s="105">
        <f>IF(Table__192.168.1.150_Daily_Delinquency_With_Sectors[[#This Row],[Days in Arrears]] &gt; 0, Table__192.168.1.150_Daily_Delinquency_With_Sectors[[#This Row],[Outstanding Balance]],0)</f>
        <v>5400586.4299999997</v>
      </c>
      <c r="S177" s="105">
        <f>IF(Table__192.168.1.150_Daily_Delinquency_With_Sectors[[#This Row],[Days in Arrears]] &gt; 30, Table__192.168.1.150_Daily_Delinquency_With_Sectors[[#This Row],[Outstanding Balance]],0)</f>
        <v>5400586.4299999997</v>
      </c>
      <c r="T177" s="105">
        <f>IF(Table__192.168.1.150_Daily_Delinquency_With_Sectors[[#This Row],[Days in Arrears]] &gt; 90, Table__192.168.1.150_Daily_Delinquency_With_Sectors[[#This Row],[Outstanding Balance]],0)</f>
        <v>5400586.4299999997</v>
      </c>
      <c r="U177" s="109">
        <f>IF(Table__192.168.1.150_Daily_Delinquency_With_Sectors[[#This Row],[Days in Arrears]] &gt;= 1,1,0)</f>
        <v>1</v>
      </c>
      <c r="V177" s="109">
        <f>IF(Table__192.168.1.150_Daily_Delinquency_With_Sectors[[#This Row],[Days in Arrears]] &gt; 30,1,0)</f>
        <v>1</v>
      </c>
      <c r="W177" s="109">
        <f>IF(Table__192.168.1.150_Daily_Delinquency_With_Sectors[[#This Row],[Days in Arrears]] &gt; 90,1,0)</f>
        <v>1</v>
      </c>
    </row>
    <row r="178" spans="1:23" x14ac:dyDescent="0.25">
      <c r="A178" t="s">
        <v>1597</v>
      </c>
      <c r="B178" t="s">
        <v>1284</v>
      </c>
      <c r="C178">
        <v>21</v>
      </c>
      <c r="D178" s="105">
        <v>40735858.659999996</v>
      </c>
      <c r="E178" t="s">
        <v>491</v>
      </c>
      <c r="F178" s="105">
        <v>1312101.53</v>
      </c>
      <c r="G178" s="105">
        <v>63222449.880000003</v>
      </c>
      <c r="H178" s="143">
        <v>42513.546250266205</v>
      </c>
      <c r="I178" s="143">
        <v>43985</v>
      </c>
      <c r="J178" t="s">
        <v>1598</v>
      </c>
      <c r="K178" t="s">
        <v>1599</v>
      </c>
      <c r="L178" t="s">
        <v>1280</v>
      </c>
      <c r="M178">
        <v>102611</v>
      </c>
      <c r="N178" t="s">
        <v>1566</v>
      </c>
      <c r="O178" t="s">
        <v>25</v>
      </c>
      <c r="P178" t="s">
        <v>88</v>
      </c>
      <c r="Q178" t="s">
        <v>26</v>
      </c>
      <c r="R178" s="105">
        <f>IF(Table__192.168.1.150_Daily_Delinquency_With_Sectors[[#This Row],[Days in Arrears]] &gt; 0, Table__192.168.1.150_Daily_Delinquency_With_Sectors[[#This Row],[Outstanding Balance]],0)</f>
        <v>40735858.659999996</v>
      </c>
      <c r="S178" s="105">
        <f>IF(Table__192.168.1.150_Daily_Delinquency_With_Sectors[[#This Row],[Days in Arrears]] &gt; 30, Table__192.168.1.150_Daily_Delinquency_With_Sectors[[#This Row],[Outstanding Balance]],0)</f>
        <v>0</v>
      </c>
      <c r="T178" s="105">
        <f>IF(Table__192.168.1.150_Daily_Delinquency_With_Sectors[[#This Row],[Days in Arrears]] &gt; 90, Table__192.168.1.150_Daily_Delinquency_With_Sectors[[#This Row],[Outstanding Balance]],0)</f>
        <v>0</v>
      </c>
      <c r="U178" s="109">
        <f>IF(Table__192.168.1.150_Daily_Delinquency_With_Sectors[[#This Row],[Days in Arrears]] &gt;= 1,1,0)</f>
        <v>1</v>
      </c>
      <c r="V178" s="109">
        <f>IF(Table__192.168.1.150_Daily_Delinquency_With_Sectors[[#This Row],[Days in Arrears]] &gt; 30,1,0)</f>
        <v>0</v>
      </c>
      <c r="W178" s="109">
        <f>IF(Table__192.168.1.150_Daily_Delinquency_With_Sectors[[#This Row],[Days in Arrears]] &gt; 90,1,0)</f>
        <v>0</v>
      </c>
    </row>
    <row r="179" spans="1:23" x14ac:dyDescent="0.25">
      <c r="A179" t="s">
        <v>1017</v>
      </c>
      <c r="B179" t="s">
        <v>1284</v>
      </c>
      <c r="C179">
        <v>-7</v>
      </c>
      <c r="D179" s="105">
        <v>43070421.020000003</v>
      </c>
      <c r="E179" t="s">
        <v>1039</v>
      </c>
      <c r="F179" s="105">
        <v>947549.26</v>
      </c>
      <c r="G179" s="105">
        <v>66757722.359999999</v>
      </c>
      <c r="H179" s="143">
        <v>42514.419436111108</v>
      </c>
      <c r="I179" s="143">
        <v>43983</v>
      </c>
      <c r="J179" t="s">
        <v>1018</v>
      </c>
      <c r="K179" t="s">
        <v>1280</v>
      </c>
      <c r="L179" t="s">
        <v>1280</v>
      </c>
      <c r="M179">
        <v>102613</v>
      </c>
      <c r="N179" t="s">
        <v>1016</v>
      </c>
      <c r="O179" t="s">
        <v>44</v>
      </c>
      <c r="P179" t="s">
        <v>92</v>
      </c>
      <c r="Q179" t="s">
        <v>92</v>
      </c>
      <c r="R179" s="105">
        <f>IF(Table__192.168.1.150_Daily_Delinquency_With_Sectors[[#This Row],[Days in Arrears]] &gt; 0, Table__192.168.1.150_Daily_Delinquency_With_Sectors[[#This Row],[Outstanding Balance]],0)</f>
        <v>0</v>
      </c>
      <c r="S179" s="105">
        <f>IF(Table__192.168.1.150_Daily_Delinquency_With_Sectors[[#This Row],[Days in Arrears]] &gt; 30, Table__192.168.1.150_Daily_Delinquency_With_Sectors[[#This Row],[Outstanding Balance]],0)</f>
        <v>0</v>
      </c>
      <c r="T179" s="105">
        <f>IF(Table__192.168.1.150_Daily_Delinquency_With_Sectors[[#This Row],[Days in Arrears]] &gt; 90, Table__192.168.1.150_Daily_Delinquency_With_Sectors[[#This Row],[Outstanding Balance]],0)</f>
        <v>0</v>
      </c>
      <c r="U179" s="109">
        <f>IF(Table__192.168.1.150_Daily_Delinquency_With_Sectors[[#This Row],[Days in Arrears]] &gt;= 1,1,0)</f>
        <v>0</v>
      </c>
      <c r="V179" s="109">
        <f>IF(Table__192.168.1.150_Daily_Delinquency_With_Sectors[[#This Row],[Days in Arrears]] &gt; 30,1,0)</f>
        <v>0</v>
      </c>
      <c r="W179" s="109">
        <f>IF(Table__192.168.1.150_Daily_Delinquency_With_Sectors[[#This Row],[Days in Arrears]] &gt; 90,1,0)</f>
        <v>0</v>
      </c>
    </row>
    <row r="180" spans="1:23" x14ac:dyDescent="0.25">
      <c r="A180" t="s">
        <v>2142</v>
      </c>
      <c r="B180" t="s">
        <v>1281</v>
      </c>
      <c r="C180">
        <v>22</v>
      </c>
      <c r="D180" s="105">
        <v>18153043.07</v>
      </c>
      <c r="E180" t="s">
        <v>1191</v>
      </c>
      <c r="F180" s="105">
        <v>725308.91</v>
      </c>
      <c r="G180" s="105">
        <v>26714653.609999999</v>
      </c>
      <c r="H180" s="143">
        <v>42514.757372719905</v>
      </c>
      <c r="I180" s="143">
        <v>43618</v>
      </c>
      <c r="J180" t="s">
        <v>2143</v>
      </c>
      <c r="K180" t="s">
        <v>1280</v>
      </c>
      <c r="L180" t="s">
        <v>1280</v>
      </c>
      <c r="M180">
        <v>102615</v>
      </c>
      <c r="N180" t="s">
        <v>2137</v>
      </c>
      <c r="O180" t="s">
        <v>46</v>
      </c>
      <c r="P180" t="s">
        <v>46</v>
      </c>
      <c r="Q180" t="s">
        <v>1812</v>
      </c>
      <c r="R180" s="105">
        <f>IF(Table__192.168.1.150_Daily_Delinquency_With_Sectors[[#This Row],[Days in Arrears]] &gt; 0, Table__192.168.1.150_Daily_Delinquency_With_Sectors[[#This Row],[Outstanding Balance]],0)</f>
        <v>18153043.07</v>
      </c>
      <c r="S180" s="105">
        <f>IF(Table__192.168.1.150_Daily_Delinquency_With_Sectors[[#This Row],[Days in Arrears]] &gt; 30, Table__192.168.1.150_Daily_Delinquency_With_Sectors[[#This Row],[Outstanding Balance]],0)</f>
        <v>0</v>
      </c>
      <c r="T180" s="105">
        <f>IF(Table__192.168.1.150_Daily_Delinquency_With_Sectors[[#This Row],[Days in Arrears]] &gt; 90, Table__192.168.1.150_Daily_Delinquency_With_Sectors[[#This Row],[Outstanding Balance]],0)</f>
        <v>0</v>
      </c>
      <c r="U180" s="109">
        <f>IF(Table__192.168.1.150_Daily_Delinquency_With_Sectors[[#This Row],[Days in Arrears]] &gt;= 1,1,0)</f>
        <v>1</v>
      </c>
      <c r="V180" s="109">
        <f>IF(Table__192.168.1.150_Daily_Delinquency_With_Sectors[[#This Row],[Days in Arrears]] &gt; 30,1,0)</f>
        <v>0</v>
      </c>
      <c r="W180" s="109">
        <f>IF(Table__192.168.1.150_Daily_Delinquency_With_Sectors[[#This Row],[Days in Arrears]] &gt; 90,1,0)</f>
        <v>0</v>
      </c>
    </row>
    <row r="181" spans="1:23" x14ac:dyDescent="0.25">
      <c r="A181" t="s">
        <v>2144</v>
      </c>
      <c r="B181" t="s">
        <v>1282</v>
      </c>
      <c r="C181">
        <v>89</v>
      </c>
      <c r="D181" s="105">
        <v>597121.59</v>
      </c>
      <c r="E181" t="s">
        <v>1909</v>
      </c>
      <c r="F181" s="105">
        <v>27674.19</v>
      </c>
      <c r="G181" s="105">
        <v>597121.59</v>
      </c>
      <c r="H181" s="143">
        <v>42515.406449224538</v>
      </c>
      <c r="I181" s="143">
        <v>42972</v>
      </c>
      <c r="J181" t="s">
        <v>2145</v>
      </c>
      <c r="K181" t="s">
        <v>2146</v>
      </c>
      <c r="L181" t="s">
        <v>1280</v>
      </c>
      <c r="M181">
        <v>102616</v>
      </c>
      <c r="N181" t="s">
        <v>453</v>
      </c>
      <c r="O181" t="s">
        <v>44</v>
      </c>
      <c r="P181" t="s">
        <v>92</v>
      </c>
      <c r="Q181" t="s">
        <v>26</v>
      </c>
      <c r="R181" s="105">
        <f>IF(Table__192.168.1.150_Daily_Delinquency_With_Sectors[[#This Row],[Days in Arrears]] &gt; 0, Table__192.168.1.150_Daily_Delinquency_With_Sectors[[#This Row],[Outstanding Balance]],0)</f>
        <v>597121.59</v>
      </c>
      <c r="S181" s="105">
        <f>IF(Table__192.168.1.150_Daily_Delinquency_With_Sectors[[#This Row],[Days in Arrears]] &gt; 30, Table__192.168.1.150_Daily_Delinquency_With_Sectors[[#This Row],[Outstanding Balance]],0)</f>
        <v>597121.59</v>
      </c>
      <c r="T181" s="105">
        <f>IF(Table__192.168.1.150_Daily_Delinquency_With_Sectors[[#This Row],[Days in Arrears]] &gt; 90, Table__192.168.1.150_Daily_Delinquency_With_Sectors[[#This Row],[Outstanding Balance]],0)</f>
        <v>0</v>
      </c>
      <c r="U181" s="109">
        <f>IF(Table__192.168.1.150_Daily_Delinquency_With_Sectors[[#This Row],[Days in Arrears]] &gt;= 1,1,0)</f>
        <v>1</v>
      </c>
      <c r="V181" s="109">
        <f>IF(Table__192.168.1.150_Daily_Delinquency_With_Sectors[[#This Row],[Days in Arrears]] &gt; 30,1,0)</f>
        <v>1</v>
      </c>
      <c r="W181" s="109">
        <f>IF(Table__192.168.1.150_Daily_Delinquency_With_Sectors[[#This Row],[Days in Arrears]] &gt; 90,1,0)</f>
        <v>0</v>
      </c>
    </row>
    <row r="182" spans="1:23" x14ac:dyDescent="0.25">
      <c r="A182" t="s">
        <v>1482</v>
      </c>
      <c r="B182" t="s">
        <v>1866</v>
      </c>
      <c r="C182">
        <v>83</v>
      </c>
      <c r="D182" s="105">
        <v>269587.37</v>
      </c>
      <c r="E182" t="s">
        <v>1191</v>
      </c>
      <c r="F182" s="105">
        <v>0</v>
      </c>
      <c r="G182" s="105">
        <v>269587.37</v>
      </c>
      <c r="H182" s="143">
        <v>42515.50470528935</v>
      </c>
      <c r="I182" s="143">
        <v>42979</v>
      </c>
      <c r="J182" t="s">
        <v>1483</v>
      </c>
      <c r="K182" t="s">
        <v>1280</v>
      </c>
      <c r="L182" t="s">
        <v>1280</v>
      </c>
      <c r="M182">
        <v>102618</v>
      </c>
      <c r="N182" t="s">
        <v>199</v>
      </c>
      <c r="O182" t="s">
        <v>44</v>
      </c>
      <c r="P182" t="s">
        <v>92</v>
      </c>
      <c r="Q182" t="s">
        <v>92</v>
      </c>
      <c r="R182" s="105">
        <f>IF(Table__192.168.1.150_Daily_Delinquency_With_Sectors[[#This Row],[Days in Arrears]] &gt; 0, Table__192.168.1.150_Daily_Delinquency_With_Sectors[[#This Row],[Outstanding Balance]],0)</f>
        <v>269587.37</v>
      </c>
      <c r="S182" s="105">
        <f>IF(Table__192.168.1.150_Daily_Delinquency_With_Sectors[[#This Row],[Days in Arrears]] &gt; 30, Table__192.168.1.150_Daily_Delinquency_With_Sectors[[#This Row],[Outstanding Balance]],0)</f>
        <v>269587.37</v>
      </c>
      <c r="T182" s="105">
        <f>IF(Table__192.168.1.150_Daily_Delinquency_With_Sectors[[#This Row],[Days in Arrears]] &gt; 90, Table__192.168.1.150_Daily_Delinquency_With_Sectors[[#This Row],[Outstanding Balance]],0)</f>
        <v>0</v>
      </c>
      <c r="U182" s="109">
        <f>IF(Table__192.168.1.150_Daily_Delinquency_With_Sectors[[#This Row],[Days in Arrears]] &gt;= 1,1,0)</f>
        <v>1</v>
      </c>
      <c r="V182" s="109">
        <f>IF(Table__192.168.1.150_Daily_Delinquency_With_Sectors[[#This Row],[Days in Arrears]] &gt; 30,1,0)</f>
        <v>1</v>
      </c>
      <c r="W182" s="109">
        <f>IF(Table__192.168.1.150_Daily_Delinquency_With_Sectors[[#This Row],[Days in Arrears]] &gt; 90,1,0)</f>
        <v>0</v>
      </c>
    </row>
    <row r="183" spans="1:23" x14ac:dyDescent="0.25">
      <c r="A183" t="s">
        <v>302</v>
      </c>
      <c r="B183" t="s">
        <v>1281</v>
      </c>
      <c r="C183">
        <v>-11</v>
      </c>
      <c r="D183" s="105">
        <v>17082354.920000002</v>
      </c>
      <c r="E183" t="s">
        <v>468</v>
      </c>
      <c r="F183" s="105">
        <v>358729.45</v>
      </c>
      <c r="G183" s="105">
        <v>23673857.940000001</v>
      </c>
      <c r="H183" s="143">
        <v>42515.566288078706</v>
      </c>
      <c r="I183" s="143">
        <v>43621</v>
      </c>
      <c r="J183" t="s">
        <v>303</v>
      </c>
      <c r="K183" t="s">
        <v>304</v>
      </c>
      <c r="L183" t="s">
        <v>1280</v>
      </c>
      <c r="M183">
        <v>102619</v>
      </c>
      <c r="N183" t="s">
        <v>301</v>
      </c>
      <c r="O183" t="s">
        <v>25</v>
      </c>
      <c r="P183" t="s">
        <v>103</v>
      </c>
      <c r="Q183" t="s">
        <v>26</v>
      </c>
      <c r="R183" s="105">
        <f>IF(Table__192.168.1.150_Daily_Delinquency_With_Sectors[[#This Row],[Days in Arrears]] &gt; 0, Table__192.168.1.150_Daily_Delinquency_With_Sectors[[#This Row],[Outstanding Balance]],0)</f>
        <v>0</v>
      </c>
      <c r="S183" s="105">
        <f>IF(Table__192.168.1.150_Daily_Delinquency_With_Sectors[[#This Row],[Days in Arrears]] &gt; 30, Table__192.168.1.150_Daily_Delinquency_With_Sectors[[#This Row],[Outstanding Balance]],0)</f>
        <v>0</v>
      </c>
      <c r="T183" s="105">
        <f>IF(Table__192.168.1.150_Daily_Delinquency_With_Sectors[[#This Row],[Days in Arrears]] &gt; 90, Table__192.168.1.150_Daily_Delinquency_With_Sectors[[#This Row],[Outstanding Balance]],0)</f>
        <v>0</v>
      </c>
      <c r="U183" s="109">
        <f>IF(Table__192.168.1.150_Daily_Delinquency_With_Sectors[[#This Row],[Days in Arrears]] &gt;= 1,1,0)</f>
        <v>0</v>
      </c>
      <c r="V183" s="109">
        <f>IF(Table__192.168.1.150_Daily_Delinquency_With_Sectors[[#This Row],[Days in Arrears]] &gt; 30,1,0)</f>
        <v>0</v>
      </c>
      <c r="W183" s="109">
        <f>IF(Table__192.168.1.150_Daily_Delinquency_With_Sectors[[#This Row],[Days in Arrears]] &gt; 90,1,0)</f>
        <v>0</v>
      </c>
    </row>
    <row r="184" spans="1:23" x14ac:dyDescent="0.25">
      <c r="A184" t="s">
        <v>2147</v>
      </c>
      <c r="B184" t="s">
        <v>1281</v>
      </c>
      <c r="C184">
        <v>53</v>
      </c>
      <c r="D184" s="105">
        <v>9091104.7799999993</v>
      </c>
      <c r="E184" t="s">
        <v>468</v>
      </c>
      <c r="F184" s="105">
        <v>664713.78</v>
      </c>
      <c r="G184" s="105">
        <v>10977187.439999999</v>
      </c>
      <c r="H184" s="143">
        <v>42515.655396678238</v>
      </c>
      <c r="I184" s="143">
        <v>43252</v>
      </c>
      <c r="J184" t="s">
        <v>2148</v>
      </c>
      <c r="K184" t="s">
        <v>1280</v>
      </c>
      <c r="L184" t="s">
        <v>1280</v>
      </c>
      <c r="M184">
        <v>102620</v>
      </c>
      <c r="N184" t="s">
        <v>2132</v>
      </c>
      <c r="O184" t="s">
        <v>25</v>
      </c>
      <c r="P184" t="s">
        <v>88</v>
      </c>
      <c r="Q184" t="s">
        <v>285</v>
      </c>
      <c r="R184" s="105">
        <f>IF(Table__192.168.1.150_Daily_Delinquency_With_Sectors[[#This Row],[Days in Arrears]] &gt; 0, Table__192.168.1.150_Daily_Delinquency_With_Sectors[[#This Row],[Outstanding Balance]],0)</f>
        <v>9091104.7799999993</v>
      </c>
      <c r="S184" s="105">
        <f>IF(Table__192.168.1.150_Daily_Delinquency_With_Sectors[[#This Row],[Days in Arrears]] &gt; 30, Table__192.168.1.150_Daily_Delinquency_With_Sectors[[#This Row],[Outstanding Balance]],0)</f>
        <v>9091104.7799999993</v>
      </c>
      <c r="T184" s="105">
        <f>IF(Table__192.168.1.150_Daily_Delinquency_With_Sectors[[#This Row],[Days in Arrears]] &gt; 90, Table__192.168.1.150_Daily_Delinquency_With_Sectors[[#This Row],[Outstanding Balance]],0)</f>
        <v>0</v>
      </c>
      <c r="U184" s="109">
        <f>IF(Table__192.168.1.150_Daily_Delinquency_With_Sectors[[#This Row],[Days in Arrears]] &gt;= 1,1,0)</f>
        <v>1</v>
      </c>
      <c r="V184" s="109">
        <f>IF(Table__192.168.1.150_Daily_Delinquency_With_Sectors[[#This Row],[Days in Arrears]] &gt; 30,1,0)</f>
        <v>1</v>
      </c>
      <c r="W184" s="109">
        <f>IF(Table__192.168.1.150_Daily_Delinquency_With_Sectors[[#This Row],[Days in Arrears]] &gt; 90,1,0)</f>
        <v>0</v>
      </c>
    </row>
    <row r="185" spans="1:23" x14ac:dyDescent="0.25">
      <c r="A185" t="s">
        <v>135</v>
      </c>
      <c r="B185" t="s">
        <v>1283</v>
      </c>
      <c r="C185">
        <v>23</v>
      </c>
      <c r="D185" s="105">
        <v>11820208.539999999</v>
      </c>
      <c r="E185" t="s">
        <v>1191</v>
      </c>
      <c r="F185" s="105">
        <v>251869.95</v>
      </c>
      <c r="G185" s="105">
        <v>13234624.01</v>
      </c>
      <c r="H185" s="143">
        <v>42517.672851238429</v>
      </c>
      <c r="I185" s="143">
        <v>43252</v>
      </c>
      <c r="J185" t="s">
        <v>136</v>
      </c>
      <c r="K185" t="s">
        <v>137</v>
      </c>
      <c r="L185" t="s">
        <v>138</v>
      </c>
      <c r="M185">
        <v>102626</v>
      </c>
      <c r="N185" t="s">
        <v>134</v>
      </c>
      <c r="O185" t="s">
        <v>25</v>
      </c>
      <c r="P185" t="s">
        <v>103</v>
      </c>
      <c r="Q185" t="s">
        <v>104</v>
      </c>
      <c r="R185" s="105">
        <f>IF(Table__192.168.1.150_Daily_Delinquency_With_Sectors[[#This Row],[Days in Arrears]] &gt; 0, Table__192.168.1.150_Daily_Delinquency_With_Sectors[[#This Row],[Outstanding Balance]],0)</f>
        <v>11820208.539999999</v>
      </c>
      <c r="S185" s="105">
        <f>IF(Table__192.168.1.150_Daily_Delinquency_With_Sectors[[#This Row],[Days in Arrears]] &gt; 30, Table__192.168.1.150_Daily_Delinquency_With_Sectors[[#This Row],[Outstanding Balance]],0)</f>
        <v>0</v>
      </c>
      <c r="T185" s="105">
        <f>IF(Table__192.168.1.150_Daily_Delinquency_With_Sectors[[#This Row],[Days in Arrears]] &gt; 90, Table__192.168.1.150_Daily_Delinquency_With_Sectors[[#This Row],[Outstanding Balance]],0)</f>
        <v>0</v>
      </c>
      <c r="U185" s="109">
        <f>IF(Table__192.168.1.150_Daily_Delinquency_With_Sectors[[#This Row],[Days in Arrears]] &gt;= 1,1,0)</f>
        <v>1</v>
      </c>
      <c r="V185" s="109">
        <f>IF(Table__192.168.1.150_Daily_Delinquency_With_Sectors[[#This Row],[Days in Arrears]] &gt; 30,1,0)</f>
        <v>0</v>
      </c>
      <c r="W185" s="109">
        <f>IF(Table__192.168.1.150_Daily_Delinquency_With_Sectors[[#This Row],[Days in Arrears]] &gt; 90,1,0)</f>
        <v>0</v>
      </c>
    </row>
    <row r="186" spans="1:23" x14ac:dyDescent="0.25">
      <c r="A186" t="s">
        <v>2177</v>
      </c>
      <c r="B186" t="s">
        <v>1281</v>
      </c>
      <c r="C186">
        <v>203</v>
      </c>
      <c r="D186" s="105">
        <v>10535979.98</v>
      </c>
      <c r="E186" t="s">
        <v>5726</v>
      </c>
      <c r="F186" s="105">
        <v>401168.79</v>
      </c>
      <c r="G186" s="105">
        <v>13604286.699999999</v>
      </c>
      <c r="H186" s="143">
        <v>42520.556637766203</v>
      </c>
      <c r="I186" s="143">
        <v>43252</v>
      </c>
      <c r="J186" t="s">
        <v>2178</v>
      </c>
      <c r="K186" t="s">
        <v>2179</v>
      </c>
      <c r="L186" t="s">
        <v>1280</v>
      </c>
      <c r="M186">
        <v>102630</v>
      </c>
      <c r="N186" t="s">
        <v>2176</v>
      </c>
      <c r="O186" t="s">
        <v>25</v>
      </c>
      <c r="P186" t="s">
        <v>290</v>
      </c>
      <c r="Q186" t="s">
        <v>1825</v>
      </c>
      <c r="R186" s="105">
        <f>IF(Table__192.168.1.150_Daily_Delinquency_With_Sectors[[#This Row],[Days in Arrears]] &gt; 0, Table__192.168.1.150_Daily_Delinquency_With_Sectors[[#This Row],[Outstanding Balance]],0)</f>
        <v>10535979.98</v>
      </c>
      <c r="S186" s="105">
        <f>IF(Table__192.168.1.150_Daily_Delinquency_With_Sectors[[#This Row],[Days in Arrears]] &gt; 30, Table__192.168.1.150_Daily_Delinquency_With_Sectors[[#This Row],[Outstanding Balance]],0)</f>
        <v>10535979.98</v>
      </c>
      <c r="T186" s="105">
        <f>IF(Table__192.168.1.150_Daily_Delinquency_With_Sectors[[#This Row],[Days in Arrears]] &gt; 90, Table__192.168.1.150_Daily_Delinquency_With_Sectors[[#This Row],[Outstanding Balance]],0)</f>
        <v>10535979.98</v>
      </c>
      <c r="U186" s="109">
        <f>IF(Table__192.168.1.150_Daily_Delinquency_With_Sectors[[#This Row],[Days in Arrears]] &gt;= 1,1,0)</f>
        <v>1</v>
      </c>
      <c r="V186" s="109">
        <f>IF(Table__192.168.1.150_Daily_Delinquency_With_Sectors[[#This Row],[Days in Arrears]] &gt; 30,1,0)</f>
        <v>1</v>
      </c>
      <c r="W186" s="109">
        <f>IF(Table__192.168.1.150_Daily_Delinquency_With_Sectors[[#This Row],[Days in Arrears]] &gt; 90,1,0)</f>
        <v>1</v>
      </c>
    </row>
    <row r="187" spans="1:23" x14ac:dyDescent="0.25">
      <c r="A187" t="s">
        <v>1292</v>
      </c>
      <c r="B187" t="s">
        <v>1282</v>
      </c>
      <c r="C187">
        <v>19</v>
      </c>
      <c r="D187" s="105">
        <v>1704219.93</v>
      </c>
      <c r="E187" t="s">
        <v>963</v>
      </c>
      <c r="F187" s="105">
        <v>23035.599999999999</v>
      </c>
      <c r="G187" s="105">
        <v>1742612.59</v>
      </c>
      <c r="H187" s="143">
        <v>42520.646828206016</v>
      </c>
      <c r="I187" s="143">
        <v>43074</v>
      </c>
      <c r="J187" t="s">
        <v>1293</v>
      </c>
      <c r="K187" t="s">
        <v>1280</v>
      </c>
      <c r="L187" t="s">
        <v>1280</v>
      </c>
      <c r="M187">
        <v>102631</v>
      </c>
      <c r="N187" t="s">
        <v>1291</v>
      </c>
      <c r="O187" t="s">
        <v>25</v>
      </c>
      <c r="P187" t="s">
        <v>103</v>
      </c>
      <c r="Q187" t="s">
        <v>104</v>
      </c>
      <c r="R187" s="105">
        <f>IF(Table__192.168.1.150_Daily_Delinquency_With_Sectors[[#This Row],[Days in Arrears]] &gt; 0, Table__192.168.1.150_Daily_Delinquency_With_Sectors[[#This Row],[Outstanding Balance]],0)</f>
        <v>1704219.93</v>
      </c>
      <c r="S187" s="105">
        <f>IF(Table__192.168.1.150_Daily_Delinquency_With_Sectors[[#This Row],[Days in Arrears]] &gt; 30, Table__192.168.1.150_Daily_Delinquency_With_Sectors[[#This Row],[Outstanding Balance]],0)</f>
        <v>0</v>
      </c>
      <c r="T187" s="105">
        <f>IF(Table__192.168.1.150_Daily_Delinquency_With_Sectors[[#This Row],[Days in Arrears]] &gt; 90, Table__192.168.1.150_Daily_Delinquency_With_Sectors[[#This Row],[Outstanding Balance]],0)</f>
        <v>0</v>
      </c>
      <c r="U187" s="109">
        <f>IF(Table__192.168.1.150_Daily_Delinquency_With_Sectors[[#This Row],[Days in Arrears]] &gt;= 1,1,0)</f>
        <v>1</v>
      </c>
      <c r="V187" s="109">
        <f>IF(Table__192.168.1.150_Daily_Delinquency_With_Sectors[[#This Row],[Days in Arrears]] &gt; 30,1,0)</f>
        <v>0</v>
      </c>
      <c r="W187" s="109">
        <f>IF(Table__192.168.1.150_Daily_Delinquency_With_Sectors[[#This Row],[Days in Arrears]] &gt; 90,1,0)</f>
        <v>0</v>
      </c>
    </row>
    <row r="188" spans="1:23" x14ac:dyDescent="0.25">
      <c r="A188" t="s">
        <v>836</v>
      </c>
      <c r="B188" t="s">
        <v>1284</v>
      </c>
      <c r="C188">
        <v>-11</v>
      </c>
      <c r="D188" s="105">
        <v>18483397.329999998</v>
      </c>
      <c r="E188" t="s">
        <v>546</v>
      </c>
      <c r="F188" s="105">
        <v>332701.15000000002</v>
      </c>
      <c r="G188" s="105">
        <v>20766918.989999998</v>
      </c>
      <c r="H188" s="143">
        <v>42520.70437172454</v>
      </c>
      <c r="I188" s="143">
        <v>43256</v>
      </c>
      <c r="J188" t="s">
        <v>837</v>
      </c>
      <c r="K188" t="s">
        <v>1280</v>
      </c>
      <c r="L188" t="s">
        <v>1280</v>
      </c>
      <c r="M188">
        <v>102632</v>
      </c>
      <c r="N188" t="s">
        <v>834</v>
      </c>
      <c r="O188" t="s">
        <v>25</v>
      </c>
      <c r="P188" t="s">
        <v>106</v>
      </c>
      <c r="Q188" t="s">
        <v>107</v>
      </c>
      <c r="R188" s="105">
        <f>IF(Table__192.168.1.150_Daily_Delinquency_With_Sectors[[#This Row],[Days in Arrears]] &gt; 0, Table__192.168.1.150_Daily_Delinquency_With_Sectors[[#This Row],[Outstanding Balance]],0)</f>
        <v>0</v>
      </c>
      <c r="S188" s="105">
        <f>IF(Table__192.168.1.150_Daily_Delinquency_With_Sectors[[#This Row],[Days in Arrears]] &gt; 30, Table__192.168.1.150_Daily_Delinquency_With_Sectors[[#This Row],[Outstanding Balance]],0)</f>
        <v>0</v>
      </c>
      <c r="T188" s="105">
        <f>IF(Table__192.168.1.150_Daily_Delinquency_With_Sectors[[#This Row],[Days in Arrears]] &gt; 90, Table__192.168.1.150_Daily_Delinquency_With_Sectors[[#This Row],[Outstanding Balance]],0)</f>
        <v>0</v>
      </c>
      <c r="U188" s="109">
        <f>IF(Table__192.168.1.150_Daily_Delinquency_With_Sectors[[#This Row],[Days in Arrears]] &gt;= 1,1,0)</f>
        <v>0</v>
      </c>
      <c r="V188" s="109">
        <f>IF(Table__192.168.1.150_Daily_Delinquency_With_Sectors[[#This Row],[Days in Arrears]] &gt; 30,1,0)</f>
        <v>0</v>
      </c>
      <c r="W188" s="109">
        <f>IF(Table__192.168.1.150_Daily_Delinquency_With_Sectors[[#This Row],[Days in Arrears]] &gt; 90,1,0)</f>
        <v>0</v>
      </c>
    </row>
    <row r="189" spans="1:23" x14ac:dyDescent="0.25">
      <c r="A189" t="s">
        <v>818</v>
      </c>
      <c r="B189" t="s">
        <v>1283</v>
      </c>
      <c r="C189">
        <v>14</v>
      </c>
      <c r="D189" s="105">
        <v>34218121.240000002</v>
      </c>
      <c r="E189" t="s">
        <v>90</v>
      </c>
      <c r="F189" s="105">
        <v>1428917.09</v>
      </c>
      <c r="G189" s="105">
        <v>53668573.380000003</v>
      </c>
      <c r="H189" s="143">
        <v>42520.725074965281</v>
      </c>
      <c r="I189" s="143">
        <v>43992</v>
      </c>
      <c r="J189" t="s">
        <v>819</v>
      </c>
      <c r="K189" t="s">
        <v>1280</v>
      </c>
      <c r="L189" t="s">
        <v>1280</v>
      </c>
      <c r="M189">
        <v>102633</v>
      </c>
      <c r="N189" t="s">
        <v>816</v>
      </c>
      <c r="O189" t="s">
        <v>25</v>
      </c>
      <c r="P189" t="s">
        <v>26</v>
      </c>
      <c r="Q189" t="s">
        <v>26</v>
      </c>
      <c r="R189" s="105">
        <f>IF(Table__192.168.1.150_Daily_Delinquency_With_Sectors[[#This Row],[Days in Arrears]] &gt; 0, Table__192.168.1.150_Daily_Delinquency_With_Sectors[[#This Row],[Outstanding Balance]],0)</f>
        <v>34218121.240000002</v>
      </c>
      <c r="S189" s="105">
        <f>IF(Table__192.168.1.150_Daily_Delinquency_With_Sectors[[#This Row],[Days in Arrears]] &gt; 30, Table__192.168.1.150_Daily_Delinquency_With_Sectors[[#This Row],[Outstanding Balance]],0)</f>
        <v>0</v>
      </c>
      <c r="T189" s="105">
        <f>IF(Table__192.168.1.150_Daily_Delinquency_With_Sectors[[#This Row],[Days in Arrears]] &gt; 90, Table__192.168.1.150_Daily_Delinquency_With_Sectors[[#This Row],[Outstanding Balance]],0)</f>
        <v>0</v>
      </c>
      <c r="U189" s="109">
        <f>IF(Table__192.168.1.150_Daily_Delinquency_With_Sectors[[#This Row],[Days in Arrears]] &gt;= 1,1,0)</f>
        <v>1</v>
      </c>
      <c r="V189" s="109">
        <f>IF(Table__192.168.1.150_Daily_Delinquency_With_Sectors[[#This Row],[Days in Arrears]] &gt; 30,1,0)</f>
        <v>0</v>
      </c>
      <c r="W189" s="109">
        <f>IF(Table__192.168.1.150_Daily_Delinquency_With_Sectors[[#This Row],[Days in Arrears]] &gt; 90,1,0)</f>
        <v>0</v>
      </c>
    </row>
    <row r="190" spans="1:23" x14ac:dyDescent="0.25">
      <c r="A190" t="s">
        <v>949</v>
      </c>
      <c r="B190" t="s">
        <v>1283</v>
      </c>
      <c r="C190">
        <v>19</v>
      </c>
      <c r="D190" s="105">
        <v>32782919.98</v>
      </c>
      <c r="E190" t="s">
        <v>468</v>
      </c>
      <c r="F190" s="105">
        <v>1562340.89</v>
      </c>
      <c r="G190" s="105">
        <v>51452523.460000001</v>
      </c>
      <c r="H190" s="143">
        <v>42521.574859918983</v>
      </c>
      <c r="I190" s="143">
        <v>43987</v>
      </c>
      <c r="J190" t="s">
        <v>950</v>
      </c>
      <c r="K190" t="s">
        <v>1280</v>
      </c>
      <c r="L190" t="s">
        <v>1280</v>
      </c>
      <c r="M190">
        <v>102634</v>
      </c>
      <c r="N190" t="s">
        <v>930</v>
      </c>
      <c r="O190" t="s">
        <v>37</v>
      </c>
      <c r="P190" t="s">
        <v>686</v>
      </c>
      <c r="Q190" t="s">
        <v>686</v>
      </c>
      <c r="R190" s="105">
        <f>IF(Table__192.168.1.150_Daily_Delinquency_With_Sectors[[#This Row],[Days in Arrears]] &gt; 0, Table__192.168.1.150_Daily_Delinquency_With_Sectors[[#This Row],[Outstanding Balance]],0)</f>
        <v>32782919.98</v>
      </c>
      <c r="S190" s="105">
        <f>IF(Table__192.168.1.150_Daily_Delinquency_With_Sectors[[#This Row],[Days in Arrears]] &gt; 30, Table__192.168.1.150_Daily_Delinquency_With_Sectors[[#This Row],[Outstanding Balance]],0)</f>
        <v>0</v>
      </c>
      <c r="T190" s="105">
        <f>IF(Table__192.168.1.150_Daily_Delinquency_With_Sectors[[#This Row],[Days in Arrears]] &gt; 90, Table__192.168.1.150_Daily_Delinquency_With_Sectors[[#This Row],[Outstanding Balance]],0)</f>
        <v>0</v>
      </c>
      <c r="U190" s="109">
        <f>IF(Table__192.168.1.150_Daily_Delinquency_With_Sectors[[#This Row],[Days in Arrears]] &gt;= 1,1,0)</f>
        <v>1</v>
      </c>
      <c r="V190" s="109">
        <f>IF(Table__192.168.1.150_Daily_Delinquency_With_Sectors[[#This Row],[Days in Arrears]] &gt; 30,1,0)</f>
        <v>0</v>
      </c>
      <c r="W190" s="109">
        <f>IF(Table__192.168.1.150_Daily_Delinquency_With_Sectors[[#This Row],[Days in Arrears]] &gt; 90,1,0)</f>
        <v>0</v>
      </c>
    </row>
    <row r="191" spans="1:23" x14ac:dyDescent="0.25">
      <c r="A191" t="s">
        <v>1662</v>
      </c>
      <c r="B191" t="s">
        <v>1284</v>
      </c>
      <c r="C191">
        <v>-7</v>
      </c>
      <c r="D191" s="105">
        <v>32836066.149999999</v>
      </c>
      <c r="E191" t="s">
        <v>546</v>
      </c>
      <c r="F191" s="105">
        <v>722393.46</v>
      </c>
      <c r="G191" s="105">
        <v>43555850.850000001</v>
      </c>
      <c r="H191" s="143">
        <v>42521.698426122683</v>
      </c>
      <c r="I191" s="143">
        <v>43617</v>
      </c>
      <c r="J191" t="s">
        <v>1663</v>
      </c>
      <c r="K191" t="s">
        <v>1664</v>
      </c>
      <c r="L191" t="s">
        <v>1280</v>
      </c>
      <c r="M191">
        <v>102636</v>
      </c>
      <c r="N191" t="s">
        <v>1657</v>
      </c>
      <c r="O191" t="s">
        <v>44</v>
      </c>
      <c r="P191" t="s">
        <v>75</v>
      </c>
      <c r="Q191" t="s">
        <v>26</v>
      </c>
      <c r="R191" s="105">
        <f>IF(Table__192.168.1.150_Daily_Delinquency_With_Sectors[[#This Row],[Days in Arrears]] &gt; 0, Table__192.168.1.150_Daily_Delinquency_With_Sectors[[#This Row],[Outstanding Balance]],0)</f>
        <v>0</v>
      </c>
      <c r="S191" s="105">
        <f>IF(Table__192.168.1.150_Daily_Delinquency_With_Sectors[[#This Row],[Days in Arrears]] &gt; 30, Table__192.168.1.150_Daily_Delinquency_With_Sectors[[#This Row],[Outstanding Balance]],0)</f>
        <v>0</v>
      </c>
      <c r="T191" s="105">
        <f>IF(Table__192.168.1.150_Daily_Delinquency_With_Sectors[[#This Row],[Days in Arrears]] &gt; 90, Table__192.168.1.150_Daily_Delinquency_With_Sectors[[#This Row],[Outstanding Balance]],0)</f>
        <v>0</v>
      </c>
      <c r="U191" s="109">
        <f>IF(Table__192.168.1.150_Daily_Delinquency_With_Sectors[[#This Row],[Days in Arrears]] &gt;= 1,1,0)</f>
        <v>0</v>
      </c>
      <c r="V191" s="109">
        <f>IF(Table__192.168.1.150_Daily_Delinquency_With_Sectors[[#This Row],[Days in Arrears]] &gt; 30,1,0)</f>
        <v>0</v>
      </c>
      <c r="W191" s="109">
        <f>IF(Table__192.168.1.150_Daily_Delinquency_With_Sectors[[#This Row],[Days in Arrears]] &gt; 90,1,0)</f>
        <v>0</v>
      </c>
    </row>
    <row r="192" spans="1:23" x14ac:dyDescent="0.25">
      <c r="A192" t="s">
        <v>631</v>
      </c>
      <c r="B192" t="s">
        <v>1850</v>
      </c>
      <c r="C192">
        <v>14</v>
      </c>
      <c r="D192" s="105">
        <v>12523393.949999999</v>
      </c>
      <c r="E192" t="s">
        <v>491</v>
      </c>
      <c r="F192" s="105">
        <v>532447.06999999995</v>
      </c>
      <c r="G192" s="105">
        <v>16835375.670000002</v>
      </c>
      <c r="H192" s="143">
        <v>42521.727298182872</v>
      </c>
      <c r="I192" s="143">
        <v>43626</v>
      </c>
      <c r="J192" t="s">
        <v>632</v>
      </c>
      <c r="K192" t="s">
        <v>633</v>
      </c>
      <c r="L192" t="s">
        <v>1280</v>
      </c>
      <c r="M192">
        <v>102637</v>
      </c>
      <c r="N192" t="s">
        <v>630</v>
      </c>
      <c r="O192" t="s">
        <v>44</v>
      </c>
      <c r="P192" t="s">
        <v>75</v>
      </c>
      <c r="Q192" t="s">
        <v>26</v>
      </c>
      <c r="R192" s="105">
        <f>IF(Table__192.168.1.150_Daily_Delinquency_With_Sectors[[#This Row],[Days in Arrears]] &gt; 0, Table__192.168.1.150_Daily_Delinquency_With_Sectors[[#This Row],[Outstanding Balance]],0)</f>
        <v>12523393.949999999</v>
      </c>
      <c r="S192" s="105">
        <f>IF(Table__192.168.1.150_Daily_Delinquency_With_Sectors[[#This Row],[Days in Arrears]] &gt; 30, Table__192.168.1.150_Daily_Delinquency_With_Sectors[[#This Row],[Outstanding Balance]],0)</f>
        <v>0</v>
      </c>
      <c r="T192" s="105">
        <f>IF(Table__192.168.1.150_Daily_Delinquency_With_Sectors[[#This Row],[Days in Arrears]] &gt; 90, Table__192.168.1.150_Daily_Delinquency_With_Sectors[[#This Row],[Outstanding Balance]],0)</f>
        <v>0</v>
      </c>
      <c r="U192" s="109">
        <f>IF(Table__192.168.1.150_Daily_Delinquency_With_Sectors[[#This Row],[Days in Arrears]] &gt;= 1,1,0)</f>
        <v>1</v>
      </c>
      <c r="V192" s="109">
        <f>IF(Table__192.168.1.150_Daily_Delinquency_With_Sectors[[#This Row],[Days in Arrears]] &gt; 30,1,0)</f>
        <v>0</v>
      </c>
      <c r="W192" s="109">
        <f>IF(Table__192.168.1.150_Daily_Delinquency_With_Sectors[[#This Row],[Days in Arrears]] &gt; 90,1,0)</f>
        <v>0</v>
      </c>
    </row>
    <row r="193" spans="1:23" x14ac:dyDescent="0.25">
      <c r="A193" t="s">
        <v>342</v>
      </c>
      <c r="B193" t="s">
        <v>1283</v>
      </c>
      <c r="C193">
        <v>-11</v>
      </c>
      <c r="D193" s="105">
        <v>33849774.689999998</v>
      </c>
      <c r="E193" t="s">
        <v>468</v>
      </c>
      <c r="F193" s="105">
        <v>609295.93999999994</v>
      </c>
      <c r="G193" s="105">
        <v>52466026.789999999</v>
      </c>
      <c r="H193" s="143">
        <v>42521.819705821756</v>
      </c>
      <c r="I193" s="143">
        <v>43987</v>
      </c>
      <c r="J193" t="s">
        <v>411</v>
      </c>
      <c r="K193" t="s">
        <v>1280</v>
      </c>
      <c r="L193" t="s">
        <v>1280</v>
      </c>
      <c r="M193">
        <v>102642</v>
      </c>
      <c r="N193" t="s">
        <v>410</v>
      </c>
      <c r="O193" t="s">
        <v>44</v>
      </c>
      <c r="P193" t="s">
        <v>92</v>
      </c>
      <c r="Q193" t="s">
        <v>92</v>
      </c>
      <c r="R193" s="105">
        <f>IF(Table__192.168.1.150_Daily_Delinquency_With_Sectors[[#This Row],[Days in Arrears]] &gt; 0, Table__192.168.1.150_Daily_Delinquency_With_Sectors[[#This Row],[Outstanding Balance]],0)</f>
        <v>0</v>
      </c>
      <c r="S193" s="105">
        <f>IF(Table__192.168.1.150_Daily_Delinquency_With_Sectors[[#This Row],[Days in Arrears]] &gt; 30, Table__192.168.1.150_Daily_Delinquency_With_Sectors[[#This Row],[Outstanding Balance]],0)</f>
        <v>0</v>
      </c>
      <c r="T193" s="105">
        <f>IF(Table__192.168.1.150_Daily_Delinquency_With_Sectors[[#This Row],[Days in Arrears]] &gt; 90, Table__192.168.1.150_Daily_Delinquency_With_Sectors[[#This Row],[Outstanding Balance]],0)</f>
        <v>0</v>
      </c>
      <c r="U193" s="109">
        <f>IF(Table__192.168.1.150_Daily_Delinquency_With_Sectors[[#This Row],[Days in Arrears]] &gt;= 1,1,0)</f>
        <v>0</v>
      </c>
      <c r="V193" s="109">
        <f>IF(Table__192.168.1.150_Daily_Delinquency_With_Sectors[[#This Row],[Days in Arrears]] &gt; 30,1,0)</f>
        <v>0</v>
      </c>
      <c r="W193" s="109">
        <f>IF(Table__192.168.1.150_Daily_Delinquency_With_Sectors[[#This Row],[Days in Arrears]] &gt; 90,1,0)</f>
        <v>0</v>
      </c>
    </row>
    <row r="194" spans="1:23" x14ac:dyDescent="0.25">
      <c r="A194" t="s">
        <v>400</v>
      </c>
      <c r="B194" t="s">
        <v>1281</v>
      </c>
      <c r="C194">
        <v>-11</v>
      </c>
      <c r="D194" s="105">
        <v>16319497.07</v>
      </c>
      <c r="E194" t="s">
        <v>468</v>
      </c>
      <c r="F194" s="105">
        <v>342709.44</v>
      </c>
      <c r="G194" s="105">
        <v>27001332.18</v>
      </c>
      <c r="H194" s="143">
        <v>42521.845722418984</v>
      </c>
      <c r="I194" s="143">
        <v>43987</v>
      </c>
      <c r="J194" t="s">
        <v>401</v>
      </c>
      <c r="K194" t="s">
        <v>402</v>
      </c>
      <c r="L194" t="s">
        <v>1280</v>
      </c>
      <c r="M194">
        <v>102644</v>
      </c>
      <c r="N194" t="s">
        <v>399</v>
      </c>
      <c r="O194" t="s">
        <v>44</v>
      </c>
      <c r="P194" t="s">
        <v>75</v>
      </c>
      <c r="Q194" t="s">
        <v>26</v>
      </c>
      <c r="R194" s="105">
        <f>IF(Table__192.168.1.150_Daily_Delinquency_With_Sectors[[#This Row],[Days in Arrears]] &gt; 0, Table__192.168.1.150_Daily_Delinquency_With_Sectors[[#This Row],[Outstanding Balance]],0)</f>
        <v>0</v>
      </c>
      <c r="S194" s="105">
        <f>IF(Table__192.168.1.150_Daily_Delinquency_With_Sectors[[#This Row],[Days in Arrears]] &gt; 30, Table__192.168.1.150_Daily_Delinquency_With_Sectors[[#This Row],[Outstanding Balance]],0)</f>
        <v>0</v>
      </c>
      <c r="T194" s="105">
        <f>IF(Table__192.168.1.150_Daily_Delinquency_With_Sectors[[#This Row],[Days in Arrears]] &gt; 90, Table__192.168.1.150_Daily_Delinquency_With_Sectors[[#This Row],[Outstanding Balance]],0)</f>
        <v>0</v>
      </c>
      <c r="U194" s="109">
        <f>IF(Table__192.168.1.150_Daily_Delinquency_With_Sectors[[#This Row],[Days in Arrears]] &gt;= 1,1,0)</f>
        <v>0</v>
      </c>
      <c r="V194" s="109">
        <f>IF(Table__192.168.1.150_Daily_Delinquency_With_Sectors[[#This Row],[Days in Arrears]] &gt; 30,1,0)</f>
        <v>0</v>
      </c>
      <c r="W194" s="109">
        <f>IF(Table__192.168.1.150_Daily_Delinquency_With_Sectors[[#This Row],[Days in Arrears]] &gt; 90,1,0)</f>
        <v>0</v>
      </c>
    </row>
    <row r="195" spans="1:23" x14ac:dyDescent="0.25">
      <c r="A195" t="s">
        <v>714</v>
      </c>
      <c r="B195" t="s">
        <v>1284</v>
      </c>
      <c r="C195">
        <v>-12</v>
      </c>
      <c r="D195" s="105">
        <v>33362207.190000001</v>
      </c>
      <c r="E195" t="s">
        <v>491</v>
      </c>
      <c r="F195" s="105">
        <v>567157.52</v>
      </c>
      <c r="G195" s="105">
        <v>55685864.130000003</v>
      </c>
      <c r="H195" s="143">
        <v>42527.501020868054</v>
      </c>
      <c r="I195" s="143">
        <v>44171</v>
      </c>
      <c r="J195" t="s">
        <v>715</v>
      </c>
      <c r="K195" t="s">
        <v>1280</v>
      </c>
      <c r="L195" t="s">
        <v>1280</v>
      </c>
      <c r="M195">
        <v>102649</v>
      </c>
      <c r="N195" t="s">
        <v>710</v>
      </c>
      <c r="O195" t="s">
        <v>44</v>
      </c>
      <c r="P195" t="s">
        <v>92</v>
      </c>
      <c r="Q195" t="s">
        <v>92</v>
      </c>
      <c r="R195" s="105">
        <f>IF(Table__192.168.1.150_Daily_Delinquency_With_Sectors[[#This Row],[Days in Arrears]] &gt; 0, Table__192.168.1.150_Daily_Delinquency_With_Sectors[[#This Row],[Outstanding Balance]],0)</f>
        <v>0</v>
      </c>
      <c r="S195" s="105">
        <f>IF(Table__192.168.1.150_Daily_Delinquency_With_Sectors[[#This Row],[Days in Arrears]] &gt; 30, Table__192.168.1.150_Daily_Delinquency_With_Sectors[[#This Row],[Outstanding Balance]],0)</f>
        <v>0</v>
      </c>
      <c r="T195" s="105">
        <f>IF(Table__192.168.1.150_Daily_Delinquency_With_Sectors[[#This Row],[Days in Arrears]] &gt; 90, Table__192.168.1.150_Daily_Delinquency_With_Sectors[[#This Row],[Outstanding Balance]],0)</f>
        <v>0</v>
      </c>
      <c r="U195" s="109">
        <f>IF(Table__192.168.1.150_Daily_Delinquency_With_Sectors[[#This Row],[Days in Arrears]] &gt;= 1,1,0)</f>
        <v>0</v>
      </c>
      <c r="V195" s="109">
        <f>IF(Table__192.168.1.150_Daily_Delinquency_With_Sectors[[#This Row],[Days in Arrears]] &gt; 30,1,0)</f>
        <v>0</v>
      </c>
      <c r="W195" s="109">
        <f>IF(Table__192.168.1.150_Daily_Delinquency_With_Sectors[[#This Row],[Days in Arrears]] &gt; 90,1,0)</f>
        <v>0</v>
      </c>
    </row>
    <row r="196" spans="1:23" x14ac:dyDescent="0.25">
      <c r="A196" t="s">
        <v>706</v>
      </c>
      <c r="B196" t="s">
        <v>1841</v>
      </c>
      <c r="C196">
        <v>9</v>
      </c>
      <c r="D196" s="105">
        <v>32117727.530000001</v>
      </c>
      <c r="E196" t="s">
        <v>4684</v>
      </c>
      <c r="F196" s="105">
        <v>1215579.78</v>
      </c>
      <c r="G196" s="105">
        <v>50408509.340000004</v>
      </c>
      <c r="H196" s="143">
        <v>42527.695888275462</v>
      </c>
      <c r="I196" s="143">
        <v>43997</v>
      </c>
      <c r="J196" t="s">
        <v>707</v>
      </c>
      <c r="K196" t="s">
        <v>708</v>
      </c>
      <c r="L196" t="s">
        <v>1280</v>
      </c>
      <c r="M196">
        <v>102651</v>
      </c>
      <c r="N196" t="s">
        <v>705</v>
      </c>
      <c r="O196" t="s">
        <v>25</v>
      </c>
      <c r="P196" t="s">
        <v>88</v>
      </c>
      <c r="Q196" t="s">
        <v>285</v>
      </c>
      <c r="R196" s="105">
        <f>IF(Table__192.168.1.150_Daily_Delinquency_With_Sectors[[#This Row],[Days in Arrears]] &gt; 0, Table__192.168.1.150_Daily_Delinquency_With_Sectors[[#This Row],[Outstanding Balance]],0)</f>
        <v>32117727.530000001</v>
      </c>
      <c r="S196" s="105">
        <f>IF(Table__192.168.1.150_Daily_Delinquency_With_Sectors[[#This Row],[Days in Arrears]] &gt; 30, Table__192.168.1.150_Daily_Delinquency_With_Sectors[[#This Row],[Outstanding Balance]],0)</f>
        <v>0</v>
      </c>
      <c r="T196" s="105">
        <f>IF(Table__192.168.1.150_Daily_Delinquency_With_Sectors[[#This Row],[Days in Arrears]] &gt; 90, Table__192.168.1.150_Daily_Delinquency_With_Sectors[[#This Row],[Outstanding Balance]],0)</f>
        <v>0</v>
      </c>
      <c r="U196" s="109">
        <f>IF(Table__192.168.1.150_Daily_Delinquency_With_Sectors[[#This Row],[Days in Arrears]] &gt;= 1,1,0)</f>
        <v>1</v>
      </c>
      <c r="V196" s="109">
        <f>IF(Table__192.168.1.150_Daily_Delinquency_With_Sectors[[#This Row],[Days in Arrears]] &gt; 30,1,0)</f>
        <v>0</v>
      </c>
      <c r="W196" s="109">
        <f>IF(Table__192.168.1.150_Daily_Delinquency_With_Sectors[[#This Row],[Days in Arrears]] &gt; 90,1,0)</f>
        <v>0</v>
      </c>
    </row>
    <row r="197" spans="1:23" x14ac:dyDescent="0.25">
      <c r="A197" t="s">
        <v>249</v>
      </c>
      <c r="B197" t="s">
        <v>1283</v>
      </c>
      <c r="C197">
        <v>-14</v>
      </c>
      <c r="D197" s="105">
        <v>12914223.6</v>
      </c>
      <c r="E197" t="s">
        <v>1447</v>
      </c>
      <c r="F197" s="105">
        <v>193713.35</v>
      </c>
      <c r="G197" s="105">
        <v>14509704.59</v>
      </c>
      <c r="H197" s="143">
        <v>42528.575429780096</v>
      </c>
      <c r="I197" s="143">
        <v>43259</v>
      </c>
      <c r="J197" t="s">
        <v>250</v>
      </c>
      <c r="K197" t="s">
        <v>251</v>
      </c>
      <c r="L197" t="s">
        <v>1280</v>
      </c>
      <c r="M197">
        <v>102652</v>
      </c>
      <c r="N197" t="s">
        <v>87</v>
      </c>
      <c r="O197" t="s">
        <v>44</v>
      </c>
      <c r="P197" t="s">
        <v>92</v>
      </c>
      <c r="Q197" t="s">
        <v>26</v>
      </c>
      <c r="R197" s="105">
        <f>IF(Table__192.168.1.150_Daily_Delinquency_With_Sectors[[#This Row],[Days in Arrears]] &gt; 0, Table__192.168.1.150_Daily_Delinquency_With_Sectors[[#This Row],[Outstanding Balance]],0)</f>
        <v>0</v>
      </c>
      <c r="S197" s="105">
        <f>IF(Table__192.168.1.150_Daily_Delinquency_With_Sectors[[#This Row],[Days in Arrears]] &gt; 30, Table__192.168.1.150_Daily_Delinquency_With_Sectors[[#This Row],[Outstanding Balance]],0)</f>
        <v>0</v>
      </c>
      <c r="T197" s="105">
        <f>IF(Table__192.168.1.150_Daily_Delinquency_With_Sectors[[#This Row],[Days in Arrears]] &gt; 90, Table__192.168.1.150_Daily_Delinquency_With_Sectors[[#This Row],[Outstanding Balance]],0)</f>
        <v>0</v>
      </c>
      <c r="U197" s="109">
        <f>IF(Table__192.168.1.150_Daily_Delinquency_With_Sectors[[#This Row],[Days in Arrears]] &gt;= 1,1,0)</f>
        <v>0</v>
      </c>
      <c r="V197" s="109">
        <f>IF(Table__192.168.1.150_Daily_Delinquency_With_Sectors[[#This Row],[Days in Arrears]] &gt; 30,1,0)</f>
        <v>0</v>
      </c>
      <c r="W197" s="109">
        <f>IF(Table__192.168.1.150_Daily_Delinquency_With_Sectors[[#This Row],[Days in Arrears]] &gt; 90,1,0)</f>
        <v>0</v>
      </c>
    </row>
    <row r="198" spans="1:23" x14ac:dyDescent="0.25">
      <c r="A198" t="s">
        <v>220</v>
      </c>
      <c r="B198" t="s">
        <v>1282</v>
      </c>
      <c r="C198">
        <v>132</v>
      </c>
      <c r="D198" s="105">
        <v>1613790.34</v>
      </c>
      <c r="E198" t="s">
        <v>5725</v>
      </c>
      <c r="F198" s="105">
        <v>46150.66</v>
      </c>
      <c r="G198" s="105">
        <v>1685871.49</v>
      </c>
      <c r="H198" s="143">
        <v>42529.70623556713</v>
      </c>
      <c r="I198" s="143">
        <v>42990</v>
      </c>
      <c r="J198" t="s">
        <v>221</v>
      </c>
      <c r="K198" t="s">
        <v>222</v>
      </c>
      <c r="L198" t="s">
        <v>1280</v>
      </c>
      <c r="M198">
        <v>102653</v>
      </c>
      <c r="N198" t="s">
        <v>219</v>
      </c>
      <c r="O198" t="s">
        <v>25</v>
      </c>
      <c r="P198" t="s">
        <v>88</v>
      </c>
      <c r="Q198" t="s">
        <v>26</v>
      </c>
      <c r="R198" s="105">
        <f>IF(Table__192.168.1.150_Daily_Delinquency_With_Sectors[[#This Row],[Days in Arrears]] &gt; 0, Table__192.168.1.150_Daily_Delinquency_With_Sectors[[#This Row],[Outstanding Balance]],0)</f>
        <v>1613790.34</v>
      </c>
      <c r="S198" s="105">
        <f>IF(Table__192.168.1.150_Daily_Delinquency_With_Sectors[[#This Row],[Days in Arrears]] &gt; 30, Table__192.168.1.150_Daily_Delinquency_With_Sectors[[#This Row],[Outstanding Balance]],0)</f>
        <v>1613790.34</v>
      </c>
      <c r="T198" s="105">
        <f>IF(Table__192.168.1.150_Daily_Delinquency_With_Sectors[[#This Row],[Days in Arrears]] &gt; 90, Table__192.168.1.150_Daily_Delinquency_With_Sectors[[#This Row],[Outstanding Balance]],0)</f>
        <v>1613790.34</v>
      </c>
      <c r="U198" s="109">
        <f>IF(Table__192.168.1.150_Daily_Delinquency_With_Sectors[[#This Row],[Days in Arrears]] &gt;= 1,1,0)</f>
        <v>1</v>
      </c>
      <c r="V198" s="109">
        <f>IF(Table__192.168.1.150_Daily_Delinquency_With_Sectors[[#This Row],[Days in Arrears]] &gt; 30,1,0)</f>
        <v>1</v>
      </c>
      <c r="W198" s="109">
        <f>IF(Table__192.168.1.150_Daily_Delinquency_With_Sectors[[#This Row],[Days in Arrears]] &gt; 90,1,0)</f>
        <v>1</v>
      </c>
    </row>
    <row r="199" spans="1:23" x14ac:dyDescent="0.25">
      <c r="A199" t="s">
        <v>788</v>
      </c>
      <c r="B199" t="s">
        <v>1283</v>
      </c>
      <c r="C199">
        <v>14</v>
      </c>
      <c r="D199" s="105">
        <v>18337097.82</v>
      </c>
      <c r="E199" t="s">
        <v>1191</v>
      </c>
      <c r="F199" s="105">
        <v>220420.67</v>
      </c>
      <c r="G199" s="105">
        <v>20431848.34</v>
      </c>
      <c r="H199" s="143">
        <v>42529.736859259261</v>
      </c>
      <c r="I199" s="143">
        <v>43261</v>
      </c>
      <c r="J199" t="s">
        <v>789</v>
      </c>
      <c r="K199" t="s">
        <v>1280</v>
      </c>
      <c r="L199" t="s">
        <v>1280</v>
      </c>
      <c r="M199">
        <v>102655</v>
      </c>
      <c r="N199" t="s">
        <v>786</v>
      </c>
      <c r="O199" t="s">
        <v>25</v>
      </c>
      <c r="P199" t="s">
        <v>88</v>
      </c>
      <c r="Q199" t="s">
        <v>26</v>
      </c>
      <c r="R199" s="105">
        <f>IF(Table__192.168.1.150_Daily_Delinquency_With_Sectors[[#This Row],[Days in Arrears]] &gt; 0, Table__192.168.1.150_Daily_Delinquency_With_Sectors[[#This Row],[Outstanding Balance]],0)</f>
        <v>18337097.82</v>
      </c>
      <c r="S199" s="105">
        <f>IF(Table__192.168.1.150_Daily_Delinquency_With_Sectors[[#This Row],[Days in Arrears]] &gt; 30, Table__192.168.1.150_Daily_Delinquency_With_Sectors[[#This Row],[Outstanding Balance]],0)</f>
        <v>0</v>
      </c>
      <c r="T199" s="105">
        <f>IF(Table__192.168.1.150_Daily_Delinquency_With_Sectors[[#This Row],[Days in Arrears]] &gt; 90, Table__192.168.1.150_Daily_Delinquency_With_Sectors[[#This Row],[Outstanding Balance]],0)</f>
        <v>0</v>
      </c>
      <c r="U199" s="109">
        <f>IF(Table__192.168.1.150_Daily_Delinquency_With_Sectors[[#This Row],[Days in Arrears]] &gt;= 1,1,0)</f>
        <v>1</v>
      </c>
      <c r="V199" s="109">
        <f>IF(Table__192.168.1.150_Daily_Delinquency_With_Sectors[[#This Row],[Days in Arrears]] &gt; 30,1,0)</f>
        <v>0</v>
      </c>
      <c r="W199" s="109">
        <f>IF(Table__192.168.1.150_Daily_Delinquency_With_Sectors[[#This Row],[Days in Arrears]] &gt; 90,1,0)</f>
        <v>0</v>
      </c>
    </row>
    <row r="200" spans="1:23" x14ac:dyDescent="0.25">
      <c r="A200" t="s">
        <v>1645</v>
      </c>
      <c r="B200" t="s">
        <v>1284</v>
      </c>
      <c r="C200">
        <v>9</v>
      </c>
      <c r="D200" s="105">
        <v>23337204.469999999</v>
      </c>
      <c r="E200" t="s">
        <v>491</v>
      </c>
      <c r="F200" s="105">
        <v>184595.38</v>
      </c>
      <c r="G200" s="105">
        <v>30870166.68</v>
      </c>
      <c r="H200" s="143">
        <v>42531.702821261577</v>
      </c>
      <c r="I200" s="143">
        <v>43631</v>
      </c>
      <c r="J200" t="s">
        <v>1646</v>
      </c>
      <c r="K200" t="s">
        <v>1280</v>
      </c>
      <c r="L200" t="s">
        <v>1280</v>
      </c>
      <c r="M200">
        <v>102658</v>
      </c>
      <c r="N200" t="s">
        <v>1642</v>
      </c>
      <c r="O200" t="s">
        <v>44</v>
      </c>
      <c r="P200" t="s">
        <v>75</v>
      </c>
      <c r="Q200" t="s">
        <v>26</v>
      </c>
      <c r="R200" s="105">
        <f>IF(Table__192.168.1.150_Daily_Delinquency_With_Sectors[[#This Row],[Days in Arrears]] &gt; 0, Table__192.168.1.150_Daily_Delinquency_With_Sectors[[#This Row],[Outstanding Balance]],0)</f>
        <v>23337204.469999999</v>
      </c>
      <c r="S200" s="105">
        <f>IF(Table__192.168.1.150_Daily_Delinquency_With_Sectors[[#This Row],[Days in Arrears]] &gt; 30, Table__192.168.1.150_Daily_Delinquency_With_Sectors[[#This Row],[Outstanding Balance]],0)</f>
        <v>0</v>
      </c>
      <c r="T200" s="105">
        <f>IF(Table__192.168.1.150_Daily_Delinquency_With_Sectors[[#This Row],[Days in Arrears]] &gt; 90, Table__192.168.1.150_Daily_Delinquency_With_Sectors[[#This Row],[Outstanding Balance]],0)</f>
        <v>0</v>
      </c>
      <c r="U200" s="109">
        <f>IF(Table__192.168.1.150_Daily_Delinquency_With_Sectors[[#This Row],[Days in Arrears]] &gt;= 1,1,0)</f>
        <v>1</v>
      </c>
      <c r="V200" s="109">
        <f>IF(Table__192.168.1.150_Daily_Delinquency_With_Sectors[[#This Row],[Days in Arrears]] &gt; 30,1,0)</f>
        <v>0</v>
      </c>
      <c r="W200" s="109">
        <f>IF(Table__192.168.1.150_Daily_Delinquency_With_Sectors[[#This Row],[Days in Arrears]] &gt; 90,1,0)</f>
        <v>0</v>
      </c>
    </row>
    <row r="201" spans="1:23" x14ac:dyDescent="0.25">
      <c r="A201" t="s">
        <v>148</v>
      </c>
      <c r="B201" t="s">
        <v>1283</v>
      </c>
      <c r="C201">
        <v>68</v>
      </c>
      <c r="D201" s="105">
        <v>10731396.800000001</v>
      </c>
      <c r="E201" t="s">
        <v>90</v>
      </c>
      <c r="F201" s="105">
        <v>287900.51</v>
      </c>
      <c r="G201" s="105">
        <v>11306292.859999999</v>
      </c>
      <c r="H201" s="143">
        <v>42534.671389467592</v>
      </c>
      <c r="I201" s="143">
        <v>43085</v>
      </c>
      <c r="J201" t="s">
        <v>149</v>
      </c>
      <c r="K201" t="s">
        <v>150</v>
      </c>
      <c r="L201" t="s">
        <v>1280</v>
      </c>
      <c r="M201">
        <v>102661</v>
      </c>
      <c r="N201" t="s">
        <v>147</v>
      </c>
      <c r="O201" t="s">
        <v>25</v>
      </c>
      <c r="P201" t="s">
        <v>103</v>
      </c>
      <c r="Q201" t="s">
        <v>26</v>
      </c>
      <c r="R201" s="105">
        <f>IF(Table__192.168.1.150_Daily_Delinquency_With_Sectors[[#This Row],[Days in Arrears]] &gt; 0, Table__192.168.1.150_Daily_Delinquency_With_Sectors[[#This Row],[Outstanding Balance]],0)</f>
        <v>10731396.800000001</v>
      </c>
      <c r="S201" s="105">
        <f>IF(Table__192.168.1.150_Daily_Delinquency_With_Sectors[[#This Row],[Days in Arrears]] &gt; 30, Table__192.168.1.150_Daily_Delinquency_With_Sectors[[#This Row],[Outstanding Balance]],0)</f>
        <v>10731396.800000001</v>
      </c>
      <c r="T201" s="105">
        <f>IF(Table__192.168.1.150_Daily_Delinquency_With_Sectors[[#This Row],[Days in Arrears]] &gt; 90, Table__192.168.1.150_Daily_Delinquency_With_Sectors[[#This Row],[Outstanding Balance]],0)</f>
        <v>0</v>
      </c>
      <c r="U201" s="109">
        <f>IF(Table__192.168.1.150_Daily_Delinquency_With_Sectors[[#This Row],[Days in Arrears]] &gt;= 1,1,0)</f>
        <v>1</v>
      </c>
      <c r="V201" s="109">
        <f>IF(Table__192.168.1.150_Daily_Delinquency_With_Sectors[[#This Row],[Days in Arrears]] &gt; 30,1,0)</f>
        <v>1</v>
      </c>
      <c r="W201" s="109">
        <f>IF(Table__192.168.1.150_Daily_Delinquency_With_Sectors[[#This Row],[Days in Arrears]] &gt; 90,1,0)</f>
        <v>0</v>
      </c>
    </row>
    <row r="202" spans="1:23" x14ac:dyDescent="0.25">
      <c r="A202" t="s">
        <v>520</v>
      </c>
      <c r="B202" t="s">
        <v>1281</v>
      </c>
      <c r="C202">
        <v>-20</v>
      </c>
      <c r="D202" s="105">
        <v>15118720.9</v>
      </c>
      <c r="E202" t="s">
        <v>86</v>
      </c>
      <c r="F202" s="105">
        <v>158746.57</v>
      </c>
      <c r="G202" s="105">
        <v>21601149.440000001</v>
      </c>
      <c r="H202" s="143">
        <v>42535.638698958333</v>
      </c>
      <c r="I202" s="143">
        <v>43691</v>
      </c>
      <c r="J202" t="s">
        <v>521</v>
      </c>
      <c r="K202" t="s">
        <v>522</v>
      </c>
      <c r="L202" t="s">
        <v>1280</v>
      </c>
      <c r="M202">
        <v>102663</v>
      </c>
      <c r="N202" t="s">
        <v>519</v>
      </c>
      <c r="O202" t="s">
        <v>44</v>
      </c>
      <c r="P202" t="s">
        <v>92</v>
      </c>
      <c r="Q202" t="s">
        <v>92</v>
      </c>
      <c r="R202" s="105">
        <f>IF(Table__192.168.1.150_Daily_Delinquency_With_Sectors[[#This Row],[Days in Arrears]] &gt; 0, Table__192.168.1.150_Daily_Delinquency_With_Sectors[[#This Row],[Outstanding Balance]],0)</f>
        <v>0</v>
      </c>
      <c r="S202" s="105">
        <f>IF(Table__192.168.1.150_Daily_Delinquency_With_Sectors[[#This Row],[Days in Arrears]] &gt; 30, Table__192.168.1.150_Daily_Delinquency_With_Sectors[[#This Row],[Outstanding Balance]],0)</f>
        <v>0</v>
      </c>
      <c r="T202" s="105">
        <f>IF(Table__192.168.1.150_Daily_Delinquency_With_Sectors[[#This Row],[Days in Arrears]] &gt; 90, Table__192.168.1.150_Daily_Delinquency_With_Sectors[[#This Row],[Outstanding Balance]],0)</f>
        <v>0</v>
      </c>
      <c r="U202" s="109">
        <f>IF(Table__192.168.1.150_Daily_Delinquency_With_Sectors[[#This Row],[Days in Arrears]] &gt;= 1,1,0)</f>
        <v>0</v>
      </c>
      <c r="V202" s="109">
        <f>IF(Table__192.168.1.150_Daily_Delinquency_With_Sectors[[#This Row],[Days in Arrears]] &gt; 30,1,0)</f>
        <v>0</v>
      </c>
      <c r="W202" s="109">
        <f>IF(Table__192.168.1.150_Daily_Delinquency_With_Sectors[[#This Row],[Days in Arrears]] &gt; 90,1,0)</f>
        <v>0</v>
      </c>
    </row>
    <row r="203" spans="1:23" x14ac:dyDescent="0.25">
      <c r="A203" t="s">
        <v>2260</v>
      </c>
      <c r="B203" t="s">
        <v>1283</v>
      </c>
      <c r="C203">
        <v>-21</v>
      </c>
      <c r="D203" s="105">
        <v>17317769.809999999</v>
      </c>
      <c r="E203" t="s">
        <v>2855</v>
      </c>
      <c r="F203" s="105">
        <v>153935.73000000001</v>
      </c>
      <c r="G203" s="105">
        <v>19702450.920000002</v>
      </c>
      <c r="H203" s="143">
        <v>42536.550141354164</v>
      </c>
      <c r="I203" s="143">
        <v>43266</v>
      </c>
      <c r="J203" t="s">
        <v>2261</v>
      </c>
      <c r="K203" t="s">
        <v>1280</v>
      </c>
      <c r="L203" t="s">
        <v>1280</v>
      </c>
      <c r="M203">
        <v>102664</v>
      </c>
      <c r="N203" t="s">
        <v>2258</v>
      </c>
      <c r="O203" t="s">
        <v>44</v>
      </c>
      <c r="P203" t="s">
        <v>75</v>
      </c>
      <c r="Q203" t="s">
        <v>1442</v>
      </c>
      <c r="R203" s="105">
        <f>IF(Table__192.168.1.150_Daily_Delinquency_With_Sectors[[#This Row],[Days in Arrears]] &gt; 0, Table__192.168.1.150_Daily_Delinquency_With_Sectors[[#This Row],[Outstanding Balance]],0)</f>
        <v>0</v>
      </c>
      <c r="S203" s="105">
        <f>IF(Table__192.168.1.150_Daily_Delinquency_With_Sectors[[#This Row],[Days in Arrears]] &gt; 30, Table__192.168.1.150_Daily_Delinquency_With_Sectors[[#This Row],[Outstanding Balance]],0)</f>
        <v>0</v>
      </c>
      <c r="T203" s="105">
        <f>IF(Table__192.168.1.150_Daily_Delinquency_With_Sectors[[#This Row],[Days in Arrears]] &gt; 90, Table__192.168.1.150_Daily_Delinquency_With_Sectors[[#This Row],[Outstanding Balance]],0)</f>
        <v>0</v>
      </c>
      <c r="U203" s="109">
        <f>IF(Table__192.168.1.150_Daily_Delinquency_With_Sectors[[#This Row],[Days in Arrears]] &gt;= 1,1,0)</f>
        <v>0</v>
      </c>
      <c r="V203" s="109">
        <f>IF(Table__192.168.1.150_Daily_Delinquency_With_Sectors[[#This Row],[Days in Arrears]] &gt; 30,1,0)</f>
        <v>0</v>
      </c>
      <c r="W203" s="109">
        <f>IF(Table__192.168.1.150_Daily_Delinquency_With_Sectors[[#This Row],[Days in Arrears]] &gt; 90,1,0)</f>
        <v>0</v>
      </c>
    </row>
    <row r="204" spans="1:23" x14ac:dyDescent="0.25">
      <c r="A204" t="s">
        <v>599</v>
      </c>
      <c r="B204" t="s">
        <v>1284</v>
      </c>
      <c r="C204">
        <v>-26</v>
      </c>
      <c r="D204" s="105">
        <v>30179879.940000001</v>
      </c>
      <c r="E204" t="s">
        <v>491</v>
      </c>
      <c r="F204" s="105">
        <v>90539.64</v>
      </c>
      <c r="G204" s="105">
        <v>40032516.140000001</v>
      </c>
      <c r="H204" s="143">
        <v>42541.563828900464</v>
      </c>
      <c r="I204" s="143">
        <v>43636</v>
      </c>
      <c r="J204" t="s">
        <v>600</v>
      </c>
      <c r="K204" t="s">
        <v>1280</v>
      </c>
      <c r="L204" t="s">
        <v>1280</v>
      </c>
      <c r="M204">
        <v>102670</v>
      </c>
      <c r="N204" t="s">
        <v>598</v>
      </c>
      <c r="O204" t="s">
        <v>44</v>
      </c>
      <c r="P204" t="s">
        <v>92</v>
      </c>
      <c r="Q204" t="s">
        <v>26</v>
      </c>
      <c r="R204" s="105">
        <f>IF(Table__192.168.1.150_Daily_Delinquency_With_Sectors[[#This Row],[Days in Arrears]] &gt; 0, Table__192.168.1.150_Daily_Delinquency_With_Sectors[[#This Row],[Outstanding Balance]],0)</f>
        <v>0</v>
      </c>
      <c r="S204" s="105">
        <f>IF(Table__192.168.1.150_Daily_Delinquency_With_Sectors[[#This Row],[Days in Arrears]] &gt; 30, Table__192.168.1.150_Daily_Delinquency_With_Sectors[[#This Row],[Outstanding Balance]],0)</f>
        <v>0</v>
      </c>
      <c r="T204" s="105">
        <f>IF(Table__192.168.1.150_Daily_Delinquency_With_Sectors[[#This Row],[Days in Arrears]] &gt; 90, Table__192.168.1.150_Daily_Delinquency_With_Sectors[[#This Row],[Outstanding Balance]],0)</f>
        <v>0</v>
      </c>
      <c r="U204" s="109">
        <f>IF(Table__192.168.1.150_Daily_Delinquency_With_Sectors[[#This Row],[Days in Arrears]] &gt;= 1,1,0)</f>
        <v>0</v>
      </c>
      <c r="V204" s="109">
        <f>IF(Table__192.168.1.150_Daily_Delinquency_With_Sectors[[#This Row],[Days in Arrears]] &gt; 30,1,0)</f>
        <v>0</v>
      </c>
      <c r="W204" s="109">
        <f>IF(Table__192.168.1.150_Daily_Delinquency_With_Sectors[[#This Row],[Days in Arrears]] &gt; 90,1,0)</f>
        <v>0</v>
      </c>
    </row>
    <row r="205" spans="1:23" x14ac:dyDescent="0.25">
      <c r="A205" t="s">
        <v>2282</v>
      </c>
      <c r="B205" t="s">
        <v>1281</v>
      </c>
      <c r="C205">
        <v>4</v>
      </c>
      <c r="D205" s="105">
        <v>8831587.9800000004</v>
      </c>
      <c r="E205" t="s">
        <v>963</v>
      </c>
      <c r="F205" s="105">
        <v>221619.66</v>
      </c>
      <c r="G205" s="105">
        <v>10312242.58</v>
      </c>
      <c r="H205" s="143">
        <v>42541.662755983794</v>
      </c>
      <c r="I205" s="143">
        <v>43271</v>
      </c>
      <c r="J205" t="s">
        <v>2283</v>
      </c>
      <c r="K205" t="s">
        <v>1280</v>
      </c>
      <c r="L205" t="s">
        <v>1280</v>
      </c>
      <c r="M205">
        <v>102671</v>
      </c>
      <c r="N205" t="s">
        <v>2280</v>
      </c>
      <c r="O205" t="s">
        <v>44</v>
      </c>
      <c r="P205" t="s">
        <v>92</v>
      </c>
      <c r="Q205" t="s">
        <v>92</v>
      </c>
      <c r="R205" s="105">
        <f>IF(Table__192.168.1.150_Daily_Delinquency_With_Sectors[[#This Row],[Days in Arrears]] &gt; 0, Table__192.168.1.150_Daily_Delinquency_With_Sectors[[#This Row],[Outstanding Balance]],0)</f>
        <v>8831587.9800000004</v>
      </c>
      <c r="S205" s="105">
        <f>IF(Table__192.168.1.150_Daily_Delinquency_With_Sectors[[#This Row],[Days in Arrears]] &gt; 30, Table__192.168.1.150_Daily_Delinquency_With_Sectors[[#This Row],[Outstanding Balance]],0)</f>
        <v>0</v>
      </c>
      <c r="T205" s="105">
        <f>IF(Table__192.168.1.150_Daily_Delinquency_With_Sectors[[#This Row],[Days in Arrears]] &gt; 90, Table__192.168.1.150_Daily_Delinquency_With_Sectors[[#This Row],[Outstanding Balance]],0)</f>
        <v>0</v>
      </c>
      <c r="U205" s="109">
        <f>IF(Table__192.168.1.150_Daily_Delinquency_With_Sectors[[#This Row],[Days in Arrears]] &gt;= 1,1,0)</f>
        <v>1</v>
      </c>
      <c r="V205" s="109">
        <f>IF(Table__192.168.1.150_Daily_Delinquency_With_Sectors[[#This Row],[Days in Arrears]] &gt; 30,1,0)</f>
        <v>0</v>
      </c>
      <c r="W205" s="109">
        <f>IF(Table__192.168.1.150_Daily_Delinquency_With_Sectors[[#This Row],[Days in Arrears]] &gt; 90,1,0)</f>
        <v>0</v>
      </c>
    </row>
    <row r="206" spans="1:23" x14ac:dyDescent="0.25">
      <c r="A206" t="s">
        <v>2296</v>
      </c>
      <c r="B206" t="s">
        <v>1282</v>
      </c>
      <c r="C206">
        <v>183</v>
      </c>
      <c r="D206" s="105">
        <v>1026841.7</v>
      </c>
      <c r="E206" t="s">
        <v>2419</v>
      </c>
      <c r="F206" s="105">
        <v>69033.14</v>
      </c>
      <c r="G206" s="105">
        <v>1096661.92</v>
      </c>
      <c r="H206" s="143">
        <v>42542.497367048614</v>
      </c>
      <c r="I206" s="143">
        <v>42907</v>
      </c>
      <c r="J206" t="s">
        <v>2297</v>
      </c>
      <c r="K206" t="s">
        <v>1280</v>
      </c>
      <c r="L206" t="s">
        <v>1280</v>
      </c>
      <c r="M206">
        <v>102672</v>
      </c>
      <c r="N206" t="s">
        <v>2294</v>
      </c>
      <c r="O206" t="s">
        <v>44</v>
      </c>
      <c r="P206" t="s">
        <v>92</v>
      </c>
      <c r="Q206" t="s">
        <v>92</v>
      </c>
      <c r="R206" s="105">
        <f>IF(Table__192.168.1.150_Daily_Delinquency_With_Sectors[[#This Row],[Days in Arrears]] &gt; 0, Table__192.168.1.150_Daily_Delinquency_With_Sectors[[#This Row],[Outstanding Balance]],0)</f>
        <v>1026841.7</v>
      </c>
      <c r="S206" s="105">
        <f>IF(Table__192.168.1.150_Daily_Delinquency_With_Sectors[[#This Row],[Days in Arrears]] &gt; 30, Table__192.168.1.150_Daily_Delinquency_With_Sectors[[#This Row],[Outstanding Balance]],0)</f>
        <v>1026841.7</v>
      </c>
      <c r="T206" s="105">
        <f>IF(Table__192.168.1.150_Daily_Delinquency_With_Sectors[[#This Row],[Days in Arrears]] &gt; 90, Table__192.168.1.150_Daily_Delinquency_With_Sectors[[#This Row],[Outstanding Balance]],0)</f>
        <v>1026841.7</v>
      </c>
      <c r="U206" s="109">
        <f>IF(Table__192.168.1.150_Daily_Delinquency_With_Sectors[[#This Row],[Days in Arrears]] &gt;= 1,1,0)</f>
        <v>1</v>
      </c>
      <c r="V206" s="109">
        <f>IF(Table__192.168.1.150_Daily_Delinquency_With_Sectors[[#This Row],[Days in Arrears]] &gt; 30,1,0)</f>
        <v>1</v>
      </c>
      <c r="W206" s="109">
        <f>IF(Table__192.168.1.150_Daily_Delinquency_With_Sectors[[#This Row],[Days in Arrears]] &gt; 90,1,0)</f>
        <v>1</v>
      </c>
    </row>
    <row r="207" spans="1:23" x14ac:dyDescent="0.25">
      <c r="A207" t="s">
        <v>1360</v>
      </c>
      <c r="B207" t="s">
        <v>1284</v>
      </c>
      <c r="C207">
        <v>-28</v>
      </c>
      <c r="D207" s="105">
        <v>34037614.799999997</v>
      </c>
      <c r="E207" t="s">
        <v>1467</v>
      </c>
      <c r="F207" s="105">
        <v>34037.61</v>
      </c>
      <c r="G207" s="105">
        <v>52757172.780000001</v>
      </c>
      <c r="H207" s="143">
        <v>42543.719333414352</v>
      </c>
      <c r="I207" s="143">
        <v>44004</v>
      </c>
      <c r="J207" t="s">
        <v>1361</v>
      </c>
      <c r="K207" t="s">
        <v>1280</v>
      </c>
      <c r="L207" t="s">
        <v>1280</v>
      </c>
      <c r="M207">
        <v>102675</v>
      </c>
      <c r="N207" t="s">
        <v>1359</v>
      </c>
      <c r="O207" t="s">
        <v>36</v>
      </c>
      <c r="P207" t="s">
        <v>97</v>
      </c>
      <c r="Q207" t="s">
        <v>98</v>
      </c>
      <c r="R207" s="105">
        <f>IF(Table__192.168.1.150_Daily_Delinquency_With_Sectors[[#This Row],[Days in Arrears]] &gt; 0, Table__192.168.1.150_Daily_Delinquency_With_Sectors[[#This Row],[Outstanding Balance]],0)</f>
        <v>0</v>
      </c>
      <c r="S207" s="105">
        <f>IF(Table__192.168.1.150_Daily_Delinquency_With_Sectors[[#This Row],[Days in Arrears]] &gt; 30, Table__192.168.1.150_Daily_Delinquency_With_Sectors[[#This Row],[Outstanding Balance]],0)</f>
        <v>0</v>
      </c>
      <c r="T207" s="105">
        <f>IF(Table__192.168.1.150_Daily_Delinquency_With_Sectors[[#This Row],[Days in Arrears]] &gt; 90, Table__192.168.1.150_Daily_Delinquency_With_Sectors[[#This Row],[Outstanding Balance]],0)</f>
        <v>0</v>
      </c>
      <c r="U207" s="109">
        <f>IF(Table__192.168.1.150_Daily_Delinquency_With_Sectors[[#This Row],[Days in Arrears]] &gt;= 1,1,0)</f>
        <v>0</v>
      </c>
      <c r="V207" s="109">
        <f>IF(Table__192.168.1.150_Daily_Delinquency_With_Sectors[[#This Row],[Days in Arrears]] &gt; 30,1,0)</f>
        <v>0</v>
      </c>
      <c r="W207" s="109">
        <f>IF(Table__192.168.1.150_Daily_Delinquency_With_Sectors[[#This Row],[Days in Arrears]] &gt; 90,1,0)</f>
        <v>0</v>
      </c>
    </row>
    <row r="208" spans="1:23" x14ac:dyDescent="0.25">
      <c r="A208" t="s">
        <v>2315</v>
      </c>
      <c r="B208" t="s">
        <v>1283</v>
      </c>
      <c r="C208">
        <v>-28</v>
      </c>
      <c r="D208" s="105">
        <v>30444560.640000001</v>
      </c>
      <c r="E208" t="s">
        <v>86</v>
      </c>
      <c r="F208" s="105">
        <v>581900.26</v>
      </c>
      <c r="G208" s="105">
        <v>44072796.939999998</v>
      </c>
      <c r="H208" s="143">
        <v>42543.779445138891</v>
      </c>
      <c r="I208" s="143">
        <v>43760</v>
      </c>
      <c r="J208" t="s">
        <v>2316</v>
      </c>
      <c r="K208" t="s">
        <v>1280</v>
      </c>
      <c r="L208" t="s">
        <v>2317</v>
      </c>
      <c r="M208">
        <v>102677</v>
      </c>
      <c r="N208" t="s">
        <v>2308</v>
      </c>
      <c r="O208" t="s">
        <v>44</v>
      </c>
      <c r="P208" t="s">
        <v>75</v>
      </c>
      <c r="Q208" t="s">
        <v>26</v>
      </c>
      <c r="R208" s="105">
        <f>IF(Table__192.168.1.150_Daily_Delinquency_With_Sectors[[#This Row],[Days in Arrears]] &gt; 0, Table__192.168.1.150_Daily_Delinquency_With_Sectors[[#This Row],[Outstanding Balance]],0)</f>
        <v>0</v>
      </c>
      <c r="S208" s="105">
        <f>IF(Table__192.168.1.150_Daily_Delinquency_With_Sectors[[#This Row],[Days in Arrears]] &gt; 30, Table__192.168.1.150_Daily_Delinquency_With_Sectors[[#This Row],[Outstanding Balance]],0)</f>
        <v>0</v>
      </c>
      <c r="T208" s="105">
        <f>IF(Table__192.168.1.150_Daily_Delinquency_With_Sectors[[#This Row],[Days in Arrears]] &gt; 90, Table__192.168.1.150_Daily_Delinquency_With_Sectors[[#This Row],[Outstanding Balance]],0)</f>
        <v>0</v>
      </c>
      <c r="U208" s="109">
        <f>IF(Table__192.168.1.150_Daily_Delinquency_With_Sectors[[#This Row],[Days in Arrears]] &gt;= 1,1,0)</f>
        <v>0</v>
      </c>
      <c r="V208" s="109">
        <f>IF(Table__192.168.1.150_Daily_Delinquency_With_Sectors[[#This Row],[Days in Arrears]] &gt; 30,1,0)</f>
        <v>0</v>
      </c>
      <c r="W208" s="109">
        <f>IF(Table__192.168.1.150_Daily_Delinquency_With_Sectors[[#This Row],[Days in Arrears]] &gt; 90,1,0)</f>
        <v>0</v>
      </c>
    </row>
    <row r="209" spans="1:23" x14ac:dyDescent="0.25">
      <c r="A209" t="s">
        <v>2328</v>
      </c>
      <c r="B209" t="s">
        <v>1281</v>
      </c>
      <c r="C209">
        <v>1</v>
      </c>
      <c r="D209" s="105">
        <v>11039485.130000001</v>
      </c>
      <c r="E209" t="s">
        <v>86</v>
      </c>
      <c r="F209" s="105">
        <v>441579.41</v>
      </c>
      <c r="G209" s="105">
        <v>13111227.369999999</v>
      </c>
      <c r="H209" s="143">
        <v>42544.500216585649</v>
      </c>
      <c r="I209" s="143">
        <v>43274</v>
      </c>
      <c r="J209" t="s">
        <v>128</v>
      </c>
      <c r="K209" t="s">
        <v>1280</v>
      </c>
      <c r="L209" t="s">
        <v>1280</v>
      </c>
      <c r="M209">
        <v>102678</v>
      </c>
      <c r="N209" t="s">
        <v>2326</v>
      </c>
      <c r="O209" t="s">
        <v>43</v>
      </c>
      <c r="P209" t="s">
        <v>338</v>
      </c>
      <c r="Q209" t="s">
        <v>339</v>
      </c>
      <c r="R209" s="105">
        <f>IF(Table__192.168.1.150_Daily_Delinquency_With_Sectors[[#This Row],[Days in Arrears]] &gt; 0, Table__192.168.1.150_Daily_Delinquency_With_Sectors[[#This Row],[Outstanding Balance]],0)</f>
        <v>11039485.130000001</v>
      </c>
      <c r="S209" s="105">
        <f>IF(Table__192.168.1.150_Daily_Delinquency_With_Sectors[[#This Row],[Days in Arrears]] &gt; 30, Table__192.168.1.150_Daily_Delinquency_With_Sectors[[#This Row],[Outstanding Balance]],0)</f>
        <v>0</v>
      </c>
      <c r="T209" s="105">
        <f>IF(Table__192.168.1.150_Daily_Delinquency_With_Sectors[[#This Row],[Days in Arrears]] &gt; 90, Table__192.168.1.150_Daily_Delinquency_With_Sectors[[#This Row],[Outstanding Balance]],0)</f>
        <v>0</v>
      </c>
      <c r="U209" s="109">
        <f>IF(Table__192.168.1.150_Daily_Delinquency_With_Sectors[[#This Row],[Days in Arrears]] &gt;= 1,1,0)</f>
        <v>1</v>
      </c>
      <c r="V209" s="109">
        <f>IF(Table__192.168.1.150_Daily_Delinquency_With_Sectors[[#This Row],[Days in Arrears]] &gt; 30,1,0)</f>
        <v>0</v>
      </c>
      <c r="W209" s="109">
        <f>IF(Table__192.168.1.150_Daily_Delinquency_With_Sectors[[#This Row],[Days in Arrears]] &gt; 90,1,0)</f>
        <v>0</v>
      </c>
    </row>
    <row r="210" spans="1:23" x14ac:dyDescent="0.25">
      <c r="A210" t="s">
        <v>2329</v>
      </c>
      <c r="B210" t="s">
        <v>1283</v>
      </c>
      <c r="C210">
        <v>1</v>
      </c>
      <c r="D210" s="105">
        <v>19059430.239999998</v>
      </c>
      <c r="E210" t="s">
        <v>86</v>
      </c>
      <c r="F210" s="105">
        <v>635314.34</v>
      </c>
      <c r="G210" s="105">
        <v>21992032.870000001</v>
      </c>
      <c r="H210" s="143">
        <v>42544.64699212963</v>
      </c>
      <c r="I210" s="143">
        <v>43274</v>
      </c>
      <c r="J210" t="s">
        <v>2330</v>
      </c>
      <c r="K210" t="s">
        <v>2331</v>
      </c>
      <c r="L210" t="s">
        <v>1280</v>
      </c>
      <c r="M210">
        <v>102679</v>
      </c>
      <c r="N210" t="s">
        <v>2325</v>
      </c>
      <c r="O210" t="s">
        <v>37</v>
      </c>
      <c r="P210" t="s">
        <v>288</v>
      </c>
      <c r="Q210" t="s">
        <v>1829</v>
      </c>
      <c r="R210" s="105">
        <f>IF(Table__192.168.1.150_Daily_Delinquency_With_Sectors[[#This Row],[Days in Arrears]] &gt; 0, Table__192.168.1.150_Daily_Delinquency_With_Sectors[[#This Row],[Outstanding Balance]],0)</f>
        <v>19059430.239999998</v>
      </c>
      <c r="S210" s="105">
        <f>IF(Table__192.168.1.150_Daily_Delinquency_With_Sectors[[#This Row],[Days in Arrears]] &gt; 30, Table__192.168.1.150_Daily_Delinquency_With_Sectors[[#This Row],[Outstanding Balance]],0)</f>
        <v>0</v>
      </c>
      <c r="T210" s="105">
        <f>IF(Table__192.168.1.150_Daily_Delinquency_With_Sectors[[#This Row],[Days in Arrears]] &gt; 90, Table__192.168.1.150_Daily_Delinquency_With_Sectors[[#This Row],[Outstanding Balance]],0)</f>
        <v>0</v>
      </c>
      <c r="U210" s="109">
        <f>IF(Table__192.168.1.150_Daily_Delinquency_With_Sectors[[#This Row],[Days in Arrears]] &gt;= 1,1,0)</f>
        <v>1</v>
      </c>
      <c r="V210" s="109">
        <f>IF(Table__192.168.1.150_Daily_Delinquency_With_Sectors[[#This Row],[Days in Arrears]] &gt; 30,1,0)</f>
        <v>0</v>
      </c>
      <c r="W210" s="109">
        <f>IF(Table__192.168.1.150_Daily_Delinquency_With_Sectors[[#This Row],[Days in Arrears]] &gt; 90,1,0)</f>
        <v>0</v>
      </c>
    </row>
    <row r="211" spans="1:23" x14ac:dyDescent="0.25">
      <c r="A211" t="s">
        <v>1076</v>
      </c>
      <c r="B211" t="s">
        <v>1283</v>
      </c>
      <c r="C211">
        <v>5</v>
      </c>
      <c r="D211" s="105">
        <v>35774340.950000003</v>
      </c>
      <c r="E211" t="s">
        <v>5167</v>
      </c>
      <c r="F211" s="105">
        <v>141948.92000000001</v>
      </c>
      <c r="G211" s="105">
        <v>55291139.159999996</v>
      </c>
      <c r="H211" s="143">
        <v>42545.381421412036</v>
      </c>
      <c r="I211" s="143">
        <v>44001</v>
      </c>
      <c r="J211" t="s">
        <v>1077</v>
      </c>
      <c r="K211" t="s">
        <v>1078</v>
      </c>
      <c r="L211" t="s">
        <v>1280</v>
      </c>
      <c r="M211">
        <v>102681</v>
      </c>
      <c r="N211" t="s">
        <v>1072</v>
      </c>
      <c r="O211" t="s">
        <v>25</v>
      </c>
      <c r="P211" t="s">
        <v>295</v>
      </c>
      <c r="Q211" t="s">
        <v>26</v>
      </c>
      <c r="R211" s="105">
        <f>IF(Table__192.168.1.150_Daily_Delinquency_With_Sectors[[#This Row],[Days in Arrears]] &gt; 0, Table__192.168.1.150_Daily_Delinquency_With_Sectors[[#This Row],[Outstanding Balance]],0)</f>
        <v>35774340.950000003</v>
      </c>
      <c r="S211" s="105">
        <f>IF(Table__192.168.1.150_Daily_Delinquency_With_Sectors[[#This Row],[Days in Arrears]] &gt; 30, Table__192.168.1.150_Daily_Delinquency_With_Sectors[[#This Row],[Outstanding Balance]],0)</f>
        <v>0</v>
      </c>
      <c r="T211" s="105">
        <f>IF(Table__192.168.1.150_Daily_Delinquency_With_Sectors[[#This Row],[Days in Arrears]] &gt; 90, Table__192.168.1.150_Daily_Delinquency_With_Sectors[[#This Row],[Outstanding Balance]],0)</f>
        <v>0</v>
      </c>
      <c r="U211" s="109">
        <f>IF(Table__192.168.1.150_Daily_Delinquency_With_Sectors[[#This Row],[Days in Arrears]] &gt;= 1,1,0)</f>
        <v>1</v>
      </c>
      <c r="V211" s="109">
        <f>IF(Table__192.168.1.150_Daily_Delinquency_With_Sectors[[#This Row],[Days in Arrears]] &gt; 30,1,0)</f>
        <v>0</v>
      </c>
      <c r="W211" s="109">
        <f>IF(Table__192.168.1.150_Daily_Delinquency_With_Sectors[[#This Row],[Days in Arrears]] &gt; 90,1,0)</f>
        <v>0</v>
      </c>
    </row>
    <row r="212" spans="1:23" x14ac:dyDescent="0.25">
      <c r="A212" t="s">
        <v>2362</v>
      </c>
      <c r="B212" t="s">
        <v>1282</v>
      </c>
      <c r="C212">
        <v>23</v>
      </c>
      <c r="D212" s="105">
        <v>1742440.87</v>
      </c>
      <c r="E212" t="s">
        <v>3074</v>
      </c>
      <c r="F212" s="105">
        <v>50966.69</v>
      </c>
      <c r="G212" s="105">
        <v>1847455.59</v>
      </c>
      <c r="H212" s="143">
        <v>42550.383685104163</v>
      </c>
      <c r="I212" s="143">
        <v>43101</v>
      </c>
      <c r="J212" t="s">
        <v>2363</v>
      </c>
      <c r="K212" t="s">
        <v>1280</v>
      </c>
      <c r="L212" t="s">
        <v>2364</v>
      </c>
      <c r="M212">
        <v>102693</v>
      </c>
      <c r="N212" t="s">
        <v>2359</v>
      </c>
      <c r="O212" t="s">
        <v>25</v>
      </c>
      <c r="P212" t="s">
        <v>88</v>
      </c>
      <c r="Q212" t="s">
        <v>26</v>
      </c>
      <c r="R212" s="105">
        <f>IF(Table__192.168.1.150_Daily_Delinquency_With_Sectors[[#This Row],[Days in Arrears]] &gt; 0, Table__192.168.1.150_Daily_Delinquency_With_Sectors[[#This Row],[Outstanding Balance]],0)</f>
        <v>1742440.87</v>
      </c>
      <c r="S212" s="105">
        <f>IF(Table__192.168.1.150_Daily_Delinquency_With_Sectors[[#This Row],[Days in Arrears]] &gt; 30, Table__192.168.1.150_Daily_Delinquency_With_Sectors[[#This Row],[Outstanding Balance]],0)</f>
        <v>0</v>
      </c>
      <c r="T212" s="105">
        <f>IF(Table__192.168.1.150_Daily_Delinquency_With_Sectors[[#This Row],[Days in Arrears]] &gt; 90, Table__192.168.1.150_Daily_Delinquency_With_Sectors[[#This Row],[Outstanding Balance]],0)</f>
        <v>0</v>
      </c>
      <c r="U212" s="109">
        <f>IF(Table__192.168.1.150_Daily_Delinquency_With_Sectors[[#This Row],[Days in Arrears]] &gt;= 1,1,0)</f>
        <v>1</v>
      </c>
      <c r="V212" s="109">
        <f>IF(Table__192.168.1.150_Daily_Delinquency_With_Sectors[[#This Row],[Days in Arrears]] &gt; 30,1,0)</f>
        <v>0</v>
      </c>
      <c r="W212" s="109">
        <f>IF(Table__192.168.1.150_Daily_Delinquency_With_Sectors[[#This Row],[Days in Arrears]] &gt; 90,1,0)</f>
        <v>0</v>
      </c>
    </row>
    <row r="213" spans="1:23" x14ac:dyDescent="0.25">
      <c r="A213" t="s">
        <v>2373</v>
      </c>
      <c r="B213" t="s">
        <v>1283</v>
      </c>
      <c r="C213">
        <v>-9</v>
      </c>
      <c r="D213" s="105">
        <v>19566770.960000001</v>
      </c>
      <c r="E213" t="s">
        <v>468</v>
      </c>
      <c r="F213" s="105">
        <v>434817.13</v>
      </c>
      <c r="G213" s="105">
        <v>22613934.469999999</v>
      </c>
      <c r="H213" s="143">
        <v>42550.659041122686</v>
      </c>
      <c r="I213" s="143">
        <v>43284</v>
      </c>
      <c r="J213" t="s">
        <v>2374</v>
      </c>
      <c r="K213" t="s">
        <v>1280</v>
      </c>
      <c r="L213" t="s">
        <v>1280</v>
      </c>
      <c r="M213">
        <v>102694</v>
      </c>
      <c r="N213" t="s">
        <v>2370</v>
      </c>
      <c r="O213" t="s">
        <v>27</v>
      </c>
      <c r="P213" t="s">
        <v>81</v>
      </c>
      <c r="Q213" t="s">
        <v>26</v>
      </c>
      <c r="R213" s="105">
        <f>IF(Table__192.168.1.150_Daily_Delinquency_With_Sectors[[#This Row],[Days in Arrears]] &gt; 0, Table__192.168.1.150_Daily_Delinquency_With_Sectors[[#This Row],[Outstanding Balance]],0)</f>
        <v>0</v>
      </c>
      <c r="S213" s="105">
        <f>IF(Table__192.168.1.150_Daily_Delinquency_With_Sectors[[#This Row],[Days in Arrears]] &gt; 30, Table__192.168.1.150_Daily_Delinquency_With_Sectors[[#This Row],[Outstanding Balance]],0)</f>
        <v>0</v>
      </c>
      <c r="T213" s="105">
        <f>IF(Table__192.168.1.150_Daily_Delinquency_With_Sectors[[#This Row],[Days in Arrears]] &gt; 90, Table__192.168.1.150_Daily_Delinquency_With_Sectors[[#This Row],[Outstanding Balance]],0)</f>
        <v>0</v>
      </c>
      <c r="U213" s="109">
        <f>IF(Table__192.168.1.150_Daily_Delinquency_With_Sectors[[#This Row],[Days in Arrears]] &gt;= 1,1,0)</f>
        <v>0</v>
      </c>
      <c r="V213" s="109">
        <f>IF(Table__192.168.1.150_Daily_Delinquency_With_Sectors[[#This Row],[Days in Arrears]] &gt; 30,1,0)</f>
        <v>0</v>
      </c>
      <c r="W213" s="109">
        <f>IF(Table__192.168.1.150_Daily_Delinquency_With_Sectors[[#This Row],[Days in Arrears]] &gt; 90,1,0)</f>
        <v>0</v>
      </c>
    </row>
    <row r="214" spans="1:23" x14ac:dyDescent="0.25">
      <c r="A214" t="s">
        <v>2389</v>
      </c>
      <c r="B214" t="s">
        <v>1284</v>
      </c>
      <c r="C214">
        <v>-15</v>
      </c>
      <c r="D214" s="105">
        <v>17522656.920000002</v>
      </c>
      <c r="E214" t="s">
        <v>1039</v>
      </c>
      <c r="F214" s="105">
        <v>272574.65999999997</v>
      </c>
      <c r="G214" s="105">
        <v>24287866.68</v>
      </c>
      <c r="H214" s="143">
        <v>42551.073891319444</v>
      </c>
      <c r="I214" s="143">
        <v>43655</v>
      </c>
      <c r="J214" t="s">
        <v>2390</v>
      </c>
      <c r="K214" t="s">
        <v>1280</v>
      </c>
      <c r="L214" t="s">
        <v>2391</v>
      </c>
      <c r="M214">
        <v>102696</v>
      </c>
      <c r="N214" t="s">
        <v>2379</v>
      </c>
      <c r="O214" t="s">
        <v>42</v>
      </c>
      <c r="P214" t="s">
        <v>1244</v>
      </c>
      <c r="Q214" t="s">
        <v>26</v>
      </c>
      <c r="R214" s="105">
        <f>IF(Table__192.168.1.150_Daily_Delinquency_With_Sectors[[#This Row],[Days in Arrears]] &gt; 0, Table__192.168.1.150_Daily_Delinquency_With_Sectors[[#This Row],[Outstanding Balance]],0)</f>
        <v>0</v>
      </c>
      <c r="S214" s="105">
        <f>IF(Table__192.168.1.150_Daily_Delinquency_With_Sectors[[#This Row],[Days in Arrears]] &gt; 30, Table__192.168.1.150_Daily_Delinquency_With_Sectors[[#This Row],[Outstanding Balance]],0)</f>
        <v>0</v>
      </c>
      <c r="T214" s="105">
        <f>IF(Table__192.168.1.150_Daily_Delinquency_With_Sectors[[#This Row],[Days in Arrears]] &gt; 90, Table__192.168.1.150_Daily_Delinquency_With_Sectors[[#This Row],[Outstanding Balance]],0)</f>
        <v>0</v>
      </c>
      <c r="U214" s="109">
        <f>IF(Table__192.168.1.150_Daily_Delinquency_With_Sectors[[#This Row],[Days in Arrears]] &gt;= 1,1,0)</f>
        <v>0</v>
      </c>
      <c r="V214" s="109">
        <f>IF(Table__192.168.1.150_Daily_Delinquency_With_Sectors[[#This Row],[Days in Arrears]] &gt; 30,1,0)</f>
        <v>0</v>
      </c>
      <c r="W214" s="109">
        <f>IF(Table__192.168.1.150_Daily_Delinquency_With_Sectors[[#This Row],[Days in Arrears]] &gt; 90,1,0)</f>
        <v>0</v>
      </c>
    </row>
    <row r="215" spans="1:23" x14ac:dyDescent="0.25">
      <c r="A215" t="s">
        <v>2392</v>
      </c>
      <c r="B215" t="s">
        <v>1283</v>
      </c>
      <c r="C215">
        <v>-13</v>
      </c>
      <c r="D215" s="105">
        <v>17831541.02</v>
      </c>
      <c r="E215" t="s">
        <v>1447</v>
      </c>
      <c r="F215" s="105">
        <v>317005.17</v>
      </c>
      <c r="G215" s="105">
        <v>22605022.550000001</v>
      </c>
      <c r="H215" s="143">
        <v>42551.145418518521</v>
      </c>
      <c r="I215" s="143">
        <v>43472</v>
      </c>
      <c r="J215" t="s">
        <v>2393</v>
      </c>
      <c r="K215" t="s">
        <v>1280</v>
      </c>
      <c r="L215" t="s">
        <v>1280</v>
      </c>
      <c r="M215">
        <v>102698</v>
      </c>
      <c r="N215" t="s">
        <v>2380</v>
      </c>
      <c r="O215" t="s">
        <v>36</v>
      </c>
      <c r="P215" t="s">
        <v>1023</v>
      </c>
      <c r="Q215" t="s">
        <v>26</v>
      </c>
      <c r="R215" s="105">
        <f>IF(Table__192.168.1.150_Daily_Delinquency_With_Sectors[[#This Row],[Days in Arrears]] &gt; 0, Table__192.168.1.150_Daily_Delinquency_With_Sectors[[#This Row],[Outstanding Balance]],0)</f>
        <v>0</v>
      </c>
      <c r="S215" s="105">
        <f>IF(Table__192.168.1.150_Daily_Delinquency_With_Sectors[[#This Row],[Days in Arrears]] &gt; 30, Table__192.168.1.150_Daily_Delinquency_With_Sectors[[#This Row],[Outstanding Balance]],0)</f>
        <v>0</v>
      </c>
      <c r="T215" s="105">
        <f>IF(Table__192.168.1.150_Daily_Delinquency_With_Sectors[[#This Row],[Days in Arrears]] &gt; 90, Table__192.168.1.150_Daily_Delinquency_With_Sectors[[#This Row],[Outstanding Balance]],0)</f>
        <v>0</v>
      </c>
      <c r="U215" s="109">
        <f>IF(Table__192.168.1.150_Daily_Delinquency_With_Sectors[[#This Row],[Days in Arrears]] &gt;= 1,1,0)</f>
        <v>0</v>
      </c>
      <c r="V215" s="109">
        <f>IF(Table__192.168.1.150_Daily_Delinquency_With_Sectors[[#This Row],[Days in Arrears]] &gt; 30,1,0)</f>
        <v>0</v>
      </c>
      <c r="W215" s="109">
        <f>IF(Table__192.168.1.150_Daily_Delinquency_With_Sectors[[#This Row],[Days in Arrears]] &gt; 90,1,0)</f>
        <v>0</v>
      </c>
    </row>
    <row r="216" spans="1:23" x14ac:dyDescent="0.25">
      <c r="A216" t="s">
        <v>2394</v>
      </c>
      <c r="B216" t="s">
        <v>1283</v>
      </c>
      <c r="C216">
        <v>194</v>
      </c>
      <c r="D216" s="105">
        <v>33157684.32</v>
      </c>
      <c r="E216" t="s">
        <v>5725</v>
      </c>
      <c r="F216" s="105">
        <v>2139495.7200000002</v>
      </c>
      <c r="G216" s="105">
        <v>42673510.950000003</v>
      </c>
      <c r="H216" s="143">
        <v>42551.364522303244</v>
      </c>
      <c r="I216" s="143">
        <v>43291</v>
      </c>
      <c r="J216" t="s">
        <v>2395</v>
      </c>
      <c r="K216" t="s">
        <v>2396</v>
      </c>
      <c r="L216" t="s">
        <v>1280</v>
      </c>
      <c r="M216">
        <v>102701</v>
      </c>
      <c r="N216" t="s">
        <v>2381</v>
      </c>
      <c r="O216" t="s">
        <v>37</v>
      </c>
      <c r="P216" t="s">
        <v>288</v>
      </c>
      <c r="Q216" t="s">
        <v>1829</v>
      </c>
      <c r="R216" s="105">
        <f>IF(Table__192.168.1.150_Daily_Delinquency_With_Sectors[[#This Row],[Days in Arrears]] &gt; 0, Table__192.168.1.150_Daily_Delinquency_With_Sectors[[#This Row],[Outstanding Balance]],0)</f>
        <v>33157684.32</v>
      </c>
      <c r="S216" s="105">
        <f>IF(Table__192.168.1.150_Daily_Delinquency_With_Sectors[[#This Row],[Days in Arrears]] &gt; 30, Table__192.168.1.150_Daily_Delinquency_With_Sectors[[#This Row],[Outstanding Balance]],0)</f>
        <v>33157684.32</v>
      </c>
      <c r="T216" s="105">
        <f>IF(Table__192.168.1.150_Daily_Delinquency_With_Sectors[[#This Row],[Days in Arrears]] &gt; 90, Table__192.168.1.150_Daily_Delinquency_With_Sectors[[#This Row],[Outstanding Balance]],0)</f>
        <v>33157684.32</v>
      </c>
      <c r="U216" s="109">
        <f>IF(Table__192.168.1.150_Daily_Delinquency_With_Sectors[[#This Row],[Days in Arrears]] &gt;= 1,1,0)</f>
        <v>1</v>
      </c>
      <c r="V216" s="109">
        <f>IF(Table__192.168.1.150_Daily_Delinquency_With_Sectors[[#This Row],[Days in Arrears]] &gt; 30,1,0)</f>
        <v>1</v>
      </c>
      <c r="W216" s="109">
        <f>IF(Table__192.168.1.150_Daily_Delinquency_With_Sectors[[#This Row],[Days in Arrears]] &gt; 90,1,0)</f>
        <v>1</v>
      </c>
    </row>
    <row r="217" spans="1:23" x14ac:dyDescent="0.25">
      <c r="A217" t="s">
        <v>1168</v>
      </c>
      <c r="B217" t="s">
        <v>1283</v>
      </c>
      <c r="C217">
        <v>-7</v>
      </c>
      <c r="D217" s="105">
        <v>15934664.880000001</v>
      </c>
      <c r="E217" t="s">
        <v>1039</v>
      </c>
      <c r="F217" s="105">
        <v>350562.63</v>
      </c>
      <c r="G217" s="105">
        <v>18741931.100000001</v>
      </c>
      <c r="H217" s="143">
        <v>42551.396343287037</v>
      </c>
      <c r="I217" s="143">
        <v>43647</v>
      </c>
      <c r="J217" t="s">
        <v>1169</v>
      </c>
      <c r="K217" t="s">
        <v>1280</v>
      </c>
      <c r="L217" t="s">
        <v>1280</v>
      </c>
      <c r="M217">
        <v>102703</v>
      </c>
      <c r="N217" t="s">
        <v>1167</v>
      </c>
      <c r="O217" t="s">
        <v>27</v>
      </c>
      <c r="P217" t="s">
        <v>116</v>
      </c>
      <c r="Q217" t="s">
        <v>1825</v>
      </c>
      <c r="R217" s="105">
        <f>IF(Table__192.168.1.150_Daily_Delinquency_With_Sectors[[#This Row],[Days in Arrears]] &gt; 0, Table__192.168.1.150_Daily_Delinquency_With_Sectors[[#This Row],[Outstanding Balance]],0)</f>
        <v>0</v>
      </c>
      <c r="S217" s="105">
        <f>IF(Table__192.168.1.150_Daily_Delinquency_With_Sectors[[#This Row],[Days in Arrears]] &gt; 30, Table__192.168.1.150_Daily_Delinquency_With_Sectors[[#This Row],[Outstanding Balance]],0)</f>
        <v>0</v>
      </c>
      <c r="T217" s="105">
        <f>IF(Table__192.168.1.150_Daily_Delinquency_With_Sectors[[#This Row],[Days in Arrears]] &gt; 90, Table__192.168.1.150_Daily_Delinquency_With_Sectors[[#This Row],[Outstanding Balance]],0)</f>
        <v>0</v>
      </c>
      <c r="U217" s="109">
        <f>IF(Table__192.168.1.150_Daily_Delinquency_With_Sectors[[#This Row],[Days in Arrears]] &gt;= 1,1,0)</f>
        <v>0</v>
      </c>
      <c r="V217" s="109">
        <f>IF(Table__192.168.1.150_Daily_Delinquency_With_Sectors[[#This Row],[Days in Arrears]] &gt; 30,1,0)</f>
        <v>0</v>
      </c>
      <c r="W217" s="109">
        <f>IF(Table__192.168.1.150_Daily_Delinquency_With_Sectors[[#This Row],[Days in Arrears]] &gt; 90,1,0)</f>
        <v>0</v>
      </c>
    </row>
    <row r="218" spans="1:23" x14ac:dyDescent="0.25">
      <c r="A218" t="s">
        <v>126</v>
      </c>
      <c r="B218" t="s">
        <v>1283</v>
      </c>
      <c r="C218">
        <v>-11</v>
      </c>
      <c r="D218" s="105">
        <v>35609189</v>
      </c>
      <c r="E218" t="s">
        <v>86</v>
      </c>
      <c r="F218" s="105">
        <v>640965.4</v>
      </c>
      <c r="G218" s="105">
        <v>55888329.579999998</v>
      </c>
      <c r="H218" s="143">
        <v>42552.70148009259</v>
      </c>
      <c r="I218" s="143">
        <v>44017</v>
      </c>
      <c r="J218" t="s">
        <v>127</v>
      </c>
      <c r="K218" t="s">
        <v>128</v>
      </c>
      <c r="L218" t="s">
        <v>129</v>
      </c>
      <c r="M218">
        <v>102704</v>
      </c>
      <c r="N218" t="s">
        <v>125</v>
      </c>
      <c r="O218" t="s">
        <v>25</v>
      </c>
      <c r="P218" t="s">
        <v>88</v>
      </c>
      <c r="Q218" t="s">
        <v>26</v>
      </c>
      <c r="R218" s="105">
        <f>IF(Table__192.168.1.150_Daily_Delinquency_With_Sectors[[#This Row],[Days in Arrears]] &gt; 0, Table__192.168.1.150_Daily_Delinquency_With_Sectors[[#This Row],[Outstanding Balance]],0)</f>
        <v>0</v>
      </c>
      <c r="S218" s="105">
        <f>IF(Table__192.168.1.150_Daily_Delinquency_With_Sectors[[#This Row],[Days in Arrears]] &gt; 30, Table__192.168.1.150_Daily_Delinquency_With_Sectors[[#This Row],[Outstanding Balance]],0)</f>
        <v>0</v>
      </c>
      <c r="T218" s="105">
        <f>IF(Table__192.168.1.150_Daily_Delinquency_With_Sectors[[#This Row],[Days in Arrears]] &gt; 90, Table__192.168.1.150_Daily_Delinquency_With_Sectors[[#This Row],[Outstanding Balance]],0)</f>
        <v>0</v>
      </c>
      <c r="U218" s="109">
        <f>IF(Table__192.168.1.150_Daily_Delinquency_With_Sectors[[#This Row],[Days in Arrears]] &gt;= 1,1,0)</f>
        <v>0</v>
      </c>
      <c r="V218" s="109">
        <f>IF(Table__192.168.1.150_Daily_Delinquency_With_Sectors[[#This Row],[Days in Arrears]] &gt; 30,1,0)</f>
        <v>0</v>
      </c>
      <c r="W218" s="109">
        <f>IF(Table__192.168.1.150_Daily_Delinquency_With_Sectors[[#This Row],[Days in Arrears]] &gt; 90,1,0)</f>
        <v>0</v>
      </c>
    </row>
    <row r="219" spans="1:23" x14ac:dyDescent="0.25">
      <c r="A219" t="s">
        <v>2421</v>
      </c>
      <c r="B219" t="s">
        <v>1281</v>
      </c>
      <c r="C219">
        <v>17</v>
      </c>
      <c r="D219" s="105">
        <v>8290217.3399999999</v>
      </c>
      <c r="E219" t="s">
        <v>1448</v>
      </c>
      <c r="F219" s="105">
        <v>265324.08</v>
      </c>
      <c r="G219" s="105">
        <v>9808354.5299999993</v>
      </c>
      <c r="H219" s="143">
        <v>42558.591984756946</v>
      </c>
      <c r="I219" s="143">
        <v>43288</v>
      </c>
      <c r="J219" t="s">
        <v>2422</v>
      </c>
      <c r="K219" t="s">
        <v>2423</v>
      </c>
      <c r="L219" t="s">
        <v>1280</v>
      </c>
      <c r="M219">
        <v>102706</v>
      </c>
      <c r="N219" t="s">
        <v>2420</v>
      </c>
      <c r="O219" t="s">
        <v>25</v>
      </c>
      <c r="P219" t="s">
        <v>290</v>
      </c>
      <c r="Q219" t="s">
        <v>297</v>
      </c>
      <c r="R219" s="105">
        <f>IF(Table__192.168.1.150_Daily_Delinquency_With_Sectors[[#This Row],[Days in Arrears]] &gt; 0, Table__192.168.1.150_Daily_Delinquency_With_Sectors[[#This Row],[Outstanding Balance]],0)</f>
        <v>8290217.3399999999</v>
      </c>
      <c r="S219" s="105">
        <f>IF(Table__192.168.1.150_Daily_Delinquency_With_Sectors[[#This Row],[Days in Arrears]] &gt; 30, Table__192.168.1.150_Daily_Delinquency_With_Sectors[[#This Row],[Outstanding Balance]],0)</f>
        <v>0</v>
      </c>
      <c r="T219" s="105">
        <f>IF(Table__192.168.1.150_Daily_Delinquency_With_Sectors[[#This Row],[Days in Arrears]] &gt; 90, Table__192.168.1.150_Daily_Delinquency_With_Sectors[[#This Row],[Outstanding Balance]],0)</f>
        <v>0</v>
      </c>
      <c r="U219" s="109">
        <f>IF(Table__192.168.1.150_Daily_Delinquency_With_Sectors[[#This Row],[Days in Arrears]] &gt;= 1,1,0)</f>
        <v>1</v>
      </c>
      <c r="V219" s="109">
        <f>IF(Table__192.168.1.150_Daily_Delinquency_With_Sectors[[#This Row],[Days in Arrears]] &gt; 30,1,0)</f>
        <v>0</v>
      </c>
      <c r="W219" s="109">
        <f>IF(Table__192.168.1.150_Daily_Delinquency_With_Sectors[[#This Row],[Days in Arrears]] &gt; 90,1,0)</f>
        <v>0</v>
      </c>
    </row>
    <row r="220" spans="1:23" x14ac:dyDescent="0.25">
      <c r="A220" t="s">
        <v>2430</v>
      </c>
      <c r="B220" t="s">
        <v>1281</v>
      </c>
      <c r="C220">
        <v>10</v>
      </c>
      <c r="D220" s="105">
        <v>8789130.75</v>
      </c>
      <c r="E220" t="s">
        <v>86</v>
      </c>
      <c r="F220" s="105">
        <v>398032.02</v>
      </c>
      <c r="G220" s="105">
        <v>10589651.82</v>
      </c>
      <c r="H220" s="143">
        <v>42564.684344710651</v>
      </c>
      <c r="I220" s="143">
        <v>43295</v>
      </c>
      <c r="J220" t="s">
        <v>2431</v>
      </c>
      <c r="K220" t="s">
        <v>2432</v>
      </c>
      <c r="L220" t="s">
        <v>1280</v>
      </c>
      <c r="M220">
        <v>102712</v>
      </c>
      <c r="N220" t="s">
        <v>2429</v>
      </c>
      <c r="O220" t="s">
        <v>37</v>
      </c>
      <c r="P220" t="s">
        <v>38</v>
      </c>
      <c r="Q220" t="s">
        <v>26</v>
      </c>
      <c r="R220" s="105">
        <f>IF(Table__192.168.1.150_Daily_Delinquency_With_Sectors[[#This Row],[Days in Arrears]] &gt; 0, Table__192.168.1.150_Daily_Delinquency_With_Sectors[[#This Row],[Outstanding Balance]],0)</f>
        <v>8789130.75</v>
      </c>
      <c r="S220" s="105">
        <f>IF(Table__192.168.1.150_Daily_Delinquency_With_Sectors[[#This Row],[Days in Arrears]] &gt; 30, Table__192.168.1.150_Daily_Delinquency_With_Sectors[[#This Row],[Outstanding Balance]],0)</f>
        <v>0</v>
      </c>
      <c r="T220" s="105">
        <f>IF(Table__192.168.1.150_Daily_Delinquency_With_Sectors[[#This Row],[Days in Arrears]] &gt; 90, Table__192.168.1.150_Daily_Delinquency_With_Sectors[[#This Row],[Outstanding Balance]],0)</f>
        <v>0</v>
      </c>
      <c r="U220" s="109">
        <f>IF(Table__192.168.1.150_Daily_Delinquency_With_Sectors[[#This Row],[Days in Arrears]] &gt;= 1,1,0)</f>
        <v>1</v>
      </c>
      <c r="V220" s="109">
        <f>IF(Table__192.168.1.150_Daily_Delinquency_With_Sectors[[#This Row],[Days in Arrears]] &gt; 30,1,0)</f>
        <v>0</v>
      </c>
      <c r="W220" s="109">
        <f>IF(Table__192.168.1.150_Daily_Delinquency_With_Sectors[[#This Row],[Days in Arrears]] &gt; 90,1,0)</f>
        <v>0</v>
      </c>
    </row>
    <row r="221" spans="1:23" x14ac:dyDescent="0.25">
      <c r="A221" t="s">
        <v>761</v>
      </c>
      <c r="B221" t="s">
        <v>1284</v>
      </c>
      <c r="C221">
        <v>-20</v>
      </c>
      <c r="D221" s="105">
        <v>12446913.1</v>
      </c>
      <c r="E221" t="s">
        <v>491</v>
      </c>
      <c r="F221" s="105">
        <v>112022.22</v>
      </c>
      <c r="G221" s="105">
        <v>14185138.33</v>
      </c>
      <c r="H221" s="143">
        <v>42564.693873611111</v>
      </c>
      <c r="I221" s="143">
        <v>43295</v>
      </c>
      <c r="J221" t="s">
        <v>762</v>
      </c>
      <c r="K221" t="s">
        <v>763</v>
      </c>
      <c r="L221" t="s">
        <v>1280</v>
      </c>
      <c r="M221">
        <v>102713</v>
      </c>
      <c r="N221" t="s">
        <v>759</v>
      </c>
      <c r="O221" t="s">
        <v>27</v>
      </c>
      <c r="P221" t="s">
        <v>116</v>
      </c>
      <c r="Q221" t="s">
        <v>26</v>
      </c>
      <c r="R221" s="105">
        <f>IF(Table__192.168.1.150_Daily_Delinquency_With_Sectors[[#This Row],[Days in Arrears]] &gt; 0, Table__192.168.1.150_Daily_Delinquency_With_Sectors[[#This Row],[Outstanding Balance]],0)</f>
        <v>0</v>
      </c>
      <c r="S221" s="105">
        <f>IF(Table__192.168.1.150_Daily_Delinquency_With_Sectors[[#This Row],[Days in Arrears]] &gt; 30, Table__192.168.1.150_Daily_Delinquency_With_Sectors[[#This Row],[Outstanding Balance]],0)</f>
        <v>0</v>
      </c>
      <c r="T221" s="105">
        <f>IF(Table__192.168.1.150_Daily_Delinquency_With_Sectors[[#This Row],[Days in Arrears]] &gt; 90, Table__192.168.1.150_Daily_Delinquency_With_Sectors[[#This Row],[Outstanding Balance]],0)</f>
        <v>0</v>
      </c>
      <c r="U221" s="109">
        <f>IF(Table__192.168.1.150_Daily_Delinquency_With_Sectors[[#This Row],[Days in Arrears]] &gt;= 1,1,0)</f>
        <v>0</v>
      </c>
      <c r="V221" s="109">
        <f>IF(Table__192.168.1.150_Daily_Delinquency_With_Sectors[[#This Row],[Days in Arrears]] &gt; 30,1,0)</f>
        <v>0</v>
      </c>
      <c r="W221" s="109">
        <f>IF(Table__192.168.1.150_Daily_Delinquency_With_Sectors[[#This Row],[Days in Arrears]] &gt; 90,1,0)</f>
        <v>0</v>
      </c>
    </row>
    <row r="222" spans="1:23" x14ac:dyDescent="0.25">
      <c r="A222" t="s">
        <v>2434</v>
      </c>
      <c r="B222" t="s">
        <v>1283</v>
      </c>
      <c r="C222">
        <v>-20</v>
      </c>
      <c r="D222" s="105">
        <v>14839941.060000001</v>
      </c>
      <c r="E222" t="s">
        <v>2175</v>
      </c>
      <c r="F222" s="105">
        <v>148399.41</v>
      </c>
      <c r="G222" s="105">
        <v>17150988.030000001</v>
      </c>
      <c r="H222" s="143">
        <v>42564.702947187499</v>
      </c>
      <c r="I222" s="143">
        <v>43295</v>
      </c>
      <c r="J222" t="s">
        <v>2435</v>
      </c>
      <c r="K222" t="s">
        <v>1280</v>
      </c>
      <c r="L222" t="s">
        <v>1280</v>
      </c>
      <c r="M222">
        <v>102714</v>
      </c>
      <c r="N222" t="s">
        <v>2433</v>
      </c>
      <c r="O222" t="s">
        <v>25</v>
      </c>
      <c r="P222" t="s">
        <v>101</v>
      </c>
      <c r="Q222" t="s">
        <v>95</v>
      </c>
      <c r="R222" s="105">
        <f>IF(Table__192.168.1.150_Daily_Delinquency_With_Sectors[[#This Row],[Days in Arrears]] &gt; 0, Table__192.168.1.150_Daily_Delinquency_With_Sectors[[#This Row],[Outstanding Balance]],0)</f>
        <v>0</v>
      </c>
      <c r="S222" s="105">
        <f>IF(Table__192.168.1.150_Daily_Delinquency_With_Sectors[[#This Row],[Days in Arrears]] &gt; 30, Table__192.168.1.150_Daily_Delinquency_With_Sectors[[#This Row],[Outstanding Balance]],0)</f>
        <v>0</v>
      </c>
      <c r="T222" s="105">
        <f>IF(Table__192.168.1.150_Daily_Delinquency_With_Sectors[[#This Row],[Days in Arrears]] &gt; 90, Table__192.168.1.150_Daily_Delinquency_With_Sectors[[#This Row],[Outstanding Balance]],0)</f>
        <v>0</v>
      </c>
      <c r="U222" s="109">
        <f>IF(Table__192.168.1.150_Daily_Delinquency_With_Sectors[[#This Row],[Days in Arrears]] &gt;= 1,1,0)</f>
        <v>0</v>
      </c>
      <c r="V222" s="109">
        <f>IF(Table__192.168.1.150_Daily_Delinquency_With_Sectors[[#This Row],[Days in Arrears]] &gt; 30,1,0)</f>
        <v>0</v>
      </c>
      <c r="W222" s="109">
        <f>IF(Table__192.168.1.150_Daily_Delinquency_With_Sectors[[#This Row],[Days in Arrears]] &gt; 90,1,0)</f>
        <v>0</v>
      </c>
    </row>
    <row r="223" spans="1:23" x14ac:dyDescent="0.25">
      <c r="A223" t="s">
        <v>384</v>
      </c>
      <c r="B223" t="s">
        <v>1282</v>
      </c>
      <c r="C223">
        <v>126</v>
      </c>
      <c r="D223" s="105">
        <v>26402.05</v>
      </c>
      <c r="E223" t="s">
        <v>5725</v>
      </c>
      <c r="F223" s="105">
        <v>0</v>
      </c>
      <c r="G223" s="105">
        <v>26402.05</v>
      </c>
      <c r="H223" s="143">
        <v>42566.624112268517</v>
      </c>
      <c r="I223" s="143">
        <v>42934</v>
      </c>
      <c r="J223" t="s">
        <v>385</v>
      </c>
      <c r="K223" t="s">
        <v>386</v>
      </c>
      <c r="L223" t="s">
        <v>1280</v>
      </c>
      <c r="M223">
        <v>102717</v>
      </c>
      <c r="N223" t="s">
        <v>364</v>
      </c>
      <c r="O223" t="s">
        <v>25</v>
      </c>
      <c r="P223" t="s">
        <v>94</v>
      </c>
      <c r="Q223" t="s">
        <v>26</v>
      </c>
      <c r="R223" s="105">
        <f>IF(Table__192.168.1.150_Daily_Delinquency_With_Sectors[[#This Row],[Days in Arrears]] &gt; 0, Table__192.168.1.150_Daily_Delinquency_With_Sectors[[#This Row],[Outstanding Balance]],0)</f>
        <v>26402.05</v>
      </c>
      <c r="S223" s="105">
        <f>IF(Table__192.168.1.150_Daily_Delinquency_With_Sectors[[#This Row],[Days in Arrears]] &gt; 30, Table__192.168.1.150_Daily_Delinquency_With_Sectors[[#This Row],[Outstanding Balance]],0)</f>
        <v>26402.05</v>
      </c>
      <c r="T223" s="105">
        <f>IF(Table__192.168.1.150_Daily_Delinquency_With_Sectors[[#This Row],[Days in Arrears]] &gt; 90, Table__192.168.1.150_Daily_Delinquency_With_Sectors[[#This Row],[Outstanding Balance]],0)</f>
        <v>26402.05</v>
      </c>
      <c r="U223" s="109">
        <f>IF(Table__192.168.1.150_Daily_Delinquency_With_Sectors[[#This Row],[Days in Arrears]] &gt;= 1,1,0)</f>
        <v>1</v>
      </c>
      <c r="V223" s="109">
        <f>IF(Table__192.168.1.150_Daily_Delinquency_With_Sectors[[#This Row],[Days in Arrears]] &gt; 30,1,0)</f>
        <v>1</v>
      </c>
      <c r="W223" s="109">
        <f>IF(Table__192.168.1.150_Daily_Delinquency_With_Sectors[[#This Row],[Days in Arrears]] &gt; 90,1,0)</f>
        <v>1</v>
      </c>
    </row>
    <row r="224" spans="1:23" x14ac:dyDescent="0.25">
      <c r="A224" t="s">
        <v>1675</v>
      </c>
      <c r="B224" t="s">
        <v>1282</v>
      </c>
      <c r="C224">
        <v>158</v>
      </c>
      <c r="D224" s="105">
        <v>1205804.8700000001</v>
      </c>
      <c r="E224" t="s">
        <v>90</v>
      </c>
      <c r="F224" s="105">
        <v>72821.149999999994</v>
      </c>
      <c r="G224" s="105">
        <v>1278626.02</v>
      </c>
      <c r="H224" s="143">
        <v>42567.597271990744</v>
      </c>
      <c r="I224" s="143">
        <v>42932</v>
      </c>
      <c r="J224" t="s">
        <v>1676</v>
      </c>
      <c r="K224" t="s">
        <v>1280</v>
      </c>
      <c r="L224" t="s">
        <v>1280</v>
      </c>
      <c r="M224">
        <v>102721</v>
      </c>
      <c r="N224" t="s">
        <v>1668</v>
      </c>
      <c r="O224" t="s">
        <v>44</v>
      </c>
      <c r="P224" t="s">
        <v>75</v>
      </c>
      <c r="Q224" t="s">
        <v>1442</v>
      </c>
      <c r="R224" s="105">
        <f>IF(Table__192.168.1.150_Daily_Delinquency_With_Sectors[[#This Row],[Days in Arrears]] &gt; 0, Table__192.168.1.150_Daily_Delinquency_With_Sectors[[#This Row],[Outstanding Balance]],0)</f>
        <v>1205804.8700000001</v>
      </c>
      <c r="S224" s="105">
        <f>IF(Table__192.168.1.150_Daily_Delinquency_With_Sectors[[#This Row],[Days in Arrears]] &gt; 30, Table__192.168.1.150_Daily_Delinquency_With_Sectors[[#This Row],[Outstanding Balance]],0)</f>
        <v>1205804.8700000001</v>
      </c>
      <c r="T224" s="105">
        <f>IF(Table__192.168.1.150_Daily_Delinquency_With_Sectors[[#This Row],[Days in Arrears]] &gt; 90, Table__192.168.1.150_Daily_Delinquency_With_Sectors[[#This Row],[Outstanding Balance]],0)</f>
        <v>1205804.8700000001</v>
      </c>
      <c r="U224" s="109">
        <f>IF(Table__192.168.1.150_Daily_Delinquency_With_Sectors[[#This Row],[Days in Arrears]] &gt;= 1,1,0)</f>
        <v>1</v>
      </c>
      <c r="V224" s="109">
        <f>IF(Table__192.168.1.150_Daily_Delinquency_With_Sectors[[#This Row],[Days in Arrears]] &gt; 30,1,0)</f>
        <v>1</v>
      </c>
      <c r="W224" s="109">
        <f>IF(Table__192.168.1.150_Daily_Delinquency_With_Sectors[[#This Row],[Days in Arrears]] &gt; 90,1,0)</f>
        <v>1</v>
      </c>
    </row>
    <row r="225" spans="1:23" x14ac:dyDescent="0.25">
      <c r="A225" t="s">
        <v>2440</v>
      </c>
      <c r="B225" t="s">
        <v>1867</v>
      </c>
      <c r="C225">
        <v>156</v>
      </c>
      <c r="D225" s="105">
        <v>4804821.63</v>
      </c>
      <c r="E225" t="s">
        <v>5725</v>
      </c>
      <c r="F225" s="105">
        <v>348901.72</v>
      </c>
      <c r="G225" s="105">
        <v>5396466.0800000001</v>
      </c>
      <c r="H225" s="143">
        <v>42569.726373645834</v>
      </c>
      <c r="I225" s="143">
        <v>43026</v>
      </c>
      <c r="J225" t="s">
        <v>2441</v>
      </c>
      <c r="K225" t="s">
        <v>1280</v>
      </c>
      <c r="L225" t="s">
        <v>1280</v>
      </c>
      <c r="M225">
        <v>102722</v>
      </c>
      <c r="N225" t="s">
        <v>2439</v>
      </c>
      <c r="O225" t="s">
        <v>37</v>
      </c>
      <c r="P225" t="s">
        <v>288</v>
      </c>
      <c r="Q225" t="s">
        <v>1313</v>
      </c>
      <c r="R225" s="105">
        <f>IF(Table__192.168.1.150_Daily_Delinquency_With_Sectors[[#This Row],[Days in Arrears]] &gt; 0, Table__192.168.1.150_Daily_Delinquency_With_Sectors[[#This Row],[Outstanding Balance]],0)</f>
        <v>4804821.63</v>
      </c>
      <c r="S225" s="105">
        <f>IF(Table__192.168.1.150_Daily_Delinquency_With_Sectors[[#This Row],[Days in Arrears]] &gt; 30, Table__192.168.1.150_Daily_Delinquency_With_Sectors[[#This Row],[Outstanding Balance]],0)</f>
        <v>4804821.63</v>
      </c>
      <c r="T225" s="105">
        <f>IF(Table__192.168.1.150_Daily_Delinquency_With_Sectors[[#This Row],[Days in Arrears]] &gt; 90, Table__192.168.1.150_Daily_Delinquency_With_Sectors[[#This Row],[Outstanding Balance]],0)</f>
        <v>4804821.63</v>
      </c>
      <c r="U225" s="109">
        <f>IF(Table__192.168.1.150_Daily_Delinquency_With_Sectors[[#This Row],[Days in Arrears]] &gt;= 1,1,0)</f>
        <v>1</v>
      </c>
      <c r="V225" s="109">
        <f>IF(Table__192.168.1.150_Daily_Delinquency_With_Sectors[[#This Row],[Days in Arrears]] &gt; 30,1,0)</f>
        <v>1</v>
      </c>
      <c r="W225" s="109">
        <f>IF(Table__192.168.1.150_Daily_Delinquency_With_Sectors[[#This Row],[Days in Arrears]] &gt; 90,1,0)</f>
        <v>1</v>
      </c>
    </row>
    <row r="226" spans="1:23" x14ac:dyDescent="0.25">
      <c r="A226" t="s">
        <v>2509</v>
      </c>
      <c r="B226" t="s">
        <v>1283</v>
      </c>
      <c r="C226">
        <v>-28</v>
      </c>
      <c r="D226" s="105">
        <v>24348842.100000001</v>
      </c>
      <c r="E226" t="s">
        <v>1191</v>
      </c>
      <c r="F226" s="105">
        <v>27054.27</v>
      </c>
      <c r="G226" s="105">
        <v>33749529.689999998</v>
      </c>
      <c r="H226" s="143">
        <v>42571.776242210646</v>
      </c>
      <c r="I226" s="143">
        <v>43668</v>
      </c>
      <c r="J226" t="s">
        <v>2510</v>
      </c>
      <c r="K226" t="s">
        <v>1280</v>
      </c>
      <c r="L226" t="s">
        <v>1280</v>
      </c>
      <c r="M226">
        <v>102726</v>
      </c>
      <c r="N226" t="s">
        <v>2506</v>
      </c>
      <c r="O226" t="s">
        <v>45</v>
      </c>
      <c r="P226" t="s">
        <v>45</v>
      </c>
      <c r="Q226" t="s">
        <v>1658</v>
      </c>
      <c r="R226" s="105">
        <f>IF(Table__192.168.1.150_Daily_Delinquency_With_Sectors[[#This Row],[Days in Arrears]] &gt; 0, Table__192.168.1.150_Daily_Delinquency_With_Sectors[[#This Row],[Outstanding Balance]],0)</f>
        <v>0</v>
      </c>
      <c r="S226" s="105">
        <f>IF(Table__192.168.1.150_Daily_Delinquency_With_Sectors[[#This Row],[Days in Arrears]] &gt; 30, Table__192.168.1.150_Daily_Delinquency_With_Sectors[[#This Row],[Outstanding Balance]],0)</f>
        <v>0</v>
      </c>
      <c r="T226" s="105">
        <f>IF(Table__192.168.1.150_Daily_Delinquency_With_Sectors[[#This Row],[Days in Arrears]] &gt; 90, Table__192.168.1.150_Daily_Delinquency_With_Sectors[[#This Row],[Outstanding Balance]],0)</f>
        <v>0</v>
      </c>
      <c r="U226" s="109">
        <f>IF(Table__192.168.1.150_Daily_Delinquency_With_Sectors[[#This Row],[Days in Arrears]] &gt;= 1,1,0)</f>
        <v>0</v>
      </c>
      <c r="V226" s="109">
        <f>IF(Table__192.168.1.150_Daily_Delinquency_With_Sectors[[#This Row],[Days in Arrears]] &gt; 30,1,0)</f>
        <v>0</v>
      </c>
      <c r="W226" s="109">
        <f>IF(Table__192.168.1.150_Daily_Delinquency_With_Sectors[[#This Row],[Days in Arrears]] &gt; 90,1,0)</f>
        <v>0</v>
      </c>
    </row>
    <row r="227" spans="1:23" x14ac:dyDescent="0.25">
      <c r="A227" t="s">
        <v>2514</v>
      </c>
      <c r="B227" t="s">
        <v>1282</v>
      </c>
      <c r="C227">
        <v>123</v>
      </c>
      <c r="D227" s="105">
        <v>524718.64</v>
      </c>
      <c r="E227" t="s">
        <v>1448</v>
      </c>
      <c r="F227" s="105">
        <v>23612.34</v>
      </c>
      <c r="G227" s="105">
        <v>548330.98</v>
      </c>
      <c r="H227" s="143">
        <v>42572.520186770831</v>
      </c>
      <c r="I227" s="143">
        <v>42937</v>
      </c>
      <c r="J227" t="s">
        <v>2515</v>
      </c>
      <c r="K227" t="s">
        <v>1280</v>
      </c>
      <c r="L227" t="s">
        <v>1280</v>
      </c>
      <c r="M227">
        <v>102728</v>
      </c>
      <c r="N227" t="s">
        <v>2513</v>
      </c>
      <c r="O227" t="s">
        <v>45</v>
      </c>
      <c r="P227" t="s">
        <v>45</v>
      </c>
      <c r="Q227" t="s">
        <v>89</v>
      </c>
      <c r="R227" s="105">
        <f>IF(Table__192.168.1.150_Daily_Delinquency_With_Sectors[[#This Row],[Days in Arrears]] &gt; 0, Table__192.168.1.150_Daily_Delinquency_With_Sectors[[#This Row],[Outstanding Balance]],0)</f>
        <v>524718.64</v>
      </c>
      <c r="S227" s="105">
        <f>IF(Table__192.168.1.150_Daily_Delinquency_With_Sectors[[#This Row],[Days in Arrears]] &gt; 30, Table__192.168.1.150_Daily_Delinquency_With_Sectors[[#This Row],[Outstanding Balance]],0)</f>
        <v>524718.64</v>
      </c>
      <c r="T227" s="105">
        <f>IF(Table__192.168.1.150_Daily_Delinquency_With_Sectors[[#This Row],[Days in Arrears]] &gt; 90, Table__192.168.1.150_Daily_Delinquency_With_Sectors[[#This Row],[Outstanding Balance]],0)</f>
        <v>524718.64</v>
      </c>
      <c r="U227" s="109">
        <f>IF(Table__192.168.1.150_Daily_Delinquency_With_Sectors[[#This Row],[Days in Arrears]] &gt;= 1,1,0)</f>
        <v>1</v>
      </c>
      <c r="V227" s="109">
        <f>IF(Table__192.168.1.150_Daily_Delinquency_With_Sectors[[#This Row],[Days in Arrears]] &gt; 30,1,0)</f>
        <v>1</v>
      </c>
      <c r="W227" s="109">
        <f>IF(Table__192.168.1.150_Daily_Delinquency_With_Sectors[[#This Row],[Days in Arrears]] &gt; 90,1,0)</f>
        <v>1</v>
      </c>
    </row>
    <row r="228" spans="1:23" x14ac:dyDescent="0.25">
      <c r="A228" t="s">
        <v>2534</v>
      </c>
      <c r="B228" t="s">
        <v>1283</v>
      </c>
      <c r="C228">
        <v>-1</v>
      </c>
      <c r="D228" s="105">
        <v>25860721.039999999</v>
      </c>
      <c r="E228" t="s">
        <v>1191</v>
      </c>
      <c r="F228" s="105">
        <v>804555.77</v>
      </c>
      <c r="G228" s="105">
        <v>36371274.159999996</v>
      </c>
      <c r="H228" s="143">
        <v>42576.56290138889</v>
      </c>
      <c r="I228" s="143">
        <v>43671</v>
      </c>
      <c r="J228" t="s">
        <v>2535</v>
      </c>
      <c r="K228" t="s">
        <v>1280</v>
      </c>
      <c r="L228" t="s">
        <v>2536</v>
      </c>
      <c r="M228">
        <v>102735</v>
      </c>
      <c r="N228" t="s">
        <v>2531</v>
      </c>
      <c r="O228" t="s">
        <v>44</v>
      </c>
      <c r="P228" t="s">
        <v>75</v>
      </c>
      <c r="Q228" t="s">
        <v>26</v>
      </c>
      <c r="R228" s="105">
        <f>IF(Table__192.168.1.150_Daily_Delinquency_With_Sectors[[#This Row],[Days in Arrears]] &gt; 0, Table__192.168.1.150_Daily_Delinquency_With_Sectors[[#This Row],[Outstanding Balance]],0)</f>
        <v>0</v>
      </c>
      <c r="S228" s="105">
        <f>IF(Table__192.168.1.150_Daily_Delinquency_With_Sectors[[#This Row],[Days in Arrears]] &gt; 30, Table__192.168.1.150_Daily_Delinquency_With_Sectors[[#This Row],[Outstanding Balance]],0)</f>
        <v>0</v>
      </c>
      <c r="T228" s="105">
        <f>IF(Table__192.168.1.150_Daily_Delinquency_With_Sectors[[#This Row],[Days in Arrears]] &gt; 90, Table__192.168.1.150_Daily_Delinquency_With_Sectors[[#This Row],[Outstanding Balance]],0)</f>
        <v>0</v>
      </c>
      <c r="U228" s="109">
        <f>IF(Table__192.168.1.150_Daily_Delinquency_With_Sectors[[#This Row],[Days in Arrears]] &gt;= 1,1,0)</f>
        <v>0</v>
      </c>
      <c r="V228" s="109">
        <f>IF(Table__192.168.1.150_Daily_Delinquency_With_Sectors[[#This Row],[Days in Arrears]] &gt; 30,1,0)</f>
        <v>0</v>
      </c>
      <c r="W228" s="109">
        <f>IF(Table__192.168.1.150_Daily_Delinquency_With_Sectors[[#This Row],[Days in Arrears]] &gt; 90,1,0)</f>
        <v>0</v>
      </c>
    </row>
    <row r="229" spans="1:23" x14ac:dyDescent="0.25">
      <c r="A229" t="s">
        <v>669</v>
      </c>
      <c r="B229" t="s">
        <v>1283</v>
      </c>
      <c r="C229">
        <v>-26</v>
      </c>
      <c r="D229" s="105">
        <v>22356682.059999999</v>
      </c>
      <c r="E229" t="s">
        <v>1447</v>
      </c>
      <c r="F229" s="105">
        <v>67070.05</v>
      </c>
      <c r="G229" s="105">
        <v>30054404.050000001</v>
      </c>
      <c r="H229" s="143">
        <v>42577.617198148146</v>
      </c>
      <c r="I229" s="143">
        <v>43666</v>
      </c>
      <c r="J229" t="s">
        <v>670</v>
      </c>
      <c r="K229" t="s">
        <v>671</v>
      </c>
      <c r="L229" t="s">
        <v>1280</v>
      </c>
      <c r="M229">
        <v>102737</v>
      </c>
      <c r="N229" t="s">
        <v>664</v>
      </c>
      <c r="O229" t="s">
        <v>44</v>
      </c>
      <c r="P229" t="s">
        <v>75</v>
      </c>
      <c r="Q229" t="s">
        <v>26</v>
      </c>
      <c r="R229" s="105">
        <f>IF(Table__192.168.1.150_Daily_Delinquency_With_Sectors[[#This Row],[Days in Arrears]] &gt; 0, Table__192.168.1.150_Daily_Delinquency_With_Sectors[[#This Row],[Outstanding Balance]],0)</f>
        <v>0</v>
      </c>
      <c r="S229" s="105">
        <f>IF(Table__192.168.1.150_Daily_Delinquency_With_Sectors[[#This Row],[Days in Arrears]] &gt; 30, Table__192.168.1.150_Daily_Delinquency_With_Sectors[[#This Row],[Outstanding Balance]],0)</f>
        <v>0</v>
      </c>
      <c r="T229" s="105">
        <f>IF(Table__192.168.1.150_Daily_Delinquency_With_Sectors[[#This Row],[Days in Arrears]] &gt; 90, Table__192.168.1.150_Daily_Delinquency_With_Sectors[[#This Row],[Outstanding Balance]],0)</f>
        <v>0</v>
      </c>
      <c r="U229" s="109">
        <f>IF(Table__192.168.1.150_Daily_Delinquency_With_Sectors[[#This Row],[Days in Arrears]] &gt;= 1,1,0)</f>
        <v>0</v>
      </c>
      <c r="V229" s="109">
        <f>IF(Table__192.168.1.150_Daily_Delinquency_With_Sectors[[#This Row],[Days in Arrears]] &gt; 30,1,0)</f>
        <v>0</v>
      </c>
      <c r="W229" s="109">
        <f>IF(Table__192.168.1.150_Daily_Delinquency_With_Sectors[[#This Row],[Days in Arrears]] &gt; 90,1,0)</f>
        <v>0</v>
      </c>
    </row>
    <row r="230" spans="1:23" x14ac:dyDescent="0.25">
      <c r="A230" t="s">
        <v>2545</v>
      </c>
      <c r="B230" t="s">
        <v>1281</v>
      </c>
      <c r="C230">
        <v>18</v>
      </c>
      <c r="D230" s="105">
        <v>4501411.18</v>
      </c>
      <c r="E230" t="s">
        <v>1448</v>
      </c>
      <c r="F230" s="105">
        <v>258060.92</v>
      </c>
      <c r="G230" s="105">
        <v>4960375.88</v>
      </c>
      <c r="H230" s="143">
        <v>42577.712034340278</v>
      </c>
      <c r="I230" s="143">
        <v>43137</v>
      </c>
      <c r="J230" t="s">
        <v>2546</v>
      </c>
      <c r="K230" t="s">
        <v>2547</v>
      </c>
      <c r="L230" t="s">
        <v>1280</v>
      </c>
      <c r="M230">
        <v>102738</v>
      </c>
      <c r="N230" t="s">
        <v>2540</v>
      </c>
      <c r="O230" t="s">
        <v>37</v>
      </c>
      <c r="P230" t="s">
        <v>2192</v>
      </c>
      <c r="Q230" t="s">
        <v>26</v>
      </c>
      <c r="R230" s="105">
        <f>IF(Table__192.168.1.150_Daily_Delinquency_With_Sectors[[#This Row],[Days in Arrears]] &gt; 0, Table__192.168.1.150_Daily_Delinquency_With_Sectors[[#This Row],[Outstanding Balance]],0)</f>
        <v>4501411.18</v>
      </c>
      <c r="S230" s="105">
        <f>IF(Table__192.168.1.150_Daily_Delinquency_With_Sectors[[#This Row],[Days in Arrears]] &gt; 30, Table__192.168.1.150_Daily_Delinquency_With_Sectors[[#This Row],[Outstanding Balance]],0)</f>
        <v>0</v>
      </c>
      <c r="T230" s="105">
        <f>IF(Table__192.168.1.150_Daily_Delinquency_With_Sectors[[#This Row],[Days in Arrears]] &gt; 90, Table__192.168.1.150_Daily_Delinquency_With_Sectors[[#This Row],[Outstanding Balance]],0)</f>
        <v>0</v>
      </c>
      <c r="U230" s="109">
        <f>IF(Table__192.168.1.150_Daily_Delinquency_With_Sectors[[#This Row],[Days in Arrears]] &gt;= 1,1,0)</f>
        <v>1</v>
      </c>
      <c r="V230" s="109">
        <f>IF(Table__192.168.1.150_Daily_Delinquency_With_Sectors[[#This Row],[Days in Arrears]] &gt; 30,1,0)</f>
        <v>0</v>
      </c>
      <c r="W230" s="109">
        <f>IF(Table__192.168.1.150_Daily_Delinquency_With_Sectors[[#This Row],[Days in Arrears]] &gt; 90,1,0)</f>
        <v>0</v>
      </c>
    </row>
    <row r="231" spans="1:23" x14ac:dyDescent="0.25">
      <c r="A231" t="s">
        <v>2559</v>
      </c>
      <c r="B231" t="s">
        <v>1284</v>
      </c>
      <c r="C231">
        <v>-7</v>
      </c>
      <c r="D231" s="105">
        <v>5487555.21</v>
      </c>
      <c r="E231" t="s">
        <v>491</v>
      </c>
      <c r="F231" s="105">
        <v>134140.24</v>
      </c>
      <c r="G231" s="105">
        <v>5857390.0899999999</v>
      </c>
      <c r="H231" s="143">
        <v>42578.643912581021</v>
      </c>
      <c r="I231" s="143">
        <v>43132</v>
      </c>
      <c r="J231" t="s">
        <v>2560</v>
      </c>
      <c r="K231" t="s">
        <v>2561</v>
      </c>
      <c r="L231" t="s">
        <v>1280</v>
      </c>
      <c r="M231">
        <v>102741</v>
      </c>
      <c r="N231" t="s">
        <v>2558</v>
      </c>
      <c r="O231" t="s">
        <v>45</v>
      </c>
      <c r="P231" t="s">
        <v>45</v>
      </c>
      <c r="Q231" t="s">
        <v>26</v>
      </c>
      <c r="R231" s="105">
        <f>IF(Table__192.168.1.150_Daily_Delinquency_With_Sectors[[#This Row],[Days in Arrears]] &gt; 0, Table__192.168.1.150_Daily_Delinquency_With_Sectors[[#This Row],[Outstanding Balance]],0)</f>
        <v>0</v>
      </c>
      <c r="S231" s="105">
        <f>IF(Table__192.168.1.150_Daily_Delinquency_With_Sectors[[#This Row],[Days in Arrears]] &gt; 30, Table__192.168.1.150_Daily_Delinquency_With_Sectors[[#This Row],[Outstanding Balance]],0)</f>
        <v>0</v>
      </c>
      <c r="T231" s="105">
        <f>IF(Table__192.168.1.150_Daily_Delinquency_With_Sectors[[#This Row],[Days in Arrears]] &gt; 90, Table__192.168.1.150_Daily_Delinquency_With_Sectors[[#This Row],[Outstanding Balance]],0)</f>
        <v>0</v>
      </c>
      <c r="U231" s="109">
        <f>IF(Table__192.168.1.150_Daily_Delinquency_With_Sectors[[#This Row],[Days in Arrears]] &gt;= 1,1,0)</f>
        <v>0</v>
      </c>
      <c r="V231" s="109">
        <f>IF(Table__192.168.1.150_Daily_Delinquency_With_Sectors[[#This Row],[Days in Arrears]] &gt; 30,1,0)</f>
        <v>0</v>
      </c>
      <c r="W231" s="109">
        <f>IF(Table__192.168.1.150_Daily_Delinquency_With_Sectors[[#This Row],[Days in Arrears]] &gt; 90,1,0)</f>
        <v>0</v>
      </c>
    </row>
    <row r="232" spans="1:23" x14ac:dyDescent="0.25">
      <c r="A232" t="s">
        <v>2577</v>
      </c>
      <c r="B232" t="s">
        <v>1279</v>
      </c>
      <c r="C232">
        <v>143</v>
      </c>
      <c r="D232" s="105">
        <v>309379.08</v>
      </c>
      <c r="E232" t="s">
        <v>1447</v>
      </c>
      <c r="F232" s="105">
        <v>20799.13</v>
      </c>
      <c r="G232" s="105">
        <v>330415.34999999998</v>
      </c>
      <c r="H232" s="143">
        <v>42579.529619988425</v>
      </c>
      <c r="I232" s="143">
        <v>42948</v>
      </c>
      <c r="J232" t="s">
        <v>2578</v>
      </c>
      <c r="K232" t="s">
        <v>1280</v>
      </c>
      <c r="L232" t="s">
        <v>1280</v>
      </c>
      <c r="M232">
        <v>102742</v>
      </c>
      <c r="N232" t="s">
        <v>2576</v>
      </c>
      <c r="O232" t="s">
        <v>29</v>
      </c>
      <c r="P232" t="s">
        <v>30</v>
      </c>
      <c r="Q232" t="s">
        <v>1820</v>
      </c>
      <c r="R232" s="105">
        <f>IF(Table__192.168.1.150_Daily_Delinquency_With_Sectors[[#This Row],[Days in Arrears]] &gt; 0, Table__192.168.1.150_Daily_Delinquency_With_Sectors[[#This Row],[Outstanding Balance]],0)</f>
        <v>309379.08</v>
      </c>
      <c r="S232" s="105">
        <f>IF(Table__192.168.1.150_Daily_Delinquency_With_Sectors[[#This Row],[Days in Arrears]] &gt; 30, Table__192.168.1.150_Daily_Delinquency_With_Sectors[[#This Row],[Outstanding Balance]],0)</f>
        <v>309379.08</v>
      </c>
      <c r="T232" s="105">
        <f>IF(Table__192.168.1.150_Daily_Delinquency_With_Sectors[[#This Row],[Days in Arrears]] &gt; 90, Table__192.168.1.150_Daily_Delinquency_With_Sectors[[#This Row],[Outstanding Balance]],0)</f>
        <v>309379.08</v>
      </c>
      <c r="U232" s="109">
        <f>IF(Table__192.168.1.150_Daily_Delinquency_With_Sectors[[#This Row],[Days in Arrears]] &gt;= 1,1,0)</f>
        <v>1</v>
      </c>
      <c r="V232" s="109">
        <f>IF(Table__192.168.1.150_Daily_Delinquency_With_Sectors[[#This Row],[Days in Arrears]] &gt; 30,1,0)</f>
        <v>1</v>
      </c>
      <c r="W232" s="109">
        <f>IF(Table__192.168.1.150_Daily_Delinquency_With_Sectors[[#This Row],[Days in Arrears]] &gt; 90,1,0)</f>
        <v>1</v>
      </c>
    </row>
    <row r="233" spans="1:23" x14ac:dyDescent="0.25">
      <c r="A233" t="s">
        <v>1164</v>
      </c>
      <c r="B233" t="s">
        <v>1283</v>
      </c>
      <c r="C233">
        <v>83</v>
      </c>
      <c r="D233" s="105">
        <v>27229000.399999999</v>
      </c>
      <c r="E233" t="s">
        <v>5724</v>
      </c>
      <c r="F233" s="105">
        <v>1225035.6399999999</v>
      </c>
      <c r="G233" s="105">
        <v>38177489.899999999</v>
      </c>
      <c r="H233" s="143">
        <v>42579.575141006942</v>
      </c>
      <c r="I233" s="143">
        <v>43678</v>
      </c>
      <c r="J233" t="s">
        <v>1165</v>
      </c>
      <c r="K233" t="s">
        <v>1166</v>
      </c>
      <c r="L233" t="s">
        <v>1280</v>
      </c>
      <c r="M233">
        <v>102743</v>
      </c>
      <c r="N233" t="s">
        <v>1163</v>
      </c>
      <c r="O233" t="s">
        <v>44</v>
      </c>
      <c r="P233" t="s">
        <v>75</v>
      </c>
      <c r="Q233" t="s">
        <v>1442</v>
      </c>
      <c r="R233" s="105">
        <f>IF(Table__192.168.1.150_Daily_Delinquency_With_Sectors[[#This Row],[Days in Arrears]] &gt; 0, Table__192.168.1.150_Daily_Delinquency_With_Sectors[[#This Row],[Outstanding Balance]],0)</f>
        <v>27229000.399999999</v>
      </c>
      <c r="S233" s="105">
        <f>IF(Table__192.168.1.150_Daily_Delinquency_With_Sectors[[#This Row],[Days in Arrears]] &gt; 30, Table__192.168.1.150_Daily_Delinquency_With_Sectors[[#This Row],[Outstanding Balance]],0)</f>
        <v>27229000.399999999</v>
      </c>
      <c r="T233" s="105">
        <f>IF(Table__192.168.1.150_Daily_Delinquency_With_Sectors[[#This Row],[Days in Arrears]] &gt; 90, Table__192.168.1.150_Daily_Delinquency_With_Sectors[[#This Row],[Outstanding Balance]],0)</f>
        <v>0</v>
      </c>
      <c r="U233" s="109">
        <f>IF(Table__192.168.1.150_Daily_Delinquency_With_Sectors[[#This Row],[Days in Arrears]] &gt;= 1,1,0)</f>
        <v>1</v>
      </c>
      <c r="V233" s="109">
        <f>IF(Table__192.168.1.150_Daily_Delinquency_With_Sectors[[#This Row],[Days in Arrears]] &gt; 30,1,0)</f>
        <v>1</v>
      </c>
      <c r="W233" s="109">
        <f>IF(Table__192.168.1.150_Daily_Delinquency_With_Sectors[[#This Row],[Days in Arrears]] &gt; 90,1,0)</f>
        <v>0</v>
      </c>
    </row>
    <row r="234" spans="1:23" x14ac:dyDescent="0.25">
      <c r="A234" t="s">
        <v>2618</v>
      </c>
      <c r="B234" t="s">
        <v>1282</v>
      </c>
      <c r="C234">
        <v>46</v>
      </c>
      <c r="D234" s="105">
        <v>1410988.6</v>
      </c>
      <c r="E234" t="s">
        <v>86</v>
      </c>
      <c r="F234" s="105">
        <v>94858.8</v>
      </c>
      <c r="G234" s="105">
        <v>1506928.93</v>
      </c>
      <c r="H234" s="143">
        <v>42581.595540312497</v>
      </c>
      <c r="I234" s="143">
        <v>43047</v>
      </c>
      <c r="J234" t="s">
        <v>2619</v>
      </c>
      <c r="K234" t="s">
        <v>2620</v>
      </c>
      <c r="L234" t="s">
        <v>1280</v>
      </c>
      <c r="M234">
        <v>102749</v>
      </c>
      <c r="N234" t="s">
        <v>2615</v>
      </c>
      <c r="O234" t="s">
        <v>44</v>
      </c>
      <c r="P234" t="s">
        <v>75</v>
      </c>
      <c r="Q234" t="s">
        <v>26</v>
      </c>
      <c r="R234" s="105">
        <f>IF(Table__192.168.1.150_Daily_Delinquency_With_Sectors[[#This Row],[Days in Arrears]] &gt; 0, Table__192.168.1.150_Daily_Delinquency_With_Sectors[[#This Row],[Outstanding Balance]],0)</f>
        <v>1410988.6</v>
      </c>
      <c r="S234" s="105">
        <f>IF(Table__192.168.1.150_Daily_Delinquency_With_Sectors[[#This Row],[Days in Arrears]] &gt; 30, Table__192.168.1.150_Daily_Delinquency_With_Sectors[[#This Row],[Outstanding Balance]],0)</f>
        <v>1410988.6</v>
      </c>
      <c r="T234" s="105">
        <f>IF(Table__192.168.1.150_Daily_Delinquency_With_Sectors[[#This Row],[Days in Arrears]] &gt; 90, Table__192.168.1.150_Daily_Delinquency_With_Sectors[[#This Row],[Outstanding Balance]],0)</f>
        <v>0</v>
      </c>
      <c r="U234" s="109">
        <f>IF(Table__192.168.1.150_Daily_Delinquency_With_Sectors[[#This Row],[Days in Arrears]] &gt;= 1,1,0)</f>
        <v>1</v>
      </c>
      <c r="V234" s="109">
        <f>IF(Table__192.168.1.150_Daily_Delinquency_With_Sectors[[#This Row],[Days in Arrears]] &gt; 30,1,0)</f>
        <v>1</v>
      </c>
      <c r="W234" s="109">
        <f>IF(Table__192.168.1.150_Daily_Delinquency_With_Sectors[[#This Row],[Days in Arrears]] &gt; 90,1,0)</f>
        <v>0</v>
      </c>
    </row>
    <row r="235" spans="1:23" x14ac:dyDescent="0.25">
      <c r="A235" t="s">
        <v>899</v>
      </c>
      <c r="B235" t="s">
        <v>1281</v>
      </c>
      <c r="C235">
        <v>-7</v>
      </c>
      <c r="D235" s="105">
        <v>7825722.2000000002</v>
      </c>
      <c r="E235" t="s">
        <v>86</v>
      </c>
      <c r="F235" s="105">
        <v>200860.2</v>
      </c>
      <c r="G235" s="105">
        <v>9257939.2899999991</v>
      </c>
      <c r="H235" s="143">
        <v>42581.587760960647</v>
      </c>
      <c r="I235" s="143">
        <v>43313</v>
      </c>
      <c r="J235" t="s">
        <v>900</v>
      </c>
      <c r="K235" t="s">
        <v>1280</v>
      </c>
      <c r="L235" t="s">
        <v>1280</v>
      </c>
      <c r="M235">
        <v>102752</v>
      </c>
      <c r="N235" t="s">
        <v>894</v>
      </c>
      <c r="O235" t="s">
        <v>44</v>
      </c>
      <c r="P235" t="s">
        <v>92</v>
      </c>
      <c r="Q235" t="s">
        <v>26</v>
      </c>
      <c r="R235" s="105">
        <f>IF(Table__192.168.1.150_Daily_Delinquency_With_Sectors[[#This Row],[Days in Arrears]] &gt; 0, Table__192.168.1.150_Daily_Delinquency_With_Sectors[[#This Row],[Outstanding Balance]],0)</f>
        <v>0</v>
      </c>
      <c r="S235" s="105">
        <f>IF(Table__192.168.1.150_Daily_Delinquency_With_Sectors[[#This Row],[Days in Arrears]] &gt; 30, Table__192.168.1.150_Daily_Delinquency_With_Sectors[[#This Row],[Outstanding Balance]],0)</f>
        <v>0</v>
      </c>
      <c r="T235" s="105">
        <f>IF(Table__192.168.1.150_Daily_Delinquency_With_Sectors[[#This Row],[Days in Arrears]] &gt; 90, Table__192.168.1.150_Daily_Delinquency_With_Sectors[[#This Row],[Outstanding Balance]],0)</f>
        <v>0</v>
      </c>
      <c r="U235" s="109">
        <f>IF(Table__192.168.1.150_Daily_Delinquency_With_Sectors[[#This Row],[Days in Arrears]] &gt;= 1,1,0)</f>
        <v>0</v>
      </c>
      <c r="V235" s="109">
        <f>IF(Table__192.168.1.150_Daily_Delinquency_With_Sectors[[#This Row],[Days in Arrears]] &gt; 30,1,0)</f>
        <v>0</v>
      </c>
      <c r="W235" s="109">
        <f>IF(Table__192.168.1.150_Daily_Delinquency_With_Sectors[[#This Row],[Days in Arrears]] &gt; 90,1,0)</f>
        <v>0</v>
      </c>
    </row>
    <row r="236" spans="1:23" x14ac:dyDescent="0.25">
      <c r="A236" t="s">
        <v>1355</v>
      </c>
      <c r="B236" t="s">
        <v>1282</v>
      </c>
      <c r="C236">
        <v>23</v>
      </c>
      <c r="D236" s="105">
        <v>1298890.55</v>
      </c>
      <c r="E236" t="s">
        <v>1448</v>
      </c>
      <c r="F236" s="105">
        <v>51955.62</v>
      </c>
      <c r="G236" s="105">
        <v>1350846.17</v>
      </c>
      <c r="H236" s="143">
        <v>42581.697517592591</v>
      </c>
      <c r="I236" s="143">
        <v>43040</v>
      </c>
      <c r="J236" t="s">
        <v>749</v>
      </c>
      <c r="K236" t="s">
        <v>750</v>
      </c>
      <c r="L236" t="s">
        <v>1280</v>
      </c>
      <c r="M236">
        <v>102753</v>
      </c>
      <c r="N236" t="s">
        <v>748</v>
      </c>
      <c r="O236" t="s">
        <v>44</v>
      </c>
      <c r="P236" t="s">
        <v>75</v>
      </c>
      <c r="Q236" t="s">
        <v>26</v>
      </c>
      <c r="R236" s="105">
        <f>IF(Table__192.168.1.150_Daily_Delinquency_With_Sectors[[#This Row],[Days in Arrears]] &gt; 0, Table__192.168.1.150_Daily_Delinquency_With_Sectors[[#This Row],[Outstanding Balance]],0)</f>
        <v>1298890.55</v>
      </c>
      <c r="S236" s="105">
        <f>IF(Table__192.168.1.150_Daily_Delinquency_With_Sectors[[#This Row],[Days in Arrears]] &gt; 30, Table__192.168.1.150_Daily_Delinquency_With_Sectors[[#This Row],[Outstanding Balance]],0)</f>
        <v>0</v>
      </c>
      <c r="T236" s="105">
        <f>IF(Table__192.168.1.150_Daily_Delinquency_With_Sectors[[#This Row],[Days in Arrears]] &gt; 90, Table__192.168.1.150_Daily_Delinquency_With_Sectors[[#This Row],[Outstanding Balance]],0)</f>
        <v>0</v>
      </c>
      <c r="U236" s="109">
        <f>IF(Table__192.168.1.150_Daily_Delinquency_With_Sectors[[#This Row],[Days in Arrears]] &gt;= 1,1,0)</f>
        <v>1</v>
      </c>
      <c r="V236" s="109">
        <f>IF(Table__192.168.1.150_Daily_Delinquency_With_Sectors[[#This Row],[Days in Arrears]] &gt; 30,1,0)</f>
        <v>0</v>
      </c>
      <c r="W236" s="109">
        <f>IF(Table__192.168.1.150_Daily_Delinquency_With_Sectors[[#This Row],[Days in Arrears]] &gt; 90,1,0)</f>
        <v>0</v>
      </c>
    </row>
    <row r="237" spans="1:23" x14ac:dyDescent="0.25">
      <c r="A237" t="s">
        <v>896</v>
      </c>
      <c r="B237" t="s">
        <v>1282</v>
      </c>
      <c r="C237">
        <v>52</v>
      </c>
      <c r="D237" s="105">
        <v>4251163.26</v>
      </c>
      <c r="E237" t="s">
        <v>963</v>
      </c>
      <c r="F237" s="105">
        <v>158527.07</v>
      </c>
      <c r="G237" s="105">
        <v>4659379.1100000003</v>
      </c>
      <c r="H237" s="143">
        <v>42581.711515196759</v>
      </c>
      <c r="I237" s="143">
        <v>43133</v>
      </c>
      <c r="J237" t="s">
        <v>897</v>
      </c>
      <c r="K237" t="s">
        <v>898</v>
      </c>
      <c r="L237" t="s">
        <v>1280</v>
      </c>
      <c r="M237">
        <v>102754</v>
      </c>
      <c r="N237" t="s">
        <v>895</v>
      </c>
      <c r="O237" t="s">
        <v>25</v>
      </c>
      <c r="P237" t="s">
        <v>88</v>
      </c>
      <c r="Q237" t="s">
        <v>285</v>
      </c>
      <c r="R237" s="105">
        <f>IF(Table__192.168.1.150_Daily_Delinquency_With_Sectors[[#This Row],[Days in Arrears]] &gt; 0, Table__192.168.1.150_Daily_Delinquency_With_Sectors[[#This Row],[Outstanding Balance]],0)</f>
        <v>4251163.26</v>
      </c>
      <c r="S237" s="105">
        <f>IF(Table__192.168.1.150_Daily_Delinquency_With_Sectors[[#This Row],[Days in Arrears]] &gt; 30, Table__192.168.1.150_Daily_Delinquency_With_Sectors[[#This Row],[Outstanding Balance]],0)</f>
        <v>4251163.26</v>
      </c>
      <c r="T237" s="105">
        <f>IF(Table__192.168.1.150_Daily_Delinquency_With_Sectors[[#This Row],[Days in Arrears]] &gt; 90, Table__192.168.1.150_Daily_Delinquency_With_Sectors[[#This Row],[Outstanding Balance]],0)</f>
        <v>0</v>
      </c>
      <c r="U237" s="109">
        <f>IF(Table__192.168.1.150_Daily_Delinquency_With_Sectors[[#This Row],[Days in Arrears]] &gt;= 1,1,0)</f>
        <v>1</v>
      </c>
      <c r="V237" s="109">
        <f>IF(Table__192.168.1.150_Daily_Delinquency_With_Sectors[[#This Row],[Days in Arrears]] &gt; 30,1,0)</f>
        <v>1</v>
      </c>
      <c r="W237" s="109">
        <f>IF(Table__192.168.1.150_Daily_Delinquency_With_Sectors[[#This Row],[Days in Arrears]] &gt; 90,1,0)</f>
        <v>0</v>
      </c>
    </row>
    <row r="238" spans="1:23" x14ac:dyDescent="0.25">
      <c r="A238" t="s">
        <v>475</v>
      </c>
      <c r="B238" t="s">
        <v>1283</v>
      </c>
      <c r="C238">
        <v>-7</v>
      </c>
      <c r="D238" s="105">
        <v>21909314.940000001</v>
      </c>
      <c r="E238" t="s">
        <v>468</v>
      </c>
      <c r="F238" s="105">
        <v>482004.93</v>
      </c>
      <c r="G238" s="105">
        <v>29847219.84</v>
      </c>
      <c r="H238" s="143">
        <v>42581.724880902781</v>
      </c>
      <c r="I238" s="143">
        <v>43678</v>
      </c>
      <c r="J238" t="s">
        <v>476</v>
      </c>
      <c r="K238" t="s">
        <v>477</v>
      </c>
      <c r="L238" t="s">
        <v>1280</v>
      </c>
      <c r="M238">
        <v>102755</v>
      </c>
      <c r="N238" t="s">
        <v>474</v>
      </c>
      <c r="O238" t="s">
        <v>45</v>
      </c>
      <c r="P238" t="s">
        <v>45</v>
      </c>
      <c r="Q238" t="s">
        <v>26</v>
      </c>
      <c r="R238" s="105">
        <f>IF(Table__192.168.1.150_Daily_Delinquency_With_Sectors[[#This Row],[Days in Arrears]] &gt; 0, Table__192.168.1.150_Daily_Delinquency_With_Sectors[[#This Row],[Outstanding Balance]],0)</f>
        <v>0</v>
      </c>
      <c r="S238" s="105">
        <f>IF(Table__192.168.1.150_Daily_Delinquency_With_Sectors[[#This Row],[Days in Arrears]] &gt; 30, Table__192.168.1.150_Daily_Delinquency_With_Sectors[[#This Row],[Outstanding Balance]],0)</f>
        <v>0</v>
      </c>
      <c r="T238" s="105">
        <f>IF(Table__192.168.1.150_Daily_Delinquency_With_Sectors[[#This Row],[Days in Arrears]] &gt; 90, Table__192.168.1.150_Daily_Delinquency_With_Sectors[[#This Row],[Outstanding Balance]],0)</f>
        <v>0</v>
      </c>
      <c r="U238" s="109">
        <f>IF(Table__192.168.1.150_Daily_Delinquency_With_Sectors[[#This Row],[Days in Arrears]] &gt;= 1,1,0)</f>
        <v>0</v>
      </c>
      <c r="V238" s="109">
        <f>IF(Table__192.168.1.150_Daily_Delinquency_With_Sectors[[#This Row],[Days in Arrears]] &gt; 30,1,0)</f>
        <v>0</v>
      </c>
      <c r="W238" s="109">
        <f>IF(Table__192.168.1.150_Daily_Delinquency_With_Sectors[[#This Row],[Days in Arrears]] &gt; 90,1,0)</f>
        <v>0</v>
      </c>
    </row>
    <row r="239" spans="1:23" x14ac:dyDescent="0.25">
      <c r="A239" t="s">
        <v>2638</v>
      </c>
      <c r="B239" t="s">
        <v>1279</v>
      </c>
      <c r="C239">
        <v>172</v>
      </c>
      <c r="D239" s="105">
        <v>1507342.24</v>
      </c>
      <c r="E239" t="s">
        <v>5726</v>
      </c>
      <c r="F239" s="105">
        <v>114038.28</v>
      </c>
      <c r="G239" s="105">
        <v>1644992.86</v>
      </c>
      <c r="H239" s="143">
        <v>42584.494557557868</v>
      </c>
      <c r="I239" s="143">
        <v>42949</v>
      </c>
      <c r="J239" t="s">
        <v>2639</v>
      </c>
      <c r="K239" t="s">
        <v>1280</v>
      </c>
      <c r="L239" t="s">
        <v>2640</v>
      </c>
      <c r="M239">
        <v>102756</v>
      </c>
      <c r="N239" t="s">
        <v>2637</v>
      </c>
      <c r="O239" t="s">
        <v>25</v>
      </c>
      <c r="P239" t="s">
        <v>88</v>
      </c>
      <c r="Q239" t="s">
        <v>285</v>
      </c>
      <c r="R239" s="105">
        <f>IF(Table__192.168.1.150_Daily_Delinquency_With_Sectors[[#This Row],[Days in Arrears]] &gt; 0, Table__192.168.1.150_Daily_Delinquency_With_Sectors[[#This Row],[Outstanding Balance]],0)</f>
        <v>1507342.24</v>
      </c>
      <c r="S239" s="105">
        <f>IF(Table__192.168.1.150_Daily_Delinquency_With_Sectors[[#This Row],[Days in Arrears]] &gt; 30, Table__192.168.1.150_Daily_Delinquency_With_Sectors[[#This Row],[Outstanding Balance]],0)</f>
        <v>1507342.24</v>
      </c>
      <c r="T239" s="105">
        <f>IF(Table__192.168.1.150_Daily_Delinquency_With_Sectors[[#This Row],[Days in Arrears]] &gt; 90, Table__192.168.1.150_Daily_Delinquency_With_Sectors[[#This Row],[Outstanding Balance]],0)</f>
        <v>1507342.24</v>
      </c>
      <c r="U239" s="109">
        <f>IF(Table__192.168.1.150_Daily_Delinquency_With_Sectors[[#This Row],[Days in Arrears]] &gt;= 1,1,0)</f>
        <v>1</v>
      </c>
      <c r="V239" s="109">
        <f>IF(Table__192.168.1.150_Daily_Delinquency_With_Sectors[[#This Row],[Days in Arrears]] &gt; 30,1,0)</f>
        <v>1</v>
      </c>
      <c r="W239" s="109">
        <f>IF(Table__192.168.1.150_Daily_Delinquency_With_Sectors[[#This Row],[Days in Arrears]] &gt; 90,1,0)</f>
        <v>1</v>
      </c>
    </row>
    <row r="240" spans="1:23" x14ac:dyDescent="0.25">
      <c r="A240" t="s">
        <v>2649</v>
      </c>
      <c r="B240" t="s">
        <v>1282</v>
      </c>
      <c r="C240">
        <v>11</v>
      </c>
      <c r="D240" s="105">
        <v>3884898.3</v>
      </c>
      <c r="E240" t="s">
        <v>1448</v>
      </c>
      <c r="F240" s="105">
        <v>219472.84</v>
      </c>
      <c r="G240" s="105">
        <v>4331562.88</v>
      </c>
      <c r="H240" s="143">
        <v>42586.573019594907</v>
      </c>
      <c r="I240" s="143">
        <v>43144</v>
      </c>
      <c r="J240" t="s">
        <v>2650</v>
      </c>
      <c r="K240" t="s">
        <v>2651</v>
      </c>
      <c r="L240" t="s">
        <v>1280</v>
      </c>
      <c r="M240">
        <v>102757</v>
      </c>
      <c r="N240" t="s">
        <v>2648</v>
      </c>
      <c r="O240" t="s">
        <v>44</v>
      </c>
      <c r="P240" t="s">
        <v>75</v>
      </c>
      <c r="Q240" t="s">
        <v>1442</v>
      </c>
      <c r="R240" s="105">
        <f>IF(Table__192.168.1.150_Daily_Delinquency_With_Sectors[[#This Row],[Days in Arrears]] &gt; 0, Table__192.168.1.150_Daily_Delinquency_With_Sectors[[#This Row],[Outstanding Balance]],0)</f>
        <v>3884898.3</v>
      </c>
      <c r="S240" s="105">
        <f>IF(Table__192.168.1.150_Daily_Delinquency_With_Sectors[[#This Row],[Days in Arrears]] &gt; 30, Table__192.168.1.150_Daily_Delinquency_With_Sectors[[#This Row],[Outstanding Balance]],0)</f>
        <v>0</v>
      </c>
      <c r="T240" s="105">
        <f>IF(Table__192.168.1.150_Daily_Delinquency_With_Sectors[[#This Row],[Days in Arrears]] &gt; 90, Table__192.168.1.150_Daily_Delinquency_With_Sectors[[#This Row],[Outstanding Balance]],0)</f>
        <v>0</v>
      </c>
      <c r="U240" s="109">
        <f>IF(Table__192.168.1.150_Daily_Delinquency_With_Sectors[[#This Row],[Days in Arrears]] &gt;= 1,1,0)</f>
        <v>1</v>
      </c>
      <c r="V240" s="109">
        <f>IF(Table__192.168.1.150_Daily_Delinquency_With_Sectors[[#This Row],[Days in Arrears]] &gt; 30,1,0)</f>
        <v>0</v>
      </c>
      <c r="W240" s="109">
        <f>IF(Table__192.168.1.150_Daily_Delinquency_With_Sectors[[#This Row],[Days in Arrears]] &gt; 90,1,0)</f>
        <v>0</v>
      </c>
    </row>
    <row r="241" spans="1:23" x14ac:dyDescent="0.25">
      <c r="A241" t="s">
        <v>799</v>
      </c>
      <c r="B241" t="s">
        <v>1283</v>
      </c>
      <c r="C241">
        <v>10</v>
      </c>
      <c r="D241" s="105">
        <v>29032086</v>
      </c>
      <c r="E241" t="s">
        <v>4684</v>
      </c>
      <c r="F241" s="105">
        <v>256405</v>
      </c>
      <c r="G241" s="105">
        <v>39354019.799999997</v>
      </c>
      <c r="H241" s="143">
        <v>42587.395447187497</v>
      </c>
      <c r="I241" s="143">
        <v>43691</v>
      </c>
      <c r="J241" t="s">
        <v>800</v>
      </c>
      <c r="K241" t="s">
        <v>801</v>
      </c>
      <c r="L241" t="s">
        <v>1280</v>
      </c>
      <c r="M241">
        <v>102759</v>
      </c>
      <c r="N241" t="s">
        <v>795</v>
      </c>
      <c r="O241" t="s">
        <v>25</v>
      </c>
      <c r="P241" t="s">
        <v>289</v>
      </c>
      <c r="Q241" t="s">
        <v>26</v>
      </c>
      <c r="R241" s="105">
        <f>IF(Table__192.168.1.150_Daily_Delinquency_With_Sectors[[#This Row],[Days in Arrears]] &gt; 0, Table__192.168.1.150_Daily_Delinquency_With_Sectors[[#This Row],[Outstanding Balance]],0)</f>
        <v>29032086</v>
      </c>
      <c r="S241" s="105">
        <f>IF(Table__192.168.1.150_Daily_Delinquency_With_Sectors[[#This Row],[Days in Arrears]] &gt; 30, Table__192.168.1.150_Daily_Delinquency_With_Sectors[[#This Row],[Outstanding Balance]],0)</f>
        <v>0</v>
      </c>
      <c r="T241" s="105">
        <f>IF(Table__192.168.1.150_Daily_Delinquency_With_Sectors[[#This Row],[Days in Arrears]] &gt; 90, Table__192.168.1.150_Daily_Delinquency_With_Sectors[[#This Row],[Outstanding Balance]],0)</f>
        <v>0</v>
      </c>
      <c r="U241" s="109">
        <f>IF(Table__192.168.1.150_Daily_Delinquency_With_Sectors[[#This Row],[Days in Arrears]] &gt;= 1,1,0)</f>
        <v>1</v>
      </c>
      <c r="V241" s="109">
        <f>IF(Table__192.168.1.150_Daily_Delinquency_With_Sectors[[#This Row],[Days in Arrears]] &gt; 30,1,0)</f>
        <v>0</v>
      </c>
      <c r="W241" s="109">
        <f>IF(Table__192.168.1.150_Daily_Delinquency_With_Sectors[[#This Row],[Days in Arrears]] &gt; 90,1,0)</f>
        <v>0</v>
      </c>
    </row>
    <row r="242" spans="1:23" x14ac:dyDescent="0.25">
      <c r="A242" t="s">
        <v>771</v>
      </c>
      <c r="B242" t="s">
        <v>1281</v>
      </c>
      <c r="C242">
        <v>14</v>
      </c>
      <c r="D242" s="105">
        <v>10671998.07</v>
      </c>
      <c r="E242" t="s">
        <v>1191</v>
      </c>
      <c r="F242" s="105">
        <v>170139.1</v>
      </c>
      <c r="G242" s="105">
        <v>12737587.550000001</v>
      </c>
      <c r="H242" s="143">
        <v>42587.71225196759</v>
      </c>
      <c r="I242" s="143">
        <v>43322</v>
      </c>
      <c r="J242" t="s">
        <v>772</v>
      </c>
      <c r="K242" t="s">
        <v>1280</v>
      </c>
      <c r="L242" t="s">
        <v>1280</v>
      </c>
      <c r="M242">
        <v>102761</v>
      </c>
      <c r="N242" t="s">
        <v>767</v>
      </c>
      <c r="O242" t="s">
        <v>44</v>
      </c>
      <c r="P242" t="s">
        <v>92</v>
      </c>
      <c r="Q242" t="s">
        <v>26</v>
      </c>
      <c r="R242" s="105">
        <f>IF(Table__192.168.1.150_Daily_Delinquency_With_Sectors[[#This Row],[Days in Arrears]] &gt; 0, Table__192.168.1.150_Daily_Delinquency_With_Sectors[[#This Row],[Outstanding Balance]],0)</f>
        <v>10671998.07</v>
      </c>
      <c r="S242" s="105">
        <f>IF(Table__192.168.1.150_Daily_Delinquency_With_Sectors[[#This Row],[Days in Arrears]] &gt; 30, Table__192.168.1.150_Daily_Delinquency_With_Sectors[[#This Row],[Outstanding Balance]],0)</f>
        <v>0</v>
      </c>
      <c r="T242" s="105">
        <f>IF(Table__192.168.1.150_Daily_Delinquency_With_Sectors[[#This Row],[Days in Arrears]] &gt; 90, Table__192.168.1.150_Daily_Delinquency_With_Sectors[[#This Row],[Outstanding Balance]],0)</f>
        <v>0</v>
      </c>
      <c r="U242" s="109">
        <f>IF(Table__192.168.1.150_Daily_Delinquency_With_Sectors[[#This Row],[Days in Arrears]] &gt;= 1,1,0)</f>
        <v>1</v>
      </c>
      <c r="V242" s="109">
        <f>IF(Table__192.168.1.150_Daily_Delinquency_With_Sectors[[#This Row],[Days in Arrears]] &gt; 30,1,0)</f>
        <v>0</v>
      </c>
      <c r="W242" s="109">
        <f>IF(Table__192.168.1.150_Daily_Delinquency_With_Sectors[[#This Row],[Days in Arrears]] &gt; 90,1,0)</f>
        <v>0</v>
      </c>
    </row>
    <row r="243" spans="1:23" x14ac:dyDescent="0.25">
      <c r="A243" t="s">
        <v>2660</v>
      </c>
      <c r="B243" t="s">
        <v>1279</v>
      </c>
      <c r="C243">
        <v>106</v>
      </c>
      <c r="D243" s="105">
        <v>425686.41</v>
      </c>
      <c r="E243" t="s">
        <v>5725</v>
      </c>
      <c r="F243" s="105">
        <v>0</v>
      </c>
      <c r="G243" s="105">
        <v>425686.41</v>
      </c>
      <c r="H243" s="143">
        <v>42590.682513657404</v>
      </c>
      <c r="I243" s="143">
        <v>42955</v>
      </c>
      <c r="J243" t="s">
        <v>2661</v>
      </c>
      <c r="K243" t="s">
        <v>1280</v>
      </c>
      <c r="L243" t="s">
        <v>1280</v>
      </c>
      <c r="M243">
        <v>102765</v>
      </c>
      <c r="N243" t="s">
        <v>2659</v>
      </c>
      <c r="O243" t="s">
        <v>27</v>
      </c>
      <c r="P243" t="s">
        <v>81</v>
      </c>
      <c r="R243" s="105">
        <f>IF(Table__192.168.1.150_Daily_Delinquency_With_Sectors[[#This Row],[Days in Arrears]] &gt; 0, Table__192.168.1.150_Daily_Delinquency_With_Sectors[[#This Row],[Outstanding Balance]],0)</f>
        <v>425686.41</v>
      </c>
      <c r="S243" s="105">
        <f>IF(Table__192.168.1.150_Daily_Delinquency_With_Sectors[[#This Row],[Days in Arrears]] &gt; 30, Table__192.168.1.150_Daily_Delinquency_With_Sectors[[#This Row],[Outstanding Balance]],0)</f>
        <v>425686.41</v>
      </c>
      <c r="T243" s="105">
        <f>IF(Table__192.168.1.150_Daily_Delinquency_With_Sectors[[#This Row],[Days in Arrears]] &gt; 90, Table__192.168.1.150_Daily_Delinquency_With_Sectors[[#This Row],[Outstanding Balance]],0)</f>
        <v>425686.41</v>
      </c>
      <c r="U243" s="109">
        <f>IF(Table__192.168.1.150_Daily_Delinquency_With_Sectors[[#This Row],[Days in Arrears]] &gt;= 1,1,0)</f>
        <v>1</v>
      </c>
      <c r="V243" s="109">
        <f>IF(Table__192.168.1.150_Daily_Delinquency_With_Sectors[[#This Row],[Days in Arrears]] &gt; 30,1,0)</f>
        <v>1</v>
      </c>
      <c r="W243" s="109">
        <f>IF(Table__192.168.1.150_Daily_Delinquency_With_Sectors[[#This Row],[Days in Arrears]] &gt; 90,1,0)</f>
        <v>1</v>
      </c>
    </row>
    <row r="244" spans="1:23" x14ac:dyDescent="0.25">
      <c r="A244" t="s">
        <v>2702</v>
      </c>
      <c r="B244" t="s">
        <v>1866</v>
      </c>
      <c r="C244">
        <v>191</v>
      </c>
      <c r="D244" s="105">
        <v>5152490.5599999996</v>
      </c>
      <c r="E244" t="s">
        <v>5725</v>
      </c>
      <c r="F244" s="105">
        <v>407526.72</v>
      </c>
      <c r="G244" s="105">
        <v>6405370.2599999998</v>
      </c>
      <c r="H244" s="143">
        <v>42595.561834108797</v>
      </c>
      <c r="I244" s="143">
        <v>43144</v>
      </c>
      <c r="J244" t="s">
        <v>2703</v>
      </c>
      <c r="K244" t="s">
        <v>1280</v>
      </c>
      <c r="L244" t="s">
        <v>1280</v>
      </c>
      <c r="M244">
        <v>102769</v>
      </c>
      <c r="N244" t="s">
        <v>2701</v>
      </c>
      <c r="O244" t="s">
        <v>44</v>
      </c>
      <c r="P244" t="s">
        <v>75</v>
      </c>
      <c r="Q244" t="s">
        <v>26</v>
      </c>
      <c r="R244" s="105">
        <f>IF(Table__192.168.1.150_Daily_Delinquency_With_Sectors[[#This Row],[Days in Arrears]] &gt; 0, Table__192.168.1.150_Daily_Delinquency_With_Sectors[[#This Row],[Outstanding Balance]],0)</f>
        <v>5152490.5599999996</v>
      </c>
      <c r="S244" s="105">
        <f>IF(Table__192.168.1.150_Daily_Delinquency_With_Sectors[[#This Row],[Days in Arrears]] &gt; 30, Table__192.168.1.150_Daily_Delinquency_With_Sectors[[#This Row],[Outstanding Balance]],0)</f>
        <v>5152490.5599999996</v>
      </c>
      <c r="T244" s="105">
        <f>IF(Table__192.168.1.150_Daily_Delinquency_With_Sectors[[#This Row],[Days in Arrears]] &gt; 90, Table__192.168.1.150_Daily_Delinquency_With_Sectors[[#This Row],[Outstanding Balance]],0)</f>
        <v>5152490.5599999996</v>
      </c>
      <c r="U244" s="109">
        <f>IF(Table__192.168.1.150_Daily_Delinquency_With_Sectors[[#This Row],[Days in Arrears]] &gt;= 1,1,0)</f>
        <v>1</v>
      </c>
      <c r="V244" s="109">
        <f>IF(Table__192.168.1.150_Daily_Delinquency_With_Sectors[[#This Row],[Days in Arrears]] &gt; 30,1,0)</f>
        <v>1</v>
      </c>
      <c r="W244" s="109">
        <f>IF(Table__192.168.1.150_Daily_Delinquency_With_Sectors[[#This Row],[Days in Arrears]] &gt; 90,1,0)</f>
        <v>1</v>
      </c>
    </row>
    <row r="245" spans="1:23" x14ac:dyDescent="0.25">
      <c r="A245" t="s">
        <v>825</v>
      </c>
      <c r="B245" t="s">
        <v>1283</v>
      </c>
      <c r="C245">
        <v>-26</v>
      </c>
      <c r="D245" s="105">
        <v>17878010.98</v>
      </c>
      <c r="E245" t="s">
        <v>86</v>
      </c>
      <c r="F245" s="105">
        <v>53634.03</v>
      </c>
      <c r="G245" s="105">
        <v>20665277.149999999</v>
      </c>
      <c r="H245" s="143">
        <v>42605.457988043985</v>
      </c>
      <c r="I245" s="143">
        <v>43332</v>
      </c>
      <c r="J245" t="s">
        <v>826</v>
      </c>
      <c r="K245" t="s">
        <v>827</v>
      </c>
      <c r="L245" t="s">
        <v>1280</v>
      </c>
      <c r="M245">
        <v>102776</v>
      </c>
      <c r="N245" t="s">
        <v>823</v>
      </c>
      <c r="O245" t="s">
        <v>25</v>
      </c>
      <c r="P245" t="s">
        <v>101</v>
      </c>
      <c r="Q245" t="s">
        <v>95</v>
      </c>
      <c r="R245" s="105">
        <f>IF(Table__192.168.1.150_Daily_Delinquency_With_Sectors[[#This Row],[Days in Arrears]] &gt; 0, Table__192.168.1.150_Daily_Delinquency_With_Sectors[[#This Row],[Outstanding Balance]],0)</f>
        <v>0</v>
      </c>
      <c r="S245" s="105">
        <f>IF(Table__192.168.1.150_Daily_Delinquency_With_Sectors[[#This Row],[Days in Arrears]] &gt; 30, Table__192.168.1.150_Daily_Delinquency_With_Sectors[[#This Row],[Outstanding Balance]],0)</f>
        <v>0</v>
      </c>
      <c r="T245" s="105">
        <f>IF(Table__192.168.1.150_Daily_Delinquency_With_Sectors[[#This Row],[Days in Arrears]] &gt; 90, Table__192.168.1.150_Daily_Delinquency_With_Sectors[[#This Row],[Outstanding Balance]],0)</f>
        <v>0</v>
      </c>
      <c r="U245" s="109">
        <f>IF(Table__192.168.1.150_Daily_Delinquency_With_Sectors[[#This Row],[Days in Arrears]] &gt;= 1,1,0)</f>
        <v>0</v>
      </c>
      <c r="V245" s="109">
        <f>IF(Table__192.168.1.150_Daily_Delinquency_With_Sectors[[#This Row],[Days in Arrears]] &gt; 30,1,0)</f>
        <v>0</v>
      </c>
      <c r="W245" s="109">
        <f>IF(Table__192.168.1.150_Daily_Delinquency_With_Sectors[[#This Row],[Days in Arrears]] &gt; 90,1,0)</f>
        <v>0</v>
      </c>
    </row>
    <row r="246" spans="1:23" x14ac:dyDescent="0.25">
      <c r="A246" t="s">
        <v>2749</v>
      </c>
      <c r="B246" t="s">
        <v>1284</v>
      </c>
      <c r="C246">
        <v>91</v>
      </c>
      <c r="D246" s="105">
        <v>7282420.3399999999</v>
      </c>
      <c r="E246" t="s">
        <v>1447</v>
      </c>
      <c r="F246" s="105">
        <v>237728.61</v>
      </c>
      <c r="G246" s="105">
        <v>8928018.4900000002</v>
      </c>
      <c r="H246" s="143">
        <v>42605.746936377313</v>
      </c>
      <c r="I246" s="143">
        <v>43335</v>
      </c>
      <c r="J246" t="s">
        <v>2750</v>
      </c>
      <c r="K246" t="s">
        <v>2751</v>
      </c>
      <c r="L246" t="s">
        <v>1280</v>
      </c>
      <c r="M246">
        <v>102778</v>
      </c>
      <c r="N246" t="s">
        <v>2746</v>
      </c>
      <c r="O246" t="s">
        <v>44</v>
      </c>
      <c r="P246" t="s">
        <v>75</v>
      </c>
      <c r="Q246" t="s">
        <v>1442</v>
      </c>
      <c r="R246" s="105">
        <f>IF(Table__192.168.1.150_Daily_Delinquency_With_Sectors[[#This Row],[Days in Arrears]] &gt; 0, Table__192.168.1.150_Daily_Delinquency_With_Sectors[[#This Row],[Outstanding Balance]],0)</f>
        <v>7282420.3399999999</v>
      </c>
      <c r="S246" s="105">
        <f>IF(Table__192.168.1.150_Daily_Delinquency_With_Sectors[[#This Row],[Days in Arrears]] &gt; 30, Table__192.168.1.150_Daily_Delinquency_With_Sectors[[#This Row],[Outstanding Balance]],0)</f>
        <v>7282420.3399999999</v>
      </c>
      <c r="T246" s="105">
        <f>IF(Table__192.168.1.150_Daily_Delinquency_With_Sectors[[#This Row],[Days in Arrears]] &gt; 90, Table__192.168.1.150_Daily_Delinquency_With_Sectors[[#This Row],[Outstanding Balance]],0)</f>
        <v>7282420.3399999999</v>
      </c>
      <c r="U246" s="109">
        <f>IF(Table__192.168.1.150_Daily_Delinquency_With_Sectors[[#This Row],[Days in Arrears]] &gt;= 1,1,0)</f>
        <v>1</v>
      </c>
      <c r="V246" s="109">
        <f>IF(Table__192.168.1.150_Daily_Delinquency_With_Sectors[[#This Row],[Days in Arrears]] &gt; 30,1,0)</f>
        <v>1</v>
      </c>
      <c r="W246" s="109">
        <f>IF(Table__192.168.1.150_Daily_Delinquency_With_Sectors[[#This Row],[Days in Arrears]] &gt; 90,1,0)</f>
        <v>1</v>
      </c>
    </row>
    <row r="247" spans="1:23" x14ac:dyDescent="0.25">
      <c r="A247" t="s">
        <v>1673</v>
      </c>
      <c r="B247" t="s">
        <v>1282</v>
      </c>
      <c r="C247">
        <v>23</v>
      </c>
      <c r="D247" s="105">
        <v>1877973.43</v>
      </c>
      <c r="E247" t="s">
        <v>1667</v>
      </c>
      <c r="F247" s="105">
        <v>103202.62</v>
      </c>
      <c r="G247" s="105">
        <v>1991388.3</v>
      </c>
      <c r="H247" s="143">
        <v>42608.746518171298</v>
      </c>
      <c r="I247" s="143">
        <v>43070</v>
      </c>
      <c r="J247" t="s">
        <v>1674</v>
      </c>
      <c r="K247" t="s">
        <v>1280</v>
      </c>
      <c r="L247" t="s">
        <v>1280</v>
      </c>
      <c r="M247">
        <v>102782</v>
      </c>
      <c r="N247" t="s">
        <v>1666</v>
      </c>
      <c r="O247" t="s">
        <v>27</v>
      </c>
      <c r="P247" t="s">
        <v>81</v>
      </c>
      <c r="Q247" t="s">
        <v>26</v>
      </c>
      <c r="R247" s="105">
        <f>IF(Table__192.168.1.150_Daily_Delinquency_With_Sectors[[#This Row],[Days in Arrears]] &gt; 0, Table__192.168.1.150_Daily_Delinquency_With_Sectors[[#This Row],[Outstanding Balance]],0)</f>
        <v>1877973.43</v>
      </c>
      <c r="S247" s="105">
        <f>IF(Table__192.168.1.150_Daily_Delinquency_With_Sectors[[#This Row],[Days in Arrears]] &gt; 30, Table__192.168.1.150_Daily_Delinquency_With_Sectors[[#This Row],[Outstanding Balance]],0)</f>
        <v>0</v>
      </c>
      <c r="T247" s="105">
        <f>IF(Table__192.168.1.150_Daily_Delinquency_With_Sectors[[#This Row],[Days in Arrears]] &gt; 90, Table__192.168.1.150_Daily_Delinquency_With_Sectors[[#This Row],[Outstanding Balance]],0)</f>
        <v>0</v>
      </c>
      <c r="U247" s="109">
        <f>IF(Table__192.168.1.150_Daily_Delinquency_With_Sectors[[#This Row],[Days in Arrears]] &gt;= 1,1,0)</f>
        <v>1</v>
      </c>
      <c r="V247" s="109">
        <f>IF(Table__192.168.1.150_Daily_Delinquency_With_Sectors[[#This Row],[Days in Arrears]] &gt; 30,1,0)</f>
        <v>0</v>
      </c>
      <c r="W247" s="109">
        <f>IF(Table__192.168.1.150_Daily_Delinquency_With_Sectors[[#This Row],[Days in Arrears]] &gt; 90,1,0)</f>
        <v>0</v>
      </c>
    </row>
    <row r="248" spans="1:23" x14ac:dyDescent="0.25">
      <c r="A248" t="s">
        <v>152</v>
      </c>
      <c r="B248" t="s">
        <v>1281</v>
      </c>
      <c r="C248">
        <v>-11</v>
      </c>
      <c r="D248" s="105">
        <v>16587575.98</v>
      </c>
      <c r="E248" t="s">
        <v>86</v>
      </c>
      <c r="F248" s="105">
        <v>348339.1</v>
      </c>
      <c r="G248" s="105">
        <v>21944654.52</v>
      </c>
      <c r="H248" s="143">
        <v>42609.577209027775</v>
      </c>
      <c r="I248" s="143">
        <v>43529</v>
      </c>
      <c r="J248" t="s">
        <v>153</v>
      </c>
      <c r="K248" t="s">
        <v>1280</v>
      </c>
      <c r="L248" t="s">
        <v>1280</v>
      </c>
      <c r="M248">
        <v>102784</v>
      </c>
      <c r="N248" t="s">
        <v>151</v>
      </c>
      <c r="O248" t="s">
        <v>44</v>
      </c>
      <c r="P248" t="s">
        <v>75</v>
      </c>
      <c r="Q248" t="s">
        <v>26</v>
      </c>
      <c r="R248" s="105">
        <f>IF(Table__192.168.1.150_Daily_Delinquency_With_Sectors[[#This Row],[Days in Arrears]] &gt; 0, Table__192.168.1.150_Daily_Delinquency_With_Sectors[[#This Row],[Outstanding Balance]],0)</f>
        <v>0</v>
      </c>
      <c r="S248" s="105">
        <f>IF(Table__192.168.1.150_Daily_Delinquency_With_Sectors[[#This Row],[Days in Arrears]] &gt; 30, Table__192.168.1.150_Daily_Delinquency_With_Sectors[[#This Row],[Outstanding Balance]],0)</f>
        <v>0</v>
      </c>
      <c r="T248" s="105">
        <f>IF(Table__192.168.1.150_Daily_Delinquency_With_Sectors[[#This Row],[Days in Arrears]] &gt; 90, Table__192.168.1.150_Daily_Delinquency_With_Sectors[[#This Row],[Outstanding Balance]],0)</f>
        <v>0</v>
      </c>
      <c r="U248" s="109">
        <f>IF(Table__192.168.1.150_Daily_Delinquency_With_Sectors[[#This Row],[Days in Arrears]] &gt;= 1,1,0)</f>
        <v>0</v>
      </c>
      <c r="V248" s="109">
        <f>IF(Table__192.168.1.150_Daily_Delinquency_With_Sectors[[#This Row],[Days in Arrears]] &gt; 30,1,0)</f>
        <v>0</v>
      </c>
      <c r="W248" s="109">
        <f>IF(Table__192.168.1.150_Daily_Delinquency_With_Sectors[[#This Row],[Days in Arrears]] &gt; 90,1,0)</f>
        <v>0</v>
      </c>
    </row>
    <row r="249" spans="1:23" x14ac:dyDescent="0.25">
      <c r="A249" t="s">
        <v>1416</v>
      </c>
      <c r="B249" t="s">
        <v>1283</v>
      </c>
      <c r="C249">
        <v>-9</v>
      </c>
      <c r="D249" s="105">
        <v>28551797.800000001</v>
      </c>
      <c r="E249" t="s">
        <v>86</v>
      </c>
      <c r="F249" s="105">
        <v>571035.96</v>
      </c>
      <c r="G249" s="105">
        <v>39414120.399999999</v>
      </c>
      <c r="H249" s="143">
        <v>42612.443188310186</v>
      </c>
      <c r="I249" s="143">
        <v>43711</v>
      </c>
      <c r="J249" t="s">
        <v>1417</v>
      </c>
      <c r="K249" t="s">
        <v>1418</v>
      </c>
      <c r="L249" t="s">
        <v>1280</v>
      </c>
      <c r="M249">
        <v>102787</v>
      </c>
      <c r="N249" t="s">
        <v>1415</v>
      </c>
      <c r="O249" t="s">
        <v>42</v>
      </c>
      <c r="P249" t="s">
        <v>1244</v>
      </c>
      <c r="Q249" t="s">
        <v>1813</v>
      </c>
      <c r="R249" s="105">
        <f>IF(Table__192.168.1.150_Daily_Delinquency_With_Sectors[[#This Row],[Days in Arrears]] &gt; 0, Table__192.168.1.150_Daily_Delinquency_With_Sectors[[#This Row],[Outstanding Balance]],0)</f>
        <v>0</v>
      </c>
      <c r="S249" s="105">
        <f>IF(Table__192.168.1.150_Daily_Delinquency_With_Sectors[[#This Row],[Days in Arrears]] &gt; 30, Table__192.168.1.150_Daily_Delinquency_With_Sectors[[#This Row],[Outstanding Balance]],0)</f>
        <v>0</v>
      </c>
      <c r="T249" s="105">
        <f>IF(Table__192.168.1.150_Daily_Delinquency_With_Sectors[[#This Row],[Days in Arrears]] &gt; 90, Table__192.168.1.150_Daily_Delinquency_With_Sectors[[#This Row],[Outstanding Balance]],0)</f>
        <v>0</v>
      </c>
      <c r="U249" s="109">
        <f>IF(Table__192.168.1.150_Daily_Delinquency_With_Sectors[[#This Row],[Days in Arrears]] &gt;= 1,1,0)</f>
        <v>0</v>
      </c>
      <c r="V249" s="109">
        <f>IF(Table__192.168.1.150_Daily_Delinquency_With_Sectors[[#This Row],[Days in Arrears]] &gt; 30,1,0)</f>
        <v>0</v>
      </c>
      <c r="W249" s="109">
        <f>IF(Table__192.168.1.150_Daily_Delinquency_With_Sectors[[#This Row],[Days in Arrears]] &gt; 90,1,0)</f>
        <v>0</v>
      </c>
    </row>
    <row r="250" spans="1:23" x14ac:dyDescent="0.25">
      <c r="A250" t="s">
        <v>2813</v>
      </c>
      <c r="B250" t="s">
        <v>1284</v>
      </c>
      <c r="C250">
        <v>-11</v>
      </c>
      <c r="D250" s="105">
        <v>9833312.0600000005</v>
      </c>
      <c r="E250" t="s">
        <v>2175</v>
      </c>
      <c r="F250" s="105">
        <v>196666.23999999999</v>
      </c>
      <c r="G250" s="105">
        <v>12846761.91</v>
      </c>
      <c r="H250" s="143">
        <v>42612.494395057867</v>
      </c>
      <c r="I250" s="143">
        <v>43529</v>
      </c>
      <c r="J250" t="s">
        <v>2814</v>
      </c>
      <c r="K250" t="s">
        <v>1280</v>
      </c>
      <c r="L250" t="s">
        <v>1280</v>
      </c>
      <c r="M250">
        <v>102788</v>
      </c>
      <c r="N250" t="s">
        <v>2806</v>
      </c>
      <c r="O250" t="s">
        <v>25</v>
      </c>
      <c r="P250" t="s">
        <v>101</v>
      </c>
      <c r="Q250" t="s">
        <v>26</v>
      </c>
      <c r="R250" s="105">
        <f>IF(Table__192.168.1.150_Daily_Delinquency_With_Sectors[[#This Row],[Days in Arrears]] &gt; 0, Table__192.168.1.150_Daily_Delinquency_With_Sectors[[#This Row],[Outstanding Balance]],0)</f>
        <v>0</v>
      </c>
      <c r="S250" s="105">
        <f>IF(Table__192.168.1.150_Daily_Delinquency_With_Sectors[[#This Row],[Days in Arrears]] &gt; 30, Table__192.168.1.150_Daily_Delinquency_With_Sectors[[#This Row],[Outstanding Balance]],0)</f>
        <v>0</v>
      </c>
      <c r="T250" s="105">
        <f>IF(Table__192.168.1.150_Daily_Delinquency_With_Sectors[[#This Row],[Days in Arrears]] &gt; 90, Table__192.168.1.150_Daily_Delinquency_With_Sectors[[#This Row],[Outstanding Balance]],0)</f>
        <v>0</v>
      </c>
      <c r="U250" s="109">
        <f>IF(Table__192.168.1.150_Daily_Delinquency_With_Sectors[[#This Row],[Days in Arrears]] &gt;= 1,1,0)</f>
        <v>0</v>
      </c>
      <c r="V250" s="109">
        <f>IF(Table__192.168.1.150_Daily_Delinquency_With_Sectors[[#This Row],[Days in Arrears]] &gt; 30,1,0)</f>
        <v>0</v>
      </c>
      <c r="W250" s="109">
        <f>IF(Table__192.168.1.150_Daily_Delinquency_With_Sectors[[#This Row],[Days in Arrears]] &gt; 90,1,0)</f>
        <v>0</v>
      </c>
    </row>
    <row r="251" spans="1:23" x14ac:dyDescent="0.25">
      <c r="A251" t="s">
        <v>2815</v>
      </c>
      <c r="B251" t="s">
        <v>1279</v>
      </c>
      <c r="C251">
        <v>111</v>
      </c>
      <c r="D251" s="105">
        <v>406767.94</v>
      </c>
      <c r="E251" t="s">
        <v>2494</v>
      </c>
      <c r="F251" s="105">
        <v>13754.13</v>
      </c>
      <c r="G251" s="105">
        <v>420996.35</v>
      </c>
      <c r="H251" s="143">
        <v>42612.721365590274</v>
      </c>
      <c r="I251" s="143">
        <v>42981</v>
      </c>
      <c r="J251" t="s">
        <v>2816</v>
      </c>
      <c r="K251" t="s">
        <v>2817</v>
      </c>
      <c r="L251" t="s">
        <v>1280</v>
      </c>
      <c r="M251">
        <v>102791</v>
      </c>
      <c r="N251" t="s">
        <v>2808</v>
      </c>
      <c r="O251" t="s">
        <v>25</v>
      </c>
      <c r="P251" t="s">
        <v>26</v>
      </c>
      <c r="Q251" t="s">
        <v>26</v>
      </c>
      <c r="R251" s="105">
        <f>IF(Table__192.168.1.150_Daily_Delinquency_With_Sectors[[#This Row],[Days in Arrears]] &gt; 0, Table__192.168.1.150_Daily_Delinquency_With_Sectors[[#This Row],[Outstanding Balance]],0)</f>
        <v>406767.94</v>
      </c>
      <c r="S251" s="105">
        <f>IF(Table__192.168.1.150_Daily_Delinquency_With_Sectors[[#This Row],[Days in Arrears]] &gt; 30, Table__192.168.1.150_Daily_Delinquency_With_Sectors[[#This Row],[Outstanding Balance]],0)</f>
        <v>406767.94</v>
      </c>
      <c r="T251" s="105">
        <f>IF(Table__192.168.1.150_Daily_Delinquency_With_Sectors[[#This Row],[Days in Arrears]] &gt; 90, Table__192.168.1.150_Daily_Delinquency_With_Sectors[[#This Row],[Outstanding Balance]],0)</f>
        <v>406767.94</v>
      </c>
      <c r="U251" s="109">
        <f>IF(Table__192.168.1.150_Daily_Delinquency_With_Sectors[[#This Row],[Days in Arrears]] &gt;= 1,1,0)</f>
        <v>1</v>
      </c>
      <c r="V251" s="109">
        <f>IF(Table__192.168.1.150_Daily_Delinquency_With_Sectors[[#This Row],[Days in Arrears]] &gt; 30,1,0)</f>
        <v>1</v>
      </c>
      <c r="W251" s="109">
        <f>IF(Table__192.168.1.150_Daily_Delinquency_With_Sectors[[#This Row],[Days in Arrears]] &gt; 90,1,0)</f>
        <v>1</v>
      </c>
    </row>
    <row r="252" spans="1:23" x14ac:dyDescent="0.25">
      <c r="A252" t="s">
        <v>2833</v>
      </c>
      <c r="B252" t="s">
        <v>1281</v>
      </c>
      <c r="C252">
        <v>-9</v>
      </c>
      <c r="D252" s="105">
        <v>14952391.619999999</v>
      </c>
      <c r="E252" t="s">
        <v>1191</v>
      </c>
      <c r="F252" s="105">
        <v>398730.44</v>
      </c>
      <c r="G252" s="105">
        <v>18434944.850000001</v>
      </c>
      <c r="H252" s="143">
        <v>42613.480887962964</v>
      </c>
      <c r="I252" s="143">
        <v>43346</v>
      </c>
      <c r="J252" t="s">
        <v>2834</v>
      </c>
      <c r="K252" t="s">
        <v>1280</v>
      </c>
      <c r="L252" t="s">
        <v>1280</v>
      </c>
      <c r="M252">
        <v>102793</v>
      </c>
      <c r="N252" t="s">
        <v>2831</v>
      </c>
      <c r="O252" t="s">
        <v>44</v>
      </c>
      <c r="P252" t="s">
        <v>75</v>
      </c>
      <c r="Q252" t="s">
        <v>26</v>
      </c>
      <c r="R252" s="105">
        <f>IF(Table__192.168.1.150_Daily_Delinquency_With_Sectors[[#This Row],[Days in Arrears]] &gt; 0, Table__192.168.1.150_Daily_Delinquency_With_Sectors[[#This Row],[Outstanding Balance]],0)</f>
        <v>0</v>
      </c>
      <c r="S252" s="105">
        <f>IF(Table__192.168.1.150_Daily_Delinquency_With_Sectors[[#This Row],[Days in Arrears]] &gt; 30, Table__192.168.1.150_Daily_Delinquency_With_Sectors[[#This Row],[Outstanding Balance]],0)</f>
        <v>0</v>
      </c>
      <c r="T252" s="105">
        <f>IF(Table__192.168.1.150_Daily_Delinquency_With_Sectors[[#This Row],[Days in Arrears]] &gt; 90, Table__192.168.1.150_Daily_Delinquency_With_Sectors[[#This Row],[Outstanding Balance]],0)</f>
        <v>0</v>
      </c>
      <c r="U252" s="109">
        <f>IF(Table__192.168.1.150_Daily_Delinquency_With_Sectors[[#This Row],[Days in Arrears]] &gt;= 1,1,0)</f>
        <v>0</v>
      </c>
      <c r="V252" s="109">
        <f>IF(Table__192.168.1.150_Daily_Delinquency_With_Sectors[[#This Row],[Days in Arrears]] &gt; 30,1,0)</f>
        <v>0</v>
      </c>
      <c r="W252" s="109">
        <f>IF(Table__192.168.1.150_Daily_Delinquency_With_Sectors[[#This Row],[Days in Arrears]] &gt; 90,1,0)</f>
        <v>0</v>
      </c>
    </row>
    <row r="253" spans="1:23" x14ac:dyDescent="0.25">
      <c r="A253" t="s">
        <v>1245</v>
      </c>
      <c r="B253" t="s">
        <v>1284</v>
      </c>
      <c r="C253">
        <v>19</v>
      </c>
      <c r="D253" s="105">
        <v>13672713.18</v>
      </c>
      <c r="E253" t="s">
        <v>491</v>
      </c>
      <c r="F253" s="105">
        <v>442470.59</v>
      </c>
      <c r="G253" s="105">
        <v>22022058.629999999</v>
      </c>
      <c r="H253" s="143">
        <v>42613.501085497686</v>
      </c>
      <c r="I253" s="143">
        <v>44079</v>
      </c>
      <c r="J253" t="s">
        <v>1246</v>
      </c>
      <c r="K253" t="s">
        <v>1280</v>
      </c>
      <c r="L253" t="s">
        <v>1280</v>
      </c>
      <c r="M253">
        <v>102795</v>
      </c>
      <c r="N253" t="s">
        <v>1239</v>
      </c>
      <c r="O253" t="s">
        <v>44</v>
      </c>
      <c r="P253" t="s">
        <v>75</v>
      </c>
      <c r="Q253" t="s">
        <v>26</v>
      </c>
      <c r="R253" s="105">
        <f>IF(Table__192.168.1.150_Daily_Delinquency_With_Sectors[[#This Row],[Days in Arrears]] &gt; 0, Table__192.168.1.150_Daily_Delinquency_With_Sectors[[#This Row],[Outstanding Balance]],0)</f>
        <v>13672713.18</v>
      </c>
      <c r="S253" s="105">
        <f>IF(Table__192.168.1.150_Daily_Delinquency_With_Sectors[[#This Row],[Days in Arrears]] &gt; 30, Table__192.168.1.150_Daily_Delinquency_With_Sectors[[#This Row],[Outstanding Balance]],0)</f>
        <v>0</v>
      </c>
      <c r="T253" s="105">
        <f>IF(Table__192.168.1.150_Daily_Delinquency_With_Sectors[[#This Row],[Days in Arrears]] &gt; 90, Table__192.168.1.150_Daily_Delinquency_With_Sectors[[#This Row],[Outstanding Balance]],0)</f>
        <v>0</v>
      </c>
      <c r="U253" s="109">
        <f>IF(Table__192.168.1.150_Daily_Delinquency_With_Sectors[[#This Row],[Days in Arrears]] &gt;= 1,1,0)</f>
        <v>1</v>
      </c>
      <c r="V253" s="109">
        <f>IF(Table__192.168.1.150_Daily_Delinquency_With_Sectors[[#This Row],[Days in Arrears]] &gt; 30,1,0)</f>
        <v>0</v>
      </c>
      <c r="W253" s="109">
        <f>IF(Table__192.168.1.150_Daily_Delinquency_With_Sectors[[#This Row],[Days in Arrears]] &gt; 90,1,0)</f>
        <v>0</v>
      </c>
    </row>
    <row r="254" spans="1:23" x14ac:dyDescent="0.25">
      <c r="A254" t="s">
        <v>2835</v>
      </c>
      <c r="B254" t="s">
        <v>1279</v>
      </c>
      <c r="C254">
        <v>111</v>
      </c>
      <c r="D254" s="105">
        <v>478281.87</v>
      </c>
      <c r="E254" t="s">
        <v>468</v>
      </c>
      <c r="F254" s="105">
        <v>16046.49</v>
      </c>
      <c r="G254" s="105">
        <v>494881.69</v>
      </c>
      <c r="H254" s="143">
        <v>42613.622245254628</v>
      </c>
      <c r="I254" s="143">
        <v>42981</v>
      </c>
      <c r="J254" t="s">
        <v>2836</v>
      </c>
      <c r="K254" t="s">
        <v>2837</v>
      </c>
      <c r="L254" t="s">
        <v>1280</v>
      </c>
      <c r="M254">
        <v>102796</v>
      </c>
      <c r="N254" t="s">
        <v>2830</v>
      </c>
      <c r="O254" t="s">
        <v>44</v>
      </c>
      <c r="P254" t="s">
        <v>75</v>
      </c>
      <c r="Q254" t="s">
        <v>26</v>
      </c>
      <c r="R254" s="105">
        <f>IF(Table__192.168.1.150_Daily_Delinquency_With_Sectors[[#This Row],[Days in Arrears]] &gt; 0, Table__192.168.1.150_Daily_Delinquency_With_Sectors[[#This Row],[Outstanding Balance]],0)</f>
        <v>478281.87</v>
      </c>
      <c r="S254" s="105">
        <f>IF(Table__192.168.1.150_Daily_Delinquency_With_Sectors[[#This Row],[Days in Arrears]] &gt; 30, Table__192.168.1.150_Daily_Delinquency_With_Sectors[[#This Row],[Outstanding Balance]],0)</f>
        <v>478281.87</v>
      </c>
      <c r="T254" s="105">
        <f>IF(Table__192.168.1.150_Daily_Delinquency_With_Sectors[[#This Row],[Days in Arrears]] &gt; 90, Table__192.168.1.150_Daily_Delinquency_With_Sectors[[#This Row],[Outstanding Balance]],0)</f>
        <v>478281.87</v>
      </c>
      <c r="U254" s="109">
        <f>IF(Table__192.168.1.150_Daily_Delinquency_With_Sectors[[#This Row],[Days in Arrears]] &gt;= 1,1,0)</f>
        <v>1</v>
      </c>
      <c r="V254" s="109">
        <f>IF(Table__192.168.1.150_Daily_Delinquency_With_Sectors[[#This Row],[Days in Arrears]] &gt; 30,1,0)</f>
        <v>1</v>
      </c>
      <c r="W254" s="109">
        <f>IF(Table__192.168.1.150_Daily_Delinquency_With_Sectors[[#This Row],[Days in Arrears]] &gt; 90,1,0)</f>
        <v>1</v>
      </c>
    </row>
    <row r="255" spans="1:23" x14ac:dyDescent="0.25">
      <c r="A255" t="s">
        <v>2838</v>
      </c>
      <c r="B255" t="s">
        <v>1279</v>
      </c>
      <c r="C255">
        <v>141</v>
      </c>
      <c r="D255" s="105">
        <v>302766.58</v>
      </c>
      <c r="E255" t="s">
        <v>86</v>
      </c>
      <c r="F255" s="105">
        <v>21873.37</v>
      </c>
      <c r="G255" s="105">
        <v>329692.13</v>
      </c>
      <c r="H255" s="143">
        <v>42613.657020451392</v>
      </c>
      <c r="I255" s="143">
        <v>42981</v>
      </c>
      <c r="J255" t="s">
        <v>2839</v>
      </c>
      <c r="K255" t="s">
        <v>2840</v>
      </c>
      <c r="L255" t="s">
        <v>1280</v>
      </c>
      <c r="M255">
        <v>102797</v>
      </c>
      <c r="N255" t="s">
        <v>2829</v>
      </c>
      <c r="O255" t="s">
        <v>44</v>
      </c>
      <c r="P255" t="s">
        <v>75</v>
      </c>
      <c r="Q255" t="s">
        <v>26</v>
      </c>
      <c r="R255" s="105">
        <f>IF(Table__192.168.1.150_Daily_Delinquency_With_Sectors[[#This Row],[Days in Arrears]] &gt; 0, Table__192.168.1.150_Daily_Delinquency_With_Sectors[[#This Row],[Outstanding Balance]],0)</f>
        <v>302766.58</v>
      </c>
      <c r="S255" s="105">
        <f>IF(Table__192.168.1.150_Daily_Delinquency_With_Sectors[[#This Row],[Days in Arrears]] &gt; 30, Table__192.168.1.150_Daily_Delinquency_With_Sectors[[#This Row],[Outstanding Balance]],0)</f>
        <v>302766.58</v>
      </c>
      <c r="T255" s="105">
        <f>IF(Table__192.168.1.150_Daily_Delinquency_With_Sectors[[#This Row],[Days in Arrears]] &gt; 90, Table__192.168.1.150_Daily_Delinquency_With_Sectors[[#This Row],[Outstanding Balance]],0)</f>
        <v>302766.58</v>
      </c>
      <c r="U255" s="109">
        <f>IF(Table__192.168.1.150_Daily_Delinquency_With_Sectors[[#This Row],[Days in Arrears]] &gt;= 1,1,0)</f>
        <v>1</v>
      </c>
      <c r="V255" s="109">
        <f>IF(Table__192.168.1.150_Daily_Delinquency_With_Sectors[[#This Row],[Days in Arrears]] &gt; 30,1,0)</f>
        <v>1</v>
      </c>
      <c r="W255" s="109">
        <f>IF(Table__192.168.1.150_Daily_Delinquency_With_Sectors[[#This Row],[Days in Arrears]] &gt; 90,1,0)</f>
        <v>1</v>
      </c>
    </row>
    <row r="256" spans="1:23" x14ac:dyDescent="0.25">
      <c r="A256" t="s">
        <v>2843</v>
      </c>
      <c r="B256" t="s">
        <v>1279</v>
      </c>
      <c r="C256">
        <v>141</v>
      </c>
      <c r="D256" s="105">
        <v>605533.28</v>
      </c>
      <c r="E256" t="s">
        <v>5725</v>
      </c>
      <c r="F256" s="105">
        <v>44469.86</v>
      </c>
      <c r="G256" s="105">
        <v>660107.5</v>
      </c>
      <c r="H256" s="143">
        <v>42613.756618981482</v>
      </c>
      <c r="I256" s="143">
        <v>42981</v>
      </c>
      <c r="J256" t="s">
        <v>2844</v>
      </c>
      <c r="K256" t="s">
        <v>1280</v>
      </c>
      <c r="L256" t="s">
        <v>1280</v>
      </c>
      <c r="M256">
        <v>102799</v>
      </c>
      <c r="N256" t="s">
        <v>2825</v>
      </c>
      <c r="O256" t="s">
        <v>25</v>
      </c>
      <c r="P256" t="s">
        <v>286</v>
      </c>
      <c r="Q256" t="s">
        <v>287</v>
      </c>
      <c r="R256" s="105">
        <f>IF(Table__192.168.1.150_Daily_Delinquency_With_Sectors[[#This Row],[Days in Arrears]] &gt; 0, Table__192.168.1.150_Daily_Delinquency_With_Sectors[[#This Row],[Outstanding Balance]],0)</f>
        <v>605533.28</v>
      </c>
      <c r="S256" s="105">
        <f>IF(Table__192.168.1.150_Daily_Delinquency_With_Sectors[[#This Row],[Days in Arrears]] &gt; 30, Table__192.168.1.150_Daily_Delinquency_With_Sectors[[#This Row],[Outstanding Balance]],0)</f>
        <v>605533.28</v>
      </c>
      <c r="T256" s="105">
        <f>IF(Table__192.168.1.150_Daily_Delinquency_With_Sectors[[#This Row],[Days in Arrears]] &gt; 90, Table__192.168.1.150_Daily_Delinquency_With_Sectors[[#This Row],[Outstanding Balance]],0)</f>
        <v>605533.28</v>
      </c>
      <c r="U256" s="109">
        <f>IF(Table__192.168.1.150_Daily_Delinquency_With_Sectors[[#This Row],[Days in Arrears]] &gt;= 1,1,0)</f>
        <v>1</v>
      </c>
      <c r="V256" s="109">
        <f>IF(Table__192.168.1.150_Daily_Delinquency_With_Sectors[[#This Row],[Days in Arrears]] &gt; 30,1,0)</f>
        <v>1</v>
      </c>
      <c r="W256" s="109">
        <f>IF(Table__192.168.1.150_Daily_Delinquency_With_Sectors[[#This Row],[Days in Arrears]] &gt; 90,1,0)</f>
        <v>1</v>
      </c>
    </row>
    <row r="257" spans="1:23" x14ac:dyDescent="0.25">
      <c r="A257" t="s">
        <v>2853</v>
      </c>
      <c r="B257" t="s">
        <v>1284</v>
      </c>
      <c r="C257">
        <v>21</v>
      </c>
      <c r="D257" s="105">
        <v>4359233.2699999996</v>
      </c>
      <c r="E257" t="s">
        <v>1467</v>
      </c>
      <c r="F257" s="105">
        <v>91427.49</v>
      </c>
      <c r="G257" s="105">
        <v>5150541.96</v>
      </c>
      <c r="H257" s="143">
        <v>42614.517180937502</v>
      </c>
      <c r="I257" s="143">
        <v>43346</v>
      </c>
      <c r="J257" t="s">
        <v>2854</v>
      </c>
      <c r="K257" t="s">
        <v>1280</v>
      </c>
      <c r="L257" t="s">
        <v>1280</v>
      </c>
      <c r="M257">
        <v>102801</v>
      </c>
      <c r="N257" t="s">
        <v>2852</v>
      </c>
      <c r="O257" t="s">
        <v>25</v>
      </c>
      <c r="P257" t="s">
        <v>106</v>
      </c>
      <c r="Q257" t="s">
        <v>704</v>
      </c>
      <c r="R257" s="105">
        <f>IF(Table__192.168.1.150_Daily_Delinquency_With_Sectors[[#This Row],[Days in Arrears]] &gt; 0, Table__192.168.1.150_Daily_Delinquency_With_Sectors[[#This Row],[Outstanding Balance]],0)</f>
        <v>4359233.2699999996</v>
      </c>
      <c r="S257" s="105">
        <f>IF(Table__192.168.1.150_Daily_Delinquency_With_Sectors[[#This Row],[Days in Arrears]] &gt; 30, Table__192.168.1.150_Daily_Delinquency_With_Sectors[[#This Row],[Outstanding Balance]],0)</f>
        <v>0</v>
      </c>
      <c r="T257" s="105">
        <f>IF(Table__192.168.1.150_Daily_Delinquency_With_Sectors[[#This Row],[Days in Arrears]] &gt; 90, Table__192.168.1.150_Daily_Delinquency_With_Sectors[[#This Row],[Outstanding Balance]],0)</f>
        <v>0</v>
      </c>
      <c r="U257" s="109">
        <f>IF(Table__192.168.1.150_Daily_Delinquency_With_Sectors[[#This Row],[Days in Arrears]] &gt;= 1,1,0)</f>
        <v>1</v>
      </c>
      <c r="V257" s="109">
        <f>IF(Table__192.168.1.150_Daily_Delinquency_With_Sectors[[#This Row],[Days in Arrears]] &gt; 30,1,0)</f>
        <v>0</v>
      </c>
      <c r="W257" s="109">
        <f>IF(Table__192.168.1.150_Daily_Delinquency_With_Sectors[[#This Row],[Days in Arrears]] &gt; 90,1,0)</f>
        <v>0</v>
      </c>
    </row>
    <row r="258" spans="1:23" x14ac:dyDescent="0.25">
      <c r="A258" t="s">
        <v>243</v>
      </c>
      <c r="B258" t="s">
        <v>1281</v>
      </c>
      <c r="C258">
        <v>-11</v>
      </c>
      <c r="D258" s="105">
        <v>8305057.8300000001</v>
      </c>
      <c r="E258" t="s">
        <v>86</v>
      </c>
      <c r="F258" s="105">
        <v>174406.21</v>
      </c>
      <c r="G258" s="105">
        <v>9986115.1199999992</v>
      </c>
      <c r="H258" s="143">
        <v>42616.578436493059</v>
      </c>
      <c r="I258" s="143">
        <v>43348</v>
      </c>
      <c r="J258" t="s">
        <v>244</v>
      </c>
      <c r="K258" t="s">
        <v>245</v>
      </c>
      <c r="L258" t="s">
        <v>1280</v>
      </c>
      <c r="M258">
        <v>102803</v>
      </c>
      <c r="N258" t="s">
        <v>84</v>
      </c>
      <c r="O258" t="s">
        <v>25</v>
      </c>
      <c r="P258" t="s">
        <v>26</v>
      </c>
      <c r="Q258" t="s">
        <v>26</v>
      </c>
      <c r="R258" s="105">
        <f>IF(Table__192.168.1.150_Daily_Delinquency_With_Sectors[[#This Row],[Days in Arrears]] &gt; 0, Table__192.168.1.150_Daily_Delinquency_With_Sectors[[#This Row],[Outstanding Balance]],0)</f>
        <v>0</v>
      </c>
      <c r="S258" s="105">
        <f>IF(Table__192.168.1.150_Daily_Delinquency_With_Sectors[[#This Row],[Days in Arrears]] &gt; 30, Table__192.168.1.150_Daily_Delinquency_With_Sectors[[#This Row],[Outstanding Balance]],0)</f>
        <v>0</v>
      </c>
      <c r="T258" s="105">
        <f>IF(Table__192.168.1.150_Daily_Delinquency_With_Sectors[[#This Row],[Days in Arrears]] &gt; 90, Table__192.168.1.150_Daily_Delinquency_With_Sectors[[#This Row],[Outstanding Balance]],0)</f>
        <v>0</v>
      </c>
      <c r="U258" s="109">
        <f>IF(Table__192.168.1.150_Daily_Delinquency_With_Sectors[[#This Row],[Days in Arrears]] &gt;= 1,1,0)</f>
        <v>0</v>
      </c>
      <c r="V258" s="109">
        <f>IF(Table__192.168.1.150_Daily_Delinquency_With_Sectors[[#This Row],[Days in Arrears]] &gt; 30,1,0)</f>
        <v>0</v>
      </c>
      <c r="W258" s="109">
        <f>IF(Table__192.168.1.150_Daily_Delinquency_With_Sectors[[#This Row],[Days in Arrears]] &gt; 90,1,0)</f>
        <v>0</v>
      </c>
    </row>
    <row r="259" spans="1:23" x14ac:dyDescent="0.25">
      <c r="A259" t="s">
        <v>998</v>
      </c>
      <c r="B259" t="s">
        <v>1284</v>
      </c>
      <c r="C259">
        <v>14</v>
      </c>
      <c r="D259" s="105">
        <v>18829491.420000002</v>
      </c>
      <c r="E259" t="s">
        <v>491</v>
      </c>
      <c r="F259" s="105">
        <v>802125.4</v>
      </c>
      <c r="G259" s="105">
        <v>26337181.809999999</v>
      </c>
      <c r="H259" s="143">
        <v>42623.615724421295</v>
      </c>
      <c r="I259" s="143">
        <v>43718</v>
      </c>
      <c r="J259" t="s">
        <v>999</v>
      </c>
      <c r="K259" t="s">
        <v>1000</v>
      </c>
      <c r="L259" t="s">
        <v>1280</v>
      </c>
      <c r="M259">
        <v>102807</v>
      </c>
      <c r="N259" t="s">
        <v>993</v>
      </c>
      <c r="O259" t="s">
        <v>36</v>
      </c>
      <c r="P259" t="s">
        <v>97</v>
      </c>
      <c r="Q259" t="s">
        <v>98</v>
      </c>
      <c r="R259" s="105">
        <f>IF(Table__192.168.1.150_Daily_Delinquency_With_Sectors[[#This Row],[Days in Arrears]] &gt; 0, Table__192.168.1.150_Daily_Delinquency_With_Sectors[[#This Row],[Outstanding Balance]],0)</f>
        <v>18829491.420000002</v>
      </c>
      <c r="S259" s="105">
        <f>IF(Table__192.168.1.150_Daily_Delinquency_With_Sectors[[#This Row],[Days in Arrears]] &gt; 30, Table__192.168.1.150_Daily_Delinquency_With_Sectors[[#This Row],[Outstanding Balance]],0)</f>
        <v>0</v>
      </c>
      <c r="T259" s="105">
        <f>IF(Table__192.168.1.150_Daily_Delinquency_With_Sectors[[#This Row],[Days in Arrears]] &gt; 90, Table__192.168.1.150_Daily_Delinquency_With_Sectors[[#This Row],[Outstanding Balance]],0)</f>
        <v>0</v>
      </c>
      <c r="U259" s="109">
        <f>IF(Table__192.168.1.150_Daily_Delinquency_With_Sectors[[#This Row],[Days in Arrears]] &gt;= 1,1,0)</f>
        <v>1</v>
      </c>
      <c r="V259" s="109">
        <f>IF(Table__192.168.1.150_Daily_Delinquency_With_Sectors[[#This Row],[Days in Arrears]] &gt; 30,1,0)</f>
        <v>0</v>
      </c>
      <c r="W259" s="109">
        <f>IF(Table__192.168.1.150_Daily_Delinquency_With_Sectors[[#This Row],[Days in Arrears]] &gt; 90,1,0)</f>
        <v>0</v>
      </c>
    </row>
    <row r="260" spans="1:23" x14ac:dyDescent="0.25">
      <c r="A260" t="s">
        <v>2238</v>
      </c>
      <c r="B260" t="s">
        <v>1281</v>
      </c>
      <c r="C260">
        <v>-19</v>
      </c>
      <c r="D260" s="105">
        <v>4587800.0999999996</v>
      </c>
      <c r="E260" t="s">
        <v>468</v>
      </c>
      <c r="F260" s="105">
        <v>61170.67</v>
      </c>
      <c r="G260" s="105">
        <v>5055573.0199999996</v>
      </c>
      <c r="H260" s="143">
        <v>42626.617915509261</v>
      </c>
      <c r="I260" s="143">
        <v>43172</v>
      </c>
      <c r="J260" t="s">
        <v>2239</v>
      </c>
      <c r="K260" t="s">
        <v>1280</v>
      </c>
      <c r="L260" t="s">
        <v>1280</v>
      </c>
      <c r="M260">
        <v>102809</v>
      </c>
      <c r="N260" t="s">
        <v>2233</v>
      </c>
      <c r="O260" t="s">
        <v>36</v>
      </c>
      <c r="P260" t="s">
        <v>97</v>
      </c>
      <c r="Q260" t="s">
        <v>98</v>
      </c>
      <c r="R260" s="105">
        <f>IF(Table__192.168.1.150_Daily_Delinquency_With_Sectors[[#This Row],[Days in Arrears]] &gt; 0, Table__192.168.1.150_Daily_Delinquency_With_Sectors[[#This Row],[Outstanding Balance]],0)</f>
        <v>0</v>
      </c>
      <c r="S260" s="105">
        <f>IF(Table__192.168.1.150_Daily_Delinquency_With_Sectors[[#This Row],[Days in Arrears]] &gt; 30, Table__192.168.1.150_Daily_Delinquency_With_Sectors[[#This Row],[Outstanding Balance]],0)</f>
        <v>0</v>
      </c>
      <c r="T260" s="105">
        <f>IF(Table__192.168.1.150_Daily_Delinquency_With_Sectors[[#This Row],[Days in Arrears]] &gt; 90, Table__192.168.1.150_Daily_Delinquency_With_Sectors[[#This Row],[Outstanding Balance]],0)</f>
        <v>0</v>
      </c>
      <c r="U260" s="109">
        <f>IF(Table__192.168.1.150_Daily_Delinquency_With_Sectors[[#This Row],[Days in Arrears]] &gt;= 1,1,0)</f>
        <v>0</v>
      </c>
      <c r="V260" s="109">
        <f>IF(Table__192.168.1.150_Daily_Delinquency_With_Sectors[[#This Row],[Days in Arrears]] &gt; 30,1,0)</f>
        <v>0</v>
      </c>
      <c r="W260" s="109">
        <f>IF(Table__192.168.1.150_Daily_Delinquency_With_Sectors[[#This Row],[Days in Arrears]] &gt; 90,1,0)</f>
        <v>0</v>
      </c>
    </row>
    <row r="261" spans="1:23" x14ac:dyDescent="0.25">
      <c r="A261" t="s">
        <v>2911</v>
      </c>
      <c r="B261" t="s">
        <v>1282</v>
      </c>
      <c r="C261">
        <v>9</v>
      </c>
      <c r="D261" s="105">
        <v>5883846.4699999997</v>
      </c>
      <c r="E261" t="s">
        <v>86</v>
      </c>
      <c r="F261" s="105">
        <v>237774.93</v>
      </c>
      <c r="G261" s="105">
        <v>7496070.1500000004</v>
      </c>
      <c r="H261" s="143">
        <v>42628.641779942132</v>
      </c>
      <c r="I261" s="143">
        <v>43358</v>
      </c>
      <c r="J261" t="s">
        <v>2912</v>
      </c>
      <c r="K261" t="s">
        <v>1280</v>
      </c>
      <c r="L261" t="s">
        <v>1280</v>
      </c>
      <c r="M261">
        <v>102812</v>
      </c>
      <c r="N261" t="s">
        <v>2910</v>
      </c>
      <c r="O261" t="s">
        <v>36</v>
      </c>
      <c r="P261" t="s">
        <v>97</v>
      </c>
      <c r="Q261" t="s">
        <v>98</v>
      </c>
      <c r="R261" s="105">
        <f>IF(Table__192.168.1.150_Daily_Delinquency_With_Sectors[[#This Row],[Days in Arrears]] &gt; 0, Table__192.168.1.150_Daily_Delinquency_With_Sectors[[#This Row],[Outstanding Balance]],0)</f>
        <v>5883846.4699999997</v>
      </c>
      <c r="S261" s="105">
        <f>IF(Table__192.168.1.150_Daily_Delinquency_With_Sectors[[#This Row],[Days in Arrears]] &gt; 30, Table__192.168.1.150_Daily_Delinquency_With_Sectors[[#This Row],[Outstanding Balance]],0)</f>
        <v>0</v>
      </c>
      <c r="T261" s="105">
        <f>IF(Table__192.168.1.150_Daily_Delinquency_With_Sectors[[#This Row],[Days in Arrears]] &gt; 90, Table__192.168.1.150_Daily_Delinquency_With_Sectors[[#This Row],[Outstanding Balance]],0)</f>
        <v>0</v>
      </c>
      <c r="U261" s="109">
        <f>IF(Table__192.168.1.150_Daily_Delinquency_With_Sectors[[#This Row],[Days in Arrears]] &gt;= 1,1,0)</f>
        <v>1</v>
      </c>
      <c r="V261" s="109">
        <f>IF(Table__192.168.1.150_Daily_Delinquency_With_Sectors[[#This Row],[Days in Arrears]] &gt; 30,1,0)</f>
        <v>0</v>
      </c>
      <c r="W261" s="109">
        <f>IF(Table__192.168.1.150_Daily_Delinquency_With_Sectors[[#This Row],[Days in Arrears]] &gt; 90,1,0)</f>
        <v>0</v>
      </c>
    </row>
    <row r="262" spans="1:23" x14ac:dyDescent="0.25">
      <c r="A262" t="s">
        <v>1592</v>
      </c>
      <c r="B262" t="s">
        <v>1284</v>
      </c>
      <c r="C262">
        <v>8</v>
      </c>
      <c r="D262" s="105">
        <v>32315820.850000001</v>
      </c>
      <c r="E262" t="s">
        <v>546</v>
      </c>
      <c r="F262" s="105">
        <v>1191944.01</v>
      </c>
      <c r="G262" s="105">
        <v>52638439.539999999</v>
      </c>
      <c r="H262" s="143">
        <v>42629.37976851852</v>
      </c>
      <c r="I262" s="143">
        <v>44090</v>
      </c>
      <c r="J262" t="s">
        <v>1593</v>
      </c>
      <c r="K262" t="s">
        <v>1280</v>
      </c>
      <c r="L262" t="s">
        <v>1280</v>
      </c>
      <c r="M262">
        <v>102813</v>
      </c>
      <c r="N262" t="s">
        <v>1563</v>
      </c>
      <c r="O262" t="s">
        <v>44</v>
      </c>
      <c r="P262" t="s">
        <v>75</v>
      </c>
      <c r="Q262" t="s">
        <v>26</v>
      </c>
      <c r="R262" s="105">
        <f>IF(Table__192.168.1.150_Daily_Delinquency_With_Sectors[[#This Row],[Days in Arrears]] &gt; 0, Table__192.168.1.150_Daily_Delinquency_With_Sectors[[#This Row],[Outstanding Balance]],0)</f>
        <v>32315820.850000001</v>
      </c>
      <c r="S262" s="105">
        <f>IF(Table__192.168.1.150_Daily_Delinquency_With_Sectors[[#This Row],[Days in Arrears]] &gt; 30, Table__192.168.1.150_Daily_Delinquency_With_Sectors[[#This Row],[Outstanding Balance]],0)</f>
        <v>0</v>
      </c>
      <c r="T262" s="105">
        <f>IF(Table__192.168.1.150_Daily_Delinquency_With_Sectors[[#This Row],[Days in Arrears]] &gt; 90, Table__192.168.1.150_Daily_Delinquency_With_Sectors[[#This Row],[Outstanding Balance]],0)</f>
        <v>0</v>
      </c>
      <c r="U262" s="109">
        <f>IF(Table__192.168.1.150_Daily_Delinquency_With_Sectors[[#This Row],[Days in Arrears]] &gt;= 1,1,0)</f>
        <v>1</v>
      </c>
      <c r="V262" s="109">
        <f>IF(Table__192.168.1.150_Daily_Delinquency_With_Sectors[[#This Row],[Days in Arrears]] &gt; 30,1,0)</f>
        <v>0</v>
      </c>
      <c r="W262" s="109">
        <f>IF(Table__192.168.1.150_Daily_Delinquency_With_Sectors[[#This Row],[Days in Arrears]] &gt; 90,1,0)</f>
        <v>0</v>
      </c>
    </row>
    <row r="263" spans="1:23" x14ac:dyDescent="0.25">
      <c r="A263" t="s">
        <v>2918</v>
      </c>
      <c r="B263" t="s">
        <v>1279</v>
      </c>
      <c r="C263">
        <v>68</v>
      </c>
      <c r="D263" s="105">
        <v>1973998.11</v>
      </c>
      <c r="E263" t="s">
        <v>1467</v>
      </c>
      <c r="F263" s="105">
        <v>119368.67</v>
      </c>
      <c r="G263" s="105">
        <v>2157279.86</v>
      </c>
      <c r="H263" s="143">
        <v>42629.536900312502</v>
      </c>
      <c r="I263" s="143">
        <v>43085</v>
      </c>
      <c r="J263" t="s">
        <v>2919</v>
      </c>
      <c r="K263" t="s">
        <v>2920</v>
      </c>
      <c r="L263" t="s">
        <v>1280</v>
      </c>
      <c r="M263">
        <v>102815</v>
      </c>
      <c r="N263" t="s">
        <v>2917</v>
      </c>
      <c r="O263" t="s">
        <v>25</v>
      </c>
      <c r="P263" t="s">
        <v>103</v>
      </c>
      <c r="Q263" t="s">
        <v>104</v>
      </c>
      <c r="R263" s="105">
        <f>IF(Table__192.168.1.150_Daily_Delinquency_With_Sectors[[#This Row],[Days in Arrears]] &gt; 0, Table__192.168.1.150_Daily_Delinquency_With_Sectors[[#This Row],[Outstanding Balance]],0)</f>
        <v>1973998.11</v>
      </c>
      <c r="S263" s="105">
        <f>IF(Table__192.168.1.150_Daily_Delinquency_With_Sectors[[#This Row],[Days in Arrears]] &gt; 30, Table__192.168.1.150_Daily_Delinquency_With_Sectors[[#This Row],[Outstanding Balance]],0)</f>
        <v>1973998.11</v>
      </c>
      <c r="T263" s="105">
        <f>IF(Table__192.168.1.150_Daily_Delinquency_With_Sectors[[#This Row],[Days in Arrears]] &gt; 90, Table__192.168.1.150_Daily_Delinquency_With_Sectors[[#This Row],[Outstanding Balance]],0)</f>
        <v>0</v>
      </c>
      <c r="U263" s="109">
        <f>IF(Table__192.168.1.150_Daily_Delinquency_With_Sectors[[#This Row],[Days in Arrears]] &gt;= 1,1,0)</f>
        <v>1</v>
      </c>
      <c r="V263" s="109">
        <f>IF(Table__192.168.1.150_Daily_Delinquency_With_Sectors[[#This Row],[Days in Arrears]] &gt; 30,1,0)</f>
        <v>1</v>
      </c>
      <c r="W263" s="109">
        <f>IF(Table__192.168.1.150_Daily_Delinquency_With_Sectors[[#This Row],[Days in Arrears]] &gt; 90,1,0)</f>
        <v>0</v>
      </c>
    </row>
    <row r="264" spans="1:23" x14ac:dyDescent="0.25">
      <c r="A264" t="s">
        <v>353</v>
      </c>
      <c r="B264" t="s">
        <v>1284</v>
      </c>
      <c r="C264">
        <v>0</v>
      </c>
      <c r="D264" s="105">
        <v>21252828.609999999</v>
      </c>
      <c r="E264" t="s">
        <v>1039</v>
      </c>
      <c r="F264" s="105">
        <v>616332.03</v>
      </c>
      <c r="G264" s="105">
        <v>29726751.399999999</v>
      </c>
      <c r="H264" s="143">
        <v>42629.669620335648</v>
      </c>
      <c r="I264" s="143">
        <v>43732</v>
      </c>
      <c r="J264" t="s">
        <v>354</v>
      </c>
      <c r="K264" t="s">
        <v>1280</v>
      </c>
      <c r="L264" t="s">
        <v>1280</v>
      </c>
      <c r="M264">
        <v>102820</v>
      </c>
      <c r="N264" t="s">
        <v>351</v>
      </c>
      <c r="O264" t="s">
        <v>44</v>
      </c>
      <c r="P264" t="s">
        <v>75</v>
      </c>
      <c r="Q264" t="s">
        <v>26</v>
      </c>
      <c r="R264" s="105">
        <f>IF(Table__192.168.1.150_Daily_Delinquency_With_Sectors[[#This Row],[Days in Arrears]] &gt; 0, Table__192.168.1.150_Daily_Delinquency_With_Sectors[[#This Row],[Outstanding Balance]],0)</f>
        <v>0</v>
      </c>
      <c r="S264" s="105">
        <f>IF(Table__192.168.1.150_Daily_Delinquency_With_Sectors[[#This Row],[Days in Arrears]] &gt; 30, Table__192.168.1.150_Daily_Delinquency_With_Sectors[[#This Row],[Outstanding Balance]],0)</f>
        <v>0</v>
      </c>
      <c r="T264" s="105">
        <f>IF(Table__192.168.1.150_Daily_Delinquency_With_Sectors[[#This Row],[Days in Arrears]] &gt; 90, Table__192.168.1.150_Daily_Delinquency_With_Sectors[[#This Row],[Outstanding Balance]],0)</f>
        <v>0</v>
      </c>
      <c r="U264" s="109">
        <f>IF(Table__192.168.1.150_Daily_Delinquency_With_Sectors[[#This Row],[Days in Arrears]] &gt;= 1,1,0)</f>
        <v>0</v>
      </c>
      <c r="V264" s="109">
        <f>IF(Table__192.168.1.150_Daily_Delinquency_With_Sectors[[#This Row],[Days in Arrears]] &gt; 30,1,0)</f>
        <v>0</v>
      </c>
      <c r="W264" s="109">
        <f>IF(Table__192.168.1.150_Daily_Delinquency_With_Sectors[[#This Row],[Days in Arrears]] &gt; 90,1,0)</f>
        <v>0</v>
      </c>
    </row>
    <row r="265" spans="1:23" x14ac:dyDescent="0.25">
      <c r="A265" t="s">
        <v>2929</v>
      </c>
      <c r="B265" t="s">
        <v>1282</v>
      </c>
      <c r="C265">
        <v>-25</v>
      </c>
      <c r="D265" s="105">
        <v>737567.53</v>
      </c>
      <c r="E265" t="s">
        <v>2538</v>
      </c>
      <c r="F265" s="105">
        <v>4425.41</v>
      </c>
      <c r="G265" s="105">
        <v>822369.06</v>
      </c>
      <c r="H265" s="143">
        <v>42632.60021689815</v>
      </c>
      <c r="I265" s="143">
        <v>43178</v>
      </c>
      <c r="J265" t="s">
        <v>2930</v>
      </c>
      <c r="K265" t="s">
        <v>1280</v>
      </c>
      <c r="L265" t="s">
        <v>1280</v>
      </c>
      <c r="M265">
        <v>102824</v>
      </c>
      <c r="N265" t="s">
        <v>2928</v>
      </c>
      <c r="O265" t="s">
        <v>44</v>
      </c>
      <c r="P265" t="s">
        <v>75</v>
      </c>
      <c r="Q265" t="s">
        <v>1442</v>
      </c>
      <c r="R265" s="105">
        <f>IF(Table__192.168.1.150_Daily_Delinquency_With_Sectors[[#This Row],[Days in Arrears]] &gt; 0, Table__192.168.1.150_Daily_Delinquency_With_Sectors[[#This Row],[Outstanding Balance]],0)</f>
        <v>0</v>
      </c>
      <c r="S265" s="105">
        <f>IF(Table__192.168.1.150_Daily_Delinquency_With_Sectors[[#This Row],[Days in Arrears]] &gt; 30, Table__192.168.1.150_Daily_Delinquency_With_Sectors[[#This Row],[Outstanding Balance]],0)</f>
        <v>0</v>
      </c>
      <c r="T265" s="105">
        <f>IF(Table__192.168.1.150_Daily_Delinquency_With_Sectors[[#This Row],[Days in Arrears]] &gt; 90, Table__192.168.1.150_Daily_Delinquency_With_Sectors[[#This Row],[Outstanding Balance]],0)</f>
        <v>0</v>
      </c>
      <c r="U265" s="109">
        <f>IF(Table__192.168.1.150_Daily_Delinquency_With_Sectors[[#This Row],[Days in Arrears]] &gt;= 1,1,0)</f>
        <v>0</v>
      </c>
      <c r="V265" s="109">
        <f>IF(Table__192.168.1.150_Daily_Delinquency_With_Sectors[[#This Row],[Days in Arrears]] &gt; 30,1,0)</f>
        <v>0</v>
      </c>
      <c r="W265" s="109">
        <f>IF(Table__192.168.1.150_Daily_Delinquency_With_Sectors[[#This Row],[Days in Arrears]] &gt; 90,1,0)</f>
        <v>0</v>
      </c>
    </row>
    <row r="266" spans="1:23" x14ac:dyDescent="0.25">
      <c r="A266" t="s">
        <v>695</v>
      </c>
      <c r="B266" t="s">
        <v>1281</v>
      </c>
      <c r="C266">
        <v>94</v>
      </c>
      <c r="D266" s="105">
        <v>13029039.82</v>
      </c>
      <c r="E266" t="s">
        <v>468</v>
      </c>
      <c r="F266" s="105">
        <v>856254.75</v>
      </c>
      <c r="G266" s="105">
        <v>15163368.16</v>
      </c>
      <c r="H266" s="143">
        <v>42633.671304826392</v>
      </c>
      <c r="I266" s="143">
        <v>43179</v>
      </c>
      <c r="J266" t="s">
        <v>696</v>
      </c>
      <c r="K266" t="s">
        <v>1280</v>
      </c>
      <c r="L266" t="s">
        <v>1280</v>
      </c>
      <c r="M266">
        <v>102828</v>
      </c>
      <c r="N266" t="s">
        <v>694</v>
      </c>
      <c r="O266" t="s">
        <v>25</v>
      </c>
      <c r="P266" t="s">
        <v>32</v>
      </c>
      <c r="Q266" t="s">
        <v>517</v>
      </c>
      <c r="R266" s="105">
        <f>IF(Table__192.168.1.150_Daily_Delinquency_With_Sectors[[#This Row],[Days in Arrears]] &gt; 0, Table__192.168.1.150_Daily_Delinquency_With_Sectors[[#This Row],[Outstanding Balance]],0)</f>
        <v>13029039.82</v>
      </c>
      <c r="S266" s="105">
        <f>IF(Table__192.168.1.150_Daily_Delinquency_With_Sectors[[#This Row],[Days in Arrears]] &gt; 30, Table__192.168.1.150_Daily_Delinquency_With_Sectors[[#This Row],[Outstanding Balance]],0)</f>
        <v>13029039.82</v>
      </c>
      <c r="T266" s="105">
        <f>IF(Table__192.168.1.150_Daily_Delinquency_With_Sectors[[#This Row],[Days in Arrears]] &gt; 90, Table__192.168.1.150_Daily_Delinquency_With_Sectors[[#This Row],[Outstanding Balance]],0)</f>
        <v>13029039.82</v>
      </c>
      <c r="U266" s="109">
        <f>IF(Table__192.168.1.150_Daily_Delinquency_With_Sectors[[#This Row],[Days in Arrears]] &gt;= 1,1,0)</f>
        <v>1</v>
      </c>
      <c r="V266" s="109">
        <f>IF(Table__192.168.1.150_Daily_Delinquency_With_Sectors[[#This Row],[Days in Arrears]] &gt; 30,1,0)</f>
        <v>1</v>
      </c>
      <c r="W266" s="109">
        <f>IF(Table__192.168.1.150_Daily_Delinquency_With_Sectors[[#This Row],[Days in Arrears]] &gt; 90,1,0)</f>
        <v>1</v>
      </c>
    </row>
    <row r="267" spans="1:23" x14ac:dyDescent="0.25">
      <c r="A267" t="s">
        <v>2943</v>
      </c>
      <c r="B267" t="s">
        <v>1283</v>
      </c>
      <c r="C267">
        <v>113</v>
      </c>
      <c r="D267" s="105">
        <v>27303712.030000001</v>
      </c>
      <c r="E267" t="s">
        <v>5724</v>
      </c>
      <c r="F267" s="105">
        <v>1767396.58</v>
      </c>
      <c r="G267" s="105">
        <v>35139524.329999998</v>
      </c>
      <c r="H267" s="143">
        <v>42637.580909259261</v>
      </c>
      <c r="I267" s="143">
        <v>43374</v>
      </c>
      <c r="J267" t="s">
        <v>2944</v>
      </c>
      <c r="K267" t="s">
        <v>2945</v>
      </c>
      <c r="L267" t="s">
        <v>1280</v>
      </c>
      <c r="M267">
        <v>102835</v>
      </c>
      <c r="N267" t="s">
        <v>2942</v>
      </c>
      <c r="O267" t="s">
        <v>45</v>
      </c>
      <c r="P267" t="s">
        <v>45</v>
      </c>
      <c r="Q267" t="s">
        <v>89</v>
      </c>
      <c r="R267" s="105">
        <f>IF(Table__192.168.1.150_Daily_Delinquency_With_Sectors[[#This Row],[Days in Arrears]] &gt; 0, Table__192.168.1.150_Daily_Delinquency_With_Sectors[[#This Row],[Outstanding Balance]],0)</f>
        <v>27303712.030000001</v>
      </c>
      <c r="S267" s="105">
        <f>IF(Table__192.168.1.150_Daily_Delinquency_With_Sectors[[#This Row],[Days in Arrears]] &gt; 30, Table__192.168.1.150_Daily_Delinquency_With_Sectors[[#This Row],[Outstanding Balance]],0)</f>
        <v>27303712.030000001</v>
      </c>
      <c r="T267" s="105">
        <f>IF(Table__192.168.1.150_Daily_Delinquency_With_Sectors[[#This Row],[Days in Arrears]] &gt; 90, Table__192.168.1.150_Daily_Delinquency_With_Sectors[[#This Row],[Outstanding Balance]],0)</f>
        <v>27303712.030000001</v>
      </c>
      <c r="U267" s="109">
        <f>IF(Table__192.168.1.150_Daily_Delinquency_With_Sectors[[#This Row],[Days in Arrears]] &gt;= 1,1,0)</f>
        <v>1</v>
      </c>
      <c r="V267" s="109">
        <f>IF(Table__192.168.1.150_Daily_Delinquency_With_Sectors[[#This Row],[Days in Arrears]] &gt; 30,1,0)</f>
        <v>1</v>
      </c>
      <c r="W267" s="109">
        <f>IF(Table__192.168.1.150_Daily_Delinquency_With_Sectors[[#This Row],[Days in Arrears]] &gt; 90,1,0)</f>
        <v>1</v>
      </c>
    </row>
    <row r="268" spans="1:23" x14ac:dyDescent="0.25">
      <c r="A268" t="s">
        <v>3025</v>
      </c>
      <c r="B268" t="s">
        <v>1281</v>
      </c>
      <c r="C268">
        <v>-7</v>
      </c>
      <c r="D268" s="105">
        <v>9805290.6500000004</v>
      </c>
      <c r="E268" t="s">
        <v>2538</v>
      </c>
      <c r="F268" s="105">
        <v>287621.86</v>
      </c>
      <c r="G268" s="105">
        <v>12311909.609999999</v>
      </c>
      <c r="H268" s="143">
        <v>42641.698485300927</v>
      </c>
      <c r="I268" s="143">
        <v>43374</v>
      </c>
      <c r="J268" t="s">
        <v>3026</v>
      </c>
      <c r="K268" t="s">
        <v>1280</v>
      </c>
      <c r="L268" t="s">
        <v>1280</v>
      </c>
      <c r="M268">
        <v>102838</v>
      </c>
      <c r="N268" t="s">
        <v>3024</v>
      </c>
      <c r="O268" t="s">
        <v>29</v>
      </c>
      <c r="P268" t="s">
        <v>96</v>
      </c>
      <c r="Q268" t="s">
        <v>26</v>
      </c>
      <c r="R268" s="105">
        <f>IF(Table__192.168.1.150_Daily_Delinquency_With_Sectors[[#This Row],[Days in Arrears]] &gt; 0, Table__192.168.1.150_Daily_Delinquency_With_Sectors[[#This Row],[Outstanding Balance]],0)</f>
        <v>0</v>
      </c>
      <c r="S268" s="105">
        <f>IF(Table__192.168.1.150_Daily_Delinquency_With_Sectors[[#This Row],[Days in Arrears]] &gt; 30, Table__192.168.1.150_Daily_Delinquency_With_Sectors[[#This Row],[Outstanding Balance]],0)</f>
        <v>0</v>
      </c>
      <c r="T268" s="105">
        <f>IF(Table__192.168.1.150_Daily_Delinquency_With_Sectors[[#This Row],[Days in Arrears]] &gt; 90, Table__192.168.1.150_Daily_Delinquency_With_Sectors[[#This Row],[Outstanding Balance]],0)</f>
        <v>0</v>
      </c>
      <c r="U268" s="109">
        <f>IF(Table__192.168.1.150_Daily_Delinquency_With_Sectors[[#This Row],[Days in Arrears]] &gt;= 1,1,0)</f>
        <v>0</v>
      </c>
      <c r="V268" s="109">
        <f>IF(Table__192.168.1.150_Daily_Delinquency_With_Sectors[[#This Row],[Days in Arrears]] &gt; 30,1,0)</f>
        <v>0</v>
      </c>
      <c r="W268" s="109">
        <f>IF(Table__192.168.1.150_Daily_Delinquency_With_Sectors[[#This Row],[Days in Arrears]] &gt; 90,1,0)</f>
        <v>0</v>
      </c>
    </row>
    <row r="269" spans="1:23" x14ac:dyDescent="0.25">
      <c r="A269" t="s">
        <v>3054</v>
      </c>
      <c r="B269" t="s">
        <v>1284</v>
      </c>
      <c r="C269">
        <v>51</v>
      </c>
      <c r="D269" s="105">
        <v>1492287.63</v>
      </c>
      <c r="E269" t="s">
        <v>491</v>
      </c>
      <c r="F269" s="105">
        <v>46773.46</v>
      </c>
      <c r="G269" s="105">
        <v>1539061.09</v>
      </c>
      <c r="H269" s="143">
        <v>42643.590179548613</v>
      </c>
      <c r="I269" s="143">
        <v>43011</v>
      </c>
      <c r="J269" t="s">
        <v>3055</v>
      </c>
      <c r="K269" t="s">
        <v>3056</v>
      </c>
      <c r="L269" t="s">
        <v>1280</v>
      </c>
      <c r="M269">
        <v>102841</v>
      </c>
      <c r="N269" t="s">
        <v>3052</v>
      </c>
      <c r="O269" t="s">
        <v>45</v>
      </c>
      <c r="P269" t="s">
        <v>45</v>
      </c>
      <c r="Q269" t="s">
        <v>89</v>
      </c>
      <c r="R269" s="105">
        <f>IF(Table__192.168.1.150_Daily_Delinquency_With_Sectors[[#This Row],[Days in Arrears]] &gt; 0, Table__192.168.1.150_Daily_Delinquency_With_Sectors[[#This Row],[Outstanding Balance]],0)</f>
        <v>1492287.63</v>
      </c>
      <c r="S269" s="105">
        <f>IF(Table__192.168.1.150_Daily_Delinquency_With_Sectors[[#This Row],[Days in Arrears]] &gt; 30, Table__192.168.1.150_Daily_Delinquency_With_Sectors[[#This Row],[Outstanding Balance]],0)</f>
        <v>1492287.63</v>
      </c>
      <c r="T269" s="105">
        <f>IF(Table__192.168.1.150_Daily_Delinquency_With_Sectors[[#This Row],[Days in Arrears]] &gt; 90, Table__192.168.1.150_Daily_Delinquency_With_Sectors[[#This Row],[Outstanding Balance]],0)</f>
        <v>0</v>
      </c>
      <c r="U269" s="109">
        <f>IF(Table__192.168.1.150_Daily_Delinquency_With_Sectors[[#This Row],[Days in Arrears]] &gt;= 1,1,0)</f>
        <v>1</v>
      </c>
      <c r="V269" s="109">
        <f>IF(Table__192.168.1.150_Daily_Delinquency_With_Sectors[[#This Row],[Days in Arrears]] &gt; 30,1,0)</f>
        <v>1</v>
      </c>
      <c r="W269" s="109">
        <f>IF(Table__192.168.1.150_Daily_Delinquency_With_Sectors[[#This Row],[Days in Arrears]] &gt; 90,1,0)</f>
        <v>0</v>
      </c>
    </row>
    <row r="270" spans="1:23" x14ac:dyDescent="0.25">
      <c r="A270" t="s">
        <v>3057</v>
      </c>
      <c r="B270" t="s">
        <v>1279</v>
      </c>
      <c r="C270">
        <v>53</v>
      </c>
      <c r="D270" s="105">
        <v>226805.78</v>
      </c>
      <c r="E270" t="s">
        <v>2034</v>
      </c>
      <c r="F270" s="105">
        <v>0</v>
      </c>
      <c r="G270" s="105">
        <v>226805.78</v>
      </c>
      <c r="H270" s="143">
        <v>42643.759618668984</v>
      </c>
      <c r="I270" s="143">
        <v>43009</v>
      </c>
      <c r="J270" t="s">
        <v>3058</v>
      </c>
      <c r="K270" t="s">
        <v>3295</v>
      </c>
      <c r="L270" t="s">
        <v>1280</v>
      </c>
      <c r="M270">
        <v>102843</v>
      </c>
      <c r="N270" t="s">
        <v>3050</v>
      </c>
      <c r="O270" t="s">
        <v>44</v>
      </c>
      <c r="P270" t="s">
        <v>75</v>
      </c>
      <c r="Q270" t="s">
        <v>26</v>
      </c>
      <c r="R270" s="105">
        <f>IF(Table__192.168.1.150_Daily_Delinquency_With_Sectors[[#This Row],[Days in Arrears]] &gt; 0, Table__192.168.1.150_Daily_Delinquency_With_Sectors[[#This Row],[Outstanding Balance]],0)</f>
        <v>226805.78</v>
      </c>
      <c r="S270" s="105">
        <f>IF(Table__192.168.1.150_Daily_Delinquency_With_Sectors[[#This Row],[Days in Arrears]] &gt; 30, Table__192.168.1.150_Daily_Delinquency_With_Sectors[[#This Row],[Outstanding Balance]],0)</f>
        <v>226805.78</v>
      </c>
      <c r="T270" s="105">
        <f>IF(Table__192.168.1.150_Daily_Delinquency_With_Sectors[[#This Row],[Days in Arrears]] &gt; 90, Table__192.168.1.150_Daily_Delinquency_With_Sectors[[#This Row],[Outstanding Balance]],0)</f>
        <v>0</v>
      </c>
      <c r="U270" s="109">
        <f>IF(Table__192.168.1.150_Daily_Delinquency_With_Sectors[[#This Row],[Days in Arrears]] &gt;= 1,1,0)</f>
        <v>1</v>
      </c>
      <c r="V270" s="109">
        <f>IF(Table__192.168.1.150_Daily_Delinquency_With_Sectors[[#This Row],[Days in Arrears]] &gt; 30,1,0)</f>
        <v>1</v>
      </c>
      <c r="W270" s="109">
        <f>IF(Table__192.168.1.150_Daily_Delinquency_With_Sectors[[#This Row],[Days in Arrears]] &gt; 90,1,0)</f>
        <v>0</v>
      </c>
    </row>
    <row r="271" spans="1:23" x14ac:dyDescent="0.25">
      <c r="A271" t="s">
        <v>3062</v>
      </c>
      <c r="B271" t="s">
        <v>1284</v>
      </c>
      <c r="C271">
        <v>-9</v>
      </c>
      <c r="D271" s="105">
        <v>9202028.8800000008</v>
      </c>
      <c r="E271" t="s">
        <v>491</v>
      </c>
      <c r="F271" s="105">
        <v>204489.53</v>
      </c>
      <c r="G271" s="105">
        <v>13321235.119999999</v>
      </c>
      <c r="H271" s="143">
        <v>42643.508438425924</v>
      </c>
      <c r="I271" s="143">
        <v>43741</v>
      </c>
      <c r="J271" t="s">
        <v>3063</v>
      </c>
      <c r="K271" t="s">
        <v>1280</v>
      </c>
      <c r="L271" t="s">
        <v>1280</v>
      </c>
      <c r="M271">
        <v>102845</v>
      </c>
      <c r="N271" t="s">
        <v>3049</v>
      </c>
      <c r="O271" t="s">
        <v>44</v>
      </c>
      <c r="P271" t="s">
        <v>75</v>
      </c>
      <c r="Q271" t="s">
        <v>1442</v>
      </c>
      <c r="R271" s="105">
        <f>IF(Table__192.168.1.150_Daily_Delinquency_With_Sectors[[#This Row],[Days in Arrears]] &gt; 0, Table__192.168.1.150_Daily_Delinquency_With_Sectors[[#This Row],[Outstanding Balance]],0)</f>
        <v>0</v>
      </c>
      <c r="S271" s="105">
        <f>IF(Table__192.168.1.150_Daily_Delinquency_With_Sectors[[#This Row],[Days in Arrears]] &gt; 30, Table__192.168.1.150_Daily_Delinquency_With_Sectors[[#This Row],[Outstanding Balance]],0)</f>
        <v>0</v>
      </c>
      <c r="T271" s="105">
        <f>IF(Table__192.168.1.150_Daily_Delinquency_With_Sectors[[#This Row],[Days in Arrears]] &gt; 90, Table__192.168.1.150_Daily_Delinquency_With_Sectors[[#This Row],[Outstanding Balance]],0)</f>
        <v>0</v>
      </c>
      <c r="U271" s="109">
        <f>IF(Table__192.168.1.150_Daily_Delinquency_With_Sectors[[#This Row],[Days in Arrears]] &gt;= 1,1,0)</f>
        <v>0</v>
      </c>
      <c r="V271" s="109">
        <f>IF(Table__192.168.1.150_Daily_Delinquency_With_Sectors[[#This Row],[Days in Arrears]] &gt; 30,1,0)</f>
        <v>0</v>
      </c>
      <c r="W271" s="109">
        <f>IF(Table__192.168.1.150_Daily_Delinquency_With_Sectors[[#This Row],[Days in Arrears]] &gt; 90,1,0)</f>
        <v>0</v>
      </c>
    </row>
    <row r="272" spans="1:23" x14ac:dyDescent="0.25">
      <c r="A272" t="s">
        <v>186</v>
      </c>
      <c r="B272" t="s">
        <v>1283</v>
      </c>
      <c r="C272">
        <v>19</v>
      </c>
      <c r="D272" s="105">
        <v>37664953.229999997</v>
      </c>
      <c r="E272" t="s">
        <v>963</v>
      </c>
      <c r="F272" s="105">
        <v>639221.94999999995</v>
      </c>
      <c r="G272" s="105">
        <v>44371525.200000003</v>
      </c>
      <c r="H272" s="143">
        <v>42648.49790667824</v>
      </c>
      <c r="I272" s="143">
        <v>43378</v>
      </c>
      <c r="J272" t="s">
        <v>187</v>
      </c>
      <c r="K272" t="s">
        <v>1280</v>
      </c>
      <c r="L272" t="s">
        <v>188</v>
      </c>
      <c r="M272">
        <v>102848</v>
      </c>
      <c r="N272" t="s">
        <v>185</v>
      </c>
      <c r="O272" t="s">
        <v>27</v>
      </c>
      <c r="P272" t="s">
        <v>116</v>
      </c>
      <c r="Q272" t="s">
        <v>26</v>
      </c>
      <c r="R272" s="105">
        <f>IF(Table__192.168.1.150_Daily_Delinquency_With_Sectors[[#This Row],[Days in Arrears]] &gt; 0, Table__192.168.1.150_Daily_Delinquency_With_Sectors[[#This Row],[Outstanding Balance]],0)</f>
        <v>37664953.229999997</v>
      </c>
      <c r="S272" s="105">
        <f>IF(Table__192.168.1.150_Daily_Delinquency_With_Sectors[[#This Row],[Days in Arrears]] &gt; 30, Table__192.168.1.150_Daily_Delinquency_With_Sectors[[#This Row],[Outstanding Balance]],0)</f>
        <v>0</v>
      </c>
      <c r="T272" s="105">
        <f>IF(Table__192.168.1.150_Daily_Delinquency_With_Sectors[[#This Row],[Days in Arrears]] &gt; 90, Table__192.168.1.150_Daily_Delinquency_With_Sectors[[#This Row],[Outstanding Balance]],0)</f>
        <v>0</v>
      </c>
      <c r="U272" s="109">
        <f>IF(Table__192.168.1.150_Daily_Delinquency_With_Sectors[[#This Row],[Days in Arrears]] &gt;= 1,1,0)</f>
        <v>1</v>
      </c>
      <c r="V272" s="109">
        <f>IF(Table__192.168.1.150_Daily_Delinquency_With_Sectors[[#This Row],[Days in Arrears]] &gt; 30,1,0)</f>
        <v>0</v>
      </c>
      <c r="W272" s="109">
        <f>IF(Table__192.168.1.150_Daily_Delinquency_With_Sectors[[#This Row],[Days in Arrears]] &gt; 90,1,0)</f>
        <v>0</v>
      </c>
    </row>
    <row r="273" spans="1:23" x14ac:dyDescent="0.25">
      <c r="A273" t="s">
        <v>3104</v>
      </c>
      <c r="B273" t="s">
        <v>1284</v>
      </c>
      <c r="C273">
        <v>-13</v>
      </c>
      <c r="D273" s="105">
        <v>23345107.75</v>
      </c>
      <c r="E273" t="s">
        <v>2494</v>
      </c>
      <c r="F273" s="105">
        <v>415024.14</v>
      </c>
      <c r="G273" s="105">
        <v>28268733.850000001</v>
      </c>
      <c r="H273" s="143">
        <v>42650.479875925928</v>
      </c>
      <c r="I273" s="143">
        <v>43380</v>
      </c>
      <c r="J273" t="s">
        <v>3105</v>
      </c>
      <c r="K273" t="s">
        <v>3106</v>
      </c>
      <c r="L273" t="s">
        <v>1280</v>
      </c>
      <c r="M273">
        <v>102849</v>
      </c>
      <c r="N273" t="s">
        <v>3103</v>
      </c>
      <c r="O273" t="s">
        <v>31</v>
      </c>
      <c r="P273" t="s">
        <v>509</v>
      </c>
      <c r="Q273" t="s">
        <v>26</v>
      </c>
      <c r="R273" s="105">
        <f>IF(Table__192.168.1.150_Daily_Delinquency_With_Sectors[[#This Row],[Days in Arrears]] &gt; 0, Table__192.168.1.150_Daily_Delinquency_With_Sectors[[#This Row],[Outstanding Balance]],0)</f>
        <v>0</v>
      </c>
      <c r="S273" s="105">
        <f>IF(Table__192.168.1.150_Daily_Delinquency_With_Sectors[[#This Row],[Days in Arrears]] &gt; 30, Table__192.168.1.150_Daily_Delinquency_With_Sectors[[#This Row],[Outstanding Balance]],0)</f>
        <v>0</v>
      </c>
      <c r="T273" s="105">
        <f>IF(Table__192.168.1.150_Daily_Delinquency_With_Sectors[[#This Row],[Days in Arrears]] &gt; 90, Table__192.168.1.150_Daily_Delinquency_With_Sectors[[#This Row],[Outstanding Balance]],0)</f>
        <v>0</v>
      </c>
      <c r="U273" s="109">
        <f>IF(Table__192.168.1.150_Daily_Delinquency_With_Sectors[[#This Row],[Days in Arrears]] &gt;= 1,1,0)</f>
        <v>0</v>
      </c>
      <c r="V273" s="109">
        <f>IF(Table__192.168.1.150_Daily_Delinquency_With_Sectors[[#This Row],[Days in Arrears]] &gt; 30,1,0)</f>
        <v>0</v>
      </c>
      <c r="W273" s="109">
        <f>IF(Table__192.168.1.150_Daily_Delinquency_With_Sectors[[#This Row],[Days in Arrears]] &gt; 90,1,0)</f>
        <v>0</v>
      </c>
    </row>
    <row r="274" spans="1:23" x14ac:dyDescent="0.25">
      <c r="A274" t="s">
        <v>3107</v>
      </c>
      <c r="B274" t="s">
        <v>1282</v>
      </c>
      <c r="C274">
        <v>17</v>
      </c>
      <c r="D274" s="105">
        <v>3071598.41</v>
      </c>
      <c r="E274" t="s">
        <v>2494</v>
      </c>
      <c r="F274" s="105">
        <v>98518.95</v>
      </c>
      <c r="G274" s="105">
        <v>3262175.13</v>
      </c>
      <c r="H274" s="143">
        <v>42650.610318055558</v>
      </c>
      <c r="I274" s="143">
        <v>43107</v>
      </c>
      <c r="J274" t="s">
        <v>3108</v>
      </c>
      <c r="K274" t="s">
        <v>3109</v>
      </c>
      <c r="L274" t="s">
        <v>1280</v>
      </c>
      <c r="M274">
        <v>102850</v>
      </c>
      <c r="N274" t="s">
        <v>3102</v>
      </c>
      <c r="O274" t="s">
        <v>44</v>
      </c>
      <c r="P274" t="s">
        <v>75</v>
      </c>
      <c r="Q274" t="s">
        <v>1442</v>
      </c>
      <c r="R274" s="105">
        <f>IF(Table__192.168.1.150_Daily_Delinquency_With_Sectors[[#This Row],[Days in Arrears]] &gt; 0, Table__192.168.1.150_Daily_Delinquency_With_Sectors[[#This Row],[Outstanding Balance]],0)</f>
        <v>3071598.41</v>
      </c>
      <c r="S274" s="105">
        <f>IF(Table__192.168.1.150_Daily_Delinquency_With_Sectors[[#This Row],[Days in Arrears]] &gt; 30, Table__192.168.1.150_Daily_Delinquency_With_Sectors[[#This Row],[Outstanding Balance]],0)</f>
        <v>0</v>
      </c>
      <c r="T274" s="105">
        <f>IF(Table__192.168.1.150_Daily_Delinquency_With_Sectors[[#This Row],[Days in Arrears]] &gt; 90, Table__192.168.1.150_Daily_Delinquency_With_Sectors[[#This Row],[Outstanding Balance]],0)</f>
        <v>0</v>
      </c>
      <c r="U274" s="109">
        <f>IF(Table__192.168.1.150_Daily_Delinquency_With_Sectors[[#This Row],[Days in Arrears]] &gt;= 1,1,0)</f>
        <v>1</v>
      </c>
      <c r="V274" s="109">
        <f>IF(Table__192.168.1.150_Daily_Delinquency_With_Sectors[[#This Row],[Days in Arrears]] &gt; 30,1,0)</f>
        <v>0</v>
      </c>
      <c r="W274" s="109">
        <f>IF(Table__192.168.1.150_Daily_Delinquency_With_Sectors[[#This Row],[Days in Arrears]] &gt; 90,1,0)</f>
        <v>0</v>
      </c>
    </row>
    <row r="275" spans="1:23" x14ac:dyDescent="0.25">
      <c r="A275" t="s">
        <v>2841</v>
      </c>
      <c r="B275" t="s">
        <v>1285</v>
      </c>
      <c r="C275">
        <v>-26</v>
      </c>
      <c r="D275" s="105">
        <v>2353744.7999999998</v>
      </c>
      <c r="E275" t="s">
        <v>284</v>
      </c>
      <c r="F275" s="105">
        <v>4903.6400000000003</v>
      </c>
      <c r="G275" s="105">
        <v>2658065.13</v>
      </c>
      <c r="H275" s="143">
        <v>42654.569900925926</v>
      </c>
      <c r="I275" s="143">
        <v>43393</v>
      </c>
      <c r="J275" t="s">
        <v>2842</v>
      </c>
      <c r="K275" t="s">
        <v>1280</v>
      </c>
      <c r="L275" t="s">
        <v>1280</v>
      </c>
      <c r="M275">
        <v>102852</v>
      </c>
      <c r="N275" t="s">
        <v>1410</v>
      </c>
      <c r="O275" t="s">
        <v>43</v>
      </c>
      <c r="P275" t="s">
        <v>338</v>
      </c>
      <c r="Q275" t="s">
        <v>339</v>
      </c>
      <c r="R275" s="105">
        <f>IF(Table__192.168.1.150_Daily_Delinquency_With_Sectors[[#This Row],[Days in Arrears]] &gt; 0, Table__192.168.1.150_Daily_Delinquency_With_Sectors[[#This Row],[Outstanding Balance]],0)</f>
        <v>0</v>
      </c>
      <c r="S275" s="105">
        <f>IF(Table__192.168.1.150_Daily_Delinquency_With_Sectors[[#This Row],[Days in Arrears]] &gt; 30, Table__192.168.1.150_Daily_Delinquency_With_Sectors[[#This Row],[Outstanding Balance]],0)</f>
        <v>0</v>
      </c>
      <c r="T275" s="105">
        <f>IF(Table__192.168.1.150_Daily_Delinquency_With_Sectors[[#This Row],[Days in Arrears]] &gt; 90, Table__192.168.1.150_Daily_Delinquency_With_Sectors[[#This Row],[Outstanding Balance]],0)</f>
        <v>0</v>
      </c>
      <c r="U275" s="109">
        <f>IF(Table__192.168.1.150_Daily_Delinquency_With_Sectors[[#This Row],[Days in Arrears]] &gt;= 1,1,0)</f>
        <v>0</v>
      </c>
      <c r="V275" s="109">
        <f>IF(Table__192.168.1.150_Daily_Delinquency_With_Sectors[[#This Row],[Days in Arrears]] &gt; 30,1,0)</f>
        <v>0</v>
      </c>
      <c r="W275" s="109">
        <f>IF(Table__192.168.1.150_Daily_Delinquency_With_Sectors[[#This Row],[Days in Arrears]] &gt; 90,1,0)</f>
        <v>0</v>
      </c>
    </row>
    <row r="276" spans="1:23" x14ac:dyDescent="0.25">
      <c r="A276" t="s">
        <v>942</v>
      </c>
      <c r="B276" t="s">
        <v>1283</v>
      </c>
      <c r="C276">
        <v>-18</v>
      </c>
      <c r="D276" s="105">
        <v>48956677.560000002</v>
      </c>
      <c r="E276" t="s">
        <v>90</v>
      </c>
      <c r="F276" s="105">
        <v>538523.44999999995</v>
      </c>
      <c r="G276" s="105">
        <v>68476672.420000002</v>
      </c>
      <c r="H276" s="143">
        <v>42655.686754247683</v>
      </c>
      <c r="I276" s="143">
        <v>43750</v>
      </c>
      <c r="J276" t="s">
        <v>943</v>
      </c>
      <c r="K276" t="s">
        <v>1280</v>
      </c>
      <c r="L276" t="s">
        <v>1280</v>
      </c>
      <c r="M276">
        <v>102854</v>
      </c>
      <c r="N276" t="s">
        <v>926</v>
      </c>
      <c r="O276" t="s">
        <v>31</v>
      </c>
      <c r="P276" t="s">
        <v>26</v>
      </c>
      <c r="Q276" t="s">
        <v>26</v>
      </c>
      <c r="R276" s="105">
        <f>IF(Table__192.168.1.150_Daily_Delinquency_With_Sectors[[#This Row],[Days in Arrears]] &gt; 0, Table__192.168.1.150_Daily_Delinquency_With_Sectors[[#This Row],[Outstanding Balance]],0)</f>
        <v>0</v>
      </c>
      <c r="S276" s="105">
        <f>IF(Table__192.168.1.150_Daily_Delinquency_With_Sectors[[#This Row],[Days in Arrears]] &gt; 30, Table__192.168.1.150_Daily_Delinquency_With_Sectors[[#This Row],[Outstanding Balance]],0)</f>
        <v>0</v>
      </c>
      <c r="T276" s="105">
        <f>IF(Table__192.168.1.150_Daily_Delinquency_With_Sectors[[#This Row],[Days in Arrears]] &gt; 90, Table__192.168.1.150_Daily_Delinquency_With_Sectors[[#This Row],[Outstanding Balance]],0)</f>
        <v>0</v>
      </c>
      <c r="U276" s="109">
        <f>IF(Table__192.168.1.150_Daily_Delinquency_With_Sectors[[#This Row],[Days in Arrears]] &gt;= 1,1,0)</f>
        <v>0</v>
      </c>
      <c r="V276" s="109">
        <f>IF(Table__192.168.1.150_Daily_Delinquency_With_Sectors[[#This Row],[Days in Arrears]] &gt; 30,1,0)</f>
        <v>0</v>
      </c>
      <c r="W276" s="109">
        <f>IF(Table__192.168.1.150_Daily_Delinquency_With_Sectors[[#This Row],[Days in Arrears]] &gt; 90,1,0)</f>
        <v>0</v>
      </c>
    </row>
    <row r="277" spans="1:23" x14ac:dyDescent="0.25">
      <c r="A277" t="s">
        <v>979</v>
      </c>
      <c r="B277" t="s">
        <v>1282</v>
      </c>
      <c r="C277">
        <v>99</v>
      </c>
      <c r="D277" s="105">
        <v>9479857.4000000004</v>
      </c>
      <c r="E277" t="s">
        <v>2538</v>
      </c>
      <c r="F277" s="105">
        <v>724059.04</v>
      </c>
      <c r="G277" s="105">
        <v>12776089.220000001</v>
      </c>
      <c r="H277" s="143">
        <v>42658.427251504632</v>
      </c>
      <c r="I277" s="143">
        <v>43388</v>
      </c>
      <c r="J277" t="s">
        <v>980</v>
      </c>
      <c r="K277" t="s">
        <v>981</v>
      </c>
      <c r="L277" t="s">
        <v>1280</v>
      </c>
      <c r="M277">
        <v>102856</v>
      </c>
      <c r="N277" t="s">
        <v>974</v>
      </c>
      <c r="O277" t="s">
        <v>44</v>
      </c>
      <c r="P277" t="s">
        <v>92</v>
      </c>
      <c r="Q277" t="s">
        <v>26</v>
      </c>
      <c r="R277" s="105">
        <f>IF(Table__192.168.1.150_Daily_Delinquency_With_Sectors[[#This Row],[Days in Arrears]] &gt; 0, Table__192.168.1.150_Daily_Delinquency_With_Sectors[[#This Row],[Outstanding Balance]],0)</f>
        <v>9479857.4000000004</v>
      </c>
      <c r="S277" s="105">
        <f>IF(Table__192.168.1.150_Daily_Delinquency_With_Sectors[[#This Row],[Days in Arrears]] &gt; 30, Table__192.168.1.150_Daily_Delinquency_With_Sectors[[#This Row],[Outstanding Balance]],0)</f>
        <v>9479857.4000000004</v>
      </c>
      <c r="T277" s="105">
        <f>IF(Table__192.168.1.150_Daily_Delinquency_With_Sectors[[#This Row],[Days in Arrears]] &gt; 90, Table__192.168.1.150_Daily_Delinquency_With_Sectors[[#This Row],[Outstanding Balance]],0)</f>
        <v>9479857.4000000004</v>
      </c>
      <c r="U277" s="109">
        <f>IF(Table__192.168.1.150_Daily_Delinquency_With_Sectors[[#This Row],[Days in Arrears]] &gt;= 1,1,0)</f>
        <v>1</v>
      </c>
      <c r="V277" s="109">
        <f>IF(Table__192.168.1.150_Daily_Delinquency_With_Sectors[[#This Row],[Days in Arrears]] &gt; 30,1,0)</f>
        <v>1</v>
      </c>
      <c r="W277" s="109">
        <f>IF(Table__192.168.1.150_Daily_Delinquency_With_Sectors[[#This Row],[Days in Arrears]] &gt; 90,1,0)</f>
        <v>1</v>
      </c>
    </row>
    <row r="278" spans="1:23" x14ac:dyDescent="0.25">
      <c r="A278" t="s">
        <v>1333</v>
      </c>
      <c r="B278" t="s">
        <v>1284</v>
      </c>
      <c r="C278">
        <v>34</v>
      </c>
      <c r="D278" s="105">
        <v>14011588.01</v>
      </c>
      <c r="E278" t="s">
        <v>1039</v>
      </c>
      <c r="F278" s="105">
        <v>674258.68</v>
      </c>
      <c r="G278" s="105">
        <v>15015471.960000001</v>
      </c>
      <c r="H278" s="143">
        <v>42663.545598645833</v>
      </c>
      <c r="I278" s="143">
        <v>43120</v>
      </c>
      <c r="J278" t="s">
        <v>1334</v>
      </c>
      <c r="K278" t="s">
        <v>1280</v>
      </c>
      <c r="L278" t="s">
        <v>1280</v>
      </c>
      <c r="M278">
        <v>102860</v>
      </c>
      <c r="N278" t="s">
        <v>1332</v>
      </c>
      <c r="O278" t="s">
        <v>25</v>
      </c>
      <c r="P278" t="s">
        <v>26</v>
      </c>
      <c r="Q278" t="s">
        <v>26</v>
      </c>
      <c r="R278" s="105">
        <f>IF(Table__192.168.1.150_Daily_Delinquency_With_Sectors[[#This Row],[Days in Arrears]] &gt; 0, Table__192.168.1.150_Daily_Delinquency_With_Sectors[[#This Row],[Outstanding Balance]],0)</f>
        <v>14011588.01</v>
      </c>
      <c r="S278" s="105">
        <f>IF(Table__192.168.1.150_Daily_Delinquency_With_Sectors[[#This Row],[Days in Arrears]] &gt; 30, Table__192.168.1.150_Daily_Delinquency_With_Sectors[[#This Row],[Outstanding Balance]],0)</f>
        <v>14011588.01</v>
      </c>
      <c r="T278" s="105">
        <f>IF(Table__192.168.1.150_Daily_Delinquency_With_Sectors[[#This Row],[Days in Arrears]] &gt; 90, Table__192.168.1.150_Daily_Delinquency_With_Sectors[[#This Row],[Outstanding Balance]],0)</f>
        <v>0</v>
      </c>
      <c r="U278" s="109">
        <f>IF(Table__192.168.1.150_Daily_Delinquency_With_Sectors[[#This Row],[Days in Arrears]] &gt;= 1,1,0)</f>
        <v>1</v>
      </c>
      <c r="V278" s="109">
        <f>IF(Table__192.168.1.150_Daily_Delinquency_With_Sectors[[#This Row],[Days in Arrears]] &gt; 30,1,0)</f>
        <v>1</v>
      </c>
      <c r="W278" s="109">
        <f>IF(Table__192.168.1.150_Daily_Delinquency_With_Sectors[[#This Row],[Days in Arrears]] &gt; 90,1,0)</f>
        <v>0</v>
      </c>
    </row>
    <row r="279" spans="1:23" x14ac:dyDescent="0.25">
      <c r="A279" t="s">
        <v>3162</v>
      </c>
      <c r="B279" t="s">
        <v>1284</v>
      </c>
      <c r="C279">
        <v>4</v>
      </c>
      <c r="D279" s="105">
        <v>11942392.939999999</v>
      </c>
      <c r="E279" t="s">
        <v>2175</v>
      </c>
      <c r="F279" s="105">
        <v>435135.49</v>
      </c>
      <c r="G279" s="105">
        <v>14685056.560000001</v>
      </c>
      <c r="H279" s="143">
        <v>42663.599580520837</v>
      </c>
      <c r="I279" s="143">
        <v>43393</v>
      </c>
      <c r="J279" t="s">
        <v>3163</v>
      </c>
      <c r="K279" t="s">
        <v>3164</v>
      </c>
      <c r="L279" t="s">
        <v>1280</v>
      </c>
      <c r="M279">
        <v>102861</v>
      </c>
      <c r="N279" t="s">
        <v>3160</v>
      </c>
      <c r="O279" t="s">
        <v>37</v>
      </c>
      <c r="P279" t="s">
        <v>26</v>
      </c>
      <c r="Q279" t="s">
        <v>26</v>
      </c>
      <c r="R279" s="105">
        <f>IF(Table__192.168.1.150_Daily_Delinquency_With_Sectors[[#This Row],[Days in Arrears]] &gt; 0, Table__192.168.1.150_Daily_Delinquency_With_Sectors[[#This Row],[Outstanding Balance]],0)</f>
        <v>11942392.939999999</v>
      </c>
      <c r="S279" s="105">
        <f>IF(Table__192.168.1.150_Daily_Delinquency_With_Sectors[[#This Row],[Days in Arrears]] &gt; 30, Table__192.168.1.150_Daily_Delinquency_With_Sectors[[#This Row],[Outstanding Balance]],0)</f>
        <v>0</v>
      </c>
      <c r="T279" s="105">
        <f>IF(Table__192.168.1.150_Daily_Delinquency_With_Sectors[[#This Row],[Days in Arrears]] &gt; 90, Table__192.168.1.150_Daily_Delinquency_With_Sectors[[#This Row],[Outstanding Balance]],0)</f>
        <v>0</v>
      </c>
      <c r="U279" s="109">
        <f>IF(Table__192.168.1.150_Daily_Delinquency_With_Sectors[[#This Row],[Days in Arrears]] &gt;= 1,1,0)</f>
        <v>1</v>
      </c>
      <c r="V279" s="109">
        <f>IF(Table__192.168.1.150_Daily_Delinquency_With_Sectors[[#This Row],[Days in Arrears]] &gt; 30,1,0)</f>
        <v>0</v>
      </c>
      <c r="W279" s="109">
        <f>IF(Table__192.168.1.150_Daily_Delinquency_With_Sectors[[#This Row],[Days in Arrears]] &gt; 90,1,0)</f>
        <v>0</v>
      </c>
    </row>
    <row r="280" spans="1:23" x14ac:dyDescent="0.25">
      <c r="A280" t="s">
        <v>182</v>
      </c>
      <c r="B280" t="s">
        <v>1284</v>
      </c>
      <c r="C280">
        <v>3</v>
      </c>
      <c r="D280" s="105">
        <v>12023537.32</v>
      </c>
      <c r="E280" t="s">
        <v>1448</v>
      </c>
      <c r="F280" s="105">
        <v>384054.69</v>
      </c>
      <c r="G280" s="105">
        <v>17039011.420000002</v>
      </c>
      <c r="H280" s="143">
        <v>42664.717809062502</v>
      </c>
      <c r="I280" s="143">
        <v>43759</v>
      </c>
      <c r="J280" t="s">
        <v>183</v>
      </c>
      <c r="K280" t="s">
        <v>184</v>
      </c>
      <c r="L280" t="s">
        <v>1280</v>
      </c>
      <c r="M280">
        <v>102866</v>
      </c>
      <c r="N280" t="s">
        <v>181</v>
      </c>
      <c r="O280" t="s">
        <v>44</v>
      </c>
      <c r="P280" t="s">
        <v>75</v>
      </c>
      <c r="Q280" t="s">
        <v>1442</v>
      </c>
      <c r="R280" s="105">
        <f>IF(Table__192.168.1.150_Daily_Delinquency_With_Sectors[[#This Row],[Days in Arrears]] &gt; 0, Table__192.168.1.150_Daily_Delinquency_With_Sectors[[#This Row],[Outstanding Balance]],0)</f>
        <v>12023537.32</v>
      </c>
      <c r="S280" s="105">
        <f>IF(Table__192.168.1.150_Daily_Delinquency_With_Sectors[[#This Row],[Days in Arrears]] &gt; 30, Table__192.168.1.150_Daily_Delinquency_With_Sectors[[#This Row],[Outstanding Balance]],0)</f>
        <v>0</v>
      </c>
      <c r="T280" s="105">
        <f>IF(Table__192.168.1.150_Daily_Delinquency_With_Sectors[[#This Row],[Days in Arrears]] &gt; 90, Table__192.168.1.150_Daily_Delinquency_With_Sectors[[#This Row],[Outstanding Balance]],0)</f>
        <v>0</v>
      </c>
      <c r="U280" s="109">
        <f>IF(Table__192.168.1.150_Daily_Delinquency_With_Sectors[[#This Row],[Days in Arrears]] &gt;= 1,1,0)</f>
        <v>1</v>
      </c>
      <c r="V280" s="109">
        <f>IF(Table__192.168.1.150_Daily_Delinquency_With_Sectors[[#This Row],[Days in Arrears]] &gt; 30,1,0)</f>
        <v>0</v>
      </c>
      <c r="W280" s="109">
        <f>IF(Table__192.168.1.150_Daily_Delinquency_With_Sectors[[#This Row],[Days in Arrears]] &gt; 90,1,0)</f>
        <v>0</v>
      </c>
    </row>
    <row r="281" spans="1:23" x14ac:dyDescent="0.25">
      <c r="A281" t="s">
        <v>1057</v>
      </c>
      <c r="B281" t="s">
        <v>1283</v>
      </c>
      <c r="C281">
        <v>20</v>
      </c>
      <c r="D281" s="105">
        <v>40965108.899999999</v>
      </c>
      <c r="E281" t="s">
        <v>546</v>
      </c>
      <c r="F281" s="105">
        <v>774591.87</v>
      </c>
      <c r="G281" s="105">
        <v>67417882.340000004</v>
      </c>
      <c r="H281" s="143">
        <v>42667.551442280092</v>
      </c>
      <c r="I281" s="143">
        <v>44139</v>
      </c>
      <c r="J281" t="s">
        <v>1058</v>
      </c>
      <c r="K281" t="s">
        <v>1059</v>
      </c>
      <c r="L281" t="s">
        <v>1280</v>
      </c>
      <c r="M281">
        <v>102871</v>
      </c>
      <c r="N281" t="s">
        <v>1056</v>
      </c>
      <c r="O281" t="s">
        <v>25</v>
      </c>
      <c r="P281" t="s">
        <v>88</v>
      </c>
      <c r="Q281" t="s">
        <v>26</v>
      </c>
      <c r="R281" s="105">
        <f>IF(Table__192.168.1.150_Daily_Delinquency_With_Sectors[[#This Row],[Days in Arrears]] &gt; 0, Table__192.168.1.150_Daily_Delinquency_With_Sectors[[#This Row],[Outstanding Balance]],0)</f>
        <v>40965108.899999999</v>
      </c>
      <c r="S281" s="105">
        <f>IF(Table__192.168.1.150_Daily_Delinquency_With_Sectors[[#This Row],[Days in Arrears]] &gt; 30, Table__192.168.1.150_Daily_Delinquency_With_Sectors[[#This Row],[Outstanding Balance]],0)</f>
        <v>0</v>
      </c>
      <c r="T281" s="105">
        <f>IF(Table__192.168.1.150_Daily_Delinquency_With_Sectors[[#This Row],[Days in Arrears]] &gt; 90, Table__192.168.1.150_Daily_Delinquency_With_Sectors[[#This Row],[Outstanding Balance]],0)</f>
        <v>0</v>
      </c>
      <c r="U281" s="109">
        <f>IF(Table__192.168.1.150_Daily_Delinquency_With_Sectors[[#This Row],[Days in Arrears]] &gt;= 1,1,0)</f>
        <v>1</v>
      </c>
      <c r="V281" s="109">
        <f>IF(Table__192.168.1.150_Daily_Delinquency_With_Sectors[[#This Row],[Days in Arrears]] &gt; 30,1,0)</f>
        <v>0</v>
      </c>
      <c r="W281" s="109">
        <f>IF(Table__192.168.1.150_Daily_Delinquency_With_Sectors[[#This Row],[Days in Arrears]] &gt; 90,1,0)</f>
        <v>0</v>
      </c>
    </row>
    <row r="282" spans="1:23" x14ac:dyDescent="0.25">
      <c r="A282" t="s">
        <v>2313</v>
      </c>
      <c r="B282" t="s">
        <v>1283</v>
      </c>
      <c r="C282">
        <v>50</v>
      </c>
      <c r="D282" s="105">
        <v>33350739.02</v>
      </c>
      <c r="E282" t="s">
        <v>90</v>
      </c>
      <c r="F282" s="105">
        <v>1538222.59</v>
      </c>
      <c r="G282" s="105">
        <v>49300163.399999999</v>
      </c>
      <c r="H282" s="143">
        <v>42668.394561689813</v>
      </c>
      <c r="I282" s="143">
        <v>43773</v>
      </c>
      <c r="J282" t="s">
        <v>2314</v>
      </c>
      <c r="K282" t="s">
        <v>1280</v>
      </c>
      <c r="L282" t="s">
        <v>1280</v>
      </c>
      <c r="M282">
        <v>102872</v>
      </c>
      <c r="N282" t="s">
        <v>2307</v>
      </c>
      <c r="O282" t="s">
        <v>37</v>
      </c>
      <c r="P282" t="s">
        <v>288</v>
      </c>
      <c r="Q282" t="s">
        <v>1829</v>
      </c>
      <c r="R282" s="105">
        <f>IF(Table__192.168.1.150_Daily_Delinquency_With_Sectors[[#This Row],[Days in Arrears]] &gt; 0, Table__192.168.1.150_Daily_Delinquency_With_Sectors[[#This Row],[Outstanding Balance]],0)</f>
        <v>33350739.02</v>
      </c>
      <c r="S282" s="105">
        <f>IF(Table__192.168.1.150_Daily_Delinquency_With_Sectors[[#This Row],[Days in Arrears]] &gt; 30, Table__192.168.1.150_Daily_Delinquency_With_Sectors[[#This Row],[Outstanding Balance]],0)</f>
        <v>33350739.02</v>
      </c>
      <c r="T282" s="105">
        <f>IF(Table__192.168.1.150_Daily_Delinquency_With_Sectors[[#This Row],[Days in Arrears]] &gt; 90, Table__192.168.1.150_Daily_Delinquency_With_Sectors[[#This Row],[Outstanding Balance]],0)</f>
        <v>0</v>
      </c>
      <c r="U282" s="109">
        <f>IF(Table__192.168.1.150_Daily_Delinquency_With_Sectors[[#This Row],[Days in Arrears]] &gt;= 1,1,0)</f>
        <v>1</v>
      </c>
      <c r="V282" s="109">
        <f>IF(Table__192.168.1.150_Daily_Delinquency_With_Sectors[[#This Row],[Days in Arrears]] &gt; 30,1,0)</f>
        <v>1</v>
      </c>
      <c r="W282" s="109">
        <f>IF(Table__192.168.1.150_Daily_Delinquency_With_Sectors[[#This Row],[Days in Arrears]] &gt; 90,1,0)</f>
        <v>0</v>
      </c>
    </row>
    <row r="283" spans="1:23" x14ac:dyDescent="0.25">
      <c r="A283" t="s">
        <v>201</v>
      </c>
      <c r="B283" t="s">
        <v>1281</v>
      </c>
      <c r="C283">
        <v>-1</v>
      </c>
      <c r="D283" s="105">
        <v>9327329.2699999996</v>
      </c>
      <c r="E283" t="s">
        <v>1925</v>
      </c>
      <c r="F283" s="105">
        <v>304692.76</v>
      </c>
      <c r="G283" s="105">
        <v>11582746.4</v>
      </c>
      <c r="H283" s="143">
        <v>42668.520148530093</v>
      </c>
      <c r="I283" s="143">
        <v>43398</v>
      </c>
      <c r="J283" t="s">
        <v>202</v>
      </c>
      <c r="K283" t="s">
        <v>1280</v>
      </c>
      <c r="L283" t="s">
        <v>1280</v>
      </c>
      <c r="M283">
        <v>102874</v>
      </c>
      <c r="N283" t="s">
        <v>200</v>
      </c>
      <c r="O283" t="s">
        <v>25</v>
      </c>
      <c r="P283" t="s">
        <v>26</v>
      </c>
      <c r="Q283" t="s">
        <v>26</v>
      </c>
      <c r="R283" s="105">
        <f>IF(Table__192.168.1.150_Daily_Delinquency_With_Sectors[[#This Row],[Days in Arrears]] &gt; 0, Table__192.168.1.150_Daily_Delinquency_With_Sectors[[#This Row],[Outstanding Balance]],0)</f>
        <v>0</v>
      </c>
      <c r="S283" s="105">
        <f>IF(Table__192.168.1.150_Daily_Delinquency_With_Sectors[[#This Row],[Days in Arrears]] &gt; 30, Table__192.168.1.150_Daily_Delinquency_With_Sectors[[#This Row],[Outstanding Balance]],0)</f>
        <v>0</v>
      </c>
      <c r="T283" s="105">
        <f>IF(Table__192.168.1.150_Daily_Delinquency_With_Sectors[[#This Row],[Days in Arrears]] &gt; 90, Table__192.168.1.150_Daily_Delinquency_With_Sectors[[#This Row],[Outstanding Balance]],0)</f>
        <v>0</v>
      </c>
      <c r="U283" s="109">
        <f>IF(Table__192.168.1.150_Daily_Delinquency_With_Sectors[[#This Row],[Days in Arrears]] &gt;= 1,1,0)</f>
        <v>0</v>
      </c>
      <c r="V283" s="109">
        <f>IF(Table__192.168.1.150_Daily_Delinquency_With_Sectors[[#This Row],[Days in Arrears]] &gt; 30,1,0)</f>
        <v>0</v>
      </c>
      <c r="W283" s="109">
        <f>IF(Table__192.168.1.150_Daily_Delinquency_With_Sectors[[#This Row],[Days in Arrears]] &gt; 90,1,0)</f>
        <v>0</v>
      </c>
    </row>
    <row r="284" spans="1:23" x14ac:dyDescent="0.25">
      <c r="A284" t="s">
        <v>1193</v>
      </c>
      <c r="B284" t="s">
        <v>1283</v>
      </c>
      <c r="C284">
        <v>-11</v>
      </c>
      <c r="D284" s="105">
        <v>39124507.549999997</v>
      </c>
      <c r="E284" t="s">
        <v>1191</v>
      </c>
      <c r="F284" s="105">
        <v>704241.14</v>
      </c>
      <c r="G284" s="105">
        <v>55444825.659999996</v>
      </c>
      <c r="H284" s="143">
        <v>42669.588513807874</v>
      </c>
      <c r="I284" s="143">
        <v>43774</v>
      </c>
      <c r="J284" t="s">
        <v>1194</v>
      </c>
      <c r="K284" t="s">
        <v>1280</v>
      </c>
      <c r="L284" t="s">
        <v>1280</v>
      </c>
      <c r="M284">
        <v>102877</v>
      </c>
      <c r="N284" t="s">
        <v>1188</v>
      </c>
      <c r="O284" t="s">
        <v>41</v>
      </c>
      <c r="P284" t="s">
        <v>1189</v>
      </c>
      <c r="Q284" t="s">
        <v>1190</v>
      </c>
      <c r="R284" s="105">
        <f>IF(Table__192.168.1.150_Daily_Delinquency_With_Sectors[[#This Row],[Days in Arrears]] &gt; 0, Table__192.168.1.150_Daily_Delinquency_With_Sectors[[#This Row],[Outstanding Balance]],0)</f>
        <v>0</v>
      </c>
      <c r="S284" s="105">
        <f>IF(Table__192.168.1.150_Daily_Delinquency_With_Sectors[[#This Row],[Days in Arrears]] &gt; 30, Table__192.168.1.150_Daily_Delinquency_With_Sectors[[#This Row],[Outstanding Balance]],0)</f>
        <v>0</v>
      </c>
      <c r="T284" s="105">
        <f>IF(Table__192.168.1.150_Daily_Delinquency_With_Sectors[[#This Row],[Days in Arrears]] &gt; 90, Table__192.168.1.150_Daily_Delinquency_With_Sectors[[#This Row],[Outstanding Balance]],0)</f>
        <v>0</v>
      </c>
      <c r="U284" s="109">
        <f>IF(Table__192.168.1.150_Daily_Delinquency_With_Sectors[[#This Row],[Days in Arrears]] &gt;= 1,1,0)</f>
        <v>0</v>
      </c>
      <c r="V284" s="109">
        <f>IF(Table__192.168.1.150_Daily_Delinquency_With_Sectors[[#This Row],[Days in Arrears]] &gt; 30,1,0)</f>
        <v>0</v>
      </c>
      <c r="W284" s="109">
        <f>IF(Table__192.168.1.150_Daily_Delinquency_With_Sectors[[#This Row],[Days in Arrears]] &gt; 90,1,0)</f>
        <v>0</v>
      </c>
    </row>
    <row r="285" spans="1:23" x14ac:dyDescent="0.25">
      <c r="A285" t="s">
        <v>951</v>
      </c>
      <c r="B285" t="s">
        <v>1282</v>
      </c>
      <c r="C285">
        <v>53</v>
      </c>
      <c r="D285" s="105">
        <v>2423977.04</v>
      </c>
      <c r="E285" t="s">
        <v>2855</v>
      </c>
      <c r="F285" s="105">
        <v>128360.66</v>
      </c>
      <c r="G285" s="105">
        <v>2553985.37</v>
      </c>
      <c r="H285" s="143">
        <v>42670.607920833332</v>
      </c>
      <c r="I285" s="143">
        <v>43040</v>
      </c>
      <c r="J285" t="s">
        <v>952</v>
      </c>
      <c r="K285" t="s">
        <v>953</v>
      </c>
      <c r="L285" t="s">
        <v>1280</v>
      </c>
      <c r="M285">
        <v>102878</v>
      </c>
      <c r="N285" t="s">
        <v>927</v>
      </c>
      <c r="O285" t="s">
        <v>25</v>
      </c>
      <c r="P285" t="s">
        <v>106</v>
      </c>
      <c r="Q285" t="s">
        <v>26</v>
      </c>
      <c r="R285" s="105">
        <f>IF(Table__192.168.1.150_Daily_Delinquency_With_Sectors[[#This Row],[Days in Arrears]] &gt; 0, Table__192.168.1.150_Daily_Delinquency_With_Sectors[[#This Row],[Outstanding Balance]],0)</f>
        <v>2423977.04</v>
      </c>
      <c r="S285" s="105">
        <f>IF(Table__192.168.1.150_Daily_Delinquency_With_Sectors[[#This Row],[Days in Arrears]] &gt; 30, Table__192.168.1.150_Daily_Delinquency_With_Sectors[[#This Row],[Outstanding Balance]],0)</f>
        <v>2423977.04</v>
      </c>
      <c r="T285" s="105">
        <f>IF(Table__192.168.1.150_Daily_Delinquency_With_Sectors[[#This Row],[Days in Arrears]] &gt; 90, Table__192.168.1.150_Daily_Delinquency_With_Sectors[[#This Row],[Outstanding Balance]],0)</f>
        <v>0</v>
      </c>
      <c r="U285" s="109">
        <f>IF(Table__192.168.1.150_Daily_Delinquency_With_Sectors[[#This Row],[Days in Arrears]] &gt;= 1,1,0)</f>
        <v>1</v>
      </c>
      <c r="V285" s="109">
        <f>IF(Table__192.168.1.150_Daily_Delinquency_With_Sectors[[#This Row],[Days in Arrears]] &gt; 30,1,0)</f>
        <v>1</v>
      </c>
      <c r="W285" s="109">
        <f>IF(Table__192.168.1.150_Daily_Delinquency_With_Sectors[[#This Row],[Days in Arrears]] &gt; 90,1,0)</f>
        <v>0</v>
      </c>
    </row>
    <row r="286" spans="1:23" x14ac:dyDescent="0.25">
      <c r="A286" t="s">
        <v>2298</v>
      </c>
      <c r="B286" t="s">
        <v>1284</v>
      </c>
      <c r="C286">
        <v>23</v>
      </c>
      <c r="D286" s="105">
        <v>52044568.159999996</v>
      </c>
      <c r="E286" t="s">
        <v>1039</v>
      </c>
      <c r="F286" s="105">
        <v>2293496.9</v>
      </c>
      <c r="G286" s="105">
        <v>74338802.530000001</v>
      </c>
      <c r="H286" s="143">
        <v>42670.619203553244</v>
      </c>
      <c r="I286" s="143">
        <v>43770</v>
      </c>
      <c r="J286" t="s">
        <v>2299</v>
      </c>
      <c r="K286" t="s">
        <v>1280</v>
      </c>
      <c r="L286" t="s">
        <v>1280</v>
      </c>
      <c r="M286">
        <v>102879</v>
      </c>
      <c r="N286" t="s">
        <v>1503</v>
      </c>
      <c r="O286" t="s">
        <v>44</v>
      </c>
      <c r="P286" t="s">
        <v>75</v>
      </c>
      <c r="Q286" t="s">
        <v>26</v>
      </c>
      <c r="R286" s="105">
        <f>IF(Table__192.168.1.150_Daily_Delinquency_With_Sectors[[#This Row],[Days in Arrears]] &gt; 0, Table__192.168.1.150_Daily_Delinquency_With_Sectors[[#This Row],[Outstanding Balance]],0)</f>
        <v>52044568.159999996</v>
      </c>
      <c r="S286" s="105">
        <f>IF(Table__192.168.1.150_Daily_Delinquency_With_Sectors[[#This Row],[Days in Arrears]] &gt; 30, Table__192.168.1.150_Daily_Delinquency_With_Sectors[[#This Row],[Outstanding Balance]],0)</f>
        <v>0</v>
      </c>
      <c r="T286" s="105">
        <f>IF(Table__192.168.1.150_Daily_Delinquency_With_Sectors[[#This Row],[Days in Arrears]] &gt; 90, Table__192.168.1.150_Daily_Delinquency_With_Sectors[[#This Row],[Outstanding Balance]],0)</f>
        <v>0</v>
      </c>
      <c r="U286" s="109">
        <f>IF(Table__192.168.1.150_Daily_Delinquency_With_Sectors[[#This Row],[Days in Arrears]] &gt;= 1,1,0)</f>
        <v>1</v>
      </c>
      <c r="V286" s="109">
        <f>IF(Table__192.168.1.150_Daily_Delinquency_With_Sectors[[#This Row],[Days in Arrears]] &gt; 30,1,0)</f>
        <v>0</v>
      </c>
      <c r="W286" s="109">
        <f>IF(Table__192.168.1.150_Daily_Delinquency_With_Sectors[[#This Row],[Days in Arrears]] &gt; 90,1,0)</f>
        <v>0</v>
      </c>
    </row>
    <row r="287" spans="1:23" x14ac:dyDescent="0.25">
      <c r="A287" t="s">
        <v>3206</v>
      </c>
      <c r="B287" t="s">
        <v>1281</v>
      </c>
      <c r="C287">
        <v>-7</v>
      </c>
      <c r="D287" s="105">
        <v>5119768.72</v>
      </c>
      <c r="E287" t="s">
        <v>1191</v>
      </c>
      <c r="F287" s="105">
        <v>131407.4</v>
      </c>
      <c r="G287" s="105">
        <v>5693229.7699999996</v>
      </c>
      <c r="H287" s="143">
        <v>42671.498852118057</v>
      </c>
      <c r="I287" s="143">
        <v>43586</v>
      </c>
      <c r="J287" t="s">
        <v>3207</v>
      </c>
      <c r="K287" t="s">
        <v>3208</v>
      </c>
      <c r="L287" t="s">
        <v>3209</v>
      </c>
      <c r="M287">
        <v>102881</v>
      </c>
      <c r="N287" t="s">
        <v>3202</v>
      </c>
      <c r="O287" t="s">
        <v>27</v>
      </c>
      <c r="P287" t="s">
        <v>116</v>
      </c>
      <c r="Q287" t="s">
        <v>26</v>
      </c>
      <c r="R287" s="105">
        <f>IF(Table__192.168.1.150_Daily_Delinquency_With_Sectors[[#This Row],[Days in Arrears]] &gt; 0, Table__192.168.1.150_Daily_Delinquency_With_Sectors[[#This Row],[Outstanding Balance]],0)</f>
        <v>0</v>
      </c>
      <c r="S287" s="105">
        <f>IF(Table__192.168.1.150_Daily_Delinquency_With_Sectors[[#This Row],[Days in Arrears]] &gt; 30, Table__192.168.1.150_Daily_Delinquency_With_Sectors[[#This Row],[Outstanding Balance]],0)</f>
        <v>0</v>
      </c>
      <c r="T287" s="105">
        <f>IF(Table__192.168.1.150_Daily_Delinquency_With_Sectors[[#This Row],[Days in Arrears]] &gt; 90, Table__192.168.1.150_Daily_Delinquency_With_Sectors[[#This Row],[Outstanding Balance]],0)</f>
        <v>0</v>
      </c>
      <c r="U287" s="109">
        <f>IF(Table__192.168.1.150_Daily_Delinquency_With_Sectors[[#This Row],[Days in Arrears]] &gt;= 1,1,0)</f>
        <v>0</v>
      </c>
      <c r="V287" s="109">
        <f>IF(Table__192.168.1.150_Daily_Delinquency_With_Sectors[[#This Row],[Days in Arrears]] &gt; 30,1,0)</f>
        <v>0</v>
      </c>
      <c r="W287" s="109">
        <f>IF(Table__192.168.1.150_Daily_Delinquency_With_Sectors[[#This Row],[Days in Arrears]] &gt; 90,1,0)</f>
        <v>0</v>
      </c>
    </row>
    <row r="288" spans="1:23" x14ac:dyDescent="0.25">
      <c r="A288" t="s">
        <v>1692</v>
      </c>
      <c r="B288" t="s">
        <v>1284</v>
      </c>
      <c r="C288">
        <v>20</v>
      </c>
      <c r="D288" s="105">
        <v>4551947.53</v>
      </c>
      <c r="E288" t="s">
        <v>86</v>
      </c>
      <c r="F288" s="105">
        <v>118249.84</v>
      </c>
      <c r="G288" s="105">
        <v>5020807</v>
      </c>
      <c r="H288" s="143">
        <v>42672.573115127314</v>
      </c>
      <c r="I288" s="143">
        <v>43224</v>
      </c>
      <c r="J288" t="s">
        <v>1693</v>
      </c>
      <c r="K288" t="s">
        <v>1280</v>
      </c>
      <c r="L288" t="s">
        <v>1280</v>
      </c>
      <c r="M288">
        <v>102886</v>
      </c>
      <c r="N288" t="s">
        <v>1689</v>
      </c>
      <c r="O288" t="s">
        <v>44</v>
      </c>
      <c r="P288" t="s">
        <v>75</v>
      </c>
      <c r="Q288" t="s">
        <v>26</v>
      </c>
      <c r="R288" s="105">
        <f>IF(Table__192.168.1.150_Daily_Delinquency_With_Sectors[[#This Row],[Days in Arrears]] &gt; 0, Table__192.168.1.150_Daily_Delinquency_With_Sectors[[#This Row],[Outstanding Balance]],0)</f>
        <v>4551947.53</v>
      </c>
      <c r="S288" s="105">
        <f>IF(Table__192.168.1.150_Daily_Delinquency_With_Sectors[[#This Row],[Days in Arrears]] &gt; 30, Table__192.168.1.150_Daily_Delinquency_With_Sectors[[#This Row],[Outstanding Balance]],0)</f>
        <v>0</v>
      </c>
      <c r="T288" s="105">
        <f>IF(Table__192.168.1.150_Daily_Delinquency_With_Sectors[[#This Row],[Days in Arrears]] &gt; 90, Table__192.168.1.150_Daily_Delinquency_With_Sectors[[#This Row],[Outstanding Balance]],0)</f>
        <v>0</v>
      </c>
      <c r="U288" s="109">
        <f>IF(Table__192.168.1.150_Daily_Delinquency_With_Sectors[[#This Row],[Days in Arrears]] &gt;= 1,1,0)</f>
        <v>1</v>
      </c>
      <c r="V288" s="109">
        <f>IF(Table__192.168.1.150_Daily_Delinquency_With_Sectors[[#This Row],[Days in Arrears]] &gt; 30,1,0)</f>
        <v>0</v>
      </c>
      <c r="W288" s="109">
        <f>IF(Table__192.168.1.150_Daily_Delinquency_With_Sectors[[#This Row],[Days in Arrears]] &gt; 90,1,0)</f>
        <v>0</v>
      </c>
    </row>
    <row r="289" spans="1:23" x14ac:dyDescent="0.25">
      <c r="A289" t="s">
        <v>160</v>
      </c>
      <c r="B289" t="s">
        <v>1281</v>
      </c>
      <c r="C289">
        <v>74</v>
      </c>
      <c r="D289" s="105">
        <v>5228891.32</v>
      </c>
      <c r="E289" t="s">
        <v>5725</v>
      </c>
      <c r="F289" s="105">
        <v>95983.99</v>
      </c>
      <c r="G289" s="105">
        <v>5324875.3099999996</v>
      </c>
      <c r="H289" s="143">
        <v>42674.520662071758</v>
      </c>
      <c r="I289" s="143">
        <v>43018</v>
      </c>
      <c r="J289" t="s">
        <v>161</v>
      </c>
      <c r="K289" t="s">
        <v>162</v>
      </c>
      <c r="L289" t="s">
        <v>1280</v>
      </c>
      <c r="M289">
        <v>102889</v>
      </c>
      <c r="N289" t="s">
        <v>159</v>
      </c>
      <c r="O289" t="s">
        <v>37</v>
      </c>
      <c r="P289" t="s">
        <v>38</v>
      </c>
      <c r="Q289" t="s">
        <v>26</v>
      </c>
      <c r="R289" s="105">
        <f>IF(Table__192.168.1.150_Daily_Delinquency_With_Sectors[[#This Row],[Days in Arrears]] &gt; 0, Table__192.168.1.150_Daily_Delinquency_With_Sectors[[#This Row],[Outstanding Balance]],0)</f>
        <v>5228891.32</v>
      </c>
      <c r="S289" s="105">
        <f>IF(Table__192.168.1.150_Daily_Delinquency_With_Sectors[[#This Row],[Days in Arrears]] &gt; 30, Table__192.168.1.150_Daily_Delinquency_With_Sectors[[#This Row],[Outstanding Balance]],0)</f>
        <v>5228891.32</v>
      </c>
      <c r="T289" s="105">
        <f>IF(Table__192.168.1.150_Daily_Delinquency_With_Sectors[[#This Row],[Days in Arrears]] &gt; 90, Table__192.168.1.150_Daily_Delinquency_With_Sectors[[#This Row],[Outstanding Balance]],0)</f>
        <v>0</v>
      </c>
      <c r="U289" s="109">
        <f>IF(Table__192.168.1.150_Daily_Delinquency_With_Sectors[[#This Row],[Days in Arrears]] &gt;= 1,1,0)</f>
        <v>1</v>
      </c>
      <c r="V289" s="109">
        <f>IF(Table__192.168.1.150_Daily_Delinquency_With_Sectors[[#This Row],[Days in Arrears]] &gt; 30,1,0)</f>
        <v>1</v>
      </c>
      <c r="W289" s="109">
        <f>IF(Table__192.168.1.150_Daily_Delinquency_With_Sectors[[#This Row],[Days in Arrears]] &gt; 90,1,0)</f>
        <v>0</v>
      </c>
    </row>
    <row r="290" spans="1:23" x14ac:dyDescent="0.25">
      <c r="A290" t="s">
        <v>691</v>
      </c>
      <c r="B290" t="s">
        <v>1283</v>
      </c>
      <c r="C290">
        <v>0</v>
      </c>
      <c r="D290" s="105">
        <v>35474895.289999999</v>
      </c>
      <c r="E290" t="s">
        <v>2855</v>
      </c>
      <c r="F290" s="105">
        <v>1028771.96</v>
      </c>
      <c r="G290" s="105">
        <v>50272821.670000002</v>
      </c>
      <c r="H290" s="143">
        <v>42674.614062037035</v>
      </c>
      <c r="I290" s="143">
        <v>43762</v>
      </c>
      <c r="J290" t="s">
        <v>692</v>
      </c>
      <c r="K290" t="s">
        <v>693</v>
      </c>
      <c r="L290" t="s">
        <v>1280</v>
      </c>
      <c r="M290">
        <v>102891</v>
      </c>
      <c r="N290" t="s">
        <v>690</v>
      </c>
      <c r="O290" t="s">
        <v>37</v>
      </c>
      <c r="P290" t="s">
        <v>288</v>
      </c>
      <c r="Q290" t="s">
        <v>1313</v>
      </c>
      <c r="R290" s="105">
        <f>IF(Table__192.168.1.150_Daily_Delinquency_With_Sectors[[#This Row],[Days in Arrears]] &gt; 0, Table__192.168.1.150_Daily_Delinquency_With_Sectors[[#This Row],[Outstanding Balance]],0)</f>
        <v>0</v>
      </c>
      <c r="S290" s="105">
        <f>IF(Table__192.168.1.150_Daily_Delinquency_With_Sectors[[#This Row],[Days in Arrears]] &gt; 30, Table__192.168.1.150_Daily_Delinquency_With_Sectors[[#This Row],[Outstanding Balance]],0)</f>
        <v>0</v>
      </c>
      <c r="T290" s="105">
        <f>IF(Table__192.168.1.150_Daily_Delinquency_With_Sectors[[#This Row],[Days in Arrears]] &gt; 90, Table__192.168.1.150_Daily_Delinquency_With_Sectors[[#This Row],[Outstanding Balance]],0)</f>
        <v>0</v>
      </c>
      <c r="U290" s="109">
        <f>IF(Table__192.168.1.150_Daily_Delinquency_With_Sectors[[#This Row],[Days in Arrears]] &gt;= 1,1,0)</f>
        <v>0</v>
      </c>
      <c r="V290" s="109">
        <f>IF(Table__192.168.1.150_Daily_Delinquency_With_Sectors[[#This Row],[Days in Arrears]] &gt; 30,1,0)</f>
        <v>0</v>
      </c>
      <c r="W290" s="109">
        <f>IF(Table__192.168.1.150_Daily_Delinquency_With_Sectors[[#This Row],[Days in Arrears]] &gt; 90,1,0)</f>
        <v>0</v>
      </c>
    </row>
    <row r="291" spans="1:23" x14ac:dyDescent="0.25">
      <c r="A291" t="s">
        <v>1033</v>
      </c>
      <c r="B291" t="s">
        <v>1283</v>
      </c>
      <c r="C291">
        <v>-11</v>
      </c>
      <c r="D291" s="105">
        <v>50479884.149999999</v>
      </c>
      <c r="E291" t="s">
        <v>5167</v>
      </c>
      <c r="F291" s="105">
        <v>908637.91</v>
      </c>
      <c r="G291" s="105">
        <v>83238128.200000003</v>
      </c>
      <c r="H291" s="143">
        <v>42674.689139780094</v>
      </c>
      <c r="I291" s="143">
        <v>44140</v>
      </c>
      <c r="J291" t="s">
        <v>1034</v>
      </c>
      <c r="K291" t="s">
        <v>1035</v>
      </c>
      <c r="L291" t="s">
        <v>1280</v>
      </c>
      <c r="M291">
        <v>102894</v>
      </c>
      <c r="N291" t="s">
        <v>1032</v>
      </c>
      <c r="O291" t="s">
        <v>36</v>
      </c>
      <c r="P291" t="s">
        <v>97</v>
      </c>
      <c r="Q291" t="s">
        <v>98</v>
      </c>
      <c r="R291" s="105">
        <f>IF(Table__192.168.1.150_Daily_Delinquency_With_Sectors[[#This Row],[Days in Arrears]] &gt; 0, Table__192.168.1.150_Daily_Delinquency_With_Sectors[[#This Row],[Outstanding Balance]],0)</f>
        <v>0</v>
      </c>
      <c r="S291" s="105">
        <f>IF(Table__192.168.1.150_Daily_Delinquency_With_Sectors[[#This Row],[Days in Arrears]] &gt; 30, Table__192.168.1.150_Daily_Delinquency_With_Sectors[[#This Row],[Outstanding Balance]],0)</f>
        <v>0</v>
      </c>
      <c r="T291" s="105">
        <f>IF(Table__192.168.1.150_Daily_Delinquency_With_Sectors[[#This Row],[Days in Arrears]] &gt; 90, Table__192.168.1.150_Daily_Delinquency_With_Sectors[[#This Row],[Outstanding Balance]],0)</f>
        <v>0</v>
      </c>
      <c r="U291" s="109">
        <f>IF(Table__192.168.1.150_Daily_Delinquency_With_Sectors[[#This Row],[Days in Arrears]] &gt;= 1,1,0)</f>
        <v>0</v>
      </c>
      <c r="V291" s="109">
        <f>IF(Table__192.168.1.150_Daily_Delinquency_With_Sectors[[#This Row],[Days in Arrears]] &gt; 30,1,0)</f>
        <v>0</v>
      </c>
      <c r="W291" s="109">
        <f>IF(Table__192.168.1.150_Daily_Delinquency_With_Sectors[[#This Row],[Days in Arrears]] &gt; 90,1,0)</f>
        <v>0</v>
      </c>
    </row>
    <row r="292" spans="1:23" x14ac:dyDescent="0.25">
      <c r="A292" t="s">
        <v>1174</v>
      </c>
      <c r="B292" t="s">
        <v>1281</v>
      </c>
      <c r="C292">
        <v>-7</v>
      </c>
      <c r="D292" s="105">
        <v>19418560.120000001</v>
      </c>
      <c r="E292" t="s">
        <v>86</v>
      </c>
      <c r="F292" s="105">
        <v>427208.32</v>
      </c>
      <c r="G292" s="105">
        <v>27518779.16</v>
      </c>
      <c r="H292" s="143">
        <v>42674.712631099537</v>
      </c>
      <c r="I292" s="143">
        <v>43770</v>
      </c>
      <c r="J292" t="s">
        <v>1175</v>
      </c>
      <c r="K292" t="s">
        <v>1176</v>
      </c>
      <c r="L292" t="s">
        <v>1280</v>
      </c>
      <c r="M292">
        <v>102895</v>
      </c>
      <c r="N292" t="s">
        <v>1170</v>
      </c>
      <c r="O292" t="s">
        <v>44</v>
      </c>
      <c r="P292" t="s">
        <v>75</v>
      </c>
      <c r="Q292" t="s">
        <v>1442</v>
      </c>
      <c r="R292" s="105">
        <f>IF(Table__192.168.1.150_Daily_Delinquency_With_Sectors[[#This Row],[Days in Arrears]] &gt; 0, Table__192.168.1.150_Daily_Delinquency_With_Sectors[[#This Row],[Outstanding Balance]],0)</f>
        <v>0</v>
      </c>
      <c r="S292" s="105">
        <f>IF(Table__192.168.1.150_Daily_Delinquency_With_Sectors[[#This Row],[Days in Arrears]] &gt; 30, Table__192.168.1.150_Daily_Delinquency_With_Sectors[[#This Row],[Outstanding Balance]],0)</f>
        <v>0</v>
      </c>
      <c r="T292" s="105">
        <f>IF(Table__192.168.1.150_Daily_Delinquency_With_Sectors[[#This Row],[Days in Arrears]] &gt; 90, Table__192.168.1.150_Daily_Delinquency_With_Sectors[[#This Row],[Outstanding Balance]],0)</f>
        <v>0</v>
      </c>
      <c r="U292" s="109">
        <f>IF(Table__192.168.1.150_Daily_Delinquency_With_Sectors[[#This Row],[Days in Arrears]] &gt;= 1,1,0)</f>
        <v>0</v>
      </c>
      <c r="V292" s="109">
        <f>IF(Table__192.168.1.150_Daily_Delinquency_With_Sectors[[#This Row],[Days in Arrears]] &gt; 30,1,0)</f>
        <v>0</v>
      </c>
      <c r="W292" s="109">
        <f>IF(Table__192.168.1.150_Daily_Delinquency_With_Sectors[[#This Row],[Days in Arrears]] &gt; 90,1,0)</f>
        <v>0</v>
      </c>
    </row>
    <row r="293" spans="1:23" x14ac:dyDescent="0.25">
      <c r="A293" t="s">
        <v>1981</v>
      </c>
      <c r="B293" t="s">
        <v>1283</v>
      </c>
      <c r="C293">
        <v>53</v>
      </c>
      <c r="D293" s="105">
        <v>43397347.869999997</v>
      </c>
      <c r="E293" t="s">
        <v>5725</v>
      </c>
      <c r="F293" s="105">
        <v>2516836.4900000002</v>
      </c>
      <c r="G293" s="105">
        <v>53777124.939999998</v>
      </c>
      <c r="H293" s="143">
        <v>42674.837199421294</v>
      </c>
      <c r="I293" s="143">
        <v>43405</v>
      </c>
      <c r="J293" t="s">
        <v>1982</v>
      </c>
      <c r="K293" t="s">
        <v>1280</v>
      </c>
      <c r="L293" t="s">
        <v>1280</v>
      </c>
      <c r="M293">
        <v>102898</v>
      </c>
      <c r="N293" t="s">
        <v>1955</v>
      </c>
      <c r="O293" t="s">
        <v>25</v>
      </c>
      <c r="P293" t="s">
        <v>103</v>
      </c>
      <c r="Q293" t="s">
        <v>104</v>
      </c>
      <c r="R293" s="105">
        <f>IF(Table__192.168.1.150_Daily_Delinquency_With_Sectors[[#This Row],[Days in Arrears]] &gt; 0, Table__192.168.1.150_Daily_Delinquency_With_Sectors[[#This Row],[Outstanding Balance]],0)</f>
        <v>43397347.869999997</v>
      </c>
      <c r="S293" s="105">
        <f>IF(Table__192.168.1.150_Daily_Delinquency_With_Sectors[[#This Row],[Days in Arrears]] &gt; 30, Table__192.168.1.150_Daily_Delinquency_With_Sectors[[#This Row],[Outstanding Balance]],0)</f>
        <v>43397347.869999997</v>
      </c>
      <c r="T293" s="105">
        <f>IF(Table__192.168.1.150_Daily_Delinquency_With_Sectors[[#This Row],[Days in Arrears]] &gt; 90, Table__192.168.1.150_Daily_Delinquency_With_Sectors[[#This Row],[Outstanding Balance]],0)</f>
        <v>0</v>
      </c>
      <c r="U293" s="109">
        <f>IF(Table__192.168.1.150_Daily_Delinquency_With_Sectors[[#This Row],[Days in Arrears]] &gt;= 1,1,0)</f>
        <v>1</v>
      </c>
      <c r="V293" s="109">
        <f>IF(Table__192.168.1.150_Daily_Delinquency_With_Sectors[[#This Row],[Days in Arrears]] &gt; 30,1,0)</f>
        <v>1</v>
      </c>
      <c r="W293" s="109">
        <f>IF(Table__192.168.1.150_Daily_Delinquency_With_Sectors[[#This Row],[Days in Arrears]] &gt; 90,1,0)</f>
        <v>0</v>
      </c>
    </row>
    <row r="294" spans="1:23" x14ac:dyDescent="0.25">
      <c r="A294" t="s">
        <v>3233</v>
      </c>
      <c r="B294" t="s">
        <v>1284</v>
      </c>
      <c r="C294">
        <v>-7</v>
      </c>
      <c r="D294" s="105">
        <v>15742332.01</v>
      </c>
      <c r="E294" t="s">
        <v>2494</v>
      </c>
      <c r="F294" s="105">
        <v>384812.56</v>
      </c>
      <c r="G294" s="105">
        <v>23117703.609999999</v>
      </c>
      <c r="H294" s="143">
        <v>42674.865867476852</v>
      </c>
      <c r="I294" s="143">
        <v>43770</v>
      </c>
      <c r="J294" t="s">
        <v>3234</v>
      </c>
      <c r="K294" t="s">
        <v>1280</v>
      </c>
      <c r="L294" t="s">
        <v>1280</v>
      </c>
      <c r="M294">
        <v>102900</v>
      </c>
      <c r="N294" t="s">
        <v>3226</v>
      </c>
      <c r="O294" t="s">
        <v>44</v>
      </c>
      <c r="P294" t="s">
        <v>92</v>
      </c>
      <c r="Q294" t="s">
        <v>26</v>
      </c>
      <c r="R294" s="105">
        <f>IF(Table__192.168.1.150_Daily_Delinquency_With_Sectors[[#This Row],[Days in Arrears]] &gt; 0, Table__192.168.1.150_Daily_Delinquency_With_Sectors[[#This Row],[Outstanding Balance]],0)</f>
        <v>0</v>
      </c>
      <c r="S294" s="105">
        <f>IF(Table__192.168.1.150_Daily_Delinquency_With_Sectors[[#This Row],[Days in Arrears]] &gt; 30, Table__192.168.1.150_Daily_Delinquency_With_Sectors[[#This Row],[Outstanding Balance]],0)</f>
        <v>0</v>
      </c>
      <c r="T294" s="105">
        <f>IF(Table__192.168.1.150_Daily_Delinquency_With_Sectors[[#This Row],[Days in Arrears]] &gt; 90, Table__192.168.1.150_Daily_Delinquency_With_Sectors[[#This Row],[Outstanding Balance]],0)</f>
        <v>0</v>
      </c>
      <c r="U294" s="109">
        <f>IF(Table__192.168.1.150_Daily_Delinquency_With_Sectors[[#This Row],[Days in Arrears]] &gt;= 1,1,0)</f>
        <v>0</v>
      </c>
      <c r="V294" s="109">
        <f>IF(Table__192.168.1.150_Daily_Delinquency_With_Sectors[[#This Row],[Days in Arrears]] &gt; 30,1,0)</f>
        <v>0</v>
      </c>
      <c r="W294" s="109">
        <f>IF(Table__192.168.1.150_Daily_Delinquency_With_Sectors[[#This Row],[Days in Arrears]] &gt; 90,1,0)</f>
        <v>0</v>
      </c>
    </row>
    <row r="295" spans="1:23" x14ac:dyDescent="0.25">
      <c r="A295" t="s">
        <v>3235</v>
      </c>
      <c r="B295" t="s">
        <v>1284</v>
      </c>
      <c r="C295">
        <v>-7</v>
      </c>
      <c r="D295" s="105">
        <v>10232515.77</v>
      </c>
      <c r="E295" t="s">
        <v>2494</v>
      </c>
      <c r="F295" s="105">
        <v>250128.16</v>
      </c>
      <c r="G295" s="105">
        <v>15026507.220000001</v>
      </c>
      <c r="H295" s="143">
        <v>42674.895723530091</v>
      </c>
      <c r="I295" s="143">
        <v>43770</v>
      </c>
      <c r="J295" t="s">
        <v>3236</v>
      </c>
      <c r="K295" t="s">
        <v>1280</v>
      </c>
      <c r="L295" t="s">
        <v>1280</v>
      </c>
      <c r="M295">
        <v>102901</v>
      </c>
      <c r="N295" t="s">
        <v>3231</v>
      </c>
      <c r="O295" t="s">
        <v>44</v>
      </c>
      <c r="P295" t="s">
        <v>75</v>
      </c>
      <c r="Q295" t="s">
        <v>26</v>
      </c>
      <c r="R295" s="105">
        <f>IF(Table__192.168.1.150_Daily_Delinquency_With_Sectors[[#This Row],[Days in Arrears]] &gt; 0, Table__192.168.1.150_Daily_Delinquency_With_Sectors[[#This Row],[Outstanding Balance]],0)</f>
        <v>0</v>
      </c>
      <c r="S295" s="105">
        <f>IF(Table__192.168.1.150_Daily_Delinquency_With_Sectors[[#This Row],[Days in Arrears]] &gt; 30, Table__192.168.1.150_Daily_Delinquency_With_Sectors[[#This Row],[Outstanding Balance]],0)</f>
        <v>0</v>
      </c>
      <c r="T295" s="105">
        <f>IF(Table__192.168.1.150_Daily_Delinquency_With_Sectors[[#This Row],[Days in Arrears]] &gt; 90, Table__192.168.1.150_Daily_Delinquency_With_Sectors[[#This Row],[Outstanding Balance]],0)</f>
        <v>0</v>
      </c>
      <c r="U295" s="109">
        <f>IF(Table__192.168.1.150_Daily_Delinquency_With_Sectors[[#This Row],[Days in Arrears]] &gt;= 1,1,0)</f>
        <v>0</v>
      </c>
      <c r="V295" s="109">
        <f>IF(Table__192.168.1.150_Daily_Delinquency_With_Sectors[[#This Row],[Days in Arrears]] &gt; 30,1,0)</f>
        <v>0</v>
      </c>
      <c r="W295" s="109">
        <f>IF(Table__192.168.1.150_Daily_Delinquency_With_Sectors[[#This Row],[Days in Arrears]] &gt; 90,1,0)</f>
        <v>0</v>
      </c>
    </row>
    <row r="296" spans="1:23" x14ac:dyDescent="0.25">
      <c r="A296" t="s">
        <v>3247</v>
      </c>
      <c r="B296" t="s">
        <v>1281</v>
      </c>
      <c r="C296">
        <v>22</v>
      </c>
      <c r="D296" s="105">
        <v>12893149.109999999</v>
      </c>
      <c r="E296" t="s">
        <v>2855</v>
      </c>
      <c r="F296" s="105">
        <v>344700.86</v>
      </c>
      <c r="G296" s="105">
        <v>16323243.58</v>
      </c>
      <c r="H296" s="143">
        <v>42676.695485613425</v>
      </c>
      <c r="I296" s="143">
        <v>43406</v>
      </c>
      <c r="J296" t="s">
        <v>3263</v>
      </c>
      <c r="K296" t="s">
        <v>3264</v>
      </c>
      <c r="L296" t="s">
        <v>1280</v>
      </c>
      <c r="M296">
        <v>102903</v>
      </c>
      <c r="N296" t="s">
        <v>3262</v>
      </c>
      <c r="O296" t="s">
        <v>25</v>
      </c>
      <c r="P296" t="s">
        <v>106</v>
      </c>
      <c r="Q296" t="s">
        <v>704</v>
      </c>
      <c r="R296" s="105">
        <f>IF(Table__192.168.1.150_Daily_Delinquency_With_Sectors[[#This Row],[Days in Arrears]] &gt; 0, Table__192.168.1.150_Daily_Delinquency_With_Sectors[[#This Row],[Outstanding Balance]],0)</f>
        <v>12893149.109999999</v>
      </c>
      <c r="S296" s="105">
        <f>IF(Table__192.168.1.150_Daily_Delinquency_With_Sectors[[#This Row],[Days in Arrears]] &gt; 30, Table__192.168.1.150_Daily_Delinquency_With_Sectors[[#This Row],[Outstanding Balance]],0)</f>
        <v>0</v>
      </c>
      <c r="T296" s="105">
        <f>IF(Table__192.168.1.150_Daily_Delinquency_With_Sectors[[#This Row],[Days in Arrears]] &gt; 90, Table__192.168.1.150_Daily_Delinquency_With_Sectors[[#This Row],[Outstanding Balance]],0)</f>
        <v>0</v>
      </c>
      <c r="U296" s="109">
        <f>IF(Table__192.168.1.150_Daily_Delinquency_With_Sectors[[#This Row],[Days in Arrears]] &gt;= 1,1,0)</f>
        <v>1</v>
      </c>
      <c r="V296" s="109">
        <f>IF(Table__192.168.1.150_Daily_Delinquency_With_Sectors[[#This Row],[Days in Arrears]] &gt; 30,1,0)</f>
        <v>0</v>
      </c>
      <c r="W296" s="109">
        <f>IF(Table__192.168.1.150_Daily_Delinquency_With_Sectors[[#This Row],[Days in Arrears]] &gt; 90,1,0)</f>
        <v>0</v>
      </c>
    </row>
    <row r="297" spans="1:23" x14ac:dyDescent="0.25">
      <c r="A297" t="s">
        <v>3273</v>
      </c>
      <c r="B297" t="s">
        <v>1866</v>
      </c>
      <c r="C297">
        <v>21</v>
      </c>
      <c r="D297" s="105">
        <v>619690.30000000005</v>
      </c>
      <c r="E297" t="s">
        <v>2494</v>
      </c>
      <c r="F297" s="105">
        <v>9700.8799999999992</v>
      </c>
      <c r="G297" s="105">
        <v>629391.18000000005</v>
      </c>
      <c r="H297" s="143">
        <v>42677.695845682872</v>
      </c>
      <c r="I297" s="143">
        <v>43042</v>
      </c>
      <c r="J297" t="s">
        <v>3274</v>
      </c>
      <c r="K297" t="s">
        <v>1280</v>
      </c>
      <c r="L297" t="s">
        <v>1280</v>
      </c>
      <c r="M297">
        <v>102904</v>
      </c>
      <c r="N297" t="s">
        <v>3272</v>
      </c>
      <c r="O297" t="s">
        <v>31</v>
      </c>
      <c r="P297" t="s">
        <v>26</v>
      </c>
      <c r="Q297" t="s">
        <v>26</v>
      </c>
      <c r="R297" s="105">
        <f>IF(Table__192.168.1.150_Daily_Delinquency_With_Sectors[[#This Row],[Days in Arrears]] &gt; 0, Table__192.168.1.150_Daily_Delinquency_With_Sectors[[#This Row],[Outstanding Balance]],0)</f>
        <v>619690.30000000005</v>
      </c>
      <c r="S297" s="105">
        <f>IF(Table__192.168.1.150_Daily_Delinquency_With_Sectors[[#This Row],[Days in Arrears]] &gt; 30, Table__192.168.1.150_Daily_Delinquency_With_Sectors[[#This Row],[Outstanding Balance]],0)</f>
        <v>0</v>
      </c>
      <c r="T297" s="105">
        <f>IF(Table__192.168.1.150_Daily_Delinquency_With_Sectors[[#This Row],[Days in Arrears]] &gt; 90, Table__192.168.1.150_Daily_Delinquency_With_Sectors[[#This Row],[Outstanding Balance]],0)</f>
        <v>0</v>
      </c>
      <c r="U297" s="109">
        <f>IF(Table__192.168.1.150_Daily_Delinquency_With_Sectors[[#This Row],[Days in Arrears]] &gt;= 1,1,0)</f>
        <v>1</v>
      </c>
      <c r="V297" s="109">
        <f>IF(Table__192.168.1.150_Daily_Delinquency_With_Sectors[[#This Row],[Days in Arrears]] &gt; 30,1,0)</f>
        <v>0</v>
      </c>
      <c r="W297" s="109">
        <f>IF(Table__192.168.1.150_Daily_Delinquency_With_Sectors[[#This Row],[Days in Arrears]] &gt; 90,1,0)</f>
        <v>0</v>
      </c>
    </row>
    <row r="298" spans="1:23" x14ac:dyDescent="0.25">
      <c r="A298" t="s">
        <v>3275</v>
      </c>
      <c r="B298" t="s">
        <v>1282</v>
      </c>
      <c r="C298">
        <v>21</v>
      </c>
      <c r="D298" s="105">
        <v>524718.64</v>
      </c>
      <c r="E298" t="s">
        <v>1191</v>
      </c>
      <c r="F298" s="105">
        <v>23612.34</v>
      </c>
      <c r="G298" s="105">
        <v>548330.98</v>
      </c>
      <c r="H298" s="143">
        <v>42677.736543402774</v>
      </c>
      <c r="I298" s="143">
        <v>43042</v>
      </c>
      <c r="J298" t="s">
        <v>3276</v>
      </c>
      <c r="K298" t="s">
        <v>3277</v>
      </c>
      <c r="L298" t="s">
        <v>1280</v>
      </c>
      <c r="M298">
        <v>102905</v>
      </c>
      <c r="N298" t="s">
        <v>3268</v>
      </c>
      <c r="O298" t="s">
        <v>44</v>
      </c>
      <c r="P298" t="s">
        <v>75</v>
      </c>
      <c r="Q298" t="s">
        <v>1442</v>
      </c>
      <c r="R298" s="105">
        <f>IF(Table__192.168.1.150_Daily_Delinquency_With_Sectors[[#This Row],[Days in Arrears]] &gt; 0, Table__192.168.1.150_Daily_Delinquency_With_Sectors[[#This Row],[Outstanding Balance]],0)</f>
        <v>524718.64</v>
      </c>
      <c r="S298" s="105">
        <f>IF(Table__192.168.1.150_Daily_Delinquency_With_Sectors[[#This Row],[Days in Arrears]] &gt; 30, Table__192.168.1.150_Daily_Delinquency_With_Sectors[[#This Row],[Outstanding Balance]],0)</f>
        <v>0</v>
      </c>
      <c r="T298" s="105">
        <f>IF(Table__192.168.1.150_Daily_Delinquency_With_Sectors[[#This Row],[Days in Arrears]] &gt; 90, Table__192.168.1.150_Daily_Delinquency_With_Sectors[[#This Row],[Outstanding Balance]],0)</f>
        <v>0</v>
      </c>
      <c r="U298" s="109">
        <f>IF(Table__192.168.1.150_Daily_Delinquency_With_Sectors[[#This Row],[Days in Arrears]] &gt;= 1,1,0)</f>
        <v>1</v>
      </c>
      <c r="V298" s="109">
        <f>IF(Table__192.168.1.150_Daily_Delinquency_With_Sectors[[#This Row],[Days in Arrears]] &gt; 30,1,0)</f>
        <v>0</v>
      </c>
      <c r="W298" s="109">
        <f>IF(Table__192.168.1.150_Daily_Delinquency_With_Sectors[[#This Row],[Days in Arrears]] &gt; 90,1,0)</f>
        <v>0</v>
      </c>
    </row>
    <row r="299" spans="1:23" x14ac:dyDescent="0.25">
      <c r="A299" t="s">
        <v>1288</v>
      </c>
      <c r="B299" t="s">
        <v>1283</v>
      </c>
      <c r="C299">
        <v>-11</v>
      </c>
      <c r="D299" s="105">
        <v>53372255.450000003</v>
      </c>
      <c r="E299" t="s">
        <v>1447</v>
      </c>
      <c r="F299" s="105">
        <v>960700.6</v>
      </c>
      <c r="G299" s="105">
        <v>88007464.780000001</v>
      </c>
      <c r="H299" s="143">
        <v>42679.558800775463</v>
      </c>
      <c r="I299" s="143">
        <v>44140</v>
      </c>
      <c r="J299" t="s">
        <v>1289</v>
      </c>
      <c r="K299" t="s">
        <v>1290</v>
      </c>
      <c r="L299" t="s">
        <v>1280</v>
      </c>
      <c r="M299">
        <v>102909</v>
      </c>
      <c r="N299" t="s">
        <v>1287</v>
      </c>
      <c r="O299" t="s">
        <v>44</v>
      </c>
      <c r="P299" t="s">
        <v>75</v>
      </c>
      <c r="Q299" t="s">
        <v>1442</v>
      </c>
      <c r="R299" s="105">
        <f>IF(Table__192.168.1.150_Daily_Delinquency_With_Sectors[[#This Row],[Days in Arrears]] &gt; 0, Table__192.168.1.150_Daily_Delinquency_With_Sectors[[#This Row],[Outstanding Balance]],0)</f>
        <v>0</v>
      </c>
      <c r="S299" s="105">
        <f>IF(Table__192.168.1.150_Daily_Delinquency_With_Sectors[[#This Row],[Days in Arrears]] &gt; 30, Table__192.168.1.150_Daily_Delinquency_With_Sectors[[#This Row],[Outstanding Balance]],0)</f>
        <v>0</v>
      </c>
      <c r="T299" s="105">
        <f>IF(Table__192.168.1.150_Daily_Delinquency_With_Sectors[[#This Row],[Days in Arrears]] &gt; 90, Table__192.168.1.150_Daily_Delinquency_With_Sectors[[#This Row],[Outstanding Balance]],0)</f>
        <v>0</v>
      </c>
      <c r="U299" s="109">
        <f>IF(Table__192.168.1.150_Daily_Delinquency_With_Sectors[[#This Row],[Days in Arrears]] &gt;= 1,1,0)</f>
        <v>0</v>
      </c>
      <c r="V299" s="109">
        <f>IF(Table__192.168.1.150_Daily_Delinquency_With_Sectors[[#This Row],[Days in Arrears]] &gt; 30,1,0)</f>
        <v>0</v>
      </c>
      <c r="W299" s="109">
        <f>IF(Table__192.168.1.150_Daily_Delinquency_With_Sectors[[#This Row],[Days in Arrears]] &gt; 90,1,0)</f>
        <v>0</v>
      </c>
    </row>
    <row r="300" spans="1:23" x14ac:dyDescent="0.25">
      <c r="A300" t="s">
        <v>3332</v>
      </c>
      <c r="B300" t="s">
        <v>1866</v>
      </c>
      <c r="C300">
        <v>13</v>
      </c>
      <c r="D300" s="105">
        <v>438630.34</v>
      </c>
      <c r="E300" t="s">
        <v>1448</v>
      </c>
      <c r="F300" s="105">
        <v>0</v>
      </c>
      <c r="G300" s="105">
        <v>438630.34</v>
      </c>
      <c r="H300" s="143">
        <v>42685.65754039352</v>
      </c>
      <c r="I300" s="143">
        <v>43050</v>
      </c>
      <c r="J300" t="s">
        <v>3333</v>
      </c>
      <c r="K300" t="s">
        <v>3334</v>
      </c>
      <c r="L300" t="s">
        <v>1280</v>
      </c>
      <c r="M300">
        <v>102916</v>
      </c>
      <c r="N300" t="s">
        <v>3331</v>
      </c>
      <c r="O300" t="s">
        <v>44</v>
      </c>
      <c r="P300" t="s">
        <v>75</v>
      </c>
      <c r="Q300" t="s">
        <v>26</v>
      </c>
      <c r="R300" s="105">
        <f>IF(Table__192.168.1.150_Daily_Delinquency_With_Sectors[[#This Row],[Days in Arrears]] &gt; 0, Table__192.168.1.150_Daily_Delinquency_With_Sectors[[#This Row],[Outstanding Balance]],0)</f>
        <v>438630.34</v>
      </c>
      <c r="S300" s="105">
        <f>IF(Table__192.168.1.150_Daily_Delinquency_With_Sectors[[#This Row],[Days in Arrears]] &gt; 30, Table__192.168.1.150_Daily_Delinquency_With_Sectors[[#This Row],[Outstanding Balance]],0)</f>
        <v>0</v>
      </c>
      <c r="T300" s="105">
        <f>IF(Table__192.168.1.150_Daily_Delinquency_With_Sectors[[#This Row],[Days in Arrears]] &gt; 90, Table__192.168.1.150_Daily_Delinquency_With_Sectors[[#This Row],[Outstanding Balance]],0)</f>
        <v>0</v>
      </c>
      <c r="U300" s="109">
        <f>IF(Table__192.168.1.150_Daily_Delinquency_With_Sectors[[#This Row],[Days in Arrears]] &gt;= 1,1,0)</f>
        <v>1</v>
      </c>
      <c r="V300" s="109">
        <f>IF(Table__192.168.1.150_Daily_Delinquency_With_Sectors[[#This Row],[Days in Arrears]] &gt; 30,1,0)</f>
        <v>0</v>
      </c>
      <c r="W300" s="109">
        <f>IF(Table__192.168.1.150_Daily_Delinquency_With_Sectors[[#This Row],[Days in Arrears]] &gt; 90,1,0)</f>
        <v>0</v>
      </c>
    </row>
    <row r="301" spans="1:23" x14ac:dyDescent="0.25">
      <c r="A301" t="s">
        <v>891</v>
      </c>
      <c r="B301" t="s">
        <v>1284</v>
      </c>
      <c r="C301">
        <v>12</v>
      </c>
      <c r="D301" s="105">
        <v>39365416.740000002</v>
      </c>
      <c r="E301" t="s">
        <v>546</v>
      </c>
      <c r="F301" s="105">
        <v>427055.86</v>
      </c>
      <c r="G301" s="105">
        <v>55560073.270000003</v>
      </c>
      <c r="H301" s="143">
        <v>42685.711265127313</v>
      </c>
      <c r="I301" s="143">
        <v>43781</v>
      </c>
      <c r="J301" t="s">
        <v>892</v>
      </c>
      <c r="K301" t="s">
        <v>893</v>
      </c>
      <c r="L301" t="s">
        <v>1280</v>
      </c>
      <c r="M301">
        <v>102917</v>
      </c>
      <c r="N301" t="s">
        <v>890</v>
      </c>
      <c r="O301" t="s">
        <v>25</v>
      </c>
      <c r="P301" t="s">
        <v>26</v>
      </c>
      <c r="Q301" t="s">
        <v>26</v>
      </c>
      <c r="R301" s="105">
        <f>IF(Table__192.168.1.150_Daily_Delinquency_With_Sectors[[#This Row],[Days in Arrears]] &gt; 0, Table__192.168.1.150_Daily_Delinquency_With_Sectors[[#This Row],[Outstanding Balance]],0)</f>
        <v>39365416.740000002</v>
      </c>
      <c r="S301" s="105">
        <f>IF(Table__192.168.1.150_Daily_Delinquency_With_Sectors[[#This Row],[Days in Arrears]] &gt; 30, Table__192.168.1.150_Daily_Delinquency_With_Sectors[[#This Row],[Outstanding Balance]],0)</f>
        <v>0</v>
      </c>
      <c r="T301" s="105">
        <f>IF(Table__192.168.1.150_Daily_Delinquency_With_Sectors[[#This Row],[Days in Arrears]] &gt; 90, Table__192.168.1.150_Daily_Delinquency_With_Sectors[[#This Row],[Outstanding Balance]],0)</f>
        <v>0</v>
      </c>
      <c r="U301" s="109">
        <f>IF(Table__192.168.1.150_Daily_Delinquency_With_Sectors[[#This Row],[Days in Arrears]] &gt;= 1,1,0)</f>
        <v>1</v>
      </c>
      <c r="V301" s="109">
        <f>IF(Table__192.168.1.150_Daily_Delinquency_With_Sectors[[#This Row],[Days in Arrears]] &gt; 30,1,0)</f>
        <v>0</v>
      </c>
      <c r="W301" s="109">
        <f>IF(Table__192.168.1.150_Daily_Delinquency_With_Sectors[[#This Row],[Days in Arrears]] &gt; 90,1,0)</f>
        <v>0</v>
      </c>
    </row>
    <row r="302" spans="1:23" x14ac:dyDescent="0.25">
      <c r="A302" t="s">
        <v>3352</v>
      </c>
      <c r="B302" t="s">
        <v>1279</v>
      </c>
      <c r="C302">
        <v>42</v>
      </c>
      <c r="D302" s="105">
        <v>821473.39</v>
      </c>
      <c r="E302" t="s">
        <v>5725</v>
      </c>
      <c r="F302" s="105">
        <v>55226.51</v>
      </c>
      <c r="G302" s="105">
        <v>877329.56</v>
      </c>
      <c r="H302" s="143">
        <v>42686.502644872686</v>
      </c>
      <c r="I302" s="143">
        <v>43051</v>
      </c>
      <c r="J302" t="s">
        <v>3353</v>
      </c>
      <c r="K302" t="s">
        <v>3354</v>
      </c>
      <c r="L302" t="s">
        <v>1280</v>
      </c>
      <c r="M302">
        <v>102919</v>
      </c>
      <c r="N302" t="s">
        <v>3351</v>
      </c>
      <c r="O302" t="s">
        <v>45</v>
      </c>
      <c r="P302" t="s">
        <v>45</v>
      </c>
      <c r="Q302" t="s">
        <v>89</v>
      </c>
      <c r="R302" s="105">
        <f>IF(Table__192.168.1.150_Daily_Delinquency_With_Sectors[[#This Row],[Days in Arrears]] &gt; 0, Table__192.168.1.150_Daily_Delinquency_With_Sectors[[#This Row],[Outstanding Balance]],0)</f>
        <v>821473.39</v>
      </c>
      <c r="S302" s="105">
        <f>IF(Table__192.168.1.150_Daily_Delinquency_With_Sectors[[#This Row],[Days in Arrears]] &gt; 30, Table__192.168.1.150_Daily_Delinquency_With_Sectors[[#This Row],[Outstanding Balance]],0)</f>
        <v>821473.39</v>
      </c>
      <c r="T302" s="105">
        <f>IF(Table__192.168.1.150_Daily_Delinquency_With_Sectors[[#This Row],[Days in Arrears]] &gt; 90, Table__192.168.1.150_Daily_Delinquency_With_Sectors[[#This Row],[Outstanding Balance]],0)</f>
        <v>0</v>
      </c>
      <c r="U302" s="109">
        <f>IF(Table__192.168.1.150_Daily_Delinquency_With_Sectors[[#This Row],[Days in Arrears]] &gt;= 1,1,0)</f>
        <v>1</v>
      </c>
      <c r="V302" s="109">
        <f>IF(Table__192.168.1.150_Daily_Delinquency_With_Sectors[[#This Row],[Days in Arrears]] &gt; 30,1,0)</f>
        <v>1</v>
      </c>
      <c r="W302" s="109">
        <f>IF(Table__192.168.1.150_Daily_Delinquency_With_Sectors[[#This Row],[Days in Arrears]] &gt; 90,1,0)</f>
        <v>0</v>
      </c>
    </row>
    <row r="303" spans="1:23" x14ac:dyDescent="0.25">
      <c r="A303" t="s">
        <v>1536</v>
      </c>
      <c r="B303" t="s">
        <v>1281</v>
      </c>
      <c r="C303">
        <v>-20</v>
      </c>
      <c r="D303" s="105">
        <v>9628210.9199999999</v>
      </c>
      <c r="E303" t="s">
        <v>468</v>
      </c>
      <c r="F303" s="105">
        <v>101096.21</v>
      </c>
      <c r="G303" s="105">
        <v>11956383.52</v>
      </c>
      <c r="H303" s="143">
        <v>42688.730867858794</v>
      </c>
      <c r="I303" s="143">
        <v>43418</v>
      </c>
      <c r="J303" t="s">
        <v>1537</v>
      </c>
      <c r="K303" t="s">
        <v>1280</v>
      </c>
      <c r="L303" t="s">
        <v>1280</v>
      </c>
      <c r="M303">
        <v>102923</v>
      </c>
      <c r="N303" t="s">
        <v>1527</v>
      </c>
      <c r="O303" t="s">
        <v>25</v>
      </c>
      <c r="P303" t="s">
        <v>103</v>
      </c>
      <c r="Q303" t="s">
        <v>104</v>
      </c>
      <c r="R303" s="105">
        <f>IF(Table__192.168.1.150_Daily_Delinquency_With_Sectors[[#This Row],[Days in Arrears]] &gt; 0, Table__192.168.1.150_Daily_Delinquency_With_Sectors[[#This Row],[Outstanding Balance]],0)</f>
        <v>0</v>
      </c>
      <c r="S303" s="105">
        <f>IF(Table__192.168.1.150_Daily_Delinquency_With_Sectors[[#This Row],[Days in Arrears]] &gt; 30, Table__192.168.1.150_Daily_Delinquency_With_Sectors[[#This Row],[Outstanding Balance]],0)</f>
        <v>0</v>
      </c>
      <c r="T303" s="105">
        <f>IF(Table__192.168.1.150_Daily_Delinquency_With_Sectors[[#This Row],[Days in Arrears]] &gt; 90, Table__192.168.1.150_Daily_Delinquency_With_Sectors[[#This Row],[Outstanding Balance]],0)</f>
        <v>0</v>
      </c>
      <c r="U303" s="109">
        <f>IF(Table__192.168.1.150_Daily_Delinquency_With_Sectors[[#This Row],[Days in Arrears]] &gt;= 1,1,0)</f>
        <v>0</v>
      </c>
      <c r="V303" s="109">
        <f>IF(Table__192.168.1.150_Daily_Delinquency_With_Sectors[[#This Row],[Days in Arrears]] &gt; 30,1,0)</f>
        <v>0</v>
      </c>
      <c r="W303" s="109">
        <f>IF(Table__192.168.1.150_Daily_Delinquency_With_Sectors[[#This Row],[Days in Arrears]] &gt; 90,1,0)</f>
        <v>0</v>
      </c>
    </row>
    <row r="304" spans="1:23" x14ac:dyDescent="0.25">
      <c r="A304" t="s">
        <v>3375</v>
      </c>
      <c r="B304" t="s">
        <v>1281</v>
      </c>
      <c r="C304">
        <v>39</v>
      </c>
      <c r="D304" s="105">
        <v>3215479.8</v>
      </c>
      <c r="E304" t="s">
        <v>2494</v>
      </c>
      <c r="F304" s="105">
        <v>192004.07</v>
      </c>
      <c r="G304" s="105">
        <v>3409669.56</v>
      </c>
      <c r="H304" s="143">
        <v>42689.727213576392</v>
      </c>
      <c r="I304" s="143">
        <v>43054</v>
      </c>
      <c r="J304" t="s">
        <v>3376</v>
      </c>
      <c r="K304" t="s">
        <v>1280</v>
      </c>
      <c r="L304" t="s">
        <v>1280</v>
      </c>
      <c r="M304">
        <v>102926</v>
      </c>
      <c r="N304" t="s">
        <v>3373</v>
      </c>
      <c r="O304" t="s">
        <v>37</v>
      </c>
      <c r="P304" t="s">
        <v>38</v>
      </c>
      <c r="Q304" t="s">
        <v>39</v>
      </c>
      <c r="R304" s="105">
        <f>IF(Table__192.168.1.150_Daily_Delinquency_With_Sectors[[#This Row],[Days in Arrears]] &gt; 0, Table__192.168.1.150_Daily_Delinquency_With_Sectors[[#This Row],[Outstanding Balance]],0)</f>
        <v>3215479.8</v>
      </c>
      <c r="S304" s="105">
        <f>IF(Table__192.168.1.150_Daily_Delinquency_With_Sectors[[#This Row],[Days in Arrears]] &gt; 30, Table__192.168.1.150_Daily_Delinquency_With_Sectors[[#This Row],[Outstanding Balance]],0)</f>
        <v>3215479.8</v>
      </c>
      <c r="T304" s="105">
        <f>IF(Table__192.168.1.150_Daily_Delinquency_With_Sectors[[#This Row],[Days in Arrears]] &gt; 90, Table__192.168.1.150_Daily_Delinquency_With_Sectors[[#This Row],[Outstanding Balance]],0)</f>
        <v>0</v>
      </c>
      <c r="U304" s="109">
        <f>IF(Table__192.168.1.150_Daily_Delinquency_With_Sectors[[#This Row],[Days in Arrears]] &gt;= 1,1,0)</f>
        <v>1</v>
      </c>
      <c r="V304" s="109">
        <f>IF(Table__192.168.1.150_Daily_Delinquency_With_Sectors[[#This Row],[Days in Arrears]] &gt; 30,1,0)</f>
        <v>1</v>
      </c>
      <c r="W304" s="109">
        <f>IF(Table__192.168.1.150_Daily_Delinquency_With_Sectors[[#This Row],[Days in Arrears]] &gt; 90,1,0)</f>
        <v>0</v>
      </c>
    </row>
    <row r="305" spans="1:23" x14ac:dyDescent="0.25">
      <c r="A305" t="s">
        <v>3390</v>
      </c>
      <c r="B305" t="s">
        <v>1284</v>
      </c>
      <c r="C305">
        <v>8</v>
      </c>
      <c r="D305" s="105">
        <v>20186644.280000001</v>
      </c>
      <c r="E305" t="s">
        <v>491</v>
      </c>
      <c r="F305" s="105">
        <v>687736.63</v>
      </c>
      <c r="G305" s="105">
        <v>29930806.82</v>
      </c>
      <c r="H305" s="143">
        <v>42690.685126122684</v>
      </c>
      <c r="I305" s="143">
        <v>43785</v>
      </c>
      <c r="J305" t="s">
        <v>3391</v>
      </c>
      <c r="K305" t="s">
        <v>3392</v>
      </c>
      <c r="L305" t="s">
        <v>1280</v>
      </c>
      <c r="M305">
        <v>102928</v>
      </c>
      <c r="N305" t="s">
        <v>3385</v>
      </c>
      <c r="O305" t="s">
        <v>44</v>
      </c>
      <c r="P305" t="s">
        <v>75</v>
      </c>
      <c r="Q305" t="s">
        <v>1442</v>
      </c>
      <c r="R305" s="105">
        <f>IF(Table__192.168.1.150_Daily_Delinquency_With_Sectors[[#This Row],[Days in Arrears]] &gt; 0, Table__192.168.1.150_Daily_Delinquency_With_Sectors[[#This Row],[Outstanding Balance]],0)</f>
        <v>20186644.280000001</v>
      </c>
      <c r="S305" s="105">
        <f>IF(Table__192.168.1.150_Daily_Delinquency_With_Sectors[[#This Row],[Days in Arrears]] &gt; 30, Table__192.168.1.150_Daily_Delinquency_With_Sectors[[#This Row],[Outstanding Balance]],0)</f>
        <v>0</v>
      </c>
      <c r="T305" s="105">
        <f>IF(Table__192.168.1.150_Daily_Delinquency_With_Sectors[[#This Row],[Days in Arrears]] &gt; 90, Table__192.168.1.150_Daily_Delinquency_With_Sectors[[#This Row],[Outstanding Balance]],0)</f>
        <v>0</v>
      </c>
      <c r="U305" s="109">
        <f>IF(Table__192.168.1.150_Daily_Delinquency_With_Sectors[[#This Row],[Days in Arrears]] &gt;= 1,1,0)</f>
        <v>1</v>
      </c>
      <c r="V305" s="109">
        <f>IF(Table__192.168.1.150_Daily_Delinquency_With_Sectors[[#This Row],[Days in Arrears]] &gt; 30,1,0)</f>
        <v>0</v>
      </c>
      <c r="W305" s="109">
        <f>IF(Table__192.168.1.150_Daily_Delinquency_With_Sectors[[#This Row],[Days in Arrears]] &gt; 90,1,0)</f>
        <v>0</v>
      </c>
    </row>
    <row r="306" spans="1:23" x14ac:dyDescent="0.25">
      <c r="A306" t="s">
        <v>920</v>
      </c>
      <c r="B306" t="s">
        <v>1284</v>
      </c>
      <c r="C306">
        <v>-23</v>
      </c>
      <c r="D306" s="105">
        <v>56164676.759999998</v>
      </c>
      <c r="E306" t="s">
        <v>90</v>
      </c>
      <c r="F306" s="105">
        <v>336988.06</v>
      </c>
      <c r="G306" s="105">
        <v>92611990.459999993</v>
      </c>
      <c r="H306" s="143">
        <v>42691.430251157406</v>
      </c>
      <c r="I306" s="143">
        <v>44152</v>
      </c>
      <c r="J306" t="s">
        <v>921</v>
      </c>
      <c r="K306" t="s">
        <v>922</v>
      </c>
      <c r="L306" t="s">
        <v>1280</v>
      </c>
      <c r="M306">
        <v>102929</v>
      </c>
      <c r="N306" t="s">
        <v>919</v>
      </c>
      <c r="O306" t="s">
        <v>44</v>
      </c>
      <c r="P306" t="s">
        <v>75</v>
      </c>
      <c r="Q306" t="s">
        <v>26</v>
      </c>
      <c r="R306" s="105">
        <f>IF(Table__192.168.1.150_Daily_Delinquency_With_Sectors[[#This Row],[Days in Arrears]] &gt; 0, Table__192.168.1.150_Daily_Delinquency_With_Sectors[[#This Row],[Outstanding Balance]],0)</f>
        <v>0</v>
      </c>
      <c r="S306" s="105">
        <f>IF(Table__192.168.1.150_Daily_Delinquency_With_Sectors[[#This Row],[Days in Arrears]] &gt; 30, Table__192.168.1.150_Daily_Delinquency_With_Sectors[[#This Row],[Outstanding Balance]],0)</f>
        <v>0</v>
      </c>
      <c r="T306" s="105">
        <f>IF(Table__192.168.1.150_Daily_Delinquency_With_Sectors[[#This Row],[Days in Arrears]] &gt; 90, Table__192.168.1.150_Daily_Delinquency_With_Sectors[[#This Row],[Outstanding Balance]],0)</f>
        <v>0</v>
      </c>
      <c r="U306" s="109">
        <f>IF(Table__192.168.1.150_Daily_Delinquency_With_Sectors[[#This Row],[Days in Arrears]] &gt;= 1,1,0)</f>
        <v>0</v>
      </c>
      <c r="V306" s="109">
        <f>IF(Table__192.168.1.150_Daily_Delinquency_With_Sectors[[#This Row],[Days in Arrears]] &gt; 30,1,0)</f>
        <v>0</v>
      </c>
      <c r="W306" s="109">
        <f>IF(Table__192.168.1.150_Daily_Delinquency_With_Sectors[[#This Row],[Days in Arrears]] &gt; 90,1,0)</f>
        <v>0</v>
      </c>
    </row>
    <row r="307" spans="1:23" x14ac:dyDescent="0.25">
      <c r="A307" t="s">
        <v>3406</v>
      </c>
      <c r="B307" t="s">
        <v>1283</v>
      </c>
      <c r="C307">
        <v>-23</v>
      </c>
      <c r="D307" s="105">
        <v>50421285.609999999</v>
      </c>
      <c r="E307" t="s">
        <v>86</v>
      </c>
      <c r="F307" s="105">
        <v>302527.71000000002</v>
      </c>
      <c r="G307" s="105">
        <v>71453919.040000007</v>
      </c>
      <c r="H307" s="143">
        <v>42691.780292905096</v>
      </c>
      <c r="I307" s="143">
        <v>43786</v>
      </c>
      <c r="J307" t="s">
        <v>3407</v>
      </c>
      <c r="K307" t="s">
        <v>3408</v>
      </c>
      <c r="L307" t="s">
        <v>1280</v>
      </c>
      <c r="M307">
        <v>102932</v>
      </c>
      <c r="N307" t="s">
        <v>3393</v>
      </c>
      <c r="O307" t="s">
        <v>31</v>
      </c>
      <c r="P307" t="s">
        <v>298</v>
      </c>
      <c r="Q307" t="s">
        <v>298</v>
      </c>
      <c r="R307" s="105">
        <f>IF(Table__192.168.1.150_Daily_Delinquency_With_Sectors[[#This Row],[Days in Arrears]] &gt; 0, Table__192.168.1.150_Daily_Delinquency_With_Sectors[[#This Row],[Outstanding Balance]],0)</f>
        <v>0</v>
      </c>
      <c r="S307" s="105">
        <f>IF(Table__192.168.1.150_Daily_Delinquency_With_Sectors[[#This Row],[Days in Arrears]] &gt; 30, Table__192.168.1.150_Daily_Delinquency_With_Sectors[[#This Row],[Outstanding Balance]],0)</f>
        <v>0</v>
      </c>
      <c r="T307" s="105">
        <f>IF(Table__192.168.1.150_Daily_Delinquency_With_Sectors[[#This Row],[Days in Arrears]] &gt; 90, Table__192.168.1.150_Daily_Delinquency_With_Sectors[[#This Row],[Outstanding Balance]],0)</f>
        <v>0</v>
      </c>
      <c r="U307" s="109">
        <f>IF(Table__192.168.1.150_Daily_Delinquency_With_Sectors[[#This Row],[Days in Arrears]] &gt;= 1,1,0)</f>
        <v>0</v>
      </c>
      <c r="V307" s="109">
        <f>IF(Table__192.168.1.150_Daily_Delinquency_With_Sectors[[#This Row],[Days in Arrears]] &gt; 30,1,0)</f>
        <v>0</v>
      </c>
      <c r="W307" s="109">
        <f>IF(Table__192.168.1.150_Daily_Delinquency_With_Sectors[[#This Row],[Days in Arrears]] &gt; 90,1,0)</f>
        <v>0</v>
      </c>
    </row>
    <row r="308" spans="1:23" x14ac:dyDescent="0.25">
      <c r="A308" t="s">
        <v>241</v>
      </c>
      <c r="B308" t="s">
        <v>1283</v>
      </c>
      <c r="C308">
        <v>65</v>
      </c>
      <c r="D308" s="105">
        <v>35245210.909999996</v>
      </c>
      <c r="E308" t="s">
        <v>5725</v>
      </c>
      <c r="F308" s="105">
        <v>2087250.13</v>
      </c>
      <c r="G308" s="105">
        <v>44285561.93</v>
      </c>
      <c r="H308" s="143">
        <v>42693.545957638889</v>
      </c>
      <c r="I308" s="143">
        <v>43423</v>
      </c>
      <c r="J308" t="s">
        <v>242</v>
      </c>
      <c r="K308" t="s">
        <v>1280</v>
      </c>
      <c r="L308" t="s">
        <v>1280</v>
      </c>
      <c r="M308">
        <v>102933</v>
      </c>
      <c r="N308" t="s">
        <v>79</v>
      </c>
      <c r="O308" t="s">
        <v>27</v>
      </c>
      <c r="P308" t="s">
        <v>116</v>
      </c>
      <c r="Q308" t="s">
        <v>3426</v>
      </c>
      <c r="R308" s="105">
        <f>IF(Table__192.168.1.150_Daily_Delinquency_With_Sectors[[#This Row],[Days in Arrears]] &gt; 0, Table__192.168.1.150_Daily_Delinquency_With_Sectors[[#This Row],[Outstanding Balance]],0)</f>
        <v>35245210.909999996</v>
      </c>
      <c r="S308" s="105">
        <f>IF(Table__192.168.1.150_Daily_Delinquency_With_Sectors[[#This Row],[Days in Arrears]] &gt; 30, Table__192.168.1.150_Daily_Delinquency_With_Sectors[[#This Row],[Outstanding Balance]],0)</f>
        <v>35245210.909999996</v>
      </c>
      <c r="T308" s="105">
        <f>IF(Table__192.168.1.150_Daily_Delinquency_With_Sectors[[#This Row],[Days in Arrears]] &gt; 90, Table__192.168.1.150_Daily_Delinquency_With_Sectors[[#This Row],[Outstanding Balance]],0)</f>
        <v>0</v>
      </c>
      <c r="U308" s="109">
        <f>IF(Table__192.168.1.150_Daily_Delinquency_With_Sectors[[#This Row],[Days in Arrears]] &gt;= 1,1,0)</f>
        <v>1</v>
      </c>
      <c r="V308" s="109">
        <f>IF(Table__192.168.1.150_Daily_Delinquency_With_Sectors[[#This Row],[Days in Arrears]] &gt; 30,1,0)</f>
        <v>1</v>
      </c>
      <c r="W308" s="109">
        <f>IF(Table__192.168.1.150_Daily_Delinquency_With_Sectors[[#This Row],[Days in Arrears]] &gt; 90,1,0)</f>
        <v>0</v>
      </c>
    </row>
    <row r="309" spans="1:23" x14ac:dyDescent="0.25">
      <c r="A309" t="s">
        <v>1052</v>
      </c>
      <c r="B309" t="s">
        <v>1284</v>
      </c>
      <c r="C309">
        <v>3</v>
      </c>
      <c r="D309" s="105">
        <v>15951764.710000001</v>
      </c>
      <c r="E309" t="s">
        <v>3074</v>
      </c>
      <c r="F309" s="105">
        <v>410719.2</v>
      </c>
      <c r="G309" s="105">
        <v>22803035.010000002</v>
      </c>
      <c r="H309" s="143">
        <v>42695.465715706021</v>
      </c>
      <c r="I309" s="143">
        <v>43790</v>
      </c>
      <c r="J309" t="s">
        <v>1053</v>
      </c>
      <c r="K309" t="s">
        <v>1280</v>
      </c>
      <c r="L309" t="s">
        <v>1280</v>
      </c>
      <c r="M309">
        <v>102935</v>
      </c>
      <c r="N309" t="s">
        <v>1051</v>
      </c>
      <c r="O309" t="s">
        <v>36</v>
      </c>
      <c r="P309" t="s">
        <v>97</v>
      </c>
      <c r="Q309" t="s">
        <v>98</v>
      </c>
      <c r="R309" s="105">
        <f>IF(Table__192.168.1.150_Daily_Delinquency_With_Sectors[[#This Row],[Days in Arrears]] &gt; 0, Table__192.168.1.150_Daily_Delinquency_With_Sectors[[#This Row],[Outstanding Balance]],0)</f>
        <v>15951764.710000001</v>
      </c>
      <c r="S309" s="105">
        <f>IF(Table__192.168.1.150_Daily_Delinquency_With_Sectors[[#This Row],[Days in Arrears]] &gt; 30, Table__192.168.1.150_Daily_Delinquency_With_Sectors[[#This Row],[Outstanding Balance]],0)</f>
        <v>0</v>
      </c>
      <c r="T309" s="105">
        <f>IF(Table__192.168.1.150_Daily_Delinquency_With_Sectors[[#This Row],[Days in Arrears]] &gt; 90, Table__192.168.1.150_Daily_Delinquency_With_Sectors[[#This Row],[Outstanding Balance]],0)</f>
        <v>0</v>
      </c>
      <c r="U309" s="109">
        <f>IF(Table__192.168.1.150_Daily_Delinquency_With_Sectors[[#This Row],[Days in Arrears]] &gt;= 1,1,0)</f>
        <v>1</v>
      </c>
      <c r="V309" s="109">
        <f>IF(Table__192.168.1.150_Daily_Delinquency_With_Sectors[[#This Row],[Days in Arrears]] &gt; 30,1,0)</f>
        <v>0</v>
      </c>
      <c r="W309" s="109">
        <f>IF(Table__192.168.1.150_Daily_Delinquency_With_Sectors[[#This Row],[Days in Arrears]] &gt; 90,1,0)</f>
        <v>0</v>
      </c>
    </row>
    <row r="310" spans="1:23" x14ac:dyDescent="0.25">
      <c r="A310" t="s">
        <v>3447</v>
      </c>
      <c r="B310" t="s">
        <v>1282</v>
      </c>
      <c r="C310">
        <v>2</v>
      </c>
      <c r="D310" s="105">
        <v>307362.03000000003</v>
      </c>
      <c r="E310" t="s">
        <v>90</v>
      </c>
      <c r="F310" s="105">
        <v>6269.13</v>
      </c>
      <c r="G310" s="105">
        <v>313631.15999999997</v>
      </c>
      <c r="H310" s="143">
        <v>42696.624011689812</v>
      </c>
      <c r="I310" s="143">
        <v>43061</v>
      </c>
      <c r="J310" t="s">
        <v>3448</v>
      </c>
      <c r="K310" t="s">
        <v>3449</v>
      </c>
      <c r="L310" t="s">
        <v>1280</v>
      </c>
      <c r="M310">
        <v>102936</v>
      </c>
      <c r="N310" t="s">
        <v>3446</v>
      </c>
      <c r="O310" t="s">
        <v>44</v>
      </c>
      <c r="P310" t="s">
        <v>75</v>
      </c>
      <c r="Q310" t="s">
        <v>26</v>
      </c>
      <c r="R310" s="105">
        <f>IF(Table__192.168.1.150_Daily_Delinquency_With_Sectors[[#This Row],[Days in Arrears]] &gt; 0, Table__192.168.1.150_Daily_Delinquency_With_Sectors[[#This Row],[Outstanding Balance]],0)</f>
        <v>307362.03000000003</v>
      </c>
      <c r="S310" s="105">
        <f>IF(Table__192.168.1.150_Daily_Delinquency_With_Sectors[[#This Row],[Days in Arrears]] &gt; 30, Table__192.168.1.150_Daily_Delinquency_With_Sectors[[#This Row],[Outstanding Balance]],0)</f>
        <v>0</v>
      </c>
      <c r="T310" s="105">
        <f>IF(Table__192.168.1.150_Daily_Delinquency_With_Sectors[[#This Row],[Days in Arrears]] &gt; 90, Table__192.168.1.150_Daily_Delinquency_With_Sectors[[#This Row],[Outstanding Balance]],0)</f>
        <v>0</v>
      </c>
      <c r="U310" s="109">
        <f>IF(Table__192.168.1.150_Daily_Delinquency_With_Sectors[[#This Row],[Days in Arrears]] &gt;= 1,1,0)</f>
        <v>1</v>
      </c>
      <c r="V310" s="109">
        <f>IF(Table__192.168.1.150_Daily_Delinquency_With_Sectors[[#This Row],[Days in Arrears]] &gt; 30,1,0)</f>
        <v>0</v>
      </c>
      <c r="W310" s="109">
        <f>IF(Table__192.168.1.150_Daily_Delinquency_With_Sectors[[#This Row],[Days in Arrears]] &gt; 90,1,0)</f>
        <v>0</v>
      </c>
    </row>
    <row r="311" spans="1:23" x14ac:dyDescent="0.25">
      <c r="A311" t="s">
        <v>1476</v>
      </c>
      <c r="B311" t="s">
        <v>1283</v>
      </c>
      <c r="C311">
        <v>2</v>
      </c>
      <c r="D311" s="105">
        <v>21978832.079999998</v>
      </c>
      <c r="E311" t="s">
        <v>86</v>
      </c>
      <c r="F311" s="105">
        <v>500039.18</v>
      </c>
      <c r="G311" s="105">
        <v>26686676.91</v>
      </c>
      <c r="H311" s="143">
        <v>42696.410496215278</v>
      </c>
      <c r="I311" s="143">
        <v>43426</v>
      </c>
      <c r="J311" t="s">
        <v>1477</v>
      </c>
      <c r="K311" t="s">
        <v>1478</v>
      </c>
      <c r="L311" t="s">
        <v>1280</v>
      </c>
      <c r="M311">
        <v>102937</v>
      </c>
      <c r="N311" t="s">
        <v>1446</v>
      </c>
      <c r="O311" t="s">
        <v>37</v>
      </c>
      <c r="P311" t="s">
        <v>288</v>
      </c>
      <c r="Q311" t="s">
        <v>26</v>
      </c>
      <c r="R311" s="105">
        <f>IF(Table__192.168.1.150_Daily_Delinquency_With_Sectors[[#This Row],[Days in Arrears]] &gt; 0, Table__192.168.1.150_Daily_Delinquency_With_Sectors[[#This Row],[Outstanding Balance]],0)</f>
        <v>21978832.079999998</v>
      </c>
      <c r="S311" s="105">
        <f>IF(Table__192.168.1.150_Daily_Delinquency_With_Sectors[[#This Row],[Days in Arrears]] &gt; 30, Table__192.168.1.150_Daily_Delinquency_With_Sectors[[#This Row],[Outstanding Balance]],0)</f>
        <v>0</v>
      </c>
      <c r="T311" s="105">
        <f>IF(Table__192.168.1.150_Daily_Delinquency_With_Sectors[[#This Row],[Days in Arrears]] &gt; 90, Table__192.168.1.150_Daily_Delinquency_With_Sectors[[#This Row],[Outstanding Balance]],0)</f>
        <v>0</v>
      </c>
      <c r="U311" s="109">
        <f>IF(Table__192.168.1.150_Daily_Delinquency_With_Sectors[[#This Row],[Days in Arrears]] &gt;= 1,1,0)</f>
        <v>1</v>
      </c>
      <c r="V311" s="109">
        <f>IF(Table__192.168.1.150_Daily_Delinquency_With_Sectors[[#This Row],[Days in Arrears]] &gt; 30,1,0)</f>
        <v>0</v>
      </c>
      <c r="W311" s="109">
        <f>IF(Table__192.168.1.150_Daily_Delinquency_With_Sectors[[#This Row],[Days in Arrears]] &gt; 90,1,0)</f>
        <v>0</v>
      </c>
    </row>
    <row r="312" spans="1:23" x14ac:dyDescent="0.25">
      <c r="A312" t="s">
        <v>1587</v>
      </c>
      <c r="B312" t="s">
        <v>1283</v>
      </c>
      <c r="C312">
        <v>2</v>
      </c>
      <c r="D312" s="105">
        <v>51843235.170000002</v>
      </c>
      <c r="E312" t="s">
        <v>2855</v>
      </c>
      <c r="F312" s="105">
        <v>1398456.93</v>
      </c>
      <c r="G312" s="105">
        <v>74223904.239999995</v>
      </c>
      <c r="H312" s="143">
        <v>42696.446680520836</v>
      </c>
      <c r="I312" s="143">
        <v>43791</v>
      </c>
      <c r="J312" t="s">
        <v>1588</v>
      </c>
      <c r="K312" t="s">
        <v>1280</v>
      </c>
      <c r="L312" t="s">
        <v>1280</v>
      </c>
      <c r="M312">
        <v>102938</v>
      </c>
      <c r="N312" t="s">
        <v>1561</v>
      </c>
      <c r="O312" t="s">
        <v>44</v>
      </c>
      <c r="P312" t="s">
        <v>75</v>
      </c>
      <c r="Q312" t="s">
        <v>26</v>
      </c>
      <c r="R312" s="105">
        <f>IF(Table__192.168.1.150_Daily_Delinquency_With_Sectors[[#This Row],[Days in Arrears]] &gt; 0, Table__192.168.1.150_Daily_Delinquency_With_Sectors[[#This Row],[Outstanding Balance]],0)</f>
        <v>51843235.170000002</v>
      </c>
      <c r="S312" s="105">
        <f>IF(Table__192.168.1.150_Daily_Delinquency_With_Sectors[[#This Row],[Days in Arrears]] &gt; 30, Table__192.168.1.150_Daily_Delinquency_With_Sectors[[#This Row],[Outstanding Balance]],0)</f>
        <v>0</v>
      </c>
      <c r="T312" s="105">
        <f>IF(Table__192.168.1.150_Daily_Delinquency_With_Sectors[[#This Row],[Days in Arrears]] &gt; 90, Table__192.168.1.150_Daily_Delinquency_With_Sectors[[#This Row],[Outstanding Balance]],0)</f>
        <v>0</v>
      </c>
      <c r="U312" s="109">
        <f>IF(Table__192.168.1.150_Daily_Delinquency_With_Sectors[[#This Row],[Days in Arrears]] &gt;= 1,1,0)</f>
        <v>1</v>
      </c>
      <c r="V312" s="109">
        <f>IF(Table__192.168.1.150_Daily_Delinquency_With_Sectors[[#This Row],[Days in Arrears]] &gt; 30,1,0)</f>
        <v>0</v>
      </c>
      <c r="W312" s="109">
        <f>IF(Table__192.168.1.150_Daily_Delinquency_With_Sectors[[#This Row],[Days in Arrears]] &gt; 90,1,0)</f>
        <v>0</v>
      </c>
    </row>
    <row r="313" spans="1:23" x14ac:dyDescent="0.25">
      <c r="A313" t="s">
        <v>1671</v>
      </c>
      <c r="B313" t="s">
        <v>1283</v>
      </c>
      <c r="C313">
        <v>-28</v>
      </c>
      <c r="D313" s="105">
        <v>24047074.66</v>
      </c>
      <c r="E313" t="s">
        <v>2538</v>
      </c>
      <c r="F313" s="105">
        <v>24047.07</v>
      </c>
      <c r="G313" s="105">
        <v>34078022.880000003</v>
      </c>
      <c r="H313" s="143">
        <v>42696.639129594907</v>
      </c>
      <c r="I313" s="143">
        <v>43791</v>
      </c>
      <c r="J313" t="s">
        <v>1672</v>
      </c>
      <c r="K313" t="s">
        <v>1280</v>
      </c>
      <c r="L313" t="s">
        <v>1280</v>
      </c>
      <c r="M313">
        <v>102939</v>
      </c>
      <c r="N313" t="s">
        <v>1670</v>
      </c>
      <c r="O313" t="s">
        <v>45</v>
      </c>
      <c r="P313" t="s">
        <v>45</v>
      </c>
      <c r="Q313" t="s">
        <v>89</v>
      </c>
      <c r="R313" s="105">
        <f>IF(Table__192.168.1.150_Daily_Delinquency_With_Sectors[[#This Row],[Days in Arrears]] &gt; 0, Table__192.168.1.150_Daily_Delinquency_With_Sectors[[#This Row],[Outstanding Balance]],0)</f>
        <v>0</v>
      </c>
      <c r="S313" s="105">
        <f>IF(Table__192.168.1.150_Daily_Delinquency_With_Sectors[[#This Row],[Days in Arrears]] &gt; 30, Table__192.168.1.150_Daily_Delinquency_With_Sectors[[#This Row],[Outstanding Balance]],0)</f>
        <v>0</v>
      </c>
      <c r="T313" s="105">
        <f>IF(Table__192.168.1.150_Daily_Delinquency_With_Sectors[[#This Row],[Days in Arrears]] &gt; 90, Table__192.168.1.150_Daily_Delinquency_With_Sectors[[#This Row],[Outstanding Balance]],0)</f>
        <v>0</v>
      </c>
      <c r="U313" s="109">
        <f>IF(Table__192.168.1.150_Daily_Delinquency_With_Sectors[[#This Row],[Days in Arrears]] &gt;= 1,1,0)</f>
        <v>0</v>
      </c>
      <c r="V313" s="109">
        <f>IF(Table__192.168.1.150_Daily_Delinquency_With_Sectors[[#This Row],[Days in Arrears]] &gt; 30,1,0)</f>
        <v>0</v>
      </c>
      <c r="W313" s="109">
        <f>IF(Table__192.168.1.150_Daily_Delinquency_With_Sectors[[#This Row],[Days in Arrears]] &gt; 90,1,0)</f>
        <v>0</v>
      </c>
    </row>
    <row r="314" spans="1:23" x14ac:dyDescent="0.25">
      <c r="A314" t="s">
        <v>1496</v>
      </c>
      <c r="B314" t="s">
        <v>1281</v>
      </c>
      <c r="C314">
        <v>0</v>
      </c>
      <c r="D314" s="105">
        <v>24368329.510000002</v>
      </c>
      <c r="E314" t="s">
        <v>90</v>
      </c>
      <c r="F314" s="105">
        <v>824461.82</v>
      </c>
      <c r="G314" s="105">
        <v>36963122.310000002</v>
      </c>
      <c r="H314" s="143">
        <v>42698.645172337965</v>
      </c>
      <c r="I314" s="143">
        <v>43793</v>
      </c>
      <c r="J314" t="s">
        <v>1497</v>
      </c>
      <c r="K314" t="s">
        <v>1498</v>
      </c>
      <c r="L314" t="s">
        <v>1280</v>
      </c>
      <c r="M314">
        <v>102942</v>
      </c>
      <c r="N314" t="s">
        <v>1495</v>
      </c>
      <c r="O314" t="s">
        <v>25</v>
      </c>
      <c r="P314" t="s">
        <v>88</v>
      </c>
      <c r="Q314" t="s">
        <v>26</v>
      </c>
      <c r="R314" s="105">
        <f>IF(Table__192.168.1.150_Daily_Delinquency_With_Sectors[[#This Row],[Days in Arrears]] &gt; 0, Table__192.168.1.150_Daily_Delinquency_With_Sectors[[#This Row],[Outstanding Balance]],0)</f>
        <v>0</v>
      </c>
      <c r="S314" s="105">
        <f>IF(Table__192.168.1.150_Daily_Delinquency_With_Sectors[[#This Row],[Days in Arrears]] &gt; 30, Table__192.168.1.150_Daily_Delinquency_With_Sectors[[#This Row],[Outstanding Balance]],0)</f>
        <v>0</v>
      </c>
      <c r="T314" s="105">
        <f>IF(Table__192.168.1.150_Daily_Delinquency_With_Sectors[[#This Row],[Days in Arrears]] &gt; 90, Table__192.168.1.150_Daily_Delinquency_With_Sectors[[#This Row],[Outstanding Balance]],0)</f>
        <v>0</v>
      </c>
      <c r="U314" s="109">
        <f>IF(Table__192.168.1.150_Daily_Delinquency_With_Sectors[[#This Row],[Days in Arrears]] &gt;= 1,1,0)</f>
        <v>0</v>
      </c>
      <c r="V314" s="109">
        <f>IF(Table__192.168.1.150_Daily_Delinquency_With_Sectors[[#This Row],[Days in Arrears]] &gt; 30,1,0)</f>
        <v>0</v>
      </c>
      <c r="W314" s="109">
        <f>IF(Table__192.168.1.150_Daily_Delinquency_With_Sectors[[#This Row],[Days in Arrears]] &gt; 90,1,0)</f>
        <v>0</v>
      </c>
    </row>
    <row r="315" spans="1:23" x14ac:dyDescent="0.25">
      <c r="A315" t="s">
        <v>1120</v>
      </c>
      <c r="B315" t="s">
        <v>1282</v>
      </c>
      <c r="C315">
        <v>0</v>
      </c>
      <c r="D315" s="105">
        <v>524718.64</v>
      </c>
      <c r="E315" t="s">
        <v>2855</v>
      </c>
      <c r="F315" s="105">
        <v>22825.26</v>
      </c>
      <c r="G315" s="105">
        <v>548330.98</v>
      </c>
      <c r="H315" s="143">
        <v>42698.594912384258</v>
      </c>
      <c r="I315" s="143">
        <v>43063</v>
      </c>
      <c r="J315" t="s">
        <v>1121</v>
      </c>
      <c r="K315" t="s">
        <v>1122</v>
      </c>
      <c r="L315" t="s">
        <v>1280</v>
      </c>
      <c r="M315">
        <v>102944</v>
      </c>
      <c r="N315" t="s">
        <v>1119</v>
      </c>
      <c r="O315" t="s">
        <v>44</v>
      </c>
      <c r="P315" t="s">
        <v>75</v>
      </c>
      <c r="Q315" t="s">
        <v>1442</v>
      </c>
      <c r="R315" s="105">
        <f>IF(Table__192.168.1.150_Daily_Delinquency_With_Sectors[[#This Row],[Days in Arrears]] &gt; 0, Table__192.168.1.150_Daily_Delinquency_With_Sectors[[#This Row],[Outstanding Balance]],0)</f>
        <v>0</v>
      </c>
      <c r="S315" s="105">
        <f>IF(Table__192.168.1.150_Daily_Delinquency_With_Sectors[[#This Row],[Days in Arrears]] &gt; 30, Table__192.168.1.150_Daily_Delinquency_With_Sectors[[#This Row],[Outstanding Balance]],0)</f>
        <v>0</v>
      </c>
      <c r="T315" s="105">
        <f>IF(Table__192.168.1.150_Daily_Delinquency_With_Sectors[[#This Row],[Days in Arrears]] &gt; 90, Table__192.168.1.150_Daily_Delinquency_With_Sectors[[#This Row],[Outstanding Balance]],0)</f>
        <v>0</v>
      </c>
      <c r="U315" s="109">
        <f>IF(Table__192.168.1.150_Daily_Delinquency_With_Sectors[[#This Row],[Days in Arrears]] &gt;= 1,1,0)</f>
        <v>0</v>
      </c>
      <c r="V315" s="109">
        <f>IF(Table__192.168.1.150_Daily_Delinquency_With_Sectors[[#This Row],[Days in Arrears]] &gt; 30,1,0)</f>
        <v>0</v>
      </c>
      <c r="W315" s="109">
        <f>IF(Table__192.168.1.150_Daily_Delinquency_With_Sectors[[#This Row],[Days in Arrears]] &gt; 90,1,0)</f>
        <v>0</v>
      </c>
    </row>
    <row r="316" spans="1:23" x14ac:dyDescent="0.25">
      <c r="A316" t="s">
        <v>1025</v>
      </c>
      <c r="B316" t="s">
        <v>1283</v>
      </c>
      <c r="C316">
        <v>0</v>
      </c>
      <c r="D316" s="105">
        <v>43867352.810000002</v>
      </c>
      <c r="E316" t="s">
        <v>468</v>
      </c>
      <c r="F316" s="105">
        <v>1272153.23</v>
      </c>
      <c r="G316" s="105">
        <v>62980217.009999998</v>
      </c>
      <c r="H316" s="143">
        <v>42698.788664467589</v>
      </c>
      <c r="I316" s="143">
        <v>43793</v>
      </c>
      <c r="J316" t="s">
        <v>1026</v>
      </c>
      <c r="K316" t="s">
        <v>1027</v>
      </c>
      <c r="L316" t="s">
        <v>1280</v>
      </c>
      <c r="M316">
        <v>102945</v>
      </c>
      <c r="N316" t="s">
        <v>1022</v>
      </c>
      <c r="O316" t="s">
        <v>36</v>
      </c>
      <c r="P316" t="s">
        <v>3461</v>
      </c>
      <c r="Q316" t="s">
        <v>3462</v>
      </c>
      <c r="R316" s="105">
        <f>IF(Table__192.168.1.150_Daily_Delinquency_With_Sectors[[#This Row],[Days in Arrears]] &gt; 0, Table__192.168.1.150_Daily_Delinquency_With_Sectors[[#This Row],[Outstanding Balance]],0)</f>
        <v>0</v>
      </c>
      <c r="S316" s="105">
        <f>IF(Table__192.168.1.150_Daily_Delinquency_With_Sectors[[#This Row],[Days in Arrears]] &gt; 30, Table__192.168.1.150_Daily_Delinquency_With_Sectors[[#This Row],[Outstanding Balance]],0)</f>
        <v>0</v>
      </c>
      <c r="T316" s="105">
        <f>IF(Table__192.168.1.150_Daily_Delinquency_With_Sectors[[#This Row],[Days in Arrears]] &gt; 90, Table__192.168.1.150_Daily_Delinquency_With_Sectors[[#This Row],[Outstanding Balance]],0)</f>
        <v>0</v>
      </c>
      <c r="U316" s="109">
        <f>IF(Table__192.168.1.150_Daily_Delinquency_With_Sectors[[#This Row],[Days in Arrears]] &gt;= 1,1,0)</f>
        <v>0</v>
      </c>
      <c r="V316" s="109">
        <f>IF(Table__192.168.1.150_Daily_Delinquency_With_Sectors[[#This Row],[Days in Arrears]] &gt; 30,1,0)</f>
        <v>0</v>
      </c>
      <c r="W316" s="109">
        <f>IF(Table__192.168.1.150_Daily_Delinquency_With_Sectors[[#This Row],[Days in Arrears]] &gt; 90,1,0)</f>
        <v>0</v>
      </c>
    </row>
    <row r="317" spans="1:23" x14ac:dyDescent="0.25">
      <c r="A317" t="s">
        <v>1870</v>
      </c>
      <c r="B317" t="s">
        <v>1282</v>
      </c>
      <c r="C317">
        <v>-8</v>
      </c>
      <c r="D317" s="105">
        <v>723614.31</v>
      </c>
      <c r="E317" t="s">
        <v>5167</v>
      </c>
      <c r="F317" s="105">
        <v>20261.2</v>
      </c>
      <c r="G317" s="105">
        <v>752558.88</v>
      </c>
      <c r="H317" s="143">
        <v>42699.590798611112</v>
      </c>
      <c r="I317" s="143">
        <v>43071</v>
      </c>
      <c r="J317" t="s">
        <v>1871</v>
      </c>
      <c r="K317" t="s">
        <v>1872</v>
      </c>
      <c r="L317" t="s">
        <v>1280</v>
      </c>
      <c r="M317">
        <v>102946</v>
      </c>
      <c r="N317" t="s">
        <v>776</v>
      </c>
      <c r="O317" t="s">
        <v>25</v>
      </c>
      <c r="P317" t="s">
        <v>106</v>
      </c>
      <c r="Q317" t="s">
        <v>26</v>
      </c>
      <c r="R317" s="105">
        <f>IF(Table__192.168.1.150_Daily_Delinquency_With_Sectors[[#This Row],[Days in Arrears]] &gt; 0, Table__192.168.1.150_Daily_Delinquency_With_Sectors[[#This Row],[Outstanding Balance]],0)</f>
        <v>0</v>
      </c>
      <c r="S317" s="105">
        <f>IF(Table__192.168.1.150_Daily_Delinquency_With_Sectors[[#This Row],[Days in Arrears]] &gt; 30, Table__192.168.1.150_Daily_Delinquency_With_Sectors[[#This Row],[Outstanding Balance]],0)</f>
        <v>0</v>
      </c>
      <c r="T317" s="105">
        <f>IF(Table__192.168.1.150_Daily_Delinquency_With_Sectors[[#This Row],[Days in Arrears]] &gt; 90, Table__192.168.1.150_Daily_Delinquency_With_Sectors[[#This Row],[Outstanding Balance]],0)</f>
        <v>0</v>
      </c>
      <c r="U317" s="109">
        <f>IF(Table__192.168.1.150_Daily_Delinquency_With_Sectors[[#This Row],[Days in Arrears]] &gt;= 1,1,0)</f>
        <v>0</v>
      </c>
      <c r="V317" s="109">
        <f>IF(Table__192.168.1.150_Daily_Delinquency_With_Sectors[[#This Row],[Days in Arrears]] &gt; 30,1,0)</f>
        <v>0</v>
      </c>
      <c r="W317" s="109">
        <f>IF(Table__192.168.1.150_Daily_Delinquency_With_Sectors[[#This Row],[Days in Arrears]] &gt; 90,1,0)</f>
        <v>0</v>
      </c>
    </row>
    <row r="318" spans="1:23" x14ac:dyDescent="0.25">
      <c r="A318" t="s">
        <v>458</v>
      </c>
      <c r="B318" t="s">
        <v>1282</v>
      </c>
      <c r="C318">
        <v>22</v>
      </c>
      <c r="D318" s="105">
        <v>3963617.78</v>
      </c>
      <c r="E318" t="s">
        <v>963</v>
      </c>
      <c r="F318" s="105">
        <v>110680.65</v>
      </c>
      <c r="G318" s="105">
        <v>4366654.16</v>
      </c>
      <c r="H318" s="143">
        <v>42699.680538541666</v>
      </c>
      <c r="I318" s="143">
        <v>43161</v>
      </c>
      <c r="J318" t="s">
        <v>459</v>
      </c>
      <c r="K318" t="s">
        <v>460</v>
      </c>
      <c r="L318" t="s">
        <v>1280</v>
      </c>
      <c r="M318">
        <v>102948</v>
      </c>
      <c r="N318" t="s">
        <v>457</v>
      </c>
      <c r="O318" t="s">
        <v>25</v>
      </c>
      <c r="P318" t="s">
        <v>88</v>
      </c>
      <c r="Q318" t="s">
        <v>285</v>
      </c>
      <c r="R318" s="105">
        <f>IF(Table__192.168.1.150_Daily_Delinquency_With_Sectors[[#This Row],[Days in Arrears]] &gt; 0, Table__192.168.1.150_Daily_Delinquency_With_Sectors[[#This Row],[Outstanding Balance]],0)</f>
        <v>3963617.78</v>
      </c>
      <c r="S318" s="105">
        <f>IF(Table__192.168.1.150_Daily_Delinquency_With_Sectors[[#This Row],[Days in Arrears]] &gt; 30, Table__192.168.1.150_Daily_Delinquency_With_Sectors[[#This Row],[Outstanding Balance]],0)</f>
        <v>0</v>
      </c>
      <c r="T318" s="105">
        <f>IF(Table__192.168.1.150_Daily_Delinquency_With_Sectors[[#This Row],[Days in Arrears]] &gt; 90, Table__192.168.1.150_Daily_Delinquency_With_Sectors[[#This Row],[Outstanding Balance]],0)</f>
        <v>0</v>
      </c>
      <c r="U318" s="109">
        <f>IF(Table__192.168.1.150_Daily_Delinquency_With_Sectors[[#This Row],[Days in Arrears]] &gt;= 1,1,0)</f>
        <v>1</v>
      </c>
      <c r="V318" s="109">
        <f>IF(Table__192.168.1.150_Daily_Delinquency_With_Sectors[[#This Row],[Days in Arrears]] &gt; 30,1,0)</f>
        <v>0</v>
      </c>
      <c r="W318" s="109">
        <f>IF(Table__192.168.1.150_Daily_Delinquency_With_Sectors[[#This Row],[Days in Arrears]] &gt; 90,1,0)</f>
        <v>0</v>
      </c>
    </row>
    <row r="319" spans="1:23" x14ac:dyDescent="0.25">
      <c r="A319" t="s">
        <v>3491</v>
      </c>
      <c r="B319" t="s">
        <v>1284</v>
      </c>
      <c r="C319">
        <v>29</v>
      </c>
      <c r="D319" s="105">
        <v>6510659.5899999999</v>
      </c>
      <c r="E319" t="s">
        <v>2855</v>
      </c>
      <c r="F319" s="105">
        <v>177515.53</v>
      </c>
      <c r="G319" s="105">
        <v>6700854.7999999998</v>
      </c>
      <c r="H319" s="143">
        <v>42699.601465046297</v>
      </c>
      <c r="I319" s="143">
        <v>43064</v>
      </c>
      <c r="J319" t="s">
        <v>3492</v>
      </c>
      <c r="K319" t="s">
        <v>1280</v>
      </c>
      <c r="L319" t="s">
        <v>1280</v>
      </c>
      <c r="M319">
        <v>102949</v>
      </c>
      <c r="N319" t="s">
        <v>3487</v>
      </c>
      <c r="O319" t="s">
        <v>35</v>
      </c>
      <c r="P319" t="s">
        <v>26</v>
      </c>
      <c r="Q319" t="s">
        <v>26</v>
      </c>
      <c r="R319" s="105">
        <f>IF(Table__192.168.1.150_Daily_Delinquency_With_Sectors[[#This Row],[Days in Arrears]] &gt; 0, Table__192.168.1.150_Daily_Delinquency_With_Sectors[[#This Row],[Outstanding Balance]],0)</f>
        <v>6510659.5899999999</v>
      </c>
      <c r="S319" s="105">
        <f>IF(Table__192.168.1.150_Daily_Delinquency_With_Sectors[[#This Row],[Days in Arrears]] &gt; 30, Table__192.168.1.150_Daily_Delinquency_With_Sectors[[#This Row],[Outstanding Balance]],0)</f>
        <v>0</v>
      </c>
      <c r="T319" s="105">
        <f>IF(Table__192.168.1.150_Daily_Delinquency_With_Sectors[[#This Row],[Days in Arrears]] &gt; 90, Table__192.168.1.150_Daily_Delinquency_With_Sectors[[#This Row],[Outstanding Balance]],0)</f>
        <v>0</v>
      </c>
      <c r="U319" s="109">
        <f>IF(Table__192.168.1.150_Daily_Delinquency_With_Sectors[[#This Row],[Days in Arrears]] &gt;= 1,1,0)</f>
        <v>1</v>
      </c>
      <c r="V319" s="109">
        <f>IF(Table__192.168.1.150_Daily_Delinquency_With_Sectors[[#This Row],[Days in Arrears]] &gt; 30,1,0)</f>
        <v>0</v>
      </c>
      <c r="W319" s="109">
        <f>IF(Table__192.168.1.150_Daily_Delinquency_With_Sectors[[#This Row],[Days in Arrears]] &gt; 90,1,0)</f>
        <v>0</v>
      </c>
    </row>
    <row r="320" spans="1:23" x14ac:dyDescent="0.25">
      <c r="A320" t="s">
        <v>2169</v>
      </c>
      <c r="B320" t="s">
        <v>1282</v>
      </c>
      <c r="C320">
        <v>29</v>
      </c>
      <c r="D320" s="105">
        <v>907019.33</v>
      </c>
      <c r="E320" t="s">
        <v>4684</v>
      </c>
      <c r="F320" s="105">
        <v>60282.41</v>
      </c>
      <c r="G320" s="105">
        <v>968692.21</v>
      </c>
      <c r="H320" s="143">
        <v>42702.384067974534</v>
      </c>
      <c r="I320" s="143">
        <v>43064</v>
      </c>
      <c r="J320" t="s">
        <v>2170</v>
      </c>
      <c r="K320" t="s">
        <v>2171</v>
      </c>
      <c r="L320" t="s">
        <v>1280</v>
      </c>
      <c r="M320">
        <v>102950</v>
      </c>
      <c r="N320" t="s">
        <v>2164</v>
      </c>
      <c r="O320" t="s">
        <v>27</v>
      </c>
      <c r="P320" t="s">
        <v>81</v>
      </c>
      <c r="Q320" t="s">
        <v>26</v>
      </c>
      <c r="R320" s="105">
        <f>IF(Table__192.168.1.150_Daily_Delinquency_With_Sectors[[#This Row],[Days in Arrears]] &gt; 0, Table__192.168.1.150_Daily_Delinquency_With_Sectors[[#This Row],[Outstanding Balance]],0)</f>
        <v>907019.33</v>
      </c>
      <c r="S320" s="105">
        <f>IF(Table__192.168.1.150_Daily_Delinquency_With_Sectors[[#This Row],[Days in Arrears]] &gt; 30, Table__192.168.1.150_Daily_Delinquency_With_Sectors[[#This Row],[Outstanding Balance]],0)</f>
        <v>0</v>
      </c>
      <c r="T320" s="105">
        <f>IF(Table__192.168.1.150_Daily_Delinquency_With_Sectors[[#This Row],[Days in Arrears]] &gt; 90, Table__192.168.1.150_Daily_Delinquency_With_Sectors[[#This Row],[Outstanding Balance]],0)</f>
        <v>0</v>
      </c>
      <c r="U320" s="109">
        <f>IF(Table__192.168.1.150_Daily_Delinquency_With_Sectors[[#This Row],[Days in Arrears]] &gt;= 1,1,0)</f>
        <v>1</v>
      </c>
      <c r="V320" s="109">
        <f>IF(Table__192.168.1.150_Daily_Delinquency_With_Sectors[[#This Row],[Days in Arrears]] &gt; 30,1,0)</f>
        <v>0</v>
      </c>
      <c r="W320" s="109">
        <f>IF(Table__192.168.1.150_Daily_Delinquency_With_Sectors[[#This Row],[Days in Arrears]] &gt; 90,1,0)</f>
        <v>0</v>
      </c>
    </row>
    <row r="321" spans="1:23" x14ac:dyDescent="0.25">
      <c r="A321" t="s">
        <v>652</v>
      </c>
      <c r="B321" t="s">
        <v>1282</v>
      </c>
      <c r="C321">
        <v>19</v>
      </c>
      <c r="D321" s="105">
        <v>1419397.29</v>
      </c>
      <c r="E321" t="s">
        <v>3074</v>
      </c>
      <c r="F321" s="105">
        <v>41464.29</v>
      </c>
      <c r="G321" s="105">
        <v>1472439.41</v>
      </c>
      <c r="H321" s="143">
        <v>42702.545250578703</v>
      </c>
      <c r="I321" s="143">
        <v>43074</v>
      </c>
      <c r="J321" t="s">
        <v>653</v>
      </c>
      <c r="K321" t="s">
        <v>1280</v>
      </c>
      <c r="L321" t="s">
        <v>1280</v>
      </c>
      <c r="M321">
        <v>102951</v>
      </c>
      <c r="N321" t="s">
        <v>651</v>
      </c>
      <c r="O321" t="s">
        <v>36</v>
      </c>
      <c r="P321" t="s">
        <v>118</v>
      </c>
      <c r="Q321" t="s">
        <v>119</v>
      </c>
      <c r="R321" s="105">
        <f>IF(Table__192.168.1.150_Daily_Delinquency_With_Sectors[[#This Row],[Days in Arrears]] &gt; 0, Table__192.168.1.150_Daily_Delinquency_With_Sectors[[#This Row],[Outstanding Balance]],0)</f>
        <v>1419397.29</v>
      </c>
      <c r="S321" s="105">
        <f>IF(Table__192.168.1.150_Daily_Delinquency_With_Sectors[[#This Row],[Days in Arrears]] &gt; 30, Table__192.168.1.150_Daily_Delinquency_With_Sectors[[#This Row],[Outstanding Balance]],0)</f>
        <v>0</v>
      </c>
      <c r="T321" s="105">
        <f>IF(Table__192.168.1.150_Daily_Delinquency_With_Sectors[[#This Row],[Days in Arrears]] &gt; 90, Table__192.168.1.150_Daily_Delinquency_With_Sectors[[#This Row],[Outstanding Balance]],0)</f>
        <v>0</v>
      </c>
      <c r="U321" s="109">
        <f>IF(Table__192.168.1.150_Daily_Delinquency_With_Sectors[[#This Row],[Days in Arrears]] &gt;= 1,1,0)</f>
        <v>1</v>
      </c>
      <c r="V321" s="109">
        <f>IF(Table__192.168.1.150_Daily_Delinquency_With_Sectors[[#This Row],[Days in Arrears]] &gt; 30,1,0)</f>
        <v>0</v>
      </c>
      <c r="W321" s="109">
        <f>IF(Table__192.168.1.150_Daily_Delinquency_With_Sectors[[#This Row],[Days in Arrears]] &gt; 90,1,0)</f>
        <v>0</v>
      </c>
    </row>
    <row r="322" spans="1:23" x14ac:dyDescent="0.25">
      <c r="A322" t="s">
        <v>2152</v>
      </c>
      <c r="B322" t="s">
        <v>1284</v>
      </c>
      <c r="C322">
        <v>-7</v>
      </c>
      <c r="D322" s="105">
        <v>28313369.27</v>
      </c>
      <c r="E322" t="s">
        <v>491</v>
      </c>
      <c r="F322" s="105">
        <v>622894.12</v>
      </c>
      <c r="G322" s="105">
        <v>34609811.600000001</v>
      </c>
      <c r="H322" s="143">
        <v>42703.748234027778</v>
      </c>
      <c r="I322" s="143">
        <v>43435</v>
      </c>
      <c r="J322" t="s">
        <v>2153</v>
      </c>
      <c r="K322" t="s">
        <v>1280</v>
      </c>
      <c r="L322" t="s">
        <v>1280</v>
      </c>
      <c r="M322">
        <v>102954</v>
      </c>
      <c r="N322" t="s">
        <v>2135</v>
      </c>
      <c r="O322" t="s">
        <v>44</v>
      </c>
      <c r="P322" t="s">
        <v>75</v>
      </c>
      <c r="Q322" t="s">
        <v>1442</v>
      </c>
      <c r="R322" s="105">
        <f>IF(Table__192.168.1.150_Daily_Delinquency_With_Sectors[[#This Row],[Days in Arrears]] &gt; 0, Table__192.168.1.150_Daily_Delinquency_With_Sectors[[#This Row],[Outstanding Balance]],0)</f>
        <v>0</v>
      </c>
      <c r="S322" s="105">
        <f>IF(Table__192.168.1.150_Daily_Delinquency_With_Sectors[[#This Row],[Days in Arrears]] &gt; 30, Table__192.168.1.150_Daily_Delinquency_With_Sectors[[#This Row],[Outstanding Balance]],0)</f>
        <v>0</v>
      </c>
      <c r="T322" s="105">
        <f>IF(Table__192.168.1.150_Daily_Delinquency_With_Sectors[[#This Row],[Days in Arrears]] &gt; 90, Table__192.168.1.150_Daily_Delinquency_With_Sectors[[#This Row],[Outstanding Balance]],0)</f>
        <v>0</v>
      </c>
      <c r="U322" s="109">
        <f>IF(Table__192.168.1.150_Daily_Delinquency_With_Sectors[[#This Row],[Days in Arrears]] &gt;= 1,1,0)</f>
        <v>0</v>
      </c>
      <c r="V322" s="109">
        <f>IF(Table__192.168.1.150_Daily_Delinquency_With_Sectors[[#This Row],[Days in Arrears]] &gt; 30,1,0)</f>
        <v>0</v>
      </c>
      <c r="W322" s="109">
        <f>IF(Table__192.168.1.150_Daily_Delinquency_With_Sectors[[#This Row],[Days in Arrears]] &gt; 90,1,0)</f>
        <v>0</v>
      </c>
    </row>
    <row r="323" spans="1:23" x14ac:dyDescent="0.25">
      <c r="A323" t="s">
        <v>1582</v>
      </c>
      <c r="B323" t="s">
        <v>1284</v>
      </c>
      <c r="C323">
        <v>22</v>
      </c>
      <c r="D323" s="105">
        <v>15739148.41</v>
      </c>
      <c r="E323" t="s">
        <v>1447</v>
      </c>
      <c r="F323" s="105">
        <v>330322.64</v>
      </c>
      <c r="G323" s="105">
        <v>19237171.93</v>
      </c>
      <c r="H323" s="143">
        <v>42704.745354050923</v>
      </c>
      <c r="I323" s="143">
        <v>43436</v>
      </c>
      <c r="J323" t="s">
        <v>1583</v>
      </c>
      <c r="K323" t="s">
        <v>1280</v>
      </c>
      <c r="L323" t="s">
        <v>1280</v>
      </c>
      <c r="M323">
        <v>102955</v>
      </c>
      <c r="N323" t="s">
        <v>1558</v>
      </c>
      <c r="O323" t="s">
        <v>44</v>
      </c>
      <c r="P323" t="s">
        <v>75</v>
      </c>
      <c r="Q323" t="s">
        <v>26</v>
      </c>
      <c r="R323" s="105">
        <f>IF(Table__192.168.1.150_Daily_Delinquency_With_Sectors[[#This Row],[Days in Arrears]] &gt; 0, Table__192.168.1.150_Daily_Delinquency_With_Sectors[[#This Row],[Outstanding Balance]],0)</f>
        <v>15739148.41</v>
      </c>
      <c r="S323" s="105">
        <f>IF(Table__192.168.1.150_Daily_Delinquency_With_Sectors[[#This Row],[Days in Arrears]] &gt; 30, Table__192.168.1.150_Daily_Delinquency_With_Sectors[[#This Row],[Outstanding Balance]],0)</f>
        <v>0</v>
      </c>
      <c r="T323" s="105">
        <f>IF(Table__192.168.1.150_Daily_Delinquency_With_Sectors[[#This Row],[Days in Arrears]] &gt; 90, Table__192.168.1.150_Daily_Delinquency_With_Sectors[[#This Row],[Outstanding Balance]],0)</f>
        <v>0</v>
      </c>
      <c r="U323" s="109">
        <f>IF(Table__192.168.1.150_Daily_Delinquency_With_Sectors[[#This Row],[Days in Arrears]] &gt;= 1,1,0)</f>
        <v>1</v>
      </c>
      <c r="V323" s="109">
        <f>IF(Table__192.168.1.150_Daily_Delinquency_With_Sectors[[#This Row],[Days in Arrears]] &gt; 30,1,0)</f>
        <v>0</v>
      </c>
      <c r="W323" s="109">
        <f>IF(Table__192.168.1.150_Daily_Delinquency_With_Sectors[[#This Row],[Days in Arrears]] &gt; 90,1,0)</f>
        <v>0</v>
      </c>
    </row>
    <row r="324" spans="1:23" x14ac:dyDescent="0.25">
      <c r="A324" t="s">
        <v>3609</v>
      </c>
      <c r="B324" t="s">
        <v>1282</v>
      </c>
      <c r="C324">
        <v>-8</v>
      </c>
      <c r="D324" s="105">
        <v>367830.3</v>
      </c>
      <c r="E324" t="s">
        <v>1191</v>
      </c>
      <c r="F324" s="105">
        <v>11586.65</v>
      </c>
      <c r="G324" s="105">
        <v>384382.66</v>
      </c>
      <c r="H324" s="143">
        <v>42705.715405752315</v>
      </c>
      <c r="I324" s="143">
        <v>43071</v>
      </c>
      <c r="J324" t="s">
        <v>3610</v>
      </c>
      <c r="K324" t="s">
        <v>1280</v>
      </c>
      <c r="L324" t="s">
        <v>1280</v>
      </c>
      <c r="M324">
        <v>102957</v>
      </c>
      <c r="N324" t="s">
        <v>3608</v>
      </c>
      <c r="O324" t="s">
        <v>25</v>
      </c>
      <c r="P324" t="s">
        <v>94</v>
      </c>
      <c r="Q324" t="s">
        <v>1828</v>
      </c>
      <c r="R324" s="105">
        <f>IF(Table__192.168.1.150_Daily_Delinquency_With_Sectors[[#This Row],[Days in Arrears]] &gt; 0, Table__192.168.1.150_Daily_Delinquency_With_Sectors[[#This Row],[Outstanding Balance]],0)</f>
        <v>0</v>
      </c>
      <c r="S324" s="105">
        <f>IF(Table__192.168.1.150_Daily_Delinquency_With_Sectors[[#This Row],[Days in Arrears]] &gt; 30, Table__192.168.1.150_Daily_Delinquency_With_Sectors[[#This Row],[Outstanding Balance]],0)</f>
        <v>0</v>
      </c>
      <c r="T324" s="105">
        <f>IF(Table__192.168.1.150_Daily_Delinquency_With_Sectors[[#This Row],[Days in Arrears]] &gt; 90, Table__192.168.1.150_Daily_Delinquency_With_Sectors[[#This Row],[Outstanding Balance]],0)</f>
        <v>0</v>
      </c>
      <c r="U324" s="109">
        <f>IF(Table__192.168.1.150_Daily_Delinquency_With_Sectors[[#This Row],[Days in Arrears]] &gt;= 1,1,0)</f>
        <v>0</v>
      </c>
      <c r="V324" s="109">
        <f>IF(Table__192.168.1.150_Daily_Delinquency_With_Sectors[[#This Row],[Days in Arrears]] &gt; 30,1,0)</f>
        <v>0</v>
      </c>
      <c r="W324" s="109">
        <f>IF(Table__192.168.1.150_Daily_Delinquency_With_Sectors[[#This Row],[Days in Arrears]] &gt; 90,1,0)</f>
        <v>0</v>
      </c>
    </row>
    <row r="325" spans="1:23" x14ac:dyDescent="0.25">
      <c r="A325" t="s">
        <v>3566</v>
      </c>
      <c r="B325" t="s">
        <v>1282</v>
      </c>
      <c r="C325">
        <v>-8</v>
      </c>
      <c r="D325" s="105">
        <v>1052449.93</v>
      </c>
      <c r="E325" t="s">
        <v>1447</v>
      </c>
      <c r="F325" s="105">
        <v>33152.17</v>
      </c>
      <c r="G325" s="105">
        <v>1099810.18</v>
      </c>
      <c r="H325" s="143">
        <v>42704.533907210651</v>
      </c>
      <c r="I325" s="143">
        <v>43071</v>
      </c>
      <c r="J325" t="s">
        <v>3567</v>
      </c>
      <c r="K325" t="s">
        <v>1280</v>
      </c>
      <c r="L325" t="s">
        <v>1280</v>
      </c>
      <c r="M325">
        <v>102960</v>
      </c>
      <c r="N325" t="s">
        <v>3554</v>
      </c>
      <c r="O325" t="s">
        <v>44</v>
      </c>
      <c r="P325" t="s">
        <v>75</v>
      </c>
      <c r="Q325" t="s">
        <v>1442</v>
      </c>
      <c r="R325" s="105">
        <f>IF(Table__192.168.1.150_Daily_Delinquency_With_Sectors[[#This Row],[Days in Arrears]] &gt; 0, Table__192.168.1.150_Daily_Delinquency_With_Sectors[[#This Row],[Outstanding Balance]],0)</f>
        <v>0</v>
      </c>
      <c r="S325" s="105">
        <f>IF(Table__192.168.1.150_Daily_Delinquency_With_Sectors[[#This Row],[Days in Arrears]] &gt; 30, Table__192.168.1.150_Daily_Delinquency_With_Sectors[[#This Row],[Outstanding Balance]],0)</f>
        <v>0</v>
      </c>
      <c r="T325" s="105">
        <f>IF(Table__192.168.1.150_Daily_Delinquency_With_Sectors[[#This Row],[Days in Arrears]] &gt; 90, Table__192.168.1.150_Daily_Delinquency_With_Sectors[[#This Row],[Outstanding Balance]],0)</f>
        <v>0</v>
      </c>
      <c r="U325" s="109">
        <f>IF(Table__192.168.1.150_Daily_Delinquency_With_Sectors[[#This Row],[Days in Arrears]] &gt;= 1,1,0)</f>
        <v>0</v>
      </c>
      <c r="V325" s="109">
        <f>IF(Table__192.168.1.150_Daily_Delinquency_With_Sectors[[#This Row],[Days in Arrears]] &gt; 30,1,0)</f>
        <v>0</v>
      </c>
      <c r="W325" s="109">
        <f>IF(Table__192.168.1.150_Daily_Delinquency_With_Sectors[[#This Row],[Days in Arrears]] &gt; 90,1,0)</f>
        <v>0</v>
      </c>
    </row>
    <row r="326" spans="1:23" x14ac:dyDescent="0.25">
      <c r="A326" t="s">
        <v>3568</v>
      </c>
      <c r="B326" t="s">
        <v>1866</v>
      </c>
      <c r="C326">
        <v>112</v>
      </c>
      <c r="D326" s="105">
        <v>2867921.12</v>
      </c>
      <c r="E326" t="s">
        <v>1039</v>
      </c>
      <c r="F326" s="105">
        <v>214617.17</v>
      </c>
      <c r="G326" s="105">
        <v>3236160.42</v>
      </c>
      <c r="H326" s="143">
        <v>42704.698594525464</v>
      </c>
      <c r="I326" s="143">
        <v>43071</v>
      </c>
      <c r="J326" t="s">
        <v>3569</v>
      </c>
      <c r="K326" t="s">
        <v>3570</v>
      </c>
      <c r="L326" t="s">
        <v>1280</v>
      </c>
      <c r="M326">
        <v>102961</v>
      </c>
      <c r="N326" t="s">
        <v>3549</v>
      </c>
      <c r="O326" t="s">
        <v>25</v>
      </c>
      <c r="P326" t="s">
        <v>290</v>
      </c>
      <c r="Q326" t="s">
        <v>26</v>
      </c>
      <c r="R326" s="105">
        <f>IF(Table__192.168.1.150_Daily_Delinquency_With_Sectors[[#This Row],[Days in Arrears]] &gt; 0, Table__192.168.1.150_Daily_Delinquency_With_Sectors[[#This Row],[Outstanding Balance]],0)</f>
        <v>2867921.12</v>
      </c>
      <c r="S326" s="105">
        <f>IF(Table__192.168.1.150_Daily_Delinquency_With_Sectors[[#This Row],[Days in Arrears]] &gt; 30, Table__192.168.1.150_Daily_Delinquency_With_Sectors[[#This Row],[Outstanding Balance]],0)</f>
        <v>2867921.12</v>
      </c>
      <c r="T326" s="105">
        <f>IF(Table__192.168.1.150_Daily_Delinquency_With_Sectors[[#This Row],[Days in Arrears]] &gt; 90, Table__192.168.1.150_Daily_Delinquency_With_Sectors[[#This Row],[Outstanding Balance]],0)</f>
        <v>2867921.12</v>
      </c>
      <c r="U326" s="109">
        <f>IF(Table__192.168.1.150_Daily_Delinquency_With_Sectors[[#This Row],[Days in Arrears]] &gt;= 1,1,0)</f>
        <v>1</v>
      </c>
      <c r="V326" s="109">
        <f>IF(Table__192.168.1.150_Daily_Delinquency_With_Sectors[[#This Row],[Days in Arrears]] &gt; 30,1,0)</f>
        <v>1</v>
      </c>
      <c r="W326" s="109">
        <f>IF(Table__192.168.1.150_Daily_Delinquency_With_Sectors[[#This Row],[Days in Arrears]] &gt; 90,1,0)</f>
        <v>1</v>
      </c>
    </row>
    <row r="327" spans="1:23" x14ac:dyDescent="0.25">
      <c r="A327" t="s">
        <v>497</v>
      </c>
      <c r="B327" t="s">
        <v>1283</v>
      </c>
      <c r="C327">
        <v>-11</v>
      </c>
      <c r="D327" s="105">
        <v>52094901.259999998</v>
      </c>
      <c r="E327" t="s">
        <v>1191</v>
      </c>
      <c r="F327" s="105">
        <v>937708.22</v>
      </c>
      <c r="G327" s="105">
        <v>74792481.680000007</v>
      </c>
      <c r="H327" s="143">
        <v>42704.670561608793</v>
      </c>
      <c r="I327" s="143">
        <v>43804</v>
      </c>
      <c r="J327" t="s">
        <v>498</v>
      </c>
      <c r="K327" t="s">
        <v>499</v>
      </c>
      <c r="L327" t="s">
        <v>1280</v>
      </c>
      <c r="M327">
        <v>102962</v>
      </c>
      <c r="N327" t="s">
        <v>492</v>
      </c>
      <c r="O327" t="s">
        <v>27</v>
      </c>
      <c r="P327" t="s">
        <v>116</v>
      </c>
      <c r="Q327" t="s">
        <v>1825</v>
      </c>
      <c r="R327" s="105">
        <f>IF(Table__192.168.1.150_Daily_Delinquency_With_Sectors[[#This Row],[Days in Arrears]] &gt; 0, Table__192.168.1.150_Daily_Delinquency_With_Sectors[[#This Row],[Outstanding Balance]],0)</f>
        <v>0</v>
      </c>
      <c r="S327" s="105">
        <f>IF(Table__192.168.1.150_Daily_Delinquency_With_Sectors[[#This Row],[Days in Arrears]] &gt; 30, Table__192.168.1.150_Daily_Delinquency_With_Sectors[[#This Row],[Outstanding Balance]],0)</f>
        <v>0</v>
      </c>
      <c r="T327" s="105">
        <f>IF(Table__192.168.1.150_Daily_Delinquency_With_Sectors[[#This Row],[Days in Arrears]] &gt; 90, Table__192.168.1.150_Daily_Delinquency_With_Sectors[[#This Row],[Outstanding Balance]],0)</f>
        <v>0</v>
      </c>
      <c r="U327" s="109">
        <f>IF(Table__192.168.1.150_Daily_Delinquency_With_Sectors[[#This Row],[Days in Arrears]] &gt;= 1,1,0)</f>
        <v>0</v>
      </c>
      <c r="V327" s="109">
        <f>IF(Table__192.168.1.150_Daily_Delinquency_With_Sectors[[#This Row],[Days in Arrears]] &gt; 30,1,0)</f>
        <v>0</v>
      </c>
      <c r="W327" s="109">
        <f>IF(Table__192.168.1.150_Daily_Delinquency_With_Sectors[[#This Row],[Days in Arrears]] &gt; 90,1,0)</f>
        <v>0</v>
      </c>
    </row>
    <row r="328" spans="1:23" x14ac:dyDescent="0.25">
      <c r="A328" t="s">
        <v>3571</v>
      </c>
      <c r="B328" t="s">
        <v>1281</v>
      </c>
      <c r="C328">
        <v>-7</v>
      </c>
      <c r="D328" s="105">
        <v>13115333.039999999</v>
      </c>
      <c r="E328" t="s">
        <v>2494</v>
      </c>
      <c r="F328" s="105">
        <v>384716.44</v>
      </c>
      <c r="G328" s="105">
        <v>17074438.440000001</v>
      </c>
      <c r="H328" s="143">
        <v>42704.93469707176</v>
      </c>
      <c r="I328" s="143">
        <v>43435</v>
      </c>
      <c r="J328" t="s">
        <v>3572</v>
      </c>
      <c r="K328" t="s">
        <v>3573</v>
      </c>
      <c r="L328" t="s">
        <v>1280</v>
      </c>
      <c r="M328">
        <v>102964</v>
      </c>
      <c r="N328" t="s">
        <v>3562</v>
      </c>
      <c r="O328" t="s">
        <v>28</v>
      </c>
      <c r="P328" t="s">
        <v>26</v>
      </c>
      <c r="Q328" t="s">
        <v>26</v>
      </c>
      <c r="R328" s="105">
        <f>IF(Table__192.168.1.150_Daily_Delinquency_With_Sectors[[#This Row],[Days in Arrears]] &gt; 0, Table__192.168.1.150_Daily_Delinquency_With_Sectors[[#This Row],[Outstanding Balance]],0)</f>
        <v>0</v>
      </c>
      <c r="S328" s="105">
        <f>IF(Table__192.168.1.150_Daily_Delinquency_With_Sectors[[#This Row],[Days in Arrears]] &gt; 30, Table__192.168.1.150_Daily_Delinquency_With_Sectors[[#This Row],[Outstanding Balance]],0)</f>
        <v>0</v>
      </c>
      <c r="T328" s="105">
        <f>IF(Table__192.168.1.150_Daily_Delinquency_With_Sectors[[#This Row],[Days in Arrears]] &gt; 90, Table__192.168.1.150_Daily_Delinquency_With_Sectors[[#This Row],[Outstanding Balance]],0)</f>
        <v>0</v>
      </c>
      <c r="U328" s="109">
        <f>IF(Table__192.168.1.150_Daily_Delinquency_With_Sectors[[#This Row],[Days in Arrears]] &gt;= 1,1,0)</f>
        <v>0</v>
      </c>
      <c r="V328" s="109">
        <f>IF(Table__192.168.1.150_Daily_Delinquency_With_Sectors[[#This Row],[Days in Arrears]] &gt; 30,1,0)</f>
        <v>0</v>
      </c>
      <c r="W328" s="109">
        <f>IF(Table__192.168.1.150_Daily_Delinquency_With_Sectors[[#This Row],[Days in Arrears]] &gt; 90,1,0)</f>
        <v>0</v>
      </c>
    </row>
    <row r="329" spans="1:23" x14ac:dyDescent="0.25">
      <c r="A329" t="s">
        <v>3574</v>
      </c>
      <c r="B329" t="s">
        <v>1284</v>
      </c>
      <c r="C329">
        <v>-8</v>
      </c>
      <c r="D329" s="105">
        <v>7661300.5300000003</v>
      </c>
      <c r="E329" t="s">
        <v>2494</v>
      </c>
      <c r="F329" s="105">
        <v>178763.68</v>
      </c>
      <c r="G329" s="105">
        <v>9565814.3300000001</v>
      </c>
      <c r="H329" s="143">
        <v>42704.733085879627</v>
      </c>
      <c r="I329" s="143">
        <v>43436</v>
      </c>
      <c r="J329" t="s">
        <v>3575</v>
      </c>
      <c r="K329" t="s">
        <v>3576</v>
      </c>
      <c r="L329" t="s">
        <v>1280</v>
      </c>
      <c r="M329">
        <v>102965</v>
      </c>
      <c r="N329" t="s">
        <v>3557</v>
      </c>
      <c r="O329" t="s">
        <v>44</v>
      </c>
      <c r="P329" t="s">
        <v>75</v>
      </c>
      <c r="Q329" t="s">
        <v>1442</v>
      </c>
      <c r="R329" s="105">
        <f>IF(Table__192.168.1.150_Daily_Delinquency_With_Sectors[[#This Row],[Days in Arrears]] &gt; 0, Table__192.168.1.150_Daily_Delinquency_With_Sectors[[#This Row],[Outstanding Balance]],0)</f>
        <v>0</v>
      </c>
      <c r="S329" s="105">
        <f>IF(Table__192.168.1.150_Daily_Delinquency_With_Sectors[[#This Row],[Days in Arrears]] &gt; 30, Table__192.168.1.150_Daily_Delinquency_With_Sectors[[#This Row],[Outstanding Balance]],0)</f>
        <v>0</v>
      </c>
      <c r="T329" s="105">
        <f>IF(Table__192.168.1.150_Daily_Delinquency_With_Sectors[[#This Row],[Days in Arrears]] &gt; 90, Table__192.168.1.150_Daily_Delinquency_With_Sectors[[#This Row],[Outstanding Balance]],0)</f>
        <v>0</v>
      </c>
      <c r="U329" s="109">
        <f>IF(Table__192.168.1.150_Daily_Delinquency_With_Sectors[[#This Row],[Days in Arrears]] &gt;= 1,1,0)</f>
        <v>0</v>
      </c>
      <c r="V329" s="109">
        <f>IF(Table__192.168.1.150_Daily_Delinquency_With_Sectors[[#This Row],[Days in Arrears]] &gt; 30,1,0)</f>
        <v>0</v>
      </c>
      <c r="W329" s="109">
        <f>IF(Table__192.168.1.150_Daily_Delinquency_With_Sectors[[#This Row],[Days in Arrears]] &gt; 90,1,0)</f>
        <v>0</v>
      </c>
    </row>
    <row r="330" spans="1:23" x14ac:dyDescent="0.25">
      <c r="A330" t="s">
        <v>3577</v>
      </c>
      <c r="B330" t="s">
        <v>1283</v>
      </c>
      <c r="C330">
        <v>-8</v>
      </c>
      <c r="D330" s="105">
        <v>28313369.27</v>
      </c>
      <c r="E330" t="s">
        <v>90</v>
      </c>
      <c r="F330" s="105">
        <v>594580.75</v>
      </c>
      <c r="G330" s="105">
        <v>34609811.600000001</v>
      </c>
      <c r="H330" s="143">
        <v>42704.840857754629</v>
      </c>
      <c r="I330" s="143">
        <v>43436</v>
      </c>
      <c r="J330" t="s">
        <v>3578</v>
      </c>
      <c r="K330" t="s">
        <v>3579</v>
      </c>
      <c r="L330" t="s">
        <v>1280</v>
      </c>
      <c r="M330">
        <v>102966</v>
      </c>
      <c r="N330" t="s">
        <v>3559</v>
      </c>
      <c r="O330" t="s">
        <v>44</v>
      </c>
      <c r="P330" t="s">
        <v>75</v>
      </c>
      <c r="Q330" t="s">
        <v>26</v>
      </c>
      <c r="R330" s="105">
        <f>IF(Table__192.168.1.150_Daily_Delinquency_With_Sectors[[#This Row],[Days in Arrears]] &gt; 0, Table__192.168.1.150_Daily_Delinquency_With_Sectors[[#This Row],[Outstanding Balance]],0)</f>
        <v>0</v>
      </c>
      <c r="S330" s="105">
        <f>IF(Table__192.168.1.150_Daily_Delinquency_With_Sectors[[#This Row],[Days in Arrears]] &gt; 30, Table__192.168.1.150_Daily_Delinquency_With_Sectors[[#This Row],[Outstanding Balance]],0)</f>
        <v>0</v>
      </c>
      <c r="T330" s="105">
        <f>IF(Table__192.168.1.150_Daily_Delinquency_With_Sectors[[#This Row],[Days in Arrears]] &gt; 90, Table__192.168.1.150_Daily_Delinquency_With_Sectors[[#This Row],[Outstanding Balance]],0)</f>
        <v>0</v>
      </c>
      <c r="U330" s="109">
        <f>IF(Table__192.168.1.150_Daily_Delinquency_With_Sectors[[#This Row],[Days in Arrears]] &gt;= 1,1,0)</f>
        <v>0</v>
      </c>
      <c r="V330" s="109">
        <f>IF(Table__192.168.1.150_Daily_Delinquency_With_Sectors[[#This Row],[Days in Arrears]] &gt; 30,1,0)</f>
        <v>0</v>
      </c>
      <c r="W330" s="109">
        <f>IF(Table__192.168.1.150_Daily_Delinquency_With_Sectors[[#This Row],[Days in Arrears]] &gt; 90,1,0)</f>
        <v>0</v>
      </c>
    </row>
    <row r="331" spans="1:23" x14ac:dyDescent="0.25">
      <c r="A331" t="s">
        <v>3583</v>
      </c>
      <c r="B331" t="s">
        <v>1284</v>
      </c>
      <c r="C331">
        <v>-8</v>
      </c>
      <c r="D331" s="105">
        <v>10215067.34</v>
      </c>
      <c r="E331" t="s">
        <v>468</v>
      </c>
      <c r="F331" s="105">
        <v>238351.57</v>
      </c>
      <c r="G331" s="105">
        <v>12754419.07</v>
      </c>
      <c r="H331" s="143">
        <v>42704.872326157405</v>
      </c>
      <c r="I331" s="143">
        <v>43436</v>
      </c>
      <c r="J331" t="s">
        <v>3584</v>
      </c>
      <c r="K331" t="s">
        <v>1280</v>
      </c>
      <c r="L331" t="s">
        <v>3585</v>
      </c>
      <c r="M331">
        <v>102969</v>
      </c>
      <c r="N331" t="s">
        <v>3548</v>
      </c>
      <c r="O331" t="s">
        <v>25</v>
      </c>
      <c r="P331" t="s">
        <v>32</v>
      </c>
      <c r="Q331" t="s">
        <v>26</v>
      </c>
      <c r="R331" s="105">
        <f>IF(Table__192.168.1.150_Daily_Delinquency_With_Sectors[[#This Row],[Days in Arrears]] &gt; 0, Table__192.168.1.150_Daily_Delinquency_With_Sectors[[#This Row],[Outstanding Balance]],0)</f>
        <v>0</v>
      </c>
      <c r="S331" s="105">
        <f>IF(Table__192.168.1.150_Daily_Delinquency_With_Sectors[[#This Row],[Days in Arrears]] &gt; 30, Table__192.168.1.150_Daily_Delinquency_With_Sectors[[#This Row],[Outstanding Balance]],0)</f>
        <v>0</v>
      </c>
      <c r="T331" s="105">
        <f>IF(Table__192.168.1.150_Daily_Delinquency_With_Sectors[[#This Row],[Days in Arrears]] &gt; 90, Table__192.168.1.150_Daily_Delinquency_With_Sectors[[#This Row],[Outstanding Balance]],0)</f>
        <v>0</v>
      </c>
      <c r="U331" s="109">
        <f>IF(Table__192.168.1.150_Daily_Delinquency_With_Sectors[[#This Row],[Days in Arrears]] &gt;= 1,1,0)</f>
        <v>0</v>
      </c>
      <c r="V331" s="109">
        <f>IF(Table__192.168.1.150_Daily_Delinquency_With_Sectors[[#This Row],[Days in Arrears]] &gt; 30,1,0)</f>
        <v>0</v>
      </c>
      <c r="W331" s="109">
        <f>IF(Table__192.168.1.150_Daily_Delinquency_With_Sectors[[#This Row],[Days in Arrears]] &gt; 90,1,0)</f>
        <v>0</v>
      </c>
    </row>
    <row r="332" spans="1:23" x14ac:dyDescent="0.25">
      <c r="A332" t="s">
        <v>193</v>
      </c>
      <c r="B332" t="s">
        <v>1282</v>
      </c>
      <c r="C332">
        <v>22</v>
      </c>
      <c r="D332" s="105">
        <v>1358781.2</v>
      </c>
      <c r="E332" t="s">
        <v>1191</v>
      </c>
      <c r="F332" s="105">
        <v>34512.82</v>
      </c>
      <c r="G332" s="105">
        <v>1408085.22</v>
      </c>
      <c r="H332" s="143">
        <v>42704.926051736111</v>
      </c>
      <c r="I332" s="143">
        <v>43071</v>
      </c>
      <c r="J332" t="s">
        <v>194</v>
      </c>
      <c r="K332" t="s">
        <v>1280</v>
      </c>
      <c r="L332" t="s">
        <v>1280</v>
      </c>
      <c r="M332">
        <v>102970</v>
      </c>
      <c r="N332" t="s">
        <v>192</v>
      </c>
      <c r="O332" t="s">
        <v>45</v>
      </c>
      <c r="P332" t="s">
        <v>45</v>
      </c>
      <c r="Q332" t="s">
        <v>26</v>
      </c>
      <c r="R332" s="105">
        <f>IF(Table__192.168.1.150_Daily_Delinquency_With_Sectors[[#This Row],[Days in Arrears]] &gt; 0, Table__192.168.1.150_Daily_Delinquency_With_Sectors[[#This Row],[Outstanding Balance]],0)</f>
        <v>1358781.2</v>
      </c>
      <c r="S332" s="105">
        <f>IF(Table__192.168.1.150_Daily_Delinquency_With_Sectors[[#This Row],[Days in Arrears]] &gt; 30, Table__192.168.1.150_Daily_Delinquency_With_Sectors[[#This Row],[Outstanding Balance]],0)</f>
        <v>0</v>
      </c>
      <c r="T332" s="105">
        <f>IF(Table__192.168.1.150_Daily_Delinquency_With_Sectors[[#This Row],[Days in Arrears]] &gt; 90, Table__192.168.1.150_Daily_Delinquency_With_Sectors[[#This Row],[Outstanding Balance]],0)</f>
        <v>0</v>
      </c>
      <c r="U332" s="109">
        <f>IF(Table__192.168.1.150_Daily_Delinquency_With_Sectors[[#This Row],[Days in Arrears]] &gt;= 1,1,0)</f>
        <v>1</v>
      </c>
      <c r="V332" s="109">
        <f>IF(Table__192.168.1.150_Daily_Delinquency_With_Sectors[[#This Row],[Days in Arrears]] &gt; 30,1,0)</f>
        <v>0</v>
      </c>
      <c r="W332" s="109">
        <f>IF(Table__192.168.1.150_Daily_Delinquency_With_Sectors[[#This Row],[Days in Arrears]] &gt; 90,1,0)</f>
        <v>0</v>
      </c>
    </row>
    <row r="333" spans="1:23" x14ac:dyDescent="0.25">
      <c r="A333" t="s">
        <v>3586</v>
      </c>
      <c r="B333" t="s">
        <v>1284</v>
      </c>
      <c r="C333">
        <v>-7</v>
      </c>
      <c r="D333" s="105">
        <v>15943917.039999999</v>
      </c>
      <c r="E333" t="s">
        <v>491</v>
      </c>
      <c r="F333" s="105">
        <v>389740.19</v>
      </c>
      <c r="G333" s="105">
        <v>19907396.82</v>
      </c>
      <c r="H333" s="143">
        <v>42704.964472187501</v>
      </c>
      <c r="I333" s="143">
        <v>43435</v>
      </c>
      <c r="J333" t="s">
        <v>3587</v>
      </c>
      <c r="K333" t="s">
        <v>3588</v>
      </c>
      <c r="L333" t="s">
        <v>1280</v>
      </c>
      <c r="M333">
        <v>102971</v>
      </c>
      <c r="N333" t="s">
        <v>3558</v>
      </c>
      <c r="O333" t="s">
        <v>44</v>
      </c>
      <c r="P333" t="s">
        <v>75</v>
      </c>
      <c r="Q333" t="s">
        <v>1442</v>
      </c>
      <c r="R333" s="105">
        <f>IF(Table__192.168.1.150_Daily_Delinquency_With_Sectors[[#This Row],[Days in Arrears]] &gt; 0, Table__192.168.1.150_Daily_Delinquency_With_Sectors[[#This Row],[Outstanding Balance]],0)</f>
        <v>0</v>
      </c>
      <c r="S333" s="105">
        <f>IF(Table__192.168.1.150_Daily_Delinquency_With_Sectors[[#This Row],[Days in Arrears]] &gt; 30, Table__192.168.1.150_Daily_Delinquency_With_Sectors[[#This Row],[Outstanding Balance]],0)</f>
        <v>0</v>
      </c>
      <c r="T333" s="105">
        <f>IF(Table__192.168.1.150_Daily_Delinquency_With_Sectors[[#This Row],[Days in Arrears]] &gt; 90, Table__192.168.1.150_Daily_Delinquency_With_Sectors[[#This Row],[Outstanding Balance]],0)</f>
        <v>0</v>
      </c>
      <c r="U333" s="109">
        <f>IF(Table__192.168.1.150_Daily_Delinquency_With_Sectors[[#This Row],[Days in Arrears]] &gt;= 1,1,0)</f>
        <v>0</v>
      </c>
      <c r="V333" s="109">
        <f>IF(Table__192.168.1.150_Daily_Delinquency_With_Sectors[[#This Row],[Days in Arrears]] &gt; 30,1,0)</f>
        <v>0</v>
      </c>
      <c r="W333" s="109">
        <f>IF(Table__192.168.1.150_Daily_Delinquency_With_Sectors[[#This Row],[Days in Arrears]] &gt; 90,1,0)</f>
        <v>0</v>
      </c>
    </row>
    <row r="334" spans="1:23" x14ac:dyDescent="0.25">
      <c r="A334" t="s">
        <v>954</v>
      </c>
      <c r="B334" t="s">
        <v>1284</v>
      </c>
      <c r="C334">
        <v>23</v>
      </c>
      <c r="D334" s="105">
        <v>14771174.380000001</v>
      </c>
      <c r="E334" t="s">
        <v>546</v>
      </c>
      <c r="F334" s="105">
        <v>321859.62</v>
      </c>
      <c r="G334" s="105">
        <v>19547333.07</v>
      </c>
      <c r="H334" s="143">
        <v>42704.975202430556</v>
      </c>
      <c r="I334" s="143">
        <v>43617</v>
      </c>
      <c r="J334" t="s">
        <v>955</v>
      </c>
      <c r="K334" t="s">
        <v>1280</v>
      </c>
      <c r="L334" t="s">
        <v>1280</v>
      </c>
      <c r="M334">
        <v>102972</v>
      </c>
      <c r="N334" t="s">
        <v>932</v>
      </c>
      <c r="O334" t="s">
        <v>44</v>
      </c>
      <c r="P334" t="s">
        <v>75</v>
      </c>
      <c r="Q334" t="s">
        <v>1442</v>
      </c>
      <c r="R334" s="105">
        <f>IF(Table__192.168.1.150_Daily_Delinquency_With_Sectors[[#This Row],[Days in Arrears]] &gt; 0, Table__192.168.1.150_Daily_Delinquency_With_Sectors[[#This Row],[Outstanding Balance]],0)</f>
        <v>14771174.380000001</v>
      </c>
      <c r="S334" s="105">
        <f>IF(Table__192.168.1.150_Daily_Delinquency_With_Sectors[[#This Row],[Days in Arrears]] &gt; 30, Table__192.168.1.150_Daily_Delinquency_With_Sectors[[#This Row],[Outstanding Balance]],0)</f>
        <v>0</v>
      </c>
      <c r="T334" s="105">
        <f>IF(Table__192.168.1.150_Daily_Delinquency_With_Sectors[[#This Row],[Days in Arrears]] &gt; 90, Table__192.168.1.150_Daily_Delinquency_With_Sectors[[#This Row],[Outstanding Balance]],0)</f>
        <v>0</v>
      </c>
      <c r="U334" s="109">
        <f>IF(Table__192.168.1.150_Daily_Delinquency_With_Sectors[[#This Row],[Days in Arrears]] &gt;= 1,1,0)</f>
        <v>1</v>
      </c>
      <c r="V334" s="109">
        <f>IF(Table__192.168.1.150_Daily_Delinquency_With_Sectors[[#This Row],[Days in Arrears]] &gt; 30,1,0)</f>
        <v>0</v>
      </c>
      <c r="W334" s="109">
        <f>IF(Table__192.168.1.150_Daily_Delinquency_With_Sectors[[#This Row],[Days in Arrears]] &gt; 90,1,0)</f>
        <v>0</v>
      </c>
    </row>
    <row r="335" spans="1:23" x14ac:dyDescent="0.25">
      <c r="A335" t="s">
        <v>735</v>
      </c>
      <c r="B335" t="s">
        <v>1283</v>
      </c>
      <c r="C335">
        <v>14</v>
      </c>
      <c r="D335" s="105">
        <v>10134166.34</v>
      </c>
      <c r="E335" t="s">
        <v>86</v>
      </c>
      <c r="F335" s="105">
        <v>150307.56</v>
      </c>
      <c r="G335" s="105">
        <v>11569304.140000001</v>
      </c>
      <c r="H335" s="143">
        <v>42705.689972488428</v>
      </c>
      <c r="I335" s="143">
        <v>43261</v>
      </c>
      <c r="J335" t="s">
        <v>736</v>
      </c>
      <c r="K335" t="s">
        <v>737</v>
      </c>
      <c r="L335" t="s">
        <v>1280</v>
      </c>
      <c r="M335">
        <v>102975</v>
      </c>
      <c r="N335" t="s">
        <v>731</v>
      </c>
      <c r="O335" t="s">
        <v>44</v>
      </c>
      <c r="P335" t="s">
        <v>75</v>
      </c>
      <c r="Q335" t="s">
        <v>26</v>
      </c>
      <c r="R335" s="105">
        <f>IF(Table__192.168.1.150_Daily_Delinquency_With_Sectors[[#This Row],[Days in Arrears]] &gt; 0, Table__192.168.1.150_Daily_Delinquency_With_Sectors[[#This Row],[Outstanding Balance]],0)</f>
        <v>10134166.34</v>
      </c>
      <c r="S335" s="105">
        <f>IF(Table__192.168.1.150_Daily_Delinquency_With_Sectors[[#This Row],[Days in Arrears]] &gt; 30, Table__192.168.1.150_Daily_Delinquency_With_Sectors[[#This Row],[Outstanding Balance]],0)</f>
        <v>0</v>
      </c>
      <c r="T335" s="105">
        <f>IF(Table__192.168.1.150_Daily_Delinquency_With_Sectors[[#This Row],[Days in Arrears]] &gt; 90, Table__192.168.1.150_Daily_Delinquency_With_Sectors[[#This Row],[Outstanding Balance]],0)</f>
        <v>0</v>
      </c>
      <c r="U335" s="109">
        <f>IF(Table__192.168.1.150_Daily_Delinquency_With_Sectors[[#This Row],[Days in Arrears]] &gt;= 1,1,0)</f>
        <v>1</v>
      </c>
      <c r="V335" s="109">
        <f>IF(Table__192.168.1.150_Daily_Delinquency_With_Sectors[[#This Row],[Days in Arrears]] &gt; 30,1,0)</f>
        <v>0</v>
      </c>
      <c r="W335" s="109">
        <f>IF(Table__192.168.1.150_Daily_Delinquency_With_Sectors[[#This Row],[Days in Arrears]] &gt; 90,1,0)</f>
        <v>0</v>
      </c>
    </row>
    <row r="336" spans="1:23" x14ac:dyDescent="0.25">
      <c r="A336" t="s">
        <v>619</v>
      </c>
      <c r="B336" t="s">
        <v>1283</v>
      </c>
      <c r="C336">
        <v>-7</v>
      </c>
      <c r="D336" s="105">
        <v>40817830.979999997</v>
      </c>
      <c r="E336" t="s">
        <v>468</v>
      </c>
      <c r="F336" s="105">
        <v>897992.28</v>
      </c>
      <c r="G336" s="105">
        <v>49895066.399999999</v>
      </c>
      <c r="H336" s="143">
        <v>42705.631719942132</v>
      </c>
      <c r="I336" s="143">
        <v>43435</v>
      </c>
      <c r="J336" t="s">
        <v>620</v>
      </c>
      <c r="K336" t="s">
        <v>1280</v>
      </c>
      <c r="L336" t="s">
        <v>1280</v>
      </c>
      <c r="M336">
        <v>102976</v>
      </c>
      <c r="N336" t="s">
        <v>615</v>
      </c>
      <c r="O336" t="s">
        <v>45</v>
      </c>
      <c r="P336" t="s">
        <v>45</v>
      </c>
      <c r="Q336" t="s">
        <v>26</v>
      </c>
      <c r="R336" s="105">
        <f>IF(Table__192.168.1.150_Daily_Delinquency_With_Sectors[[#This Row],[Days in Arrears]] &gt; 0, Table__192.168.1.150_Daily_Delinquency_With_Sectors[[#This Row],[Outstanding Balance]],0)</f>
        <v>0</v>
      </c>
      <c r="S336" s="105">
        <f>IF(Table__192.168.1.150_Daily_Delinquency_With_Sectors[[#This Row],[Days in Arrears]] &gt; 30, Table__192.168.1.150_Daily_Delinquency_With_Sectors[[#This Row],[Outstanding Balance]],0)</f>
        <v>0</v>
      </c>
      <c r="T336" s="105">
        <f>IF(Table__192.168.1.150_Daily_Delinquency_With_Sectors[[#This Row],[Days in Arrears]] &gt; 90, Table__192.168.1.150_Daily_Delinquency_With_Sectors[[#This Row],[Outstanding Balance]],0)</f>
        <v>0</v>
      </c>
      <c r="U336" s="109">
        <f>IF(Table__192.168.1.150_Daily_Delinquency_With_Sectors[[#This Row],[Days in Arrears]] &gt;= 1,1,0)</f>
        <v>0</v>
      </c>
      <c r="V336" s="109">
        <f>IF(Table__192.168.1.150_Daily_Delinquency_With_Sectors[[#This Row],[Days in Arrears]] &gt; 30,1,0)</f>
        <v>0</v>
      </c>
      <c r="W336" s="109">
        <f>IF(Table__192.168.1.150_Daily_Delinquency_With_Sectors[[#This Row],[Days in Arrears]] &gt; 90,1,0)</f>
        <v>0</v>
      </c>
    </row>
    <row r="337" spans="1:23" x14ac:dyDescent="0.25">
      <c r="A337" t="s">
        <v>3614</v>
      </c>
      <c r="B337" t="s">
        <v>1284</v>
      </c>
      <c r="C337">
        <v>52</v>
      </c>
      <c r="D337" s="105">
        <v>20686130.359999999</v>
      </c>
      <c r="E337" t="s">
        <v>1448</v>
      </c>
      <c r="F337" s="105">
        <v>1374901.62</v>
      </c>
      <c r="G337" s="105">
        <v>26112932.309999999</v>
      </c>
      <c r="H337" s="143">
        <v>42706.412457141203</v>
      </c>
      <c r="I337" s="143">
        <v>43436</v>
      </c>
      <c r="J337" t="s">
        <v>3615</v>
      </c>
      <c r="K337" t="s">
        <v>3616</v>
      </c>
      <c r="L337" t="s">
        <v>1280</v>
      </c>
      <c r="M337">
        <v>102977</v>
      </c>
      <c r="N337" t="s">
        <v>3611</v>
      </c>
      <c r="O337" t="s">
        <v>42</v>
      </c>
      <c r="P337" t="s">
        <v>26</v>
      </c>
      <c r="Q337" t="s">
        <v>26</v>
      </c>
      <c r="R337" s="105">
        <f>IF(Table__192.168.1.150_Daily_Delinquency_With_Sectors[[#This Row],[Days in Arrears]] &gt; 0, Table__192.168.1.150_Daily_Delinquency_With_Sectors[[#This Row],[Outstanding Balance]],0)</f>
        <v>20686130.359999999</v>
      </c>
      <c r="S337" s="105">
        <f>IF(Table__192.168.1.150_Daily_Delinquency_With_Sectors[[#This Row],[Days in Arrears]] &gt; 30, Table__192.168.1.150_Daily_Delinquency_With_Sectors[[#This Row],[Outstanding Balance]],0)</f>
        <v>20686130.359999999</v>
      </c>
      <c r="T337" s="105">
        <f>IF(Table__192.168.1.150_Daily_Delinquency_With_Sectors[[#This Row],[Days in Arrears]] &gt; 90, Table__192.168.1.150_Daily_Delinquency_With_Sectors[[#This Row],[Outstanding Balance]],0)</f>
        <v>0</v>
      </c>
      <c r="U337" s="109">
        <f>IF(Table__192.168.1.150_Daily_Delinquency_With_Sectors[[#This Row],[Days in Arrears]] &gt;= 1,1,0)</f>
        <v>1</v>
      </c>
      <c r="V337" s="109">
        <f>IF(Table__192.168.1.150_Daily_Delinquency_With_Sectors[[#This Row],[Days in Arrears]] &gt; 30,1,0)</f>
        <v>1</v>
      </c>
      <c r="W337" s="109">
        <f>IF(Table__192.168.1.150_Daily_Delinquency_With_Sectors[[#This Row],[Days in Arrears]] &gt; 90,1,0)</f>
        <v>0</v>
      </c>
    </row>
    <row r="338" spans="1:23" x14ac:dyDescent="0.25">
      <c r="A338" t="s">
        <v>3617</v>
      </c>
      <c r="B338" t="s">
        <v>1866</v>
      </c>
      <c r="C338">
        <v>52</v>
      </c>
      <c r="D338" s="105">
        <v>1785699.53</v>
      </c>
      <c r="E338" t="s">
        <v>468</v>
      </c>
      <c r="F338" s="105">
        <v>124185.94</v>
      </c>
      <c r="G338" s="105">
        <v>1936532.15</v>
      </c>
      <c r="H338" s="143">
        <v>42706.578117592595</v>
      </c>
      <c r="I338" s="143">
        <v>43071</v>
      </c>
      <c r="J338" t="s">
        <v>3618</v>
      </c>
      <c r="K338" t="s">
        <v>3619</v>
      </c>
      <c r="L338" t="s">
        <v>1280</v>
      </c>
      <c r="M338">
        <v>102979</v>
      </c>
      <c r="N338" t="s">
        <v>3612</v>
      </c>
      <c r="O338" t="s">
        <v>44</v>
      </c>
      <c r="P338" t="s">
        <v>75</v>
      </c>
      <c r="Q338" t="s">
        <v>1442</v>
      </c>
      <c r="R338" s="105">
        <f>IF(Table__192.168.1.150_Daily_Delinquency_With_Sectors[[#This Row],[Days in Arrears]] &gt; 0, Table__192.168.1.150_Daily_Delinquency_With_Sectors[[#This Row],[Outstanding Balance]],0)</f>
        <v>1785699.53</v>
      </c>
      <c r="S338" s="105">
        <f>IF(Table__192.168.1.150_Daily_Delinquency_With_Sectors[[#This Row],[Days in Arrears]] &gt; 30, Table__192.168.1.150_Daily_Delinquency_With_Sectors[[#This Row],[Outstanding Balance]],0)</f>
        <v>1785699.53</v>
      </c>
      <c r="T338" s="105">
        <f>IF(Table__192.168.1.150_Daily_Delinquency_With_Sectors[[#This Row],[Days in Arrears]] &gt; 90, Table__192.168.1.150_Daily_Delinquency_With_Sectors[[#This Row],[Outstanding Balance]],0)</f>
        <v>0</v>
      </c>
      <c r="U338" s="109">
        <f>IF(Table__192.168.1.150_Daily_Delinquency_With_Sectors[[#This Row],[Days in Arrears]] &gt;= 1,1,0)</f>
        <v>1</v>
      </c>
      <c r="V338" s="109">
        <f>IF(Table__192.168.1.150_Daily_Delinquency_With_Sectors[[#This Row],[Days in Arrears]] &gt; 30,1,0)</f>
        <v>1</v>
      </c>
      <c r="W338" s="109">
        <f>IF(Table__192.168.1.150_Daily_Delinquency_With_Sectors[[#This Row],[Days in Arrears]] &gt; 90,1,0)</f>
        <v>0</v>
      </c>
    </row>
    <row r="339" spans="1:23" x14ac:dyDescent="0.25">
      <c r="A339" t="s">
        <v>3623</v>
      </c>
      <c r="B339" t="s">
        <v>1281</v>
      </c>
      <c r="C339">
        <v>19</v>
      </c>
      <c r="D339" s="105">
        <v>10636838.539999999</v>
      </c>
      <c r="E339" t="s">
        <v>86</v>
      </c>
      <c r="F339" s="105">
        <v>653052.23</v>
      </c>
      <c r="G339" s="105">
        <v>12638932.550000001</v>
      </c>
      <c r="H339" s="143">
        <v>42709.601917326392</v>
      </c>
      <c r="I339" s="143">
        <v>43256</v>
      </c>
      <c r="J339" t="s">
        <v>3624</v>
      </c>
      <c r="K339" t="s">
        <v>1280</v>
      </c>
      <c r="L339" t="s">
        <v>1280</v>
      </c>
      <c r="M339">
        <v>102980</v>
      </c>
      <c r="N339" t="s">
        <v>3621</v>
      </c>
      <c r="O339" t="s">
        <v>25</v>
      </c>
      <c r="P339" t="s">
        <v>101</v>
      </c>
      <c r="Q339" t="s">
        <v>26</v>
      </c>
      <c r="R339" s="105">
        <f>IF(Table__192.168.1.150_Daily_Delinquency_With_Sectors[[#This Row],[Days in Arrears]] &gt; 0, Table__192.168.1.150_Daily_Delinquency_With_Sectors[[#This Row],[Outstanding Balance]],0)</f>
        <v>10636838.539999999</v>
      </c>
      <c r="S339" s="105">
        <f>IF(Table__192.168.1.150_Daily_Delinquency_With_Sectors[[#This Row],[Days in Arrears]] &gt; 30, Table__192.168.1.150_Daily_Delinquency_With_Sectors[[#This Row],[Outstanding Balance]],0)</f>
        <v>0</v>
      </c>
      <c r="T339" s="105">
        <f>IF(Table__192.168.1.150_Daily_Delinquency_With_Sectors[[#This Row],[Days in Arrears]] &gt; 90, Table__192.168.1.150_Daily_Delinquency_With_Sectors[[#This Row],[Outstanding Balance]],0)</f>
        <v>0</v>
      </c>
      <c r="U339" s="109">
        <f>IF(Table__192.168.1.150_Daily_Delinquency_With_Sectors[[#This Row],[Days in Arrears]] &gt;= 1,1,0)</f>
        <v>1</v>
      </c>
      <c r="V339" s="109">
        <f>IF(Table__192.168.1.150_Daily_Delinquency_With_Sectors[[#This Row],[Days in Arrears]] &gt; 30,1,0)</f>
        <v>0</v>
      </c>
      <c r="W339" s="109">
        <f>IF(Table__192.168.1.150_Daily_Delinquency_With_Sectors[[#This Row],[Days in Arrears]] &gt; 90,1,0)</f>
        <v>0</v>
      </c>
    </row>
    <row r="340" spans="1:23" x14ac:dyDescent="0.25">
      <c r="A340" t="s">
        <v>616</v>
      </c>
      <c r="B340" t="s">
        <v>1281</v>
      </c>
      <c r="C340">
        <v>-11</v>
      </c>
      <c r="D340" s="105">
        <v>4815621.8499999996</v>
      </c>
      <c r="E340" t="s">
        <v>86</v>
      </c>
      <c r="F340" s="105">
        <v>101128.06</v>
      </c>
      <c r="G340" s="105">
        <v>5244234.13</v>
      </c>
      <c r="H340" s="143">
        <v>42709.677225578707</v>
      </c>
      <c r="I340" s="143">
        <v>43164</v>
      </c>
      <c r="J340" t="s">
        <v>617</v>
      </c>
      <c r="K340" t="s">
        <v>618</v>
      </c>
      <c r="L340" t="s">
        <v>1280</v>
      </c>
      <c r="M340">
        <v>102981</v>
      </c>
      <c r="N340" t="s">
        <v>614</v>
      </c>
      <c r="O340" t="s">
        <v>44</v>
      </c>
      <c r="P340" t="s">
        <v>92</v>
      </c>
      <c r="Q340" t="s">
        <v>26</v>
      </c>
      <c r="R340" s="105">
        <f>IF(Table__192.168.1.150_Daily_Delinquency_With_Sectors[[#This Row],[Days in Arrears]] &gt; 0, Table__192.168.1.150_Daily_Delinquency_With_Sectors[[#This Row],[Outstanding Balance]],0)</f>
        <v>0</v>
      </c>
      <c r="S340" s="105">
        <f>IF(Table__192.168.1.150_Daily_Delinquency_With_Sectors[[#This Row],[Days in Arrears]] &gt; 30, Table__192.168.1.150_Daily_Delinquency_With_Sectors[[#This Row],[Outstanding Balance]],0)</f>
        <v>0</v>
      </c>
      <c r="T340" s="105">
        <f>IF(Table__192.168.1.150_Daily_Delinquency_With_Sectors[[#This Row],[Days in Arrears]] &gt; 90, Table__192.168.1.150_Daily_Delinquency_With_Sectors[[#This Row],[Outstanding Balance]],0)</f>
        <v>0</v>
      </c>
      <c r="U340" s="109">
        <f>IF(Table__192.168.1.150_Daily_Delinquency_With_Sectors[[#This Row],[Days in Arrears]] &gt;= 1,1,0)</f>
        <v>0</v>
      </c>
      <c r="V340" s="109">
        <f>IF(Table__192.168.1.150_Daily_Delinquency_With_Sectors[[#This Row],[Days in Arrears]] &gt; 30,1,0)</f>
        <v>0</v>
      </c>
      <c r="W340" s="109">
        <f>IF(Table__192.168.1.150_Daily_Delinquency_With_Sectors[[#This Row],[Days in Arrears]] &gt; 90,1,0)</f>
        <v>0</v>
      </c>
    </row>
    <row r="341" spans="1:23" x14ac:dyDescent="0.25">
      <c r="A341" t="s">
        <v>3625</v>
      </c>
      <c r="B341" t="s">
        <v>1284</v>
      </c>
      <c r="C341">
        <v>-20</v>
      </c>
      <c r="D341" s="105">
        <v>491941.29</v>
      </c>
      <c r="E341" t="s">
        <v>546</v>
      </c>
      <c r="F341" s="105">
        <v>4427.47</v>
      </c>
      <c r="G341" s="105">
        <v>506699.53</v>
      </c>
      <c r="H341" s="143">
        <v>42709.676114201386</v>
      </c>
      <c r="I341" s="143">
        <v>43083</v>
      </c>
      <c r="J341" t="s">
        <v>3626</v>
      </c>
      <c r="K341" t="s">
        <v>3627</v>
      </c>
      <c r="L341" t="s">
        <v>1280</v>
      </c>
      <c r="M341">
        <v>102982</v>
      </c>
      <c r="N341" t="s">
        <v>3622</v>
      </c>
      <c r="O341" t="s">
        <v>44</v>
      </c>
      <c r="P341" t="s">
        <v>75</v>
      </c>
      <c r="Q341" t="s">
        <v>1442</v>
      </c>
      <c r="R341" s="105">
        <f>IF(Table__192.168.1.150_Daily_Delinquency_With_Sectors[[#This Row],[Days in Arrears]] &gt; 0, Table__192.168.1.150_Daily_Delinquency_With_Sectors[[#This Row],[Outstanding Balance]],0)</f>
        <v>0</v>
      </c>
      <c r="S341" s="105">
        <f>IF(Table__192.168.1.150_Daily_Delinquency_With_Sectors[[#This Row],[Days in Arrears]] &gt; 30, Table__192.168.1.150_Daily_Delinquency_With_Sectors[[#This Row],[Outstanding Balance]],0)</f>
        <v>0</v>
      </c>
      <c r="T341" s="105">
        <f>IF(Table__192.168.1.150_Daily_Delinquency_With_Sectors[[#This Row],[Days in Arrears]] &gt; 90, Table__192.168.1.150_Daily_Delinquency_With_Sectors[[#This Row],[Outstanding Balance]],0)</f>
        <v>0</v>
      </c>
      <c r="U341" s="109">
        <f>IF(Table__192.168.1.150_Daily_Delinquency_With_Sectors[[#This Row],[Days in Arrears]] &gt;= 1,1,0)</f>
        <v>0</v>
      </c>
      <c r="V341" s="109">
        <f>IF(Table__192.168.1.150_Daily_Delinquency_With_Sectors[[#This Row],[Days in Arrears]] &gt; 30,1,0)</f>
        <v>0</v>
      </c>
      <c r="W341" s="109">
        <f>IF(Table__192.168.1.150_Daily_Delinquency_With_Sectors[[#This Row],[Days in Arrears]] &gt; 90,1,0)</f>
        <v>0</v>
      </c>
    </row>
    <row r="342" spans="1:23" x14ac:dyDescent="0.25">
      <c r="A342" t="s">
        <v>3642</v>
      </c>
      <c r="B342" t="s">
        <v>1282</v>
      </c>
      <c r="C342">
        <v>16</v>
      </c>
      <c r="D342" s="105">
        <v>1232210.03</v>
      </c>
      <c r="E342" t="s">
        <v>2494</v>
      </c>
      <c r="F342" s="105">
        <v>42200.480000000003</v>
      </c>
      <c r="G342" s="105">
        <v>1288577.92</v>
      </c>
      <c r="H342" s="143">
        <v>42712.699027083334</v>
      </c>
      <c r="I342" s="143">
        <v>43077</v>
      </c>
      <c r="J342" t="s">
        <v>3643</v>
      </c>
      <c r="K342" t="s">
        <v>3644</v>
      </c>
      <c r="L342" t="s">
        <v>1280</v>
      </c>
      <c r="M342">
        <v>102986</v>
      </c>
      <c r="N342" t="s">
        <v>3641</v>
      </c>
      <c r="O342" t="s">
        <v>44</v>
      </c>
      <c r="P342" t="s">
        <v>75</v>
      </c>
      <c r="Q342" t="s">
        <v>1442</v>
      </c>
      <c r="R342" s="105">
        <f>IF(Table__192.168.1.150_Daily_Delinquency_With_Sectors[[#This Row],[Days in Arrears]] &gt; 0, Table__192.168.1.150_Daily_Delinquency_With_Sectors[[#This Row],[Outstanding Balance]],0)</f>
        <v>1232210.03</v>
      </c>
      <c r="S342" s="105">
        <f>IF(Table__192.168.1.150_Daily_Delinquency_With_Sectors[[#This Row],[Days in Arrears]] &gt; 30, Table__192.168.1.150_Daily_Delinquency_With_Sectors[[#This Row],[Outstanding Balance]],0)</f>
        <v>0</v>
      </c>
      <c r="T342" s="105">
        <f>IF(Table__192.168.1.150_Daily_Delinquency_With_Sectors[[#This Row],[Days in Arrears]] &gt; 90, Table__192.168.1.150_Daily_Delinquency_With_Sectors[[#This Row],[Outstanding Balance]],0)</f>
        <v>0</v>
      </c>
      <c r="U342" s="109">
        <f>IF(Table__192.168.1.150_Daily_Delinquency_With_Sectors[[#This Row],[Days in Arrears]] &gt;= 1,1,0)</f>
        <v>1</v>
      </c>
      <c r="V342" s="109">
        <f>IF(Table__192.168.1.150_Daily_Delinquency_With_Sectors[[#This Row],[Days in Arrears]] &gt; 30,1,0)</f>
        <v>0</v>
      </c>
      <c r="W342" s="109">
        <f>IF(Table__192.168.1.150_Daily_Delinquency_With_Sectors[[#This Row],[Days in Arrears]] &gt; 90,1,0)</f>
        <v>0</v>
      </c>
    </row>
    <row r="343" spans="1:23" x14ac:dyDescent="0.25">
      <c r="A343" t="s">
        <v>3651</v>
      </c>
      <c r="B343" t="s">
        <v>1282</v>
      </c>
      <c r="C343">
        <v>15</v>
      </c>
      <c r="D343" s="105">
        <v>1026841.7</v>
      </c>
      <c r="E343" t="s">
        <v>1448</v>
      </c>
      <c r="F343" s="105">
        <v>35042.160000000003</v>
      </c>
      <c r="G343" s="105">
        <v>1074477.1100000001</v>
      </c>
      <c r="H343" s="143">
        <v>42713.562692789354</v>
      </c>
      <c r="I343" s="143">
        <v>43078</v>
      </c>
      <c r="J343" t="s">
        <v>3652</v>
      </c>
      <c r="K343" t="s">
        <v>1280</v>
      </c>
      <c r="L343" t="s">
        <v>1280</v>
      </c>
      <c r="M343">
        <v>102987</v>
      </c>
      <c r="N343" t="s">
        <v>3646</v>
      </c>
      <c r="O343" t="s">
        <v>25</v>
      </c>
      <c r="P343" t="s">
        <v>88</v>
      </c>
      <c r="Q343" t="s">
        <v>285</v>
      </c>
      <c r="R343" s="105">
        <f>IF(Table__192.168.1.150_Daily_Delinquency_With_Sectors[[#This Row],[Days in Arrears]] &gt; 0, Table__192.168.1.150_Daily_Delinquency_With_Sectors[[#This Row],[Outstanding Balance]],0)</f>
        <v>1026841.7</v>
      </c>
      <c r="S343" s="105">
        <f>IF(Table__192.168.1.150_Daily_Delinquency_With_Sectors[[#This Row],[Days in Arrears]] &gt; 30, Table__192.168.1.150_Daily_Delinquency_With_Sectors[[#This Row],[Outstanding Balance]],0)</f>
        <v>0</v>
      </c>
      <c r="T343" s="105">
        <f>IF(Table__192.168.1.150_Daily_Delinquency_With_Sectors[[#This Row],[Days in Arrears]] &gt; 90, Table__192.168.1.150_Daily_Delinquency_With_Sectors[[#This Row],[Outstanding Balance]],0)</f>
        <v>0</v>
      </c>
      <c r="U343" s="109">
        <f>IF(Table__192.168.1.150_Daily_Delinquency_With_Sectors[[#This Row],[Days in Arrears]] &gt;= 1,1,0)</f>
        <v>1</v>
      </c>
      <c r="V343" s="109">
        <f>IF(Table__192.168.1.150_Daily_Delinquency_With_Sectors[[#This Row],[Days in Arrears]] &gt; 30,1,0)</f>
        <v>0</v>
      </c>
      <c r="W343" s="109">
        <f>IF(Table__192.168.1.150_Daily_Delinquency_With_Sectors[[#This Row],[Days in Arrears]] &gt; 90,1,0)</f>
        <v>0</v>
      </c>
    </row>
    <row r="344" spans="1:23" x14ac:dyDescent="0.25">
      <c r="A344" t="s">
        <v>946</v>
      </c>
      <c r="B344" t="s">
        <v>1279</v>
      </c>
      <c r="C344">
        <v>45</v>
      </c>
      <c r="D344" s="105">
        <v>1425294.5</v>
      </c>
      <c r="E344" t="s">
        <v>963</v>
      </c>
      <c r="F344" s="105">
        <v>39536.75</v>
      </c>
      <c r="G344" s="105">
        <v>1485978.8</v>
      </c>
      <c r="H344" s="143">
        <v>42713.660623761571</v>
      </c>
      <c r="I344" s="143">
        <v>43078</v>
      </c>
      <c r="J344" t="s">
        <v>947</v>
      </c>
      <c r="K344" t="s">
        <v>948</v>
      </c>
      <c r="L344" t="s">
        <v>1280</v>
      </c>
      <c r="M344">
        <v>102989</v>
      </c>
      <c r="N344" t="s">
        <v>934</v>
      </c>
      <c r="O344" t="s">
        <v>44</v>
      </c>
      <c r="P344" t="s">
        <v>75</v>
      </c>
      <c r="Q344" t="s">
        <v>1442</v>
      </c>
      <c r="R344" s="105">
        <f>IF(Table__192.168.1.150_Daily_Delinquency_With_Sectors[[#This Row],[Days in Arrears]] &gt; 0, Table__192.168.1.150_Daily_Delinquency_With_Sectors[[#This Row],[Outstanding Balance]],0)</f>
        <v>1425294.5</v>
      </c>
      <c r="S344" s="105">
        <f>IF(Table__192.168.1.150_Daily_Delinquency_With_Sectors[[#This Row],[Days in Arrears]] &gt; 30, Table__192.168.1.150_Daily_Delinquency_With_Sectors[[#This Row],[Outstanding Balance]],0)</f>
        <v>1425294.5</v>
      </c>
      <c r="T344" s="105">
        <f>IF(Table__192.168.1.150_Daily_Delinquency_With_Sectors[[#This Row],[Days in Arrears]] &gt; 90, Table__192.168.1.150_Daily_Delinquency_With_Sectors[[#This Row],[Outstanding Balance]],0)</f>
        <v>0</v>
      </c>
      <c r="U344" s="109">
        <f>IF(Table__192.168.1.150_Daily_Delinquency_With_Sectors[[#This Row],[Days in Arrears]] &gt;= 1,1,0)</f>
        <v>1</v>
      </c>
      <c r="V344" s="109">
        <f>IF(Table__192.168.1.150_Daily_Delinquency_With_Sectors[[#This Row],[Days in Arrears]] &gt; 30,1,0)</f>
        <v>1</v>
      </c>
      <c r="W344" s="109">
        <f>IF(Table__192.168.1.150_Daily_Delinquency_With_Sectors[[#This Row],[Days in Arrears]] &gt; 90,1,0)</f>
        <v>0</v>
      </c>
    </row>
    <row r="345" spans="1:23" x14ac:dyDescent="0.25">
      <c r="A345" t="s">
        <v>3653</v>
      </c>
      <c r="B345" t="s">
        <v>1282</v>
      </c>
      <c r="C345">
        <v>15</v>
      </c>
      <c r="D345" s="105">
        <v>1864993.12</v>
      </c>
      <c r="E345" t="s">
        <v>1909</v>
      </c>
      <c r="F345" s="105">
        <v>19124.75</v>
      </c>
      <c r="G345" s="105">
        <v>1905974.72</v>
      </c>
      <c r="H345" s="143">
        <v>42713.678413275462</v>
      </c>
      <c r="I345" s="143">
        <v>43078</v>
      </c>
      <c r="J345" t="s">
        <v>3654</v>
      </c>
      <c r="K345" t="s">
        <v>1280</v>
      </c>
      <c r="L345" t="s">
        <v>1280</v>
      </c>
      <c r="M345">
        <v>102990</v>
      </c>
      <c r="N345" t="s">
        <v>3647</v>
      </c>
      <c r="O345" t="s">
        <v>25</v>
      </c>
      <c r="P345" t="s">
        <v>88</v>
      </c>
      <c r="Q345" t="s">
        <v>285</v>
      </c>
      <c r="R345" s="105">
        <f>IF(Table__192.168.1.150_Daily_Delinquency_With_Sectors[[#This Row],[Days in Arrears]] &gt; 0, Table__192.168.1.150_Daily_Delinquency_With_Sectors[[#This Row],[Outstanding Balance]],0)</f>
        <v>1864993.12</v>
      </c>
      <c r="S345" s="105">
        <f>IF(Table__192.168.1.150_Daily_Delinquency_With_Sectors[[#This Row],[Days in Arrears]] &gt; 30, Table__192.168.1.150_Daily_Delinquency_With_Sectors[[#This Row],[Outstanding Balance]],0)</f>
        <v>0</v>
      </c>
      <c r="T345" s="105">
        <f>IF(Table__192.168.1.150_Daily_Delinquency_With_Sectors[[#This Row],[Days in Arrears]] &gt; 90, Table__192.168.1.150_Daily_Delinquency_With_Sectors[[#This Row],[Outstanding Balance]],0)</f>
        <v>0</v>
      </c>
      <c r="U345" s="109">
        <f>IF(Table__192.168.1.150_Daily_Delinquency_With_Sectors[[#This Row],[Days in Arrears]] &gt;= 1,1,0)</f>
        <v>1</v>
      </c>
      <c r="V345" s="109">
        <f>IF(Table__192.168.1.150_Daily_Delinquency_With_Sectors[[#This Row],[Days in Arrears]] &gt; 30,1,0)</f>
        <v>0</v>
      </c>
      <c r="W345" s="109">
        <f>IF(Table__192.168.1.150_Daily_Delinquency_With_Sectors[[#This Row],[Days in Arrears]] &gt; 90,1,0)</f>
        <v>0</v>
      </c>
    </row>
    <row r="346" spans="1:23" x14ac:dyDescent="0.25">
      <c r="A346" t="s">
        <v>768</v>
      </c>
      <c r="B346" t="s">
        <v>1281</v>
      </c>
      <c r="C346">
        <v>-19</v>
      </c>
      <c r="D346" s="105">
        <v>14114775</v>
      </c>
      <c r="E346" t="s">
        <v>963</v>
      </c>
      <c r="F346" s="105">
        <v>164672.38</v>
      </c>
      <c r="G346" s="105">
        <v>17810029.359999999</v>
      </c>
      <c r="H346" s="143">
        <v>42717.69995332176</v>
      </c>
      <c r="I346" s="143">
        <v>43447</v>
      </c>
      <c r="J346" t="s">
        <v>769</v>
      </c>
      <c r="K346" t="s">
        <v>770</v>
      </c>
      <c r="L346" t="s">
        <v>1280</v>
      </c>
      <c r="M346">
        <v>102996</v>
      </c>
      <c r="N346" t="s">
        <v>765</v>
      </c>
      <c r="O346" t="s">
        <v>25</v>
      </c>
      <c r="P346" t="s">
        <v>295</v>
      </c>
      <c r="Q346" t="s">
        <v>296</v>
      </c>
      <c r="R346" s="105">
        <f>IF(Table__192.168.1.150_Daily_Delinquency_With_Sectors[[#This Row],[Days in Arrears]] &gt; 0, Table__192.168.1.150_Daily_Delinquency_With_Sectors[[#This Row],[Outstanding Balance]],0)</f>
        <v>0</v>
      </c>
      <c r="S346" s="105">
        <f>IF(Table__192.168.1.150_Daily_Delinquency_With_Sectors[[#This Row],[Days in Arrears]] &gt; 30, Table__192.168.1.150_Daily_Delinquency_With_Sectors[[#This Row],[Outstanding Balance]],0)</f>
        <v>0</v>
      </c>
      <c r="T346" s="105">
        <f>IF(Table__192.168.1.150_Daily_Delinquency_With_Sectors[[#This Row],[Days in Arrears]] &gt; 90, Table__192.168.1.150_Daily_Delinquency_With_Sectors[[#This Row],[Outstanding Balance]],0)</f>
        <v>0</v>
      </c>
      <c r="U346" s="109">
        <f>IF(Table__192.168.1.150_Daily_Delinquency_With_Sectors[[#This Row],[Days in Arrears]] &gt;= 1,1,0)</f>
        <v>0</v>
      </c>
      <c r="V346" s="109">
        <f>IF(Table__192.168.1.150_Daily_Delinquency_With_Sectors[[#This Row],[Days in Arrears]] &gt; 30,1,0)</f>
        <v>0</v>
      </c>
      <c r="W346" s="109">
        <f>IF(Table__192.168.1.150_Daily_Delinquency_With_Sectors[[#This Row],[Days in Arrears]] &gt; 90,1,0)</f>
        <v>0</v>
      </c>
    </row>
    <row r="347" spans="1:23" x14ac:dyDescent="0.25">
      <c r="A347" t="s">
        <v>1412</v>
      </c>
      <c r="B347" t="s">
        <v>1281</v>
      </c>
      <c r="C347">
        <v>-19</v>
      </c>
      <c r="D347" s="105">
        <v>11589635.189999999</v>
      </c>
      <c r="E347" t="s">
        <v>1191</v>
      </c>
      <c r="F347" s="105">
        <v>135212.41</v>
      </c>
      <c r="G347" s="105">
        <v>13267947.140000001</v>
      </c>
      <c r="H347" s="143">
        <v>42717.529608645833</v>
      </c>
      <c r="I347" s="143">
        <v>43264</v>
      </c>
      <c r="J347" t="s">
        <v>1413</v>
      </c>
      <c r="K347" t="s">
        <v>1414</v>
      </c>
      <c r="L347" t="s">
        <v>1280</v>
      </c>
      <c r="M347">
        <v>102997</v>
      </c>
      <c r="N347" t="s">
        <v>1411</v>
      </c>
      <c r="O347" t="s">
        <v>37</v>
      </c>
      <c r="P347" t="s">
        <v>38</v>
      </c>
      <c r="Q347" t="s">
        <v>39</v>
      </c>
      <c r="R347" s="105">
        <f>IF(Table__192.168.1.150_Daily_Delinquency_With_Sectors[[#This Row],[Days in Arrears]] &gt; 0, Table__192.168.1.150_Daily_Delinquency_With_Sectors[[#This Row],[Outstanding Balance]],0)</f>
        <v>0</v>
      </c>
      <c r="S347" s="105">
        <f>IF(Table__192.168.1.150_Daily_Delinquency_With_Sectors[[#This Row],[Days in Arrears]] &gt; 30, Table__192.168.1.150_Daily_Delinquency_With_Sectors[[#This Row],[Outstanding Balance]],0)</f>
        <v>0</v>
      </c>
      <c r="T347" s="105">
        <f>IF(Table__192.168.1.150_Daily_Delinquency_With_Sectors[[#This Row],[Days in Arrears]] &gt; 90, Table__192.168.1.150_Daily_Delinquency_With_Sectors[[#This Row],[Outstanding Balance]],0)</f>
        <v>0</v>
      </c>
      <c r="U347" s="109">
        <f>IF(Table__192.168.1.150_Daily_Delinquency_With_Sectors[[#This Row],[Days in Arrears]] &gt;= 1,1,0)</f>
        <v>0</v>
      </c>
      <c r="V347" s="109">
        <f>IF(Table__192.168.1.150_Daily_Delinquency_With_Sectors[[#This Row],[Days in Arrears]] &gt; 30,1,0)</f>
        <v>0</v>
      </c>
      <c r="W347" s="109">
        <f>IF(Table__192.168.1.150_Daily_Delinquency_With_Sectors[[#This Row],[Days in Arrears]] &gt; 90,1,0)</f>
        <v>0</v>
      </c>
    </row>
    <row r="348" spans="1:23" x14ac:dyDescent="0.25">
      <c r="A348" t="s">
        <v>3697</v>
      </c>
      <c r="B348" t="s">
        <v>1282</v>
      </c>
      <c r="C348">
        <v>-20</v>
      </c>
      <c r="D348" s="105">
        <v>1049437.17</v>
      </c>
      <c r="E348" t="s">
        <v>2494</v>
      </c>
      <c r="F348" s="105">
        <v>14167.4</v>
      </c>
      <c r="G348" s="105">
        <v>1096661.8400000001</v>
      </c>
      <c r="H348" s="143">
        <v>42718.660504432868</v>
      </c>
      <c r="I348" s="143">
        <v>43083</v>
      </c>
      <c r="J348" t="s">
        <v>3698</v>
      </c>
      <c r="K348" t="s">
        <v>1280</v>
      </c>
      <c r="L348" t="s">
        <v>1280</v>
      </c>
      <c r="M348">
        <v>102998</v>
      </c>
      <c r="N348" t="s">
        <v>3695</v>
      </c>
      <c r="O348" t="s">
        <v>37</v>
      </c>
      <c r="P348" t="s">
        <v>288</v>
      </c>
      <c r="Q348" t="s">
        <v>1829</v>
      </c>
      <c r="R348" s="105">
        <f>IF(Table__192.168.1.150_Daily_Delinquency_With_Sectors[[#This Row],[Days in Arrears]] &gt; 0, Table__192.168.1.150_Daily_Delinquency_With_Sectors[[#This Row],[Outstanding Balance]],0)</f>
        <v>0</v>
      </c>
      <c r="S348" s="105">
        <f>IF(Table__192.168.1.150_Daily_Delinquency_With_Sectors[[#This Row],[Days in Arrears]] &gt; 30, Table__192.168.1.150_Daily_Delinquency_With_Sectors[[#This Row],[Outstanding Balance]],0)</f>
        <v>0</v>
      </c>
      <c r="T348" s="105">
        <f>IF(Table__192.168.1.150_Daily_Delinquency_With_Sectors[[#This Row],[Days in Arrears]] &gt; 90, Table__192.168.1.150_Daily_Delinquency_With_Sectors[[#This Row],[Outstanding Balance]],0)</f>
        <v>0</v>
      </c>
      <c r="U348" s="109">
        <f>IF(Table__192.168.1.150_Daily_Delinquency_With_Sectors[[#This Row],[Days in Arrears]] &gt;= 1,1,0)</f>
        <v>0</v>
      </c>
      <c r="V348" s="109">
        <f>IF(Table__192.168.1.150_Daily_Delinquency_With_Sectors[[#This Row],[Days in Arrears]] &gt; 30,1,0)</f>
        <v>0</v>
      </c>
      <c r="W348" s="109">
        <f>IF(Table__192.168.1.150_Daily_Delinquency_With_Sectors[[#This Row],[Days in Arrears]] &gt; 90,1,0)</f>
        <v>0</v>
      </c>
    </row>
    <row r="349" spans="1:23" x14ac:dyDescent="0.25">
      <c r="A349" t="s">
        <v>3709</v>
      </c>
      <c r="B349" t="s">
        <v>1284</v>
      </c>
      <c r="C349">
        <v>9</v>
      </c>
      <c r="D349" s="105">
        <v>53223768.729999997</v>
      </c>
      <c r="E349" t="s">
        <v>491</v>
      </c>
      <c r="F349" s="105">
        <v>2011458.94</v>
      </c>
      <c r="G349" s="105">
        <v>77408412.280000001</v>
      </c>
      <c r="H349" s="143">
        <v>42719.47424841435</v>
      </c>
      <c r="I349" s="143">
        <v>43814</v>
      </c>
      <c r="J349" t="s">
        <v>3710</v>
      </c>
      <c r="K349" t="s">
        <v>3711</v>
      </c>
      <c r="L349" t="s">
        <v>1280</v>
      </c>
      <c r="M349">
        <v>102999</v>
      </c>
      <c r="N349" t="s">
        <v>3705</v>
      </c>
      <c r="O349" t="s">
        <v>44</v>
      </c>
      <c r="P349" t="s">
        <v>75</v>
      </c>
      <c r="Q349" t="s">
        <v>1442</v>
      </c>
      <c r="R349" s="105">
        <f>IF(Table__192.168.1.150_Daily_Delinquency_With_Sectors[[#This Row],[Days in Arrears]] &gt; 0, Table__192.168.1.150_Daily_Delinquency_With_Sectors[[#This Row],[Outstanding Balance]],0)</f>
        <v>53223768.729999997</v>
      </c>
      <c r="S349" s="105">
        <f>IF(Table__192.168.1.150_Daily_Delinquency_With_Sectors[[#This Row],[Days in Arrears]] &gt; 30, Table__192.168.1.150_Daily_Delinquency_With_Sectors[[#This Row],[Outstanding Balance]],0)</f>
        <v>0</v>
      </c>
      <c r="T349" s="105">
        <f>IF(Table__192.168.1.150_Daily_Delinquency_With_Sectors[[#This Row],[Days in Arrears]] &gt; 90, Table__192.168.1.150_Daily_Delinquency_With_Sectors[[#This Row],[Outstanding Balance]],0)</f>
        <v>0</v>
      </c>
      <c r="U349" s="109">
        <f>IF(Table__192.168.1.150_Daily_Delinquency_With_Sectors[[#This Row],[Days in Arrears]] &gt;= 1,1,0)</f>
        <v>1</v>
      </c>
      <c r="V349" s="109">
        <f>IF(Table__192.168.1.150_Daily_Delinquency_With_Sectors[[#This Row],[Days in Arrears]] &gt; 30,1,0)</f>
        <v>0</v>
      </c>
      <c r="W349" s="109">
        <f>IF(Table__192.168.1.150_Daily_Delinquency_With_Sectors[[#This Row],[Days in Arrears]] &gt; 90,1,0)</f>
        <v>0</v>
      </c>
    </row>
    <row r="350" spans="1:23" x14ac:dyDescent="0.25">
      <c r="A350" t="s">
        <v>3712</v>
      </c>
      <c r="B350" t="s">
        <v>1284</v>
      </c>
      <c r="C350">
        <v>4</v>
      </c>
      <c r="D350" s="105">
        <v>16044405.65</v>
      </c>
      <c r="E350" t="s">
        <v>86</v>
      </c>
      <c r="F350" s="105">
        <v>619514.63</v>
      </c>
      <c r="G350" s="105">
        <v>20024914.309999999</v>
      </c>
      <c r="H350" s="143">
        <v>42719.680272303238</v>
      </c>
      <c r="I350" s="143">
        <v>43454</v>
      </c>
      <c r="J350" t="s">
        <v>3713</v>
      </c>
      <c r="K350" t="s">
        <v>1280</v>
      </c>
      <c r="L350" t="s">
        <v>1280</v>
      </c>
      <c r="M350">
        <v>103000</v>
      </c>
      <c r="N350" t="s">
        <v>3703</v>
      </c>
      <c r="O350" t="s">
        <v>25</v>
      </c>
      <c r="P350" t="s">
        <v>289</v>
      </c>
      <c r="Q350" t="s">
        <v>3704</v>
      </c>
      <c r="R350" s="105">
        <f>IF(Table__192.168.1.150_Daily_Delinquency_With_Sectors[[#This Row],[Days in Arrears]] &gt; 0, Table__192.168.1.150_Daily_Delinquency_With_Sectors[[#This Row],[Outstanding Balance]],0)</f>
        <v>16044405.65</v>
      </c>
      <c r="S350" s="105">
        <f>IF(Table__192.168.1.150_Daily_Delinquency_With_Sectors[[#This Row],[Days in Arrears]] &gt; 30, Table__192.168.1.150_Daily_Delinquency_With_Sectors[[#This Row],[Outstanding Balance]],0)</f>
        <v>0</v>
      </c>
      <c r="T350" s="105">
        <f>IF(Table__192.168.1.150_Daily_Delinquency_With_Sectors[[#This Row],[Days in Arrears]] &gt; 90, Table__192.168.1.150_Daily_Delinquency_With_Sectors[[#This Row],[Outstanding Balance]],0)</f>
        <v>0</v>
      </c>
      <c r="U350" s="109">
        <f>IF(Table__192.168.1.150_Daily_Delinquency_With_Sectors[[#This Row],[Days in Arrears]] &gt;= 1,1,0)</f>
        <v>1</v>
      </c>
      <c r="V350" s="109">
        <f>IF(Table__192.168.1.150_Daily_Delinquency_With_Sectors[[#This Row],[Days in Arrears]] &gt; 30,1,0)</f>
        <v>0</v>
      </c>
      <c r="W350" s="109">
        <f>IF(Table__192.168.1.150_Daily_Delinquency_With_Sectors[[#This Row],[Days in Arrears]] &gt; 90,1,0)</f>
        <v>0</v>
      </c>
    </row>
    <row r="351" spans="1:23" x14ac:dyDescent="0.25">
      <c r="A351" t="s">
        <v>3714</v>
      </c>
      <c r="B351" t="s">
        <v>1281</v>
      </c>
      <c r="C351">
        <v>99</v>
      </c>
      <c r="D351" s="105">
        <v>15224422.66</v>
      </c>
      <c r="E351" t="s">
        <v>5725</v>
      </c>
      <c r="F351" s="105">
        <v>1167912.28</v>
      </c>
      <c r="G351" s="105">
        <v>19116385.420000002</v>
      </c>
      <c r="H351" s="143">
        <v>42719.749187303241</v>
      </c>
      <c r="I351" s="143">
        <v>43266</v>
      </c>
      <c r="J351" t="s">
        <v>3715</v>
      </c>
      <c r="K351" t="s">
        <v>3716</v>
      </c>
      <c r="L351" t="s">
        <v>1280</v>
      </c>
      <c r="M351">
        <v>103001</v>
      </c>
      <c r="N351" t="s">
        <v>3706</v>
      </c>
      <c r="O351" t="s">
        <v>44</v>
      </c>
      <c r="P351" t="s">
        <v>75</v>
      </c>
      <c r="Q351" t="s">
        <v>26</v>
      </c>
      <c r="R351" s="105">
        <f>IF(Table__192.168.1.150_Daily_Delinquency_With_Sectors[[#This Row],[Days in Arrears]] &gt; 0, Table__192.168.1.150_Daily_Delinquency_With_Sectors[[#This Row],[Outstanding Balance]],0)</f>
        <v>15224422.66</v>
      </c>
      <c r="S351" s="105">
        <f>IF(Table__192.168.1.150_Daily_Delinquency_With_Sectors[[#This Row],[Days in Arrears]] &gt; 30, Table__192.168.1.150_Daily_Delinquency_With_Sectors[[#This Row],[Outstanding Balance]],0)</f>
        <v>15224422.66</v>
      </c>
      <c r="T351" s="105">
        <f>IF(Table__192.168.1.150_Daily_Delinquency_With_Sectors[[#This Row],[Days in Arrears]] &gt; 90, Table__192.168.1.150_Daily_Delinquency_With_Sectors[[#This Row],[Outstanding Balance]],0)</f>
        <v>15224422.66</v>
      </c>
      <c r="U351" s="109">
        <f>IF(Table__192.168.1.150_Daily_Delinquency_With_Sectors[[#This Row],[Days in Arrears]] &gt;= 1,1,0)</f>
        <v>1</v>
      </c>
      <c r="V351" s="109">
        <f>IF(Table__192.168.1.150_Daily_Delinquency_With_Sectors[[#This Row],[Days in Arrears]] &gt; 30,1,0)</f>
        <v>1</v>
      </c>
      <c r="W351" s="109">
        <f>IF(Table__192.168.1.150_Daily_Delinquency_With_Sectors[[#This Row],[Days in Arrears]] &gt; 90,1,0)</f>
        <v>1</v>
      </c>
    </row>
    <row r="352" spans="1:23" x14ac:dyDescent="0.25">
      <c r="A352" t="s">
        <v>393</v>
      </c>
      <c r="B352" t="s">
        <v>1283</v>
      </c>
      <c r="C352">
        <v>60</v>
      </c>
      <c r="D352" s="105">
        <v>36148514.509999998</v>
      </c>
      <c r="E352" t="s">
        <v>1447</v>
      </c>
      <c r="F352" s="105">
        <v>1099178.03</v>
      </c>
      <c r="G352" s="105">
        <v>45259081.890000001</v>
      </c>
      <c r="H352" s="143">
        <v>42720.486729861113</v>
      </c>
      <c r="I352" s="143">
        <v>43458</v>
      </c>
      <c r="J352" t="s">
        <v>394</v>
      </c>
      <c r="K352" t="s">
        <v>1280</v>
      </c>
      <c r="L352" t="s">
        <v>1280</v>
      </c>
      <c r="M352">
        <v>103002</v>
      </c>
      <c r="N352" t="s">
        <v>390</v>
      </c>
      <c r="O352" t="s">
        <v>37</v>
      </c>
      <c r="P352" t="s">
        <v>288</v>
      </c>
      <c r="Q352" t="s">
        <v>1313</v>
      </c>
      <c r="R352" s="105">
        <f>IF(Table__192.168.1.150_Daily_Delinquency_With_Sectors[[#This Row],[Days in Arrears]] &gt; 0, Table__192.168.1.150_Daily_Delinquency_With_Sectors[[#This Row],[Outstanding Balance]],0)</f>
        <v>36148514.509999998</v>
      </c>
      <c r="S352" s="105">
        <f>IF(Table__192.168.1.150_Daily_Delinquency_With_Sectors[[#This Row],[Days in Arrears]] &gt; 30, Table__192.168.1.150_Daily_Delinquency_With_Sectors[[#This Row],[Outstanding Balance]],0)</f>
        <v>36148514.509999998</v>
      </c>
      <c r="T352" s="105">
        <f>IF(Table__192.168.1.150_Daily_Delinquency_With_Sectors[[#This Row],[Days in Arrears]] &gt; 90, Table__192.168.1.150_Daily_Delinquency_With_Sectors[[#This Row],[Outstanding Balance]],0)</f>
        <v>0</v>
      </c>
      <c r="U352" s="109">
        <f>IF(Table__192.168.1.150_Daily_Delinquency_With_Sectors[[#This Row],[Days in Arrears]] &gt;= 1,1,0)</f>
        <v>1</v>
      </c>
      <c r="V352" s="109">
        <f>IF(Table__192.168.1.150_Daily_Delinquency_With_Sectors[[#This Row],[Days in Arrears]] &gt; 30,1,0)</f>
        <v>1</v>
      </c>
      <c r="W352" s="109">
        <f>IF(Table__192.168.1.150_Daily_Delinquency_With_Sectors[[#This Row],[Days in Arrears]] &gt; 90,1,0)</f>
        <v>0</v>
      </c>
    </row>
    <row r="353" spans="1:23" x14ac:dyDescent="0.25">
      <c r="A353" t="s">
        <v>2424</v>
      </c>
      <c r="B353" t="s">
        <v>1285</v>
      </c>
      <c r="C353">
        <v>-27</v>
      </c>
      <c r="D353" s="105">
        <v>9929962.5099999998</v>
      </c>
      <c r="E353" t="s">
        <v>284</v>
      </c>
      <c r="F353" s="105">
        <v>13791.61</v>
      </c>
      <c r="G353" s="105">
        <v>13578894.220000001</v>
      </c>
      <c r="H353" s="143">
        <v>42723.521864155089</v>
      </c>
      <c r="I353" s="143">
        <v>44003</v>
      </c>
      <c r="J353" t="s">
        <v>2425</v>
      </c>
      <c r="K353" t="s">
        <v>1280</v>
      </c>
      <c r="L353" t="s">
        <v>1280</v>
      </c>
      <c r="M353">
        <v>103005</v>
      </c>
      <c r="N353" t="s">
        <v>913</v>
      </c>
      <c r="O353" t="s">
        <v>43</v>
      </c>
      <c r="P353" t="s">
        <v>338</v>
      </c>
      <c r="Q353" t="s">
        <v>339</v>
      </c>
      <c r="R353" s="105">
        <f>IF(Table__192.168.1.150_Daily_Delinquency_With_Sectors[[#This Row],[Days in Arrears]] &gt; 0, Table__192.168.1.150_Daily_Delinquency_With_Sectors[[#This Row],[Outstanding Balance]],0)</f>
        <v>0</v>
      </c>
      <c r="S353" s="105">
        <f>IF(Table__192.168.1.150_Daily_Delinquency_With_Sectors[[#This Row],[Days in Arrears]] &gt; 30, Table__192.168.1.150_Daily_Delinquency_With_Sectors[[#This Row],[Outstanding Balance]],0)</f>
        <v>0</v>
      </c>
      <c r="T353" s="105">
        <f>IF(Table__192.168.1.150_Daily_Delinquency_With_Sectors[[#This Row],[Days in Arrears]] &gt; 90, Table__192.168.1.150_Daily_Delinquency_With_Sectors[[#This Row],[Outstanding Balance]],0)</f>
        <v>0</v>
      </c>
      <c r="U353" s="109">
        <f>IF(Table__192.168.1.150_Daily_Delinquency_With_Sectors[[#This Row],[Days in Arrears]] &gt;= 1,1,0)</f>
        <v>0</v>
      </c>
      <c r="V353" s="109">
        <f>IF(Table__192.168.1.150_Daily_Delinquency_With_Sectors[[#This Row],[Days in Arrears]] &gt; 30,1,0)</f>
        <v>0</v>
      </c>
      <c r="W353" s="109">
        <f>IF(Table__192.168.1.150_Daily_Delinquency_With_Sectors[[#This Row],[Days in Arrears]] &gt; 90,1,0)</f>
        <v>0</v>
      </c>
    </row>
    <row r="354" spans="1:23" x14ac:dyDescent="0.25">
      <c r="A354" t="s">
        <v>2926</v>
      </c>
      <c r="B354" t="s">
        <v>1281</v>
      </c>
      <c r="C354">
        <v>-26</v>
      </c>
      <c r="D354" s="105">
        <v>1599751.86</v>
      </c>
      <c r="E354" t="s">
        <v>1467</v>
      </c>
      <c r="F354" s="105">
        <v>5599.13</v>
      </c>
      <c r="G354" s="105">
        <v>1655743.18</v>
      </c>
      <c r="H354" s="143">
        <v>42724.610130636574</v>
      </c>
      <c r="I354" s="143">
        <v>43089</v>
      </c>
      <c r="J354" t="s">
        <v>2927</v>
      </c>
      <c r="K354" t="s">
        <v>1280</v>
      </c>
      <c r="L354" t="s">
        <v>1280</v>
      </c>
      <c r="M354">
        <v>103007</v>
      </c>
      <c r="N354" t="s">
        <v>2925</v>
      </c>
      <c r="O354" t="s">
        <v>27</v>
      </c>
      <c r="P354" t="s">
        <v>116</v>
      </c>
      <c r="Q354" t="s">
        <v>26</v>
      </c>
      <c r="R354" s="105">
        <f>IF(Table__192.168.1.150_Daily_Delinquency_With_Sectors[[#This Row],[Days in Arrears]] &gt; 0, Table__192.168.1.150_Daily_Delinquency_With_Sectors[[#This Row],[Outstanding Balance]],0)</f>
        <v>0</v>
      </c>
      <c r="S354" s="105">
        <f>IF(Table__192.168.1.150_Daily_Delinquency_With_Sectors[[#This Row],[Days in Arrears]] &gt; 30, Table__192.168.1.150_Daily_Delinquency_With_Sectors[[#This Row],[Outstanding Balance]],0)</f>
        <v>0</v>
      </c>
      <c r="T354" s="105">
        <f>IF(Table__192.168.1.150_Daily_Delinquency_With_Sectors[[#This Row],[Days in Arrears]] &gt; 90, Table__192.168.1.150_Daily_Delinquency_With_Sectors[[#This Row],[Outstanding Balance]],0)</f>
        <v>0</v>
      </c>
      <c r="U354" s="109">
        <f>IF(Table__192.168.1.150_Daily_Delinquency_With_Sectors[[#This Row],[Days in Arrears]] &gt;= 1,1,0)</f>
        <v>0</v>
      </c>
      <c r="V354" s="109">
        <f>IF(Table__192.168.1.150_Daily_Delinquency_With_Sectors[[#This Row],[Days in Arrears]] &gt; 30,1,0)</f>
        <v>0</v>
      </c>
      <c r="W354" s="109">
        <f>IF(Table__192.168.1.150_Daily_Delinquency_With_Sectors[[#This Row],[Days in Arrears]] &gt; 90,1,0)</f>
        <v>0</v>
      </c>
    </row>
    <row r="355" spans="1:23" x14ac:dyDescent="0.25">
      <c r="A355" t="s">
        <v>1609</v>
      </c>
      <c r="B355" t="s">
        <v>1284</v>
      </c>
      <c r="C355">
        <v>0</v>
      </c>
      <c r="D355" s="105">
        <v>49385354.020000003</v>
      </c>
      <c r="E355" t="s">
        <v>491</v>
      </c>
      <c r="F355" s="105">
        <v>1432175.27</v>
      </c>
      <c r="G355" s="105">
        <v>66389430.270000003</v>
      </c>
      <c r="H355" s="143">
        <v>42727.369213576392</v>
      </c>
      <c r="I355" s="143">
        <v>43640</v>
      </c>
      <c r="J355" t="s">
        <v>1610</v>
      </c>
      <c r="K355" t="s">
        <v>1611</v>
      </c>
      <c r="L355" t="s">
        <v>1280</v>
      </c>
      <c r="M355">
        <v>103009</v>
      </c>
      <c r="N355" t="s">
        <v>1604</v>
      </c>
      <c r="O355" t="s">
        <v>46</v>
      </c>
      <c r="P355" t="s">
        <v>46</v>
      </c>
      <c r="Q355" t="s">
        <v>112</v>
      </c>
      <c r="R355" s="105">
        <f>IF(Table__192.168.1.150_Daily_Delinquency_With_Sectors[[#This Row],[Days in Arrears]] &gt; 0, Table__192.168.1.150_Daily_Delinquency_With_Sectors[[#This Row],[Outstanding Balance]],0)</f>
        <v>0</v>
      </c>
      <c r="S355" s="105">
        <f>IF(Table__192.168.1.150_Daily_Delinquency_With_Sectors[[#This Row],[Days in Arrears]] &gt; 30, Table__192.168.1.150_Daily_Delinquency_With_Sectors[[#This Row],[Outstanding Balance]],0)</f>
        <v>0</v>
      </c>
      <c r="T355" s="105">
        <f>IF(Table__192.168.1.150_Daily_Delinquency_With_Sectors[[#This Row],[Days in Arrears]] &gt; 90, Table__192.168.1.150_Daily_Delinquency_With_Sectors[[#This Row],[Outstanding Balance]],0)</f>
        <v>0</v>
      </c>
      <c r="U355" s="109">
        <f>IF(Table__192.168.1.150_Daily_Delinquency_With_Sectors[[#This Row],[Days in Arrears]] &gt;= 1,1,0)</f>
        <v>0</v>
      </c>
      <c r="V355" s="109">
        <f>IF(Table__192.168.1.150_Daily_Delinquency_With_Sectors[[#This Row],[Days in Arrears]] &gt; 30,1,0)</f>
        <v>0</v>
      </c>
      <c r="W355" s="109">
        <f>IF(Table__192.168.1.150_Daily_Delinquency_With_Sectors[[#This Row],[Days in Arrears]] &gt; 90,1,0)</f>
        <v>0</v>
      </c>
    </row>
    <row r="356" spans="1:23" x14ac:dyDescent="0.25">
      <c r="A356" t="s">
        <v>3784</v>
      </c>
      <c r="B356" t="s">
        <v>1282</v>
      </c>
      <c r="C356">
        <v>1</v>
      </c>
      <c r="D356" s="105">
        <v>1540262.57</v>
      </c>
      <c r="E356" t="s">
        <v>5167</v>
      </c>
      <c r="F356" s="105">
        <v>69311.820000000007</v>
      </c>
      <c r="G356" s="105">
        <v>1634485.72</v>
      </c>
      <c r="H356" s="143">
        <v>42727.653175810185</v>
      </c>
      <c r="I356" s="143">
        <v>43092</v>
      </c>
      <c r="J356" t="s">
        <v>3785</v>
      </c>
      <c r="K356" t="s">
        <v>1280</v>
      </c>
      <c r="L356" t="s">
        <v>1280</v>
      </c>
      <c r="M356">
        <v>103011</v>
      </c>
      <c r="N356" t="s">
        <v>3781</v>
      </c>
      <c r="O356" t="s">
        <v>37</v>
      </c>
      <c r="P356" t="s">
        <v>38</v>
      </c>
      <c r="Q356" t="s">
        <v>26</v>
      </c>
      <c r="R356" s="105">
        <f>IF(Table__192.168.1.150_Daily_Delinquency_With_Sectors[[#This Row],[Days in Arrears]] &gt; 0, Table__192.168.1.150_Daily_Delinquency_With_Sectors[[#This Row],[Outstanding Balance]],0)</f>
        <v>1540262.57</v>
      </c>
      <c r="S356" s="105">
        <f>IF(Table__192.168.1.150_Daily_Delinquency_With_Sectors[[#This Row],[Days in Arrears]] &gt; 30, Table__192.168.1.150_Daily_Delinquency_With_Sectors[[#This Row],[Outstanding Balance]],0)</f>
        <v>0</v>
      </c>
      <c r="T356" s="105">
        <f>IF(Table__192.168.1.150_Daily_Delinquency_With_Sectors[[#This Row],[Days in Arrears]] &gt; 90, Table__192.168.1.150_Daily_Delinquency_With_Sectors[[#This Row],[Outstanding Balance]],0)</f>
        <v>0</v>
      </c>
      <c r="U356" s="109">
        <f>IF(Table__192.168.1.150_Daily_Delinquency_With_Sectors[[#This Row],[Days in Arrears]] &gt;= 1,1,0)</f>
        <v>1</v>
      </c>
      <c r="V356" s="109">
        <f>IF(Table__192.168.1.150_Daily_Delinquency_With_Sectors[[#This Row],[Days in Arrears]] &gt; 30,1,0)</f>
        <v>0</v>
      </c>
      <c r="W356" s="109">
        <f>IF(Table__192.168.1.150_Daily_Delinquency_With_Sectors[[#This Row],[Days in Arrears]] &gt; 90,1,0)</f>
        <v>0</v>
      </c>
    </row>
    <row r="357" spans="1:23" x14ac:dyDescent="0.25">
      <c r="A357" t="s">
        <v>3786</v>
      </c>
      <c r="B357" t="s">
        <v>1282</v>
      </c>
      <c r="C357">
        <v>0</v>
      </c>
      <c r="D357" s="105">
        <v>1026841.7</v>
      </c>
      <c r="E357" t="s">
        <v>2494</v>
      </c>
      <c r="F357" s="105">
        <v>44667.61</v>
      </c>
      <c r="G357" s="105">
        <v>1096661.92</v>
      </c>
      <c r="H357" s="143">
        <v>42728.535344097225</v>
      </c>
      <c r="I357" s="143">
        <v>43093</v>
      </c>
      <c r="J357" t="s">
        <v>3787</v>
      </c>
      <c r="K357" t="s">
        <v>3788</v>
      </c>
      <c r="L357" t="s">
        <v>1280</v>
      </c>
      <c r="M357">
        <v>103013</v>
      </c>
      <c r="N357" t="s">
        <v>3782</v>
      </c>
      <c r="O357" t="s">
        <v>37</v>
      </c>
      <c r="P357" t="s">
        <v>26</v>
      </c>
      <c r="Q357" t="s">
        <v>26</v>
      </c>
      <c r="R357" s="105">
        <f>IF(Table__192.168.1.150_Daily_Delinquency_With_Sectors[[#This Row],[Days in Arrears]] &gt; 0, Table__192.168.1.150_Daily_Delinquency_With_Sectors[[#This Row],[Outstanding Balance]],0)</f>
        <v>0</v>
      </c>
      <c r="S357" s="105">
        <f>IF(Table__192.168.1.150_Daily_Delinquency_With_Sectors[[#This Row],[Days in Arrears]] &gt; 30, Table__192.168.1.150_Daily_Delinquency_With_Sectors[[#This Row],[Outstanding Balance]],0)</f>
        <v>0</v>
      </c>
      <c r="T357" s="105">
        <f>IF(Table__192.168.1.150_Daily_Delinquency_With_Sectors[[#This Row],[Days in Arrears]] &gt; 90, Table__192.168.1.150_Daily_Delinquency_With_Sectors[[#This Row],[Outstanding Balance]],0)</f>
        <v>0</v>
      </c>
      <c r="U357" s="109">
        <f>IF(Table__192.168.1.150_Daily_Delinquency_With_Sectors[[#This Row],[Days in Arrears]] &gt;= 1,1,0)</f>
        <v>0</v>
      </c>
      <c r="V357" s="109">
        <f>IF(Table__192.168.1.150_Daily_Delinquency_With_Sectors[[#This Row],[Days in Arrears]] &gt; 30,1,0)</f>
        <v>0</v>
      </c>
      <c r="W357" s="109">
        <f>IF(Table__192.168.1.150_Daily_Delinquency_With_Sectors[[#This Row],[Days in Arrears]] &gt; 90,1,0)</f>
        <v>0</v>
      </c>
    </row>
    <row r="358" spans="1:23" x14ac:dyDescent="0.25">
      <c r="A358" t="s">
        <v>865</v>
      </c>
      <c r="B358" t="s">
        <v>1284</v>
      </c>
      <c r="C358">
        <v>0</v>
      </c>
      <c r="D358" s="105">
        <v>33350196.440000001</v>
      </c>
      <c r="E358" t="s">
        <v>1039</v>
      </c>
      <c r="F358" s="105">
        <v>967155.7</v>
      </c>
      <c r="G358" s="105">
        <v>41333191.130000003</v>
      </c>
      <c r="H358" s="143">
        <v>42728.544728125002</v>
      </c>
      <c r="I358" s="143">
        <v>43458</v>
      </c>
      <c r="J358" t="s">
        <v>866</v>
      </c>
      <c r="K358" t="s">
        <v>867</v>
      </c>
      <c r="L358" t="s">
        <v>1280</v>
      </c>
      <c r="M358">
        <v>103014</v>
      </c>
      <c r="N358" t="s">
        <v>861</v>
      </c>
      <c r="O358" t="s">
        <v>44</v>
      </c>
      <c r="P358" t="s">
        <v>75</v>
      </c>
      <c r="Q358" t="s">
        <v>1442</v>
      </c>
      <c r="R358" s="105">
        <f>IF(Table__192.168.1.150_Daily_Delinquency_With_Sectors[[#This Row],[Days in Arrears]] &gt; 0, Table__192.168.1.150_Daily_Delinquency_With_Sectors[[#This Row],[Outstanding Balance]],0)</f>
        <v>0</v>
      </c>
      <c r="S358" s="105">
        <f>IF(Table__192.168.1.150_Daily_Delinquency_With_Sectors[[#This Row],[Days in Arrears]] &gt; 30, Table__192.168.1.150_Daily_Delinquency_With_Sectors[[#This Row],[Outstanding Balance]],0)</f>
        <v>0</v>
      </c>
      <c r="T358" s="105">
        <f>IF(Table__192.168.1.150_Daily_Delinquency_With_Sectors[[#This Row],[Days in Arrears]] &gt; 90, Table__192.168.1.150_Daily_Delinquency_With_Sectors[[#This Row],[Outstanding Balance]],0)</f>
        <v>0</v>
      </c>
      <c r="U358" s="109">
        <f>IF(Table__192.168.1.150_Daily_Delinquency_With_Sectors[[#This Row],[Days in Arrears]] &gt;= 1,1,0)</f>
        <v>0</v>
      </c>
      <c r="V358" s="109">
        <f>IF(Table__192.168.1.150_Daily_Delinquency_With_Sectors[[#This Row],[Days in Arrears]] &gt; 30,1,0)</f>
        <v>0</v>
      </c>
      <c r="W358" s="109">
        <f>IF(Table__192.168.1.150_Daily_Delinquency_With_Sectors[[#This Row],[Days in Arrears]] &gt; 90,1,0)</f>
        <v>0</v>
      </c>
    </row>
    <row r="359" spans="1:23" x14ac:dyDescent="0.25">
      <c r="A359" t="s">
        <v>3811</v>
      </c>
      <c r="B359" t="s">
        <v>1279</v>
      </c>
      <c r="C359">
        <v>22</v>
      </c>
      <c r="D359" s="105">
        <v>475101.42</v>
      </c>
      <c r="E359" t="s">
        <v>2034</v>
      </c>
      <c r="F359" s="105">
        <v>12993.92</v>
      </c>
      <c r="G359" s="105">
        <v>503149.77</v>
      </c>
      <c r="H359" s="143">
        <v>42733.488834525466</v>
      </c>
      <c r="I359" s="143">
        <v>43102</v>
      </c>
      <c r="J359" t="s">
        <v>3812</v>
      </c>
      <c r="K359" t="s">
        <v>1280</v>
      </c>
      <c r="L359" t="s">
        <v>1280</v>
      </c>
      <c r="M359">
        <v>103018</v>
      </c>
      <c r="N359" t="s">
        <v>3808</v>
      </c>
      <c r="O359" t="s">
        <v>25</v>
      </c>
      <c r="P359" t="s">
        <v>88</v>
      </c>
      <c r="Q359" t="s">
        <v>285</v>
      </c>
      <c r="R359" s="105">
        <f>IF(Table__192.168.1.150_Daily_Delinquency_With_Sectors[[#This Row],[Days in Arrears]] &gt; 0, Table__192.168.1.150_Daily_Delinquency_With_Sectors[[#This Row],[Outstanding Balance]],0)</f>
        <v>475101.42</v>
      </c>
      <c r="S359" s="105">
        <f>IF(Table__192.168.1.150_Daily_Delinquency_With_Sectors[[#This Row],[Days in Arrears]] &gt; 30, Table__192.168.1.150_Daily_Delinquency_With_Sectors[[#This Row],[Outstanding Balance]],0)</f>
        <v>0</v>
      </c>
      <c r="T359" s="105">
        <f>IF(Table__192.168.1.150_Daily_Delinquency_With_Sectors[[#This Row],[Days in Arrears]] &gt; 90, Table__192.168.1.150_Daily_Delinquency_With_Sectors[[#This Row],[Outstanding Balance]],0)</f>
        <v>0</v>
      </c>
      <c r="U359" s="109">
        <f>IF(Table__192.168.1.150_Daily_Delinquency_With_Sectors[[#This Row],[Days in Arrears]] &gt;= 1,1,0)</f>
        <v>1</v>
      </c>
      <c r="V359" s="109">
        <f>IF(Table__192.168.1.150_Daily_Delinquency_With_Sectors[[#This Row],[Days in Arrears]] &gt; 30,1,0)</f>
        <v>0</v>
      </c>
      <c r="W359" s="109">
        <f>IF(Table__192.168.1.150_Daily_Delinquency_With_Sectors[[#This Row],[Days in Arrears]] &gt; 90,1,0)</f>
        <v>0</v>
      </c>
    </row>
    <row r="360" spans="1:23" x14ac:dyDescent="0.25">
      <c r="A360" t="s">
        <v>711</v>
      </c>
      <c r="B360" t="s">
        <v>1283</v>
      </c>
      <c r="C360">
        <v>23</v>
      </c>
      <c r="D360" s="105">
        <v>53621693.109999999</v>
      </c>
      <c r="E360" t="s">
        <v>90</v>
      </c>
      <c r="F360" s="105">
        <v>1172059.73</v>
      </c>
      <c r="G360" s="105">
        <v>77829816.930000007</v>
      </c>
      <c r="H360" s="143">
        <v>42734.610254942127</v>
      </c>
      <c r="I360" s="143">
        <v>43831</v>
      </c>
      <c r="J360" t="s">
        <v>712</v>
      </c>
      <c r="K360" t="s">
        <v>713</v>
      </c>
      <c r="L360" t="s">
        <v>1280</v>
      </c>
      <c r="M360">
        <v>103021</v>
      </c>
      <c r="N360" t="s">
        <v>709</v>
      </c>
      <c r="O360" t="s">
        <v>27</v>
      </c>
      <c r="P360" t="s">
        <v>26</v>
      </c>
      <c r="Q360" t="s">
        <v>26</v>
      </c>
      <c r="R360" s="105">
        <f>IF(Table__192.168.1.150_Daily_Delinquency_With_Sectors[[#This Row],[Days in Arrears]] &gt; 0, Table__192.168.1.150_Daily_Delinquency_With_Sectors[[#This Row],[Outstanding Balance]],0)</f>
        <v>53621693.109999999</v>
      </c>
      <c r="S360" s="105">
        <f>IF(Table__192.168.1.150_Daily_Delinquency_With_Sectors[[#This Row],[Days in Arrears]] &gt; 30, Table__192.168.1.150_Daily_Delinquency_With_Sectors[[#This Row],[Outstanding Balance]],0)</f>
        <v>0</v>
      </c>
      <c r="T360" s="105">
        <f>IF(Table__192.168.1.150_Daily_Delinquency_With_Sectors[[#This Row],[Days in Arrears]] &gt; 90, Table__192.168.1.150_Daily_Delinquency_With_Sectors[[#This Row],[Outstanding Balance]],0)</f>
        <v>0</v>
      </c>
      <c r="U360" s="109">
        <f>IF(Table__192.168.1.150_Daily_Delinquency_With_Sectors[[#This Row],[Days in Arrears]] &gt;= 1,1,0)</f>
        <v>1</v>
      </c>
      <c r="V360" s="109">
        <f>IF(Table__192.168.1.150_Daily_Delinquency_With_Sectors[[#This Row],[Days in Arrears]] &gt; 30,1,0)</f>
        <v>0</v>
      </c>
      <c r="W360" s="109">
        <f>IF(Table__192.168.1.150_Daily_Delinquency_With_Sectors[[#This Row],[Days in Arrears]] &gt; 90,1,0)</f>
        <v>0</v>
      </c>
    </row>
    <row r="361" spans="1:23" x14ac:dyDescent="0.25">
      <c r="A361" t="s">
        <v>1492</v>
      </c>
      <c r="B361" t="s">
        <v>1281</v>
      </c>
      <c r="C361">
        <v>-13</v>
      </c>
      <c r="D361" s="105">
        <v>9454928.7699999996</v>
      </c>
      <c r="E361" t="s">
        <v>86</v>
      </c>
      <c r="F361" s="105">
        <v>176492</v>
      </c>
      <c r="G361" s="105">
        <v>11003770.67</v>
      </c>
      <c r="H361" s="143">
        <v>42734.642636886572</v>
      </c>
      <c r="I361" s="143">
        <v>43288</v>
      </c>
      <c r="J361" t="s">
        <v>1493</v>
      </c>
      <c r="K361" t="s">
        <v>1494</v>
      </c>
      <c r="L361" t="s">
        <v>1280</v>
      </c>
      <c r="M361">
        <v>103022</v>
      </c>
      <c r="N361" t="s">
        <v>1491</v>
      </c>
      <c r="O361" t="s">
        <v>25</v>
      </c>
      <c r="P361" t="s">
        <v>289</v>
      </c>
      <c r="Q361" t="s">
        <v>1771</v>
      </c>
      <c r="R361" s="105">
        <f>IF(Table__192.168.1.150_Daily_Delinquency_With_Sectors[[#This Row],[Days in Arrears]] &gt; 0, Table__192.168.1.150_Daily_Delinquency_With_Sectors[[#This Row],[Outstanding Balance]],0)</f>
        <v>0</v>
      </c>
      <c r="S361" s="105">
        <f>IF(Table__192.168.1.150_Daily_Delinquency_With_Sectors[[#This Row],[Days in Arrears]] &gt; 30, Table__192.168.1.150_Daily_Delinquency_With_Sectors[[#This Row],[Outstanding Balance]],0)</f>
        <v>0</v>
      </c>
      <c r="T361" s="105">
        <f>IF(Table__192.168.1.150_Daily_Delinquency_With_Sectors[[#This Row],[Days in Arrears]] &gt; 90, Table__192.168.1.150_Daily_Delinquency_With_Sectors[[#This Row],[Outstanding Balance]],0)</f>
        <v>0</v>
      </c>
      <c r="U361" s="109">
        <f>IF(Table__192.168.1.150_Daily_Delinquency_With_Sectors[[#This Row],[Days in Arrears]] &gt;= 1,1,0)</f>
        <v>0</v>
      </c>
      <c r="V361" s="109">
        <f>IF(Table__192.168.1.150_Daily_Delinquency_With_Sectors[[#This Row],[Days in Arrears]] &gt; 30,1,0)</f>
        <v>0</v>
      </c>
      <c r="W361" s="109">
        <f>IF(Table__192.168.1.150_Daily_Delinquency_With_Sectors[[#This Row],[Days in Arrears]] &gt; 90,1,0)</f>
        <v>0</v>
      </c>
    </row>
    <row r="362" spans="1:23" x14ac:dyDescent="0.25">
      <c r="A362" t="s">
        <v>807</v>
      </c>
      <c r="B362" t="s">
        <v>1282</v>
      </c>
      <c r="C362">
        <v>83</v>
      </c>
      <c r="D362" s="105">
        <v>4749594.84</v>
      </c>
      <c r="E362" t="s">
        <v>468</v>
      </c>
      <c r="F362" s="105">
        <v>347574.42</v>
      </c>
      <c r="G362" s="105">
        <v>5334438.88</v>
      </c>
      <c r="H362" s="143">
        <v>42735.676254317128</v>
      </c>
      <c r="I362" s="143">
        <v>43101</v>
      </c>
      <c r="J362" t="s">
        <v>808</v>
      </c>
      <c r="K362" t="s">
        <v>1280</v>
      </c>
      <c r="L362" t="s">
        <v>1280</v>
      </c>
      <c r="M362">
        <v>103024</v>
      </c>
      <c r="N362" t="s">
        <v>806</v>
      </c>
      <c r="O362" t="s">
        <v>25</v>
      </c>
      <c r="P362" t="s">
        <v>26</v>
      </c>
      <c r="Q362" t="s">
        <v>26</v>
      </c>
      <c r="R362" s="105">
        <f>IF(Table__192.168.1.150_Daily_Delinquency_With_Sectors[[#This Row],[Days in Arrears]] &gt; 0, Table__192.168.1.150_Daily_Delinquency_With_Sectors[[#This Row],[Outstanding Balance]],0)</f>
        <v>4749594.84</v>
      </c>
      <c r="S362" s="105">
        <f>IF(Table__192.168.1.150_Daily_Delinquency_With_Sectors[[#This Row],[Days in Arrears]] &gt; 30, Table__192.168.1.150_Daily_Delinquency_With_Sectors[[#This Row],[Outstanding Balance]],0)</f>
        <v>4749594.84</v>
      </c>
      <c r="T362" s="105">
        <f>IF(Table__192.168.1.150_Daily_Delinquency_With_Sectors[[#This Row],[Days in Arrears]] &gt; 90, Table__192.168.1.150_Daily_Delinquency_With_Sectors[[#This Row],[Outstanding Balance]],0)</f>
        <v>0</v>
      </c>
      <c r="U362" s="109">
        <f>IF(Table__192.168.1.150_Daily_Delinquency_With_Sectors[[#This Row],[Days in Arrears]] &gt;= 1,1,0)</f>
        <v>1</v>
      </c>
      <c r="V362" s="109">
        <f>IF(Table__192.168.1.150_Daily_Delinquency_With_Sectors[[#This Row],[Days in Arrears]] &gt; 30,1,0)</f>
        <v>1</v>
      </c>
      <c r="W362" s="109">
        <f>IF(Table__192.168.1.150_Daily_Delinquency_With_Sectors[[#This Row],[Days in Arrears]] &gt; 90,1,0)</f>
        <v>0</v>
      </c>
    </row>
    <row r="363" spans="1:23" x14ac:dyDescent="0.25">
      <c r="A363" t="s">
        <v>2349</v>
      </c>
      <c r="B363" t="s">
        <v>1282</v>
      </c>
      <c r="C363">
        <v>-7</v>
      </c>
      <c r="D363" s="105">
        <v>3018377.05</v>
      </c>
      <c r="E363" t="s">
        <v>468</v>
      </c>
      <c r="F363" s="105">
        <v>88539.06</v>
      </c>
      <c r="G363" s="105">
        <v>3200663.35</v>
      </c>
      <c r="H363" s="143">
        <v>42735.800914467596</v>
      </c>
      <c r="I363" s="143">
        <v>43101</v>
      </c>
      <c r="J363" t="s">
        <v>2350</v>
      </c>
      <c r="K363" t="s">
        <v>1280</v>
      </c>
      <c r="L363" t="s">
        <v>1280</v>
      </c>
      <c r="M363">
        <v>103027</v>
      </c>
      <c r="N363" t="s">
        <v>1142</v>
      </c>
      <c r="O363" t="s">
        <v>44</v>
      </c>
      <c r="P363" t="s">
        <v>75</v>
      </c>
      <c r="Q363" t="s">
        <v>1442</v>
      </c>
      <c r="R363" s="105">
        <f>IF(Table__192.168.1.150_Daily_Delinquency_With_Sectors[[#This Row],[Days in Arrears]] &gt; 0, Table__192.168.1.150_Daily_Delinquency_With_Sectors[[#This Row],[Outstanding Balance]],0)</f>
        <v>0</v>
      </c>
      <c r="S363" s="105">
        <f>IF(Table__192.168.1.150_Daily_Delinquency_With_Sectors[[#This Row],[Days in Arrears]] &gt; 30, Table__192.168.1.150_Daily_Delinquency_With_Sectors[[#This Row],[Outstanding Balance]],0)</f>
        <v>0</v>
      </c>
      <c r="T363" s="105">
        <f>IF(Table__192.168.1.150_Daily_Delinquency_With_Sectors[[#This Row],[Days in Arrears]] &gt; 90, Table__192.168.1.150_Daily_Delinquency_With_Sectors[[#This Row],[Outstanding Balance]],0)</f>
        <v>0</v>
      </c>
      <c r="U363" s="109">
        <f>IF(Table__192.168.1.150_Daily_Delinquency_With_Sectors[[#This Row],[Days in Arrears]] &gt;= 1,1,0)</f>
        <v>0</v>
      </c>
      <c r="V363" s="109">
        <f>IF(Table__192.168.1.150_Daily_Delinquency_With_Sectors[[#This Row],[Days in Arrears]] &gt; 30,1,0)</f>
        <v>0</v>
      </c>
      <c r="W363" s="109">
        <f>IF(Table__192.168.1.150_Daily_Delinquency_With_Sectors[[#This Row],[Days in Arrears]] &gt; 90,1,0)</f>
        <v>0</v>
      </c>
    </row>
    <row r="364" spans="1:23" x14ac:dyDescent="0.25">
      <c r="A364" t="s">
        <v>642</v>
      </c>
      <c r="B364" t="s">
        <v>1283</v>
      </c>
      <c r="C364">
        <v>-15</v>
      </c>
      <c r="D364" s="105">
        <v>37810420.979999997</v>
      </c>
      <c r="E364" t="s">
        <v>1191</v>
      </c>
      <c r="F364" s="105">
        <v>529345.89</v>
      </c>
      <c r="G364" s="105">
        <v>63879002.189999998</v>
      </c>
      <c r="H364" s="143">
        <v>42744.597391631942</v>
      </c>
      <c r="I364" s="143">
        <v>44205</v>
      </c>
      <c r="J364" t="s">
        <v>643</v>
      </c>
      <c r="K364" t="s">
        <v>644</v>
      </c>
      <c r="L364" t="s">
        <v>1280</v>
      </c>
      <c r="M364">
        <v>103032</v>
      </c>
      <c r="N364" t="s">
        <v>638</v>
      </c>
      <c r="O364" t="s">
        <v>27</v>
      </c>
      <c r="P364" t="s">
        <v>26</v>
      </c>
      <c r="Q364" t="s">
        <v>26</v>
      </c>
      <c r="R364" s="105">
        <f>IF(Table__192.168.1.150_Daily_Delinquency_With_Sectors[[#This Row],[Days in Arrears]] &gt; 0, Table__192.168.1.150_Daily_Delinquency_With_Sectors[[#This Row],[Outstanding Balance]],0)</f>
        <v>0</v>
      </c>
      <c r="S364" s="105">
        <f>IF(Table__192.168.1.150_Daily_Delinquency_With_Sectors[[#This Row],[Days in Arrears]] &gt; 30, Table__192.168.1.150_Daily_Delinquency_With_Sectors[[#This Row],[Outstanding Balance]],0)</f>
        <v>0</v>
      </c>
      <c r="T364" s="105">
        <f>IF(Table__192.168.1.150_Daily_Delinquency_With_Sectors[[#This Row],[Days in Arrears]] &gt; 90, Table__192.168.1.150_Daily_Delinquency_With_Sectors[[#This Row],[Outstanding Balance]],0)</f>
        <v>0</v>
      </c>
      <c r="U364" s="109">
        <f>IF(Table__192.168.1.150_Daily_Delinquency_With_Sectors[[#This Row],[Days in Arrears]] &gt;= 1,1,0)</f>
        <v>0</v>
      </c>
      <c r="V364" s="109">
        <f>IF(Table__192.168.1.150_Daily_Delinquency_With_Sectors[[#This Row],[Days in Arrears]] &gt; 30,1,0)</f>
        <v>0</v>
      </c>
      <c r="W364" s="109">
        <f>IF(Table__192.168.1.150_Daily_Delinquency_With_Sectors[[#This Row],[Days in Arrears]] &gt; 90,1,0)</f>
        <v>0</v>
      </c>
    </row>
    <row r="365" spans="1:23" x14ac:dyDescent="0.25">
      <c r="A365" t="s">
        <v>1451</v>
      </c>
      <c r="B365" t="s">
        <v>1283</v>
      </c>
      <c r="C365">
        <v>-15</v>
      </c>
      <c r="D365" s="105">
        <v>53223768.729999997</v>
      </c>
      <c r="E365" t="s">
        <v>86</v>
      </c>
      <c r="F365" s="105">
        <v>745132.76</v>
      </c>
      <c r="G365" s="105">
        <v>77408412.280000001</v>
      </c>
      <c r="H365" s="143">
        <v>42744.666961030096</v>
      </c>
      <c r="I365" s="143">
        <v>43839</v>
      </c>
      <c r="J365" t="s">
        <v>1452</v>
      </c>
      <c r="K365" t="s">
        <v>1453</v>
      </c>
      <c r="L365" t="s">
        <v>1280</v>
      </c>
      <c r="M365">
        <v>103033</v>
      </c>
      <c r="N365" t="s">
        <v>1443</v>
      </c>
      <c r="O365" t="s">
        <v>37</v>
      </c>
      <c r="P365" t="s">
        <v>288</v>
      </c>
      <c r="Q365" t="s">
        <v>26</v>
      </c>
      <c r="R365" s="105">
        <f>IF(Table__192.168.1.150_Daily_Delinquency_With_Sectors[[#This Row],[Days in Arrears]] &gt; 0, Table__192.168.1.150_Daily_Delinquency_With_Sectors[[#This Row],[Outstanding Balance]],0)</f>
        <v>0</v>
      </c>
      <c r="S365" s="105">
        <f>IF(Table__192.168.1.150_Daily_Delinquency_With_Sectors[[#This Row],[Days in Arrears]] &gt; 30, Table__192.168.1.150_Daily_Delinquency_With_Sectors[[#This Row],[Outstanding Balance]],0)</f>
        <v>0</v>
      </c>
      <c r="T365" s="105">
        <f>IF(Table__192.168.1.150_Daily_Delinquency_With_Sectors[[#This Row],[Days in Arrears]] &gt; 90, Table__192.168.1.150_Daily_Delinquency_With_Sectors[[#This Row],[Outstanding Balance]],0)</f>
        <v>0</v>
      </c>
      <c r="U365" s="109">
        <f>IF(Table__192.168.1.150_Daily_Delinquency_With_Sectors[[#This Row],[Days in Arrears]] &gt;= 1,1,0)</f>
        <v>0</v>
      </c>
      <c r="V365" s="109">
        <f>IF(Table__192.168.1.150_Daily_Delinquency_With_Sectors[[#This Row],[Days in Arrears]] &gt; 30,1,0)</f>
        <v>0</v>
      </c>
      <c r="W365" s="109">
        <f>IF(Table__192.168.1.150_Daily_Delinquency_With_Sectors[[#This Row],[Days in Arrears]] &gt; 90,1,0)</f>
        <v>0</v>
      </c>
    </row>
    <row r="366" spans="1:23" x14ac:dyDescent="0.25">
      <c r="A366" t="s">
        <v>3852</v>
      </c>
      <c r="B366" t="s">
        <v>1283</v>
      </c>
      <c r="C366">
        <v>9</v>
      </c>
      <c r="D366" s="105">
        <v>50535831.579999998</v>
      </c>
      <c r="E366" t="s">
        <v>2855</v>
      </c>
      <c r="F366" s="105">
        <v>396232.44</v>
      </c>
      <c r="G366" s="105">
        <v>67589386.370000005</v>
      </c>
      <c r="H366" s="143">
        <v>42746.718805671298</v>
      </c>
      <c r="I366" s="143">
        <v>43661</v>
      </c>
      <c r="J366" t="s">
        <v>3853</v>
      </c>
      <c r="K366" t="s">
        <v>3854</v>
      </c>
      <c r="L366" t="s">
        <v>1280</v>
      </c>
      <c r="M366">
        <v>103034</v>
      </c>
      <c r="N366" t="s">
        <v>3849</v>
      </c>
      <c r="O366" t="s">
        <v>44</v>
      </c>
      <c r="P366" t="s">
        <v>75</v>
      </c>
      <c r="Q366" t="s">
        <v>1442</v>
      </c>
      <c r="R366" s="105">
        <f>IF(Table__192.168.1.150_Daily_Delinquency_With_Sectors[[#This Row],[Days in Arrears]] &gt; 0, Table__192.168.1.150_Daily_Delinquency_With_Sectors[[#This Row],[Outstanding Balance]],0)</f>
        <v>50535831.579999998</v>
      </c>
      <c r="S366" s="105">
        <f>IF(Table__192.168.1.150_Daily_Delinquency_With_Sectors[[#This Row],[Days in Arrears]] &gt; 30, Table__192.168.1.150_Daily_Delinquency_With_Sectors[[#This Row],[Outstanding Balance]],0)</f>
        <v>0</v>
      </c>
      <c r="T366" s="105">
        <f>IF(Table__192.168.1.150_Daily_Delinquency_With_Sectors[[#This Row],[Days in Arrears]] &gt; 90, Table__192.168.1.150_Daily_Delinquency_With_Sectors[[#This Row],[Outstanding Balance]],0)</f>
        <v>0</v>
      </c>
      <c r="U366" s="109">
        <f>IF(Table__192.168.1.150_Daily_Delinquency_With_Sectors[[#This Row],[Days in Arrears]] &gt;= 1,1,0)</f>
        <v>1</v>
      </c>
      <c r="V366" s="109">
        <f>IF(Table__192.168.1.150_Daily_Delinquency_With_Sectors[[#This Row],[Days in Arrears]] &gt; 30,1,0)</f>
        <v>0</v>
      </c>
      <c r="W366" s="109">
        <f>IF(Table__192.168.1.150_Daily_Delinquency_With_Sectors[[#This Row],[Days in Arrears]] &gt; 90,1,0)</f>
        <v>0</v>
      </c>
    </row>
    <row r="367" spans="1:23" x14ac:dyDescent="0.25">
      <c r="A367" t="s">
        <v>3862</v>
      </c>
      <c r="B367" t="s">
        <v>1281</v>
      </c>
      <c r="C367">
        <v>-19</v>
      </c>
      <c r="D367" s="105">
        <v>6279386.0099999998</v>
      </c>
      <c r="E367" t="s">
        <v>468</v>
      </c>
      <c r="F367" s="105">
        <v>73259.5</v>
      </c>
      <c r="G367" s="105">
        <v>6953835.1799999997</v>
      </c>
      <c r="H367" s="143">
        <v>42747.567707326387</v>
      </c>
      <c r="I367" s="143">
        <v>43203</v>
      </c>
      <c r="J367" t="s">
        <v>3863</v>
      </c>
      <c r="K367" t="s">
        <v>3864</v>
      </c>
      <c r="L367" t="s">
        <v>1280</v>
      </c>
      <c r="M367">
        <v>103035</v>
      </c>
      <c r="N367" t="s">
        <v>3861</v>
      </c>
      <c r="O367" t="s">
        <v>36</v>
      </c>
      <c r="P367" t="s">
        <v>97</v>
      </c>
      <c r="Q367" t="s">
        <v>98</v>
      </c>
      <c r="R367" s="105">
        <f>IF(Table__192.168.1.150_Daily_Delinquency_With_Sectors[[#This Row],[Days in Arrears]] &gt; 0, Table__192.168.1.150_Daily_Delinquency_With_Sectors[[#This Row],[Outstanding Balance]],0)</f>
        <v>0</v>
      </c>
      <c r="S367" s="105">
        <f>IF(Table__192.168.1.150_Daily_Delinquency_With_Sectors[[#This Row],[Days in Arrears]] &gt; 30, Table__192.168.1.150_Daily_Delinquency_With_Sectors[[#This Row],[Outstanding Balance]],0)</f>
        <v>0</v>
      </c>
      <c r="T367" s="105">
        <f>IF(Table__192.168.1.150_Daily_Delinquency_With_Sectors[[#This Row],[Days in Arrears]] &gt; 90, Table__192.168.1.150_Daily_Delinquency_With_Sectors[[#This Row],[Outstanding Balance]],0)</f>
        <v>0</v>
      </c>
      <c r="U367" s="109">
        <f>IF(Table__192.168.1.150_Daily_Delinquency_With_Sectors[[#This Row],[Days in Arrears]] &gt;= 1,1,0)</f>
        <v>0</v>
      </c>
      <c r="V367" s="109">
        <f>IF(Table__192.168.1.150_Daily_Delinquency_With_Sectors[[#This Row],[Days in Arrears]] &gt; 30,1,0)</f>
        <v>0</v>
      </c>
      <c r="W367" s="109">
        <f>IF(Table__192.168.1.150_Daily_Delinquency_With_Sectors[[#This Row],[Days in Arrears]] &gt; 90,1,0)</f>
        <v>0</v>
      </c>
    </row>
    <row r="368" spans="1:23" x14ac:dyDescent="0.25">
      <c r="A368" t="s">
        <v>1760</v>
      </c>
      <c r="B368" t="s">
        <v>1284</v>
      </c>
      <c r="C368">
        <v>-18</v>
      </c>
      <c r="D368" s="105">
        <v>3844623.11</v>
      </c>
      <c r="E368" t="s">
        <v>86</v>
      </c>
      <c r="F368" s="105">
        <v>42290.85</v>
      </c>
      <c r="G368" s="105">
        <v>4018483.4</v>
      </c>
      <c r="H368" s="143">
        <v>42747.564159062502</v>
      </c>
      <c r="I368" s="143">
        <v>43112</v>
      </c>
      <c r="J368" t="s">
        <v>1761</v>
      </c>
      <c r="K368" t="s">
        <v>1832</v>
      </c>
      <c r="L368" t="s">
        <v>1280</v>
      </c>
      <c r="M368">
        <v>103036</v>
      </c>
      <c r="N368" t="s">
        <v>685</v>
      </c>
      <c r="O368" t="s">
        <v>37</v>
      </c>
      <c r="P368" t="s">
        <v>288</v>
      </c>
      <c r="Q368" t="s">
        <v>1313</v>
      </c>
      <c r="R368" s="105">
        <f>IF(Table__192.168.1.150_Daily_Delinquency_With_Sectors[[#This Row],[Days in Arrears]] &gt; 0, Table__192.168.1.150_Daily_Delinquency_With_Sectors[[#This Row],[Outstanding Balance]],0)</f>
        <v>0</v>
      </c>
      <c r="S368" s="105">
        <f>IF(Table__192.168.1.150_Daily_Delinquency_With_Sectors[[#This Row],[Days in Arrears]] &gt; 30, Table__192.168.1.150_Daily_Delinquency_With_Sectors[[#This Row],[Outstanding Balance]],0)</f>
        <v>0</v>
      </c>
      <c r="T368" s="105">
        <f>IF(Table__192.168.1.150_Daily_Delinquency_With_Sectors[[#This Row],[Days in Arrears]] &gt; 90, Table__192.168.1.150_Daily_Delinquency_With_Sectors[[#This Row],[Outstanding Balance]],0)</f>
        <v>0</v>
      </c>
      <c r="U368" s="109">
        <f>IF(Table__192.168.1.150_Daily_Delinquency_With_Sectors[[#This Row],[Days in Arrears]] &gt;= 1,1,0)</f>
        <v>0</v>
      </c>
      <c r="V368" s="109">
        <f>IF(Table__192.168.1.150_Daily_Delinquency_With_Sectors[[#This Row],[Days in Arrears]] &gt; 30,1,0)</f>
        <v>0</v>
      </c>
      <c r="W368" s="109">
        <f>IF(Table__192.168.1.150_Daily_Delinquency_With_Sectors[[#This Row],[Days in Arrears]] &gt; 90,1,0)</f>
        <v>0</v>
      </c>
    </row>
    <row r="369" spans="1:23" x14ac:dyDescent="0.25">
      <c r="A369" t="s">
        <v>1357</v>
      </c>
      <c r="B369" t="s">
        <v>1284</v>
      </c>
      <c r="C369">
        <v>1</v>
      </c>
      <c r="D369" s="105">
        <v>38769731.990000002</v>
      </c>
      <c r="E369" t="s">
        <v>90</v>
      </c>
      <c r="F369" s="105">
        <v>1163091.96</v>
      </c>
      <c r="G369" s="105">
        <v>48714118.109999999</v>
      </c>
      <c r="H369" s="143">
        <v>42758.473323611113</v>
      </c>
      <c r="I369" s="143">
        <v>43488</v>
      </c>
      <c r="J369" t="s">
        <v>1358</v>
      </c>
      <c r="K369" t="s">
        <v>1280</v>
      </c>
      <c r="L369" t="s">
        <v>1280</v>
      </c>
      <c r="M369">
        <v>103037</v>
      </c>
      <c r="N369" t="s">
        <v>1356</v>
      </c>
      <c r="O369" t="s">
        <v>44</v>
      </c>
      <c r="P369" t="s">
        <v>75</v>
      </c>
      <c r="Q369" t="s">
        <v>26</v>
      </c>
      <c r="R369" s="105">
        <f>IF(Table__192.168.1.150_Daily_Delinquency_With_Sectors[[#This Row],[Days in Arrears]] &gt; 0, Table__192.168.1.150_Daily_Delinquency_With_Sectors[[#This Row],[Outstanding Balance]],0)</f>
        <v>38769731.990000002</v>
      </c>
      <c r="S369" s="105">
        <f>IF(Table__192.168.1.150_Daily_Delinquency_With_Sectors[[#This Row],[Days in Arrears]] &gt; 30, Table__192.168.1.150_Daily_Delinquency_With_Sectors[[#This Row],[Outstanding Balance]],0)</f>
        <v>0</v>
      </c>
      <c r="T369" s="105">
        <f>IF(Table__192.168.1.150_Daily_Delinquency_With_Sectors[[#This Row],[Days in Arrears]] &gt; 90, Table__192.168.1.150_Daily_Delinquency_With_Sectors[[#This Row],[Outstanding Balance]],0)</f>
        <v>0</v>
      </c>
      <c r="U369" s="109">
        <f>IF(Table__192.168.1.150_Daily_Delinquency_With_Sectors[[#This Row],[Days in Arrears]] &gt;= 1,1,0)</f>
        <v>1</v>
      </c>
      <c r="V369" s="109">
        <f>IF(Table__192.168.1.150_Daily_Delinquency_With_Sectors[[#This Row],[Days in Arrears]] &gt; 30,1,0)</f>
        <v>0</v>
      </c>
      <c r="W369" s="109">
        <f>IF(Table__192.168.1.150_Daily_Delinquency_With_Sectors[[#This Row],[Days in Arrears]] &gt; 90,1,0)</f>
        <v>0</v>
      </c>
    </row>
    <row r="370" spans="1:23" x14ac:dyDescent="0.25">
      <c r="A370" t="s">
        <v>3868</v>
      </c>
      <c r="B370" t="s">
        <v>1284</v>
      </c>
      <c r="C370">
        <v>-19</v>
      </c>
      <c r="D370" s="105">
        <v>23650721.469999999</v>
      </c>
      <c r="E370" t="s">
        <v>468</v>
      </c>
      <c r="F370" s="105">
        <v>262785.78999999998</v>
      </c>
      <c r="G370" s="105">
        <v>29981990.5</v>
      </c>
      <c r="H370" s="143">
        <v>42748.569454629629</v>
      </c>
      <c r="I370" s="143">
        <v>43478</v>
      </c>
      <c r="J370" t="s">
        <v>3869</v>
      </c>
      <c r="K370" t="s">
        <v>3870</v>
      </c>
      <c r="L370" t="s">
        <v>1280</v>
      </c>
      <c r="M370">
        <v>103038</v>
      </c>
      <c r="N370" t="s">
        <v>3867</v>
      </c>
      <c r="O370" t="s">
        <v>27</v>
      </c>
      <c r="P370" t="s">
        <v>81</v>
      </c>
      <c r="Q370" t="s">
        <v>26</v>
      </c>
      <c r="R370" s="105">
        <f>IF(Table__192.168.1.150_Daily_Delinquency_With_Sectors[[#This Row],[Days in Arrears]] &gt; 0, Table__192.168.1.150_Daily_Delinquency_With_Sectors[[#This Row],[Outstanding Balance]],0)</f>
        <v>0</v>
      </c>
      <c r="S370" s="105">
        <f>IF(Table__192.168.1.150_Daily_Delinquency_With_Sectors[[#This Row],[Days in Arrears]] &gt; 30, Table__192.168.1.150_Daily_Delinquency_With_Sectors[[#This Row],[Outstanding Balance]],0)</f>
        <v>0</v>
      </c>
      <c r="T370" s="105">
        <f>IF(Table__192.168.1.150_Daily_Delinquency_With_Sectors[[#This Row],[Days in Arrears]] &gt; 90, Table__192.168.1.150_Daily_Delinquency_With_Sectors[[#This Row],[Outstanding Balance]],0)</f>
        <v>0</v>
      </c>
      <c r="U370" s="109">
        <f>IF(Table__192.168.1.150_Daily_Delinquency_With_Sectors[[#This Row],[Days in Arrears]] &gt;= 1,1,0)</f>
        <v>0</v>
      </c>
      <c r="V370" s="109">
        <f>IF(Table__192.168.1.150_Daily_Delinquency_With_Sectors[[#This Row],[Days in Arrears]] &gt; 30,1,0)</f>
        <v>0</v>
      </c>
      <c r="W370" s="109">
        <f>IF(Table__192.168.1.150_Daily_Delinquency_With_Sectors[[#This Row],[Days in Arrears]] &gt; 90,1,0)</f>
        <v>0</v>
      </c>
    </row>
    <row r="371" spans="1:23" x14ac:dyDescent="0.25">
      <c r="A371" t="s">
        <v>2062</v>
      </c>
      <c r="B371" t="s">
        <v>1283</v>
      </c>
      <c r="C371">
        <v>101</v>
      </c>
      <c r="D371" s="105">
        <v>58355347.810000002</v>
      </c>
      <c r="E371" t="s">
        <v>5725</v>
      </c>
      <c r="F371" s="105">
        <v>3297698.88</v>
      </c>
      <c r="G371" s="105">
        <v>89154479.349999994</v>
      </c>
      <c r="H371" s="143">
        <v>42748.729617824072</v>
      </c>
      <c r="I371" s="143">
        <v>43843</v>
      </c>
      <c r="J371" t="s">
        <v>2063</v>
      </c>
      <c r="K371" t="s">
        <v>1280</v>
      </c>
      <c r="L371" t="s">
        <v>1280</v>
      </c>
      <c r="M371">
        <v>103041</v>
      </c>
      <c r="N371" t="s">
        <v>2060</v>
      </c>
      <c r="O371" t="s">
        <v>25</v>
      </c>
      <c r="P371" t="s">
        <v>26</v>
      </c>
      <c r="Q371" t="s">
        <v>26</v>
      </c>
      <c r="R371" s="105">
        <f>IF(Table__192.168.1.150_Daily_Delinquency_With_Sectors[[#This Row],[Days in Arrears]] &gt; 0, Table__192.168.1.150_Daily_Delinquency_With_Sectors[[#This Row],[Outstanding Balance]],0)</f>
        <v>58355347.810000002</v>
      </c>
      <c r="S371" s="105">
        <f>IF(Table__192.168.1.150_Daily_Delinquency_With_Sectors[[#This Row],[Days in Arrears]] &gt; 30, Table__192.168.1.150_Daily_Delinquency_With_Sectors[[#This Row],[Outstanding Balance]],0)</f>
        <v>58355347.810000002</v>
      </c>
      <c r="T371" s="105">
        <f>IF(Table__192.168.1.150_Daily_Delinquency_With_Sectors[[#This Row],[Days in Arrears]] &gt; 90, Table__192.168.1.150_Daily_Delinquency_With_Sectors[[#This Row],[Outstanding Balance]],0)</f>
        <v>58355347.810000002</v>
      </c>
      <c r="U371" s="109">
        <f>IF(Table__192.168.1.150_Daily_Delinquency_With_Sectors[[#This Row],[Days in Arrears]] &gt;= 1,1,0)</f>
        <v>1</v>
      </c>
      <c r="V371" s="109">
        <f>IF(Table__192.168.1.150_Daily_Delinquency_With_Sectors[[#This Row],[Days in Arrears]] &gt; 30,1,0)</f>
        <v>1</v>
      </c>
      <c r="W371" s="109">
        <f>IF(Table__192.168.1.150_Daily_Delinquency_With_Sectors[[#This Row],[Days in Arrears]] &gt; 90,1,0)</f>
        <v>1</v>
      </c>
    </row>
    <row r="372" spans="1:23" x14ac:dyDescent="0.25">
      <c r="A372" t="s">
        <v>3879</v>
      </c>
      <c r="B372" t="s">
        <v>1279</v>
      </c>
      <c r="C372">
        <v>-20</v>
      </c>
      <c r="D372" s="105">
        <v>1004837.48</v>
      </c>
      <c r="E372" t="s">
        <v>5167</v>
      </c>
      <c r="F372" s="105">
        <v>12058.05</v>
      </c>
      <c r="G372" s="105">
        <v>1065521.78</v>
      </c>
      <c r="H372" s="143">
        <v>42749.543612303241</v>
      </c>
      <c r="I372" s="143">
        <v>43114</v>
      </c>
      <c r="J372" t="s">
        <v>3880</v>
      </c>
      <c r="K372" t="s">
        <v>3881</v>
      </c>
      <c r="L372" t="s">
        <v>3882</v>
      </c>
      <c r="M372">
        <v>103042</v>
      </c>
      <c r="N372" t="s">
        <v>3877</v>
      </c>
      <c r="O372" t="s">
        <v>25</v>
      </c>
      <c r="P372" t="s">
        <v>295</v>
      </c>
      <c r="Q372" t="s">
        <v>3613</v>
      </c>
      <c r="R372" s="105">
        <f>IF(Table__192.168.1.150_Daily_Delinquency_With_Sectors[[#This Row],[Days in Arrears]] &gt; 0, Table__192.168.1.150_Daily_Delinquency_With_Sectors[[#This Row],[Outstanding Balance]],0)</f>
        <v>0</v>
      </c>
      <c r="S372" s="105">
        <f>IF(Table__192.168.1.150_Daily_Delinquency_With_Sectors[[#This Row],[Days in Arrears]] &gt; 30, Table__192.168.1.150_Daily_Delinquency_With_Sectors[[#This Row],[Outstanding Balance]],0)</f>
        <v>0</v>
      </c>
      <c r="T372" s="105">
        <f>IF(Table__192.168.1.150_Daily_Delinquency_With_Sectors[[#This Row],[Days in Arrears]] &gt; 90, Table__192.168.1.150_Daily_Delinquency_With_Sectors[[#This Row],[Outstanding Balance]],0)</f>
        <v>0</v>
      </c>
      <c r="U372" s="109">
        <f>IF(Table__192.168.1.150_Daily_Delinquency_With_Sectors[[#This Row],[Days in Arrears]] &gt;= 1,1,0)</f>
        <v>0</v>
      </c>
      <c r="V372" s="109">
        <f>IF(Table__192.168.1.150_Daily_Delinquency_With_Sectors[[#This Row],[Days in Arrears]] &gt; 30,1,0)</f>
        <v>0</v>
      </c>
      <c r="W372" s="109">
        <f>IF(Table__192.168.1.150_Daily_Delinquency_With_Sectors[[#This Row],[Days in Arrears]] &gt; 90,1,0)</f>
        <v>0</v>
      </c>
    </row>
    <row r="373" spans="1:23" x14ac:dyDescent="0.25">
      <c r="A373" t="s">
        <v>1940</v>
      </c>
      <c r="B373" t="s">
        <v>1282</v>
      </c>
      <c r="C373">
        <v>-20</v>
      </c>
      <c r="D373" s="105">
        <v>803869.95</v>
      </c>
      <c r="E373" t="s">
        <v>1447</v>
      </c>
      <c r="F373" s="105">
        <v>9646.44</v>
      </c>
      <c r="G373" s="105">
        <v>852417.39</v>
      </c>
      <c r="H373" s="143">
        <v>42749.609014085647</v>
      </c>
      <c r="I373" s="143">
        <v>43114</v>
      </c>
      <c r="J373" t="s">
        <v>1941</v>
      </c>
      <c r="K373" t="s">
        <v>1280</v>
      </c>
      <c r="L373" t="s">
        <v>1280</v>
      </c>
      <c r="M373">
        <v>103044</v>
      </c>
      <c r="N373" t="s">
        <v>1939</v>
      </c>
      <c r="O373" t="s">
        <v>25</v>
      </c>
      <c r="P373" t="s">
        <v>88</v>
      </c>
      <c r="Q373" t="s">
        <v>285</v>
      </c>
      <c r="R373" s="105">
        <f>IF(Table__192.168.1.150_Daily_Delinquency_With_Sectors[[#This Row],[Days in Arrears]] &gt; 0, Table__192.168.1.150_Daily_Delinquency_With_Sectors[[#This Row],[Outstanding Balance]],0)</f>
        <v>0</v>
      </c>
      <c r="S373" s="105">
        <f>IF(Table__192.168.1.150_Daily_Delinquency_With_Sectors[[#This Row],[Days in Arrears]] &gt; 30, Table__192.168.1.150_Daily_Delinquency_With_Sectors[[#This Row],[Outstanding Balance]],0)</f>
        <v>0</v>
      </c>
      <c r="T373" s="105">
        <f>IF(Table__192.168.1.150_Daily_Delinquency_With_Sectors[[#This Row],[Days in Arrears]] &gt; 90, Table__192.168.1.150_Daily_Delinquency_With_Sectors[[#This Row],[Outstanding Balance]],0)</f>
        <v>0</v>
      </c>
      <c r="U373" s="109">
        <f>IF(Table__192.168.1.150_Daily_Delinquency_With_Sectors[[#This Row],[Days in Arrears]] &gt;= 1,1,0)</f>
        <v>0</v>
      </c>
      <c r="V373" s="109">
        <f>IF(Table__192.168.1.150_Daily_Delinquency_With_Sectors[[#This Row],[Days in Arrears]] &gt; 30,1,0)</f>
        <v>0</v>
      </c>
      <c r="W373" s="109">
        <f>IF(Table__192.168.1.150_Daily_Delinquency_With_Sectors[[#This Row],[Days in Arrears]] &gt; 90,1,0)</f>
        <v>0</v>
      </c>
    </row>
    <row r="374" spans="1:23" x14ac:dyDescent="0.25">
      <c r="A374" t="s">
        <v>3889</v>
      </c>
      <c r="B374" t="s">
        <v>1281</v>
      </c>
      <c r="C374">
        <v>-22</v>
      </c>
      <c r="D374" s="105">
        <v>9573154.6099999994</v>
      </c>
      <c r="E374" t="s">
        <v>468</v>
      </c>
      <c r="F374" s="105">
        <v>89349.440000000002</v>
      </c>
      <c r="G374" s="105">
        <v>11375039.189999999</v>
      </c>
      <c r="H374" s="143">
        <v>42751.566293634256</v>
      </c>
      <c r="I374" s="143">
        <v>43297</v>
      </c>
      <c r="J374" t="s">
        <v>3890</v>
      </c>
      <c r="K374" t="s">
        <v>3891</v>
      </c>
      <c r="L374" t="s">
        <v>1280</v>
      </c>
      <c r="M374">
        <v>103045</v>
      </c>
      <c r="N374" t="s">
        <v>3888</v>
      </c>
      <c r="O374" t="s">
        <v>45</v>
      </c>
      <c r="P374" t="s">
        <v>45</v>
      </c>
      <c r="Q374" t="s">
        <v>89</v>
      </c>
      <c r="R374" s="105">
        <f>IF(Table__192.168.1.150_Daily_Delinquency_With_Sectors[[#This Row],[Days in Arrears]] &gt; 0, Table__192.168.1.150_Daily_Delinquency_With_Sectors[[#This Row],[Outstanding Balance]],0)</f>
        <v>0</v>
      </c>
      <c r="S374" s="105">
        <f>IF(Table__192.168.1.150_Daily_Delinquency_With_Sectors[[#This Row],[Days in Arrears]] &gt; 30, Table__192.168.1.150_Daily_Delinquency_With_Sectors[[#This Row],[Outstanding Balance]],0)</f>
        <v>0</v>
      </c>
      <c r="T374" s="105">
        <f>IF(Table__192.168.1.150_Daily_Delinquency_With_Sectors[[#This Row],[Days in Arrears]] &gt; 90, Table__192.168.1.150_Daily_Delinquency_With_Sectors[[#This Row],[Outstanding Balance]],0)</f>
        <v>0</v>
      </c>
      <c r="U374" s="109">
        <f>IF(Table__192.168.1.150_Daily_Delinquency_With_Sectors[[#This Row],[Days in Arrears]] &gt;= 1,1,0)</f>
        <v>0</v>
      </c>
      <c r="V374" s="109">
        <f>IF(Table__192.168.1.150_Daily_Delinquency_With_Sectors[[#This Row],[Days in Arrears]] &gt; 30,1,0)</f>
        <v>0</v>
      </c>
      <c r="W374" s="109">
        <f>IF(Table__192.168.1.150_Daily_Delinquency_With_Sectors[[#This Row],[Days in Arrears]] &gt; 90,1,0)</f>
        <v>0</v>
      </c>
    </row>
    <row r="375" spans="1:23" x14ac:dyDescent="0.25">
      <c r="A375" t="s">
        <v>3892</v>
      </c>
      <c r="B375" t="s">
        <v>1283</v>
      </c>
      <c r="C375">
        <v>-22</v>
      </c>
      <c r="D375" s="105">
        <v>40941360.549999997</v>
      </c>
      <c r="E375" t="s">
        <v>4684</v>
      </c>
      <c r="F375" s="105">
        <v>286589.52</v>
      </c>
      <c r="G375" s="105">
        <v>59544932.450000003</v>
      </c>
      <c r="H375" s="143">
        <v>42751.604390127315</v>
      </c>
      <c r="I375" s="143">
        <v>43846</v>
      </c>
      <c r="J375" t="s">
        <v>3893</v>
      </c>
      <c r="K375" t="s">
        <v>1280</v>
      </c>
      <c r="L375" t="s">
        <v>1280</v>
      </c>
      <c r="M375">
        <v>103046</v>
      </c>
      <c r="N375" t="s">
        <v>3887</v>
      </c>
      <c r="O375" t="s">
        <v>25</v>
      </c>
      <c r="P375" t="s">
        <v>289</v>
      </c>
      <c r="Q375" t="s">
        <v>26</v>
      </c>
      <c r="R375" s="105">
        <f>IF(Table__192.168.1.150_Daily_Delinquency_With_Sectors[[#This Row],[Days in Arrears]] &gt; 0, Table__192.168.1.150_Daily_Delinquency_With_Sectors[[#This Row],[Outstanding Balance]],0)</f>
        <v>0</v>
      </c>
      <c r="S375" s="105">
        <f>IF(Table__192.168.1.150_Daily_Delinquency_With_Sectors[[#This Row],[Days in Arrears]] &gt; 30, Table__192.168.1.150_Daily_Delinquency_With_Sectors[[#This Row],[Outstanding Balance]],0)</f>
        <v>0</v>
      </c>
      <c r="T375" s="105">
        <f>IF(Table__192.168.1.150_Daily_Delinquency_With_Sectors[[#This Row],[Days in Arrears]] &gt; 90, Table__192.168.1.150_Daily_Delinquency_With_Sectors[[#This Row],[Outstanding Balance]],0)</f>
        <v>0</v>
      </c>
      <c r="U375" s="109">
        <f>IF(Table__192.168.1.150_Daily_Delinquency_With_Sectors[[#This Row],[Days in Arrears]] &gt;= 1,1,0)</f>
        <v>0</v>
      </c>
      <c r="V375" s="109">
        <f>IF(Table__192.168.1.150_Daily_Delinquency_With_Sectors[[#This Row],[Days in Arrears]] &gt; 30,1,0)</f>
        <v>0</v>
      </c>
      <c r="W375" s="109">
        <f>IF(Table__192.168.1.150_Daily_Delinquency_With_Sectors[[#This Row],[Days in Arrears]] &gt; 90,1,0)</f>
        <v>0</v>
      </c>
    </row>
    <row r="376" spans="1:23" x14ac:dyDescent="0.25">
      <c r="A376" t="s">
        <v>3903</v>
      </c>
      <c r="B376" t="s">
        <v>1279</v>
      </c>
      <c r="C376">
        <v>9</v>
      </c>
      <c r="D376" s="105">
        <v>1202411.95</v>
      </c>
      <c r="E376" t="s">
        <v>1448</v>
      </c>
      <c r="F376" s="105">
        <v>63937.919999999998</v>
      </c>
      <c r="G376" s="105">
        <v>1312216.31</v>
      </c>
      <c r="H376" s="143">
        <v>42752.6407056713</v>
      </c>
      <c r="I376" s="143">
        <v>43115</v>
      </c>
      <c r="J376" t="s">
        <v>3904</v>
      </c>
      <c r="K376" t="s">
        <v>3905</v>
      </c>
      <c r="L376" t="s">
        <v>1280</v>
      </c>
      <c r="M376">
        <v>103048</v>
      </c>
      <c r="N376" t="s">
        <v>3897</v>
      </c>
      <c r="O376" t="s">
        <v>25</v>
      </c>
      <c r="P376" t="s">
        <v>103</v>
      </c>
      <c r="Q376" t="s">
        <v>104</v>
      </c>
      <c r="R376" s="105">
        <f>IF(Table__192.168.1.150_Daily_Delinquency_With_Sectors[[#This Row],[Days in Arrears]] &gt; 0, Table__192.168.1.150_Daily_Delinquency_With_Sectors[[#This Row],[Outstanding Balance]],0)</f>
        <v>1202411.95</v>
      </c>
      <c r="S376" s="105">
        <f>IF(Table__192.168.1.150_Daily_Delinquency_With_Sectors[[#This Row],[Days in Arrears]] &gt; 30, Table__192.168.1.150_Daily_Delinquency_With_Sectors[[#This Row],[Outstanding Balance]],0)</f>
        <v>0</v>
      </c>
      <c r="T376" s="105">
        <f>IF(Table__192.168.1.150_Daily_Delinquency_With_Sectors[[#This Row],[Days in Arrears]] &gt; 90, Table__192.168.1.150_Daily_Delinquency_With_Sectors[[#This Row],[Outstanding Balance]],0)</f>
        <v>0</v>
      </c>
      <c r="U376" s="109">
        <f>IF(Table__192.168.1.150_Daily_Delinquency_With_Sectors[[#This Row],[Days in Arrears]] &gt;= 1,1,0)</f>
        <v>1</v>
      </c>
      <c r="V376" s="109">
        <f>IF(Table__192.168.1.150_Daily_Delinquency_With_Sectors[[#This Row],[Days in Arrears]] &gt; 30,1,0)</f>
        <v>0</v>
      </c>
      <c r="W376" s="109">
        <f>IF(Table__192.168.1.150_Daily_Delinquency_With_Sectors[[#This Row],[Days in Arrears]] &gt; 90,1,0)</f>
        <v>0</v>
      </c>
    </row>
    <row r="377" spans="1:23" x14ac:dyDescent="0.25">
      <c r="A377" t="s">
        <v>1617</v>
      </c>
      <c r="B377" t="s">
        <v>1283</v>
      </c>
      <c r="C377">
        <v>7</v>
      </c>
      <c r="D377" s="105">
        <v>27579126.210000001</v>
      </c>
      <c r="E377" t="s">
        <v>468</v>
      </c>
      <c r="F377" s="105">
        <v>160080.94</v>
      </c>
      <c r="G377" s="105">
        <v>33965521.960000001</v>
      </c>
      <c r="H377" s="143">
        <v>42752.741705243054</v>
      </c>
      <c r="I377" s="143">
        <v>43482</v>
      </c>
      <c r="J377" t="s">
        <v>1618</v>
      </c>
      <c r="K377" t="s">
        <v>1280</v>
      </c>
      <c r="L377" t="s">
        <v>1619</v>
      </c>
      <c r="M377">
        <v>103049</v>
      </c>
      <c r="N377" t="s">
        <v>1605</v>
      </c>
      <c r="O377" t="s">
        <v>25</v>
      </c>
      <c r="P377" t="s">
        <v>88</v>
      </c>
      <c r="Q377" t="s">
        <v>285</v>
      </c>
      <c r="R377" s="105">
        <f>IF(Table__192.168.1.150_Daily_Delinquency_With_Sectors[[#This Row],[Days in Arrears]] &gt; 0, Table__192.168.1.150_Daily_Delinquency_With_Sectors[[#This Row],[Outstanding Balance]],0)</f>
        <v>27579126.210000001</v>
      </c>
      <c r="S377" s="105">
        <f>IF(Table__192.168.1.150_Daily_Delinquency_With_Sectors[[#This Row],[Days in Arrears]] &gt; 30, Table__192.168.1.150_Daily_Delinquency_With_Sectors[[#This Row],[Outstanding Balance]],0)</f>
        <v>0</v>
      </c>
      <c r="T377" s="105">
        <f>IF(Table__192.168.1.150_Daily_Delinquency_With_Sectors[[#This Row],[Days in Arrears]] &gt; 90, Table__192.168.1.150_Daily_Delinquency_With_Sectors[[#This Row],[Outstanding Balance]],0)</f>
        <v>0</v>
      </c>
      <c r="U377" s="109">
        <f>IF(Table__192.168.1.150_Daily_Delinquency_With_Sectors[[#This Row],[Days in Arrears]] &gt;= 1,1,0)</f>
        <v>1</v>
      </c>
      <c r="V377" s="109">
        <f>IF(Table__192.168.1.150_Daily_Delinquency_With_Sectors[[#This Row],[Days in Arrears]] &gt; 30,1,0)</f>
        <v>0</v>
      </c>
      <c r="W377" s="109">
        <f>IF(Table__192.168.1.150_Daily_Delinquency_With_Sectors[[#This Row],[Days in Arrears]] &gt; 90,1,0)</f>
        <v>0</v>
      </c>
    </row>
    <row r="378" spans="1:23" x14ac:dyDescent="0.25">
      <c r="A378" t="s">
        <v>3926</v>
      </c>
      <c r="B378" t="s">
        <v>1281</v>
      </c>
      <c r="C378">
        <v>-24</v>
      </c>
      <c r="D378" s="105">
        <v>6406428.7599999998</v>
      </c>
      <c r="E378" t="s">
        <v>2538</v>
      </c>
      <c r="F378" s="105">
        <v>42709.53</v>
      </c>
      <c r="G378" s="105">
        <v>7195287.9900000002</v>
      </c>
      <c r="H378" s="143">
        <v>42753.750005520837</v>
      </c>
      <c r="I378" s="143">
        <v>43208</v>
      </c>
      <c r="J378" t="s">
        <v>3927</v>
      </c>
      <c r="K378" t="s">
        <v>3928</v>
      </c>
      <c r="L378" t="s">
        <v>1280</v>
      </c>
      <c r="M378">
        <v>103051</v>
      </c>
      <c r="N378" t="s">
        <v>3921</v>
      </c>
      <c r="O378" t="s">
        <v>25</v>
      </c>
      <c r="P378" t="s">
        <v>32</v>
      </c>
      <c r="Q378" t="s">
        <v>517</v>
      </c>
      <c r="R378" s="105">
        <f>IF(Table__192.168.1.150_Daily_Delinquency_With_Sectors[[#This Row],[Days in Arrears]] &gt; 0, Table__192.168.1.150_Daily_Delinquency_With_Sectors[[#This Row],[Outstanding Balance]],0)</f>
        <v>0</v>
      </c>
      <c r="S378" s="105">
        <f>IF(Table__192.168.1.150_Daily_Delinquency_With_Sectors[[#This Row],[Days in Arrears]] &gt; 30, Table__192.168.1.150_Daily_Delinquency_With_Sectors[[#This Row],[Outstanding Balance]],0)</f>
        <v>0</v>
      </c>
      <c r="T378" s="105">
        <f>IF(Table__192.168.1.150_Daily_Delinquency_With_Sectors[[#This Row],[Days in Arrears]] &gt; 90, Table__192.168.1.150_Daily_Delinquency_With_Sectors[[#This Row],[Outstanding Balance]],0)</f>
        <v>0</v>
      </c>
      <c r="U378" s="109">
        <f>IF(Table__192.168.1.150_Daily_Delinquency_With_Sectors[[#This Row],[Days in Arrears]] &gt;= 1,1,0)</f>
        <v>0</v>
      </c>
      <c r="V378" s="109">
        <f>IF(Table__192.168.1.150_Daily_Delinquency_With_Sectors[[#This Row],[Days in Arrears]] &gt; 30,1,0)</f>
        <v>0</v>
      </c>
      <c r="W378" s="109">
        <f>IF(Table__192.168.1.150_Daily_Delinquency_With_Sectors[[#This Row],[Days in Arrears]] &gt; 90,1,0)</f>
        <v>0</v>
      </c>
    </row>
    <row r="379" spans="1:23" x14ac:dyDescent="0.25">
      <c r="A379" t="s">
        <v>2761</v>
      </c>
      <c r="B379" t="s">
        <v>1283</v>
      </c>
      <c r="C379">
        <v>96</v>
      </c>
      <c r="D379" s="105">
        <v>58355347.810000002</v>
      </c>
      <c r="E379" t="s">
        <v>5724</v>
      </c>
      <c r="F379" s="105">
        <v>3377896.12</v>
      </c>
      <c r="G379" s="105">
        <v>89234676.590000004</v>
      </c>
      <c r="H379" s="143">
        <v>42753.754402546299</v>
      </c>
      <c r="I379" s="143">
        <v>43848</v>
      </c>
      <c r="J379" t="s">
        <v>2762</v>
      </c>
      <c r="K379" t="s">
        <v>2763</v>
      </c>
      <c r="L379" t="s">
        <v>1280</v>
      </c>
      <c r="M379">
        <v>103052</v>
      </c>
      <c r="N379" t="s">
        <v>2758</v>
      </c>
      <c r="O379" t="s">
        <v>37</v>
      </c>
      <c r="P379" t="s">
        <v>38</v>
      </c>
      <c r="Q379" t="s">
        <v>26</v>
      </c>
      <c r="R379" s="105">
        <f>IF(Table__192.168.1.150_Daily_Delinquency_With_Sectors[[#This Row],[Days in Arrears]] &gt; 0, Table__192.168.1.150_Daily_Delinquency_With_Sectors[[#This Row],[Outstanding Balance]],0)</f>
        <v>58355347.810000002</v>
      </c>
      <c r="S379" s="105">
        <f>IF(Table__192.168.1.150_Daily_Delinquency_With_Sectors[[#This Row],[Days in Arrears]] &gt; 30, Table__192.168.1.150_Daily_Delinquency_With_Sectors[[#This Row],[Outstanding Balance]],0)</f>
        <v>58355347.810000002</v>
      </c>
      <c r="T379" s="105">
        <f>IF(Table__192.168.1.150_Daily_Delinquency_With_Sectors[[#This Row],[Days in Arrears]] &gt; 90, Table__192.168.1.150_Daily_Delinquency_With_Sectors[[#This Row],[Outstanding Balance]],0)</f>
        <v>58355347.810000002</v>
      </c>
      <c r="U379" s="109">
        <f>IF(Table__192.168.1.150_Daily_Delinquency_With_Sectors[[#This Row],[Days in Arrears]] &gt;= 1,1,0)</f>
        <v>1</v>
      </c>
      <c r="V379" s="109">
        <f>IF(Table__192.168.1.150_Daily_Delinquency_With_Sectors[[#This Row],[Days in Arrears]] &gt; 30,1,0)</f>
        <v>1</v>
      </c>
      <c r="W379" s="109">
        <f>IF(Table__192.168.1.150_Daily_Delinquency_With_Sectors[[#This Row],[Days in Arrears]] &gt; 90,1,0)</f>
        <v>1</v>
      </c>
    </row>
    <row r="380" spans="1:23" x14ac:dyDescent="0.25">
      <c r="A380" t="s">
        <v>412</v>
      </c>
      <c r="B380" t="s">
        <v>1283</v>
      </c>
      <c r="C380">
        <v>36</v>
      </c>
      <c r="D380" s="105">
        <v>21707697.300000001</v>
      </c>
      <c r="E380" t="s">
        <v>1191</v>
      </c>
      <c r="F380" s="105">
        <v>1194312.98</v>
      </c>
      <c r="G380" s="105">
        <v>25398652.219999999</v>
      </c>
      <c r="H380" s="143">
        <v>42753.798224386577</v>
      </c>
      <c r="I380" s="143">
        <v>43299</v>
      </c>
      <c r="J380" t="s">
        <v>413</v>
      </c>
      <c r="K380" t="s">
        <v>414</v>
      </c>
      <c r="L380" t="s">
        <v>1280</v>
      </c>
      <c r="M380">
        <v>103054</v>
      </c>
      <c r="N380" t="s">
        <v>408</v>
      </c>
      <c r="O380" t="s">
        <v>31</v>
      </c>
      <c r="P380" t="s">
        <v>416</v>
      </c>
      <c r="Q380" t="s">
        <v>3920</v>
      </c>
      <c r="R380" s="105">
        <f>IF(Table__192.168.1.150_Daily_Delinquency_With_Sectors[[#This Row],[Days in Arrears]] &gt; 0, Table__192.168.1.150_Daily_Delinquency_With_Sectors[[#This Row],[Outstanding Balance]],0)</f>
        <v>21707697.300000001</v>
      </c>
      <c r="S380" s="105">
        <f>IF(Table__192.168.1.150_Daily_Delinquency_With_Sectors[[#This Row],[Days in Arrears]] &gt; 30, Table__192.168.1.150_Daily_Delinquency_With_Sectors[[#This Row],[Outstanding Balance]],0)</f>
        <v>21707697.300000001</v>
      </c>
      <c r="T380" s="105">
        <f>IF(Table__192.168.1.150_Daily_Delinquency_With_Sectors[[#This Row],[Days in Arrears]] &gt; 90, Table__192.168.1.150_Daily_Delinquency_With_Sectors[[#This Row],[Outstanding Balance]],0)</f>
        <v>0</v>
      </c>
      <c r="U380" s="109">
        <f>IF(Table__192.168.1.150_Daily_Delinquency_With_Sectors[[#This Row],[Days in Arrears]] &gt;= 1,1,0)</f>
        <v>1</v>
      </c>
      <c r="V380" s="109">
        <f>IF(Table__192.168.1.150_Daily_Delinquency_With_Sectors[[#This Row],[Days in Arrears]] &gt; 30,1,0)</f>
        <v>1</v>
      </c>
      <c r="W380" s="109">
        <f>IF(Table__192.168.1.150_Daily_Delinquency_With_Sectors[[#This Row],[Days in Arrears]] &gt; 90,1,0)</f>
        <v>0</v>
      </c>
    </row>
    <row r="381" spans="1:23" x14ac:dyDescent="0.25">
      <c r="A381" t="s">
        <v>3945</v>
      </c>
      <c r="B381" t="s">
        <v>1279</v>
      </c>
      <c r="C381">
        <v>-26</v>
      </c>
      <c r="D381" s="105">
        <v>924157.49</v>
      </c>
      <c r="E381" t="s">
        <v>468</v>
      </c>
      <c r="F381" s="105">
        <v>4158.71</v>
      </c>
      <c r="G381" s="105">
        <v>986995.68</v>
      </c>
      <c r="H381" s="143">
        <v>42755.644958530094</v>
      </c>
      <c r="I381" s="143">
        <v>43120</v>
      </c>
      <c r="J381" t="s">
        <v>3946</v>
      </c>
      <c r="K381" t="s">
        <v>1280</v>
      </c>
      <c r="L381" t="s">
        <v>1280</v>
      </c>
      <c r="M381">
        <v>103057</v>
      </c>
      <c r="N381" t="s">
        <v>3941</v>
      </c>
      <c r="O381" t="s">
        <v>27</v>
      </c>
      <c r="P381" t="s">
        <v>81</v>
      </c>
      <c r="Q381" t="s">
        <v>26</v>
      </c>
      <c r="R381" s="105">
        <f>IF(Table__192.168.1.150_Daily_Delinquency_With_Sectors[[#This Row],[Days in Arrears]] &gt; 0, Table__192.168.1.150_Daily_Delinquency_With_Sectors[[#This Row],[Outstanding Balance]],0)</f>
        <v>0</v>
      </c>
      <c r="S381" s="105">
        <f>IF(Table__192.168.1.150_Daily_Delinquency_With_Sectors[[#This Row],[Days in Arrears]] &gt; 30, Table__192.168.1.150_Daily_Delinquency_With_Sectors[[#This Row],[Outstanding Balance]],0)</f>
        <v>0</v>
      </c>
      <c r="T381" s="105">
        <f>IF(Table__192.168.1.150_Daily_Delinquency_With_Sectors[[#This Row],[Days in Arrears]] &gt; 90, Table__192.168.1.150_Daily_Delinquency_With_Sectors[[#This Row],[Outstanding Balance]],0)</f>
        <v>0</v>
      </c>
      <c r="U381" s="109">
        <f>IF(Table__192.168.1.150_Daily_Delinquency_With_Sectors[[#This Row],[Days in Arrears]] &gt;= 1,1,0)</f>
        <v>0</v>
      </c>
      <c r="V381" s="109">
        <f>IF(Table__192.168.1.150_Daily_Delinquency_With_Sectors[[#This Row],[Days in Arrears]] &gt; 30,1,0)</f>
        <v>0</v>
      </c>
      <c r="W381" s="109">
        <f>IF(Table__192.168.1.150_Daily_Delinquency_With_Sectors[[#This Row],[Days in Arrears]] &gt; 90,1,0)</f>
        <v>0</v>
      </c>
    </row>
    <row r="382" spans="1:23" x14ac:dyDescent="0.25">
      <c r="A382" t="s">
        <v>3968</v>
      </c>
      <c r="B382" t="s">
        <v>1281</v>
      </c>
      <c r="C382">
        <v>1</v>
      </c>
      <c r="D382" s="105">
        <v>9429671.0999999996</v>
      </c>
      <c r="E382" t="s">
        <v>2494</v>
      </c>
      <c r="F382" s="105">
        <v>377186.84</v>
      </c>
      <c r="G382" s="105">
        <v>10792931.98</v>
      </c>
      <c r="H382" s="143">
        <v>42758.605742858796</v>
      </c>
      <c r="I382" s="143">
        <v>43213</v>
      </c>
      <c r="J382" t="s">
        <v>3969</v>
      </c>
      <c r="K382" t="s">
        <v>1280</v>
      </c>
      <c r="L382" t="s">
        <v>1280</v>
      </c>
      <c r="M382">
        <v>103059</v>
      </c>
      <c r="N382" t="s">
        <v>3964</v>
      </c>
      <c r="O382" t="s">
        <v>25</v>
      </c>
      <c r="P382" t="s">
        <v>295</v>
      </c>
      <c r="Q382" t="s">
        <v>296</v>
      </c>
      <c r="R382" s="105">
        <f>IF(Table__192.168.1.150_Daily_Delinquency_With_Sectors[[#This Row],[Days in Arrears]] &gt; 0, Table__192.168.1.150_Daily_Delinquency_With_Sectors[[#This Row],[Outstanding Balance]],0)</f>
        <v>9429671.0999999996</v>
      </c>
      <c r="S382" s="105">
        <f>IF(Table__192.168.1.150_Daily_Delinquency_With_Sectors[[#This Row],[Days in Arrears]] &gt; 30, Table__192.168.1.150_Daily_Delinquency_With_Sectors[[#This Row],[Outstanding Balance]],0)</f>
        <v>0</v>
      </c>
      <c r="T382" s="105">
        <f>IF(Table__192.168.1.150_Daily_Delinquency_With_Sectors[[#This Row],[Days in Arrears]] &gt; 90, Table__192.168.1.150_Daily_Delinquency_With_Sectors[[#This Row],[Outstanding Balance]],0)</f>
        <v>0</v>
      </c>
      <c r="U382" s="109">
        <f>IF(Table__192.168.1.150_Daily_Delinquency_With_Sectors[[#This Row],[Days in Arrears]] &gt;= 1,1,0)</f>
        <v>1</v>
      </c>
      <c r="V382" s="109">
        <f>IF(Table__192.168.1.150_Daily_Delinquency_With_Sectors[[#This Row],[Days in Arrears]] &gt; 30,1,0)</f>
        <v>0</v>
      </c>
      <c r="W382" s="109">
        <f>IF(Table__192.168.1.150_Daily_Delinquency_With_Sectors[[#This Row],[Days in Arrears]] &gt; 90,1,0)</f>
        <v>0</v>
      </c>
    </row>
    <row r="383" spans="1:23" x14ac:dyDescent="0.25">
      <c r="A383" t="s">
        <v>2069</v>
      </c>
      <c r="B383" t="s">
        <v>1282</v>
      </c>
      <c r="C383">
        <v>-1</v>
      </c>
      <c r="D383" s="105">
        <v>1774151.84</v>
      </c>
      <c r="E383" t="s">
        <v>2861</v>
      </c>
      <c r="F383" s="105">
        <v>66235</v>
      </c>
      <c r="G383" s="105">
        <v>1917939.06</v>
      </c>
      <c r="H383" s="143">
        <v>42760.566499189816</v>
      </c>
      <c r="I383" s="143">
        <v>43125</v>
      </c>
      <c r="J383" t="s">
        <v>2070</v>
      </c>
      <c r="K383" t="s">
        <v>1280</v>
      </c>
      <c r="L383" t="s">
        <v>1280</v>
      </c>
      <c r="M383">
        <v>103060</v>
      </c>
      <c r="N383" t="s">
        <v>732</v>
      </c>
      <c r="O383" t="s">
        <v>44</v>
      </c>
      <c r="P383" t="s">
        <v>75</v>
      </c>
      <c r="Q383" t="s">
        <v>1442</v>
      </c>
      <c r="R383" s="105">
        <f>IF(Table__192.168.1.150_Daily_Delinquency_With_Sectors[[#This Row],[Days in Arrears]] &gt; 0, Table__192.168.1.150_Daily_Delinquency_With_Sectors[[#This Row],[Outstanding Balance]],0)</f>
        <v>0</v>
      </c>
      <c r="S383" s="105">
        <f>IF(Table__192.168.1.150_Daily_Delinquency_With_Sectors[[#This Row],[Days in Arrears]] &gt; 30, Table__192.168.1.150_Daily_Delinquency_With_Sectors[[#This Row],[Outstanding Balance]],0)</f>
        <v>0</v>
      </c>
      <c r="T383" s="105">
        <f>IF(Table__192.168.1.150_Daily_Delinquency_With_Sectors[[#This Row],[Days in Arrears]] &gt; 90, Table__192.168.1.150_Daily_Delinquency_With_Sectors[[#This Row],[Outstanding Balance]],0)</f>
        <v>0</v>
      </c>
      <c r="U383" s="109">
        <f>IF(Table__192.168.1.150_Daily_Delinquency_With_Sectors[[#This Row],[Days in Arrears]] &gt;= 1,1,0)</f>
        <v>0</v>
      </c>
      <c r="V383" s="109">
        <f>IF(Table__192.168.1.150_Daily_Delinquency_With_Sectors[[#This Row],[Days in Arrears]] &gt; 30,1,0)</f>
        <v>0</v>
      </c>
      <c r="W383" s="109">
        <f>IF(Table__192.168.1.150_Daily_Delinquency_With_Sectors[[#This Row],[Days in Arrears]] &gt; 90,1,0)</f>
        <v>0</v>
      </c>
    </row>
    <row r="384" spans="1:23" x14ac:dyDescent="0.25">
      <c r="A384" t="s">
        <v>3987</v>
      </c>
      <c r="B384" t="s">
        <v>1283</v>
      </c>
      <c r="C384">
        <v>23</v>
      </c>
      <c r="D384" s="105">
        <v>25166255.359999999</v>
      </c>
      <c r="E384" t="s">
        <v>963</v>
      </c>
      <c r="F384" s="105">
        <v>544884.12</v>
      </c>
      <c r="G384" s="105">
        <v>31519076.789999999</v>
      </c>
      <c r="H384" s="143">
        <v>42762.731174305554</v>
      </c>
      <c r="I384" s="143">
        <v>43497</v>
      </c>
      <c r="J384" t="s">
        <v>3988</v>
      </c>
      <c r="K384" t="s">
        <v>1280</v>
      </c>
      <c r="L384" t="s">
        <v>1280</v>
      </c>
      <c r="M384">
        <v>103061</v>
      </c>
      <c r="N384" t="s">
        <v>3986</v>
      </c>
      <c r="O384" t="s">
        <v>37</v>
      </c>
      <c r="P384" t="s">
        <v>38</v>
      </c>
      <c r="Q384" t="s">
        <v>26</v>
      </c>
      <c r="R384" s="105">
        <f>IF(Table__192.168.1.150_Daily_Delinquency_With_Sectors[[#This Row],[Days in Arrears]] &gt; 0, Table__192.168.1.150_Daily_Delinquency_With_Sectors[[#This Row],[Outstanding Balance]],0)</f>
        <v>25166255.359999999</v>
      </c>
      <c r="S384" s="105">
        <f>IF(Table__192.168.1.150_Daily_Delinquency_With_Sectors[[#This Row],[Days in Arrears]] &gt; 30, Table__192.168.1.150_Daily_Delinquency_With_Sectors[[#This Row],[Outstanding Balance]],0)</f>
        <v>0</v>
      </c>
      <c r="T384" s="105">
        <f>IF(Table__192.168.1.150_Daily_Delinquency_With_Sectors[[#This Row],[Days in Arrears]] &gt; 90, Table__192.168.1.150_Daily_Delinquency_With_Sectors[[#This Row],[Outstanding Balance]],0)</f>
        <v>0</v>
      </c>
      <c r="U384" s="109">
        <f>IF(Table__192.168.1.150_Daily_Delinquency_With_Sectors[[#This Row],[Days in Arrears]] &gt;= 1,1,0)</f>
        <v>1</v>
      </c>
      <c r="V384" s="109">
        <f>IF(Table__192.168.1.150_Daily_Delinquency_With_Sectors[[#This Row],[Days in Arrears]] &gt; 30,1,0)</f>
        <v>0</v>
      </c>
      <c r="W384" s="109">
        <f>IF(Table__192.168.1.150_Daily_Delinquency_With_Sectors[[#This Row],[Days in Arrears]] &gt; 90,1,0)</f>
        <v>0</v>
      </c>
    </row>
    <row r="385" spans="1:23" x14ac:dyDescent="0.25">
      <c r="A385" t="s">
        <v>584</v>
      </c>
      <c r="B385" t="s">
        <v>1284</v>
      </c>
      <c r="C385">
        <v>23</v>
      </c>
      <c r="D385" s="105">
        <v>55626405.399999999</v>
      </c>
      <c r="E385" t="s">
        <v>963</v>
      </c>
      <c r="F385" s="105">
        <v>2784766.33</v>
      </c>
      <c r="G385" s="105">
        <v>81523180.200000003</v>
      </c>
      <c r="H385" s="143">
        <v>42763.488965046294</v>
      </c>
      <c r="I385" s="143">
        <v>43862</v>
      </c>
      <c r="J385" t="s">
        <v>585</v>
      </c>
      <c r="K385" t="s">
        <v>586</v>
      </c>
      <c r="L385" t="s">
        <v>1280</v>
      </c>
      <c r="M385">
        <v>103063</v>
      </c>
      <c r="N385" t="s">
        <v>579</v>
      </c>
      <c r="O385" t="s">
        <v>35</v>
      </c>
      <c r="P385" t="s">
        <v>121</v>
      </c>
      <c r="Q385" t="s">
        <v>26</v>
      </c>
      <c r="R385" s="105">
        <f>IF(Table__192.168.1.150_Daily_Delinquency_With_Sectors[[#This Row],[Days in Arrears]] &gt; 0, Table__192.168.1.150_Daily_Delinquency_With_Sectors[[#This Row],[Outstanding Balance]],0)</f>
        <v>55626405.399999999</v>
      </c>
      <c r="S385" s="105">
        <f>IF(Table__192.168.1.150_Daily_Delinquency_With_Sectors[[#This Row],[Days in Arrears]] &gt; 30, Table__192.168.1.150_Daily_Delinquency_With_Sectors[[#This Row],[Outstanding Balance]],0)</f>
        <v>0</v>
      </c>
      <c r="T385" s="105">
        <f>IF(Table__192.168.1.150_Daily_Delinquency_With_Sectors[[#This Row],[Days in Arrears]] &gt; 90, Table__192.168.1.150_Daily_Delinquency_With_Sectors[[#This Row],[Outstanding Balance]],0)</f>
        <v>0</v>
      </c>
      <c r="U385" s="109">
        <f>IF(Table__192.168.1.150_Daily_Delinquency_With_Sectors[[#This Row],[Days in Arrears]] &gt;= 1,1,0)</f>
        <v>1</v>
      </c>
      <c r="V385" s="109">
        <f>IF(Table__192.168.1.150_Daily_Delinquency_With_Sectors[[#This Row],[Days in Arrears]] &gt; 30,1,0)</f>
        <v>0</v>
      </c>
      <c r="W385" s="109">
        <f>IF(Table__192.168.1.150_Daily_Delinquency_With_Sectors[[#This Row],[Days in Arrears]] &gt; 90,1,0)</f>
        <v>0</v>
      </c>
    </row>
    <row r="386" spans="1:23" x14ac:dyDescent="0.25">
      <c r="A386" t="s">
        <v>3992</v>
      </c>
      <c r="B386" t="s">
        <v>1281</v>
      </c>
      <c r="C386">
        <v>21</v>
      </c>
      <c r="D386" s="105">
        <v>7735464.4800000004</v>
      </c>
      <c r="E386" t="s">
        <v>86</v>
      </c>
      <c r="F386" s="105">
        <v>467120.97</v>
      </c>
      <c r="G386" s="105">
        <v>8524173.8399999999</v>
      </c>
      <c r="H386" s="143">
        <v>42763.562554895834</v>
      </c>
      <c r="I386" s="143">
        <v>43134</v>
      </c>
      <c r="J386" t="s">
        <v>3993</v>
      </c>
      <c r="K386" t="s">
        <v>1280</v>
      </c>
      <c r="L386" t="s">
        <v>1280</v>
      </c>
      <c r="M386">
        <v>103064</v>
      </c>
      <c r="N386" t="s">
        <v>3989</v>
      </c>
      <c r="O386" t="s">
        <v>25</v>
      </c>
      <c r="P386" t="s">
        <v>88</v>
      </c>
      <c r="Q386" t="s">
        <v>26</v>
      </c>
      <c r="R386" s="105">
        <f>IF(Table__192.168.1.150_Daily_Delinquency_With_Sectors[[#This Row],[Days in Arrears]] &gt; 0, Table__192.168.1.150_Daily_Delinquency_With_Sectors[[#This Row],[Outstanding Balance]],0)</f>
        <v>7735464.4800000004</v>
      </c>
      <c r="S386" s="105">
        <f>IF(Table__192.168.1.150_Daily_Delinquency_With_Sectors[[#This Row],[Days in Arrears]] &gt; 30, Table__192.168.1.150_Daily_Delinquency_With_Sectors[[#This Row],[Outstanding Balance]],0)</f>
        <v>0</v>
      </c>
      <c r="T386" s="105">
        <f>IF(Table__192.168.1.150_Daily_Delinquency_With_Sectors[[#This Row],[Days in Arrears]] &gt; 90, Table__192.168.1.150_Daily_Delinquency_With_Sectors[[#This Row],[Outstanding Balance]],0)</f>
        <v>0</v>
      </c>
      <c r="U386" s="109">
        <f>IF(Table__192.168.1.150_Daily_Delinquency_With_Sectors[[#This Row],[Days in Arrears]] &gt;= 1,1,0)</f>
        <v>1</v>
      </c>
      <c r="V386" s="109">
        <f>IF(Table__192.168.1.150_Daily_Delinquency_With_Sectors[[#This Row],[Days in Arrears]] &gt; 30,1,0)</f>
        <v>0</v>
      </c>
      <c r="W386" s="109">
        <f>IF(Table__192.168.1.150_Daily_Delinquency_With_Sectors[[#This Row],[Days in Arrears]] &gt; 90,1,0)</f>
        <v>0</v>
      </c>
    </row>
    <row r="387" spans="1:23" x14ac:dyDescent="0.25">
      <c r="A387" t="s">
        <v>1127</v>
      </c>
      <c r="B387" t="s">
        <v>1285</v>
      </c>
      <c r="C387">
        <v>-27</v>
      </c>
      <c r="D387" s="105">
        <v>34861966.829999998</v>
      </c>
      <c r="E387" t="s">
        <v>284</v>
      </c>
      <c r="F387" s="105">
        <v>42609.07</v>
      </c>
      <c r="G387" s="105">
        <v>53545379.439999998</v>
      </c>
      <c r="H387" s="143">
        <v>42763.603369560187</v>
      </c>
      <c r="I387" s="143">
        <v>44582</v>
      </c>
      <c r="J387" t="s">
        <v>1128</v>
      </c>
      <c r="K387" t="s">
        <v>1280</v>
      </c>
      <c r="L387" t="s">
        <v>1280</v>
      </c>
      <c r="M387">
        <v>103065</v>
      </c>
      <c r="N387" t="s">
        <v>1124</v>
      </c>
      <c r="O387" t="s">
        <v>43</v>
      </c>
      <c r="P387" t="s">
        <v>338</v>
      </c>
      <c r="Q387" t="s">
        <v>26</v>
      </c>
      <c r="R387" s="105">
        <f>IF(Table__192.168.1.150_Daily_Delinquency_With_Sectors[[#This Row],[Days in Arrears]] &gt; 0, Table__192.168.1.150_Daily_Delinquency_With_Sectors[[#This Row],[Outstanding Balance]],0)</f>
        <v>0</v>
      </c>
      <c r="S387" s="105">
        <f>IF(Table__192.168.1.150_Daily_Delinquency_With_Sectors[[#This Row],[Days in Arrears]] &gt; 30, Table__192.168.1.150_Daily_Delinquency_With_Sectors[[#This Row],[Outstanding Balance]],0)</f>
        <v>0</v>
      </c>
      <c r="T387" s="105">
        <f>IF(Table__192.168.1.150_Daily_Delinquency_With_Sectors[[#This Row],[Days in Arrears]] &gt; 90, Table__192.168.1.150_Daily_Delinquency_With_Sectors[[#This Row],[Outstanding Balance]],0)</f>
        <v>0</v>
      </c>
      <c r="U387" s="109">
        <f>IF(Table__192.168.1.150_Daily_Delinquency_With_Sectors[[#This Row],[Days in Arrears]] &gt;= 1,1,0)</f>
        <v>0</v>
      </c>
      <c r="V387" s="109">
        <f>IF(Table__192.168.1.150_Daily_Delinquency_With_Sectors[[#This Row],[Days in Arrears]] &gt; 30,1,0)</f>
        <v>0</v>
      </c>
      <c r="W387" s="109">
        <f>IF(Table__192.168.1.150_Daily_Delinquency_With_Sectors[[#This Row],[Days in Arrears]] &gt; 90,1,0)</f>
        <v>0</v>
      </c>
    </row>
    <row r="388" spans="1:23" x14ac:dyDescent="0.25">
      <c r="A388" t="s">
        <v>2109</v>
      </c>
      <c r="B388" t="s">
        <v>1282</v>
      </c>
      <c r="C388">
        <v>21</v>
      </c>
      <c r="D388" s="105">
        <v>7761.31</v>
      </c>
      <c r="E388" t="s">
        <v>468</v>
      </c>
      <c r="F388" s="105">
        <v>0</v>
      </c>
      <c r="G388" s="105">
        <v>7761.31</v>
      </c>
      <c r="H388" s="143">
        <v>42765.530551701391</v>
      </c>
      <c r="I388" s="143">
        <v>43042</v>
      </c>
      <c r="J388" t="s">
        <v>2110</v>
      </c>
      <c r="K388" t="s">
        <v>1280</v>
      </c>
      <c r="L388" t="s">
        <v>1280</v>
      </c>
      <c r="M388">
        <v>103066</v>
      </c>
      <c r="N388" t="s">
        <v>2104</v>
      </c>
      <c r="O388" t="s">
        <v>25</v>
      </c>
      <c r="P388" t="s">
        <v>103</v>
      </c>
      <c r="Q388" t="s">
        <v>26</v>
      </c>
      <c r="R388" s="105">
        <f>IF(Table__192.168.1.150_Daily_Delinquency_With_Sectors[[#This Row],[Days in Arrears]] &gt; 0, Table__192.168.1.150_Daily_Delinquency_With_Sectors[[#This Row],[Outstanding Balance]],0)</f>
        <v>7761.31</v>
      </c>
      <c r="S388" s="105">
        <f>IF(Table__192.168.1.150_Daily_Delinquency_With_Sectors[[#This Row],[Days in Arrears]] &gt; 30, Table__192.168.1.150_Daily_Delinquency_With_Sectors[[#This Row],[Outstanding Balance]],0)</f>
        <v>0</v>
      </c>
      <c r="T388" s="105">
        <f>IF(Table__192.168.1.150_Daily_Delinquency_With_Sectors[[#This Row],[Days in Arrears]] &gt; 90, Table__192.168.1.150_Daily_Delinquency_With_Sectors[[#This Row],[Outstanding Balance]],0)</f>
        <v>0</v>
      </c>
      <c r="U388" s="109">
        <f>IF(Table__192.168.1.150_Daily_Delinquency_With_Sectors[[#This Row],[Days in Arrears]] &gt;= 1,1,0)</f>
        <v>1</v>
      </c>
      <c r="V388" s="109">
        <f>IF(Table__192.168.1.150_Daily_Delinquency_With_Sectors[[#This Row],[Days in Arrears]] &gt; 30,1,0)</f>
        <v>0</v>
      </c>
      <c r="W388" s="109">
        <f>IF(Table__192.168.1.150_Daily_Delinquency_With_Sectors[[#This Row],[Days in Arrears]] &gt; 90,1,0)</f>
        <v>0</v>
      </c>
    </row>
    <row r="389" spans="1:23" x14ac:dyDescent="0.25">
      <c r="A389" t="s">
        <v>666</v>
      </c>
      <c r="B389" t="s">
        <v>1281</v>
      </c>
      <c r="C389">
        <v>-7</v>
      </c>
      <c r="D389" s="105">
        <v>11548818.5</v>
      </c>
      <c r="E389" t="s">
        <v>86</v>
      </c>
      <c r="F389" s="105">
        <v>296419.67</v>
      </c>
      <c r="G389" s="105">
        <v>13665836.84</v>
      </c>
      <c r="H389" s="143">
        <v>42765.62096990741</v>
      </c>
      <c r="I389" s="143">
        <v>43315</v>
      </c>
      <c r="J389" t="s">
        <v>667</v>
      </c>
      <c r="K389" t="s">
        <v>668</v>
      </c>
      <c r="L389" t="s">
        <v>1280</v>
      </c>
      <c r="M389">
        <v>103067</v>
      </c>
      <c r="N389" t="s">
        <v>665</v>
      </c>
      <c r="O389" t="s">
        <v>29</v>
      </c>
      <c r="P389" t="s">
        <v>30</v>
      </c>
      <c r="Q389" t="s">
        <v>26</v>
      </c>
      <c r="R389" s="105">
        <f>IF(Table__192.168.1.150_Daily_Delinquency_With_Sectors[[#This Row],[Days in Arrears]] &gt; 0, Table__192.168.1.150_Daily_Delinquency_With_Sectors[[#This Row],[Outstanding Balance]],0)</f>
        <v>0</v>
      </c>
      <c r="S389" s="105">
        <f>IF(Table__192.168.1.150_Daily_Delinquency_With_Sectors[[#This Row],[Days in Arrears]] &gt; 30, Table__192.168.1.150_Daily_Delinquency_With_Sectors[[#This Row],[Outstanding Balance]],0)</f>
        <v>0</v>
      </c>
      <c r="T389" s="105">
        <f>IF(Table__192.168.1.150_Daily_Delinquency_With_Sectors[[#This Row],[Days in Arrears]] &gt; 90, Table__192.168.1.150_Daily_Delinquency_With_Sectors[[#This Row],[Outstanding Balance]],0)</f>
        <v>0</v>
      </c>
      <c r="U389" s="109">
        <f>IF(Table__192.168.1.150_Daily_Delinquency_With_Sectors[[#This Row],[Days in Arrears]] &gt;= 1,1,0)</f>
        <v>0</v>
      </c>
      <c r="V389" s="109">
        <f>IF(Table__192.168.1.150_Daily_Delinquency_With_Sectors[[#This Row],[Days in Arrears]] &gt; 30,1,0)</f>
        <v>0</v>
      </c>
      <c r="W389" s="109">
        <f>IF(Table__192.168.1.150_Daily_Delinquency_With_Sectors[[#This Row],[Days in Arrears]] &gt; 90,1,0)</f>
        <v>0</v>
      </c>
    </row>
    <row r="390" spans="1:23" x14ac:dyDescent="0.25">
      <c r="A390" t="s">
        <v>1894</v>
      </c>
      <c r="B390" t="s">
        <v>1279</v>
      </c>
      <c r="C390">
        <v>83</v>
      </c>
      <c r="D390" s="105">
        <v>1398192.91</v>
      </c>
      <c r="E390" t="s">
        <v>2538</v>
      </c>
      <c r="F390" s="105">
        <v>89757.46</v>
      </c>
      <c r="G390" s="105">
        <v>1586362.43</v>
      </c>
      <c r="H390" s="143">
        <v>42765.675759456019</v>
      </c>
      <c r="I390" s="143">
        <v>43134</v>
      </c>
      <c r="J390" t="s">
        <v>1895</v>
      </c>
      <c r="K390" t="s">
        <v>1280</v>
      </c>
      <c r="L390" t="s">
        <v>1280</v>
      </c>
      <c r="M390">
        <v>103068</v>
      </c>
      <c r="N390" t="s">
        <v>811</v>
      </c>
      <c r="O390" t="s">
        <v>25</v>
      </c>
      <c r="P390" t="s">
        <v>26</v>
      </c>
      <c r="Q390" t="s">
        <v>26</v>
      </c>
      <c r="R390" s="105">
        <f>IF(Table__192.168.1.150_Daily_Delinquency_With_Sectors[[#This Row],[Days in Arrears]] &gt; 0, Table__192.168.1.150_Daily_Delinquency_With_Sectors[[#This Row],[Outstanding Balance]],0)</f>
        <v>1398192.91</v>
      </c>
      <c r="S390" s="105">
        <f>IF(Table__192.168.1.150_Daily_Delinquency_With_Sectors[[#This Row],[Days in Arrears]] &gt; 30, Table__192.168.1.150_Daily_Delinquency_With_Sectors[[#This Row],[Outstanding Balance]],0)</f>
        <v>1398192.91</v>
      </c>
      <c r="T390" s="105">
        <f>IF(Table__192.168.1.150_Daily_Delinquency_With_Sectors[[#This Row],[Days in Arrears]] &gt; 90, Table__192.168.1.150_Daily_Delinquency_With_Sectors[[#This Row],[Outstanding Balance]],0)</f>
        <v>0</v>
      </c>
      <c r="U390" s="109">
        <f>IF(Table__192.168.1.150_Daily_Delinquency_With_Sectors[[#This Row],[Days in Arrears]] &gt;= 1,1,0)</f>
        <v>1</v>
      </c>
      <c r="V390" s="109">
        <f>IF(Table__192.168.1.150_Daily_Delinquency_With_Sectors[[#This Row],[Days in Arrears]] &gt; 30,1,0)</f>
        <v>1</v>
      </c>
      <c r="W390" s="109">
        <f>IF(Table__192.168.1.150_Daily_Delinquency_With_Sectors[[#This Row],[Days in Arrears]] &gt; 90,1,0)</f>
        <v>0</v>
      </c>
    </row>
    <row r="391" spans="1:23" x14ac:dyDescent="0.25">
      <c r="A391" t="s">
        <v>640</v>
      </c>
      <c r="B391" t="s">
        <v>1284</v>
      </c>
      <c r="C391">
        <v>23</v>
      </c>
      <c r="D391" s="105">
        <v>3508050.77</v>
      </c>
      <c r="E391" t="s">
        <v>86</v>
      </c>
      <c r="F391" s="105">
        <v>62577.7</v>
      </c>
      <c r="G391" s="105">
        <v>3682351.17</v>
      </c>
      <c r="H391" s="143">
        <v>42765.716487962964</v>
      </c>
      <c r="I391" s="143">
        <v>43134</v>
      </c>
      <c r="J391" t="s">
        <v>641</v>
      </c>
      <c r="K391" t="s">
        <v>1280</v>
      </c>
      <c r="L391" t="s">
        <v>1280</v>
      </c>
      <c r="M391">
        <v>103069</v>
      </c>
      <c r="N391" t="s">
        <v>639</v>
      </c>
      <c r="O391" t="s">
        <v>44</v>
      </c>
      <c r="P391" t="s">
        <v>75</v>
      </c>
      <c r="Q391" t="s">
        <v>4000</v>
      </c>
      <c r="R391" s="105">
        <f>IF(Table__192.168.1.150_Daily_Delinquency_With_Sectors[[#This Row],[Days in Arrears]] &gt; 0, Table__192.168.1.150_Daily_Delinquency_With_Sectors[[#This Row],[Outstanding Balance]],0)</f>
        <v>3508050.77</v>
      </c>
      <c r="S391" s="105">
        <f>IF(Table__192.168.1.150_Daily_Delinquency_With_Sectors[[#This Row],[Days in Arrears]] &gt; 30, Table__192.168.1.150_Daily_Delinquency_With_Sectors[[#This Row],[Outstanding Balance]],0)</f>
        <v>0</v>
      </c>
      <c r="T391" s="105">
        <f>IF(Table__192.168.1.150_Daily_Delinquency_With_Sectors[[#This Row],[Days in Arrears]] &gt; 90, Table__192.168.1.150_Daily_Delinquency_With_Sectors[[#This Row],[Outstanding Balance]],0)</f>
        <v>0</v>
      </c>
      <c r="U391" s="109">
        <f>IF(Table__192.168.1.150_Daily_Delinquency_With_Sectors[[#This Row],[Days in Arrears]] &gt;= 1,1,0)</f>
        <v>1</v>
      </c>
      <c r="V391" s="109">
        <f>IF(Table__192.168.1.150_Daily_Delinquency_With_Sectors[[#This Row],[Days in Arrears]] &gt; 30,1,0)</f>
        <v>0</v>
      </c>
      <c r="W391" s="109">
        <f>IF(Table__192.168.1.150_Daily_Delinquency_With_Sectors[[#This Row],[Days in Arrears]] &gt; 90,1,0)</f>
        <v>0</v>
      </c>
    </row>
    <row r="392" spans="1:23" x14ac:dyDescent="0.25">
      <c r="A392" t="s">
        <v>4017</v>
      </c>
      <c r="B392" t="s">
        <v>1283</v>
      </c>
      <c r="C392">
        <v>203</v>
      </c>
      <c r="D392" s="105">
        <v>48442901.219999999</v>
      </c>
      <c r="E392" t="s">
        <v>5725</v>
      </c>
      <c r="F392" s="105">
        <v>1722057.41</v>
      </c>
      <c r="G392" s="105">
        <v>76792747.760000005</v>
      </c>
      <c r="H392" s="143">
        <v>42766.59911087963</v>
      </c>
      <c r="I392" s="143">
        <v>43864</v>
      </c>
      <c r="J392" t="s">
        <v>4018</v>
      </c>
      <c r="K392" t="s">
        <v>1280</v>
      </c>
      <c r="L392" t="s">
        <v>1280</v>
      </c>
      <c r="M392">
        <v>103070</v>
      </c>
      <c r="N392" t="s">
        <v>4012</v>
      </c>
      <c r="O392" t="s">
        <v>25</v>
      </c>
      <c r="P392" t="s">
        <v>26</v>
      </c>
      <c r="Q392" t="s">
        <v>26</v>
      </c>
      <c r="R392" s="105">
        <f>IF(Table__192.168.1.150_Daily_Delinquency_With_Sectors[[#This Row],[Days in Arrears]] &gt; 0, Table__192.168.1.150_Daily_Delinquency_With_Sectors[[#This Row],[Outstanding Balance]],0)</f>
        <v>48442901.219999999</v>
      </c>
      <c r="S392" s="105">
        <f>IF(Table__192.168.1.150_Daily_Delinquency_With_Sectors[[#This Row],[Days in Arrears]] &gt; 30, Table__192.168.1.150_Daily_Delinquency_With_Sectors[[#This Row],[Outstanding Balance]],0)</f>
        <v>48442901.219999999</v>
      </c>
      <c r="T392" s="105">
        <f>IF(Table__192.168.1.150_Daily_Delinquency_With_Sectors[[#This Row],[Days in Arrears]] &gt; 90, Table__192.168.1.150_Daily_Delinquency_With_Sectors[[#This Row],[Outstanding Balance]],0)</f>
        <v>48442901.219999999</v>
      </c>
      <c r="U392" s="109">
        <f>IF(Table__192.168.1.150_Daily_Delinquency_With_Sectors[[#This Row],[Days in Arrears]] &gt;= 1,1,0)</f>
        <v>1</v>
      </c>
      <c r="V392" s="109">
        <f>IF(Table__192.168.1.150_Daily_Delinquency_With_Sectors[[#This Row],[Days in Arrears]] &gt; 30,1,0)</f>
        <v>1</v>
      </c>
      <c r="W392" s="109">
        <f>IF(Table__192.168.1.150_Daily_Delinquency_With_Sectors[[#This Row],[Days in Arrears]] &gt; 90,1,0)</f>
        <v>1</v>
      </c>
    </row>
    <row r="393" spans="1:23" x14ac:dyDescent="0.25">
      <c r="A393" t="s">
        <v>255</v>
      </c>
      <c r="B393" t="s">
        <v>1866</v>
      </c>
      <c r="C393">
        <v>23</v>
      </c>
      <c r="D393" s="105">
        <v>2679456.13</v>
      </c>
      <c r="E393" t="s">
        <v>1447</v>
      </c>
      <c r="F393" s="105">
        <v>143652.04999999999</v>
      </c>
      <c r="G393" s="105">
        <v>2921629.31</v>
      </c>
      <c r="H393" s="143">
        <v>42766.770023611112</v>
      </c>
      <c r="I393" s="143">
        <v>43134</v>
      </c>
      <c r="J393" t="s">
        <v>256</v>
      </c>
      <c r="K393" t="s">
        <v>257</v>
      </c>
      <c r="L393" t="s">
        <v>1280</v>
      </c>
      <c r="M393">
        <v>103071</v>
      </c>
      <c r="N393" t="s">
        <v>93</v>
      </c>
      <c r="O393" t="s">
        <v>25</v>
      </c>
      <c r="P393" t="s">
        <v>94</v>
      </c>
      <c r="Q393" t="s">
        <v>95</v>
      </c>
      <c r="R393" s="105">
        <f>IF(Table__192.168.1.150_Daily_Delinquency_With_Sectors[[#This Row],[Days in Arrears]] &gt; 0, Table__192.168.1.150_Daily_Delinquency_With_Sectors[[#This Row],[Outstanding Balance]],0)</f>
        <v>2679456.13</v>
      </c>
      <c r="S393" s="105">
        <f>IF(Table__192.168.1.150_Daily_Delinquency_With_Sectors[[#This Row],[Days in Arrears]] &gt; 30, Table__192.168.1.150_Daily_Delinquency_With_Sectors[[#This Row],[Outstanding Balance]],0)</f>
        <v>0</v>
      </c>
      <c r="T393" s="105">
        <f>IF(Table__192.168.1.150_Daily_Delinquency_With_Sectors[[#This Row],[Days in Arrears]] &gt; 90, Table__192.168.1.150_Daily_Delinquency_With_Sectors[[#This Row],[Outstanding Balance]],0)</f>
        <v>0</v>
      </c>
      <c r="U393" s="109">
        <f>IF(Table__192.168.1.150_Daily_Delinquency_With_Sectors[[#This Row],[Days in Arrears]] &gt;= 1,1,0)</f>
        <v>1</v>
      </c>
      <c r="V393" s="109">
        <f>IF(Table__192.168.1.150_Daily_Delinquency_With_Sectors[[#This Row],[Days in Arrears]] &gt; 30,1,0)</f>
        <v>0</v>
      </c>
      <c r="W393" s="109">
        <f>IF(Table__192.168.1.150_Daily_Delinquency_With_Sectors[[#This Row],[Days in Arrears]] &gt; 90,1,0)</f>
        <v>0</v>
      </c>
    </row>
    <row r="394" spans="1:23" x14ac:dyDescent="0.25">
      <c r="A394" t="s">
        <v>4019</v>
      </c>
      <c r="B394" t="s">
        <v>1279</v>
      </c>
      <c r="C394">
        <v>23</v>
      </c>
      <c r="D394" s="105">
        <v>1549076.36</v>
      </c>
      <c r="E394" t="s">
        <v>963</v>
      </c>
      <c r="F394" s="105">
        <v>96702.06</v>
      </c>
      <c r="G394" s="105">
        <v>1708114.7</v>
      </c>
      <c r="H394" s="143">
        <v>42766.783886226855</v>
      </c>
      <c r="I394" s="143">
        <v>43134</v>
      </c>
      <c r="J394" t="s">
        <v>4020</v>
      </c>
      <c r="K394" t="s">
        <v>4021</v>
      </c>
      <c r="L394" t="s">
        <v>1280</v>
      </c>
      <c r="M394">
        <v>103072</v>
      </c>
      <c r="N394" t="s">
        <v>4015</v>
      </c>
      <c r="O394" t="s">
        <v>44</v>
      </c>
      <c r="P394" t="s">
        <v>75</v>
      </c>
      <c r="Q394" t="s">
        <v>1442</v>
      </c>
      <c r="R394" s="105">
        <f>IF(Table__192.168.1.150_Daily_Delinquency_With_Sectors[[#This Row],[Days in Arrears]] &gt; 0, Table__192.168.1.150_Daily_Delinquency_With_Sectors[[#This Row],[Outstanding Balance]],0)</f>
        <v>1549076.36</v>
      </c>
      <c r="S394" s="105">
        <f>IF(Table__192.168.1.150_Daily_Delinquency_With_Sectors[[#This Row],[Days in Arrears]] &gt; 30, Table__192.168.1.150_Daily_Delinquency_With_Sectors[[#This Row],[Outstanding Balance]],0)</f>
        <v>0</v>
      </c>
      <c r="T394" s="105">
        <f>IF(Table__192.168.1.150_Daily_Delinquency_With_Sectors[[#This Row],[Days in Arrears]] &gt; 90, Table__192.168.1.150_Daily_Delinquency_With_Sectors[[#This Row],[Outstanding Balance]],0)</f>
        <v>0</v>
      </c>
      <c r="U394" s="109">
        <f>IF(Table__192.168.1.150_Daily_Delinquency_With_Sectors[[#This Row],[Days in Arrears]] &gt;= 1,1,0)</f>
        <v>1</v>
      </c>
      <c r="V394" s="109">
        <f>IF(Table__192.168.1.150_Daily_Delinquency_With_Sectors[[#This Row],[Days in Arrears]] &gt; 30,1,0)</f>
        <v>0</v>
      </c>
      <c r="W394" s="109">
        <f>IF(Table__192.168.1.150_Daily_Delinquency_With_Sectors[[#This Row],[Days in Arrears]] &gt; 90,1,0)</f>
        <v>0</v>
      </c>
    </row>
    <row r="395" spans="1:23" x14ac:dyDescent="0.25">
      <c r="A395" t="s">
        <v>1901</v>
      </c>
      <c r="B395" t="s">
        <v>1283</v>
      </c>
      <c r="C395">
        <v>49</v>
      </c>
      <c r="D395" s="105">
        <v>50377873.240000002</v>
      </c>
      <c r="E395" t="s">
        <v>1447</v>
      </c>
      <c r="F395" s="105">
        <v>1450933.78</v>
      </c>
      <c r="G395" s="105">
        <v>63648206.280000001</v>
      </c>
      <c r="H395" s="143">
        <v>42766.845477395836</v>
      </c>
      <c r="I395" s="143">
        <v>43503</v>
      </c>
      <c r="J395" t="s">
        <v>1902</v>
      </c>
      <c r="K395" t="s">
        <v>1280</v>
      </c>
      <c r="L395" t="s">
        <v>1903</v>
      </c>
      <c r="M395">
        <v>103073</v>
      </c>
      <c r="N395" t="s">
        <v>1899</v>
      </c>
      <c r="O395" t="s">
        <v>35</v>
      </c>
      <c r="P395" t="s">
        <v>121</v>
      </c>
      <c r="Q395" t="s">
        <v>122</v>
      </c>
      <c r="R395" s="105">
        <f>IF(Table__192.168.1.150_Daily_Delinquency_With_Sectors[[#This Row],[Days in Arrears]] &gt; 0, Table__192.168.1.150_Daily_Delinquency_With_Sectors[[#This Row],[Outstanding Balance]],0)</f>
        <v>50377873.240000002</v>
      </c>
      <c r="S395" s="105">
        <f>IF(Table__192.168.1.150_Daily_Delinquency_With_Sectors[[#This Row],[Days in Arrears]] &gt; 30, Table__192.168.1.150_Daily_Delinquency_With_Sectors[[#This Row],[Outstanding Balance]],0)</f>
        <v>50377873.240000002</v>
      </c>
      <c r="T395" s="105">
        <f>IF(Table__192.168.1.150_Daily_Delinquency_With_Sectors[[#This Row],[Days in Arrears]] &gt; 90, Table__192.168.1.150_Daily_Delinquency_With_Sectors[[#This Row],[Outstanding Balance]],0)</f>
        <v>0</v>
      </c>
      <c r="U395" s="109">
        <f>IF(Table__192.168.1.150_Daily_Delinquency_With_Sectors[[#This Row],[Days in Arrears]] &gt;= 1,1,0)</f>
        <v>1</v>
      </c>
      <c r="V395" s="109">
        <f>IF(Table__192.168.1.150_Daily_Delinquency_With_Sectors[[#This Row],[Days in Arrears]] &gt; 30,1,0)</f>
        <v>1</v>
      </c>
      <c r="W395" s="109">
        <f>IF(Table__192.168.1.150_Daily_Delinquency_With_Sectors[[#This Row],[Days in Arrears]] &gt; 90,1,0)</f>
        <v>0</v>
      </c>
    </row>
    <row r="396" spans="1:23" x14ac:dyDescent="0.25">
      <c r="A396" t="s">
        <v>131</v>
      </c>
      <c r="B396" t="s">
        <v>1283</v>
      </c>
      <c r="C396">
        <v>-7</v>
      </c>
      <c r="D396" s="105">
        <v>51169733.530000001</v>
      </c>
      <c r="E396" t="s">
        <v>90</v>
      </c>
      <c r="F396" s="105">
        <v>1125734.1399999999</v>
      </c>
      <c r="G396" s="105">
        <v>69715347.370000005</v>
      </c>
      <c r="H396" s="143">
        <v>42766.894392326387</v>
      </c>
      <c r="I396" s="143">
        <v>43680</v>
      </c>
      <c r="J396" t="s">
        <v>132</v>
      </c>
      <c r="K396" t="s">
        <v>133</v>
      </c>
      <c r="L396" t="s">
        <v>1280</v>
      </c>
      <c r="M396">
        <v>103074</v>
      </c>
      <c r="N396" t="s">
        <v>130</v>
      </c>
      <c r="O396" t="s">
        <v>25</v>
      </c>
      <c r="P396" t="s">
        <v>26</v>
      </c>
      <c r="Q396" t="s">
        <v>26</v>
      </c>
      <c r="R396" s="105">
        <f>IF(Table__192.168.1.150_Daily_Delinquency_With_Sectors[[#This Row],[Days in Arrears]] &gt; 0, Table__192.168.1.150_Daily_Delinquency_With_Sectors[[#This Row],[Outstanding Balance]],0)</f>
        <v>0</v>
      </c>
      <c r="S396" s="105">
        <f>IF(Table__192.168.1.150_Daily_Delinquency_With_Sectors[[#This Row],[Days in Arrears]] &gt; 30, Table__192.168.1.150_Daily_Delinquency_With_Sectors[[#This Row],[Outstanding Balance]],0)</f>
        <v>0</v>
      </c>
      <c r="T396" s="105">
        <f>IF(Table__192.168.1.150_Daily_Delinquency_With_Sectors[[#This Row],[Days in Arrears]] &gt; 90, Table__192.168.1.150_Daily_Delinquency_With_Sectors[[#This Row],[Outstanding Balance]],0)</f>
        <v>0</v>
      </c>
      <c r="U396" s="109">
        <f>IF(Table__192.168.1.150_Daily_Delinquency_With_Sectors[[#This Row],[Days in Arrears]] &gt;= 1,1,0)</f>
        <v>0</v>
      </c>
      <c r="V396" s="109">
        <f>IF(Table__192.168.1.150_Daily_Delinquency_With_Sectors[[#This Row],[Days in Arrears]] &gt; 30,1,0)</f>
        <v>0</v>
      </c>
      <c r="W396" s="109">
        <f>IF(Table__192.168.1.150_Daily_Delinquency_With_Sectors[[#This Row],[Days in Arrears]] &gt; 90,1,0)</f>
        <v>0</v>
      </c>
    </row>
    <row r="397" spans="1:23" x14ac:dyDescent="0.25">
      <c r="A397" t="s">
        <v>4022</v>
      </c>
      <c r="B397" t="s">
        <v>1282</v>
      </c>
      <c r="C397">
        <v>23</v>
      </c>
      <c r="D397" s="105">
        <v>984987.52</v>
      </c>
      <c r="E397" t="s">
        <v>2494</v>
      </c>
      <c r="F397" s="105">
        <v>55333.23</v>
      </c>
      <c r="G397" s="105">
        <v>1085126.2</v>
      </c>
      <c r="H397" s="143">
        <v>42766.930841747686</v>
      </c>
      <c r="I397" s="143">
        <v>43134</v>
      </c>
      <c r="J397" t="s">
        <v>4023</v>
      </c>
      <c r="K397" t="s">
        <v>4024</v>
      </c>
      <c r="L397" t="s">
        <v>1280</v>
      </c>
      <c r="M397">
        <v>103075</v>
      </c>
      <c r="N397" t="s">
        <v>4010</v>
      </c>
      <c r="O397" t="s">
        <v>25</v>
      </c>
      <c r="P397" t="s">
        <v>26</v>
      </c>
      <c r="Q397" t="s">
        <v>26</v>
      </c>
      <c r="R397" s="105">
        <f>IF(Table__192.168.1.150_Daily_Delinquency_With_Sectors[[#This Row],[Days in Arrears]] &gt; 0, Table__192.168.1.150_Daily_Delinquency_With_Sectors[[#This Row],[Outstanding Balance]],0)</f>
        <v>984987.52</v>
      </c>
      <c r="S397" s="105">
        <f>IF(Table__192.168.1.150_Daily_Delinquency_With_Sectors[[#This Row],[Days in Arrears]] &gt; 30, Table__192.168.1.150_Daily_Delinquency_With_Sectors[[#This Row],[Outstanding Balance]],0)</f>
        <v>0</v>
      </c>
      <c r="T397" s="105">
        <f>IF(Table__192.168.1.150_Daily_Delinquency_With_Sectors[[#This Row],[Days in Arrears]] &gt; 90, Table__192.168.1.150_Daily_Delinquency_With_Sectors[[#This Row],[Outstanding Balance]],0)</f>
        <v>0</v>
      </c>
      <c r="U397" s="109">
        <f>IF(Table__192.168.1.150_Daily_Delinquency_With_Sectors[[#This Row],[Days in Arrears]] &gt;= 1,1,0)</f>
        <v>1</v>
      </c>
      <c r="V397" s="109">
        <f>IF(Table__192.168.1.150_Daily_Delinquency_With_Sectors[[#This Row],[Days in Arrears]] &gt; 30,1,0)</f>
        <v>0</v>
      </c>
      <c r="W397" s="109">
        <f>IF(Table__192.168.1.150_Daily_Delinquency_With_Sectors[[#This Row],[Days in Arrears]] &gt; 90,1,0)</f>
        <v>0</v>
      </c>
    </row>
    <row r="398" spans="1:23" x14ac:dyDescent="0.25">
      <c r="A398" t="s">
        <v>4043</v>
      </c>
      <c r="B398" t="s">
        <v>1282</v>
      </c>
      <c r="C398">
        <v>-8</v>
      </c>
      <c r="D398" s="105">
        <v>711293.86</v>
      </c>
      <c r="E398" t="s">
        <v>5725</v>
      </c>
      <c r="F398" s="105">
        <v>19916.23</v>
      </c>
      <c r="G398" s="105">
        <v>739745.61</v>
      </c>
      <c r="H398" s="143">
        <v>42768.689616203701</v>
      </c>
      <c r="I398" s="143">
        <v>43071</v>
      </c>
      <c r="J398" t="s">
        <v>4044</v>
      </c>
      <c r="K398" t="s">
        <v>1280</v>
      </c>
      <c r="L398" t="s">
        <v>1280</v>
      </c>
      <c r="M398">
        <v>103076</v>
      </c>
      <c r="N398" t="s">
        <v>4041</v>
      </c>
      <c r="O398" t="s">
        <v>36</v>
      </c>
      <c r="P398" t="s">
        <v>97</v>
      </c>
      <c r="Q398" t="s">
        <v>98</v>
      </c>
      <c r="R398" s="105">
        <f>IF(Table__192.168.1.150_Daily_Delinquency_With_Sectors[[#This Row],[Days in Arrears]] &gt; 0, Table__192.168.1.150_Daily_Delinquency_With_Sectors[[#This Row],[Outstanding Balance]],0)</f>
        <v>0</v>
      </c>
      <c r="S398" s="105">
        <f>IF(Table__192.168.1.150_Daily_Delinquency_With_Sectors[[#This Row],[Days in Arrears]] &gt; 30, Table__192.168.1.150_Daily_Delinquency_With_Sectors[[#This Row],[Outstanding Balance]],0)</f>
        <v>0</v>
      </c>
      <c r="T398" s="105">
        <f>IF(Table__192.168.1.150_Daily_Delinquency_With_Sectors[[#This Row],[Days in Arrears]] &gt; 90, Table__192.168.1.150_Daily_Delinquency_With_Sectors[[#This Row],[Outstanding Balance]],0)</f>
        <v>0</v>
      </c>
      <c r="U398" s="109">
        <f>IF(Table__192.168.1.150_Daily_Delinquency_With_Sectors[[#This Row],[Days in Arrears]] &gt;= 1,1,0)</f>
        <v>0</v>
      </c>
      <c r="V398" s="109">
        <f>IF(Table__192.168.1.150_Daily_Delinquency_With_Sectors[[#This Row],[Days in Arrears]] &gt; 30,1,0)</f>
        <v>0</v>
      </c>
      <c r="W398" s="109">
        <f>IF(Table__192.168.1.150_Daily_Delinquency_With_Sectors[[#This Row],[Days in Arrears]] &gt; 90,1,0)</f>
        <v>0</v>
      </c>
    </row>
    <row r="399" spans="1:23" x14ac:dyDescent="0.25">
      <c r="A399" t="s">
        <v>1019</v>
      </c>
      <c r="B399" t="s">
        <v>1283</v>
      </c>
      <c r="C399">
        <v>-9</v>
      </c>
      <c r="D399" s="105">
        <v>11366727.82</v>
      </c>
      <c r="E399" t="s">
        <v>2855</v>
      </c>
      <c r="F399" s="105">
        <v>227334.56</v>
      </c>
      <c r="G399" s="105">
        <v>12055450.25</v>
      </c>
      <c r="H399" s="143">
        <v>42769.700199687497</v>
      </c>
      <c r="I399" s="143">
        <v>43134</v>
      </c>
      <c r="J399" t="s">
        <v>1020</v>
      </c>
      <c r="K399" t="s">
        <v>1021</v>
      </c>
      <c r="L399" t="s">
        <v>1280</v>
      </c>
      <c r="M399">
        <v>103077</v>
      </c>
      <c r="N399" t="s">
        <v>1015</v>
      </c>
      <c r="O399" t="s">
        <v>25</v>
      </c>
      <c r="P399" t="s">
        <v>88</v>
      </c>
      <c r="Q399" t="s">
        <v>285</v>
      </c>
      <c r="R399" s="105">
        <f>IF(Table__192.168.1.150_Daily_Delinquency_With_Sectors[[#This Row],[Days in Arrears]] &gt; 0, Table__192.168.1.150_Daily_Delinquency_With_Sectors[[#This Row],[Outstanding Balance]],0)</f>
        <v>0</v>
      </c>
      <c r="S399" s="105">
        <f>IF(Table__192.168.1.150_Daily_Delinquency_With_Sectors[[#This Row],[Days in Arrears]] &gt; 30, Table__192.168.1.150_Daily_Delinquency_With_Sectors[[#This Row],[Outstanding Balance]],0)</f>
        <v>0</v>
      </c>
      <c r="T399" s="105">
        <f>IF(Table__192.168.1.150_Daily_Delinquency_With_Sectors[[#This Row],[Days in Arrears]] &gt; 90, Table__192.168.1.150_Daily_Delinquency_With_Sectors[[#This Row],[Outstanding Balance]],0)</f>
        <v>0</v>
      </c>
      <c r="U399" s="109">
        <f>IF(Table__192.168.1.150_Daily_Delinquency_With_Sectors[[#This Row],[Days in Arrears]] &gt;= 1,1,0)</f>
        <v>0</v>
      </c>
      <c r="V399" s="109">
        <f>IF(Table__192.168.1.150_Daily_Delinquency_With_Sectors[[#This Row],[Days in Arrears]] &gt; 30,1,0)</f>
        <v>0</v>
      </c>
      <c r="W399" s="109">
        <f>IF(Table__192.168.1.150_Daily_Delinquency_With_Sectors[[#This Row],[Days in Arrears]] &gt; 90,1,0)</f>
        <v>0</v>
      </c>
    </row>
    <row r="400" spans="1:23" x14ac:dyDescent="0.25">
      <c r="A400" t="s">
        <v>1949</v>
      </c>
      <c r="B400" t="s">
        <v>1281</v>
      </c>
      <c r="C400">
        <v>-9</v>
      </c>
      <c r="D400" s="105">
        <v>11535815.109999999</v>
      </c>
      <c r="E400" t="s">
        <v>4684</v>
      </c>
      <c r="F400" s="105">
        <v>269169.02</v>
      </c>
      <c r="G400" s="105">
        <v>13647031.289999999</v>
      </c>
      <c r="H400" s="143">
        <v>42769.714571296296</v>
      </c>
      <c r="I400" s="143">
        <v>43315</v>
      </c>
      <c r="J400" t="s">
        <v>1950</v>
      </c>
      <c r="K400" t="s">
        <v>1951</v>
      </c>
      <c r="L400" t="s">
        <v>1280</v>
      </c>
      <c r="M400">
        <v>103078</v>
      </c>
      <c r="N400" t="s">
        <v>1947</v>
      </c>
      <c r="O400" t="s">
        <v>25</v>
      </c>
      <c r="P400" t="s">
        <v>88</v>
      </c>
      <c r="Q400" t="s">
        <v>26</v>
      </c>
      <c r="R400" s="105">
        <f>IF(Table__192.168.1.150_Daily_Delinquency_With_Sectors[[#This Row],[Days in Arrears]] &gt; 0, Table__192.168.1.150_Daily_Delinquency_With_Sectors[[#This Row],[Outstanding Balance]],0)</f>
        <v>0</v>
      </c>
      <c r="S400" s="105">
        <f>IF(Table__192.168.1.150_Daily_Delinquency_With_Sectors[[#This Row],[Days in Arrears]] &gt; 30, Table__192.168.1.150_Daily_Delinquency_With_Sectors[[#This Row],[Outstanding Balance]],0)</f>
        <v>0</v>
      </c>
      <c r="T400" s="105">
        <f>IF(Table__192.168.1.150_Daily_Delinquency_With_Sectors[[#This Row],[Days in Arrears]] &gt; 90, Table__192.168.1.150_Daily_Delinquency_With_Sectors[[#This Row],[Outstanding Balance]],0)</f>
        <v>0</v>
      </c>
      <c r="U400" s="109">
        <f>IF(Table__192.168.1.150_Daily_Delinquency_With_Sectors[[#This Row],[Days in Arrears]] &gt;= 1,1,0)</f>
        <v>0</v>
      </c>
      <c r="V400" s="109">
        <f>IF(Table__192.168.1.150_Daily_Delinquency_With_Sectors[[#This Row],[Days in Arrears]] &gt; 30,1,0)</f>
        <v>0</v>
      </c>
      <c r="W400" s="109">
        <f>IF(Table__192.168.1.150_Daily_Delinquency_With_Sectors[[#This Row],[Days in Arrears]] &gt; 90,1,0)</f>
        <v>0</v>
      </c>
    </row>
    <row r="401" spans="1:23" x14ac:dyDescent="0.25">
      <c r="A401" t="s">
        <v>4047</v>
      </c>
      <c r="B401" t="s">
        <v>1281</v>
      </c>
      <c r="C401">
        <v>-9</v>
      </c>
      <c r="D401" s="105">
        <v>4638791.34</v>
      </c>
      <c r="E401" t="s">
        <v>5167</v>
      </c>
      <c r="F401" s="105">
        <v>108238.46</v>
      </c>
      <c r="G401" s="105">
        <v>4967229.5599999996</v>
      </c>
      <c r="H401" s="143">
        <v>42769.727911192131</v>
      </c>
      <c r="I401" s="143">
        <v>43134</v>
      </c>
      <c r="J401" t="s">
        <v>4048</v>
      </c>
      <c r="K401" t="s">
        <v>1280</v>
      </c>
      <c r="L401" t="s">
        <v>1280</v>
      </c>
      <c r="M401">
        <v>103079</v>
      </c>
      <c r="N401" t="s">
        <v>4046</v>
      </c>
      <c r="O401" t="s">
        <v>29</v>
      </c>
      <c r="P401" t="s">
        <v>26</v>
      </c>
      <c r="Q401" t="s">
        <v>26</v>
      </c>
      <c r="R401" s="105">
        <f>IF(Table__192.168.1.150_Daily_Delinquency_With_Sectors[[#This Row],[Days in Arrears]] &gt; 0, Table__192.168.1.150_Daily_Delinquency_With_Sectors[[#This Row],[Outstanding Balance]],0)</f>
        <v>0</v>
      </c>
      <c r="S401" s="105">
        <f>IF(Table__192.168.1.150_Daily_Delinquency_With_Sectors[[#This Row],[Days in Arrears]] &gt; 30, Table__192.168.1.150_Daily_Delinquency_With_Sectors[[#This Row],[Outstanding Balance]],0)</f>
        <v>0</v>
      </c>
      <c r="T401" s="105">
        <f>IF(Table__192.168.1.150_Daily_Delinquency_With_Sectors[[#This Row],[Days in Arrears]] &gt; 90, Table__192.168.1.150_Daily_Delinquency_With_Sectors[[#This Row],[Outstanding Balance]],0)</f>
        <v>0</v>
      </c>
      <c r="U401" s="109">
        <f>IF(Table__192.168.1.150_Daily_Delinquency_With_Sectors[[#This Row],[Days in Arrears]] &gt;= 1,1,0)</f>
        <v>0</v>
      </c>
      <c r="V401" s="109">
        <f>IF(Table__192.168.1.150_Daily_Delinquency_With_Sectors[[#This Row],[Days in Arrears]] &gt; 30,1,0)</f>
        <v>0</v>
      </c>
      <c r="W401" s="109">
        <f>IF(Table__192.168.1.150_Daily_Delinquency_With_Sectors[[#This Row],[Days in Arrears]] &gt; 90,1,0)</f>
        <v>0</v>
      </c>
    </row>
    <row r="402" spans="1:23" x14ac:dyDescent="0.25">
      <c r="A402" t="s">
        <v>4057</v>
      </c>
      <c r="B402" t="s">
        <v>1282</v>
      </c>
      <c r="C402">
        <v>-13</v>
      </c>
      <c r="D402" s="105">
        <v>2956919.77</v>
      </c>
      <c r="E402" t="s">
        <v>2494</v>
      </c>
      <c r="F402" s="105">
        <v>63080.959999999999</v>
      </c>
      <c r="G402" s="105">
        <v>3196565.15</v>
      </c>
      <c r="H402" s="143">
        <v>42773.480308715276</v>
      </c>
      <c r="I402" s="143">
        <v>43138</v>
      </c>
      <c r="J402" t="s">
        <v>4058</v>
      </c>
      <c r="K402" t="s">
        <v>4059</v>
      </c>
      <c r="L402" t="s">
        <v>1280</v>
      </c>
      <c r="M402">
        <v>103081</v>
      </c>
      <c r="N402" t="s">
        <v>4056</v>
      </c>
      <c r="O402" t="s">
        <v>25</v>
      </c>
      <c r="P402" t="s">
        <v>286</v>
      </c>
      <c r="Q402" t="s">
        <v>26</v>
      </c>
      <c r="R402" s="105">
        <f>IF(Table__192.168.1.150_Daily_Delinquency_With_Sectors[[#This Row],[Days in Arrears]] &gt; 0, Table__192.168.1.150_Daily_Delinquency_With_Sectors[[#This Row],[Outstanding Balance]],0)</f>
        <v>0</v>
      </c>
      <c r="S402" s="105">
        <f>IF(Table__192.168.1.150_Daily_Delinquency_With_Sectors[[#This Row],[Days in Arrears]] &gt; 30, Table__192.168.1.150_Daily_Delinquency_With_Sectors[[#This Row],[Outstanding Balance]],0)</f>
        <v>0</v>
      </c>
      <c r="T402" s="105">
        <f>IF(Table__192.168.1.150_Daily_Delinquency_With_Sectors[[#This Row],[Days in Arrears]] &gt; 90, Table__192.168.1.150_Daily_Delinquency_With_Sectors[[#This Row],[Outstanding Balance]],0)</f>
        <v>0</v>
      </c>
      <c r="U402" s="109">
        <f>IF(Table__192.168.1.150_Daily_Delinquency_With_Sectors[[#This Row],[Days in Arrears]] &gt;= 1,1,0)</f>
        <v>0</v>
      </c>
      <c r="V402" s="109">
        <f>IF(Table__192.168.1.150_Daily_Delinquency_With_Sectors[[#This Row],[Days in Arrears]] &gt; 30,1,0)</f>
        <v>0</v>
      </c>
      <c r="W402" s="109">
        <f>IF(Table__192.168.1.150_Daily_Delinquency_With_Sectors[[#This Row],[Days in Arrears]] &gt; 90,1,0)</f>
        <v>0</v>
      </c>
    </row>
    <row r="403" spans="1:23" x14ac:dyDescent="0.25">
      <c r="A403" t="s">
        <v>479</v>
      </c>
      <c r="B403" t="s">
        <v>1284</v>
      </c>
      <c r="C403">
        <v>-13</v>
      </c>
      <c r="D403" s="105">
        <v>14098084.359999999</v>
      </c>
      <c r="E403" t="s">
        <v>86</v>
      </c>
      <c r="F403" s="105">
        <v>225569.35</v>
      </c>
      <c r="G403" s="105">
        <v>17714224.760000002</v>
      </c>
      <c r="H403" s="143">
        <v>42773.655355821757</v>
      </c>
      <c r="I403" s="143">
        <v>43503</v>
      </c>
      <c r="J403" t="s">
        <v>480</v>
      </c>
      <c r="K403" t="s">
        <v>1280</v>
      </c>
      <c r="L403" t="s">
        <v>1280</v>
      </c>
      <c r="M403">
        <v>103082</v>
      </c>
      <c r="N403" t="s">
        <v>478</v>
      </c>
      <c r="O403" t="s">
        <v>36</v>
      </c>
      <c r="P403" t="s">
        <v>1023</v>
      </c>
      <c r="Q403" t="s">
        <v>4042</v>
      </c>
      <c r="R403" s="105">
        <f>IF(Table__192.168.1.150_Daily_Delinquency_With_Sectors[[#This Row],[Days in Arrears]] &gt; 0, Table__192.168.1.150_Daily_Delinquency_With_Sectors[[#This Row],[Outstanding Balance]],0)</f>
        <v>0</v>
      </c>
      <c r="S403" s="105">
        <f>IF(Table__192.168.1.150_Daily_Delinquency_With_Sectors[[#This Row],[Days in Arrears]] &gt; 30, Table__192.168.1.150_Daily_Delinquency_With_Sectors[[#This Row],[Outstanding Balance]],0)</f>
        <v>0</v>
      </c>
      <c r="T403" s="105">
        <f>IF(Table__192.168.1.150_Daily_Delinquency_With_Sectors[[#This Row],[Days in Arrears]] &gt; 90, Table__192.168.1.150_Daily_Delinquency_With_Sectors[[#This Row],[Outstanding Balance]],0)</f>
        <v>0</v>
      </c>
      <c r="U403" s="109">
        <f>IF(Table__192.168.1.150_Daily_Delinquency_With_Sectors[[#This Row],[Days in Arrears]] &gt;= 1,1,0)</f>
        <v>0</v>
      </c>
      <c r="V403" s="109">
        <f>IF(Table__192.168.1.150_Daily_Delinquency_With_Sectors[[#This Row],[Days in Arrears]] &gt; 30,1,0)</f>
        <v>0</v>
      </c>
      <c r="W403" s="109">
        <f>IF(Table__192.168.1.150_Daily_Delinquency_With_Sectors[[#This Row],[Days in Arrears]] &gt; 90,1,0)</f>
        <v>0</v>
      </c>
    </row>
    <row r="404" spans="1:23" x14ac:dyDescent="0.25">
      <c r="A404" t="s">
        <v>4062</v>
      </c>
      <c r="B404" t="s">
        <v>1282</v>
      </c>
      <c r="C404">
        <v>16</v>
      </c>
      <c r="D404" s="105">
        <v>413059.12</v>
      </c>
      <c r="E404" t="s">
        <v>2855</v>
      </c>
      <c r="F404" s="105">
        <v>0</v>
      </c>
      <c r="G404" s="105">
        <v>413059.12</v>
      </c>
      <c r="H404" s="143">
        <v>42774.582986076392</v>
      </c>
      <c r="I404" s="143">
        <v>43047</v>
      </c>
      <c r="J404" t="s">
        <v>4063</v>
      </c>
      <c r="K404" t="s">
        <v>4064</v>
      </c>
      <c r="L404" t="s">
        <v>1280</v>
      </c>
      <c r="M404">
        <v>103083</v>
      </c>
      <c r="N404" t="s">
        <v>4060</v>
      </c>
      <c r="O404" t="s">
        <v>36</v>
      </c>
      <c r="P404" t="s">
        <v>97</v>
      </c>
      <c r="Q404" t="s">
        <v>98</v>
      </c>
      <c r="R404" s="105">
        <f>IF(Table__192.168.1.150_Daily_Delinquency_With_Sectors[[#This Row],[Days in Arrears]] &gt; 0, Table__192.168.1.150_Daily_Delinquency_With_Sectors[[#This Row],[Outstanding Balance]],0)</f>
        <v>413059.12</v>
      </c>
      <c r="S404" s="105">
        <f>IF(Table__192.168.1.150_Daily_Delinquency_With_Sectors[[#This Row],[Days in Arrears]] &gt; 30, Table__192.168.1.150_Daily_Delinquency_With_Sectors[[#This Row],[Outstanding Balance]],0)</f>
        <v>0</v>
      </c>
      <c r="T404" s="105">
        <f>IF(Table__192.168.1.150_Daily_Delinquency_With_Sectors[[#This Row],[Days in Arrears]] &gt; 90, Table__192.168.1.150_Daily_Delinquency_With_Sectors[[#This Row],[Outstanding Balance]],0)</f>
        <v>0</v>
      </c>
      <c r="U404" s="109">
        <f>IF(Table__192.168.1.150_Daily_Delinquency_With_Sectors[[#This Row],[Days in Arrears]] &gt;= 1,1,0)</f>
        <v>1</v>
      </c>
      <c r="V404" s="109">
        <f>IF(Table__192.168.1.150_Daily_Delinquency_With_Sectors[[#This Row],[Days in Arrears]] &gt; 30,1,0)</f>
        <v>0</v>
      </c>
      <c r="W404" s="109">
        <f>IF(Table__192.168.1.150_Daily_Delinquency_With_Sectors[[#This Row],[Days in Arrears]] &gt; 90,1,0)</f>
        <v>0</v>
      </c>
    </row>
    <row r="405" spans="1:23" x14ac:dyDescent="0.25">
      <c r="A405" t="s">
        <v>1544</v>
      </c>
      <c r="B405" t="s">
        <v>1281</v>
      </c>
      <c r="C405">
        <v>-21</v>
      </c>
      <c r="D405" s="105">
        <v>10162105.699999999</v>
      </c>
      <c r="E405" t="s">
        <v>1191</v>
      </c>
      <c r="F405" s="105">
        <v>94846.32</v>
      </c>
      <c r="G405" s="105">
        <v>12021913.77</v>
      </c>
      <c r="H405" s="143">
        <v>42775.669208182873</v>
      </c>
      <c r="I405" s="143">
        <v>43327</v>
      </c>
      <c r="J405" t="s">
        <v>1545</v>
      </c>
      <c r="K405" t="s">
        <v>1546</v>
      </c>
      <c r="L405" t="s">
        <v>1280</v>
      </c>
      <c r="M405">
        <v>103085</v>
      </c>
      <c r="N405" t="s">
        <v>1542</v>
      </c>
      <c r="O405" t="s">
        <v>25</v>
      </c>
      <c r="P405" t="s">
        <v>103</v>
      </c>
      <c r="Q405" t="s">
        <v>26</v>
      </c>
      <c r="R405" s="105">
        <f>IF(Table__192.168.1.150_Daily_Delinquency_With_Sectors[[#This Row],[Days in Arrears]] &gt; 0, Table__192.168.1.150_Daily_Delinquency_With_Sectors[[#This Row],[Outstanding Balance]],0)</f>
        <v>0</v>
      </c>
      <c r="S405" s="105">
        <f>IF(Table__192.168.1.150_Daily_Delinquency_With_Sectors[[#This Row],[Days in Arrears]] &gt; 30, Table__192.168.1.150_Daily_Delinquency_With_Sectors[[#This Row],[Outstanding Balance]],0)</f>
        <v>0</v>
      </c>
      <c r="T405" s="105">
        <f>IF(Table__192.168.1.150_Daily_Delinquency_With_Sectors[[#This Row],[Days in Arrears]] &gt; 90, Table__192.168.1.150_Daily_Delinquency_With_Sectors[[#This Row],[Outstanding Balance]],0)</f>
        <v>0</v>
      </c>
      <c r="U405" s="109">
        <f>IF(Table__192.168.1.150_Daily_Delinquency_With_Sectors[[#This Row],[Days in Arrears]] &gt;= 1,1,0)</f>
        <v>0</v>
      </c>
      <c r="V405" s="109">
        <f>IF(Table__192.168.1.150_Daily_Delinquency_With_Sectors[[#This Row],[Days in Arrears]] &gt; 30,1,0)</f>
        <v>0</v>
      </c>
      <c r="W405" s="109">
        <f>IF(Table__192.168.1.150_Daily_Delinquency_With_Sectors[[#This Row],[Days in Arrears]] &gt; 90,1,0)</f>
        <v>0</v>
      </c>
    </row>
    <row r="406" spans="1:23" x14ac:dyDescent="0.25">
      <c r="A406" t="s">
        <v>1029</v>
      </c>
      <c r="B406" t="s">
        <v>1284</v>
      </c>
      <c r="C406">
        <v>-16</v>
      </c>
      <c r="D406" s="105">
        <v>9340944.1600000001</v>
      </c>
      <c r="E406" t="s">
        <v>963</v>
      </c>
      <c r="F406" s="105">
        <v>121432.27</v>
      </c>
      <c r="G406" s="105">
        <v>10797241.390000001</v>
      </c>
      <c r="H406" s="143">
        <v>42776.647220682869</v>
      </c>
      <c r="I406" s="143">
        <v>43322</v>
      </c>
      <c r="J406" t="s">
        <v>1030</v>
      </c>
      <c r="K406" t="s">
        <v>1031</v>
      </c>
      <c r="L406" t="s">
        <v>1280</v>
      </c>
      <c r="M406">
        <v>103086</v>
      </c>
      <c r="N406" t="s">
        <v>1028</v>
      </c>
      <c r="O406" t="s">
        <v>25</v>
      </c>
      <c r="P406" t="s">
        <v>88</v>
      </c>
      <c r="Q406" t="s">
        <v>285</v>
      </c>
      <c r="R406" s="105">
        <f>IF(Table__192.168.1.150_Daily_Delinquency_With_Sectors[[#This Row],[Days in Arrears]] &gt; 0, Table__192.168.1.150_Daily_Delinquency_With_Sectors[[#This Row],[Outstanding Balance]],0)</f>
        <v>0</v>
      </c>
      <c r="S406" s="105">
        <f>IF(Table__192.168.1.150_Daily_Delinquency_With_Sectors[[#This Row],[Days in Arrears]] &gt; 30, Table__192.168.1.150_Daily_Delinquency_With_Sectors[[#This Row],[Outstanding Balance]],0)</f>
        <v>0</v>
      </c>
      <c r="T406" s="105">
        <f>IF(Table__192.168.1.150_Daily_Delinquency_With_Sectors[[#This Row],[Days in Arrears]] &gt; 90, Table__192.168.1.150_Daily_Delinquency_With_Sectors[[#This Row],[Outstanding Balance]],0)</f>
        <v>0</v>
      </c>
      <c r="U406" s="109">
        <f>IF(Table__192.168.1.150_Daily_Delinquency_With_Sectors[[#This Row],[Days in Arrears]] &gt;= 1,1,0)</f>
        <v>0</v>
      </c>
      <c r="V406" s="109">
        <f>IF(Table__192.168.1.150_Daily_Delinquency_With_Sectors[[#This Row],[Days in Arrears]] &gt; 30,1,0)</f>
        <v>0</v>
      </c>
      <c r="W406" s="109">
        <f>IF(Table__192.168.1.150_Daily_Delinquency_With_Sectors[[#This Row],[Days in Arrears]] &gt; 90,1,0)</f>
        <v>0</v>
      </c>
    </row>
    <row r="407" spans="1:23" x14ac:dyDescent="0.25">
      <c r="A407" t="s">
        <v>2126</v>
      </c>
      <c r="B407" t="s">
        <v>1283</v>
      </c>
      <c r="C407">
        <v>11</v>
      </c>
      <c r="D407" s="105">
        <v>22992719.140000001</v>
      </c>
      <c r="E407" t="s">
        <v>1447</v>
      </c>
      <c r="F407" s="105">
        <v>908301.88</v>
      </c>
      <c r="G407" s="105">
        <v>29287518.390000001</v>
      </c>
      <c r="H407" s="143">
        <v>42779.397830173613</v>
      </c>
      <c r="I407" s="143">
        <v>43509</v>
      </c>
      <c r="J407" t="s">
        <v>2127</v>
      </c>
      <c r="K407" t="s">
        <v>1280</v>
      </c>
      <c r="L407" t="s">
        <v>1280</v>
      </c>
      <c r="M407">
        <v>103088</v>
      </c>
      <c r="N407" t="s">
        <v>2124</v>
      </c>
      <c r="O407" t="s">
        <v>35</v>
      </c>
      <c r="P407" t="s">
        <v>121</v>
      </c>
      <c r="Q407" t="s">
        <v>26</v>
      </c>
      <c r="R407" s="105">
        <f>IF(Table__192.168.1.150_Daily_Delinquency_With_Sectors[[#This Row],[Days in Arrears]] &gt; 0, Table__192.168.1.150_Daily_Delinquency_With_Sectors[[#This Row],[Outstanding Balance]],0)</f>
        <v>22992719.140000001</v>
      </c>
      <c r="S407" s="105">
        <f>IF(Table__192.168.1.150_Daily_Delinquency_With_Sectors[[#This Row],[Days in Arrears]] &gt; 30, Table__192.168.1.150_Daily_Delinquency_With_Sectors[[#This Row],[Outstanding Balance]],0)</f>
        <v>0</v>
      </c>
      <c r="T407" s="105">
        <f>IF(Table__192.168.1.150_Daily_Delinquency_With_Sectors[[#This Row],[Days in Arrears]] &gt; 90, Table__192.168.1.150_Daily_Delinquency_With_Sectors[[#This Row],[Outstanding Balance]],0)</f>
        <v>0</v>
      </c>
      <c r="U407" s="109">
        <f>IF(Table__192.168.1.150_Daily_Delinquency_With_Sectors[[#This Row],[Days in Arrears]] &gt;= 1,1,0)</f>
        <v>1</v>
      </c>
      <c r="V407" s="109">
        <f>IF(Table__192.168.1.150_Daily_Delinquency_With_Sectors[[#This Row],[Days in Arrears]] &gt; 30,1,0)</f>
        <v>0</v>
      </c>
      <c r="W407" s="109">
        <f>IF(Table__192.168.1.150_Daily_Delinquency_With_Sectors[[#This Row],[Days in Arrears]] &gt; 90,1,0)</f>
        <v>0</v>
      </c>
    </row>
    <row r="408" spans="1:23" x14ac:dyDescent="0.25">
      <c r="A408" t="s">
        <v>4105</v>
      </c>
      <c r="B408" t="s">
        <v>1282</v>
      </c>
      <c r="C408">
        <v>-20</v>
      </c>
      <c r="D408" s="105">
        <v>2110279.12</v>
      </c>
      <c r="E408" t="s">
        <v>5167</v>
      </c>
      <c r="F408" s="105">
        <v>28488.77</v>
      </c>
      <c r="G408" s="105">
        <v>2302989.98</v>
      </c>
      <c r="H408" s="143">
        <v>42780.510733530093</v>
      </c>
      <c r="I408" s="143">
        <v>43145</v>
      </c>
      <c r="J408" t="s">
        <v>4106</v>
      </c>
      <c r="K408" t="s">
        <v>4107</v>
      </c>
      <c r="L408" t="s">
        <v>1280</v>
      </c>
      <c r="M408">
        <v>103089</v>
      </c>
      <c r="N408" t="s">
        <v>4104</v>
      </c>
      <c r="O408" t="s">
        <v>44</v>
      </c>
      <c r="P408" t="s">
        <v>75</v>
      </c>
      <c r="Q408" t="s">
        <v>26</v>
      </c>
      <c r="R408" s="105">
        <f>IF(Table__192.168.1.150_Daily_Delinquency_With_Sectors[[#This Row],[Days in Arrears]] &gt; 0, Table__192.168.1.150_Daily_Delinquency_With_Sectors[[#This Row],[Outstanding Balance]],0)</f>
        <v>0</v>
      </c>
      <c r="S408" s="105">
        <f>IF(Table__192.168.1.150_Daily_Delinquency_With_Sectors[[#This Row],[Days in Arrears]] &gt; 30, Table__192.168.1.150_Daily_Delinquency_With_Sectors[[#This Row],[Outstanding Balance]],0)</f>
        <v>0</v>
      </c>
      <c r="T408" s="105">
        <f>IF(Table__192.168.1.150_Daily_Delinquency_With_Sectors[[#This Row],[Days in Arrears]] &gt; 90, Table__192.168.1.150_Daily_Delinquency_With_Sectors[[#This Row],[Outstanding Balance]],0)</f>
        <v>0</v>
      </c>
      <c r="U408" s="109">
        <f>IF(Table__192.168.1.150_Daily_Delinquency_With_Sectors[[#This Row],[Days in Arrears]] &gt;= 1,1,0)</f>
        <v>0</v>
      </c>
      <c r="V408" s="109">
        <f>IF(Table__192.168.1.150_Daily_Delinquency_With_Sectors[[#This Row],[Days in Arrears]] &gt; 30,1,0)</f>
        <v>0</v>
      </c>
      <c r="W408" s="109">
        <f>IF(Table__192.168.1.150_Daily_Delinquency_With_Sectors[[#This Row],[Days in Arrears]] &gt; 90,1,0)</f>
        <v>0</v>
      </c>
    </row>
    <row r="409" spans="1:23" x14ac:dyDescent="0.25">
      <c r="A409" t="s">
        <v>842</v>
      </c>
      <c r="B409" t="s">
        <v>1283</v>
      </c>
      <c r="C409">
        <v>10</v>
      </c>
      <c r="D409" s="105">
        <v>37944964.439999998</v>
      </c>
      <c r="E409" t="s">
        <v>86</v>
      </c>
      <c r="F409" s="105">
        <v>1457987.22</v>
      </c>
      <c r="G409" s="105">
        <v>46383320.100000001</v>
      </c>
      <c r="H409" s="143">
        <v>42780.685994212959</v>
      </c>
      <c r="I409" s="143">
        <v>43418</v>
      </c>
      <c r="J409" t="s">
        <v>843</v>
      </c>
      <c r="K409" t="s">
        <v>1280</v>
      </c>
      <c r="L409" t="s">
        <v>1280</v>
      </c>
      <c r="M409">
        <v>103091</v>
      </c>
      <c r="N409" t="s">
        <v>841</v>
      </c>
      <c r="O409" t="s">
        <v>25</v>
      </c>
      <c r="P409" t="s">
        <v>26</v>
      </c>
      <c r="Q409" t="s">
        <v>26</v>
      </c>
      <c r="R409" s="105">
        <f>IF(Table__192.168.1.150_Daily_Delinquency_With_Sectors[[#This Row],[Days in Arrears]] &gt; 0, Table__192.168.1.150_Daily_Delinquency_With_Sectors[[#This Row],[Outstanding Balance]],0)</f>
        <v>37944964.439999998</v>
      </c>
      <c r="S409" s="105">
        <f>IF(Table__192.168.1.150_Daily_Delinquency_With_Sectors[[#This Row],[Days in Arrears]] &gt; 30, Table__192.168.1.150_Daily_Delinquency_With_Sectors[[#This Row],[Outstanding Balance]],0)</f>
        <v>0</v>
      </c>
      <c r="T409" s="105">
        <f>IF(Table__192.168.1.150_Daily_Delinquency_With_Sectors[[#This Row],[Days in Arrears]] &gt; 90, Table__192.168.1.150_Daily_Delinquency_With_Sectors[[#This Row],[Outstanding Balance]],0)</f>
        <v>0</v>
      </c>
      <c r="U409" s="109">
        <f>IF(Table__192.168.1.150_Daily_Delinquency_With_Sectors[[#This Row],[Days in Arrears]] &gt;= 1,1,0)</f>
        <v>1</v>
      </c>
      <c r="V409" s="109">
        <f>IF(Table__192.168.1.150_Daily_Delinquency_With_Sectors[[#This Row],[Days in Arrears]] &gt; 30,1,0)</f>
        <v>0</v>
      </c>
      <c r="W409" s="109">
        <f>IF(Table__192.168.1.150_Daily_Delinquency_With_Sectors[[#This Row],[Days in Arrears]] &gt; 90,1,0)</f>
        <v>0</v>
      </c>
    </row>
    <row r="410" spans="1:23" x14ac:dyDescent="0.25">
      <c r="A410" t="s">
        <v>1538</v>
      </c>
      <c r="B410" t="s">
        <v>1283</v>
      </c>
      <c r="C410">
        <v>-20</v>
      </c>
      <c r="D410" s="105">
        <v>22644713</v>
      </c>
      <c r="E410" t="s">
        <v>90</v>
      </c>
      <c r="F410" s="105">
        <v>203802.42</v>
      </c>
      <c r="G410" s="105">
        <v>26175130.48</v>
      </c>
      <c r="H410" s="143">
        <v>42780.734529895832</v>
      </c>
      <c r="I410" s="143">
        <v>43326</v>
      </c>
      <c r="J410" t="s">
        <v>1539</v>
      </c>
      <c r="K410" t="s">
        <v>1280</v>
      </c>
      <c r="L410" t="s">
        <v>1280</v>
      </c>
      <c r="M410">
        <v>103092</v>
      </c>
      <c r="N410" t="s">
        <v>1529</v>
      </c>
      <c r="O410" t="s">
        <v>25</v>
      </c>
      <c r="P410" t="s">
        <v>88</v>
      </c>
      <c r="Q410" t="s">
        <v>26</v>
      </c>
      <c r="R410" s="105">
        <f>IF(Table__192.168.1.150_Daily_Delinquency_With_Sectors[[#This Row],[Days in Arrears]] &gt; 0, Table__192.168.1.150_Daily_Delinquency_With_Sectors[[#This Row],[Outstanding Balance]],0)</f>
        <v>0</v>
      </c>
      <c r="S410" s="105">
        <f>IF(Table__192.168.1.150_Daily_Delinquency_With_Sectors[[#This Row],[Days in Arrears]] &gt; 30, Table__192.168.1.150_Daily_Delinquency_With_Sectors[[#This Row],[Outstanding Balance]],0)</f>
        <v>0</v>
      </c>
      <c r="T410" s="105">
        <f>IF(Table__192.168.1.150_Daily_Delinquency_With_Sectors[[#This Row],[Days in Arrears]] &gt; 90, Table__192.168.1.150_Daily_Delinquency_With_Sectors[[#This Row],[Outstanding Balance]],0)</f>
        <v>0</v>
      </c>
      <c r="U410" s="109">
        <f>IF(Table__192.168.1.150_Daily_Delinquency_With_Sectors[[#This Row],[Days in Arrears]] &gt;= 1,1,0)</f>
        <v>0</v>
      </c>
      <c r="V410" s="109">
        <f>IF(Table__192.168.1.150_Daily_Delinquency_With_Sectors[[#This Row],[Days in Arrears]] &gt; 30,1,0)</f>
        <v>0</v>
      </c>
      <c r="W410" s="109">
        <f>IF(Table__192.168.1.150_Daily_Delinquency_With_Sectors[[#This Row],[Days in Arrears]] &gt; 90,1,0)</f>
        <v>0</v>
      </c>
    </row>
    <row r="411" spans="1:23" x14ac:dyDescent="0.25">
      <c r="A411" t="s">
        <v>175</v>
      </c>
      <c r="B411" t="s">
        <v>1279</v>
      </c>
      <c r="C411">
        <v>9</v>
      </c>
      <c r="D411" s="105">
        <v>1049643.77</v>
      </c>
      <c r="E411" t="s">
        <v>90</v>
      </c>
      <c r="F411" s="105">
        <v>9462.14</v>
      </c>
      <c r="G411" s="105">
        <v>1121537.3899999999</v>
      </c>
      <c r="H411" s="143">
        <v>42781.736808333335</v>
      </c>
      <c r="I411" s="143">
        <v>43146</v>
      </c>
      <c r="J411" t="s">
        <v>176</v>
      </c>
      <c r="K411" t="s">
        <v>1280</v>
      </c>
      <c r="L411" t="s">
        <v>1280</v>
      </c>
      <c r="M411">
        <v>103093</v>
      </c>
      <c r="N411" t="s">
        <v>174</v>
      </c>
      <c r="O411" t="s">
        <v>25</v>
      </c>
      <c r="P411" t="s">
        <v>88</v>
      </c>
      <c r="Q411" t="s">
        <v>285</v>
      </c>
      <c r="R411" s="105">
        <f>IF(Table__192.168.1.150_Daily_Delinquency_With_Sectors[[#This Row],[Days in Arrears]] &gt; 0, Table__192.168.1.150_Daily_Delinquency_With_Sectors[[#This Row],[Outstanding Balance]],0)</f>
        <v>1049643.77</v>
      </c>
      <c r="S411" s="105">
        <f>IF(Table__192.168.1.150_Daily_Delinquency_With_Sectors[[#This Row],[Days in Arrears]] &gt; 30, Table__192.168.1.150_Daily_Delinquency_With_Sectors[[#This Row],[Outstanding Balance]],0)</f>
        <v>0</v>
      </c>
      <c r="T411" s="105">
        <f>IF(Table__192.168.1.150_Daily_Delinquency_With_Sectors[[#This Row],[Days in Arrears]] &gt; 90, Table__192.168.1.150_Daily_Delinquency_With_Sectors[[#This Row],[Outstanding Balance]],0)</f>
        <v>0</v>
      </c>
      <c r="U411" s="109">
        <f>IF(Table__192.168.1.150_Daily_Delinquency_With_Sectors[[#This Row],[Days in Arrears]] &gt;= 1,1,0)</f>
        <v>1</v>
      </c>
      <c r="V411" s="109">
        <f>IF(Table__192.168.1.150_Daily_Delinquency_With_Sectors[[#This Row],[Days in Arrears]] &gt; 30,1,0)</f>
        <v>0</v>
      </c>
      <c r="W411" s="109">
        <f>IF(Table__192.168.1.150_Daily_Delinquency_With_Sectors[[#This Row],[Days in Arrears]] &gt; 90,1,0)</f>
        <v>0</v>
      </c>
    </row>
    <row r="412" spans="1:23" x14ac:dyDescent="0.25">
      <c r="A412" t="s">
        <v>4112</v>
      </c>
      <c r="B412" t="s">
        <v>1283</v>
      </c>
      <c r="C412">
        <v>-21</v>
      </c>
      <c r="D412" s="105">
        <v>9945886.8599999994</v>
      </c>
      <c r="E412" t="s">
        <v>468</v>
      </c>
      <c r="F412" s="105">
        <v>79567.09</v>
      </c>
      <c r="G412" s="105">
        <v>10548518.99</v>
      </c>
      <c r="H412" s="143">
        <v>42781.798640624998</v>
      </c>
      <c r="I412" s="143">
        <v>43146</v>
      </c>
      <c r="J412" t="s">
        <v>4113</v>
      </c>
      <c r="K412" t="s">
        <v>4114</v>
      </c>
      <c r="L412" t="s">
        <v>1280</v>
      </c>
      <c r="M412">
        <v>103094</v>
      </c>
      <c r="N412" t="s">
        <v>4110</v>
      </c>
      <c r="O412" t="s">
        <v>44</v>
      </c>
      <c r="P412" t="s">
        <v>75</v>
      </c>
      <c r="Q412" t="s">
        <v>1442</v>
      </c>
      <c r="R412" s="105">
        <f>IF(Table__192.168.1.150_Daily_Delinquency_With_Sectors[[#This Row],[Days in Arrears]] &gt; 0, Table__192.168.1.150_Daily_Delinquency_With_Sectors[[#This Row],[Outstanding Balance]],0)</f>
        <v>0</v>
      </c>
      <c r="S412" s="105">
        <f>IF(Table__192.168.1.150_Daily_Delinquency_With_Sectors[[#This Row],[Days in Arrears]] &gt; 30, Table__192.168.1.150_Daily_Delinquency_With_Sectors[[#This Row],[Outstanding Balance]],0)</f>
        <v>0</v>
      </c>
      <c r="T412" s="105">
        <f>IF(Table__192.168.1.150_Daily_Delinquency_With_Sectors[[#This Row],[Days in Arrears]] &gt; 90, Table__192.168.1.150_Daily_Delinquency_With_Sectors[[#This Row],[Outstanding Balance]],0)</f>
        <v>0</v>
      </c>
      <c r="U412" s="109">
        <f>IF(Table__192.168.1.150_Daily_Delinquency_With_Sectors[[#This Row],[Days in Arrears]] &gt;= 1,1,0)</f>
        <v>0</v>
      </c>
      <c r="V412" s="109">
        <f>IF(Table__192.168.1.150_Daily_Delinquency_With_Sectors[[#This Row],[Days in Arrears]] &gt; 30,1,0)</f>
        <v>0</v>
      </c>
      <c r="W412" s="109">
        <f>IF(Table__192.168.1.150_Daily_Delinquency_With_Sectors[[#This Row],[Days in Arrears]] &gt; 90,1,0)</f>
        <v>0</v>
      </c>
    </row>
    <row r="413" spans="1:23" x14ac:dyDescent="0.25">
      <c r="A413" t="s">
        <v>417</v>
      </c>
      <c r="B413" t="s">
        <v>1283</v>
      </c>
      <c r="C413">
        <v>-23</v>
      </c>
      <c r="D413" s="105">
        <v>35390840.109999999</v>
      </c>
      <c r="E413" t="s">
        <v>1925</v>
      </c>
      <c r="F413" s="105">
        <v>212345.04</v>
      </c>
      <c r="G413" s="105">
        <v>48213200.039999999</v>
      </c>
      <c r="H413" s="143">
        <v>42783.688062303241</v>
      </c>
      <c r="I413" s="143">
        <v>43694</v>
      </c>
      <c r="J413" t="s">
        <v>418</v>
      </c>
      <c r="K413" t="s">
        <v>419</v>
      </c>
      <c r="L413" t="s">
        <v>1280</v>
      </c>
      <c r="M413">
        <v>103095</v>
      </c>
      <c r="N413" t="s">
        <v>415</v>
      </c>
      <c r="O413" t="s">
        <v>35</v>
      </c>
      <c r="P413" t="s">
        <v>26</v>
      </c>
      <c r="Q413" t="s">
        <v>26</v>
      </c>
      <c r="R413" s="105">
        <f>IF(Table__192.168.1.150_Daily_Delinquency_With_Sectors[[#This Row],[Days in Arrears]] &gt; 0, Table__192.168.1.150_Daily_Delinquency_With_Sectors[[#This Row],[Outstanding Balance]],0)</f>
        <v>0</v>
      </c>
      <c r="S413" s="105">
        <f>IF(Table__192.168.1.150_Daily_Delinquency_With_Sectors[[#This Row],[Days in Arrears]] &gt; 30, Table__192.168.1.150_Daily_Delinquency_With_Sectors[[#This Row],[Outstanding Balance]],0)</f>
        <v>0</v>
      </c>
      <c r="T413" s="105">
        <f>IF(Table__192.168.1.150_Daily_Delinquency_With_Sectors[[#This Row],[Days in Arrears]] &gt; 90, Table__192.168.1.150_Daily_Delinquency_With_Sectors[[#This Row],[Outstanding Balance]],0)</f>
        <v>0</v>
      </c>
      <c r="U413" s="109">
        <f>IF(Table__192.168.1.150_Daily_Delinquency_With_Sectors[[#This Row],[Days in Arrears]] &gt;= 1,1,0)</f>
        <v>0</v>
      </c>
      <c r="V413" s="109">
        <f>IF(Table__192.168.1.150_Daily_Delinquency_With_Sectors[[#This Row],[Days in Arrears]] &gt; 30,1,0)</f>
        <v>0</v>
      </c>
      <c r="W413" s="109">
        <f>IF(Table__192.168.1.150_Daily_Delinquency_With_Sectors[[#This Row],[Days in Arrears]] &gt; 90,1,0)</f>
        <v>0</v>
      </c>
    </row>
    <row r="414" spans="1:23" x14ac:dyDescent="0.25">
      <c r="A414" t="s">
        <v>231</v>
      </c>
      <c r="B414" t="s">
        <v>1283</v>
      </c>
      <c r="C414">
        <v>-26</v>
      </c>
      <c r="D414" s="105">
        <v>38769731.990000002</v>
      </c>
      <c r="E414" t="s">
        <v>86</v>
      </c>
      <c r="F414" s="105">
        <v>116309.2</v>
      </c>
      <c r="G414" s="105">
        <v>48714118.109999999</v>
      </c>
      <c r="H414" s="143">
        <v>42786.551654629628</v>
      </c>
      <c r="I414" s="143">
        <v>43516</v>
      </c>
      <c r="J414" t="s">
        <v>232</v>
      </c>
      <c r="K414" t="s">
        <v>1280</v>
      </c>
      <c r="L414" t="s">
        <v>1280</v>
      </c>
      <c r="M414">
        <v>103096</v>
      </c>
      <c r="N414" t="s">
        <v>230</v>
      </c>
      <c r="O414" t="s">
        <v>35</v>
      </c>
      <c r="P414" t="s">
        <v>121</v>
      </c>
      <c r="Q414" t="s">
        <v>26</v>
      </c>
      <c r="R414" s="105">
        <f>IF(Table__192.168.1.150_Daily_Delinquency_With_Sectors[[#This Row],[Days in Arrears]] &gt; 0, Table__192.168.1.150_Daily_Delinquency_With_Sectors[[#This Row],[Outstanding Balance]],0)</f>
        <v>0</v>
      </c>
      <c r="S414" s="105">
        <f>IF(Table__192.168.1.150_Daily_Delinquency_With_Sectors[[#This Row],[Days in Arrears]] &gt; 30, Table__192.168.1.150_Daily_Delinquency_With_Sectors[[#This Row],[Outstanding Balance]],0)</f>
        <v>0</v>
      </c>
      <c r="T414" s="105">
        <f>IF(Table__192.168.1.150_Daily_Delinquency_With_Sectors[[#This Row],[Days in Arrears]] &gt; 90, Table__192.168.1.150_Daily_Delinquency_With_Sectors[[#This Row],[Outstanding Balance]],0)</f>
        <v>0</v>
      </c>
      <c r="U414" s="109">
        <f>IF(Table__192.168.1.150_Daily_Delinquency_With_Sectors[[#This Row],[Days in Arrears]] &gt;= 1,1,0)</f>
        <v>0</v>
      </c>
      <c r="V414" s="109">
        <f>IF(Table__192.168.1.150_Daily_Delinquency_With_Sectors[[#This Row],[Days in Arrears]] &gt; 30,1,0)</f>
        <v>0</v>
      </c>
      <c r="W414" s="109">
        <f>IF(Table__192.168.1.150_Daily_Delinquency_With_Sectors[[#This Row],[Days in Arrears]] &gt; 90,1,0)</f>
        <v>0</v>
      </c>
    </row>
    <row r="415" spans="1:23" x14ac:dyDescent="0.25">
      <c r="A415" t="s">
        <v>4131</v>
      </c>
      <c r="B415" t="s">
        <v>1283</v>
      </c>
      <c r="C415">
        <v>4</v>
      </c>
      <c r="D415" s="105">
        <v>41214800.259999998</v>
      </c>
      <c r="E415" t="s">
        <v>4684</v>
      </c>
      <c r="F415" s="105">
        <v>1371613.9</v>
      </c>
      <c r="G415" s="105">
        <v>53845207.32</v>
      </c>
      <c r="H415" s="143">
        <v>42786.513189849538</v>
      </c>
      <c r="I415" s="143">
        <v>43516</v>
      </c>
      <c r="J415" t="s">
        <v>4132</v>
      </c>
      <c r="K415" t="s">
        <v>4133</v>
      </c>
      <c r="L415" t="s">
        <v>1280</v>
      </c>
      <c r="M415">
        <v>103097</v>
      </c>
      <c r="N415" t="s">
        <v>4128</v>
      </c>
      <c r="O415" t="s">
        <v>44</v>
      </c>
      <c r="P415" t="s">
        <v>75</v>
      </c>
      <c r="Q415" t="s">
        <v>26</v>
      </c>
      <c r="R415" s="105">
        <f>IF(Table__192.168.1.150_Daily_Delinquency_With_Sectors[[#This Row],[Days in Arrears]] &gt; 0, Table__192.168.1.150_Daily_Delinquency_With_Sectors[[#This Row],[Outstanding Balance]],0)</f>
        <v>41214800.259999998</v>
      </c>
      <c r="S415" s="105">
        <f>IF(Table__192.168.1.150_Daily_Delinquency_With_Sectors[[#This Row],[Days in Arrears]] &gt; 30, Table__192.168.1.150_Daily_Delinquency_With_Sectors[[#This Row],[Outstanding Balance]],0)</f>
        <v>0</v>
      </c>
      <c r="T415" s="105">
        <f>IF(Table__192.168.1.150_Daily_Delinquency_With_Sectors[[#This Row],[Days in Arrears]] &gt; 90, Table__192.168.1.150_Daily_Delinquency_With_Sectors[[#This Row],[Outstanding Balance]],0)</f>
        <v>0</v>
      </c>
      <c r="U415" s="109">
        <f>IF(Table__192.168.1.150_Daily_Delinquency_With_Sectors[[#This Row],[Days in Arrears]] &gt;= 1,1,0)</f>
        <v>1</v>
      </c>
      <c r="V415" s="109">
        <f>IF(Table__192.168.1.150_Daily_Delinquency_With_Sectors[[#This Row],[Days in Arrears]] &gt; 30,1,0)</f>
        <v>0</v>
      </c>
      <c r="W415" s="109">
        <f>IF(Table__192.168.1.150_Daily_Delinquency_With_Sectors[[#This Row],[Days in Arrears]] &gt; 90,1,0)</f>
        <v>0</v>
      </c>
    </row>
    <row r="416" spans="1:23" x14ac:dyDescent="0.25">
      <c r="A416" t="s">
        <v>1117</v>
      </c>
      <c r="B416" t="s">
        <v>1282</v>
      </c>
      <c r="C416">
        <v>4</v>
      </c>
      <c r="D416" s="105">
        <v>8876699.7300000004</v>
      </c>
      <c r="E416" t="s">
        <v>1447</v>
      </c>
      <c r="F416" s="105">
        <v>35240.5</v>
      </c>
      <c r="G416" s="105">
        <v>10730675.199999999</v>
      </c>
      <c r="H416" s="143">
        <v>42786.562125231481</v>
      </c>
      <c r="I416" s="143">
        <v>43332</v>
      </c>
      <c r="J416" t="s">
        <v>1118</v>
      </c>
      <c r="K416" t="s">
        <v>1280</v>
      </c>
      <c r="L416" t="s">
        <v>1280</v>
      </c>
      <c r="M416">
        <v>103098</v>
      </c>
      <c r="N416" t="s">
        <v>1116</v>
      </c>
      <c r="O416" t="s">
        <v>46</v>
      </c>
      <c r="P416" t="s">
        <v>46</v>
      </c>
      <c r="Q416" t="s">
        <v>26</v>
      </c>
      <c r="R416" s="105">
        <f>IF(Table__192.168.1.150_Daily_Delinquency_With_Sectors[[#This Row],[Days in Arrears]] &gt; 0, Table__192.168.1.150_Daily_Delinquency_With_Sectors[[#This Row],[Outstanding Balance]],0)</f>
        <v>8876699.7300000004</v>
      </c>
      <c r="S416" s="105">
        <f>IF(Table__192.168.1.150_Daily_Delinquency_With_Sectors[[#This Row],[Days in Arrears]] &gt; 30, Table__192.168.1.150_Daily_Delinquency_With_Sectors[[#This Row],[Outstanding Balance]],0)</f>
        <v>0</v>
      </c>
      <c r="T416" s="105">
        <f>IF(Table__192.168.1.150_Daily_Delinquency_With_Sectors[[#This Row],[Days in Arrears]] &gt; 90, Table__192.168.1.150_Daily_Delinquency_With_Sectors[[#This Row],[Outstanding Balance]],0)</f>
        <v>0</v>
      </c>
      <c r="U416" s="109">
        <f>IF(Table__192.168.1.150_Daily_Delinquency_With_Sectors[[#This Row],[Days in Arrears]] &gt;= 1,1,0)</f>
        <v>1</v>
      </c>
      <c r="V416" s="109">
        <f>IF(Table__192.168.1.150_Daily_Delinquency_With_Sectors[[#This Row],[Days in Arrears]] &gt; 30,1,0)</f>
        <v>0</v>
      </c>
      <c r="W416" s="109">
        <f>IF(Table__192.168.1.150_Daily_Delinquency_With_Sectors[[#This Row],[Days in Arrears]] &gt; 90,1,0)</f>
        <v>0</v>
      </c>
    </row>
    <row r="417" spans="1:23" x14ac:dyDescent="0.25">
      <c r="A417" t="s">
        <v>4353</v>
      </c>
      <c r="B417" t="s">
        <v>1283</v>
      </c>
      <c r="C417">
        <v>53</v>
      </c>
      <c r="D417" s="105">
        <v>47114080.979999997</v>
      </c>
      <c r="E417" t="s">
        <v>1039</v>
      </c>
      <c r="F417" s="105">
        <v>1678741.75</v>
      </c>
      <c r="G417" s="105">
        <v>62954148.380000003</v>
      </c>
      <c r="H417" s="143">
        <v>42819.574463344907</v>
      </c>
      <c r="I417" s="143">
        <v>43556</v>
      </c>
      <c r="J417" t="s">
        <v>4354</v>
      </c>
      <c r="K417" t="s">
        <v>4355</v>
      </c>
      <c r="L417" t="s">
        <v>1280</v>
      </c>
      <c r="M417">
        <v>103099</v>
      </c>
      <c r="N417" t="s">
        <v>4352</v>
      </c>
      <c r="O417" t="s">
        <v>25</v>
      </c>
      <c r="P417" t="s">
        <v>88</v>
      </c>
      <c r="Q417" t="s">
        <v>285</v>
      </c>
      <c r="R417" s="105">
        <f>IF(Table__192.168.1.150_Daily_Delinquency_With_Sectors[[#This Row],[Days in Arrears]] &gt; 0, Table__192.168.1.150_Daily_Delinquency_With_Sectors[[#This Row],[Outstanding Balance]],0)</f>
        <v>47114080.979999997</v>
      </c>
      <c r="S417" s="105">
        <f>IF(Table__192.168.1.150_Daily_Delinquency_With_Sectors[[#This Row],[Days in Arrears]] &gt; 30, Table__192.168.1.150_Daily_Delinquency_With_Sectors[[#This Row],[Outstanding Balance]],0)</f>
        <v>47114080.979999997</v>
      </c>
      <c r="T417" s="105">
        <f>IF(Table__192.168.1.150_Daily_Delinquency_With_Sectors[[#This Row],[Days in Arrears]] &gt; 90, Table__192.168.1.150_Daily_Delinquency_With_Sectors[[#This Row],[Outstanding Balance]],0)</f>
        <v>0</v>
      </c>
      <c r="U417" s="109">
        <f>IF(Table__192.168.1.150_Daily_Delinquency_With_Sectors[[#This Row],[Days in Arrears]] &gt;= 1,1,0)</f>
        <v>1</v>
      </c>
      <c r="V417" s="109">
        <f>IF(Table__192.168.1.150_Daily_Delinquency_With_Sectors[[#This Row],[Days in Arrears]] &gt; 30,1,0)</f>
        <v>1</v>
      </c>
      <c r="W417" s="109">
        <f>IF(Table__192.168.1.150_Daily_Delinquency_With_Sectors[[#This Row],[Days in Arrears]] &gt; 90,1,0)</f>
        <v>0</v>
      </c>
    </row>
    <row r="418" spans="1:23" x14ac:dyDescent="0.25">
      <c r="A418" t="s">
        <v>2332</v>
      </c>
      <c r="B418" t="s">
        <v>1283</v>
      </c>
      <c r="C418">
        <v>34</v>
      </c>
      <c r="D418" s="105">
        <v>15219031</v>
      </c>
      <c r="E418" t="s">
        <v>86</v>
      </c>
      <c r="F418" s="105">
        <v>444542.57</v>
      </c>
      <c r="G418" s="105">
        <v>16355866.380000001</v>
      </c>
      <c r="H418" s="143">
        <v>42786.588575462963</v>
      </c>
      <c r="I418" s="143">
        <v>43151</v>
      </c>
      <c r="J418" t="s">
        <v>2333</v>
      </c>
      <c r="K418" t="s">
        <v>2334</v>
      </c>
      <c r="L418" t="s">
        <v>1280</v>
      </c>
      <c r="M418">
        <v>103100</v>
      </c>
      <c r="N418" t="s">
        <v>1024</v>
      </c>
      <c r="O418" t="s">
        <v>37</v>
      </c>
      <c r="P418" t="s">
        <v>26</v>
      </c>
      <c r="Q418" t="s">
        <v>26</v>
      </c>
      <c r="R418" s="105">
        <f>IF(Table__192.168.1.150_Daily_Delinquency_With_Sectors[[#This Row],[Days in Arrears]] &gt; 0, Table__192.168.1.150_Daily_Delinquency_With_Sectors[[#This Row],[Outstanding Balance]],0)</f>
        <v>15219031</v>
      </c>
      <c r="S418" s="105">
        <f>IF(Table__192.168.1.150_Daily_Delinquency_With_Sectors[[#This Row],[Days in Arrears]] &gt; 30, Table__192.168.1.150_Daily_Delinquency_With_Sectors[[#This Row],[Outstanding Balance]],0)</f>
        <v>15219031</v>
      </c>
      <c r="T418" s="105">
        <f>IF(Table__192.168.1.150_Daily_Delinquency_With_Sectors[[#This Row],[Days in Arrears]] &gt; 90, Table__192.168.1.150_Daily_Delinquency_With_Sectors[[#This Row],[Outstanding Balance]],0)</f>
        <v>0</v>
      </c>
      <c r="U418" s="109">
        <f>IF(Table__192.168.1.150_Daily_Delinquency_With_Sectors[[#This Row],[Days in Arrears]] &gt;= 1,1,0)</f>
        <v>1</v>
      </c>
      <c r="V418" s="109">
        <f>IF(Table__192.168.1.150_Daily_Delinquency_With_Sectors[[#This Row],[Days in Arrears]] &gt; 30,1,0)</f>
        <v>1</v>
      </c>
      <c r="W418" s="109">
        <f>IF(Table__192.168.1.150_Daily_Delinquency_With_Sectors[[#This Row],[Days in Arrears]] &gt; 90,1,0)</f>
        <v>0</v>
      </c>
    </row>
    <row r="419" spans="1:23" x14ac:dyDescent="0.25">
      <c r="A419" t="s">
        <v>4134</v>
      </c>
      <c r="B419" t="s">
        <v>1282</v>
      </c>
      <c r="C419">
        <v>64</v>
      </c>
      <c r="D419" s="105">
        <v>851743.54</v>
      </c>
      <c r="E419" t="s">
        <v>4684</v>
      </c>
      <c r="F419" s="105">
        <v>57914.400000000001</v>
      </c>
      <c r="G419" s="105">
        <v>909657.94</v>
      </c>
      <c r="H419" s="143">
        <v>42786.700476157406</v>
      </c>
      <c r="I419" s="143">
        <v>43028</v>
      </c>
      <c r="J419" t="s">
        <v>4135</v>
      </c>
      <c r="K419" t="s">
        <v>4136</v>
      </c>
      <c r="L419" t="s">
        <v>1280</v>
      </c>
      <c r="M419">
        <v>103101</v>
      </c>
      <c r="N419" t="s">
        <v>4122</v>
      </c>
      <c r="O419" t="s">
        <v>25</v>
      </c>
      <c r="P419" t="s">
        <v>94</v>
      </c>
      <c r="Q419" t="s">
        <v>26</v>
      </c>
      <c r="R419" s="105">
        <f>IF(Table__192.168.1.150_Daily_Delinquency_With_Sectors[[#This Row],[Days in Arrears]] &gt; 0, Table__192.168.1.150_Daily_Delinquency_With_Sectors[[#This Row],[Outstanding Balance]],0)</f>
        <v>851743.54</v>
      </c>
      <c r="S419" s="105">
        <f>IF(Table__192.168.1.150_Daily_Delinquency_With_Sectors[[#This Row],[Days in Arrears]] &gt; 30, Table__192.168.1.150_Daily_Delinquency_With_Sectors[[#This Row],[Outstanding Balance]],0)</f>
        <v>851743.54</v>
      </c>
      <c r="T419" s="105">
        <f>IF(Table__192.168.1.150_Daily_Delinquency_With_Sectors[[#This Row],[Days in Arrears]] &gt; 90, Table__192.168.1.150_Daily_Delinquency_With_Sectors[[#This Row],[Outstanding Balance]],0)</f>
        <v>0</v>
      </c>
      <c r="U419" s="109">
        <f>IF(Table__192.168.1.150_Daily_Delinquency_With_Sectors[[#This Row],[Days in Arrears]] &gt;= 1,1,0)</f>
        <v>1</v>
      </c>
      <c r="V419" s="109">
        <f>IF(Table__192.168.1.150_Daily_Delinquency_With_Sectors[[#This Row],[Days in Arrears]] &gt; 30,1,0)</f>
        <v>1</v>
      </c>
      <c r="W419" s="109">
        <f>IF(Table__192.168.1.150_Daily_Delinquency_With_Sectors[[#This Row],[Days in Arrears]] &gt; 90,1,0)</f>
        <v>0</v>
      </c>
    </row>
    <row r="420" spans="1:23" x14ac:dyDescent="0.25">
      <c r="A420" t="s">
        <v>4137</v>
      </c>
      <c r="B420" t="s">
        <v>1282</v>
      </c>
      <c r="C420">
        <v>4</v>
      </c>
      <c r="D420" s="105">
        <v>1967151.37</v>
      </c>
      <c r="E420" t="s">
        <v>2494</v>
      </c>
      <c r="F420" s="105">
        <v>95304.85</v>
      </c>
      <c r="G420" s="105">
        <v>2193323.7999999998</v>
      </c>
      <c r="H420" s="143">
        <v>42786.695248414355</v>
      </c>
      <c r="I420" s="143">
        <v>43151</v>
      </c>
      <c r="J420" t="s">
        <v>4138</v>
      </c>
      <c r="K420" t="s">
        <v>4139</v>
      </c>
      <c r="L420" t="s">
        <v>1280</v>
      </c>
      <c r="M420">
        <v>103102</v>
      </c>
      <c r="N420" t="s">
        <v>4123</v>
      </c>
      <c r="O420" t="s">
        <v>25</v>
      </c>
      <c r="P420" t="s">
        <v>88</v>
      </c>
      <c r="Q420" t="s">
        <v>285</v>
      </c>
      <c r="R420" s="105">
        <f>IF(Table__192.168.1.150_Daily_Delinquency_With_Sectors[[#This Row],[Days in Arrears]] &gt; 0, Table__192.168.1.150_Daily_Delinquency_With_Sectors[[#This Row],[Outstanding Balance]],0)</f>
        <v>1967151.37</v>
      </c>
      <c r="S420" s="105">
        <f>IF(Table__192.168.1.150_Daily_Delinquency_With_Sectors[[#This Row],[Days in Arrears]] &gt; 30, Table__192.168.1.150_Daily_Delinquency_With_Sectors[[#This Row],[Outstanding Balance]],0)</f>
        <v>0</v>
      </c>
      <c r="T420" s="105">
        <f>IF(Table__192.168.1.150_Daily_Delinquency_With_Sectors[[#This Row],[Days in Arrears]] &gt; 90, Table__192.168.1.150_Daily_Delinquency_With_Sectors[[#This Row],[Outstanding Balance]],0)</f>
        <v>0</v>
      </c>
      <c r="U420" s="109">
        <f>IF(Table__192.168.1.150_Daily_Delinquency_With_Sectors[[#This Row],[Days in Arrears]] &gt;= 1,1,0)</f>
        <v>1</v>
      </c>
      <c r="V420" s="109">
        <f>IF(Table__192.168.1.150_Daily_Delinquency_With_Sectors[[#This Row],[Days in Arrears]] &gt; 30,1,0)</f>
        <v>0</v>
      </c>
      <c r="W420" s="109">
        <f>IF(Table__192.168.1.150_Daily_Delinquency_With_Sectors[[#This Row],[Days in Arrears]] &gt; 90,1,0)</f>
        <v>0</v>
      </c>
    </row>
    <row r="421" spans="1:23" x14ac:dyDescent="0.25">
      <c r="A421" t="s">
        <v>4140</v>
      </c>
      <c r="B421" t="s">
        <v>1279</v>
      </c>
      <c r="C421">
        <v>4</v>
      </c>
      <c r="D421" s="105">
        <v>1967151.37</v>
      </c>
      <c r="E421" t="s">
        <v>4684</v>
      </c>
      <c r="F421" s="105">
        <v>95304.85</v>
      </c>
      <c r="G421" s="105">
        <v>2193323.7999999998</v>
      </c>
      <c r="H421" s="143">
        <v>42786.698819942132</v>
      </c>
      <c r="I421" s="143">
        <v>43151</v>
      </c>
      <c r="J421" t="s">
        <v>4141</v>
      </c>
      <c r="K421" t="s">
        <v>4142</v>
      </c>
      <c r="L421" t="s">
        <v>1280</v>
      </c>
      <c r="M421">
        <v>103103</v>
      </c>
      <c r="N421" t="s">
        <v>4126</v>
      </c>
      <c r="O421" t="s">
        <v>44</v>
      </c>
      <c r="P421" t="s">
        <v>75</v>
      </c>
      <c r="Q421" t="s">
        <v>1442</v>
      </c>
      <c r="R421" s="105">
        <f>IF(Table__192.168.1.150_Daily_Delinquency_With_Sectors[[#This Row],[Days in Arrears]] &gt; 0, Table__192.168.1.150_Daily_Delinquency_With_Sectors[[#This Row],[Outstanding Balance]],0)</f>
        <v>1967151.37</v>
      </c>
      <c r="S421" s="105">
        <f>IF(Table__192.168.1.150_Daily_Delinquency_With_Sectors[[#This Row],[Days in Arrears]] &gt; 30, Table__192.168.1.150_Daily_Delinquency_With_Sectors[[#This Row],[Outstanding Balance]],0)</f>
        <v>0</v>
      </c>
      <c r="T421" s="105">
        <f>IF(Table__192.168.1.150_Daily_Delinquency_With_Sectors[[#This Row],[Days in Arrears]] &gt; 90, Table__192.168.1.150_Daily_Delinquency_With_Sectors[[#This Row],[Outstanding Balance]],0)</f>
        <v>0</v>
      </c>
      <c r="U421" s="109">
        <f>IF(Table__192.168.1.150_Daily_Delinquency_With_Sectors[[#This Row],[Days in Arrears]] &gt;= 1,1,0)</f>
        <v>1</v>
      </c>
      <c r="V421" s="109">
        <f>IF(Table__192.168.1.150_Daily_Delinquency_With_Sectors[[#This Row],[Days in Arrears]] &gt; 30,1,0)</f>
        <v>0</v>
      </c>
      <c r="W421" s="109">
        <f>IF(Table__192.168.1.150_Daily_Delinquency_With_Sectors[[#This Row],[Days in Arrears]] &gt; 90,1,0)</f>
        <v>0</v>
      </c>
    </row>
    <row r="422" spans="1:23" x14ac:dyDescent="0.25">
      <c r="A422" t="s">
        <v>4162</v>
      </c>
      <c r="B422" t="s">
        <v>1279</v>
      </c>
      <c r="C422">
        <v>3</v>
      </c>
      <c r="D422" s="105">
        <v>983575.67</v>
      </c>
      <c r="E422" t="s">
        <v>1191</v>
      </c>
      <c r="F422" s="105">
        <v>31687.39</v>
      </c>
      <c r="G422" s="105">
        <v>1081827.3600000001</v>
      </c>
      <c r="H422" s="143">
        <v>42787.723566932873</v>
      </c>
      <c r="I422" s="143">
        <v>43152</v>
      </c>
      <c r="J422" t="s">
        <v>4163</v>
      </c>
      <c r="K422" t="s">
        <v>1280</v>
      </c>
      <c r="L422" t="s">
        <v>1280</v>
      </c>
      <c r="M422">
        <v>103104</v>
      </c>
      <c r="N422" t="s">
        <v>4161</v>
      </c>
      <c r="O422" t="s">
        <v>44</v>
      </c>
      <c r="P422" t="s">
        <v>92</v>
      </c>
      <c r="Q422" t="s">
        <v>26</v>
      </c>
      <c r="R422" s="105">
        <f>IF(Table__192.168.1.150_Daily_Delinquency_With_Sectors[[#This Row],[Days in Arrears]] &gt; 0, Table__192.168.1.150_Daily_Delinquency_With_Sectors[[#This Row],[Outstanding Balance]],0)</f>
        <v>983575.67</v>
      </c>
      <c r="S422" s="105">
        <f>IF(Table__192.168.1.150_Daily_Delinquency_With_Sectors[[#This Row],[Days in Arrears]] &gt; 30, Table__192.168.1.150_Daily_Delinquency_With_Sectors[[#This Row],[Outstanding Balance]],0)</f>
        <v>0</v>
      </c>
      <c r="T422" s="105">
        <f>IF(Table__192.168.1.150_Daily_Delinquency_With_Sectors[[#This Row],[Days in Arrears]] &gt; 90, Table__192.168.1.150_Daily_Delinquency_With_Sectors[[#This Row],[Outstanding Balance]],0)</f>
        <v>0</v>
      </c>
      <c r="U422" s="109">
        <f>IF(Table__192.168.1.150_Daily_Delinquency_With_Sectors[[#This Row],[Days in Arrears]] &gt;= 1,1,0)</f>
        <v>1</v>
      </c>
      <c r="V422" s="109">
        <f>IF(Table__192.168.1.150_Daily_Delinquency_With_Sectors[[#This Row],[Days in Arrears]] &gt; 30,1,0)</f>
        <v>0</v>
      </c>
      <c r="W422" s="109">
        <f>IF(Table__192.168.1.150_Daily_Delinquency_With_Sectors[[#This Row],[Days in Arrears]] &gt; 90,1,0)</f>
        <v>0</v>
      </c>
    </row>
    <row r="423" spans="1:23" x14ac:dyDescent="0.25">
      <c r="A423" t="s">
        <v>1136</v>
      </c>
      <c r="B423" t="s">
        <v>1282</v>
      </c>
      <c r="C423">
        <v>23</v>
      </c>
      <c r="D423" s="105">
        <v>8698654.6600000001</v>
      </c>
      <c r="E423" t="s">
        <v>468</v>
      </c>
      <c r="F423" s="105">
        <v>570834.76</v>
      </c>
      <c r="G423" s="105">
        <v>11079363.800000001</v>
      </c>
      <c r="H423" s="143">
        <v>42787.705114351855</v>
      </c>
      <c r="I423" s="143">
        <v>43344</v>
      </c>
      <c r="J423" t="s">
        <v>1137</v>
      </c>
      <c r="K423" t="s">
        <v>1138</v>
      </c>
      <c r="L423" t="s">
        <v>1280</v>
      </c>
      <c r="M423">
        <v>103105</v>
      </c>
      <c r="N423" t="s">
        <v>1135</v>
      </c>
      <c r="O423" t="s">
        <v>44</v>
      </c>
      <c r="P423" t="s">
        <v>75</v>
      </c>
      <c r="Q423" t="s">
        <v>1442</v>
      </c>
      <c r="R423" s="105">
        <f>IF(Table__192.168.1.150_Daily_Delinquency_With_Sectors[[#This Row],[Days in Arrears]] &gt; 0, Table__192.168.1.150_Daily_Delinquency_With_Sectors[[#This Row],[Outstanding Balance]],0)</f>
        <v>8698654.6600000001</v>
      </c>
      <c r="S423" s="105">
        <f>IF(Table__192.168.1.150_Daily_Delinquency_With_Sectors[[#This Row],[Days in Arrears]] &gt; 30, Table__192.168.1.150_Daily_Delinquency_With_Sectors[[#This Row],[Outstanding Balance]],0)</f>
        <v>0</v>
      </c>
      <c r="T423" s="105">
        <f>IF(Table__192.168.1.150_Daily_Delinquency_With_Sectors[[#This Row],[Days in Arrears]] &gt; 90, Table__192.168.1.150_Daily_Delinquency_With_Sectors[[#This Row],[Outstanding Balance]],0)</f>
        <v>0</v>
      </c>
      <c r="U423" s="109">
        <f>IF(Table__192.168.1.150_Daily_Delinquency_With_Sectors[[#This Row],[Days in Arrears]] &gt;= 1,1,0)</f>
        <v>1</v>
      </c>
      <c r="V423" s="109">
        <f>IF(Table__192.168.1.150_Daily_Delinquency_With_Sectors[[#This Row],[Days in Arrears]] &gt; 30,1,0)</f>
        <v>0</v>
      </c>
      <c r="W423" s="109">
        <f>IF(Table__192.168.1.150_Daily_Delinquency_With_Sectors[[#This Row],[Days in Arrears]] &gt; 90,1,0)</f>
        <v>0</v>
      </c>
    </row>
    <row r="424" spans="1:23" x14ac:dyDescent="0.25">
      <c r="A424" t="s">
        <v>2196</v>
      </c>
      <c r="B424" t="s">
        <v>1283</v>
      </c>
      <c r="C424">
        <v>3</v>
      </c>
      <c r="D424" s="105">
        <v>24808796.93</v>
      </c>
      <c r="E424" t="s">
        <v>468</v>
      </c>
      <c r="F424" s="105">
        <v>789553.34</v>
      </c>
      <c r="G424" s="105">
        <v>29083478.32</v>
      </c>
      <c r="H424" s="143">
        <v>42787.732135335646</v>
      </c>
      <c r="I424" s="143">
        <v>43333</v>
      </c>
      <c r="J424" t="s">
        <v>2197</v>
      </c>
      <c r="K424" t="s">
        <v>1280</v>
      </c>
      <c r="L424" t="s">
        <v>1280</v>
      </c>
      <c r="M424">
        <v>103106</v>
      </c>
      <c r="N424" t="s">
        <v>2189</v>
      </c>
      <c r="O424" t="s">
        <v>35</v>
      </c>
      <c r="P424" t="s">
        <v>26</v>
      </c>
      <c r="Q424" t="s">
        <v>26</v>
      </c>
      <c r="R424" s="105">
        <f>IF(Table__192.168.1.150_Daily_Delinquency_With_Sectors[[#This Row],[Days in Arrears]] &gt; 0, Table__192.168.1.150_Daily_Delinquency_With_Sectors[[#This Row],[Outstanding Balance]],0)</f>
        <v>24808796.93</v>
      </c>
      <c r="S424" s="105">
        <f>IF(Table__192.168.1.150_Daily_Delinquency_With_Sectors[[#This Row],[Days in Arrears]] &gt; 30, Table__192.168.1.150_Daily_Delinquency_With_Sectors[[#This Row],[Outstanding Balance]],0)</f>
        <v>0</v>
      </c>
      <c r="T424" s="105">
        <f>IF(Table__192.168.1.150_Daily_Delinquency_With_Sectors[[#This Row],[Days in Arrears]] &gt; 90, Table__192.168.1.150_Daily_Delinquency_With_Sectors[[#This Row],[Outstanding Balance]],0)</f>
        <v>0</v>
      </c>
      <c r="U424" s="109">
        <f>IF(Table__192.168.1.150_Daily_Delinquency_With_Sectors[[#This Row],[Days in Arrears]] &gt;= 1,1,0)</f>
        <v>1</v>
      </c>
      <c r="V424" s="109">
        <f>IF(Table__192.168.1.150_Daily_Delinquency_With_Sectors[[#This Row],[Days in Arrears]] &gt; 30,1,0)</f>
        <v>0</v>
      </c>
      <c r="W424" s="109">
        <f>IF(Table__192.168.1.150_Daily_Delinquency_With_Sectors[[#This Row],[Days in Arrears]] &gt; 90,1,0)</f>
        <v>0</v>
      </c>
    </row>
    <row r="425" spans="1:23" x14ac:dyDescent="0.25">
      <c r="A425" t="s">
        <v>4185</v>
      </c>
      <c r="B425" t="s">
        <v>1283</v>
      </c>
      <c r="C425">
        <v>30</v>
      </c>
      <c r="D425" s="105">
        <v>11605983.99</v>
      </c>
      <c r="E425" t="s">
        <v>1447</v>
      </c>
      <c r="F425" s="105">
        <v>575861.30000000005</v>
      </c>
      <c r="G425" s="105">
        <v>12309203.210000001</v>
      </c>
      <c r="H425" s="143">
        <v>42790.731250810182</v>
      </c>
      <c r="I425" s="143">
        <v>43093</v>
      </c>
      <c r="J425" t="s">
        <v>4186</v>
      </c>
      <c r="K425" t="s">
        <v>1280</v>
      </c>
      <c r="L425" t="s">
        <v>1280</v>
      </c>
      <c r="M425">
        <v>103108</v>
      </c>
      <c r="N425" t="s">
        <v>4183</v>
      </c>
      <c r="O425" t="s">
        <v>27</v>
      </c>
      <c r="P425" t="s">
        <v>116</v>
      </c>
      <c r="Q425" t="s">
        <v>26</v>
      </c>
      <c r="R425" s="105">
        <f>IF(Table__192.168.1.150_Daily_Delinquency_With_Sectors[[#This Row],[Days in Arrears]] &gt; 0, Table__192.168.1.150_Daily_Delinquency_With_Sectors[[#This Row],[Outstanding Balance]],0)</f>
        <v>11605983.99</v>
      </c>
      <c r="S425" s="105">
        <f>IF(Table__192.168.1.150_Daily_Delinquency_With_Sectors[[#This Row],[Days in Arrears]] &gt; 30, Table__192.168.1.150_Daily_Delinquency_With_Sectors[[#This Row],[Outstanding Balance]],0)</f>
        <v>0</v>
      </c>
      <c r="T425" s="105">
        <f>IF(Table__192.168.1.150_Daily_Delinquency_With_Sectors[[#This Row],[Days in Arrears]] &gt; 90, Table__192.168.1.150_Daily_Delinquency_With_Sectors[[#This Row],[Outstanding Balance]],0)</f>
        <v>0</v>
      </c>
      <c r="U425" s="109">
        <f>IF(Table__192.168.1.150_Daily_Delinquency_With_Sectors[[#This Row],[Days in Arrears]] &gt;= 1,1,0)</f>
        <v>1</v>
      </c>
      <c r="V425" s="109">
        <f>IF(Table__192.168.1.150_Daily_Delinquency_With_Sectors[[#This Row],[Days in Arrears]] &gt; 30,1,0)</f>
        <v>0</v>
      </c>
      <c r="W425" s="109">
        <f>IF(Table__192.168.1.150_Daily_Delinquency_With_Sectors[[#This Row],[Days in Arrears]] &gt; 90,1,0)</f>
        <v>0</v>
      </c>
    </row>
    <row r="426" spans="1:23" x14ac:dyDescent="0.25">
      <c r="A426" t="s">
        <v>1989</v>
      </c>
      <c r="B426" t="s">
        <v>1282</v>
      </c>
      <c r="C426">
        <v>-7</v>
      </c>
      <c r="D426" s="105">
        <v>2721296.72</v>
      </c>
      <c r="E426" t="s">
        <v>5167</v>
      </c>
      <c r="F426" s="105">
        <v>79824.7</v>
      </c>
      <c r="G426" s="105">
        <v>2998760.63</v>
      </c>
      <c r="H426" s="143">
        <v>42793.752921446758</v>
      </c>
      <c r="I426" s="143">
        <v>43160</v>
      </c>
      <c r="J426" t="s">
        <v>1990</v>
      </c>
      <c r="K426" t="s">
        <v>1991</v>
      </c>
      <c r="L426" t="s">
        <v>1280</v>
      </c>
      <c r="M426">
        <v>103109</v>
      </c>
      <c r="N426" t="s">
        <v>173</v>
      </c>
      <c r="O426" t="s">
        <v>44</v>
      </c>
      <c r="P426" t="s">
        <v>75</v>
      </c>
      <c r="Q426" t="s">
        <v>4000</v>
      </c>
      <c r="R426" s="105">
        <f>IF(Table__192.168.1.150_Daily_Delinquency_With_Sectors[[#This Row],[Days in Arrears]] &gt; 0, Table__192.168.1.150_Daily_Delinquency_With_Sectors[[#This Row],[Outstanding Balance]],0)</f>
        <v>0</v>
      </c>
      <c r="S426" s="105">
        <f>IF(Table__192.168.1.150_Daily_Delinquency_With_Sectors[[#This Row],[Days in Arrears]] &gt; 30, Table__192.168.1.150_Daily_Delinquency_With_Sectors[[#This Row],[Outstanding Balance]],0)</f>
        <v>0</v>
      </c>
      <c r="T426" s="105">
        <f>IF(Table__192.168.1.150_Daily_Delinquency_With_Sectors[[#This Row],[Days in Arrears]] &gt; 90, Table__192.168.1.150_Daily_Delinquency_With_Sectors[[#This Row],[Outstanding Balance]],0)</f>
        <v>0</v>
      </c>
      <c r="U426" s="109">
        <f>IF(Table__192.168.1.150_Daily_Delinquency_With_Sectors[[#This Row],[Days in Arrears]] &gt;= 1,1,0)</f>
        <v>0</v>
      </c>
      <c r="V426" s="109">
        <f>IF(Table__192.168.1.150_Daily_Delinquency_With_Sectors[[#This Row],[Days in Arrears]] &gt; 30,1,0)</f>
        <v>0</v>
      </c>
      <c r="W426" s="109">
        <f>IF(Table__192.168.1.150_Daily_Delinquency_With_Sectors[[#This Row],[Days in Arrears]] &gt; 90,1,0)</f>
        <v>0</v>
      </c>
    </row>
    <row r="427" spans="1:23" x14ac:dyDescent="0.25">
      <c r="A427" t="s">
        <v>387</v>
      </c>
      <c r="B427" t="s">
        <v>1281</v>
      </c>
      <c r="C427">
        <v>-11</v>
      </c>
      <c r="D427" s="105">
        <v>19736014.850000001</v>
      </c>
      <c r="E427" t="s">
        <v>2538</v>
      </c>
      <c r="F427" s="105">
        <v>414456.31</v>
      </c>
      <c r="G427" s="105">
        <v>26109904.77</v>
      </c>
      <c r="H427" s="143">
        <v>42794.581930787041</v>
      </c>
      <c r="I427" s="143">
        <v>43529</v>
      </c>
      <c r="J427" t="s">
        <v>388</v>
      </c>
      <c r="K427" t="s">
        <v>389</v>
      </c>
      <c r="L427" t="s">
        <v>1280</v>
      </c>
      <c r="M427">
        <v>103110</v>
      </c>
      <c r="N427" t="s">
        <v>366</v>
      </c>
      <c r="O427" t="s">
        <v>25</v>
      </c>
      <c r="P427" t="s">
        <v>88</v>
      </c>
      <c r="Q427" t="s">
        <v>285</v>
      </c>
      <c r="R427" s="105">
        <f>IF(Table__192.168.1.150_Daily_Delinquency_With_Sectors[[#This Row],[Days in Arrears]] &gt; 0, Table__192.168.1.150_Daily_Delinquency_With_Sectors[[#This Row],[Outstanding Balance]],0)</f>
        <v>0</v>
      </c>
      <c r="S427" s="105">
        <f>IF(Table__192.168.1.150_Daily_Delinquency_With_Sectors[[#This Row],[Days in Arrears]] &gt; 30, Table__192.168.1.150_Daily_Delinquency_With_Sectors[[#This Row],[Outstanding Balance]],0)</f>
        <v>0</v>
      </c>
      <c r="T427" s="105">
        <f>IF(Table__192.168.1.150_Daily_Delinquency_With_Sectors[[#This Row],[Days in Arrears]] &gt; 90, Table__192.168.1.150_Daily_Delinquency_With_Sectors[[#This Row],[Outstanding Balance]],0)</f>
        <v>0</v>
      </c>
      <c r="U427" s="109">
        <f>IF(Table__192.168.1.150_Daily_Delinquency_With_Sectors[[#This Row],[Days in Arrears]] &gt;= 1,1,0)</f>
        <v>0</v>
      </c>
      <c r="V427" s="109">
        <f>IF(Table__192.168.1.150_Daily_Delinquency_With_Sectors[[#This Row],[Days in Arrears]] &gt; 30,1,0)</f>
        <v>0</v>
      </c>
      <c r="W427" s="109">
        <f>IF(Table__192.168.1.150_Daily_Delinquency_With_Sectors[[#This Row],[Days in Arrears]] &gt; 90,1,0)</f>
        <v>0</v>
      </c>
    </row>
    <row r="428" spans="1:23" x14ac:dyDescent="0.25">
      <c r="A428" t="s">
        <v>4210</v>
      </c>
      <c r="B428" t="s">
        <v>1284</v>
      </c>
      <c r="C428">
        <v>-7</v>
      </c>
      <c r="D428" s="105">
        <v>7490302.2000000002</v>
      </c>
      <c r="E428" t="s">
        <v>4684</v>
      </c>
      <c r="F428" s="105">
        <v>164786.65</v>
      </c>
      <c r="G428" s="105">
        <v>8060375.4699999997</v>
      </c>
      <c r="H428" s="143">
        <v>42794.806688159719</v>
      </c>
      <c r="I428" s="143">
        <v>43160</v>
      </c>
      <c r="J428" t="s">
        <v>4211</v>
      </c>
      <c r="K428" t="s">
        <v>4212</v>
      </c>
      <c r="L428" t="s">
        <v>1280</v>
      </c>
      <c r="M428">
        <v>103112</v>
      </c>
      <c r="N428" t="s">
        <v>4209</v>
      </c>
      <c r="O428" t="s">
        <v>25</v>
      </c>
      <c r="P428" t="s">
        <v>94</v>
      </c>
      <c r="Q428" t="s">
        <v>95</v>
      </c>
      <c r="R428" s="105">
        <f>IF(Table__192.168.1.150_Daily_Delinquency_With_Sectors[[#This Row],[Days in Arrears]] &gt; 0, Table__192.168.1.150_Daily_Delinquency_With_Sectors[[#This Row],[Outstanding Balance]],0)</f>
        <v>0</v>
      </c>
      <c r="S428" s="105">
        <f>IF(Table__192.168.1.150_Daily_Delinquency_With_Sectors[[#This Row],[Days in Arrears]] &gt; 30, Table__192.168.1.150_Daily_Delinquency_With_Sectors[[#This Row],[Outstanding Balance]],0)</f>
        <v>0</v>
      </c>
      <c r="T428" s="105">
        <f>IF(Table__192.168.1.150_Daily_Delinquency_With_Sectors[[#This Row],[Days in Arrears]] &gt; 90, Table__192.168.1.150_Daily_Delinquency_With_Sectors[[#This Row],[Outstanding Balance]],0)</f>
        <v>0</v>
      </c>
      <c r="U428" s="109">
        <f>IF(Table__192.168.1.150_Daily_Delinquency_With_Sectors[[#This Row],[Days in Arrears]] &gt;= 1,1,0)</f>
        <v>0</v>
      </c>
      <c r="V428" s="109">
        <f>IF(Table__192.168.1.150_Daily_Delinquency_With_Sectors[[#This Row],[Days in Arrears]] &gt; 30,1,0)</f>
        <v>0</v>
      </c>
      <c r="W428" s="109">
        <f>IF(Table__192.168.1.150_Daily_Delinquency_With_Sectors[[#This Row],[Days in Arrears]] &gt; 90,1,0)</f>
        <v>0</v>
      </c>
    </row>
    <row r="429" spans="1:23" x14ac:dyDescent="0.25">
      <c r="A429" t="s">
        <v>2339</v>
      </c>
      <c r="B429" t="s">
        <v>1282</v>
      </c>
      <c r="C429">
        <v>23</v>
      </c>
      <c r="D429" s="105">
        <v>2106431.0099999998</v>
      </c>
      <c r="E429" t="s">
        <v>1447</v>
      </c>
      <c r="F429" s="105">
        <v>56944.92</v>
      </c>
      <c r="G429" s="105">
        <v>2304366.73</v>
      </c>
      <c r="H429" s="143">
        <v>42794.808092974534</v>
      </c>
      <c r="I429" s="143">
        <v>43160</v>
      </c>
      <c r="J429" t="s">
        <v>2340</v>
      </c>
      <c r="K429" t="s">
        <v>1280</v>
      </c>
      <c r="L429" t="s">
        <v>1280</v>
      </c>
      <c r="M429">
        <v>103113</v>
      </c>
      <c r="N429" t="s">
        <v>2337</v>
      </c>
      <c r="O429" t="s">
        <v>44</v>
      </c>
      <c r="P429" t="s">
        <v>75</v>
      </c>
      <c r="Q429" t="s">
        <v>26</v>
      </c>
      <c r="R429" s="105">
        <f>IF(Table__192.168.1.150_Daily_Delinquency_With_Sectors[[#This Row],[Days in Arrears]] &gt; 0, Table__192.168.1.150_Daily_Delinquency_With_Sectors[[#This Row],[Outstanding Balance]],0)</f>
        <v>2106431.0099999998</v>
      </c>
      <c r="S429" s="105">
        <f>IF(Table__192.168.1.150_Daily_Delinquency_With_Sectors[[#This Row],[Days in Arrears]] &gt; 30, Table__192.168.1.150_Daily_Delinquency_With_Sectors[[#This Row],[Outstanding Balance]],0)</f>
        <v>0</v>
      </c>
      <c r="T429" s="105">
        <f>IF(Table__192.168.1.150_Daily_Delinquency_With_Sectors[[#This Row],[Days in Arrears]] &gt; 90, Table__192.168.1.150_Daily_Delinquency_With_Sectors[[#This Row],[Outstanding Balance]],0)</f>
        <v>0</v>
      </c>
      <c r="U429" s="109">
        <f>IF(Table__192.168.1.150_Daily_Delinquency_With_Sectors[[#This Row],[Days in Arrears]] &gt;= 1,1,0)</f>
        <v>1</v>
      </c>
      <c r="V429" s="109">
        <f>IF(Table__192.168.1.150_Daily_Delinquency_With_Sectors[[#This Row],[Days in Arrears]] &gt; 30,1,0)</f>
        <v>0</v>
      </c>
      <c r="W429" s="109">
        <f>IF(Table__192.168.1.150_Daily_Delinquency_With_Sectors[[#This Row],[Days in Arrears]] &gt; 90,1,0)</f>
        <v>0</v>
      </c>
    </row>
    <row r="430" spans="1:23" x14ac:dyDescent="0.25">
      <c r="A430" t="s">
        <v>433</v>
      </c>
      <c r="B430" t="s">
        <v>1283</v>
      </c>
      <c r="C430">
        <v>23</v>
      </c>
      <c r="D430" s="105">
        <v>45390845.670000002</v>
      </c>
      <c r="E430" t="s">
        <v>468</v>
      </c>
      <c r="F430" s="105">
        <v>986704.06</v>
      </c>
      <c r="G430" s="105">
        <v>62453770.420000002</v>
      </c>
      <c r="H430" s="143">
        <v>42794.908129085648</v>
      </c>
      <c r="I430" s="143">
        <v>43709</v>
      </c>
      <c r="J430" t="s">
        <v>434</v>
      </c>
      <c r="K430" t="s">
        <v>435</v>
      </c>
      <c r="L430" t="s">
        <v>1280</v>
      </c>
      <c r="M430">
        <v>103114</v>
      </c>
      <c r="N430" t="s">
        <v>432</v>
      </c>
      <c r="O430" t="s">
        <v>27</v>
      </c>
      <c r="P430" t="s">
        <v>26</v>
      </c>
      <c r="Q430" t="s">
        <v>26</v>
      </c>
      <c r="R430" s="105">
        <f>IF(Table__192.168.1.150_Daily_Delinquency_With_Sectors[[#This Row],[Days in Arrears]] &gt; 0, Table__192.168.1.150_Daily_Delinquency_With_Sectors[[#This Row],[Outstanding Balance]],0)</f>
        <v>45390845.670000002</v>
      </c>
      <c r="S430" s="105">
        <f>IF(Table__192.168.1.150_Daily_Delinquency_With_Sectors[[#This Row],[Days in Arrears]] &gt; 30, Table__192.168.1.150_Daily_Delinquency_With_Sectors[[#This Row],[Outstanding Balance]],0)</f>
        <v>0</v>
      </c>
      <c r="T430" s="105">
        <f>IF(Table__192.168.1.150_Daily_Delinquency_With_Sectors[[#This Row],[Days in Arrears]] &gt; 90, Table__192.168.1.150_Daily_Delinquency_With_Sectors[[#This Row],[Outstanding Balance]],0)</f>
        <v>0</v>
      </c>
      <c r="U430" s="109">
        <f>IF(Table__192.168.1.150_Daily_Delinquency_With_Sectors[[#This Row],[Days in Arrears]] &gt;= 1,1,0)</f>
        <v>1</v>
      </c>
      <c r="V430" s="109">
        <f>IF(Table__192.168.1.150_Daily_Delinquency_With_Sectors[[#This Row],[Days in Arrears]] &gt; 30,1,0)</f>
        <v>0</v>
      </c>
      <c r="W430" s="109">
        <f>IF(Table__192.168.1.150_Daily_Delinquency_With_Sectors[[#This Row],[Days in Arrears]] &gt; 90,1,0)</f>
        <v>0</v>
      </c>
    </row>
    <row r="431" spans="1:23" x14ac:dyDescent="0.25">
      <c r="A431" t="s">
        <v>4213</v>
      </c>
      <c r="B431" t="s">
        <v>1282</v>
      </c>
      <c r="C431">
        <v>112</v>
      </c>
      <c r="D431" s="105">
        <v>1903662.33</v>
      </c>
      <c r="E431" t="s">
        <v>1448</v>
      </c>
      <c r="F431" s="105">
        <v>149117.96</v>
      </c>
      <c r="G431" s="105">
        <v>2122535.12</v>
      </c>
      <c r="H431" s="143">
        <v>42796.546903969909</v>
      </c>
      <c r="I431" s="143">
        <v>43041</v>
      </c>
      <c r="J431" t="s">
        <v>5833</v>
      </c>
      <c r="K431" t="s">
        <v>1280</v>
      </c>
      <c r="L431" t="s">
        <v>1280</v>
      </c>
      <c r="M431">
        <v>103117</v>
      </c>
      <c r="N431" t="s">
        <v>4206</v>
      </c>
      <c r="O431" t="s">
        <v>44</v>
      </c>
      <c r="P431" t="s">
        <v>75</v>
      </c>
      <c r="Q431" t="s">
        <v>26</v>
      </c>
      <c r="R431" s="105">
        <f>IF(Table__192.168.1.150_Daily_Delinquency_With_Sectors[[#This Row],[Days in Arrears]] &gt; 0, Table__192.168.1.150_Daily_Delinquency_With_Sectors[[#This Row],[Outstanding Balance]],0)</f>
        <v>1903662.33</v>
      </c>
      <c r="S431" s="105">
        <f>IF(Table__192.168.1.150_Daily_Delinquency_With_Sectors[[#This Row],[Days in Arrears]] &gt; 30, Table__192.168.1.150_Daily_Delinquency_With_Sectors[[#This Row],[Outstanding Balance]],0)</f>
        <v>1903662.33</v>
      </c>
      <c r="T431" s="105">
        <f>IF(Table__192.168.1.150_Daily_Delinquency_With_Sectors[[#This Row],[Days in Arrears]] &gt; 90, Table__192.168.1.150_Daily_Delinquency_With_Sectors[[#This Row],[Outstanding Balance]],0)</f>
        <v>1903662.33</v>
      </c>
      <c r="U431" s="109">
        <f>IF(Table__192.168.1.150_Daily_Delinquency_With_Sectors[[#This Row],[Days in Arrears]] &gt;= 1,1,0)</f>
        <v>1</v>
      </c>
      <c r="V431" s="109">
        <f>IF(Table__192.168.1.150_Daily_Delinquency_With_Sectors[[#This Row],[Days in Arrears]] &gt; 30,1,0)</f>
        <v>1</v>
      </c>
      <c r="W431" s="109">
        <f>IF(Table__192.168.1.150_Daily_Delinquency_With_Sectors[[#This Row],[Days in Arrears]] &gt; 90,1,0)</f>
        <v>1</v>
      </c>
    </row>
    <row r="432" spans="1:23" x14ac:dyDescent="0.25">
      <c r="A432" t="s">
        <v>2271</v>
      </c>
      <c r="B432" t="s">
        <v>1279</v>
      </c>
      <c r="C432">
        <v>17</v>
      </c>
      <c r="D432" s="105">
        <v>1370232.91</v>
      </c>
      <c r="E432" t="s">
        <v>1447</v>
      </c>
      <c r="F432" s="105">
        <v>28879.07</v>
      </c>
      <c r="G432" s="105">
        <v>1508257.05</v>
      </c>
      <c r="H432" s="143">
        <v>42801.556260300924</v>
      </c>
      <c r="I432" s="143">
        <v>43166</v>
      </c>
      <c r="J432" t="s">
        <v>2272</v>
      </c>
      <c r="K432" t="s">
        <v>1280</v>
      </c>
      <c r="L432" t="s">
        <v>1280</v>
      </c>
      <c r="M432">
        <v>103119</v>
      </c>
      <c r="N432" t="s">
        <v>2269</v>
      </c>
      <c r="O432" t="s">
        <v>25</v>
      </c>
      <c r="P432" t="s">
        <v>94</v>
      </c>
      <c r="Q432" t="s">
        <v>26</v>
      </c>
      <c r="R432" s="105">
        <f>IF(Table__192.168.1.150_Daily_Delinquency_With_Sectors[[#This Row],[Days in Arrears]] &gt; 0, Table__192.168.1.150_Daily_Delinquency_With_Sectors[[#This Row],[Outstanding Balance]],0)</f>
        <v>1370232.91</v>
      </c>
      <c r="S432" s="105">
        <f>IF(Table__192.168.1.150_Daily_Delinquency_With_Sectors[[#This Row],[Days in Arrears]] &gt; 30, Table__192.168.1.150_Daily_Delinquency_With_Sectors[[#This Row],[Outstanding Balance]],0)</f>
        <v>0</v>
      </c>
      <c r="T432" s="105">
        <f>IF(Table__192.168.1.150_Daily_Delinquency_With_Sectors[[#This Row],[Days in Arrears]] &gt; 90, Table__192.168.1.150_Daily_Delinquency_With_Sectors[[#This Row],[Outstanding Balance]],0)</f>
        <v>0</v>
      </c>
      <c r="U432" s="109">
        <f>IF(Table__192.168.1.150_Daily_Delinquency_With_Sectors[[#This Row],[Days in Arrears]] &gt;= 1,1,0)</f>
        <v>1</v>
      </c>
      <c r="V432" s="109">
        <f>IF(Table__192.168.1.150_Daily_Delinquency_With_Sectors[[#This Row],[Days in Arrears]] &gt; 30,1,0)</f>
        <v>0</v>
      </c>
      <c r="W432" s="109">
        <f>IF(Table__192.168.1.150_Daily_Delinquency_With_Sectors[[#This Row],[Days in Arrears]] &gt; 90,1,0)</f>
        <v>0</v>
      </c>
    </row>
    <row r="433" spans="1:23" x14ac:dyDescent="0.25">
      <c r="A433" t="s">
        <v>4241</v>
      </c>
      <c r="B433" t="s">
        <v>1282</v>
      </c>
      <c r="C433">
        <v>44</v>
      </c>
      <c r="D433" s="105">
        <v>2259329.16</v>
      </c>
      <c r="E433" t="s">
        <v>963</v>
      </c>
      <c r="F433" s="105">
        <v>187675.93</v>
      </c>
      <c r="G433" s="105">
        <v>2628210.5699999998</v>
      </c>
      <c r="H433" s="143">
        <v>42805.452683599535</v>
      </c>
      <c r="I433" s="143">
        <v>43169</v>
      </c>
      <c r="J433" t="s">
        <v>4242</v>
      </c>
      <c r="K433" t="s">
        <v>1280</v>
      </c>
      <c r="L433" t="s">
        <v>1280</v>
      </c>
      <c r="M433">
        <v>103122</v>
      </c>
      <c r="N433" t="s">
        <v>4240</v>
      </c>
      <c r="O433" t="s">
        <v>45</v>
      </c>
      <c r="P433" t="s">
        <v>45</v>
      </c>
      <c r="Q433" t="s">
        <v>26</v>
      </c>
      <c r="R433" s="105">
        <f>IF(Table__192.168.1.150_Daily_Delinquency_With_Sectors[[#This Row],[Days in Arrears]] &gt; 0, Table__192.168.1.150_Daily_Delinquency_With_Sectors[[#This Row],[Outstanding Balance]],0)</f>
        <v>2259329.16</v>
      </c>
      <c r="S433" s="105">
        <f>IF(Table__192.168.1.150_Daily_Delinquency_With_Sectors[[#This Row],[Days in Arrears]] &gt; 30, Table__192.168.1.150_Daily_Delinquency_With_Sectors[[#This Row],[Outstanding Balance]],0)</f>
        <v>2259329.16</v>
      </c>
      <c r="T433" s="105">
        <f>IF(Table__192.168.1.150_Daily_Delinquency_With_Sectors[[#This Row],[Days in Arrears]] &gt; 90, Table__192.168.1.150_Daily_Delinquency_With_Sectors[[#This Row],[Outstanding Balance]],0)</f>
        <v>0</v>
      </c>
      <c r="U433" s="109">
        <f>IF(Table__192.168.1.150_Daily_Delinquency_With_Sectors[[#This Row],[Days in Arrears]] &gt;= 1,1,0)</f>
        <v>1</v>
      </c>
      <c r="V433" s="109">
        <f>IF(Table__192.168.1.150_Daily_Delinquency_With_Sectors[[#This Row],[Days in Arrears]] &gt; 30,1,0)</f>
        <v>1</v>
      </c>
      <c r="W433" s="109">
        <f>IF(Table__192.168.1.150_Daily_Delinquency_With_Sectors[[#This Row],[Days in Arrears]] &gt; 90,1,0)</f>
        <v>0</v>
      </c>
    </row>
    <row r="434" spans="1:23" x14ac:dyDescent="0.25">
      <c r="A434" t="s">
        <v>1489</v>
      </c>
      <c r="B434" t="s">
        <v>1284</v>
      </c>
      <c r="C434">
        <v>13</v>
      </c>
      <c r="D434" s="105">
        <v>15791541.779999999</v>
      </c>
      <c r="E434" t="s">
        <v>546</v>
      </c>
      <c r="F434" s="105">
        <v>180266.31</v>
      </c>
      <c r="G434" s="105">
        <v>16934853.5</v>
      </c>
      <c r="H434" s="143">
        <v>42805.507712268518</v>
      </c>
      <c r="I434" s="143">
        <v>43170</v>
      </c>
      <c r="J434" t="s">
        <v>1490</v>
      </c>
      <c r="K434" t="s">
        <v>1280</v>
      </c>
      <c r="L434" t="s">
        <v>1280</v>
      </c>
      <c r="M434">
        <v>103123</v>
      </c>
      <c r="N434" t="s">
        <v>1488</v>
      </c>
      <c r="O434" t="s">
        <v>44</v>
      </c>
      <c r="P434" t="s">
        <v>75</v>
      </c>
      <c r="Q434" t="s">
        <v>26</v>
      </c>
      <c r="R434" s="105">
        <f>IF(Table__192.168.1.150_Daily_Delinquency_With_Sectors[[#This Row],[Days in Arrears]] &gt; 0, Table__192.168.1.150_Daily_Delinquency_With_Sectors[[#This Row],[Outstanding Balance]],0)</f>
        <v>15791541.779999999</v>
      </c>
      <c r="S434" s="105">
        <f>IF(Table__192.168.1.150_Daily_Delinquency_With_Sectors[[#This Row],[Days in Arrears]] &gt; 30, Table__192.168.1.150_Daily_Delinquency_With_Sectors[[#This Row],[Outstanding Balance]],0)</f>
        <v>0</v>
      </c>
      <c r="T434" s="105">
        <f>IF(Table__192.168.1.150_Daily_Delinquency_With_Sectors[[#This Row],[Days in Arrears]] &gt; 90, Table__192.168.1.150_Daily_Delinquency_With_Sectors[[#This Row],[Outstanding Balance]],0)</f>
        <v>0</v>
      </c>
      <c r="U434" s="109">
        <f>IF(Table__192.168.1.150_Daily_Delinquency_With_Sectors[[#This Row],[Days in Arrears]] &gt;= 1,1,0)</f>
        <v>1</v>
      </c>
      <c r="V434" s="109">
        <f>IF(Table__192.168.1.150_Daily_Delinquency_With_Sectors[[#This Row],[Days in Arrears]] &gt; 30,1,0)</f>
        <v>0</v>
      </c>
      <c r="W434" s="109">
        <f>IF(Table__192.168.1.150_Daily_Delinquency_With_Sectors[[#This Row],[Days in Arrears]] &gt; 90,1,0)</f>
        <v>0</v>
      </c>
    </row>
    <row r="435" spans="1:23" x14ac:dyDescent="0.25">
      <c r="A435" t="s">
        <v>2443</v>
      </c>
      <c r="B435" t="s">
        <v>1866</v>
      </c>
      <c r="C435">
        <v>-22</v>
      </c>
      <c r="D435" s="105">
        <v>3058629.38</v>
      </c>
      <c r="E435" t="s">
        <v>1925</v>
      </c>
      <c r="F435" s="105">
        <v>26168.27</v>
      </c>
      <c r="G435" s="105">
        <v>3344050.08</v>
      </c>
      <c r="H435" s="143">
        <v>42810.643248958331</v>
      </c>
      <c r="I435" s="143">
        <v>43175</v>
      </c>
      <c r="J435" t="s">
        <v>2444</v>
      </c>
      <c r="K435" t="s">
        <v>2445</v>
      </c>
      <c r="L435" t="s">
        <v>1280</v>
      </c>
      <c r="M435">
        <v>103125</v>
      </c>
      <c r="N435" t="s">
        <v>2442</v>
      </c>
      <c r="O435" t="s">
        <v>25</v>
      </c>
      <c r="P435" t="s">
        <v>88</v>
      </c>
      <c r="Q435" t="s">
        <v>285</v>
      </c>
      <c r="R435" s="105">
        <f>IF(Table__192.168.1.150_Daily_Delinquency_With_Sectors[[#This Row],[Days in Arrears]] &gt; 0, Table__192.168.1.150_Daily_Delinquency_With_Sectors[[#This Row],[Outstanding Balance]],0)</f>
        <v>0</v>
      </c>
      <c r="S435" s="105">
        <f>IF(Table__192.168.1.150_Daily_Delinquency_With_Sectors[[#This Row],[Days in Arrears]] &gt; 30, Table__192.168.1.150_Daily_Delinquency_With_Sectors[[#This Row],[Outstanding Balance]],0)</f>
        <v>0</v>
      </c>
      <c r="T435" s="105">
        <f>IF(Table__192.168.1.150_Daily_Delinquency_With_Sectors[[#This Row],[Days in Arrears]] &gt; 90, Table__192.168.1.150_Daily_Delinquency_With_Sectors[[#This Row],[Outstanding Balance]],0)</f>
        <v>0</v>
      </c>
      <c r="U435" s="109">
        <f>IF(Table__192.168.1.150_Daily_Delinquency_With_Sectors[[#This Row],[Days in Arrears]] &gt;= 1,1,0)</f>
        <v>0</v>
      </c>
      <c r="V435" s="109">
        <f>IF(Table__192.168.1.150_Daily_Delinquency_With_Sectors[[#This Row],[Days in Arrears]] &gt; 30,1,0)</f>
        <v>0</v>
      </c>
      <c r="W435" s="109">
        <f>IF(Table__192.168.1.150_Daily_Delinquency_With_Sectors[[#This Row],[Days in Arrears]] &gt; 90,1,0)</f>
        <v>0</v>
      </c>
    </row>
    <row r="436" spans="1:23" x14ac:dyDescent="0.25">
      <c r="A436" t="s">
        <v>1628</v>
      </c>
      <c r="B436" t="s">
        <v>1284</v>
      </c>
      <c r="C436">
        <v>7</v>
      </c>
      <c r="D436" s="105">
        <v>4600869.3899999997</v>
      </c>
      <c r="E436" t="s">
        <v>1467</v>
      </c>
      <c r="F436" s="105">
        <v>160431.73000000001</v>
      </c>
      <c r="G436" s="105">
        <v>5023104.32</v>
      </c>
      <c r="H436" s="143">
        <v>42811.458580868057</v>
      </c>
      <c r="I436" s="143">
        <v>43176</v>
      </c>
      <c r="J436" t="s">
        <v>1629</v>
      </c>
      <c r="K436" t="s">
        <v>1280</v>
      </c>
      <c r="L436" t="s">
        <v>1630</v>
      </c>
      <c r="M436">
        <v>103126</v>
      </c>
      <c r="N436" t="s">
        <v>1608</v>
      </c>
      <c r="O436" t="s">
        <v>35</v>
      </c>
      <c r="P436" t="s">
        <v>121</v>
      </c>
      <c r="Q436" t="s">
        <v>26</v>
      </c>
      <c r="R436" s="105">
        <f>IF(Table__192.168.1.150_Daily_Delinquency_With_Sectors[[#This Row],[Days in Arrears]] &gt; 0, Table__192.168.1.150_Daily_Delinquency_With_Sectors[[#This Row],[Outstanding Balance]],0)</f>
        <v>4600869.3899999997</v>
      </c>
      <c r="S436" s="105">
        <f>IF(Table__192.168.1.150_Daily_Delinquency_With_Sectors[[#This Row],[Days in Arrears]] &gt; 30, Table__192.168.1.150_Daily_Delinquency_With_Sectors[[#This Row],[Outstanding Balance]],0)</f>
        <v>0</v>
      </c>
      <c r="T436" s="105">
        <f>IF(Table__192.168.1.150_Daily_Delinquency_With_Sectors[[#This Row],[Days in Arrears]] &gt; 90, Table__192.168.1.150_Daily_Delinquency_With_Sectors[[#This Row],[Outstanding Balance]],0)</f>
        <v>0</v>
      </c>
      <c r="U436" s="109">
        <f>IF(Table__192.168.1.150_Daily_Delinquency_With_Sectors[[#This Row],[Days in Arrears]] &gt;= 1,1,0)</f>
        <v>1</v>
      </c>
      <c r="V436" s="109">
        <f>IF(Table__192.168.1.150_Daily_Delinquency_With_Sectors[[#This Row],[Days in Arrears]] &gt; 30,1,0)</f>
        <v>0</v>
      </c>
      <c r="W436" s="109">
        <f>IF(Table__192.168.1.150_Daily_Delinquency_With_Sectors[[#This Row],[Days in Arrears]] &gt; 90,1,0)</f>
        <v>0</v>
      </c>
    </row>
    <row r="437" spans="1:23" x14ac:dyDescent="0.25">
      <c r="A437" t="s">
        <v>4275</v>
      </c>
      <c r="B437" t="s">
        <v>1279</v>
      </c>
      <c r="C437">
        <v>4</v>
      </c>
      <c r="D437" s="105">
        <v>694821.79</v>
      </c>
      <c r="E437" t="s">
        <v>963</v>
      </c>
      <c r="F437" s="105">
        <v>33396.97</v>
      </c>
      <c r="G437" s="105">
        <v>758272.97</v>
      </c>
      <c r="H437" s="143">
        <v>42814.751309525462</v>
      </c>
      <c r="I437" s="143">
        <v>43120</v>
      </c>
      <c r="J437" t="s">
        <v>4276</v>
      </c>
      <c r="K437" t="s">
        <v>1280</v>
      </c>
      <c r="L437" t="s">
        <v>1280</v>
      </c>
      <c r="M437">
        <v>103129</v>
      </c>
      <c r="N437" t="s">
        <v>4271</v>
      </c>
      <c r="O437" t="s">
        <v>44</v>
      </c>
      <c r="P437" t="s">
        <v>75</v>
      </c>
      <c r="Q437" t="s">
        <v>26</v>
      </c>
      <c r="R437" s="105">
        <f>IF(Table__192.168.1.150_Daily_Delinquency_With_Sectors[[#This Row],[Days in Arrears]] &gt; 0, Table__192.168.1.150_Daily_Delinquency_With_Sectors[[#This Row],[Outstanding Balance]],0)</f>
        <v>694821.79</v>
      </c>
      <c r="S437" s="105">
        <f>IF(Table__192.168.1.150_Daily_Delinquency_With_Sectors[[#This Row],[Days in Arrears]] &gt; 30, Table__192.168.1.150_Daily_Delinquency_With_Sectors[[#This Row],[Outstanding Balance]],0)</f>
        <v>0</v>
      </c>
      <c r="T437" s="105">
        <f>IF(Table__192.168.1.150_Daily_Delinquency_With_Sectors[[#This Row],[Days in Arrears]] &gt; 90, Table__192.168.1.150_Daily_Delinquency_With_Sectors[[#This Row],[Outstanding Balance]],0)</f>
        <v>0</v>
      </c>
      <c r="U437" s="109">
        <f>IF(Table__192.168.1.150_Daily_Delinquency_With_Sectors[[#This Row],[Days in Arrears]] &gt;= 1,1,0)</f>
        <v>1</v>
      </c>
      <c r="V437" s="109">
        <f>IF(Table__192.168.1.150_Daily_Delinquency_With_Sectors[[#This Row],[Days in Arrears]] &gt; 30,1,0)</f>
        <v>0</v>
      </c>
      <c r="W437" s="109">
        <f>IF(Table__192.168.1.150_Daily_Delinquency_With_Sectors[[#This Row],[Days in Arrears]] &gt; 90,1,0)</f>
        <v>0</v>
      </c>
    </row>
    <row r="438" spans="1:23" x14ac:dyDescent="0.25">
      <c r="A438" t="s">
        <v>4310</v>
      </c>
      <c r="B438" t="s">
        <v>1279</v>
      </c>
      <c r="C438">
        <v>61</v>
      </c>
      <c r="D438" s="105">
        <v>746175.73</v>
      </c>
      <c r="E438" t="s">
        <v>1039</v>
      </c>
      <c r="F438" s="105">
        <v>26024.85</v>
      </c>
      <c r="G438" s="105">
        <v>784840.74</v>
      </c>
      <c r="H438" s="143">
        <v>42816.715197534722</v>
      </c>
      <c r="I438" s="143">
        <v>43062</v>
      </c>
      <c r="J438" t="s">
        <v>4311</v>
      </c>
      <c r="K438" t="s">
        <v>1280</v>
      </c>
      <c r="L438" t="s">
        <v>1280</v>
      </c>
      <c r="M438">
        <v>103130</v>
      </c>
      <c r="N438" t="s">
        <v>4307</v>
      </c>
      <c r="O438" t="s">
        <v>25</v>
      </c>
      <c r="P438" t="s">
        <v>26</v>
      </c>
      <c r="Q438" t="s">
        <v>26</v>
      </c>
      <c r="R438" s="105">
        <f>IF(Table__192.168.1.150_Daily_Delinquency_With_Sectors[[#This Row],[Days in Arrears]] &gt; 0, Table__192.168.1.150_Daily_Delinquency_With_Sectors[[#This Row],[Outstanding Balance]],0)</f>
        <v>746175.73</v>
      </c>
      <c r="S438" s="105">
        <f>IF(Table__192.168.1.150_Daily_Delinquency_With_Sectors[[#This Row],[Days in Arrears]] &gt; 30, Table__192.168.1.150_Daily_Delinquency_With_Sectors[[#This Row],[Outstanding Balance]],0)</f>
        <v>746175.73</v>
      </c>
      <c r="T438" s="105">
        <f>IF(Table__192.168.1.150_Daily_Delinquency_With_Sectors[[#This Row],[Days in Arrears]] &gt; 90, Table__192.168.1.150_Daily_Delinquency_With_Sectors[[#This Row],[Outstanding Balance]],0)</f>
        <v>0</v>
      </c>
      <c r="U438" s="109">
        <f>IF(Table__192.168.1.150_Daily_Delinquency_With_Sectors[[#This Row],[Days in Arrears]] &gt;= 1,1,0)</f>
        <v>1</v>
      </c>
      <c r="V438" s="109">
        <f>IF(Table__192.168.1.150_Daily_Delinquency_With_Sectors[[#This Row],[Days in Arrears]] &gt; 30,1,0)</f>
        <v>1</v>
      </c>
      <c r="W438" s="109">
        <f>IF(Table__192.168.1.150_Daily_Delinquency_With_Sectors[[#This Row],[Days in Arrears]] &gt; 90,1,0)</f>
        <v>0</v>
      </c>
    </row>
    <row r="439" spans="1:23" x14ac:dyDescent="0.25">
      <c r="A439" t="s">
        <v>4285</v>
      </c>
      <c r="B439" t="s">
        <v>1282</v>
      </c>
      <c r="C439">
        <v>63</v>
      </c>
      <c r="D439" s="105">
        <v>1913905.56</v>
      </c>
      <c r="E439" t="s">
        <v>1467</v>
      </c>
      <c r="F439" s="105">
        <v>72845.52</v>
      </c>
      <c r="G439" s="105">
        <v>2096427.82</v>
      </c>
      <c r="H439" s="143">
        <v>42815.560575694442</v>
      </c>
      <c r="I439" s="143">
        <v>43121</v>
      </c>
      <c r="J439" t="s">
        <v>4286</v>
      </c>
      <c r="K439" t="s">
        <v>4287</v>
      </c>
      <c r="L439" t="s">
        <v>1280</v>
      </c>
      <c r="M439">
        <v>103131</v>
      </c>
      <c r="N439" t="s">
        <v>4278</v>
      </c>
      <c r="O439" t="s">
        <v>36</v>
      </c>
      <c r="P439" t="s">
        <v>1023</v>
      </c>
      <c r="Q439" t="s">
        <v>26</v>
      </c>
      <c r="R439" s="105">
        <f>IF(Table__192.168.1.150_Daily_Delinquency_With_Sectors[[#This Row],[Days in Arrears]] &gt; 0, Table__192.168.1.150_Daily_Delinquency_With_Sectors[[#This Row],[Outstanding Balance]],0)</f>
        <v>1913905.56</v>
      </c>
      <c r="S439" s="105">
        <f>IF(Table__192.168.1.150_Daily_Delinquency_With_Sectors[[#This Row],[Days in Arrears]] &gt; 30, Table__192.168.1.150_Daily_Delinquency_With_Sectors[[#This Row],[Outstanding Balance]],0)</f>
        <v>1913905.56</v>
      </c>
      <c r="T439" s="105">
        <f>IF(Table__192.168.1.150_Daily_Delinquency_With_Sectors[[#This Row],[Days in Arrears]] &gt; 90, Table__192.168.1.150_Daily_Delinquency_With_Sectors[[#This Row],[Outstanding Balance]],0)</f>
        <v>0</v>
      </c>
      <c r="U439" s="109">
        <f>IF(Table__192.168.1.150_Daily_Delinquency_With_Sectors[[#This Row],[Days in Arrears]] &gt;= 1,1,0)</f>
        <v>1</v>
      </c>
      <c r="V439" s="109">
        <f>IF(Table__192.168.1.150_Daily_Delinquency_With_Sectors[[#This Row],[Days in Arrears]] &gt; 30,1,0)</f>
        <v>1</v>
      </c>
      <c r="W439" s="109">
        <f>IF(Table__192.168.1.150_Daily_Delinquency_With_Sectors[[#This Row],[Days in Arrears]] &gt; 90,1,0)</f>
        <v>0</v>
      </c>
    </row>
    <row r="440" spans="1:23" x14ac:dyDescent="0.25">
      <c r="A440" t="s">
        <v>4333</v>
      </c>
      <c r="B440" t="s">
        <v>1283</v>
      </c>
      <c r="C440">
        <v>0</v>
      </c>
      <c r="D440" s="105">
        <v>16269963.73</v>
      </c>
      <c r="E440" t="s">
        <v>1448</v>
      </c>
      <c r="F440" s="105">
        <v>524254.39</v>
      </c>
      <c r="G440" s="105">
        <v>17932509.489999998</v>
      </c>
      <c r="H440" s="143">
        <v>42818.553093368057</v>
      </c>
      <c r="I440" s="143">
        <v>43183</v>
      </c>
      <c r="J440" t="s">
        <v>4334</v>
      </c>
      <c r="K440" t="s">
        <v>4335</v>
      </c>
      <c r="L440" t="s">
        <v>1280</v>
      </c>
      <c r="M440">
        <v>103134</v>
      </c>
      <c r="N440" t="s">
        <v>4331</v>
      </c>
      <c r="O440" t="s">
        <v>37</v>
      </c>
      <c r="P440" t="s">
        <v>38</v>
      </c>
      <c r="Q440" t="s">
        <v>39</v>
      </c>
      <c r="R440" s="105">
        <f>IF(Table__192.168.1.150_Daily_Delinquency_With_Sectors[[#This Row],[Days in Arrears]] &gt; 0, Table__192.168.1.150_Daily_Delinquency_With_Sectors[[#This Row],[Outstanding Balance]],0)</f>
        <v>0</v>
      </c>
      <c r="S440" s="105">
        <f>IF(Table__192.168.1.150_Daily_Delinquency_With_Sectors[[#This Row],[Days in Arrears]] &gt; 30, Table__192.168.1.150_Daily_Delinquency_With_Sectors[[#This Row],[Outstanding Balance]],0)</f>
        <v>0</v>
      </c>
      <c r="T440" s="105">
        <f>IF(Table__192.168.1.150_Daily_Delinquency_With_Sectors[[#This Row],[Days in Arrears]] &gt; 90, Table__192.168.1.150_Daily_Delinquency_With_Sectors[[#This Row],[Outstanding Balance]],0)</f>
        <v>0</v>
      </c>
      <c r="U440" s="109">
        <f>IF(Table__192.168.1.150_Daily_Delinquency_With_Sectors[[#This Row],[Days in Arrears]] &gt;= 1,1,0)</f>
        <v>0</v>
      </c>
      <c r="V440" s="109">
        <f>IF(Table__192.168.1.150_Daily_Delinquency_With_Sectors[[#This Row],[Days in Arrears]] &gt; 30,1,0)</f>
        <v>0</v>
      </c>
      <c r="W440" s="109">
        <f>IF(Table__192.168.1.150_Daily_Delinquency_With_Sectors[[#This Row],[Days in Arrears]] &gt; 90,1,0)</f>
        <v>0</v>
      </c>
    </row>
    <row r="441" spans="1:23" x14ac:dyDescent="0.25">
      <c r="A441" t="s">
        <v>4336</v>
      </c>
      <c r="B441" t="s">
        <v>1282</v>
      </c>
      <c r="C441">
        <v>150</v>
      </c>
      <c r="D441" s="105">
        <v>3750488.76</v>
      </c>
      <c r="E441" t="s">
        <v>546</v>
      </c>
      <c r="F441" s="105">
        <v>150839.75</v>
      </c>
      <c r="G441" s="105">
        <v>4212915.82</v>
      </c>
      <c r="H441" s="143">
        <v>42818.509962847224</v>
      </c>
      <c r="I441" s="143">
        <v>43063</v>
      </c>
      <c r="J441" t="s">
        <v>4337</v>
      </c>
      <c r="K441" t="s">
        <v>4338</v>
      </c>
      <c r="L441" t="s">
        <v>1280</v>
      </c>
      <c r="M441">
        <v>103135</v>
      </c>
      <c r="N441" t="s">
        <v>4326</v>
      </c>
      <c r="O441" t="s">
        <v>25</v>
      </c>
      <c r="P441" t="s">
        <v>295</v>
      </c>
      <c r="Q441" t="s">
        <v>26</v>
      </c>
      <c r="R441" s="105">
        <f>IF(Table__192.168.1.150_Daily_Delinquency_With_Sectors[[#This Row],[Days in Arrears]] &gt; 0, Table__192.168.1.150_Daily_Delinquency_With_Sectors[[#This Row],[Outstanding Balance]],0)</f>
        <v>3750488.76</v>
      </c>
      <c r="S441" s="105">
        <f>IF(Table__192.168.1.150_Daily_Delinquency_With_Sectors[[#This Row],[Days in Arrears]] &gt; 30, Table__192.168.1.150_Daily_Delinquency_With_Sectors[[#This Row],[Outstanding Balance]],0)</f>
        <v>3750488.76</v>
      </c>
      <c r="T441" s="105">
        <f>IF(Table__192.168.1.150_Daily_Delinquency_With_Sectors[[#This Row],[Days in Arrears]] &gt; 90, Table__192.168.1.150_Daily_Delinquency_With_Sectors[[#This Row],[Outstanding Balance]],0)</f>
        <v>3750488.76</v>
      </c>
      <c r="U441" s="109">
        <f>IF(Table__192.168.1.150_Daily_Delinquency_With_Sectors[[#This Row],[Days in Arrears]] &gt;= 1,1,0)</f>
        <v>1</v>
      </c>
      <c r="V441" s="109">
        <f>IF(Table__192.168.1.150_Daily_Delinquency_With_Sectors[[#This Row],[Days in Arrears]] &gt; 30,1,0)</f>
        <v>1</v>
      </c>
      <c r="W441" s="109">
        <f>IF(Table__192.168.1.150_Daily_Delinquency_With_Sectors[[#This Row],[Days in Arrears]] &gt; 90,1,0)</f>
        <v>1</v>
      </c>
    </row>
    <row r="442" spans="1:23" x14ac:dyDescent="0.25">
      <c r="A442" t="s">
        <v>858</v>
      </c>
      <c r="B442" t="s">
        <v>1282</v>
      </c>
      <c r="C442">
        <v>0</v>
      </c>
      <c r="D442" s="105">
        <v>3794810.74</v>
      </c>
      <c r="E442" t="s">
        <v>90</v>
      </c>
      <c r="F442" s="105">
        <v>146732.68</v>
      </c>
      <c r="G442" s="105">
        <v>4262086.91</v>
      </c>
      <c r="H442" s="143">
        <v>42818.624222951388</v>
      </c>
      <c r="I442" s="143">
        <v>43183</v>
      </c>
      <c r="J442" t="s">
        <v>859</v>
      </c>
      <c r="K442" t="s">
        <v>1280</v>
      </c>
      <c r="L442" t="s">
        <v>1280</v>
      </c>
      <c r="M442">
        <v>103136</v>
      </c>
      <c r="N442" t="s">
        <v>853</v>
      </c>
      <c r="O442" t="s">
        <v>25</v>
      </c>
      <c r="P442" t="s">
        <v>88</v>
      </c>
      <c r="Q442" t="s">
        <v>26</v>
      </c>
      <c r="R442" s="105">
        <f>IF(Table__192.168.1.150_Daily_Delinquency_With_Sectors[[#This Row],[Days in Arrears]] &gt; 0, Table__192.168.1.150_Daily_Delinquency_With_Sectors[[#This Row],[Outstanding Balance]],0)</f>
        <v>0</v>
      </c>
      <c r="S442" s="105">
        <f>IF(Table__192.168.1.150_Daily_Delinquency_With_Sectors[[#This Row],[Days in Arrears]] &gt; 30, Table__192.168.1.150_Daily_Delinquency_With_Sectors[[#This Row],[Outstanding Balance]],0)</f>
        <v>0</v>
      </c>
      <c r="T442" s="105">
        <f>IF(Table__192.168.1.150_Daily_Delinquency_With_Sectors[[#This Row],[Days in Arrears]] &gt; 90, Table__192.168.1.150_Daily_Delinquency_With_Sectors[[#This Row],[Outstanding Balance]],0)</f>
        <v>0</v>
      </c>
      <c r="U442" s="109">
        <f>IF(Table__192.168.1.150_Daily_Delinquency_With_Sectors[[#This Row],[Days in Arrears]] &gt;= 1,1,0)</f>
        <v>0</v>
      </c>
      <c r="V442" s="109">
        <f>IF(Table__192.168.1.150_Daily_Delinquency_With_Sectors[[#This Row],[Days in Arrears]] &gt; 30,1,0)</f>
        <v>0</v>
      </c>
      <c r="W442" s="109">
        <f>IF(Table__192.168.1.150_Daily_Delinquency_With_Sectors[[#This Row],[Days in Arrears]] &gt; 90,1,0)</f>
        <v>0</v>
      </c>
    </row>
    <row r="443" spans="1:23" x14ac:dyDescent="0.25">
      <c r="A443" t="s">
        <v>1012</v>
      </c>
      <c r="B443" t="s">
        <v>1282</v>
      </c>
      <c r="C443">
        <v>0</v>
      </c>
      <c r="D443" s="105">
        <v>3320459.39</v>
      </c>
      <c r="E443" t="s">
        <v>468</v>
      </c>
      <c r="F443" s="105">
        <v>128391.1</v>
      </c>
      <c r="G443" s="105">
        <v>3729326.04</v>
      </c>
      <c r="H443" s="143">
        <v>42818.652881828704</v>
      </c>
      <c r="I443" s="143">
        <v>43183</v>
      </c>
      <c r="J443" t="s">
        <v>1013</v>
      </c>
      <c r="K443" t="s">
        <v>1014</v>
      </c>
      <c r="L443" t="s">
        <v>1280</v>
      </c>
      <c r="M443">
        <v>103137</v>
      </c>
      <c r="N443" t="s">
        <v>1011</v>
      </c>
      <c r="O443" t="s">
        <v>44</v>
      </c>
      <c r="P443" t="s">
        <v>75</v>
      </c>
      <c r="Q443" t="s">
        <v>1442</v>
      </c>
      <c r="R443" s="105">
        <f>IF(Table__192.168.1.150_Daily_Delinquency_With_Sectors[[#This Row],[Days in Arrears]] &gt; 0, Table__192.168.1.150_Daily_Delinquency_With_Sectors[[#This Row],[Outstanding Balance]],0)</f>
        <v>0</v>
      </c>
      <c r="S443" s="105">
        <f>IF(Table__192.168.1.150_Daily_Delinquency_With_Sectors[[#This Row],[Days in Arrears]] &gt; 30, Table__192.168.1.150_Daily_Delinquency_With_Sectors[[#This Row],[Outstanding Balance]],0)</f>
        <v>0</v>
      </c>
      <c r="T443" s="105">
        <f>IF(Table__192.168.1.150_Daily_Delinquency_With_Sectors[[#This Row],[Days in Arrears]] &gt; 90, Table__192.168.1.150_Daily_Delinquency_With_Sectors[[#This Row],[Outstanding Balance]],0)</f>
        <v>0</v>
      </c>
      <c r="U443" s="109">
        <f>IF(Table__192.168.1.150_Daily_Delinquency_With_Sectors[[#This Row],[Days in Arrears]] &gt;= 1,1,0)</f>
        <v>0</v>
      </c>
      <c r="V443" s="109">
        <f>IF(Table__192.168.1.150_Daily_Delinquency_With_Sectors[[#This Row],[Days in Arrears]] &gt; 30,1,0)</f>
        <v>0</v>
      </c>
      <c r="W443" s="109">
        <f>IF(Table__192.168.1.150_Daily_Delinquency_With_Sectors[[#This Row],[Days in Arrears]] &gt; 90,1,0)</f>
        <v>0</v>
      </c>
    </row>
    <row r="444" spans="1:23" x14ac:dyDescent="0.25">
      <c r="A444" t="s">
        <v>4339</v>
      </c>
      <c r="B444" t="s">
        <v>1866</v>
      </c>
      <c r="C444">
        <v>0</v>
      </c>
      <c r="D444" s="105">
        <v>3095098.46</v>
      </c>
      <c r="E444" t="s">
        <v>468</v>
      </c>
      <c r="F444" s="105">
        <v>124663.69</v>
      </c>
      <c r="G444" s="105">
        <v>3356532.03</v>
      </c>
      <c r="H444" s="143">
        <v>42818.790010416669</v>
      </c>
      <c r="I444" s="143">
        <v>43124</v>
      </c>
      <c r="J444" t="s">
        <v>4340</v>
      </c>
      <c r="K444" t="s">
        <v>4341</v>
      </c>
      <c r="L444" t="s">
        <v>1280</v>
      </c>
      <c r="M444">
        <v>103138</v>
      </c>
      <c r="N444" t="s">
        <v>4330</v>
      </c>
      <c r="O444" t="s">
        <v>25</v>
      </c>
      <c r="P444" t="s">
        <v>26</v>
      </c>
      <c r="Q444" t="s">
        <v>26</v>
      </c>
      <c r="R444" s="105">
        <f>IF(Table__192.168.1.150_Daily_Delinquency_With_Sectors[[#This Row],[Days in Arrears]] &gt; 0, Table__192.168.1.150_Daily_Delinquency_With_Sectors[[#This Row],[Outstanding Balance]],0)</f>
        <v>0</v>
      </c>
      <c r="S444" s="105">
        <f>IF(Table__192.168.1.150_Daily_Delinquency_With_Sectors[[#This Row],[Days in Arrears]] &gt; 30, Table__192.168.1.150_Daily_Delinquency_With_Sectors[[#This Row],[Outstanding Balance]],0)</f>
        <v>0</v>
      </c>
      <c r="T444" s="105">
        <f>IF(Table__192.168.1.150_Daily_Delinquency_With_Sectors[[#This Row],[Days in Arrears]] &gt; 90, Table__192.168.1.150_Daily_Delinquency_With_Sectors[[#This Row],[Outstanding Balance]],0)</f>
        <v>0</v>
      </c>
      <c r="U444" s="109">
        <f>IF(Table__192.168.1.150_Daily_Delinquency_With_Sectors[[#This Row],[Days in Arrears]] &gt;= 1,1,0)</f>
        <v>0</v>
      </c>
      <c r="V444" s="109">
        <f>IF(Table__192.168.1.150_Daily_Delinquency_With_Sectors[[#This Row],[Days in Arrears]] &gt; 30,1,0)</f>
        <v>0</v>
      </c>
      <c r="W444" s="109">
        <f>IF(Table__192.168.1.150_Daily_Delinquency_With_Sectors[[#This Row],[Days in Arrears]] &gt; 90,1,0)</f>
        <v>0</v>
      </c>
    </row>
    <row r="445" spans="1:23" x14ac:dyDescent="0.25">
      <c r="A445" t="s">
        <v>2922</v>
      </c>
      <c r="B445" t="s">
        <v>1282</v>
      </c>
      <c r="C445">
        <v>0</v>
      </c>
      <c r="D445" s="105">
        <v>2737148.79</v>
      </c>
      <c r="E445" t="s">
        <v>90</v>
      </c>
      <c r="F445" s="105">
        <v>105836.42</v>
      </c>
      <c r="G445" s="105">
        <v>2958982.71</v>
      </c>
      <c r="H445" s="143">
        <v>42818.802715590275</v>
      </c>
      <c r="I445" s="143">
        <v>43124</v>
      </c>
      <c r="J445" t="s">
        <v>2923</v>
      </c>
      <c r="K445" t="s">
        <v>2924</v>
      </c>
      <c r="L445" t="s">
        <v>1280</v>
      </c>
      <c r="M445">
        <v>103139</v>
      </c>
      <c r="N445" t="s">
        <v>2921</v>
      </c>
      <c r="O445" t="s">
        <v>37</v>
      </c>
      <c r="P445" t="s">
        <v>38</v>
      </c>
      <c r="Q445" t="s">
        <v>39</v>
      </c>
      <c r="R445" s="105">
        <f>IF(Table__192.168.1.150_Daily_Delinquency_With_Sectors[[#This Row],[Days in Arrears]] &gt; 0, Table__192.168.1.150_Daily_Delinquency_With_Sectors[[#This Row],[Outstanding Balance]],0)</f>
        <v>0</v>
      </c>
      <c r="S445" s="105">
        <f>IF(Table__192.168.1.150_Daily_Delinquency_With_Sectors[[#This Row],[Days in Arrears]] &gt; 30, Table__192.168.1.150_Daily_Delinquency_With_Sectors[[#This Row],[Outstanding Balance]],0)</f>
        <v>0</v>
      </c>
      <c r="T445" s="105">
        <f>IF(Table__192.168.1.150_Daily_Delinquency_With_Sectors[[#This Row],[Days in Arrears]] &gt; 90, Table__192.168.1.150_Daily_Delinquency_With_Sectors[[#This Row],[Outstanding Balance]],0)</f>
        <v>0</v>
      </c>
      <c r="U445" s="109">
        <f>IF(Table__192.168.1.150_Daily_Delinquency_With_Sectors[[#This Row],[Days in Arrears]] &gt;= 1,1,0)</f>
        <v>0</v>
      </c>
      <c r="V445" s="109">
        <f>IF(Table__192.168.1.150_Daily_Delinquency_With_Sectors[[#This Row],[Days in Arrears]] &gt; 30,1,0)</f>
        <v>0</v>
      </c>
      <c r="W445" s="109">
        <f>IF(Table__192.168.1.150_Daily_Delinquency_With_Sectors[[#This Row],[Days in Arrears]] &gt; 90,1,0)</f>
        <v>0</v>
      </c>
    </row>
    <row r="446" spans="1:23" x14ac:dyDescent="0.25">
      <c r="A446" t="s">
        <v>4361</v>
      </c>
      <c r="B446" t="s">
        <v>1283</v>
      </c>
      <c r="C446">
        <v>-7</v>
      </c>
      <c r="D446" s="105">
        <v>23093684.050000001</v>
      </c>
      <c r="E446" t="s">
        <v>86</v>
      </c>
      <c r="F446" s="105">
        <v>508061.05</v>
      </c>
      <c r="G446" s="105">
        <v>25213057.41</v>
      </c>
      <c r="H446" s="143">
        <v>42821.535370682868</v>
      </c>
      <c r="I446" s="143">
        <v>43191</v>
      </c>
      <c r="J446" t="s">
        <v>4362</v>
      </c>
      <c r="K446" t="s">
        <v>1280</v>
      </c>
      <c r="L446" t="s">
        <v>1280</v>
      </c>
      <c r="M446">
        <v>103141</v>
      </c>
      <c r="N446" t="s">
        <v>4356</v>
      </c>
      <c r="O446" t="s">
        <v>25</v>
      </c>
      <c r="P446" t="s">
        <v>106</v>
      </c>
      <c r="Q446" t="s">
        <v>4357</v>
      </c>
      <c r="R446" s="105">
        <f>IF(Table__192.168.1.150_Daily_Delinquency_With_Sectors[[#This Row],[Days in Arrears]] &gt; 0, Table__192.168.1.150_Daily_Delinquency_With_Sectors[[#This Row],[Outstanding Balance]],0)</f>
        <v>0</v>
      </c>
      <c r="S446" s="105">
        <f>IF(Table__192.168.1.150_Daily_Delinquency_With_Sectors[[#This Row],[Days in Arrears]] &gt; 30, Table__192.168.1.150_Daily_Delinquency_With_Sectors[[#This Row],[Outstanding Balance]],0)</f>
        <v>0</v>
      </c>
      <c r="T446" s="105">
        <f>IF(Table__192.168.1.150_Daily_Delinquency_With_Sectors[[#This Row],[Days in Arrears]] &gt; 90, Table__192.168.1.150_Daily_Delinquency_With_Sectors[[#This Row],[Outstanding Balance]],0)</f>
        <v>0</v>
      </c>
      <c r="U446" s="109">
        <f>IF(Table__192.168.1.150_Daily_Delinquency_With_Sectors[[#This Row],[Days in Arrears]] &gt;= 1,1,0)</f>
        <v>0</v>
      </c>
      <c r="V446" s="109">
        <f>IF(Table__192.168.1.150_Daily_Delinquency_With_Sectors[[#This Row],[Days in Arrears]] &gt; 30,1,0)</f>
        <v>0</v>
      </c>
      <c r="W446" s="109">
        <f>IF(Table__192.168.1.150_Daily_Delinquency_With_Sectors[[#This Row],[Days in Arrears]] &gt; 90,1,0)</f>
        <v>0</v>
      </c>
    </row>
    <row r="447" spans="1:23" x14ac:dyDescent="0.25">
      <c r="A447" t="s">
        <v>4363</v>
      </c>
      <c r="B447" t="s">
        <v>1279</v>
      </c>
      <c r="C447">
        <v>23</v>
      </c>
      <c r="D447" s="105">
        <v>272314.43</v>
      </c>
      <c r="E447" t="s">
        <v>2494</v>
      </c>
      <c r="F447" s="105">
        <v>7222.74</v>
      </c>
      <c r="G447" s="105">
        <v>282163.63</v>
      </c>
      <c r="H447" s="143">
        <v>42821.547604201391</v>
      </c>
      <c r="I447" s="143">
        <v>43070</v>
      </c>
      <c r="J447" t="s">
        <v>4364</v>
      </c>
      <c r="K447" t="s">
        <v>1280</v>
      </c>
      <c r="L447" t="s">
        <v>1280</v>
      </c>
      <c r="M447">
        <v>103142</v>
      </c>
      <c r="N447" t="s">
        <v>4360</v>
      </c>
      <c r="O447" t="s">
        <v>25</v>
      </c>
      <c r="P447" t="s">
        <v>26</v>
      </c>
      <c r="Q447" t="s">
        <v>26</v>
      </c>
      <c r="R447" s="105">
        <f>IF(Table__192.168.1.150_Daily_Delinquency_With_Sectors[[#This Row],[Days in Arrears]] &gt; 0, Table__192.168.1.150_Daily_Delinquency_With_Sectors[[#This Row],[Outstanding Balance]],0)</f>
        <v>272314.43</v>
      </c>
      <c r="S447" s="105">
        <f>IF(Table__192.168.1.150_Daily_Delinquency_With_Sectors[[#This Row],[Days in Arrears]] &gt; 30, Table__192.168.1.150_Daily_Delinquency_With_Sectors[[#This Row],[Outstanding Balance]],0)</f>
        <v>0</v>
      </c>
      <c r="T447" s="105">
        <f>IF(Table__192.168.1.150_Daily_Delinquency_With_Sectors[[#This Row],[Days in Arrears]] &gt; 90, Table__192.168.1.150_Daily_Delinquency_With_Sectors[[#This Row],[Outstanding Balance]],0)</f>
        <v>0</v>
      </c>
      <c r="U447" s="109">
        <f>IF(Table__192.168.1.150_Daily_Delinquency_With_Sectors[[#This Row],[Days in Arrears]] &gt;= 1,1,0)</f>
        <v>1</v>
      </c>
      <c r="V447" s="109">
        <f>IF(Table__192.168.1.150_Daily_Delinquency_With_Sectors[[#This Row],[Days in Arrears]] &gt; 30,1,0)</f>
        <v>0</v>
      </c>
      <c r="W447" s="109">
        <f>IF(Table__192.168.1.150_Daily_Delinquency_With_Sectors[[#This Row],[Days in Arrears]] &gt; 90,1,0)</f>
        <v>0</v>
      </c>
    </row>
    <row r="448" spans="1:23" x14ac:dyDescent="0.25">
      <c r="A448" t="s">
        <v>4365</v>
      </c>
      <c r="B448" t="s">
        <v>1282</v>
      </c>
      <c r="C448">
        <v>0</v>
      </c>
      <c r="D448" s="105">
        <v>2876153.22</v>
      </c>
      <c r="E448" t="s">
        <v>2175</v>
      </c>
      <c r="F448" s="105">
        <v>125112.67</v>
      </c>
      <c r="G448" s="105">
        <v>3275818.28</v>
      </c>
      <c r="H448" s="143">
        <v>42821.581233136574</v>
      </c>
      <c r="I448" s="143">
        <v>43183</v>
      </c>
      <c r="J448" t="s">
        <v>4366</v>
      </c>
      <c r="K448" t="s">
        <v>4367</v>
      </c>
      <c r="L448" t="s">
        <v>1280</v>
      </c>
      <c r="M448">
        <v>103143</v>
      </c>
      <c r="N448" t="s">
        <v>4358</v>
      </c>
      <c r="O448" t="s">
        <v>25</v>
      </c>
      <c r="P448" t="s">
        <v>32</v>
      </c>
      <c r="Q448" t="s">
        <v>517</v>
      </c>
      <c r="R448" s="105">
        <f>IF(Table__192.168.1.150_Daily_Delinquency_With_Sectors[[#This Row],[Days in Arrears]] &gt; 0, Table__192.168.1.150_Daily_Delinquency_With_Sectors[[#This Row],[Outstanding Balance]],0)</f>
        <v>0</v>
      </c>
      <c r="S448" s="105">
        <f>IF(Table__192.168.1.150_Daily_Delinquency_With_Sectors[[#This Row],[Days in Arrears]] &gt; 30, Table__192.168.1.150_Daily_Delinquency_With_Sectors[[#This Row],[Outstanding Balance]],0)</f>
        <v>0</v>
      </c>
      <c r="T448" s="105">
        <f>IF(Table__192.168.1.150_Daily_Delinquency_With_Sectors[[#This Row],[Days in Arrears]] &gt; 90, Table__192.168.1.150_Daily_Delinquency_With_Sectors[[#This Row],[Outstanding Balance]],0)</f>
        <v>0</v>
      </c>
      <c r="U448" s="109">
        <f>IF(Table__192.168.1.150_Daily_Delinquency_With_Sectors[[#This Row],[Days in Arrears]] &gt;= 1,1,0)</f>
        <v>0</v>
      </c>
      <c r="V448" s="109">
        <f>IF(Table__192.168.1.150_Daily_Delinquency_With_Sectors[[#This Row],[Days in Arrears]] &gt; 30,1,0)</f>
        <v>0</v>
      </c>
      <c r="W448" s="109">
        <f>IF(Table__192.168.1.150_Daily_Delinquency_With_Sectors[[#This Row],[Days in Arrears]] &gt; 90,1,0)</f>
        <v>0</v>
      </c>
    </row>
    <row r="449" spans="1:23" x14ac:dyDescent="0.25">
      <c r="A449" t="s">
        <v>2932</v>
      </c>
      <c r="B449" t="s">
        <v>1279</v>
      </c>
      <c r="C449">
        <v>-7</v>
      </c>
      <c r="D449" s="105">
        <v>1715104.46</v>
      </c>
      <c r="E449" t="s">
        <v>2494</v>
      </c>
      <c r="F449" s="105">
        <v>50309.73</v>
      </c>
      <c r="G449" s="105">
        <v>1854106.16</v>
      </c>
      <c r="H449" s="143">
        <v>42823.50057758102</v>
      </c>
      <c r="I449" s="143">
        <v>43132</v>
      </c>
      <c r="J449" t="s">
        <v>2933</v>
      </c>
      <c r="K449" t="s">
        <v>2934</v>
      </c>
      <c r="L449" t="s">
        <v>1280</v>
      </c>
      <c r="M449">
        <v>103144</v>
      </c>
      <c r="N449" t="s">
        <v>2931</v>
      </c>
      <c r="O449" t="s">
        <v>25</v>
      </c>
      <c r="P449" t="s">
        <v>88</v>
      </c>
      <c r="Q449" t="s">
        <v>285</v>
      </c>
      <c r="R449" s="105">
        <f>IF(Table__192.168.1.150_Daily_Delinquency_With_Sectors[[#This Row],[Days in Arrears]] &gt; 0, Table__192.168.1.150_Daily_Delinquency_With_Sectors[[#This Row],[Outstanding Balance]],0)</f>
        <v>0</v>
      </c>
      <c r="S449" s="105">
        <f>IF(Table__192.168.1.150_Daily_Delinquency_With_Sectors[[#This Row],[Days in Arrears]] &gt; 30, Table__192.168.1.150_Daily_Delinquency_With_Sectors[[#This Row],[Outstanding Balance]],0)</f>
        <v>0</v>
      </c>
      <c r="T449" s="105">
        <f>IF(Table__192.168.1.150_Daily_Delinquency_With_Sectors[[#This Row],[Days in Arrears]] &gt; 90, Table__192.168.1.150_Daily_Delinquency_With_Sectors[[#This Row],[Outstanding Balance]],0)</f>
        <v>0</v>
      </c>
      <c r="U449" s="109">
        <f>IF(Table__192.168.1.150_Daily_Delinquency_With_Sectors[[#This Row],[Days in Arrears]] &gt;= 1,1,0)</f>
        <v>0</v>
      </c>
      <c r="V449" s="109">
        <f>IF(Table__192.168.1.150_Daily_Delinquency_With_Sectors[[#This Row],[Days in Arrears]] &gt; 30,1,0)</f>
        <v>0</v>
      </c>
      <c r="W449" s="109">
        <f>IF(Table__192.168.1.150_Daily_Delinquency_With_Sectors[[#This Row],[Days in Arrears]] &gt; 90,1,0)</f>
        <v>0</v>
      </c>
    </row>
    <row r="450" spans="1:23" x14ac:dyDescent="0.25">
      <c r="A450" t="s">
        <v>4376</v>
      </c>
      <c r="B450" t="s">
        <v>1866</v>
      </c>
      <c r="C450">
        <v>-7</v>
      </c>
      <c r="D450" s="105">
        <v>4712721.71</v>
      </c>
      <c r="E450" t="s">
        <v>4684</v>
      </c>
      <c r="F450" s="105">
        <v>126719.85</v>
      </c>
      <c r="G450" s="105">
        <v>5243559.3</v>
      </c>
      <c r="H450" s="143">
        <v>42822.714810034726</v>
      </c>
      <c r="I450" s="143">
        <v>43191</v>
      </c>
      <c r="J450" t="s">
        <v>4377</v>
      </c>
      <c r="K450" t="s">
        <v>1280</v>
      </c>
      <c r="L450" t="s">
        <v>1280</v>
      </c>
      <c r="M450">
        <v>103145</v>
      </c>
      <c r="N450" t="s">
        <v>4375</v>
      </c>
      <c r="O450" t="s">
        <v>29</v>
      </c>
      <c r="P450" t="s">
        <v>96</v>
      </c>
      <c r="Q450" t="s">
        <v>96</v>
      </c>
      <c r="R450" s="105">
        <f>IF(Table__192.168.1.150_Daily_Delinquency_With_Sectors[[#This Row],[Days in Arrears]] &gt; 0, Table__192.168.1.150_Daily_Delinquency_With_Sectors[[#This Row],[Outstanding Balance]],0)</f>
        <v>0</v>
      </c>
      <c r="S450" s="105">
        <f>IF(Table__192.168.1.150_Daily_Delinquency_With_Sectors[[#This Row],[Days in Arrears]] &gt; 30, Table__192.168.1.150_Daily_Delinquency_With_Sectors[[#This Row],[Outstanding Balance]],0)</f>
        <v>0</v>
      </c>
      <c r="T450" s="105">
        <f>IF(Table__192.168.1.150_Daily_Delinquency_With_Sectors[[#This Row],[Days in Arrears]] &gt; 90, Table__192.168.1.150_Daily_Delinquency_With_Sectors[[#This Row],[Outstanding Balance]],0)</f>
        <v>0</v>
      </c>
      <c r="U450" s="109">
        <f>IF(Table__192.168.1.150_Daily_Delinquency_With_Sectors[[#This Row],[Days in Arrears]] &gt;= 1,1,0)</f>
        <v>0</v>
      </c>
      <c r="V450" s="109">
        <f>IF(Table__192.168.1.150_Daily_Delinquency_With_Sectors[[#This Row],[Days in Arrears]] &gt; 30,1,0)</f>
        <v>0</v>
      </c>
      <c r="W450" s="109">
        <f>IF(Table__192.168.1.150_Daily_Delinquency_With_Sectors[[#This Row],[Days in Arrears]] &gt; 90,1,0)</f>
        <v>0</v>
      </c>
    </row>
    <row r="451" spans="1:23" x14ac:dyDescent="0.25">
      <c r="A451" t="s">
        <v>4378</v>
      </c>
      <c r="B451" t="s">
        <v>1279</v>
      </c>
      <c r="C451">
        <v>53</v>
      </c>
      <c r="D451" s="105">
        <v>465821.2</v>
      </c>
      <c r="E451" t="s">
        <v>90</v>
      </c>
      <c r="F451" s="105">
        <v>20961.95</v>
      </c>
      <c r="G451" s="105">
        <v>486783.15</v>
      </c>
      <c r="H451" s="143">
        <v>42822.749953356484</v>
      </c>
      <c r="I451" s="143">
        <v>43009</v>
      </c>
      <c r="J451" t="s">
        <v>4379</v>
      </c>
      <c r="K451" t="s">
        <v>1280</v>
      </c>
      <c r="L451" t="s">
        <v>1280</v>
      </c>
      <c r="M451">
        <v>103146</v>
      </c>
      <c r="N451" t="s">
        <v>4374</v>
      </c>
      <c r="O451" t="s">
        <v>46</v>
      </c>
      <c r="P451" t="s">
        <v>46</v>
      </c>
      <c r="Q451" t="s">
        <v>112</v>
      </c>
      <c r="R451" s="105">
        <f>IF(Table__192.168.1.150_Daily_Delinquency_With_Sectors[[#This Row],[Days in Arrears]] &gt; 0, Table__192.168.1.150_Daily_Delinquency_With_Sectors[[#This Row],[Outstanding Balance]],0)</f>
        <v>465821.2</v>
      </c>
      <c r="S451" s="105">
        <f>IF(Table__192.168.1.150_Daily_Delinquency_With_Sectors[[#This Row],[Days in Arrears]] &gt; 30, Table__192.168.1.150_Daily_Delinquency_With_Sectors[[#This Row],[Outstanding Balance]],0)</f>
        <v>465821.2</v>
      </c>
      <c r="T451" s="105">
        <f>IF(Table__192.168.1.150_Daily_Delinquency_With_Sectors[[#This Row],[Days in Arrears]] &gt; 90, Table__192.168.1.150_Daily_Delinquency_With_Sectors[[#This Row],[Outstanding Balance]],0)</f>
        <v>0</v>
      </c>
      <c r="U451" s="109">
        <f>IF(Table__192.168.1.150_Daily_Delinquency_With_Sectors[[#This Row],[Days in Arrears]] &gt;= 1,1,0)</f>
        <v>1</v>
      </c>
      <c r="V451" s="109">
        <f>IF(Table__192.168.1.150_Daily_Delinquency_With_Sectors[[#This Row],[Days in Arrears]] &gt; 30,1,0)</f>
        <v>1</v>
      </c>
      <c r="W451" s="109">
        <f>IF(Table__192.168.1.150_Daily_Delinquency_With_Sectors[[#This Row],[Days in Arrears]] &gt; 90,1,0)</f>
        <v>0</v>
      </c>
    </row>
    <row r="452" spans="1:23" x14ac:dyDescent="0.25">
      <c r="A452" t="s">
        <v>1524</v>
      </c>
      <c r="B452" t="s">
        <v>1283</v>
      </c>
      <c r="C452">
        <v>-7</v>
      </c>
      <c r="D452" s="105">
        <v>42841416.07</v>
      </c>
      <c r="E452" t="s">
        <v>1925</v>
      </c>
      <c r="F452" s="105">
        <v>942511.15</v>
      </c>
      <c r="G452" s="105">
        <v>55316536.509999998</v>
      </c>
      <c r="H452" s="143">
        <v>42823.728314814813</v>
      </c>
      <c r="I452" s="143">
        <v>43556</v>
      </c>
      <c r="J452" t="s">
        <v>1525</v>
      </c>
      <c r="K452" t="s">
        <v>1526</v>
      </c>
      <c r="L452" t="s">
        <v>1280</v>
      </c>
      <c r="M452">
        <v>103147</v>
      </c>
      <c r="N452" t="s">
        <v>1520</v>
      </c>
      <c r="O452" t="s">
        <v>25</v>
      </c>
      <c r="P452" t="s">
        <v>88</v>
      </c>
      <c r="Q452" t="s">
        <v>285</v>
      </c>
      <c r="R452" s="105">
        <f>IF(Table__192.168.1.150_Daily_Delinquency_With_Sectors[[#This Row],[Days in Arrears]] &gt; 0, Table__192.168.1.150_Daily_Delinquency_With_Sectors[[#This Row],[Outstanding Balance]],0)</f>
        <v>0</v>
      </c>
      <c r="S452" s="105">
        <f>IF(Table__192.168.1.150_Daily_Delinquency_With_Sectors[[#This Row],[Days in Arrears]] &gt; 30, Table__192.168.1.150_Daily_Delinquency_With_Sectors[[#This Row],[Outstanding Balance]],0)</f>
        <v>0</v>
      </c>
      <c r="T452" s="105">
        <f>IF(Table__192.168.1.150_Daily_Delinquency_With_Sectors[[#This Row],[Days in Arrears]] &gt; 90, Table__192.168.1.150_Daily_Delinquency_With_Sectors[[#This Row],[Outstanding Balance]],0)</f>
        <v>0</v>
      </c>
      <c r="U452" s="109">
        <f>IF(Table__192.168.1.150_Daily_Delinquency_With_Sectors[[#This Row],[Days in Arrears]] &gt;= 1,1,0)</f>
        <v>0</v>
      </c>
      <c r="V452" s="109">
        <f>IF(Table__192.168.1.150_Daily_Delinquency_With_Sectors[[#This Row],[Days in Arrears]] &gt; 30,1,0)</f>
        <v>0</v>
      </c>
      <c r="W452" s="109">
        <f>IF(Table__192.168.1.150_Daily_Delinquency_With_Sectors[[#This Row],[Days in Arrears]] &gt; 90,1,0)</f>
        <v>0</v>
      </c>
    </row>
    <row r="453" spans="1:23" x14ac:dyDescent="0.25">
      <c r="A453" t="s">
        <v>635</v>
      </c>
      <c r="B453" t="s">
        <v>1283</v>
      </c>
      <c r="C453">
        <v>23</v>
      </c>
      <c r="D453" s="105">
        <v>28451425.239999998</v>
      </c>
      <c r="E453" t="s">
        <v>86</v>
      </c>
      <c r="F453" s="105">
        <v>1205040.52</v>
      </c>
      <c r="G453" s="105">
        <v>36988287.609999999</v>
      </c>
      <c r="H453" s="143">
        <v>42824.69433283565</v>
      </c>
      <c r="I453" s="143">
        <v>43556</v>
      </c>
      <c r="J453" t="s">
        <v>636</v>
      </c>
      <c r="K453" t="s">
        <v>637</v>
      </c>
      <c r="L453" t="s">
        <v>1280</v>
      </c>
      <c r="M453">
        <v>103148</v>
      </c>
      <c r="N453" t="s">
        <v>634</v>
      </c>
      <c r="O453" t="s">
        <v>25</v>
      </c>
      <c r="P453" t="s">
        <v>94</v>
      </c>
      <c r="Q453" t="s">
        <v>26</v>
      </c>
      <c r="R453" s="105">
        <f>IF(Table__192.168.1.150_Daily_Delinquency_With_Sectors[[#This Row],[Days in Arrears]] &gt; 0, Table__192.168.1.150_Daily_Delinquency_With_Sectors[[#This Row],[Outstanding Balance]],0)</f>
        <v>28451425.239999998</v>
      </c>
      <c r="S453" s="105">
        <f>IF(Table__192.168.1.150_Daily_Delinquency_With_Sectors[[#This Row],[Days in Arrears]] &gt; 30, Table__192.168.1.150_Daily_Delinquency_With_Sectors[[#This Row],[Outstanding Balance]],0)</f>
        <v>0</v>
      </c>
      <c r="T453" s="105">
        <f>IF(Table__192.168.1.150_Daily_Delinquency_With_Sectors[[#This Row],[Days in Arrears]] &gt; 90, Table__192.168.1.150_Daily_Delinquency_With_Sectors[[#This Row],[Outstanding Balance]],0)</f>
        <v>0</v>
      </c>
      <c r="U453" s="109">
        <f>IF(Table__192.168.1.150_Daily_Delinquency_With_Sectors[[#This Row],[Days in Arrears]] &gt;= 1,1,0)</f>
        <v>1</v>
      </c>
      <c r="V453" s="109">
        <f>IF(Table__192.168.1.150_Daily_Delinquency_With_Sectors[[#This Row],[Days in Arrears]] &gt; 30,1,0)</f>
        <v>0</v>
      </c>
      <c r="W453" s="109">
        <f>IF(Table__192.168.1.150_Daily_Delinquency_With_Sectors[[#This Row],[Days in Arrears]] &gt; 90,1,0)</f>
        <v>0</v>
      </c>
    </row>
    <row r="454" spans="1:23" x14ac:dyDescent="0.25">
      <c r="A454" t="s">
        <v>4424</v>
      </c>
      <c r="B454" t="s">
        <v>1281</v>
      </c>
      <c r="C454">
        <v>53</v>
      </c>
      <c r="D454" s="105">
        <v>12807037.58</v>
      </c>
      <c r="E454" t="s">
        <v>2861</v>
      </c>
      <c r="F454" s="105">
        <v>957454.77</v>
      </c>
      <c r="G454" s="105">
        <v>14939164.550000001</v>
      </c>
      <c r="H454" s="143">
        <v>42825.540685879627</v>
      </c>
      <c r="I454" s="143">
        <v>43192</v>
      </c>
      <c r="J454" t="s">
        <v>4425</v>
      </c>
      <c r="K454" t="s">
        <v>1280</v>
      </c>
      <c r="L454" t="s">
        <v>1280</v>
      </c>
      <c r="M454">
        <v>103149</v>
      </c>
      <c r="N454" t="s">
        <v>4420</v>
      </c>
      <c r="O454" t="s">
        <v>25</v>
      </c>
      <c r="P454" t="s">
        <v>101</v>
      </c>
      <c r="Q454" t="s">
        <v>95</v>
      </c>
      <c r="R454" s="105">
        <f>IF(Table__192.168.1.150_Daily_Delinquency_With_Sectors[[#This Row],[Days in Arrears]] &gt; 0, Table__192.168.1.150_Daily_Delinquency_With_Sectors[[#This Row],[Outstanding Balance]],0)</f>
        <v>12807037.58</v>
      </c>
      <c r="S454" s="105">
        <f>IF(Table__192.168.1.150_Daily_Delinquency_With_Sectors[[#This Row],[Days in Arrears]] &gt; 30, Table__192.168.1.150_Daily_Delinquency_With_Sectors[[#This Row],[Outstanding Balance]],0)</f>
        <v>12807037.58</v>
      </c>
      <c r="T454" s="105">
        <f>IF(Table__192.168.1.150_Daily_Delinquency_With_Sectors[[#This Row],[Days in Arrears]] &gt; 90, Table__192.168.1.150_Daily_Delinquency_With_Sectors[[#This Row],[Outstanding Balance]],0)</f>
        <v>0</v>
      </c>
      <c r="U454" s="109">
        <f>IF(Table__192.168.1.150_Daily_Delinquency_With_Sectors[[#This Row],[Days in Arrears]] &gt;= 1,1,0)</f>
        <v>1</v>
      </c>
      <c r="V454" s="109">
        <f>IF(Table__192.168.1.150_Daily_Delinquency_With_Sectors[[#This Row],[Days in Arrears]] &gt; 30,1,0)</f>
        <v>1</v>
      </c>
      <c r="W454" s="109">
        <f>IF(Table__192.168.1.150_Daily_Delinquency_With_Sectors[[#This Row],[Days in Arrears]] &gt; 90,1,0)</f>
        <v>0</v>
      </c>
    </row>
    <row r="455" spans="1:23" x14ac:dyDescent="0.25">
      <c r="A455" t="s">
        <v>2351</v>
      </c>
      <c r="B455" t="s">
        <v>1282</v>
      </c>
      <c r="C455">
        <v>-7</v>
      </c>
      <c r="D455" s="105">
        <v>2377838.12</v>
      </c>
      <c r="E455" t="s">
        <v>1909</v>
      </c>
      <c r="F455" s="105">
        <v>69749.919999999998</v>
      </c>
      <c r="G455" s="105">
        <v>2670634.56</v>
      </c>
      <c r="H455" s="143">
        <v>42823.699560844907</v>
      </c>
      <c r="I455" s="143">
        <v>43191</v>
      </c>
      <c r="J455" t="s">
        <v>2352</v>
      </c>
      <c r="K455" t="s">
        <v>2353</v>
      </c>
      <c r="L455" t="s">
        <v>1280</v>
      </c>
      <c r="M455">
        <v>103151</v>
      </c>
      <c r="N455" t="s">
        <v>1143</v>
      </c>
      <c r="O455" t="s">
        <v>44</v>
      </c>
      <c r="P455" t="s">
        <v>75</v>
      </c>
      <c r="Q455" t="s">
        <v>26</v>
      </c>
      <c r="R455" s="105">
        <f>IF(Table__192.168.1.150_Daily_Delinquency_With_Sectors[[#This Row],[Days in Arrears]] &gt; 0, Table__192.168.1.150_Daily_Delinquency_With_Sectors[[#This Row],[Outstanding Balance]],0)</f>
        <v>0</v>
      </c>
      <c r="S455" s="105">
        <f>IF(Table__192.168.1.150_Daily_Delinquency_With_Sectors[[#This Row],[Days in Arrears]] &gt; 30, Table__192.168.1.150_Daily_Delinquency_With_Sectors[[#This Row],[Outstanding Balance]],0)</f>
        <v>0</v>
      </c>
      <c r="T455" s="105">
        <f>IF(Table__192.168.1.150_Daily_Delinquency_With_Sectors[[#This Row],[Days in Arrears]] &gt; 90, Table__192.168.1.150_Daily_Delinquency_With_Sectors[[#This Row],[Outstanding Balance]],0)</f>
        <v>0</v>
      </c>
      <c r="U455" s="109">
        <f>IF(Table__192.168.1.150_Daily_Delinquency_With_Sectors[[#This Row],[Days in Arrears]] &gt;= 1,1,0)</f>
        <v>0</v>
      </c>
      <c r="V455" s="109">
        <f>IF(Table__192.168.1.150_Daily_Delinquency_With_Sectors[[#This Row],[Days in Arrears]] &gt; 30,1,0)</f>
        <v>0</v>
      </c>
      <c r="W455" s="109">
        <f>IF(Table__192.168.1.150_Daily_Delinquency_With_Sectors[[#This Row],[Days in Arrears]] &gt; 90,1,0)</f>
        <v>0</v>
      </c>
    </row>
    <row r="456" spans="1:23" x14ac:dyDescent="0.25">
      <c r="A456" t="s">
        <v>4426</v>
      </c>
      <c r="B456" t="s">
        <v>1282</v>
      </c>
      <c r="C456">
        <v>-7</v>
      </c>
      <c r="D456" s="105">
        <v>2892738.38</v>
      </c>
      <c r="E456" t="s">
        <v>1039</v>
      </c>
      <c r="F456" s="105">
        <v>95460.37</v>
      </c>
      <c r="G456" s="105">
        <v>3294708.09</v>
      </c>
      <c r="H456" s="143">
        <v>42825.540231712963</v>
      </c>
      <c r="I456" s="143">
        <v>43191</v>
      </c>
      <c r="J456" t="s">
        <v>4427</v>
      </c>
      <c r="K456" t="s">
        <v>1280</v>
      </c>
      <c r="L456" t="s">
        <v>1280</v>
      </c>
      <c r="M456">
        <v>103152</v>
      </c>
      <c r="N456" t="s">
        <v>4417</v>
      </c>
      <c r="O456" t="s">
        <v>27</v>
      </c>
      <c r="P456" t="s">
        <v>26</v>
      </c>
      <c r="Q456" t="s">
        <v>26</v>
      </c>
      <c r="R456" s="105">
        <f>IF(Table__192.168.1.150_Daily_Delinquency_With_Sectors[[#This Row],[Days in Arrears]] &gt; 0, Table__192.168.1.150_Daily_Delinquency_With_Sectors[[#This Row],[Outstanding Balance]],0)</f>
        <v>0</v>
      </c>
      <c r="S456" s="105">
        <f>IF(Table__192.168.1.150_Daily_Delinquency_With_Sectors[[#This Row],[Days in Arrears]] &gt; 30, Table__192.168.1.150_Daily_Delinquency_With_Sectors[[#This Row],[Outstanding Balance]],0)</f>
        <v>0</v>
      </c>
      <c r="T456" s="105">
        <f>IF(Table__192.168.1.150_Daily_Delinquency_With_Sectors[[#This Row],[Days in Arrears]] &gt; 90, Table__192.168.1.150_Daily_Delinquency_With_Sectors[[#This Row],[Outstanding Balance]],0)</f>
        <v>0</v>
      </c>
      <c r="U456" s="109">
        <f>IF(Table__192.168.1.150_Daily_Delinquency_With_Sectors[[#This Row],[Days in Arrears]] &gt;= 1,1,0)</f>
        <v>0</v>
      </c>
      <c r="V456" s="109">
        <f>IF(Table__192.168.1.150_Daily_Delinquency_With_Sectors[[#This Row],[Days in Arrears]] &gt; 30,1,0)</f>
        <v>0</v>
      </c>
      <c r="W456" s="109">
        <f>IF(Table__192.168.1.150_Daily_Delinquency_With_Sectors[[#This Row],[Days in Arrears]] &gt; 90,1,0)</f>
        <v>0</v>
      </c>
    </row>
    <row r="457" spans="1:23" x14ac:dyDescent="0.25">
      <c r="A457" t="s">
        <v>212</v>
      </c>
      <c r="B457" t="s">
        <v>1279</v>
      </c>
      <c r="C457">
        <v>23</v>
      </c>
      <c r="D457" s="105">
        <v>1277122.79</v>
      </c>
      <c r="E457" t="s">
        <v>1448</v>
      </c>
      <c r="F457" s="105">
        <v>34830.36</v>
      </c>
      <c r="G457" s="105">
        <v>1423333.8</v>
      </c>
      <c r="H457" s="143">
        <v>42825.804170289353</v>
      </c>
      <c r="I457" s="143">
        <v>43191</v>
      </c>
      <c r="J457" t="s">
        <v>213</v>
      </c>
      <c r="K457" t="s">
        <v>214</v>
      </c>
      <c r="L457" t="s">
        <v>1280</v>
      </c>
      <c r="M457">
        <v>103155</v>
      </c>
      <c r="N457" t="s">
        <v>211</v>
      </c>
      <c r="O457" t="s">
        <v>25</v>
      </c>
      <c r="P457" t="s">
        <v>26</v>
      </c>
      <c r="Q457" t="s">
        <v>26</v>
      </c>
      <c r="R457" s="105">
        <f>IF(Table__192.168.1.150_Daily_Delinquency_With_Sectors[[#This Row],[Days in Arrears]] &gt; 0, Table__192.168.1.150_Daily_Delinquency_With_Sectors[[#This Row],[Outstanding Balance]],0)</f>
        <v>1277122.79</v>
      </c>
      <c r="S457" s="105">
        <f>IF(Table__192.168.1.150_Daily_Delinquency_With_Sectors[[#This Row],[Days in Arrears]] &gt; 30, Table__192.168.1.150_Daily_Delinquency_With_Sectors[[#This Row],[Outstanding Balance]],0)</f>
        <v>0</v>
      </c>
      <c r="T457" s="105">
        <f>IF(Table__192.168.1.150_Daily_Delinquency_With_Sectors[[#This Row],[Days in Arrears]] &gt; 90, Table__192.168.1.150_Daily_Delinquency_With_Sectors[[#This Row],[Outstanding Balance]],0)</f>
        <v>0</v>
      </c>
      <c r="U457" s="109">
        <f>IF(Table__192.168.1.150_Daily_Delinquency_With_Sectors[[#This Row],[Days in Arrears]] &gt;= 1,1,0)</f>
        <v>1</v>
      </c>
      <c r="V457" s="109">
        <f>IF(Table__192.168.1.150_Daily_Delinquency_With_Sectors[[#This Row],[Days in Arrears]] &gt; 30,1,0)</f>
        <v>0</v>
      </c>
      <c r="W457" s="109">
        <f>IF(Table__192.168.1.150_Daily_Delinquency_With_Sectors[[#This Row],[Days in Arrears]] &gt; 90,1,0)</f>
        <v>0</v>
      </c>
    </row>
    <row r="458" spans="1:23" x14ac:dyDescent="0.25">
      <c r="A458" t="s">
        <v>261</v>
      </c>
      <c r="B458" t="s">
        <v>1866</v>
      </c>
      <c r="C458">
        <v>-9</v>
      </c>
      <c r="D458" s="105">
        <v>4696111.6900000004</v>
      </c>
      <c r="E458" t="s">
        <v>90</v>
      </c>
      <c r="F458" s="105">
        <v>114793.84</v>
      </c>
      <c r="G458" s="105">
        <v>5225078.34</v>
      </c>
      <c r="H458" s="143">
        <v>42828.694925266202</v>
      </c>
      <c r="I458" s="143">
        <v>43193</v>
      </c>
      <c r="J458" t="s">
        <v>262</v>
      </c>
      <c r="K458" t="s">
        <v>263</v>
      </c>
      <c r="L458" t="s">
        <v>1280</v>
      </c>
      <c r="M458">
        <v>103158</v>
      </c>
      <c r="N458" t="s">
        <v>102</v>
      </c>
      <c r="O458" t="s">
        <v>27</v>
      </c>
      <c r="P458" t="s">
        <v>26</v>
      </c>
      <c r="Q458" t="s">
        <v>26</v>
      </c>
      <c r="R458" s="105">
        <f>IF(Table__192.168.1.150_Daily_Delinquency_With_Sectors[[#This Row],[Days in Arrears]] &gt; 0, Table__192.168.1.150_Daily_Delinquency_With_Sectors[[#This Row],[Outstanding Balance]],0)</f>
        <v>0</v>
      </c>
      <c r="S458" s="105">
        <f>IF(Table__192.168.1.150_Daily_Delinquency_With_Sectors[[#This Row],[Days in Arrears]] &gt; 30, Table__192.168.1.150_Daily_Delinquency_With_Sectors[[#This Row],[Outstanding Balance]],0)</f>
        <v>0</v>
      </c>
      <c r="T458" s="105">
        <f>IF(Table__192.168.1.150_Daily_Delinquency_With_Sectors[[#This Row],[Days in Arrears]] &gt; 90, Table__192.168.1.150_Daily_Delinquency_With_Sectors[[#This Row],[Outstanding Balance]],0)</f>
        <v>0</v>
      </c>
      <c r="U458" s="109">
        <f>IF(Table__192.168.1.150_Daily_Delinquency_With_Sectors[[#This Row],[Days in Arrears]] &gt;= 1,1,0)</f>
        <v>0</v>
      </c>
      <c r="V458" s="109">
        <f>IF(Table__192.168.1.150_Daily_Delinquency_With_Sectors[[#This Row],[Days in Arrears]] &gt; 30,1,0)</f>
        <v>0</v>
      </c>
      <c r="W458" s="109">
        <f>IF(Table__192.168.1.150_Daily_Delinquency_With_Sectors[[#This Row],[Days in Arrears]] &gt; 90,1,0)</f>
        <v>0</v>
      </c>
    </row>
    <row r="459" spans="1:23" x14ac:dyDescent="0.25">
      <c r="A459" t="s">
        <v>4472</v>
      </c>
      <c r="B459" t="s">
        <v>1284</v>
      </c>
      <c r="C459">
        <v>-13</v>
      </c>
      <c r="D459" s="105">
        <v>37358593.020000003</v>
      </c>
      <c r="E459" t="s">
        <v>2175</v>
      </c>
      <c r="F459" s="105">
        <v>664152.76</v>
      </c>
      <c r="G459" s="105">
        <v>45237748.920000002</v>
      </c>
      <c r="H459" s="143">
        <v>42832.668168750002</v>
      </c>
      <c r="I459" s="143">
        <v>43380</v>
      </c>
      <c r="J459" t="s">
        <v>4473</v>
      </c>
      <c r="K459" t="s">
        <v>1280</v>
      </c>
      <c r="L459" t="s">
        <v>1280</v>
      </c>
      <c r="M459">
        <v>103160</v>
      </c>
      <c r="N459" t="s">
        <v>4471</v>
      </c>
      <c r="O459" t="s">
        <v>27</v>
      </c>
      <c r="P459" t="s">
        <v>81</v>
      </c>
      <c r="Q459" t="s">
        <v>1706</v>
      </c>
      <c r="R459" s="105">
        <f>IF(Table__192.168.1.150_Daily_Delinquency_With_Sectors[[#This Row],[Days in Arrears]] &gt; 0, Table__192.168.1.150_Daily_Delinquency_With_Sectors[[#This Row],[Outstanding Balance]],0)</f>
        <v>0</v>
      </c>
      <c r="S459" s="105">
        <f>IF(Table__192.168.1.150_Daily_Delinquency_With_Sectors[[#This Row],[Days in Arrears]] &gt; 30, Table__192.168.1.150_Daily_Delinquency_With_Sectors[[#This Row],[Outstanding Balance]],0)</f>
        <v>0</v>
      </c>
      <c r="T459" s="105">
        <f>IF(Table__192.168.1.150_Daily_Delinquency_With_Sectors[[#This Row],[Days in Arrears]] &gt; 90, Table__192.168.1.150_Daily_Delinquency_With_Sectors[[#This Row],[Outstanding Balance]],0)</f>
        <v>0</v>
      </c>
      <c r="U459" s="109">
        <f>IF(Table__192.168.1.150_Daily_Delinquency_With_Sectors[[#This Row],[Days in Arrears]] &gt;= 1,1,0)</f>
        <v>0</v>
      </c>
      <c r="V459" s="109">
        <f>IF(Table__192.168.1.150_Daily_Delinquency_With_Sectors[[#This Row],[Days in Arrears]] &gt; 30,1,0)</f>
        <v>0</v>
      </c>
      <c r="W459" s="109">
        <f>IF(Table__192.168.1.150_Daily_Delinquency_With_Sectors[[#This Row],[Days in Arrears]] &gt; 90,1,0)</f>
        <v>0</v>
      </c>
    </row>
    <row r="460" spans="1:23" x14ac:dyDescent="0.25">
      <c r="A460" t="s">
        <v>4487</v>
      </c>
      <c r="B460" t="s">
        <v>1279</v>
      </c>
      <c r="C460">
        <v>-16</v>
      </c>
      <c r="D460" s="105">
        <v>580324.06000000006</v>
      </c>
      <c r="E460" t="s">
        <v>2494</v>
      </c>
      <c r="F460" s="105">
        <v>11316.32</v>
      </c>
      <c r="G460" s="105">
        <v>606438.64</v>
      </c>
      <c r="H460" s="143">
        <v>42835.743929548611</v>
      </c>
      <c r="I460" s="143">
        <v>43079</v>
      </c>
      <c r="J460" t="s">
        <v>4488</v>
      </c>
      <c r="K460" t="s">
        <v>4489</v>
      </c>
      <c r="L460" t="s">
        <v>1280</v>
      </c>
      <c r="M460">
        <v>103161</v>
      </c>
      <c r="N460" t="s">
        <v>4486</v>
      </c>
      <c r="O460" t="s">
        <v>25</v>
      </c>
      <c r="P460" t="s">
        <v>88</v>
      </c>
      <c r="Q460" t="s">
        <v>285</v>
      </c>
      <c r="R460" s="105">
        <f>IF(Table__192.168.1.150_Daily_Delinquency_With_Sectors[[#This Row],[Days in Arrears]] &gt; 0, Table__192.168.1.150_Daily_Delinquency_With_Sectors[[#This Row],[Outstanding Balance]],0)</f>
        <v>0</v>
      </c>
      <c r="S460" s="105">
        <f>IF(Table__192.168.1.150_Daily_Delinquency_With_Sectors[[#This Row],[Days in Arrears]] &gt; 30, Table__192.168.1.150_Daily_Delinquency_With_Sectors[[#This Row],[Outstanding Balance]],0)</f>
        <v>0</v>
      </c>
      <c r="T460" s="105">
        <f>IF(Table__192.168.1.150_Daily_Delinquency_With_Sectors[[#This Row],[Days in Arrears]] &gt; 90, Table__192.168.1.150_Daily_Delinquency_With_Sectors[[#This Row],[Outstanding Balance]],0)</f>
        <v>0</v>
      </c>
      <c r="U460" s="109">
        <f>IF(Table__192.168.1.150_Daily_Delinquency_With_Sectors[[#This Row],[Days in Arrears]] &gt;= 1,1,0)</f>
        <v>0</v>
      </c>
      <c r="V460" s="109">
        <f>IF(Table__192.168.1.150_Daily_Delinquency_With_Sectors[[#This Row],[Days in Arrears]] &gt; 30,1,0)</f>
        <v>0</v>
      </c>
      <c r="W460" s="109">
        <f>IF(Table__192.168.1.150_Daily_Delinquency_With_Sectors[[#This Row],[Days in Arrears]] &gt; 90,1,0)</f>
        <v>0</v>
      </c>
    </row>
    <row r="461" spans="1:23" x14ac:dyDescent="0.25">
      <c r="A461" t="s">
        <v>2039</v>
      </c>
      <c r="B461" t="s">
        <v>1283</v>
      </c>
      <c r="C461">
        <v>43</v>
      </c>
      <c r="D461" s="105">
        <v>34796417.969999999</v>
      </c>
      <c r="E461" t="s">
        <v>5725</v>
      </c>
      <c r="F461" s="105">
        <v>2018432.93</v>
      </c>
      <c r="G461" s="105">
        <v>42534369.700000003</v>
      </c>
      <c r="H461" s="143">
        <v>42836.656538773146</v>
      </c>
      <c r="I461" s="143">
        <v>43384</v>
      </c>
      <c r="J461" t="s">
        <v>2040</v>
      </c>
      <c r="K461" t="s">
        <v>2041</v>
      </c>
      <c r="L461" t="s">
        <v>1280</v>
      </c>
      <c r="M461">
        <v>103162</v>
      </c>
      <c r="N461" t="s">
        <v>2035</v>
      </c>
      <c r="O461" t="s">
        <v>25</v>
      </c>
      <c r="P461" t="s">
        <v>88</v>
      </c>
      <c r="Q461" t="s">
        <v>285</v>
      </c>
      <c r="R461" s="105">
        <f>IF(Table__192.168.1.150_Daily_Delinquency_With_Sectors[[#This Row],[Days in Arrears]] &gt; 0, Table__192.168.1.150_Daily_Delinquency_With_Sectors[[#This Row],[Outstanding Balance]],0)</f>
        <v>34796417.969999999</v>
      </c>
      <c r="S461" s="105">
        <f>IF(Table__192.168.1.150_Daily_Delinquency_With_Sectors[[#This Row],[Days in Arrears]] &gt; 30, Table__192.168.1.150_Daily_Delinquency_With_Sectors[[#This Row],[Outstanding Balance]],0)</f>
        <v>34796417.969999999</v>
      </c>
      <c r="T461" s="105">
        <f>IF(Table__192.168.1.150_Daily_Delinquency_With_Sectors[[#This Row],[Days in Arrears]] &gt; 90, Table__192.168.1.150_Daily_Delinquency_With_Sectors[[#This Row],[Outstanding Balance]],0)</f>
        <v>0</v>
      </c>
      <c r="U461" s="109">
        <f>IF(Table__192.168.1.150_Daily_Delinquency_With_Sectors[[#This Row],[Days in Arrears]] &gt;= 1,1,0)</f>
        <v>1</v>
      </c>
      <c r="V461" s="109">
        <f>IF(Table__192.168.1.150_Daily_Delinquency_With_Sectors[[#This Row],[Days in Arrears]] &gt; 30,1,0)</f>
        <v>1</v>
      </c>
      <c r="W461" s="109">
        <f>IF(Table__192.168.1.150_Daily_Delinquency_With_Sectors[[#This Row],[Days in Arrears]] &gt; 90,1,0)</f>
        <v>0</v>
      </c>
    </row>
    <row r="462" spans="1:23" x14ac:dyDescent="0.25">
      <c r="A462" t="s">
        <v>850</v>
      </c>
      <c r="B462" t="s">
        <v>1283</v>
      </c>
      <c r="C462">
        <v>13</v>
      </c>
      <c r="D462" s="105">
        <v>40605470.369999997</v>
      </c>
      <c r="E462" t="s">
        <v>86</v>
      </c>
      <c r="F462" s="105">
        <v>1684619.27</v>
      </c>
      <c r="G462" s="105">
        <v>53142674.329999998</v>
      </c>
      <c r="H462" s="143">
        <v>42836.70204290509</v>
      </c>
      <c r="I462" s="143">
        <v>43566</v>
      </c>
      <c r="J462" t="s">
        <v>851</v>
      </c>
      <c r="K462" t="s">
        <v>852</v>
      </c>
      <c r="L462" t="s">
        <v>1280</v>
      </c>
      <c r="M462">
        <v>103163</v>
      </c>
      <c r="N462" t="s">
        <v>845</v>
      </c>
      <c r="O462" t="s">
        <v>27</v>
      </c>
      <c r="P462" t="s">
        <v>26</v>
      </c>
      <c r="Q462" t="s">
        <v>26</v>
      </c>
      <c r="R462" s="105">
        <f>IF(Table__192.168.1.150_Daily_Delinquency_With_Sectors[[#This Row],[Days in Arrears]] &gt; 0, Table__192.168.1.150_Daily_Delinquency_With_Sectors[[#This Row],[Outstanding Balance]],0)</f>
        <v>40605470.369999997</v>
      </c>
      <c r="S462" s="105">
        <f>IF(Table__192.168.1.150_Daily_Delinquency_With_Sectors[[#This Row],[Days in Arrears]] &gt; 30, Table__192.168.1.150_Daily_Delinquency_With_Sectors[[#This Row],[Outstanding Balance]],0)</f>
        <v>0</v>
      </c>
      <c r="T462" s="105">
        <f>IF(Table__192.168.1.150_Daily_Delinquency_With_Sectors[[#This Row],[Days in Arrears]] &gt; 90, Table__192.168.1.150_Daily_Delinquency_With_Sectors[[#This Row],[Outstanding Balance]],0)</f>
        <v>0</v>
      </c>
      <c r="U462" s="109">
        <f>IF(Table__192.168.1.150_Daily_Delinquency_With_Sectors[[#This Row],[Days in Arrears]] &gt;= 1,1,0)</f>
        <v>1</v>
      </c>
      <c r="V462" s="109">
        <f>IF(Table__192.168.1.150_Daily_Delinquency_With_Sectors[[#This Row],[Days in Arrears]] &gt; 30,1,0)</f>
        <v>0</v>
      </c>
      <c r="W462" s="109">
        <f>IF(Table__192.168.1.150_Daily_Delinquency_With_Sectors[[#This Row],[Days in Arrears]] &gt; 90,1,0)</f>
        <v>0</v>
      </c>
    </row>
    <row r="463" spans="1:23" x14ac:dyDescent="0.25">
      <c r="A463" t="s">
        <v>751</v>
      </c>
      <c r="B463" t="s">
        <v>1283</v>
      </c>
      <c r="C463">
        <v>43</v>
      </c>
      <c r="D463" s="105">
        <v>36108753.939999998</v>
      </c>
      <c r="E463" t="s">
        <v>1191</v>
      </c>
      <c r="F463" s="105">
        <v>2105989.0699999998</v>
      </c>
      <c r="G463" s="105">
        <v>45370309.490000002</v>
      </c>
      <c r="H463" s="143">
        <v>42836.730920254631</v>
      </c>
      <c r="I463" s="143">
        <v>43445</v>
      </c>
      <c r="J463" t="s">
        <v>752</v>
      </c>
      <c r="K463" t="s">
        <v>1280</v>
      </c>
      <c r="L463" t="s">
        <v>1280</v>
      </c>
      <c r="M463">
        <v>103164</v>
      </c>
      <c r="N463" t="s">
        <v>747</v>
      </c>
      <c r="O463" t="s">
        <v>37</v>
      </c>
      <c r="P463" t="s">
        <v>288</v>
      </c>
      <c r="Q463" t="s">
        <v>1313</v>
      </c>
      <c r="R463" s="105">
        <f>IF(Table__192.168.1.150_Daily_Delinquency_With_Sectors[[#This Row],[Days in Arrears]] &gt; 0, Table__192.168.1.150_Daily_Delinquency_With_Sectors[[#This Row],[Outstanding Balance]],0)</f>
        <v>36108753.939999998</v>
      </c>
      <c r="S463" s="105">
        <f>IF(Table__192.168.1.150_Daily_Delinquency_With_Sectors[[#This Row],[Days in Arrears]] &gt; 30, Table__192.168.1.150_Daily_Delinquency_With_Sectors[[#This Row],[Outstanding Balance]],0)</f>
        <v>36108753.939999998</v>
      </c>
      <c r="T463" s="105">
        <f>IF(Table__192.168.1.150_Daily_Delinquency_With_Sectors[[#This Row],[Days in Arrears]] &gt; 90, Table__192.168.1.150_Daily_Delinquency_With_Sectors[[#This Row],[Outstanding Balance]],0)</f>
        <v>0</v>
      </c>
      <c r="U463" s="109">
        <f>IF(Table__192.168.1.150_Daily_Delinquency_With_Sectors[[#This Row],[Days in Arrears]] &gt;= 1,1,0)</f>
        <v>1</v>
      </c>
      <c r="V463" s="109">
        <f>IF(Table__192.168.1.150_Daily_Delinquency_With_Sectors[[#This Row],[Days in Arrears]] &gt; 30,1,0)</f>
        <v>1</v>
      </c>
      <c r="W463" s="109">
        <f>IF(Table__192.168.1.150_Daily_Delinquency_With_Sectors[[#This Row],[Days in Arrears]] &gt; 90,1,0)</f>
        <v>0</v>
      </c>
    </row>
    <row r="464" spans="1:23" x14ac:dyDescent="0.25">
      <c r="A464" t="s">
        <v>2717</v>
      </c>
      <c r="B464" t="s">
        <v>1282</v>
      </c>
      <c r="C464">
        <v>-18</v>
      </c>
      <c r="D464" s="105">
        <v>1660229.73</v>
      </c>
      <c r="E464" t="s">
        <v>2494</v>
      </c>
      <c r="F464" s="105">
        <v>24350.04</v>
      </c>
      <c r="G464" s="105">
        <v>1864663.06</v>
      </c>
      <c r="H464" s="143">
        <v>42837.703277581022</v>
      </c>
      <c r="I464" s="143">
        <v>43202</v>
      </c>
      <c r="J464" t="s">
        <v>2718</v>
      </c>
      <c r="K464" t="s">
        <v>2719</v>
      </c>
      <c r="L464" t="s">
        <v>1280</v>
      </c>
      <c r="M464">
        <v>103167</v>
      </c>
      <c r="N464" t="s">
        <v>2716</v>
      </c>
      <c r="O464" t="s">
        <v>25</v>
      </c>
      <c r="P464" t="s">
        <v>295</v>
      </c>
      <c r="Q464" t="s">
        <v>26</v>
      </c>
      <c r="R464" s="105">
        <f>IF(Table__192.168.1.150_Daily_Delinquency_With_Sectors[[#This Row],[Days in Arrears]] &gt; 0, Table__192.168.1.150_Daily_Delinquency_With_Sectors[[#This Row],[Outstanding Balance]],0)</f>
        <v>0</v>
      </c>
      <c r="S464" s="105">
        <f>IF(Table__192.168.1.150_Daily_Delinquency_With_Sectors[[#This Row],[Days in Arrears]] &gt; 30, Table__192.168.1.150_Daily_Delinquency_With_Sectors[[#This Row],[Outstanding Balance]],0)</f>
        <v>0</v>
      </c>
      <c r="T464" s="105">
        <f>IF(Table__192.168.1.150_Daily_Delinquency_With_Sectors[[#This Row],[Days in Arrears]] &gt; 90, Table__192.168.1.150_Daily_Delinquency_With_Sectors[[#This Row],[Outstanding Balance]],0)</f>
        <v>0</v>
      </c>
      <c r="U464" s="109">
        <f>IF(Table__192.168.1.150_Daily_Delinquency_With_Sectors[[#This Row],[Days in Arrears]] &gt;= 1,1,0)</f>
        <v>0</v>
      </c>
      <c r="V464" s="109">
        <f>IF(Table__192.168.1.150_Daily_Delinquency_With_Sectors[[#This Row],[Days in Arrears]] &gt; 30,1,0)</f>
        <v>0</v>
      </c>
      <c r="W464" s="109">
        <f>IF(Table__192.168.1.150_Daily_Delinquency_With_Sectors[[#This Row],[Days in Arrears]] &gt; 90,1,0)</f>
        <v>0</v>
      </c>
    </row>
    <row r="465" spans="1:23" x14ac:dyDescent="0.25">
      <c r="A465" t="s">
        <v>4505</v>
      </c>
      <c r="B465" t="s">
        <v>1282</v>
      </c>
      <c r="C465">
        <v>9</v>
      </c>
      <c r="D465" s="105">
        <v>652726.67000000004</v>
      </c>
      <c r="E465" t="s">
        <v>468</v>
      </c>
      <c r="F465" s="105">
        <v>4352.43</v>
      </c>
      <c r="G465" s="105">
        <v>669048.28</v>
      </c>
      <c r="H465" s="143">
        <v>42840.496137534719</v>
      </c>
      <c r="I465" s="143">
        <v>43084</v>
      </c>
      <c r="J465" t="s">
        <v>4506</v>
      </c>
      <c r="K465" t="s">
        <v>1280</v>
      </c>
      <c r="L465" t="s">
        <v>1280</v>
      </c>
      <c r="M465">
        <v>103168</v>
      </c>
      <c r="N465" t="s">
        <v>4502</v>
      </c>
      <c r="O465" t="s">
        <v>44</v>
      </c>
      <c r="P465" t="s">
        <v>75</v>
      </c>
      <c r="Q465" t="s">
        <v>1442</v>
      </c>
      <c r="R465" s="105">
        <f>IF(Table__192.168.1.150_Daily_Delinquency_With_Sectors[[#This Row],[Days in Arrears]] &gt; 0, Table__192.168.1.150_Daily_Delinquency_With_Sectors[[#This Row],[Outstanding Balance]],0)</f>
        <v>652726.67000000004</v>
      </c>
      <c r="S465" s="105">
        <f>IF(Table__192.168.1.150_Daily_Delinquency_With_Sectors[[#This Row],[Days in Arrears]] &gt; 30, Table__192.168.1.150_Daily_Delinquency_With_Sectors[[#This Row],[Outstanding Balance]],0)</f>
        <v>0</v>
      </c>
      <c r="T465" s="105">
        <f>IF(Table__192.168.1.150_Daily_Delinquency_With_Sectors[[#This Row],[Days in Arrears]] &gt; 90, Table__192.168.1.150_Daily_Delinquency_With_Sectors[[#This Row],[Outstanding Balance]],0)</f>
        <v>0</v>
      </c>
      <c r="U465" s="109">
        <f>IF(Table__192.168.1.150_Daily_Delinquency_With_Sectors[[#This Row],[Days in Arrears]] &gt;= 1,1,0)</f>
        <v>1</v>
      </c>
      <c r="V465" s="109">
        <f>IF(Table__192.168.1.150_Daily_Delinquency_With_Sectors[[#This Row],[Days in Arrears]] &gt; 30,1,0)</f>
        <v>0</v>
      </c>
      <c r="W465" s="109">
        <f>IF(Table__192.168.1.150_Daily_Delinquency_With_Sectors[[#This Row],[Days in Arrears]] &gt; 90,1,0)</f>
        <v>0</v>
      </c>
    </row>
    <row r="466" spans="1:23" x14ac:dyDescent="0.25">
      <c r="A466" t="s">
        <v>4507</v>
      </c>
      <c r="B466" t="s">
        <v>1284</v>
      </c>
      <c r="C466">
        <v>-19</v>
      </c>
      <c r="D466" s="105">
        <v>19610025.949999999</v>
      </c>
      <c r="E466" t="s">
        <v>1925</v>
      </c>
      <c r="F466" s="105">
        <v>217889.18</v>
      </c>
      <c r="G466" s="105">
        <v>26004787.559999999</v>
      </c>
      <c r="H466" s="143">
        <v>42838.697300960652</v>
      </c>
      <c r="I466" s="143">
        <v>43568</v>
      </c>
      <c r="J466" t="s">
        <v>4508</v>
      </c>
      <c r="K466" t="s">
        <v>4509</v>
      </c>
      <c r="L466" t="s">
        <v>1280</v>
      </c>
      <c r="M466">
        <v>103169</v>
      </c>
      <c r="N466" t="s">
        <v>4503</v>
      </c>
      <c r="O466" t="s">
        <v>44</v>
      </c>
      <c r="P466" t="s">
        <v>75</v>
      </c>
      <c r="Q466" t="s">
        <v>4000</v>
      </c>
      <c r="R466" s="105">
        <f>IF(Table__192.168.1.150_Daily_Delinquency_With_Sectors[[#This Row],[Days in Arrears]] &gt; 0, Table__192.168.1.150_Daily_Delinquency_With_Sectors[[#This Row],[Outstanding Balance]],0)</f>
        <v>0</v>
      </c>
      <c r="S466" s="105">
        <f>IF(Table__192.168.1.150_Daily_Delinquency_With_Sectors[[#This Row],[Days in Arrears]] &gt; 30, Table__192.168.1.150_Daily_Delinquency_With_Sectors[[#This Row],[Outstanding Balance]],0)</f>
        <v>0</v>
      </c>
      <c r="T466" s="105">
        <f>IF(Table__192.168.1.150_Daily_Delinquency_With_Sectors[[#This Row],[Days in Arrears]] &gt; 90, Table__192.168.1.150_Daily_Delinquency_With_Sectors[[#This Row],[Outstanding Balance]],0)</f>
        <v>0</v>
      </c>
      <c r="U466" s="109">
        <f>IF(Table__192.168.1.150_Daily_Delinquency_With_Sectors[[#This Row],[Days in Arrears]] &gt;= 1,1,0)</f>
        <v>0</v>
      </c>
      <c r="V466" s="109">
        <f>IF(Table__192.168.1.150_Daily_Delinquency_With_Sectors[[#This Row],[Days in Arrears]] &gt; 30,1,0)</f>
        <v>0</v>
      </c>
      <c r="W466" s="109">
        <f>IF(Table__192.168.1.150_Daily_Delinquency_With_Sectors[[#This Row],[Days in Arrears]] &gt; 90,1,0)</f>
        <v>0</v>
      </c>
    </row>
    <row r="467" spans="1:23" x14ac:dyDescent="0.25">
      <c r="A467" t="s">
        <v>4510</v>
      </c>
      <c r="B467" t="s">
        <v>1284</v>
      </c>
      <c r="C467">
        <v>-19</v>
      </c>
      <c r="D467" s="105">
        <v>30996850.809999999</v>
      </c>
      <c r="E467" t="s">
        <v>468</v>
      </c>
      <c r="F467" s="105">
        <v>344409.45</v>
      </c>
      <c r="G467" s="105">
        <v>48831803.18</v>
      </c>
      <c r="H467" s="143">
        <v>42838.715688738426</v>
      </c>
      <c r="I467" s="143">
        <v>43934</v>
      </c>
      <c r="J467" t="s">
        <v>4511</v>
      </c>
      <c r="K467" t="s">
        <v>4512</v>
      </c>
      <c r="L467" t="s">
        <v>1280</v>
      </c>
      <c r="M467">
        <v>103170</v>
      </c>
      <c r="N467" t="s">
        <v>4501</v>
      </c>
      <c r="O467" t="s">
        <v>27</v>
      </c>
      <c r="P467" t="s">
        <v>26</v>
      </c>
      <c r="Q467" t="s">
        <v>26</v>
      </c>
      <c r="R467" s="105">
        <f>IF(Table__192.168.1.150_Daily_Delinquency_With_Sectors[[#This Row],[Days in Arrears]] &gt; 0, Table__192.168.1.150_Daily_Delinquency_With_Sectors[[#This Row],[Outstanding Balance]],0)</f>
        <v>0</v>
      </c>
      <c r="S467" s="105">
        <f>IF(Table__192.168.1.150_Daily_Delinquency_With_Sectors[[#This Row],[Days in Arrears]] &gt; 30, Table__192.168.1.150_Daily_Delinquency_With_Sectors[[#This Row],[Outstanding Balance]],0)</f>
        <v>0</v>
      </c>
      <c r="T467" s="105">
        <f>IF(Table__192.168.1.150_Daily_Delinquency_With_Sectors[[#This Row],[Days in Arrears]] &gt; 90, Table__192.168.1.150_Daily_Delinquency_With_Sectors[[#This Row],[Outstanding Balance]],0)</f>
        <v>0</v>
      </c>
      <c r="U467" s="109">
        <f>IF(Table__192.168.1.150_Daily_Delinquency_With_Sectors[[#This Row],[Days in Arrears]] &gt;= 1,1,0)</f>
        <v>0</v>
      </c>
      <c r="V467" s="109">
        <f>IF(Table__192.168.1.150_Daily_Delinquency_With_Sectors[[#This Row],[Days in Arrears]] &gt; 30,1,0)</f>
        <v>0</v>
      </c>
      <c r="W467" s="109">
        <f>IF(Table__192.168.1.150_Daily_Delinquency_With_Sectors[[#This Row],[Days in Arrears]] &gt; 90,1,0)</f>
        <v>0</v>
      </c>
    </row>
    <row r="468" spans="1:23" x14ac:dyDescent="0.25">
      <c r="A468" t="s">
        <v>612</v>
      </c>
      <c r="B468" t="s">
        <v>1283</v>
      </c>
      <c r="C468">
        <v>5</v>
      </c>
      <c r="D468" s="105">
        <v>36544923.329999998</v>
      </c>
      <c r="E468" t="s">
        <v>1925</v>
      </c>
      <c r="F468" s="105">
        <v>1215496.8400000001</v>
      </c>
      <c r="G468" s="105">
        <v>46747164.659999996</v>
      </c>
      <c r="H468" s="143">
        <v>42844.408231597219</v>
      </c>
      <c r="I468" s="143">
        <v>43574</v>
      </c>
      <c r="J468" t="s">
        <v>613</v>
      </c>
      <c r="K468" t="s">
        <v>1280</v>
      </c>
      <c r="L468" t="s">
        <v>1280</v>
      </c>
      <c r="M468">
        <v>103171</v>
      </c>
      <c r="N468" t="s">
        <v>611</v>
      </c>
      <c r="O468" t="s">
        <v>27</v>
      </c>
      <c r="P468" t="s">
        <v>81</v>
      </c>
      <c r="Q468" t="s">
        <v>26</v>
      </c>
      <c r="R468" s="105">
        <f>IF(Table__192.168.1.150_Daily_Delinquency_With_Sectors[[#This Row],[Days in Arrears]] &gt; 0, Table__192.168.1.150_Daily_Delinquency_With_Sectors[[#This Row],[Outstanding Balance]],0)</f>
        <v>36544923.329999998</v>
      </c>
      <c r="S468" s="105">
        <f>IF(Table__192.168.1.150_Daily_Delinquency_With_Sectors[[#This Row],[Days in Arrears]] &gt; 30, Table__192.168.1.150_Daily_Delinquency_With_Sectors[[#This Row],[Outstanding Balance]],0)</f>
        <v>0</v>
      </c>
      <c r="T468" s="105">
        <f>IF(Table__192.168.1.150_Daily_Delinquency_With_Sectors[[#This Row],[Days in Arrears]] &gt; 90, Table__192.168.1.150_Daily_Delinquency_With_Sectors[[#This Row],[Outstanding Balance]],0)</f>
        <v>0</v>
      </c>
      <c r="U468" s="109">
        <f>IF(Table__192.168.1.150_Daily_Delinquency_With_Sectors[[#This Row],[Days in Arrears]] &gt;= 1,1,0)</f>
        <v>1</v>
      </c>
      <c r="V468" s="109">
        <f>IF(Table__192.168.1.150_Daily_Delinquency_With_Sectors[[#This Row],[Days in Arrears]] &gt; 30,1,0)</f>
        <v>0</v>
      </c>
      <c r="W468" s="109">
        <f>IF(Table__192.168.1.150_Daily_Delinquency_With_Sectors[[#This Row],[Days in Arrears]] &gt; 90,1,0)</f>
        <v>0</v>
      </c>
    </row>
    <row r="469" spans="1:23" x14ac:dyDescent="0.25">
      <c r="A469" t="s">
        <v>4525</v>
      </c>
      <c r="B469" t="s">
        <v>1282</v>
      </c>
      <c r="C469">
        <v>36</v>
      </c>
      <c r="D469" s="105">
        <v>3877380.33</v>
      </c>
      <c r="E469" t="s">
        <v>1039</v>
      </c>
      <c r="F469" s="105">
        <v>326448.14</v>
      </c>
      <c r="G469" s="105">
        <v>4605979.9400000004</v>
      </c>
      <c r="H469" s="143">
        <v>42843.689945798615</v>
      </c>
      <c r="I469" s="143">
        <v>43208</v>
      </c>
      <c r="J469" t="s">
        <v>4526</v>
      </c>
      <c r="K469" t="s">
        <v>4527</v>
      </c>
      <c r="L469" t="s">
        <v>1280</v>
      </c>
      <c r="M469">
        <v>103172</v>
      </c>
      <c r="N469" t="s">
        <v>4524</v>
      </c>
      <c r="O469" t="s">
        <v>25</v>
      </c>
      <c r="P469" t="s">
        <v>88</v>
      </c>
      <c r="Q469" t="s">
        <v>285</v>
      </c>
      <c r="R469" s="105">
        <f>IF(Table__192.168.1.150_Daily_Delinquency_With_Sectors[[#This Row],[Days in Arrears]] &gt; 0, Table__192.168.1.150_Daily_Delinquency_With_Sectors[[#This Row],[Outstanding Balance]],0)</f>
        <v>3877380.33</v>
      </c>
      <c r="S469" s="105">
        <f>IF(Table__192.168.1.150_Daily_Delinquency_With_Sectors[[#This Row],[Days in Arrears]] &gt; 30, Table__192.168.1.150_Daily_Delinquency_With_Sectors[[#This Row],[Outstanding Balance]],0)</f>
        <v>3877380.33</v>
      </c>
      <c r="T469" s="105">
        <f>IF(Table__192.168.1.150_Daily_Delinquency_With_Sectors[[#This Row],[Days in Arrears]] &gt; 90, Table__192.168.1.150_Daily_Delinquency_With_Sectors[[#This Row],[Outstanding Balance]],0)</f>
        <v>0</v>
      </c>
      <c r="U469" s="109">
        <f>IF(Table__192.168.1.150_Daily_Delinquency_With_Sectors[[#This Row],[Days in Arrears]] &gt;= 1,1,0)</f>
        <v>1</v>
      </c>
      <c r="V469" s="109">
        <f>IF(Table__192.168.1.150_Daily_Delinquency_With_Sectors[[#This Row],[Days in Arrears]] &gt; 30,1,0)</f>
        <v>1</v>
      </c>
      <c r="W469" s="109">
        <f>IF(Table__192.168.1.150_Daily_Delinquency_With_Sectors[[#This Row],[Days in Arrears]] &gt; 90,1,0)</f>
        <v>0</v>
      </c>
    </row>
    <row r="470" spans="1:23" x14ac:dyDescent="0.25">
      <c r="A470" t="s">
        <v>4528</v>
      </c>
      <c r="B470" t="s">
        <v>1283</v>
      </c>
      <c r="C470">
        <v>6</v>
      </c>
      <c r="D470" s="105">
        <v>19215934.48</v>
      </c>
      <c r="E470" t="s">
        <v>1191</v>
      </c>
      <c r="F470" s="105">
        <v>321919.84000000003</v>
      </c>
      <c r="G470" s="105">
        <v>21110011.390000001</v>
      </c>
      <c r="H470" s="143">
        <v>42843.712621377315</v>
      </c>
      <c r="I470" s="143">
        <v>43208</v>
      </c>
      <c r="J470" t="s">
        <v>4529</v>
      </c>
      <c r="K470" t="s">
        <v>4530</v>
      </c>
      <c r="L470" t="s">
        <v>1280</v>
      </c>
      <c r="M470">
        <v>103173</v>
      </c>
      <c r="N470" t="s">
        <v>4523</v>
      </c>
      <c r="O470" t="s">
        <v>27</v>
      </c>
      <c r="P470" t="s">
        <v>81</v>
      </c>
      <c r="Q470" t="s">
        <v>4000</v>
      </c>
      <c r="R470" s="105">
        <f>IF(Table__192.168.1.150_Daily_Delinquency_With_Sectors[[#This Row],[Days in Arrears]] &gt; 0, Table__192.168.1.150_Daily_Delinquency_With_Sectors[[#This Row],[Outstanding Balance]],0)</f>
        <v>19215934.48</v>
      </c>
      <c r="S470" s="105">
        <f>IF(Table__192.168.1.150_Daily_Delinquency_With_Sectors[[#This Row],[Days in Arrears]] &gt; 30, Table__192.168.1.150_Daily_Delinquency_With_Sectors[[#This Row],[Outstanding Balance]],0)</f>
        <v>0</v>
      </c>
      <c r="T470" s="105">
        <f>IF(Table__192.168.1.150_Daily_Delinquency_With_Sectors[[#This Row],[Days in Arrears]] &gt; 90, Table__192.168.1.150_Daily_Delinquency_With_Sectors[[#This Row],[Outstanding Balance]],0)</f>
        <v>0</v>
      </c>
      <c r="U470" s="109">
        <f>IF(Table__192.168.1.150_Daily_Delinquency_With_Sectors[[#This Row],[Days in Arrears]] &gt;= 1,1,0)</f>
        <v>1</v>
      </c>
      <c r="V470" s="109">
        <f>IF(Table__192.168.1.150_Daily_Delinquency_With_Sectors[[#This Row],[Days in Arrears]] &gt; 30,1,0)</f>
        <v>0</v>
      </c>
      <c r="W470" s="109">
        <f>IF(Table__192.168.1.150_Daily_Delinquency_With_Sectors[[#This Row],[Days in Arrears]] &gt; 90,1,0)</f>
        <v>0</v>
      </c>
    </row>
    <row r="471" spans="1:23" x14ac:dyDescent="0.25">
      <c r="A471" t="s">
        <v>4532</v>
      </c>
      <c r="B471" t="s">
        <v>1281</v>
      </c>
      <c r="C471">
        <v>4</v>
      </c>
      <c r="D471" s="105">
        <v>16561238.32</v>
      </c>
      <c r="E471" t="s">
        <v>546</v>
      </c>
      <c r="F471" s="105">
        <v>547859.26</v>
      </c>
      <c r="G471" s="105">
        <v>18567208.460000001</v>
      </c>
      <c r="H471" s="143">
        <v>42844.763246956019</v>
      </c>
      <c r="I471" s="143">
        <v>43210</v>
      </c>
      <c r="J471" t="s">
        <v>4533</v>
      </c>
      <c r="K471" t="s">
        <v>1280</v>
      </c>
      <c r="L471" t="s">
        <v>4534</v>
      </c>
      <c r="M471">
        <v>103175</v>
      </c>
      <c r="N471" t="s">
        <v>4531</v>
      </c>
      <c r="O471" t="s">
        <v>37</v>
      </c>
      <c r="P471" t="s">
        <v>288</v>
      </c>
      <c r="Q471" t="s">
        <v>1829</v>
      </c>
      <c r="R471" s="105">
        <f>IF(Table__192.168.1.150_Daily_Delinquency_With_Sectors[[#This Row],[Days in Arrears]] &gt; 0, Table__192.168.1.150_Daily_Delinquency_With_Sectors[[#This Row],[Outstanding Balance]],0)</f>
        <v>16561238.32</v>
      </c>
      <c r="S471" s="105">
        <f>IF(Table__192.168.1.150_Daily_Delinquency_With_Sectors[[#This Row],[Days in Arrears]] &gt; 30, Table__192.168.1.150_Daily_Delinquency_With_Sectors[[#This Row],[Outstanding Balance]],0)</f>
        <v>0</v>
      </c>
      <c r="T471" s="105">
        <f>IF(Table__192.168.1.150_Daily_Delinquency_With_Sectors[[#This Row],[Days in Arrears]] &gt; 90, Table__192.168.1.150_Daily_Delinquency_With_Sectors[[#This Row],[Outstanding Balance]],0)</f>
        <v>0</v>
      </c>
      <c r="U471" s="109">
        <f>IF(Table__192.168.1.150_Daily_Delinquency_With_Sectors[[#This Row],[Days in Arrears]] &gt;= 1,1,0)</f>
        <v>1</v>
      </c>
      <c r="V471" s="109">
        <f>IF(Table__192.168.1.150_Daily_Delinquency_With_Sectors[[#This Row],[Days in Arrears]] &gt; 30,1,0)</f>
        <v>0</v>
      </c>
      <c r="W471" s="109">
        <f>IF(Table__192.168.1.150_Daily_Delinquency_With_Sectors[[#This Row],[Days in Arrears]] &gt; 90,1,0)</f>
        <v>0</v>
      </c>
    </row>
    <row r="472" spans="1:23" x14ac:dyDescent="0.25">
      <c r="A472" t="s">
        <v>4538</v>
      </c>
      <c r="B472" t="s">
        <v>1279</v>
      </c>
      <c r="C472">
        <v>4</v>
      </c>
      <c r="D472" s="105">
        <v>2262576.9</v>
      </c>
      <c r="E472" t="s">
        <v>2034</v>
      </c>
      <c r="F472" s="105">
        <v>110481.74</v>
      </c>
      <c r="G472" s="105">
        <v>2631988.56</v>
      </c>
      <c r="H472" s="143">
        <v>42845.790484872683</v>
      </c>
      <c r="I472" s="143">
        <v>43210</v>
      </c>
      <c r="J472" t="s">
        <v>4539</v>
      </c>
      <c r="K472" t="s">
        <v>4540</v>
      </c>
      <c r="L472" t="s">
        <v>1280</v>
      </c>
      <c r="M472">
        <v>103176</v>
      </c>
      <c r="N472" t="s">
        <v>4536</v>
      </c>
      <c r="O472" t="s">
        <v>25</v>
      </c>
      <c r="P472" t="s">
        <v>101</v>
      </c>
      <c r="Q472" t="s">
        <v>26</v>
      </c>
      <c r="R472" s="105">
        <f>IF(Table__192.168.1.150_Daily_Delinquency_With_Sectors[[#This Row],[Days in Arrears]] &gt; 0, Table__192.168.1.150_Daily_Delinquency_With_Sectors[[#This Row],[Outstanding Balance]],0)</f>
        <v>2262576.9</v>
      </c>
      <c r="S472" s="105">
        <f>IF(Table__192.168.1.150_Daily_Delinquency_With_Sectors[[#This Row],[Days in Arrears]] &gt; 30, Table__192.168.1.150_Daily_Delinquency_With_Sectors[[#This Row],[Outstanding Balance]],0)</f>
        <v>0</v>
      </c>
      <c r="T472" s="105">
        <f>IF(Table__192.168.1.150_Daily_Delinquency_With_Sectors[[#This Row],[Days in Arrears]] &gt; 90, Table__192.168.1.150_Daily_Delinquency_With_Sectors[[#This Row],[Outstanding Balance]],0)</f>
        <v>0</v>
      </c>
      <c r="U472" s="109">
        <f>IF(Table__192.168.1.150_Daily_Delinquency_With_Sectors[[#This Row],[Days in Arrears]] &gt;= 1,1,0)</f>
        <v>1</v>
      </c>
      <c r="V472" s="109">
        <f>IF(Table__192.168.1.150_Daily_Delinquency_With_Sectors[[#This Row],[Days in Arrears]] &gt; 30,1,0)</f>
        <v>0</v>
      </c>
      <c r="W472" s="109">
        <f>IF(Table__192.168.1.150_Daily_Delinquency_With_Sectors[[#This Row],[Days in Arrears]] &gt; 90,1,0)</f>
        <v>0</v>
      </c>
    </row>
    <row r="473" spans="1:23" x14ac:dyDescent="0.25">
      <c r="A473" t="s">
        <v>4541</v>
      </c>
      <c r="B473" t="s">
        <v>1282</v>
      </c>
      <c r="C473">
        <v>4</v>
      </c>
      <c r="D473" s="105">
        <v>3959509.52</v>
      </c>
      <c r="E473" t="s">
        <v>5167</v>
      </c>
      <c r="F473" s="105">
        <v>182843.04</v>
      </c>
      <c r="G473" s="105">
        <v>4595479.9400000004</v>
      </c>
      <c r="H473" s="143">
        <v>42845.712040509257</v>
      </c>
      <c r="I473" s="143">
        <v>43210</v>
      </c>
      <c r="J473" t="s">
        <v>4542</v>
      </c>
      <c r="K473" t="s">
        <v>4543</v>
      </c>
      <c r="L473" t="s">
        <v>1280</v>
      </c>
      <c r="M473">
        <v>103177</v>
      </c>
      <c r="N473" t="s">
        <v>4535</v>
      </c>
      <c r="O473" t="s">
        <v>35</v>
      </c>
      <c r="P473" t="s">
        <v>121</v>
      </c>
      <c r="Q473" t="s">
        <v>299</v>
      </c>
      <c r="R473" s="105">
        <f>IF(Table__192.168.1.150_Daily_Delinquency_With_Sectors[[#This Row],[Days in Arrears]] &gt; 0, Table__192.168.1.150_Daily_Delinquency_With_Sectors[[#This Row],[Outstanding Balance]],0)</f>
        <v>3959509.52</v>
      </c>
      <c r="S473" s="105">
        <f>IF(Table__192.168.1.150_Daily_Delinquency_With_Sectors[[#This Row],[Days in Arrears]] &gt; 30, Table__192.168.1.150_Daily_Delinquency_With_Sectors[[#This Row],[Outstanding Balance]],0)</f>
        <v>0</v>
      </c>
      <c r="T473" s="105">
        <f>IF(Table__192.168.1.150_Daily_Delinquency_With_Sectors[[#This Row],[Days in Arrears]] &gt; 90, Table__192.168.1.150_Daily_Delinquency_With_Sectors[[#This Row],[Outstanding Balance]],0)</f>
        <v>0</v>
      </c>
      <c r="U473" s="109">
        <f>IF(Table__192.168.1.150_Daily_Delinquency_With_Sectors[[#This Row],[Days in Arrears]] &gt;= 1,1,0)</f>
        <v>1</v>
      </c>
      <c r="V473" s="109">
        <f>IF(Table__192.168.1.150_Daily_Delinquency_With_Sectors[[#This Row],[Days in Arrears]] &gt; 30,1,0)</f>
        <v>0</v>
      </c>
      <c r="W473" s="109">
        <f>IF(Table__192.168.1.150_Daily_Delinquency_With_Sectors[[#This Row],[Days in Arrears]] &gt; 90,1,0)</f>
        <v>0</v>
      </c>
    </row>
    <row r="474" spans="1:23" x14ac:dyDescent="0.25">
      <c r="A474" t="s">
        <v>1914</v>
      </c>
      <c r="B474" t="s">
        <v>1281</v>
      </c>
      <c r="C474">
        <v>4</v>
      </c>
      <c r="D474" s="105">
        <v>9354514.9399999995</v>
      </c>
      <c r="E474" t="s">
        <v>2855</v>
      </c>
      <c r="F474" s="105">
        <v>32706.48</v>
      </c>
      <c r="G474" s="105">
        <v>10358200.83</v>
      </c>
      <c r="H474" s="143">
        <v>42845.736991701386</v>
      </c>
      <c r="I474" s="143">
        <v>43210</v>
      </c>
      <c r="J474" t="s">
        <v>1915</v>
      </c>
      <c r="K474" t="s">
        <v>1916</v>
      </c>
      <c r="L474" t="s">
        <v>1280</v>
      </c>
      <c r="M474">
        <v>103178</v>
      </c>
      <c r="N474" t="s">
        <v>601</v>
      </c>
      <c r="O474" t="s">
        <v>25</v>
      </c>
      <c r="P474" t="s">
        <v>26</v>
      </c>
      <c r="Q474" t="s">
        <v>26</v>
      </c>
      <c r="R474" s="105">
        <f>IF(Table__192.168.1.150_Daily_Delinquency_With_Sectors[[#This Row],[Days in Arrears]] &gt; 0, Table__192.168.1.150_Daily_Delinquency_With_Sectors[[#This Row],[Outstanding Balance]],0)</f>
        <v>9354514.9399999995</v>
      </c>
      <c r="S474" s="105">
        <f>IF(Table__192.168.1.150_Daily_Delinquency_With_Sectors[[#This Row],[Days in Arrears]] &gt; 30, Table__192.168.1.150_Daily_Delinquency_With_Sectors[[#This Row],[Outstanding Balance]],0)</f>
        <v>0</v>
      </c>
      <c r="T474" s="105">
        <f>IF(Table__192.168.1.150_Daily_Delinquency_With_Sectors[[#This Row],[Days in Arrears]] &gt; 90, Table__192.168.1.150_Daily_Delinquency_With_Sectors[[#This Row],[Outstanding Balance]],0)</f>
        <v>0</v>
      </c>
      <c r="U474" s="109">
        <f>IF(Table__192.168.1.150_Daily_Delinquency_With_Sectors[[#This Row],[Days in Arrears]] &gt;= 1,1,0)</f>
        <v>1</v>
      </c>
      <c r="V474" s="109">
        <f>IF(Table__192.168.1.150_Daily_Delinquency_With_Sectors[[#This Row],[Days in Arrears]] &gt; 30,1,0)</f>
        <v>0</v>
      </c>
      <c r="W474" s="109">
        <f>IF(Table__192.168.1.150_Daily_Delinquency_With_Sectors[[#This Row],[Days in Arrears]] &gt; 90,1,0)</f>
        <v>0</v>
      </c>
    </row>
    <row r="475" spans="1:23" x14ac:dyDescent="0.25">
      <c r="A475" t="s">
        <v>1643</v>
      </c>
      <c r="B475" t="s">
        <v>1285</v>
      </c>
      <c r="C475">
        <v>-27</v>
      </c>
      <c r="D475" s="105">
        <v>3973137.41</v>
      </c>
      <c r="E475" t="s">
        <v>284</v>
      </c>
      <c r="F475" s="105">
        <v>4856.0600000000004</v>
      </c>
      <c r="G475" s="105">
        <v>4423406.88</v>
      </c>
      <c r="H475" s="143">
        <v>42846.412896608796</v>
      </c>
      <c r="I475" s="143">
        <v>43394</v>
      </c>
      <c r="J475" t="s">
        <v>1644</v>
      </c>
      <c r="K475" t="s">
        <v>1280</v>
      </c>
      <c r="L475" t="s">
        <v>1280</v>
      </c>
      <c r="M475">
        <v>103180</v>
      </c>
      <c r="N475" t="s">
        <v>1641</v>
      </c>
      <c r="O475" t="s">
        <v>43</v>
      </c>
      <c r="P475" t="s">
        <v>338</v>
      </c>
      <c r="Q475" t="s">
        <v>339</v>
      </c>
      <c r="R475" s="105">
        <f>IF(Table__192.168.1.150_Daily_Delinquency_With_Sectors[[#This Row],[Days in Arrears]] &gt; 0, Table__192.168.1.150_Daily_Delinquency_With_Sectors[[#This Row],[Outstanding Balance]],0)</f>
        <v>0</v>
      </c>
      <c r="S475" s="105">
        <f>IF(Table__192.168.1.150_Daily_Delinquency_With_Sectors[[#This Row],[Days in Arrears]] &gt; 30, Table__192.168.1.150_Daily_Delinquency_With_Sectors[[#This Row],[Outstanding Balance]],0)</f>
        <v>0</v>
      </c>
      <c r="T475" s="105">
        <f>IF(Table__192.168.1.150_Daily_Delinquency_With_Sectors[[#This Row],[Days in Arrears]] &gt; 90, Table__192.168.1.150_Daily_Delinquency_With_Sectors[[#This Row],[Outstanding Balance]],0)</f>
        <v>0</v>
      </c>
      <c r="U475" s="109">
        <f>IF(Table__192.168.1.150_Daily_Delinquency_With_Sectors[[#This Row],[Days in Arrears]] &gt;= 1,1,0)</f>
        <v>0</v>
      </c>
      <c r="V475" s="109">
        <f>IF(Table__192.168.1.150_Daily_Delinquency_With_Sectors[[#This Row],[Days in Arrears]] &gt; 30,1,0)</f>
        <v>0</v>
      </c>
      <c r="W475" s="109">
        <f>IF(Table__192.168.1.150_Daily_Delinquency_With_Sectors[[#This Row],[Days in Arrears]] &gt; 90,1,0)</f>
        <v>0</v>
      </c>
    </row>
    <row r="476" spans="1:23" x14ac:dyDescent="0.25">
      <c r="A476" t="s">
        <v>4568</v>
      </c>
      <c r="B476" t="s">
        <v>1279</v>
      </c>
      <c r="C476">
        <v>0</v>
      </c>
      <c r="D476" s="105">
        <v>283914.53999999998</v>
      </c>
      <c r="E476" t="s">
        <v>2494</v>
      </c>
      <c r="F476" s="105">
        <v>12350.28</v>
      </c>
      <c r="G476" s="105">
        <v>303219.34000000003</v>
      </c>
      <c r="H476" s="143">
        <v>42849.712158020833</v>
      </c>
      <c r="I476" s="143">
        <v>43093</v>
      </c>
      <c r="J476" t="s">
        <v>4569</v>
      </c>
      <c r="K476" t="s">
        <v>1280</v>
      </c>
      <c r="L476" t="s">
        <v>1280</v>
      </c>
      <c r="M476">
        <v>103181</v>
      </c>
      <c r="N476" t="s">
        <v>4565</v>
      </c>
      <c r="O476" t="s">
        <v>25</v>
      </c>
      <c r="P476" t="s">
        <v>88</v>
      </c>
      <c r="Q476" t="s">
        <v>285</v>
      </c>
      <c r="R476" s="105">
        <f>IF(Table__192.168.1.150_Daily_Delinquency_With_Sectors[[#This Row],[Days in Arrears]] &gt; 0, Table__192.168.1.150_Daily_Delinquency_With_Sectors[[#This Row],[Outstanding Balance]],0)</f>
        <v>0</v>
      </c>
      <c r="S476" s="105">
        <f>IF(Table__192.168.1.150_Daily_Delinquency_With_Sectors[[#This Row],[Days in Arrears]] &gt; 30, Table__192.168.1.150_Daily_Delinquency_With_Sectors[[#This Row],[Outstanding Balance]],0)</f>
        <v>0</v>
      </c>
      <c r="T476" s="105">
        <f>IF(Table__192.168.1.150_Daily_Delinquency_With_Sectors[[#This Row],[Days in Arrears]] &gt; 90, Table__192.168.1.150_Daily_Delinquency_With_Sectors[[#This Row],[Outstanding Balance]],0)</f>
        <v>0</v>
      </c>
      <c r="U476" s="109">
        <f>IF(Table__192.168.1.150_Daily_Delinquency_With_Sectors[[#This Row],[Days in Arrears]] &gt;= 1,1,0)</f>
        <v>0</v>
      </c>
      <c r="V476" s="109">
        <f>IF(Table__192.168.1.150_Daily_Delinquency_With_Sectors[[#This Row],[Days in Arrears]] &gt; 30,1,0)</f>
        <v>0</v>
      </c>
      <c r="W476" s="109">
        <f>IF(Table__192.168.1.150_Daily_Delinquency_With_Sectors[[#This Row],[Days in Arrears]] &gt; 90,1,0)</f>
        <v>0</v>
      </c>
    </row>
    <row r="477" spans="1:23" x14ac:dyDescent="0.25">
      <c r="A477" t="s">
        <v>4578</v>
      </c>
      <c r="B477" t="s">
        <v>1284</v>
      </c>
      <c r="C477">
        <v>-1</v>
      </c>
      <c r="D477" s="105">
        <v>28949705.949999999</v>
      </c>
      <c r="E477" t="s">
        <v>5167</v>
      </c>
      <c r="F477" s="105">
        <v>810591.77</v>
      </c>
      <c r="G477" s="105">
        <v>34900174</v>
      </c>
      <c r="H477" s="143">
        <v>42850.729542013891</v>
      </c>
      <c r="I477" s="143">
        <v>43398</v>
      </c>
      <c r="J477" t="s">
        <v>4579</v>
      </c>
      <c r="K477" t="s">
        <v>4580</v>
      </c>
      <c r="L477" t="s">
        <v>1280</v>
      </c>
      <c r="M477">
        <v>103182</v>
      </c>
      <c r="N477" t="s">
        <v>4577</v>
      </c>
      <c r="O477" t="s">
        <v>44</v>
      </c>
      <c r="P477" t="s">
        <v>75</v>
      </c>
      <c r="Q477" t="s">
        <v>1442</v>
      </c>
      <c r="R477" s="105">
        <f>IF(Table__192.168.1.150_Daily_Delinquency_With_Sectors[[#This Row],[Days in Arrears]] &gt; 0, Table__192.168.1.150_Daily_Delinquency_With_Sectors[[#This Row],[Outstanding Balance]],0)</f>
        <v>0</v>
      </c>
      <c r="S477" s="105">
        <f>IF(Table__192.168.1.150_Daily_Delinquency_With_Sectors[[#This Row],[Days in Arrears]] &gt; 30, Table__192.168.1.150_Daily_Delinquency_With_Sectors[[#This Row],[Outstanding Balance]],0)</f>
        <v>0</v>
      </c>
      <c r="T477" s="105">
        <f>IF(Table__192.168.1.150_Daily_Delinquency_With_Sectors[[#This Row],[Days in Arrears]] &gt; 90, Table__192.168.1.150_Daily_Delinquency_With_Sectors[[#This Row],[Outstanding Balance]],0)</f>
        <v>0</v>
      </c>
      <c r="U477" s="109">
        <f>IF(Table__192.168.1.150_Daily_Delinquency_With_Sectors[[#This Row],[Days in Arrears]] &gt;= 1,1,0)</f>
        <v>0</v>
      </c>
      <c r="V477" s="109">
        <f>IF(Table__192.168.1.150_Daily_Delinquency_With_Sectors[[#This Row],[Days in Arrears]] &gt; 30,1,0)</f>
        <v>0</v>
      </c>
      <c r="W477" s="109">
        <f>IF(Table__192.168.1.150_Daily_Delinquency_With_Sectors[[#This Row],[Days in Arrears]] &gt; 90,1,0)</f>
        <v>0</v>
      </c>
    </row>
    <row r="478" spans="1:23" x14ac:dyDescent="0.25">
      <c r="A478" t="s">
        <v>4581</v>
      </c>
      <c r="B478" t="s">
        <v>1282</v>
      </c>
      <c r="C478">
        <v>-7</v>
      </c>
      <c r="D478" s="105">
        <v>859079.1</v>
      </c>
      <c r="E478" t="s">
        <v>2175</v>
      </c>
      <c r="F478" s="105">
        <v>28349.61</v>
      </c>
      <c r="G478" s="105">
        <v>917492.28</v>
      </c>
      <c r="H478" s="143">
        <v>42850.732010648149</v>
      </c>
      <c r="I478" s="143">
        <v>43101</v>
      </c>
      <c r="J478" t="s">
        <v>4582</v>
      </c>
      <c r="K478" t="s">
        <v>1280</v>
      </c>
      <c r="L478" t="s">
        <v>1280</v>
      </c>
      <c r="M478">
        <v>103183</v>
      </c>
      <c r="N478" t="s">
        <v>4576</v>
      </c>
      <c r="O478" t="s">
        <v>25</v>
      </c>
      <c r="P478" t="s">
        <v>26</v>
      </c>
      <c r="Q478" t="s">
        <v>26</v>
      </c>
      <c r="R478" s="105">
        <f>IF(Table__192.168.1.150_Daily_Delinquency_With_Sectors[[#This Row],[Days in Arrears]] &gt; 0, Table__192.168.1.150_Daily_Delinquency_With_Sectors[[#This Row],[Outstanding Balance]],0)</f>
        <v>0</v>
      </c>
      <c r="S478" s="105">
        <f>IF(Table__192.168.1.150_Daily_Delinquency_With_Sectors[[#This Row],[Days in Arrears]] &gt; 30, Table__192.168.1.150_Daily_Delinquency_With_Sectors[[#This Row],[Outstanding Balance]],0)</f>
        <v>0</v>
      </c>
      <c r="T478" s="105">
        <f>IF(Table__192.168.1.150_Daily_Delinquency_With_Sectors[[#This Row],[Days in Arrears]] &gt; 90, Table__192.168.1.150_Daily_Delinquency_With_Sectors[[#This Row],[Outstanding Balance]],0)</f>
        <v>0</v>
      </c>
      <c r="U478" s="109">
        <f>IF(Table__192.168.1.150_Daily_Delinquency_With_Sectors[[#This Row],[Days in Arrears]] &gt;= 1,1,0)</f>
        <v>0</v>
      </c>
      <c r="V478" s="109">
        <f>IF(Table__192.168.1.150_Daily_Delinquency_With_Sectors[[#This Row],[Days in Arrears]] &gt; 30,1,0)</f>
        <v>0</v>
      </c>
      <c r="W478" s="109">
        <f>IF(Table__192.168.1.150_Daily_Delinquency_With_Sectors[[#This Row],[Days in Arrears]] &gt; 90,1,0)</f>
        <v>0</v>
      </c>
    </row>
    <row r="479" spans="1:23" x14ac:dyDescent="0.25">
      <c r="A479" t="s">
        <v>4597</v>
      </c>
      <c r="B479" t="s">
        <v>1283</v>
      </c>
      <c r="C479">
        <v>-7</v>
      </c>
      <c r="D479" s="105">
        <v>49965967.280000001</v>
      </c>
      <c r="E479" t="s">
        <v>468</v>
      </c>
      <c r="F479" s="105">
        <v>1221390.31</v>
      </c>
      <c r="G479" s="105">
        <v>79808532.450000003</v>
      </c>
      <c r="H479" s="143">
        <v>42851.579203969908</v>
      </c>
      <c r="I479" s="143">
        <v>43952</v>
      </c>
      <c r="J479" t="s">
        <v>4598</v>
      </c>
      <c r="K479" t="s">
        <v>4599</v>
      </c>
      <c r="L479" t="s">
        <v>1280</v>
      </c>
      <c r="M479">
        <v>103185</v>
      </c>
      <c r="N479" t="s">
        <v>4596</v>
      </c>
      <c r="O479" t="s">
        <v>46</v>
      </c>
      <c r="P479" t="s">
        <v>46</v>
      </c>
      <c r="Q479" t="s">
        <v>112</v>
      </c>
      <c r="R479" s="105">
        <f>IF(Table__192.168.1.150_Daily_Delinquency_With_Sectors[[#This Row],[Days in Arrears]] &gt; 0, Table__192.168.1.150_Daily_Delinquency_With_Sectors[[#This Row],[Outstanding Balance]],0)</f>
        <v>0</v>
      </c>
      <c r="S479" s="105">
        <f>IF(Table__192.168.1.150_Daily_Delinquency_With_Sectors[[#This Row],[Days in Arrears]] &gt; 30, Table__192.168.1.150_Daily_Delinquency_With_Sectors[[#This Row],[Outstanding Balance]],0)</f>
        <v>0</v>
      </c>
      <c r="T479" s="105">
        <f>IF(Table__192.168.1.150_Daily_Delinquency_With_Sectors[[#This Row],[Days in Arrears]] &gt; 90, Table__192.168.1.150_Daily_Delinquency_With_Sectors[[#This Row],[Outstanding Balance]],0)</f>
        <v>0</v>
      </c>
      <c r="U479" s="109">
        <f>IF(Table__192.168.1.150_Daily_Delinquency_With_Sectors[[#This Row],[Days in Arrears]] &gt;= 1,1,0)</f>
        <v>0</v>
      </c>
      <c r="V479" s="109">
        <f>IF(Table__192.168.1.150_Daily_Delinquency_With_Sectors[[#This Row],[Days in Arrears]] &gt; 30,1,0)</f>
        <v>0</v>
      </c>
      <c r="W479" s="109">
        <f>IF(Table__192.168.1.150_Daily_Delinquency_With_Sectors[[#This Row],[Days in Arrears]] &gt; 90,1,0)</f>
        <v>0</v>
      </c>
    </row>
    <row r="480" spans="1:23" x14ac:dyDescent="0.25">
      <c r="A480" t="s">
        <v>4624</v>
      </c>
      <c r="B480" t="s">
        <v>1282</v>
      </c>
      <c r="C480">
        <v>23</v>
      </c>
      <c r="D480" s="105">
        <v>5029949.62</v>
      </c>
      <c r="E480" t="s">
        <v>90</v>
      </c>
      <c r="F480" s="105">
        <v>339423.41</v>
      </c>
      <c r="G480" s="105">
        <v>5489285.0300000003</v>
      </c>
      <c r="H480" s="143">
        <v>42852.668469062497</v>
      </c>
      <c r="I480" s="143">
        <v>43101</v>
      </c>
      <c r="J480" t="s">
        <v>4625</v>
      </c>
      <c r="K480" t="s">
        <v>4626</v>
      </c>
      <c r="L480" t="s">
        <v>4627</v>
      </c>
      <c r="M480">
        <v>103187</v>
      </c>
      <c r="N480" t="s">
        <v>4620</v>
      </c>
      <c r="O480" t="s">
        <v>25</v>
      </c>
      <c r="P480" t="s">
        <v>26</v>
      </c>
      <c r="Q480" t="s">
        <v>26</v>
      </c>
      <c r="R480" s="105">
        <f>IF(Table__192.168.1.150_Daily_Delinquency_With_Sectors[[#This Row],[Days in Arrears]] &gt; 0, Table__192.168.1.150_Daily_Delinquency_With_Sectors[[#This Row],[Outstanding Balance]],0)</f>
        <v>5029949.62</v>
      </c>
      <c r="S480" s="105">
        <f>IF(Table__192.168.1.150_Daily_Delinquency_With_Sectors[[#This Row],[Days in Arrears]] &gt; 30, Table__192.168.1.150_Daily_Delinquency_With_Sectors[[#This Row],[Outstanding Balance]],0)</f>
        <v>0</v>
      </c>
      <c r="T480" s="105">
        <f>IF(Table__192.168.1.150_Daily_Delinquency_With_Sectors[[#This Row],[Days in Arrears]] &gt; 90, Table__192.168.1.150_Daily_Delinquency_With_Sectors[[#This Row],[Outstanding Balance]],0)</f>
        <v>0</v>
      </c>
      <c r="U480" s="109">
        <f>IF(Table__192.168.1.150_Daily_Delinquency_With_Sectors[[#This Row],[Days in Arrears]] &gt;= 1,1,0)</f>
        <v>1</v>
      </c>
      <c r="V480" s="109">
        <f>IF(Table__192.168.1.150_Daily_Delinquency_With_Sectors[[#This Row],[Days in Arrears]] &gt; 30,1,0)</f>
        <v>0</v>
      </c>
      <c r="W480" s="109">
        <f>IF(Table__192.168.1.150_Daily_Delinquency_With_Sectors[[#This Row],[Days in Arrears]] &gt; 90,1,0)</f>
        <v>0</v>
      </c>
    </row>
    <row r="481" spans="1:23" x14ac:dyDescent="0.25">
      <c r="A481" t="s">
        <v>1612</v>
      </c>
      <c r="B481" t="s">
        <v>1284</v>
      </c>
      <c r="C481">
        <v>7</v>
      </c>
      <c r="D481" s="105">
        <v>16540720.689999999</v>
      </c>
      <c r="E481" t="s">
        <v>86</v>
      </c>
      <c r="F481" s="105">
        <v>97453.13</v>
      </c>
      <c r="G481" s="105">
        <v>21555602.260000002</v>
      </c>
      <c r="H481" s="143">
        <v>42872.613226273148</v>
      </c>
      <c r="I481" s="143">
        <v>43602</v>
      </c>
      <c r="J481" t="s">
        <v>1613</v>
      </c>
      <c r="K481" t="s">
        <v>1280</v>
      </c>
      <c r="L481" t="s">
        <v>1280</v>
      </c>
      <c r="M481">
        <v>103189</v>
      </c>
      <c r="N481" t="s">
        <v>1606</v>
      </c>
      <c r="O481" t="s">
        <v>29</v>
      </c>
      <c r="P481" t="s">
        <v>30</v>
      </c>
      <c r="Q481" t="s">
        <v>26</v>
      </c>
      <c r="R481" s="105">
        <f>IF(Table__192.168.1.150_Daily_Delinquency_With_Sectors[[#This Row],[Days in Arrears]] &gt; 0, Table__192.168.1.150_Daily_Delinquency_With_Sectors[[#This Row],[Outstanding Balance]],0)</f>
        <v>16540720.689999999</v>
      </c>
      <c r="S481" s="105">
        <f>IF(Table__192.168.1.150_Daily_Delinquency_With_Sectors[[#This Row],[Days in Arrears]] &gt; 30, Table__192.168.1.150_Daily_Delinquency_With_Sectors[[#This Row],[Outstanding Balance]],0)</f>
        <v>0</v>
      </c>
      <c r="T481" s="105">
        <f>IF(Table__192.168.1.150_Daily_Delinquency_With_Sectors[[#This Row],[Days in Arrears]] &gt; 90, Table__192.168.1.150_Daily_Delinquency_With_Sectors[[#This Row],[Outstanding Balance]],0)</f>
        <v>0</v>
      </c>
      <c r="U481" s="109">
        <f>IF(Table__192.168.1.150_Daily_Delinquency_With_Sectors[[#This Row],[Days in Arrears]] &gt;= 1,1,0)</f>
        <v>1</v>
      </c>
      <c r="V481" s="109">
        <f>IF(Table__192.168.1.150_Daily_Delinquency_With_Sectors[[#This Row],[Days in Arrears]] &gt; 30,1,0)</f>
        <v>0</v>
      </c>
      <c r="W481" s="109">
        <f>IF(Table__192.168.1.150_Daily_Delinquency_With_Sectors[[#This Row],[Days in Arrears]] &gt; 90,1,0)</f>
        <v>0</v>
      </c>
    </row>
    <row r="482" spans="1:23" x14ac:dyDescent="0.25">
      <c r="A482" t="s">
        <v>1531</v>
      </c>
      <c r="B482" t="s">
        <v>1283</v>
      </c>
      <c r="C482">
        <v>-7</v>
      </c>
      <c r="D482" s="105">
        <v>32631658.890000001</v>
      </c>
      <c r="E482" t="s">
        <v>963</v>
      </c>
      <c r="F482" s="105">
        <v>717896.5</v>
      </c>
      <c r="G482" s="105">
        <v>39342116.82</v>
      </c>
      <c r="H482" s="143">
        <v>42854.553883449073</v>
      </c>
      <c r="I482" s="143">
        <v>43406</v>
      </c>
      <c r="J482" t="s">
        <v>1532</v>
      </c>
      <c r="K482" t="s">
        <v>1280</v>
      </c>
      <c r="L482" t="s">
        <v>1280</v>
      </c>
      <c r="M482">
        <v>103190</v>
      </c>
      <c r="N482" t="s">
        <v>1528</v>
      </c>
      <c r="O482" t="s">
        <v>25</v>
      </c>
      <c r="P482" t="s">
        <v>289</v>
      </c>
      <c r="Q482" t="s">
        <v>26</v>
      </c>
      <c r="R482" s="105">
        <f>IF(Table__192.168.1.150_Daily_Delinquency_With_Sectors[[#This Row],[Days in Arrears]] &gt; 0, Table__192.168.1.150_Daily_Delinquency_With_Sectors[[#This Row],[Outstanding Balance]],0)</f>
        <v>0</v>
      </c>
      <c r="S482" s="105">
        <f>IF(Table__192.168.1.150_Daily_Delinquency_With_Sectors[[#This Row],[Days in Arrears]] &gt; 30, Table__192.168.1.150_Daily_Delinquency_With_Sectors[[#This Row],[Outstanding Balance]],0)</f>
        <v>0</v>
      </c>
      <c r="T482" s="105">
        <f>IF(Table__192.168.1.150_Daily_Delinquency_With_Sectors[[#This Row],[Days in Arrears]] &gt; 90, Table__192.168.1.150_Daily_Delinquency_With_Sectors[[#This Row],[Outstanding Balance]],0)</f>
        <v>0</v>
      </c>
      <c r="U482" s="109">
        <f>IF(Table__192.168.1.150_Daily_Delinquency_With_Sectors[[#This Row],[Days in Arrears]] &gt;= 1,1,0)</f>
        <v>0</v>
      </c>
      <c r="V482" s="109">
        <f>IF(Table__192.168.1.150_Daily_Delinquency_With_Sectors[[#This Row],[Days in Arrears]] &gt; 30,1,0)</f>
        <v>0</v>
      </c>
      <c r="W482" s="109">
        <f>IF(Table__192.168.1.150_Daily_Delinquency_With_Sectors[[#This Row],[Days in Arrears]] &gt; 90,1,0)</f>
        <v>0</v>
      </c>
    </row>
    <row r="483" spans="1:23" x14ac:dyDescent="0.25">
      <c r="A483" t="s">
        <v>4653</v>
      </c>
      <c r="B483" t="s">
        <v>1281</v>
      </c>
      <c r="C483">
        <v>-7</v>
      </c>
      <c r="D483" s="105">
        <v>16799798.390000001</v>
      </c>
      <c r="E483" t="s">
        <v>86</v>
      </c>
      <c r="F483" s="105">
        <v>492794.09</v>
      </c>
      <c r="G483" s="105">
        <v>19232677.690000001</v>
      </c>
      <c r="H483" s="143">
        <v>42854.47204980324</v>
      </c>
      <c r="I483" s="143">
        <v>43222</v>
      </c>
      <c r="J483" t="s">
        <v>4654</v>
      </c>
      <c r="K483" t="s">
        <v>1280</v>
      </c>
      <c r="L483" t="s">
        <v>1280</v>
      </c>
      <c r="M483">
        <v>103192</v>
      </c>
      <c r="N483" t="s">
        <v>4650</v>
      </c>
      <c r="O483" t="s">
        <v>37</v>
      </c>
      <c r="P483" t="s">
        <v>38</v>
      </c>
      <c r="Q483" t="s">
        <v>39</v>
      </c>
      <c r="R483" s="105">
        <f>IF(Table__192.168.1.150_Daily_Delinquency_With_Sectors[[#This Row],[Days in Arrears]] &gt; 0, Table__192.168.1.150_Daily_Delinquency_With_Sectors[[#This Row],[Outstanding Balance]],0)</f>
        <v>0</v>
      </c>
      <c r="S483" s="105">
        <f>IF(Table__192.168.1.150_Daily_Delinquency_With_Sectors[[#This Row],[Days in Arrears]] &gt; 30, Table__192.168.1.150_Daily_Delinquency_With_Sectors[[#This Row],[Outstanding Balance]],0)</f>
        <v>0</v>
      </c>
      <c r="T483" s="105">
        <f>IF(Table__192.168.1.150_Daily_Delinquency_With_Sectors[[#This Row],[Days in Arrears]] &gt; 90, Table__192.168.1.150_Daily_Delinquency_With_Sectors[[#This Row],[Outstanding Balance]],0)</f>
        <v>0</v>
      </c>
      <c r="U483" s="109">
        <f>IF(Table__192.168.1.150_Daily_Delinquency_With_Sectors[[#This Row],[Days in Arrears]] &gt;= 1,1,0)</f>
        <v>0</v>
      </c>
      <c r="V483" s="109">
        <f>IF(Table__192.168.1.150_Daily_Delinquency_With_Sectors[[#This Row],[Days in Arrears]] &gt; 30,1,0)</f>
        <v>0</v>
      </c>
      <c r="W483" s="109">
        <f>IF(Table__192.168.1.150_Daily_Delinquency_With_Sectors[[#This Row],[Days in Arrears]] &gt; 90,1,0)</f>
        <v>0</v>
      </c>
    </row>
    <row r="484" spans="1:23" x14ac:dyDescent="0.25">
      <c r="A484" t="s">
        <v>4637</v>
      </c>
      <c r="B484" t="s">
        <v>1279</v>
      </c>
      <c r="C484">
        <v>173</v>
      </c>
      <c r="D484" s="105">
        <v>5000000</v>
      </c>
      <c r="E484" t="s">
        <v>2494</v>
      </c>
      <c r="F484" s="105">
        <v>451516.96</v>
      </c>
      <c r="G484" s="105">
        <v>6090500.7199999997</v>
      </c>
      <c r="H484" s="143">
        <v>42853.803187233796</v>
      </c>
      <c r="I484" s="143">
        <v>43101</v>
      </c>
      <c r="J484" t="s">
        <v>4638</v>
      </c>
      <c r="K484" t="s">
        <v>1280</v>
      </c>
      <c r="L484" t="s">
        <v>1280</v>
      </c>
      <c r="M484">
        <v>103193</v>
      </c>
      <c r="N484" t="s">
        <v>4632</v>
      </c>
      <c r="O484" t="s">
        <v>25</v>
      </c>
      <c r="P484" t="s">
        <v>26</v>
      </c>
      <c r="Q484" t="s">
        <v>26</v>
      </c>
      <c r="R484" s="105">
        <f>IF(Table__192.168.1.150_Daily_Delinquency_With_Sectors[[#This Row],[Days in Arrears]] &gt; 0, Table__192.168.1.150_Daily_Delinquency_With_Sectors[[#This Row],[Outstanding Balance]],0)</f>
        <v>5000000</v>
      </c>
      <c r="S484" s="105">
        <f>IF(Table__192.168.1.150_Daily_Delinquency_With_Sectors[[#This Row],[Days in Arrears]] &gt; 30, Table__192.168.1.150_Daily_Delinquency_With_Sectors[[#This Row],[Outstanding Balance]],0)</f>
        <v>5000000</v>
      </c>
      <c r="T484" s="105">
        <f>IF(Table__192.168.1.150_Daily_Delinquency_With_Sectors[[#This Row],[Days in Arrears]] &gt; 90, Table__192.168.1.150_Daily_Delinquency_With_Sectors[[#This Row],[Outstanding Balance]],0)</f>
        <v>5000000</v>
      </c>
      <c r="U484" s="109">
        <f>IF(Table__192.168.1.150_Daily_Delinquency_With_Sectors[[#This Row],[Days in Arrears]] &gt;= 1,1,0)</f>
        <v>1</v>
      </c>
      <c r="V484" s="109">
        <f>IF(Table__192.168.1.150_Daily_Delinquency_With_Sectors[[#This Row],[Days in Arrears]] &gt; 30,1,0)</f>
        <v>1</v>
      </c>
      <c r="W484" s="109">
        <f>IF(Table__192.168.1.150_Daily_Delinquency_With_Sectors[[#This Row],[Days in Arrears]] &gt; 90,1,0)</f>
        <v>1</v>
      </c>
    </row>
    <row r="485" spans="1:23" x14ac:dyDescent="0.25">
      <c r="A485" t="s">
        <v>4655</v>
      </c>
      <c r="B485" t="s">
        <v>1282</v>
      </c>
      <c r="C485">
        <v>-7</v>
      </c>
      <c r="D485" s="105">
        <v>2799966.38</v>
      </c>
      <c r="E485" t="s">
        <v>2861</v>
      </c>
      <c r="F485" s="105">
        <v>82132.350000000006</v>
      </c>
      <c r="G485" s="105">
        <v>3204761.48</v>
      </c>
      <c r="H485" s="143">
        <v>42854.724098032406</v>
      </c>
      <c r="I485" s="143">
        <v>43221</v>
      </c>
      <c r="J485" t="s">
        <v>4656</v>
      </c>
      <c r="K485" t="s">
        <v>1280</v>
      </c>
      <c r="L485" t="s">
        <v>1280</v>
      </c>
      <c r="M485">
        <v>103195</v>
      </c>
      <c r="N485" t="s">
        <v>4648</v>
      </c>
      <c r="O485" t="s">
        <v>25</v>
      </c>
      <c r="P485" t="s">
        <v>88</v>
      </c>
      <c r="Q485" t="s">
        <v>26</v>
      </c>
      <c r="R485" s="105">
        <f>IF(Table__192.168.1.150_Daily_Delinquency_With_Sectors[[#This Row],[Days in Arrears]] &gt; 0, Table__192.168.1.150_Daily_Delinquency_With_Sectors[[#This Row],[Outstanding Balance]],0)</f>
        <v>0</v>
      </c>
      <c r="S485" s="105">
        <f>IF(Table__192.168.1.150_Daily_Delinquency_With_Sectors[[#This Row],[Days in Arrears]] &gt; 30, Table__192.168.1.150_Daily_Delinquency_With_Sectors[[#This Row],[Outstanding Balance]],0)</f>
        <v>0</v>
      </c>
      <c r="T485" s="105">
        <f>IF(Table__192.168.1.150_Daily_Delinquency_With_Sectors[[#This Row],[Days in Arrears]] &gt; 90, Table__192.168.1.150_Daily_Delinquency_With_Sectors[[#This Row],[Outstanding Balance]],0)</f>
        <v>0</v>
      </c>
      <c r="U485" s="109">
        <f>IF(Table__192.168.1.150_Daily_Delinquency_With_Sectors[[#This Row],[Days in Arrears]] &gt;= 1,1,0)</f>
        <v>0</v>
      </c>
      <c r="V485" s="109">
        <f>IF(Table__192.168.1.150_Daily_Delinquency_With_Sectors[[#This Row],[Days in Arrears]] &gt; 30,1,0)</f>
        <v>0</v>
      </c>
      <c r="W485" s="109">
        <f>IF(Table__192.168.1.150_Daily_Delinquency_With_Sectors[[#This Row],[Days in Arrears]] &gt; 90,1,0)</f>
        <v>0</v>
      </c>
    </row>
    <row r="486" spans="1:23" x14ac:dyDescent="0.25">
      <c r="A486" t="s">
        <v>1339</v>
      </c>
      <c r="B486" t="s">
        <v>1283</v>
      </c>
      <c r="C486">
        <v>23</v>
      </c>
      <c r="D486" s="105">
        <v>32005438.300000001</v>
      </c>
      <c r="E486" t="s">
        <v>2494</v>
      </c>
      <c r="F486" s="105">
        <v>659787.69999999995</v>
      </c>
      <c r="G486" s="105">
        <v>35231950.189999998</v>
      </c>
      <c r="H486" s="143">
        <v>42854.692172997682</v>
      </c>
      <c r="I486" s="143">
        <v>43221</v>
      </c>
      <c r="J486" t="s">
        <v>1340</v>
      </c>
      <c r="K486" t="s">
        <v>1280</v>
      </c>
      <c r="L486" t="s">
        <v>1341</v>
      </c>
      <c r="M486">
        <v>103196</v>
      </c>
      <c r="N486" t="s">
        <v>1338</v>
      </c>
      <c r="O486" t="s">
        <v>25</v>
      </c>
      <c r="P486" t="s">
        <v>26</v>
      </c>
      <c r="Q486" t="s">
        <v>26</v>
      </c>
      <c r="R486" s="105">
        <f>IF(Table__192.168.1.150_Daily_Delinquency_With_Sectors[[#This Row],[Days in Arrears]] &gt; 0, Table__192.168.1.150_Daily_Delinquency_With_Sectors[[#This Row],[Outstanding Balance]],0)</f>
        <v>32005438.300000001</v>
      </c>
      <c r="S486" s="105">
        <f>IF(Table__192.168.1.150_Daily_Delinquency_With_Sectors[[#This Row],[Days in Arrears]] &gt; 30, Table__192.168.1.150_Daily_Delinquency_With_Sectors[[#This Row],[Outstanding Balance]],0)</f>
        <v>0</v>
      </c>
      <c r="T486" s="105">
        <f>IF(Table__192.168.1.150_Daily_Delinquency_With_Sectors[[#This Row],[Days in Arrears]] &gt; 90, Table__192.168.1.150_Daily_Delinquency_With_Sectors[[#This Row],[Outstanding Balance]],0)</f>
        <v>0</v>
      </c>
      <c r="U486" s="109">
        <f>IF(Table__192.168.1.150_Daily_Delinquency_With_Sectors[[#This Row],[Days in Arrears]] &gt;= 1,1,0)</f>
        <v>1</v>
      </c>
      <c r="V486" s="109">
        <f>IF(Table__192.168.1.150_Daily_Delinquency_With_Sectors[[#This Row],[Days in Arrears]] &gt; 30,1,0)</f>
        <v>0</v>
      </c>
      <c r="W486" s="109">
        <f>IF(Table__192.168.1.150_Daily_Delinquency_With_Sectors[[#This Row],[Days in Arrears]] &gt; 90,1,0)</f>
        <v>0</v>
      </c>
    </row>
    <row r="487" spans="1:23" x14ac:dyDescent="0.25">
      <c r="A487" t="s">
        <v>4657</v>
      </c>
      <c r="B487" t="s">
        <v>1284</v>
      </c>
      <c r="C487">
        <v>-7</v>
      </c>
      <c r="D487" s="105">
        <v>14625325.84</v>
      </c>
      <c r="E487" t="s">
        <v>468</v>
      </c>
      <c r="F487" s="105">
        <v>357507.96</v>
      </c>
      <c r="G487" s="105">
        <v>17984145.920000002</v>
      </c>
      <c r="H487" s="143">
        <v>42854.752476076392</v>
      </c>
      <c r="I487" s="143">
        <v>43405</v>
      </c>
      <c r="J487" t="s">
        <v>4658</v>
      </c>
      <c r="K487" t="s">
        <v>1280</v>
      </c>
      <c r="L487" t="s">
        <v>1280</v>
      </c>
      <c r="M487">
        <v>103197</v>
      </c>
      <c r="N487" t="s">
        <v>4647</v>
      </c>
      <c r="O487" t="s">
        <v>25</v>
      </c>
      <c r="P487" t="s">
        <v>88</v>
      </c>
      <c r="Q487" t="s">
        <v>285</v>
      </c>
      <c r="R487" s="105">
        <f>IF(Table__192.168.1.150_Daily_Delinquency_With_Sectors[[#This Row],[Days in Arrears]] &gt; 0, Table__192.168.1.150_Daily_Delinquency_With_Sectors[[#This Row],[Outstanding Balance]],0)</f>
        <v>0</v>
      </c>
      <c r="S487" s="105">
        <f>IF(Table__192.168.1.150_Daily_Delinquency_With_Sectors[[#This Row],[Days in Arrears]] &gt; 30, Table__192.168.1.150_Daily_Delinquency_With_Sectors[[#This Row],[Outstanding Balance]],0)</f>
        <v>0</v>
      </c>
      <c r="T487" s="105">
        <f>IF(Table__192.168.1.150_Daily_Delinquency_With_Sectors[[#This Row],[Days in Arrears]] &gt; 90, Table__192.168.1.150_Daily_Delinquency_With_Sectors[[#This Row],[Outstanding Balance]],0)</f>
        <v>0</v>
      </c>
      <c r="U487" s="109">
        <f>IF(Table__192.168.1.150_Daily_Delinquency_With_Sectors[[#This Row],[Days in Arrears]] &gt;= 1,1,0)</f>
        <v>0</v>
      </c>
      <c r="V487" s="109">
        <f>IF(Table__192.168.1.150_Daily_Delinquency_With_Sectors[[#This Row],[Days in Arrears]] &gt; 30,1,0)</f>
        <v>0</v>
      </c>
      <c r="W487" s="109">
        <f>IF(Table__192.168.1.150_Daily_Delinquency_With_Sectors[[#This Row],[Days in Arrears]] &gt; 90,1,0)</f>
        <v>0</v>
      </c>
    </row>
    <row r="488" spans="1:23" x14ac:dyDescent="0.25">
      <c r="A488" t="s">
        <v>773</v>
      </c>
      <c r="B488" t="s">
        <v>1282</v>
      </c>
      <c r="C488">
        <v>-9</v>
      </c>
      <c r="D488" s="105">
        <v>6702732.8700000001</v>
      </c>
      <c r="E488" t="s">
        <v>963</v>
      </c>
      <c r="F488" s="105">
        <v>178739.54</v>
      </c>
      <c r="G488" s="105">
        <v>7671756.4400000004</v>
      </c>
      <c r="H488" s="143">
        <v>42858.693313425923</v>
      </c>
      <c r="I488" s="143">
        <v>43223</v>
      </c>
      <c r="J488" t="s">
        <v>774</v>
      </c>
      <c r="K488" t="s">
        <v>775</v>
      </c>
      <c r="L488" t="s">
        <v>1280</v>
      </c>
      <c r="M488">
        <v>103199</v>
      </c>
      <c r="N488" t="s">
        <v>764</v>
      </c>
      <c r="O488" t="s">
        <v>25</v>
      </c>
      <c r="P488" t="s">
        <v>26</v>
      </c>
      <c r="Q488" t="s">
        <v>26</v>
      </c>
      <c r="R488" s="105">
        <f>IF(Table__192.168.1.150_Daily_Delinquency_With_Sectors[[#This Row],[Days in Arrears]] &gt; 0, Table__192.168.1.150_Daily_Delinquency_With_Sectors[[#This Row],[Outstanding Balance]],0)</f>
        <v>0</v>
      </c>
      <c r="S488" s="105">
        <f>IF(Table__192.168.1.150_Daily_Delinquency_With_Sectors[[#This Row],[Days in Arrears]] &gt; 30, Table__192.168.1.150_Daily_Delinquency_With_Sectors[[#This Row],[Outstanding Balance]],0)</f>
        <v>0</v>
      </c>
      <c r="T488" s="105">
        <f>IF(Table__192.168.1.150_Daily_Delinquency_With_Sectors[[#This Row],[Days in Arrears]] &gt; 90, Table__192.168.1.150_Daily_Delinquency_With_Sectors[[#This Row],[Outstanding Balance]],0)</f>
        <v>0</v>
      </c>
      <c r="U488" s="109">
        <f>IF(Table__192.168.1.150_Daily_Delinquency_With_Sectors[[#This Row],[Days in Arrears]] &gt;= 1,1,0)</f>
        <v>0</v>
      </c>
      <c r="V488" s="109">
        <f>IF(Table__192.168.1.150_Daily_Delinquency_With_Sectors[[#This Row],[Days in Arrears]] &gt; 30,1,0)</f>
        <v>0</v>
      </c>
      <c r="W488" s="109">
        <f>IF(Table__192.168.1.150_Daily_Delinquency_With_Sectors[[#This Row],[Days in Arrears]] &gt; 90,1,0)</f>
        <v>0</v>
      </c>
    </row>
    <row r="489" spans="1:23" x14ac:dyDescent="0.25">
      <c r="A489" t="s">
        <v>4678</v>
      </c>
      <c r="B489" t="s">
        <v>1281</v>
      </c>
      <c r="C489">
        <v>20</v>
      </c>
      <c r="D489" s="105">
        <v>14805544.539999999</v>
      </c>
      <c r="E489" t="s">
        <v>2494</v>
      </c>
      <c r="F489" s="105">
        <v>353755.35</v>
      </c>
      <c r="G489" s="105">
        <v>16824343.640000001</v>
      </c>
      <c r="H489" s="143">
        <v>42859.722962268519</v>
      </c>
      <c r="I489" s="143">
        <v>43224</v>
      </c>
      <c r="J489" t="s">
        <v>4679</v>
      </c>
      <c r="K489" t="s">
        <v>4680</v>
      </c>
      <c r="L489" t="s">
        <v>1280</v>
      </c>
      <c r="M489">
        <v>103200</v>
      </c>
      <c r="N489" t="s">
        <v>4677</v>
      </c>
      <c r="O489" t="s">
        <v>31</v>
      </c>
      <c r="P489" t="s">
        <v>1815</v>
      </c>
      <c r="Q489" t="s">
        <v>1815</v>
      </c>
      <c r="R489" s="105">
        <f>IF(Table__192.168.1.150_Daily_Delinquency_With_Sectors[[#This Row],[Days in Arrears]] &gt; 0, Table__192.168.1.150_Daily_Delinquency_With_Sectors[[#This Row],[Outstanding Balance]],0)</f>
        <v>14805544.539999999</v>
      </c>
      <c r="S489" s="105">
        <f>IF(Table__192.168.1.150_Daily_Delinquency_With_Sectors[[#This Row],[Days in Arrears]] &gt; 30, Table__192.168.1.150_Daily_Delinquency_With_Sectors[[#This Row],[Outstanding Balance]],0)</f>
        <v>0</v>
      </c>
      <c r="T489" s="105">
        <f>IF(Table__192.168.1.150_Daily_Delinquency_With_Sectors[[#This Row],[Days in Arrears]] &gt; 90, Table__192.168.1.150_Daily_Delinquency_With_Sectors[[#This Row],[Outstanding Balance]],0)</f>
        <v>0</v>
      </c>
      <c r="U489" s="109">
        <f>IF(Table__192.168.1.150_Daily_Delinquency_With_Sectors[[#This Row],[Days in Arrears]] &gt;= 1,1,0)</f>
        <v>1</v>
      </c>
      <c r="V489" s="109">
        <f>IF(Table__192.168.1.150_Daily_Delinquency_With_Sectors[[#This Row],[Days in Arrears]] &gt; 30,1,0)</f>
        <v>0</v>
      </c>
      <c r="W489" s="109">
        <f>IF(Table__192.168.1.150_Daily_Delinquency_With_Sectors[[#This Row],[Days in Arrears]] &gt; 90,1,0)</f>
        <v>0</v>
      </c>
    </row>
    <row r="490" spans="1:23" x14ac:dyDescent="0.25">
      <c r="A490" t="s">
        <v>4699</v>
      </c>
      <c r="B490" t="s">
        <v>1279</v>
      </c>
      <c r="C490">
        <v>46</v>
      </c>
      <c r="D490" s="105">
        <v>199880.89</v>
      </c>
      <c r="E490" t="s">
        <v>3074</v>
      </c>
      <c r="F490" s="105">
        <v>8070.53</v>
      </c>
      <c r="G490" s="105">
        <v>208229.72</v>
      </c>
      <c r="H490" s="143">
        <v>42863.729602083331</v>
      </c>
      <c r="I490" s="143">
        <v>43047</v>
      </c>
      <c r="J490" t="s">
        <v>4700</v>
      </c>
      <c r="K490" t="s">
        <v>1280</v>
      </c>
      <c r="L490" t="s">
        <v>1280</v>
      </c>
      <c r="M490">
        <v>103204</v>
      </c>
      <c r="N490" t="s">
        <v>4694</v>
      </c>
      <c r="O490" t="s">
        <v>25</v>
      </c>
      <c r="P490" t="s">
        <v>88</v>
      </c>
      <c r="Q490" t="s">
        <v>285</v>
      </c>
      <c r="R490" s="105">
        <f>IF(Table__192.168.1.150_Daily_Delinquency_With_Sectors[[#This Row],[Days in Arrears]] &gt; 0, Table__192.168.1.150_Daily_Delinquency_With_Sectors[[#This Row],[Outstanding Balance]],0)</f>
        <v>199880.89</v>
      </c>
      <c r="S490" s="105">
        <f>IF(Table__192.168.1.150_Daily_Delinquency_With_Sectors[[#This Row],[Days in Arrears]] &gt; 30, Table__192.168.1.150_Daily_Delinquency_With_Sectors[[#This Row],[Outstanding Balance]],0)</f>
        <v>199880.89</v>
      </c>
      <c r="T490" s="105">
        <f>IF(Table__192.168.1.150_Daily_Delinquency_With_Sectors[[#This Row],[Days in Arrears]] &gt; 90, Table__192.168.1.150_Daily_Delinquency_With_Sectors[[#This Row],[Outstanding Balance]],0)</f>
        <v>0</v>
      </c>
      <c r="U490" s="109">
        <f>IF(Table__192.168.1.150_Daily_Delinquency_With_Sectors[[#This Row],[Days in Arrears]] &gt;= 1,1,0)</f>
        <v>1</v>
      </c>
      <c r="V490" s="109">
        <f>IF(Table__192.168.1.150_Daily_Delinquency_With_Sectors[[#This Row],[Days in Arrears]] &gt; 30,1,0)</f>
        <v>1</v>
      </c>
      <c r="W490" s="109">
        <f>IF(Table__192.168.1.150_Daily_Delinquency_With_Sectors[[#This Row],[Days in Arrears]] &gt; 90,1,0)</f>
        <v>0</v>
      </c>
    </row>
    <row r="491" spans="1:23" x14ac:dyDescent="0.25">
      <c r="A491" t="s">
        <v>4725</v>
      </c>
      <c r="B491" t="s">
        <v>1285</v>
      </c>
      <c r="C491">
        <v>-27</v>
      </c>
      <c r="D491" s="105">
        <v>12341899.75</v>
      </c>
      <c r="E491" t="s">
        <v>284</v>
      </c>
      <c r="F491" s="105">
        <v>15084.54</v>
      </c>
      <c r="G491" s="105">
        <v>16155499.310000001</v>
      </c>
      <c r="H491" s="143">
        <v>42864.697911261574</v>
      </c>
      <c r="I491" s="143">
        <v>43972</v>
      </c>
      <c r="J491" t="s">
        <v>4726</v>
      </c>
      <c r="K491" t="s">
        <v>1280</v>
      </c>
      <c r="L491" t="s">
        <v>1280</v>
      </c>
      <c r="M491">
        <v>103206</v>
      </c>
      <c r="N491" t="s">
        <v>4723</v>
      </c>
      <c r="O491" t="s">
        <v>43</v>
      </c>
      <c r="P491" t="s">
        <v>338</v>
      </c>
      <c r="Q491" t="s">
        <v>4724</v>
      </c>
      <c r="R491" s="105">
        <f>IF(Table__192.168.1.150_Daily_Delinquency_With_Sectors[[#This Row],[Days in Arrears]] &gt; 0, Table__192.168.1.150_Daily_Delinquency_With_Sectors[[#This Row],[Outstanding Balance]],0)</f>
        <v>0</v>
      </c>
      <c r="S491" s="105">
        <f>IF(Table__192.168.1.150_Daily_Delinquency_With_Sectors[[#This Row],[Days in Arrears]] &gt; 30, Table__192.168.1.150_Daily_Delinquency_With_Sectors[[#This Row],[Outstanding Balance]],0)</f>
        <v>0</v>
      </c>
      <c r="T491" s="105">
        <f>IF(Table__192.168.1.150_Daily_Delinquency_With_Sectors[[#This Row],[Days in Arrears]] &gt; 90, Table__192.168.1.150_Daily_Delinquency_With_Sectors[[#This Row],[Outstanding Balance]],0)</f>
        <v>0</v>
      </c>
      <c r="U491" s="109">
        <f>IF(Table__192.168.1.150_Daily_Delinquency_With_Sectors[[#This Row],[Days in Arrears]] &gt;= 1,1,0)</f>
        <v>0</v>
      </c>
      <c r="V491" s="109">
        <f>IF(Table__192.168.1.150_Daily_Delinquency_With_Sectors[[#This Row],[Days in Arrears]] &gt; 30,1,0)</f>
        <v>0</v>
      </c>
      <c r="W491" s="109">
        <f>IF(Table__192.168.1.150_Daily_Delinquency_With_Sectors[[#This Row],[Days in Arrears]] &gt; 90,1,0)</f>
        <v>0</v>
      </c>
    </row>
    <row r="492" spans="1:23" x14ac:dyDescent="0.25">
      <c r="A492" t="s">
        <v>4732</v>
      </c>
      <c r="B492" t="s">
        <v>1282</v>
      </c>
      <c r="C492">
        <v>44</v>
      </c>
      <c r="D492" s="105">
        <v>2607383.38</v>
      </c>
      <c r="E492" t="s">
        <v>2175</v>
      </c>
      <c r="F492" s="105">
        <v>211767.65</v>
      </c>
      <c r="G492" s="105">
        <v>3028271.58</v>
      </c>
      <c r="H492" s="143">
        <v>42865.59297716435</v>
      </c>
      <c r="I492" s="143">
        <v>43169</v>
      </c>
      <c r="J492" t="s">
        <v>4733</v>
      </c>
      <c r="K492" t="s">
        <v>1280</v>
      </c>
      <c r="L492" t="s">
        <v>1280</v>
      </c>
      <c r="M492">
        <v>103207</v>
      </c>
      <c r="N492" t="s">
        <v>4730</v>
      </c>
      <c r="O492" t="s">
        <v>25</v>
      </c>
      <c r="P492" t="s">
        <v>26</v>
      </c>
      <c r="Q492" t="s">
        <v>26</v>
      </c>
      <c r="R492" s="105">
        <f>IF(Table__192.168.1.150_Daily_Delinquency_With_Sectors[[#This Row],[Days in Arrears]] &gt; 0, Table__192.168.1.150_Daily_Delinquency_With_Sectors[[#This Row],[Outstanding Balance]],0)</f>
        <v>2607383.38</v>
      </c>
      <c r="S492" s="105">
        <f>IF(Table__192.168.1.150_Daily_Delinquency_With_Sectors[[#This Row],[Days in Arrears]] &gt; 30, Table__192.168.1.150_Daily_Delinquency_With_Sectors[[#This Row],[Outstanding Balance]],0)</f>
        <v>2607383.38</v>
      </c>
      <c r="T492" s="105">
        <f>IF(Table__192.168.1.150_Daily_Delinquency_With_Sectors[[#This Row],[Days in Arrears]] &gt; 90, Table__192.168.1.150_Daily_Delinquency_With_Sectors[[#This Row],[Outstanding Balance]],0)</f>
        <v>0</v>
      </c>
      <c r="U492" s="109">
        <f>IF(Table__192.168.1.150_Daily_Delinquency_With_Sectors[[#This Row],[Days in Arrears]] &gt;= 1,1,0)</f>
        <v>1</v>
      </c>
      <c r="V492" s="109">
        <f>IF(Table__192.168.1.150_Daily_Delinquency_With_Sectors[[#This Row],[Days in Arrears]] &gt; 30,1,0)</f>
        <v>1</v>
      </c>
      <c r="W492" s="109">
        <f>IF(Table__192.168.1.150_Daily_Delinquency_With_Sectors[[#This Row],[Days in Arrears]] &gt; 90,1,0)</f>
        <v>0</v>
      </c>
    </row>
    <row r="493" spans="1:23" x14ac:dyDescent="0.25">
      <c r="A493" t="s">
        <v>4741</v>
      </c>
      <c r="B493" t="s">
        <v>1283</v>
      </c>
      <c r="C493">
        <v>-17</v>
      </c>
      <c r="D493" s="105">
        <v>21961068.010000002</v>
      </c>
      <c r="E493" t="s">
        <v>468</v>
      </c>
      <c r="F493" s="105">
        <v>292814.24</v>
      </c>
      <c r="G493" s="105">
        <v>24593155.920000002</v>
      </c>
      <c r="H493" s="143">
        <v>42866.529079629632</v>
      </c>
      <c r="I493" s="143">
        <v>43231</v>
      </c>
      <c r="J493" t="s">
        <v>4742</v>
      </c>
      <c r="K493" t="s">
        <v>1280</v>
      </c>
      <c r="L493" t="s">
        <v>1280</v>
      </c>
      <c r="M493">
        <v>103209</v>
      </c>
      <c r="N493" t="s">
        <v>4737</v>
      </c>
      <c r="O493" t="s">
        <v>27</v>
      </c>
      <c r="P493" t="s">
        <v>26</v>
      </c>
      <c r="Q493" t="s">
        <v>26</v>
      </c>
      <c r="R493" s="105">
        <f>IF(Table__192.168.1.150_Daily_Delinquency_With_Sectors[[#This Row],[Days in Arrears]] &gt; 0, Table__192.168.1.150_Daily_Delinquency_With_Sectors[[#This Row],[Outstanding Balance]],0)</f>
        <v>0</v>
      </c>
      <c r="S493" s="105">
        <f>IF(Table__192.168.1.150_Daily_Delinquency_With_Sectors[[#This Row],[Days in Arrears]] &gt; 30, Table__192.168.1.150_Daily_Delinquency_With_Sectors[[#This Row],[Outstanding Balance]],0)</f>
        <v>0</v>
      </c>
      <c r="T493" s="105">
        <f>IF(Table__192.168.1.150_Daily_Delinquency_With_Sectors[[#This Row],[Days in Arrears]] &gt; 90, Table__192.168.1.150_Daily_Delinquency_With_Sectors[[#This Row],[Outstanding Balance]],0)</f>
        <v>0</v>
      </c>
      <c r="U493" s="109">
        <f>IF(Table__192.168.1.150_Daily_Delinquency_With_Sectors[[#This Row],[Days in Arrears]] &gt;= 1,1,0)</f>
        <v>0</v>
      </c>
      <c r="V493" s="109">
        <f>IF(Table__192.168.1.150_Daily_Delinquency_With_Sectors[[#This Row],[Days in Arrears]] &gt; 30,1,0)</f>
        <v>0</v>
      </c>
      <c r="W493" s="109">
        <f>IF(Table__192.168.1.150_Daily_Delinquency_With_Sectors[[#This Row],[Days in Arrears]] &gt; 90,1,0)</f>
        <v>0</v>
      </c>
    </row>
    <row r="494" spans="1:23" x14ac:dyDescent="0.25">
      <c r="A494" t="s">
        <v>4743</v>
      </c>
      <c r="B494" t="s">
        <v>1282</v>
      </c>
      <c r="C494">
        <v>13</v>
      </c>
      <c r="D494" s="105">
        <v>4470160.33</v>
      </c>
      <c r="E494" t="s">
        <v>5167</v>
      </c>
      <c r="F494" s="105">
        <v>71271.17</v>
      </c>
      <c r="G494" s="105">
        <v>5116630.75</v>
      </c>
      <c r="H494" s="143">
        <v>42866.691571412041</v>
      </c>
      <c r="I494" s="143">
        <v>43231</v>
      </c>
      <c r="J494" t="s">
        <v>4744</v>
      </c>
      <c r="K494" t="s">
        <v>1280</v>
      </c>
      <c r="L494" t="s">
        <v>1280</v>
      </c>
      <c r="M494">
        <v>103210</v>
      </c>
      <c r="N494" t="s">
        <v>4738</v>
      </c>
      <c r="O494" t="s">
        <v>25</v>
      </c>
      <c r="P494" t="s">
        <v>26</v>
      </c>
      <c r="Q494" t="s">
        <v>26</v>
      </c>
      <c r="R494" s="105">
        <f>IF(Table__192.168.1.150_Daily_Delinquency_With_Sectors[[#This Row],[Days in Arrears]] &gt; 0, Table__192.168.1.150_Daily_Delinquency_With_Sectors[[#This Row],[Outstanding Balance]],0)</f>
        <v>4470160.33</v>
      </c>
      <c r="S494" s="105">
        <f>IF(Table__192.168.1.150_Daily_Delinquency_With_Sectors[[#This Row],[Days in Arrears]] &gt; 30, Table__192.168.1.150_Daily_Delinquency_With_Sectors[[#This Row],[Outstanding Balance]],0)</f>
        <v>0</v>
      </c>
      <c r="T494" s="105">
        <f>IF(Table__192.168.1.150_Daily_Delinquency_With_Sectors[[#This Row],[Days in Arrears]] &gt; 90, Table__192.168.1.150_Daily_Delinquency_With_Sectors[[#This Row],[Outstanding Balance]],0)</f>
        <v>0</v>
      </c>
      <c r="U494" s="109">
        <f>IF(Table__192.168.1.150_Daily_Delinquency_With_Sectors[[#This Row],[Days in Arrears]] &gt;= 1,1,0)</f>
        <v>1</v>
      </c>
      <c r="V494" s="109">
        <f>IF(Table__192.168.1.150_Daily_Delinquency_With_Sectors[[#This Row],[Days in Arrears]] &gt; 30,1,0)</f>
        <v>0</v>
      </c>
      <c r="W494" s="109">
        <f>IF(Table__192.168.1.150_Daily_Delinquency_With_Sectors[[#This Row],[Days in Arrears]] &gt; 90,1,0)</f>
        <v>0</v>
      </c>
    </row>
    <row r="495" spans="1:23" x14ac:dyDescent="0.25">
      <c r="A495" t="s">
        <v>4752</v>
      </c>
      <c r="B495" t="s">
        <v>1284</v>
      </c>
      <c r="C495">
        <v>-18</v>
      </c>
      <c r="D495" s="105">
        <v>3271031.77</v>
      </c>
      <c r="E495" t="s">
        <v>86</v>
      </c>
      <c r="F495" s="105">
        <v>35981.35</v>
      </c>
      <c r="G495" s="105">
        <v>3418953.3</v>
      </c>
      <c r="H495" s="143">
        <v>42867.662933217594</v>
      </c>
      <c r="I495" s="143">
        <v>43112</v>
      </c>
      <c r="J495" t="s">
        <v>4753</v>
      </c>
      <c r="K495" t="s">
        <v>1280</v>
      </c>
      <c r="L495" t="s">
        <v>1280</v>
      </c>
      <c r="M495">
        <v>103211</v>
      </c>
      <c r="N495" t="s">
        <v>4751</v>
      </c>
      <c r="O495" t="s">
        <v>25</v>
      </c>
      <c r="P495" t="s">
        <v>26</v>
      </c>
      <c r="Q495" t="s">
        <v>26</v>
      </c>
      <c r="R495" s="105">
        <f>IF(Table__192.168.1.150_Daily_Delinquency_With_Sectors[[#This Row],[Days in Arrears]] &gt; 0, Table__192.168.1.150_Daily_Delinquency_With_Sectors[[#This Row],[Outstanding Balance]],0)</f>
        <v>0</v>
      </c>
      <c r="S495" s="105">
        <f>IF(Table__192.168.1.150_Daily_Delinquency_With_Sectors[[#This Row],[Days in Arrears]] &gt; 30, Table__192.168.1.150_Daily_Delinquency_With_Sectors[[#This Row],[Outstanding Balance]],0)</f>
        <v>0</v>
      </c>
      <c r="T495" s="105">
        <f>IF(Table__192.168.1.150_Daily_Delinquency_With_Sectors[[#This Row],[Days in Arrears]] &gt; 90, Table__192.168.1.150_Daily_Delinquency_With_Sectors[[#This Row],[Outstanding Balance]],0)</f>
        <v>0</v>
      </c>
      <c r="U495" s="109">
        <f>IF(Table__192.168.1.150_Daily_Delinquency_With_Sectors[[#This Row],[Days in Arrears]] &gt;= 1,1,0)</f>
        <v>0</v>
      </c>
      <c r="V495" s="109">
        <f>IF(Table__192.168.1.150_Daily_Delinquency_With_Sectors[[#This Row],[Days in Arrears]] &gt; 30,1,0)</f>
        <v>0</v>
      </c>
      <c r="W495" s="109">
        <f>IF(Table__192.168.1.150_Daily_Delinquency_With_Sectors[[#This Row],[Days in Arrears]] &gt; 90,1,0)</f>
        <v>0</v>
      </c>
    </row>
    <row r="496" spans="1:23" x14ac:dyDescent="0.25">
      <c r="A496" t="s">
        <v>4756</v>
      </c>
      <c r="B496" t="s">
        <v>1282</v>
      </c>
      <c r="C496">
        <v>11</v>
      </c>
      <c r="D496" s="105">
        <v>3231150.28</v>
      </c>
      <c r="E496" t="s">
        <v>2494</v>
      </c>
      <c r="F496" s="105">
        <v>168791.7</v>
      </c>
      <c r="G496" s="105">
        <v>3819283.24</v>
      </c>
      <c r="H496" s="143">
        <v>42868.464225613425</v>
      </c>
      <c r="I496" s="143">
        <v>43233</v>
      </c>
      <c r="J496" t="s">
        <v>4757</v>
      </c>
      <c r="K496" t="s">
        <v>4758</v>
      </c>
      <c r="L496" t="s">
        <v>1280</v>
      </c>
      <c r="M496">
        <v>103212</v>
      </c>
      <c r="N496" t="s">
        <v>4754</v>
      </c>
      <c r="O496" t="s">
        <v>25</v>
      </c>
      <c r="P496" t="s">
        <v>26</v>
      </c>
      <c r="Q496" t="s">
        <v>26</v>
      </c>
      <c r="R496" s="105">
        <f>IF(Table__192.168.1.150_Daily_Delinquency_With_Sectors[[#This Row],[Days in Arrears]] &gt; 0, Table__192.168.1.150_Daily_Delinquency_With_Sectors[[#This Row],[Outstanding Balance]],0)</f>
        <v>3231150.28</v>
      </c>
      <c r="S496" s="105">
        <f>IF(Table__192.168.1.150_Daily_Delinquency_With_Sectors[[#This Row],[Days in Arrears]] &gt; 30, Table__192.168.1.150_Daily_Delinquency_With_Sectors[[#This Row],[Outstanding Balance]],0)</f>
        <v>0</v>
      </c>
      <c r="T496" s="105">
        <f>IF(Table__192.168.1.150_Daily_Delinquency_With_Sectors[[#This Row],[Days in Arrears]] &gt; 90, Table__192.168.1.150_Daily_Delinquency_With_Sectors[[#This Row],[Outstanding Balance]],0)</f>
        <v>0</v>
      </c>
      <c r="U496" s="109">
        <f>IF(Table__192.168.1.150_Daily_Delinquency_With_Sectors[[#This Row],[Days in Arrears]] &gt;= 1,1,0)</f>
        <v>1</v>
      </c>
      <c r="V496" s="109">
        <f>IF(Table__192.168.1.150_Daily_Delinquency_With_Sectors[[#This Row],[Days in Arrears]] &gt; 30,1,0)</f>
        <v>0</v>
      </c>
      <c r="W496" s="109">
        <f>IF(Table__192.168.1.150_Daily_Delinquency_With_Sectors[[#This Row],[Days in Arrears]] &gt; 90,1,0)</f>
        <v>0</v>
      </c>
    </row>
    <row r="497" spans="1:23" x14ac:dyDescent="0.25">
      <c r="A497" t="s">
        <v>448</v>
      </c>
      <c r="B497" t="s">
        <v>1281</v>
      </c>
      <c r="C497">
        <v>-21</v>
      </c>
      <c r="D497" s="105">
        <v>11028394.18</v>
      </c>
      <c r="E497" t="s">
        <v>1667</v>
      </c>
      <c r="F497" s="105">
        <v>102931.68</v>
      </c>
      <c r="G497" s="105">
        <v>12418073.869999999</v>
      </c>
      <c r="H497" s="143">
        <v>42870.572094293981</v>
      </c>
      <c r="I497" s="143">
        <v>43235</v>
      </c>
      <c r="J497" t="s">
        <v>449</v>
      </c>
      <c r="K497" t="s">
        <v>450</v>
      </c>
      <c r="L497" t="s">
        <v>1280</v>
      </c>
      <c r="M497">
        <v>103213</v>
      </c>
      <c r="N497" t="s">
        <v>440</v>
      </c>
      <c r="O497" t="s">
        <v>27</v>
      </c>
      <c r="P497" t="s">
        <v>26</v>
      </c>
      <c r="Q497" t="s">
        <v>26</v>
      </c>
      <c r="R497" s="105">
        <f>IF(Table__192.168.1.150_Daily_Delinquency_With_Sectors[[#This Row],[Days in Arrears]] &gt; 0, Table__192.168.1.150_Daily_Delinquency_With_Sectors[[#This Row],[Outstanding Balance]],0)</f>
        <v>0</v>
      </c>
      <c r="S497" s="105">
        <f>IF(Table__192.168.1.150_Daily_Delinquency_With_Sectors[[#This Row],[Days in Arrears]] &gt; 30, Table__192.168.1.150_Daily_Delinquency_With_Sectors[[#This Row],[Outstanding Balance]],0)</f>
        <v>0</v>
      </c>
      <c r="T497" s="105">
        <f>IF(Table__192.168.1.150_Daily_Delinquency_With_Sectors[[#This Row],[Days in Arrears]] &gt; 90, Table__192.168.1.150_Daily_Delinquency_With_Sectors[[#This Row],[Outstanding Balance]],0)</f>
        <v>0</v>
      </c>
      <c r="U497" s="109">
        <f>IF(Table__192.168.1.150_Daily_Delinquency_With_Sectors[[#This Row],[Days in Arrears]] &gt;= 1,1,0)</f>
        <v>0</v>
      </c>
      <c r="V497" s="109">
        <f>IF(Table__192.168.1.150_Daily_Delinquency_With_Sectors[[#This Row],[Days in Arrears]] &gt; 30,1,0)</f>
        <v>0</v>
      </c>
      <c r="W497" s="109">
        <f>IF(Table__192.168.1.150_Daily_Delinquency_With_Sectors[[#This Row],[Days in Arrears]] &gt; 90,1,0)</f>
        <v>0</v>
      </c>
    </row>
    <row r="498" spans="1:23" x14ac:dyDescent="0.25">
      <c r="A498" t="s">
        <v>3297</v>
      </c>
      <c r="B498" t="s">
        <v>1866</v>
      </c>
      <c r="C498">
        <v>38</v>
      </c>
      <c r="D498" s="105">
        <v>3449876.28</v>
      </c>
      <c r="E498" t="s">
        <v>2538</v>
      </c>
      <c r="F498" s="105">
        <v>103879.79</v>
      </c>
      <c r="G498" s="105">
        <v>3662406.1</v>
      </c>
      <c r="H498" s="143">
        <v>42871.590581400465</v>
      </c>
      <c r="I498" s="143">
        <v>43116</v>
      </c>
      <c r="J498" t="s">
        <v>3298</v>
      </c>
      <c r="K498" t="s">
        <v>3299</v>
      </c>
      <c r="L498" t="s">
        <v>1280</v>
      </c>
      <c r="M498">
        <v>103216</v>
      </c>
      <c r="N498" t="s">
        <v>3296</v>
      </c>
      <c r="O498" t="s">
        <v>25</v>
      </c>
      <c r="P498" t="s">
        <v>88</v>
      </c>
      <c r="Q498" t="s">
        <v>26</v>
      </c>
      <c r="R498" s="105">
        <f>IF(Table__192.168.1.150_Daily_Delinquency_With_Sectors[[#This Row],[Days in Arrears]] &gt; 0, Table__192.168.1.150_Daily_Delinquency_With_Sectors[[#This Row],[Outstanding Balance]],0)</f>
        <v>3449876.28</v>
      </c>
      <c r="S498" s="105">
        <f>IF(Table__192.168.1.150_Daily_Delinquency_With_Sectors[[#This Row],[Days in Arrears]] &gt; 30, Table__192.168.1.150_Daily_Delinquency_With_Sectors[[#This Row],[Outstanding Balance]],0)</f>
        <v>3449876.28</v>
      </c>
      <c r="T498" s="105">
        <f>IF(Table__192.168.1.150_Daily_Delinquency_With_Sectors[[#This Row],[Days in Arrears]] &gt; 90, Table__192.168.1.150_Daily_Delinquency_With_Sectors[[#This Row],[Outstanding Balance]],0)</f>
        <v>0</v>
      </c>
      <c r="U498" s="109">
        <f>IF(Table__192.168.1.150_Daily_Delinquency_With_Sectors[[#This Row],[Days in Arrears]] &gt;= 1,1,0)</f>
        <v>1</v>
      </c>
      <c r="V498" s="109">
        <f>IF(Table__192.168.1.150_Daily_Delinquency_With_Sectors[[#This Row],[Days in Arrears]] &gt; 30,1,0)</f>
        <v>1</v>
      </c>
      <c r="W498" s="109">
        <f>IF(Table__192.168.1.150_Daily_Delinquency_With_Sectors[[#This Row],[Days in Arrears]] &gt; 90,1,0)</f>
        <v>0</v>
      </c>
    </row>
    <row r="499" spans="1:23" x14ac:dyDescent="0.25">
      <c r="A499" t="s">
        <v>4781</v>
      </c>
      <c r="B499" t="s">
        <v>1282</v>
      </c>
      <c r="C499">
        <v>37</v>
      </c>
      <c r="D499" s="105">
        <v>7233456.8399999999</v>
      </c>
      <c r="E499" t="s">
        <v>1039</v>
      </c>
      <c r="F499" s="105">
        <v>614762.18000000005</v>
      </c>
      <c r="G499" s="105">
        <v>8772956.9600000009</v>
      </c>
      <c r="H499" s="143">
        <v>42872.656395949074</v>
      </c>
      <c r="I499" s="143">
        <v>43237</v>
      </c>
      <c r="J499" t="s">
        <v>4782</v>
      </c>
      <c r="K499" t="s">
        <v>4783</v>
      </c>
      <c r="L499" t="s">
        <v>1280</v>
      </c>
      <c r="M499">
        <v>103219</v>
      </c>
      <c r="N499" t="s">
        <v>4778</v>
      </c>
      <c r="O499" t="s">
        <v>25</v>
      </c>
      <c r="P499" t="s">
        <v>26</v>
      </c>
      <c r="Q499" t="s">
        <v>26</v>
      </c>
      <c r="R499" s="105">
        <f>IF(Table__192.168.1.150_Daily_Delinquency_With_Sectors[[#This Row],[Days in Arrears]] &gt; 0, Table__192.168.1.150_Daily_Delinquency_With_Sectors[[#This Row],[Outstanding Balance]],0)</f>
        <v>7233456.8399999999</v>
      </c>
      <c r="S499" s="105">
        <f>IF(Table__192.168.1.150_Daily_Delinquency_With_Sectors[[#This Row],[Days in Arrears]] &gt; 30, Table__192.168.1.150_Daily_Delinquency_With_Sectors[[#This Row],[Outstanding Balance]],0)</f>
        <v>7233456.8399999999</v>
      </c>
      <c r="T499" s="105">
        <f>IF(Table__192.168.1.150_Daily_Delinquency_With_Sectors[[#This Row],[Days in Arrears]] &gt; 90, Table__192.168.1.150_Daily_Delinquency_With_Sectors[[#This Row],[Outstanding Balance]],0)</f>
        <v>0</v>
      </c>
      <c r="U499" s="109">
        <f>IF(Table__192.168.1.150_Daily_Delinquency_With_Sectors[[#This Row],[Days in Arrears]] &gt;= 1,1,0)</f>
        <v>1</v>
      </c>
      <c r="V499" s="109">
        <f>IF(Table__192.168.1.150_Daily_Delinquency_With_Sectors[[#This Row],[Days in Arrears]] &gt; 30,1,0)</f>
        <v>1</v>
      </c>
      <c r="W499" s="109">
        <f>IF(Table__192.168.1.150_Daily_Delinquency_With_Sectors[[#This Row],[Days in Arrears]] &gt; 90,1,0)</f>
        <v>0</v>
      </c>
    </row>
    <row r="500" spans="1:23" x14ac:dyDescent="0.25">
      <c r="A500" t="s">
        <v>4802</v>
      </c>
      <c r="B500" t="s">
        <v>1282</v>
      </c>
      <c r="C500">
        <v>66</v>
      </c>
      <c r="D500" s="105">
        <v>3188562.22</v>
      </c>
      <c r="E500" t="s">
        <v>2034</v>
      </c>
      <c r="F500" s="105">
        <v>277081.39</v>
      </c>
      <c r="G500" s="105">
        <v>3947982.81</v>
      </c>
      <c r="H500" s="143">
        <v>42873.577588541666</v>
      </c>
      <c r="I500" s="143">
        <v>43238</v>
      </c>
      <c r="J500" t="s">
        <v>4803</v>
      </c>
      <c r="K500" t="s">
        <v>4804</v>
      </c>
      <c r="L500" t="s">
        <v>1280</v>
      </c>
      <c r="M500">
        <v>103220</v>
      </c>
      <c r="N500" t="s">
        <v>4798</v>
      </c>
      <c r="O500" t="s">
        <v>44</v>
      </c>
      <c r="P500" t="s">
        <v>75</v>
      </c>
      <c r="Q500" t="s">
        <v>26</v>
      </c>
      <c r="R500" s="105">
        <f>IF(Table__192.168.1.150_Daily_Delinquency_With_Sectors[[#This Row],[Days in Arrears]] &gt; 0, Table__192.168.1.150_Daily_Delinquency_With_Sectors[[#This Row],[Outstanding Balance]],0)</f>
        <v>3188562.22</v>
      </c>
      <c r="S500" s="105">
        <f>IF(Table__192.168.1.150_Daily_Delinquency_With_Sectors[[#This Row],[Days in Arrears]] &gt; 30, Table__192.168.1.150_Daily_Delinquency_With_Sectors[[#This Row],[Outstanding Balance]],0)</f>
        <v>3188562.22</v>
      </c>
      <c r="T500" s="105">
        <f>IF(Table__192.168.1.150_Daily_Delinquency_With_Sectors[[#This Row],[Days in Arrears]] &gt; 90, Table__192.168.1.150_Daily_Delinquency_With_Sectors[[#This Row],[Outstanding Balance]],0)</f>
        <v>0</v>
      </c>
      <c r="U500" s="109">
        <f>IF(Table__192.168.1.150_Daily_Delinquency_With_Sectors[[#This Row],[Days in Arrears]] &gt;= 1,1,0)</f>
        <v>1</v>
      </c>
      <c r="V500" s="109">
        <f>IF(Table__192.168.1.150_Daily_Delinquency_With_Sectors[[#This Row],[Days in Arrears]] &gt; 30,1,0)</f>
        <v>1</v>
      </c>
      <c r="W500" s="109">
        <f>IF(Table__192.168.1.150_Daily_Delinquency_With_Sectors[[#This Row],[Days in Arrears]] &gt; 90,1,0)</f>
        <v>0</v>
      </c>
    </row>
    <row r="501" spans="1:23" x14ac:dyDescent="0.25">
      <c r="A501" t="s">
        <v>2217</v>
      </c>
      <c r="B501" t="s">
        <v>1866</v>
      </c>
      <c r="C501">
        <v>6</v>
      </c>
      <c r="D501" s="105">
        <v>3810143.15</v>
      </c>
      <c r="E501" t="s">
        <v>963</v>
      </c>
      <c r="F501" s="105">
        <v>133199.26</v>
      </c>
      <c r="G501" s="105">
        <v>4362253.59</v>
      </c>
      <c r="H501" s="143">
        <v>42873.523146331019</v>
      </c>
      <c r="I501" s="143">
        <v>43238</v>
      </c>
      <c r="J501" t="s">
        <v>2218</v>
      </c>
      <c r="K501" t="s">
        <v>2219</v>
      </c>
      <c r="L501" t="s">
        <v>1280</v>
      </c>
      <c r="M501">
        <v>103221</v>
      </c>
      <c r="N501" t="s">
        <v>911</v>
      </c>
      <c r="O501" t="s">
        <v>25</v>
      </c>
      <c r="P501" t="s">
        <v>26</v>
      </c>
      <c r="Q501" t="s">
        <v>26</v>
      </c>
      <c r="R501" s="105">
        <f>IF(Table__192.168.1.150_Daily_Delinquency_With_Sectors[[#This Row],[Days in Arrears]] &gt; 0, Table__192.168.1.150_Daily_Delinquency_With_Sectors[[#This Row],[Outstanding Balance]],0)</f>
        <v>3810143.15</v>
      </c>
      <c r="S501" s="105">
        <f>IF(Table__192.168.1.150_Daily_Delinquency_With_Sectors[[#This Row],[Days in Arrears]] &gt; 30, Table__192.168.1.150_Daily_Delinquency_With_Sectors[[#This Row],[Outstanding Balance]],0)</f>
        <v>0</v>
      </c>
      <c r="T501" s="105">
        <f>IF(Table__192.168.1.150_Daily_Delinquency_With_Sectors[[#This Row],[Days in Arrears]] &gt; 90, Table__192.168.1.150_Daily_Delinquency_With_Sectors[[#This Row],[Outstanding Balance]],0)</f>
        <v>0</v>
      </c>
      <c r="U501" s="109">
        <f>IF(Table__192.168.1.150_Daily_Delinquency_With_Sectors[[#This Row],[Days in Arrears]] &gt;= 1,1,0)</f>
        <v>1</v>
      </c>
      <c r="V501" s="109">
        <f>IF(Table__192.168.1.150_Daily_Delinquency_With_Sectors[[#This Row],[Days in Arrears]] &gt; 30,1,0)</f>
        <v>0</v>
      </c>
      <c r="W501" s="109">
        <f>IF(Table__192.168.1.150_Daily_Delinquency_With_Sectors[[#This Row],[Days in Arrears]] &gt; 90,1,0)</f>
        <v>0</v>
      </c>
    </row>
    <row r="502" spans="1:23" x14ac:dyDescent="0.25">
      <c r="A502" t="s">
        <v>465</v>
      </c>
      <c r="B502" t="s">
        <v>1281</v>
      </c>
      <c r="C502">
        <v>5</v>
      </c>
      <c r="D502" s="105">
        <v>19528027.09</v>
      </c>
      <c r="E502" t="s">
        <v>1447</v>
      </c>
      <c r="F502" s="105">
        <v>722762.57</v>
      </c>
      <c r="G502" s="105">
        <v>24594279.809999999</v>
      </c>
      <c r="H502" s="143">
        <v>42874.675922800925</v>
      </c>
      <c r="I502" s="143">
        <v>43423</v>
      </c>
      <c r="J502" t="s">
        <v>466</v>
      </c>
      <c r="K502" t="s">
        <v>467</v>
      </c>
      <c r="L502" t="s">
        <v>1280</v>
      </c>
      <c r="M502">
        <v>103223</v>
      </c>
      <c r="N502" t="s">
        <v>462</v>
      </c>
      <c r="O502" t="s">
        <v>25</v>
      </c>
      <c r="P502" t="s">
        <v>88</v>
      </c>
      <c r="Q502" t="s">
        <v>285</v>
      </c>
      <c r="R502" s="105">
        <f>IF(Table__192.168.1.150_Daily_Delinquency_With_Sectors[[#This Row],[Days in Arrears]] &gt; 0, Table__192.168.1.150_Daily_Delinquency_With_Sectors[[#This Row],[Outstanding Balance]],0)</f>
        <v>19528027.09</v>
      </c>
      <c r="S502" s="105">
        <f>IF(Table__192.168.1.150_Daily_Delinquency_With_Sectors[[#This Row],[Days in Arrears]] &gt; 30, Table__192.168.1.150_Daily_Delinquency_With_Sectors[[#This Row],[Outstanding Balance]],0)</f>
        <v>0</v>
      </c>
      <c r="T502" s="105">
        <f>IF(Table__192.168.1.150_Daily_Delinquency_With_Sectors[[#This Row],[Days in Arrears]] &gt; 90, Table__192.168.1.150_Daily_Delinquency_With_Sectors[[#This Row],[Outstanding Balance]],0)</f>
        <v>0</v>
      </c>
      <c r="U502" s="109">
        <f>IF(Table__192.168.1.150_Daily_Delinquency_With_Sectors[[#This Row],[Days in Arrears]] &gt;= 1,1,0)</f>
        <v>1</v>
      </c>
      <c r="V502" s="109">
        <f>IF(Table__192.168.1.150_Daily_Delinquency_With_Sectors[[#This Row],[Days in Arrears]] &gt; 30,1,0)</f>
        <v>0</v>
      </c>
      <c r="W502" s="109">
        <f>IF(Table__192.168.1.150_Daily_Delinquency_With_Sectors[[#This Row],[Days in Arrears]] &gt; 90,1,0)</f>
        <v>0</v>
      </c>
    </row>
    <row r="503" spans="1:23" x14ac:dyDescent="0.25">
      <c r="A503" t="s">
        <v>273</v>
      </c>
      <c r="B503" t="s">
        <v>1284</v>
      </c>
      <c r="C503">
        <v>-26</v>
      </c>
      <c r="D503" s="105">
        <v>32484376.289999999</v>
      </c>
      <c r="E503" t="s">
        <v>1039</v>
      </c>
      <c r="F503" s="105">
        <v>97453.13</v>
      </c>
      <c r="G503" s="105">
        <v>42514139.460000001</v>
      </c>
      <c r="H503" s="143">
        <v>42875.655063391205</v>
      </c>
      <c r="I503" s="143">
        <v>43605</v>
      </c>
      <c r="J503" t="s">
        <v>274</v>
      </c>
      <c r="K503" t="s">
        <v>275</v>
      </c>
      <c r="L503" t="s">
        <v>1280</v>
      </c>
      <c r="M503">
        <v>103224</v>
      </c>
      <c r="N503" t="s">
        <v>113</v>
      </c>
      <c r="O503" t="s">
        <v>44</v>
      </c>
      <c r="P503" t="s">
        <v>75</v>
      </c>
      <c r="Q503" t="s">
        <v>4000</v>
      </c>
      <c r="R503" s="105">
        <f>IF(Table__192.168.1.150_Daily_Delinquency_With_Sectors[[#This Row],[Days in Arrears]] &gt; 0, Table__192.168.1.150_Daily_Delinquency_With_Sectors[[#This Row],[Outstanding Balance]],0)</f>
        <v>0</v>
      </c>
      <c r="S503" s="105">
        <f>IF(Table__192.168.1.150_Daily_Delinquency_With_Sectors[[#This Row],[Days in Arrears]] &gt; 30, Table__192.168.1.150_Daily_Delinquency_With_Sectors[[#This Row],[Outstanding Balance]],0)</f>
        <v>0</v>
      </c>
      <c r="T503" s="105">
        <f>IF(Table__192.168.1.150_Daily_Delinquency_With_Sectors[[#This Row],[Days in Arrears]] &gt; 90, Table__192.168.1.150_Daily_Delinquency_With_Sectors[[#This Row],[Outstanding Balance]],0)</f>
        <v>0</v>
      </c>
      <c r="U503" s="109">
        <f>IF(Table__192.168.1.150_Daily_Delinquency_With_Sectors[[#This Row],[Days in Arrears]] &gt;= 1,1,0)</f>
        <v>0</v>
      </c>
      <c r="V503" s="109">
        <f>IF(Table__192.168.1.150_Daily_Delinquency_With_Sectors[[#This Row],[Days in Arrears]] &gt; 30,1,0)</f>
        <v>0</v>
      </c>
      <c r="W503" s="109">
        <f>IF(Table__192.168.1.150_Daily_Delinquency_With_Sectors[[#This Row],[Days in Arrears]] &gt; 90,1,0)</f>
        <v>0</v>
      </c>
    </row>
    <row r="504" spans="1:23" x14ac:dyDescent="0.25">
      <c r="A504" t="s">
        <v>3287</v>
      </c>
      <c r="B504" t="s">
        <v>1284</v>
      </c>
      <c r="C504">
        <v>-28</v>
      </c>
      <c r="D504" s="105">
        <v>14474852.970000001</v>
      </c>
      <c r="E504" t="s">
        <v>491</v>
      </c>
      <c r="F504" s="105">
        <v>14474.85</v>
      </c>
      <c r="G504" s="105">
        <v>17450086.98</v>
      </c>
      <c r="H504" s="143">
        <v>42877.711354976855</v>
      </c>
      <c r="I504" s="143">
        <v>43426</v>
      </c>
      <c r="J504" t="s">
        <v>3288</v>
      </c>
      <c r="K504" t="s">
        <v>1280</v>
      </c>
      <c r="L504" t="s">
        <v>1280</v>
      </c>
      <c r="M504">
        <v>103226</v>
      </c>
      <c r="N504" t="s">
        <v>3286</v>
      </c>
      <c r="O504" t="s">
        <v>25</v>
      </c>
      <c r="P504" t="s">
        <v>26</v>
      </c>
      <c r="Q504" t="s">
        <v>26</v>
      </c>
      <c r="R504" s="105">
        <f>IF(Table__192.168.1.150_Daily_Delinquency_With_Sectors[[#This Row],[Days in Arrears]] &gt; 0, Table__192.168.1.150_Daily_Delinquency_With_Sectors[[#This Row],[Outstanding Balance]],0)</f>
        <v>0</v>
      </c>
      <c r="S504" s="105">
        <f>IF(Table__192.168.1.150_Daily_Delinquency_With_Sectors[[#This Row],[Days in Arrears]] &gt; 30, Table__192.168.1.150_Daily_Delinquency_With_Sectors[[#This Row],[Outstanding Balance]],0)</f>
        <v>0</v>
      </c>
      <c r="T504" s="105">
        <f>IF(Table__192.168.1.150_Daily_Delinquency_With_Sectors[[#This Row],[Days in Arrears]] &gt; 90, Table__192.168.1.150_Daily_Delinquency_With_Sectors[[#This Row],[Outstanding Balance]],0)</f>
        <v>0</v>
      </c>
      <c r="U504" s="109">
        <f>IF(Table__192.168.1.150_Daily_Delinquency_With_Sectors[[#This Row],[Days in Arrears]] &gt;= 1,1,0)</f>
        <v>0</v>
      </c>
      <c r="V504" s="109">
        <f>IF(Table__192.168.1.150_Daily_Delinquency_With_Sectors[[#This Row],[Days in Arrears]] &gt; 30,1,0)</f>
        <v>0</v>
      </c>
      <c r="W504" s="109">
        <f>IF(Table__192.168.1.150_Daily_Delinquency_With_Sectors[[#This Row],[Days in Arrears]] &gt; 90,1,0)</f>
        <v>0</v>
      </c>
    </row>
    <row r="505" spans="1:23" x14ac:dyDescent="0.25">
      <c r="A505" t="s">
        <v>4835</v>
      </c>
      <c r="B505" t="s">
        <v>1282</v>
      </c>
      <c r="C505">
        <v>1</v>
      </c>
      <c r="D505" s="105">
        <v>6076263.7999999998</v>
      </c>
      <c r="E505" t="s">
        <v>2538</v>
      </c>
      <c r="F505" s="105">
        <v>255812.79</v>
      </c>
      <c r="G505" s="105">
        <v>6883783.4400000004</v>
      </c>
      <c r="H505" s="143">
        <v>42878.671710416667</v>
      </c>
      <c r="I505" s="143">
        <v>43243</v>
      </c>
      <c r="J505" t="s">
        <v>4836</v>
      </c>
      <c r="K505" t="s">
        <v>1280</v>
      </c>
      <c r="L505" t="s">
        <v>1280</v>
      </c>
      <c r="M505">
        <v>103228</v>
      </c>
      <c r="N505" t="s">
        <v>4832</v>
      </c>
      <c r="O505" t="s">
        <v>25</v>
      </c>
      <c r="P505" t="s">
        <v>26</v>
      </c>
      <c r="Q505" t="s">
        <v>26</v>
      </c>
      <c r="R505" s="105">
        <f>IF(Table__192.168.1.150_Daily_Delinquency_With_Sectors[[#This Row],[Days in Arrears]] &gt; 0, Table__192.168.1.150_Daily_Delinquency_With_Sectors[[#This Row],[Outstanding Balance]],0)</f>
        <v>6076263.7999999998</v>
      </c>
      <c r="S505" s="105">
        <f>IF(Table__192.168.1.150_Daily_Delinquency_With_Sectors[[#This Row],[Days in Arrears]] &gt; 30, Table__192.168.1.150_Daily_Delinquency_With_Sectors[[#This Row],[Outstanding Balance]],0)</f>
        <v>0</v>
      </c>
      <c r="T505" s="105">
        <f>IF(Table__192.168.1.150_Daily_Delinquency_With_Sectors[[#This Row],[Days in Arrears]] &gt; 90, Table__192.168.1.150_Daily_Delinquency_With_Sectors[[#This Row],[Outstanding Balance]],0)</f>
        <v>0</v>
      </c>
      <c r="U505" s="109">
        <f>IF(Table__192.168.1.150_Daily_Delinquency_With_Sectors[[#This Row],[Days in Arrears]] &gt;= 1,1,0)</f>
        <v>1</v>
      </c>
      <c r="V505" s="109">
        <f>IF(Table__192.168.1.150_Daily_Delinquency_With_Sectors[[#This Row],[Days in Arrears]] &gt; 30,1,0)</f>
        <v>0</v>
      </c>
      <c r="W505" s="109">
        <f>IF(Table__192.168.1.150_Daily_Delinquency_With_Sectors[[#This Row],[Days in Arrears]] &gt; 90,1,0)</f>
        <v>0</v>
      </c>
    </row>
    <row r="506" spans="1:23" x14ac:dyDescent="0.25">
      <c r="A506" t="s">
        <v>2939</v>
      </c>
      <c r="B506" t="s">
        <v>1866</v>
      </c>
      <c r="C506">
        <v>2</v>
      </c>
      <c r="D506" s="105">
        <v>3416895.12</v>
      </c>
      <c r="E506" t="s">
        <v>2494</v>
      </c>
      <c r="F506" s="105">
        <v>4061.25</v>
      </c>
      <c r="G506" s="105">
        <v>3856112.54</v>
      </c>
      <c r="H506" s="143">
        <v>42877.588088622688</v>
      </c>
      <c r="I506" s="143">
        <v>43242</v>
      </c>
      <c r="J506" t="s">
        <v>2940</v>
      </c>
      <c r="K506" t="s">
        <v>2941</v>
      </c>
      <c r="L506" t="s">
        <v>1280</v>
      </c>
      <c r="M506">
        <v>103229</v>
      </c>
      <c r="N506" t="s">
        <v>2938</v>
      </c>
      <c r="O506" t="s">
        <v>25</v>
      </c>
      <c r="P506" t="s">
        <v>88</v>
      </c>
      <c r="Q506" t="s">
        <v>285</v>
      </c>
      <c r="R506" s="105">
        <f>IF(Table__192.168.1.150_Daily_Delinquency_With_Sectors[[#This Row],[Days in Arrears]] &gt; 0, Table__192.168.1.150_Daily_Delinquency_With_Sectors[[#This Row],[Outstanding Balance]],0)</f>
        <v>3416895.12</v>
      </c>
      <c r="S506" s="105">
        <f>IF(Table__192.168.1.150_Daily_Delinquency_With_Sectors[[#This Row],[Days in Arrears]] &gt; 30, Table__192.168.1.150_Daily_Delinquency_With_Sectors[[#This Row],[Outstanding Balance]],0)</f>
        <v>0</v>
      </c>
      <c r="T506" s="105">
        <f>IF(Table__192.168.1.150_Daily_Delinquency_With_Sectors[[#This Row],[Days in Arrears]] &gt; 90, Table__192.168.1.150_Daily_Delinquency_With_Sectors[[#This Row],[Outstanding Balance]],0)</f>
        <v>0</v>
      </c>
      <c r="U506" s="109">
        <f>IF(Table__192.168.1.150_Daily_Delinquency_With_Sectors[[#This Row],[Days in Arrears]] &gt;= 1,1,0)</f>
        <v>1</v>
      </c>
      <c r="V506" s="109">
        <f>IF(Table__192.168.1.150_Daily_Delinquency_With_Sectors[[#This Row],[Days in Arrears]] &gt; 30,1,0)</f>
        <v>0</v>
      </c>
      <c r="W506" s="109">
        <f>IF(Table__192.168.1.150_Daily_Delinquency_With_Sectors[[#This Row],[Days in Arrears]] &gt; 90,1,0)</f>
        <v>0</v>
      </c>
    </row>
    <row r="507" spans="1:23" x14ac:dyDescent="0.25">
      <c r="A507" t="s">
        <v>4837</v>
      </c>
      <c r="B507" t="s">
        <v>1282</v>
      </c>
      <c r="C507">
        <v>1</v>
      </c>
      <c r="D507" s="105">
        <v>2179526.98</v>
      </c>
      <c r="E507" t="s">
        <v>1467</v>
      </c>
      <c r="F507" s="105">
        <v>111049.19</v>
      </c>
      <c r="G507" s="105">
        <v>2352207.4700000002</v>
      </c>
      <c r="H507" s="143">
        <v>42878.627374571763</v>
      </c>
      <c r="I507" s="143">
        <v>43154</v>
      </c>
      <c r="J507" t="s">
        <v>4838</v>
      </c>
      <c r="K507" t="s">
        <v>1280</v>
      </c>
      <c r="L507" t="s">
        <v>1280</v>
      </c>
      <c r="M507">
        <v>103230</v>
      </c>
      <c r="N507" t="s">
        <v>4831</v>
      </c>
      <c r="O507" t="s">
        <v>25</v>
      </c>
      <c r="P507" t="s">
        <v>88</v>
      </c>
      <c r="Q507" t="s">
        <v>285</v>
      </c>
      <c r="R507" s="105">
        <f>IF(Table__192.168.1.150_Daily_Delinquency_With_Sectors[[#This Row],[Days in Arrears]] &gt; 0, Table__192.168.1.150_Daily_Delinquency_With_Sectors[[#This Row],[Outstanding Balance]],0)</f>
        <v>2179526.98</v>
      </c>
      <c r="S507" s="105">
        <f>IF(Table__192.168.1.150_Daily_Delinquency_With_Sectors[[#This Row],[Days in Arrears]] &gt; 30, Table__192.168.1.150_Daily_Delinquency_With_Sectors[[#This Row],[Outstanding Balance]],0)</f>
        <v>0</v>
      </c>
      <c r="T507" s="105">
        <f>IF(Table__192.168.1.150_Daily_Delinquency_With_Sectors[[#This Row],[Days in Arrears]] &gt; 90, Table__192.168.1.150_Daily_Delinquency_With_Sectors[[#This Row],[Outstanding Balance]],0)</f>
        <v>0</v>
      </c>
      <c r="U507" s="109">
        <f>IF(Table__192.168.1.150_Daily_Delinquency_With_Sectors[[#This Row],[Days in Arrears]] &gt;= 1,1,0)</f>
        <v>1</v>
      </c>
      <c r="V507" s="109">
        <f>IF(Table__192.168.1.150_Daily_Delinquency_With_Sectors[[#This Row],[Days in Arrears]] &gt; 30,1,0)</f>
        <v>0</v>
      </c>
      <c r="W507" s="109">
        <f>IF(Table__192.168.1.150_Daily_Delinquency_With_Sectors[[#This Row],[Days in Arrears]] &gt; 90,1,0)</f>
        <v>0</v>
      </c>
    </row>
    <row r="508" spans="1:23" x14ac:dyDescent="0.25">
      <c r="A508" t="s">
        <v>1921</v>
      </c>
      <c r="B508" t="s">
        <v>1282</v>
      </c>
      <c r="C508">
        <v>23</v>
      </c>
      <c r="D508" s="105">
        <v>9477873.8399999999</v>
      </c>
      <c r="E508" t="s">
        <v>90</v>
      </c>
      <c r="F508" s="105">
        <v>278013.42</v>
      </c>
      <c r="G508" s="105">
        <v>12338901.609999999</v>
      </c>
      <c r="H508" s="143">
        <v>42885.689436111112</v>
      </c>
      <c r="I508" s="143">
        <v>43435</v>
      </c>
      <c r="J508" t="s">
        <v>1922</v>
      </c>
      <c r="K508" t="s">
        <v>1280</v>
      </c>
      <c r="L508" t="s">
        <v>1280</v>
      </c>
      <c r="M508">
        <v>103231</v>
      </c>
      <c r="N508" t="s">
        <v>436</v>
      </c>
      <c r="O508" t="s">
        <v>44</v>
      </c>
      <c r="P508" t="s">
        <v>75</v>
      </c>
      <c r="Q508" t="s">
        <v>26</v>
      </c>
      <c r="R508" s="105">
        <f>IF(Table__192.168.1.150_Daily_Delinquency_With_Sectors[[#This Row],[Days in Arrears]] &gt; 0, Table__192.168.1.150_Daily_Delinquency_With_Sectors[[#This Row],[Outstanding Balance]],0)</f>
        <v>9477873.8399999999</v>
      </c>
      <c r="S508" s="105">
        <f>IF(Table__192.168.1.150_Daily_Delinquency_With_Sectors[[#This Row],[Days in Arrears]] &gt; 30, Table__192.168.1.150_Daily_Delinquency_With_Sectors[[#This Row],[Outstanding Balance]],0)</f>
        <v>0</v>
      </c>
      <c r="T508" s="105">
        <f>IF(Table__192.168.1.150_Daily_Delinquency_With_Sectors[[#This Row],[Days in Arrears]] &gt; 90, Table__192.168.1.150_Daily_Delinquency_With_Sectors[[#This Row],[Outstanding Balance]],0)</f>
        <v>0</v>
      </c>
      <c r="U508" s="109">
        <f>IF(Table__192.168.1.150_Daily_Delinquency_With_Sectors[[#This Row],[Days in Arrears]] &gt;= 1,1,0)</f>
        <v>1</v>
      </c>
      <c r="V508" s="109">
        <f>IF(Table__192.168.1.150_Daily_Delinquency_With_Sectors[[#This Row],[Days in Arrears]] &gt; 30,1,0)</f>
        <v>0</v>
      </c>
      <c r="W508" s="109">
        <f>IF(Table__192.168.1.150_Daily_Delinquency_With_Sectors[[#This Row],[Days in Arrears]] &gt; 90,1,0)</f>
        <v>0</v>
      </c>
    </row>
    <row r="509" spans="1:23" x14ac:dyDescent="0.25">
      <c r="A509" t="s">
        <v>780</v>
      </c>
      <c r="B509" t="s">
        <v>1866</v>
      </c>
      <c r="C509">
        <v>-7</v>
      </c>
      <c r="D509" s="105">
        <v>4445166.99</v>
      </c>
      <c r="E509" t="s">
        <v>1448</v>
      </c>
      <c r="F509" s="105">
        <v>119525.6</v>
      </c>
      <c r="G509" s="105">
        <v>5120576.78</v>
      </c>
      <c r="H509" s="143">
        <v>42887.506757442126</v>
      </c>
      <c r="I509" s="143">
        <v>43252</v>
      </c>
      <c r="J509" t="s">
        <v>781</v>
      </c>
      <c r="K509" t="s">
        <v>782</v>
      </c>
      <c r="L509" t="s">
        <v>1280</v>
      </c>
      <c r="M509">
        <v>103233</v>
      </c>
      <c r="N509" t="s">
        <v>778</v>
      </c>
      <c r="O509" t="s">
        <v>25</v>
      </c>
      <c r="P509" t="s">
        <v>88</v>
      </c>
      <c r="Q509" t="s">
        <v>285</v>
      </c>
      <c r="R509" s="105">
        <f>IF(Table__192.168.1.150_Daily_Delinquency_With_Sectors[[#This Row],[Days in Arrears]] &gt; 0, Table__192.168.1.150_Daily_Delinquency_With_Sectors[[#This Row],[Outstanding Balance]],0)</f>
        <v>0</v>
      </c>
      <c r="S509" s="105">
        <f>IF(Table__192.168.1.150_Daily_Delinquency_With_Sectors[[#This Row],[Days in Arrears]] &gt; 30, Table__192.168.1.150_Daily_Delinquency_With_Sectors[[#This Row],[Outstanding Balance]],0)</f>
        <v>0</v>
      </c>
      <c r="T509" s="105">
        <f>IF(Table__192.168.1.150_Daily_Delinquency_With_Sectors[[#This Row],[Days in Arrears]] &gt; 90, Table__192.168.1.150_Daily_Delinquency_With_Sectors[[#This Row],[Outstanding Balance]],0)</f>
        <v>0</v>
      </c>
      <c r="U509" s="109">
        <f>IF(Table__192.168.1.150_Daily_Delinquency_With_Sectors[[#This Row],[Days in Arrears]] &gt;= 1,1,0)</f>
        <v>0</v>
      </c>
      <c r="V509" s="109">
        <f>IF(Table__192.168.1.150_Daily_Delinquency_With_Sectors[[#This Row],[Days in Arrears]] &gt; 30,1,0)</f>
        <v>0</v>
      </c>
      <c r="W509" s="109">
        <f>IF(Table__192.168.1.150_Daily_Delinquency_With_Sectors[[#This Row],[Days in Arrears]] &gt; 90,1,0)</f>
        <v>0</v>
      </c>
    </row>
    <row r="510" spans="1:23" x14ac:dyDescent="0.25">
      <c r="A510" t="s">
        <v>4878</v>
      </c>
      <c r="B510" t="s">
        <v>1282</v>
      </c>
      <c r="C510">
        <v>-8</v>
      </c>
      <c r="D510" s="105">
        <v>11051749.84</v>
      </c>
      <c r="E510" t="s">
        <v>546</v>
      </c>
      <c r="F510" s="105">
        <v>348130.12</v>
      </c>
      <c r="G510" s="105">
        <v>13967071.24</v>
      </c>
      <c r="H510" s="143">
        <v>42888.546742592589</v>
      </c>
      <c r="I510" s="143">
        <v>43345</v>
      </c>
      <c r="J510" t="s">
        <v>4879</v>
      </c>
      <c r="K510" t="s">
        <v>4880</v>
      </c>
      <c r="L510" t="s">
        <v>1280</v>
      </c>
      <c r="M510">
        <v>103234</v>
      </c>
      <c r="N510" t="s">
        <v>4877</v>
      </c>
      <c r="O510" t="s">
        <v>37</v>
      </c>
      <c r="P510" t="s">
        <v>288</v>
      </c>
      <c r="Q510" t="s">
        <v>1313</v>
      </c>
      <c r="R510" s="105">
        <f>IF(Table__192.168.1.150_Daily_Delinquency_With_Sectors[[#This Row],[Days in Arrears]] &gt; 0, Table__192.168.1.150_Daily_Delinquency_With_Sectors[[#This Row],[Outstanding Balance]],0)</f>
        <v>0</v>
      </c>
      <c r="S510" s="105">
        <f>IF(Table__192.168.1.150_Daily_Delinquency_With_Sectors[[#This Row],[Days in Arrears]] &gt; 30, Table__192.168.1.150_Daily_Delinquency_With_Sectors[[#This Row],[Outstanding Balance]],0)</f>
        <v>0</v>
      </c>
      <c r="T510" s="105">
        <f>IF(Table__192.168.1.150_Daily_Delinquency_With_Sectors[[#This Row],[Days in Arrears]] &gt; 90, Table__192.168.1.150_Daily_Delinquency_With_Sectors[[#This Row],[Outstanding Balance]],0)</f>
        <v>0</v>
      </c>
      <c r="U510" s="109">
        <f>IF(Table__192.168.1.150_Daily_Delinquency_With_Sectors[[#This Row],[Days in Arrears]] &gt;= 1,1,0)</f>
        <v>0</v>
      </c>
      <c r="V510" s="109">
        <f>IF(Table__192.168.1.150_Daily_Delinquency_With_Sectors[[#This Row],[Days in Arrears]] &gt; 30,1,0)</f>
        <v>0</v>
      </c>
      <c r="W510" s="109">
        <f>IF(Table__192.168.1.150_Daily_Delinquency_With_Sectors[[#This Row],[Days in Arrears]] &gt; 90,1,0)</f>
        <v>0</v>
      </c>
    </row>
    <row r="511" spans="1:23" x14ac:dyDescent="0.25">
      <c r="A511" t="s">
        <v>2947</v>
      </c>
      <c r="B511" t="s">
        <v>1281</v>
      </c>
      <c r="C511">
        <v>47</v>
      </c>
      <c r="D511" s="105">
        <v>16896536.18</v>
      </c>
      <c r="E511" t="s">
        <v>1447</v>
      </c>
      <c r="F511" s="105">
        <v>578478.65</v>
      </c>
      <c r="G511" s="105">
        <v>21566064.629999999</v>
      </c>
      <c r="H511" s="143">
        <v>42893.679667048615</v>
      </c>
      <c r="I511" s="143">
        <v>43441</v>
      </c>
      <c r="J511" t="s">
        <v>2948</v>
      </c>
      <c r="K511" t="s">
        <v>2949</v>
      </c>
      <c r="L511" t="s">
        <v>1280</v>
      </c>
      <c r="M511">
        <v>103236</v>
      </c>
      <c r="N511" t="s">
        <v>2946</v>
      </c>
      <c r="O511" t="s">
        <v>25</v>
      </c>
      <c r="P511" t="s">
        <v>26</v>
      </c>
      <c r="Q511" t="s">
        <v>26</v>
      </c>
      <c r="R511" s="105">
        <f>IF(Table__192.168.1.150_Daily_Delinquency_With_Sectors[[#This Row],[Days in Arrears]] &gt; 0, Table__192.168.1.150_Daily_Delinquency_With_Sectors[[#This Row],[Outstanding Balance]],0)</f>
        <v>16896536.18</v>
      </c>
      <c r="S511" s="105">
        <f>IF(Table__192.168.1.150_Daily_Delinquency_With_Sectors[[#This Row],[Days in Arrears]] &gt; 30, Table__192.168.1.150_Daily_Delinquency_With_Sectors[[#This Row],[Outstanding Balance]],0)</f>
        <v>16896536.18</v>
      </c>
      <c r="T511" s="105">
        <f>IF(Table__192.168.1.150_Daily_Delinquency_With_Sectors[[#This Row],[Days in Arrears]] &gt; 90, Table__192.168.1.150_Daily_Delinquency_With_Sectors[[#This Row],[Outstanding Balance]],0)</f>
        <v>0</v>
      </c>
      <c r="U511" s="109">
        <f>IF(Table__192.168.1.150_Daily_Delinquency_With_Sectors[[#This Row],[Days in Arrears]] &gt;= 1,1,0)</f>
        <v>1</v>
      </c>
      <c r="V511" s="109">
        <f>IF(Table__192.168.1.150_Daily_Delinquency_With_Sectors[[#This Row],[Days in Arrears]] &gt; 30,1,0)</f>
        <v>1</v>
      </c>
      <c r="W511" s="109">
        <f>IF(Table__192.168.1.150_Daily_Delinquency_With_Sectors[[#This Row],[Days in Arrears]] &gt; 90,1,0)</f>
        <v>0</v>
      </c>
    </row>
    <row r="512" spans="1:23" x14ac:dyDescent="0.25">
      <c r="A512" t="s">
        <v>939</v>
      </c>
      <c r="B512" t="s">
        <v>1866</v>
      </c>
      <c r="C512">
        <v>14</v>
      </c>
      <c r="D512" s="105">
        <v>3837077.99</v>
      </c>
      <c r="E512" t="s">
        <v>86</v>
      </c>
      <c r="F512" s="105">
        <v>60538.94</v>
      </c>
      <c r="G512" s="105">
        <v>4416000.66</v>
      </c>
      <c r="H512" s="143">
        <v>42896.482501967592</v>
      </c>
      <c r="I512" s="143">
        <v>43261</v>
      </c>
      <c r="J512" t="s">
        <v>940</v>
      </c>
      <c r="K512" t="s">
        <v>941</v>
      </c>
      <c r="L512" t="s">
        <v>1280</v>
      </c>
      <c r="M512">
        <v>103237</v>
      </c>
      <c r="N512" t="s">
        <v>931</v>
      </c>
      <c r="O512" t="s">
        <v>25</v>
      </c>
      <c r="P512" t="s">
        <v>286</v>
      </c>
      <c r="Q512" t="s">
        <v>4463</v>
      </c>
      <c r="R512" s="105">
        <f>IF(Table__192.168.1.150_Daily_Delinquency_With_Sectors[[#This Row],[Days in Arrears]] &gt; 0, Table__192.168.1.150_Daily_Delinquency_With_Sectors[[#This Row],[Outstanding Balance]],0)</f>
        <v>3837077.99</v>
      </c>
      <c r="S512" s="105">
        <f>IF(Table__192.168.1.150_Daily_Delinquency_With_Sectors[[#This Row],[Days in Arrears]] &gt; 30, Table__192.168.1.150_Daily_Delinquency_With_Sectors[[#This Row],[Outstanding Balance]],0)</f>
        <v>0</v>
      </c>
      <c r="T512" s="105">
        <f>IF(Table__192.168.1.150_Daily_Delinquency_With_Sectors[[#This Row],[Days in Arrears]] &gt; 90, Table__192.168.1.150_Daily_Delinquency_With_Sectors[[#This Row],[Outstanding Balance]],0)</f>
        <v>0</v>
      </c>
      <c r="U512" s="109">
        <f>IF(Table__192.168.1.150_Daily_Delinquency_With_Sectors[[#This Row],[Days in Arrears]] &gt;= 1,1,0)</f>
        <v>1</v>
      </c>
      <c r="V512" s="109">
        <f>IF(Table__192.168.1.150_Daily_Delinquency_With_Sectors[[#This Row],[Days in Arrears]] &gt; 30,1,0)</f>
        <v>0</v>
      </c>
      <c r="W512" s="109">
        <f>IF(Table__192.168.1.150_Daily_Delinquency_With_Sectors[[#This Row],[Days in Arrears]] &gt; 90,1,0)</f>
        <v>0</v>
      </c>
    </row>
    <row r="513" spans="1:23" x14ac:dyDescent="0.25">
      <c r="A513" t="s">
        <v>4888</v>
      </c>
      <c r="B513" t="s">
        <v>1279</v>
      </c>
      <c r="C513">
        <v>-18</v>
      </c>
      <c r="D513" s="105">
        <v>1646608.16</v>
      </c>
      <c r="E513" t="s">
        <v>86</v>
      </c>
      <c r="F513" s="105">
        <v>24150.25</v>
      </c>
      <c r="G513" s="105">
        <v>1849364.2</v>
      </c>
      <c r="H513" s="143">
        <v>42898.650460185185</v>
      </c>
      <c r="I513" s="143">
        <v>43202</v>
      </c>
      <c r="J513" t="s">
        <v>4889</v>
      </c>
      <c r="K513" t="s">
        <v>4890</v>
      </c>
      <c r="L513" t="s">
        <v>1280</v>
      </c>
      <c r="M513">
        <v>103238</v>
      </c>
      <c r="N513" t="s">
        <v>4887</v>
      </c>
      <c r="O513" t="s">
        <v>25</v>
      </c>
      <c r="P513" t="s">
        <v>88</v>
      </c>
      <c r="Q513" t="s">
        <v>26</v>
      </c>
      <c r="R513" s="105">
        <f>IF(Table__192.168.1.150_Daily_Delinquency_With_Sectors[[#This Row],[Days in Arrears]] &gt; 0, Table__192.168.1.150_Daily_Delinquency_With_Sectors[[#This Row],[Outstanding Balance]],0)</f>
        <v>0</v>
      </c>
      <c r="S513" s="105">
        <f>IF(Table__192.168.1.150_Daily_Delinquency_With_Sectors[[#This Row],[Days in Arrears]] &gt; 30, Table__192.168.1.150_Daily_Delinquency_With_Sectors[[#This Row],[Outstanding Balance]],0)</f>
        <v>0</v>
      </c>
      <c r="T513" s="105">
        <f>IF(Table__192.168.1.150_Daily_Delinquency_With_Sectors[[#This Row],[Days in Arrears]] &gt; 90, Table__192.168.1.150_Daily_Delinquency_With_Sectors[[#This Row],[Outstanding Balance]],0)</f>
        <v>0</v>
      </c>
      <c r="U513" s="109">
        <f>IF(Table__192.168.1.150_Daily_Delinquency_With_Sectors[[#This Row],[Days in Arrears]] &gt;= 1,1,0)</f>
        <v>0</v>
      </c>
      <c r="V513" s="109">
        <f>IF(Table__192.168.1.150_Daily_Delinquency_With_Sectors[[#This Row],[Days in Arrears]] &gt; 30,1,0)</f>
        <v>0</v>
      </c>
      <c r="W513" s="109">
        <f>IF(Table__192.168.1.150_Daily_Delinquency_With_Sectors[[#This Row],[Days in Arrears]] &gt; 90,1,0)</f>
        <v>0</v>
      </c>
    </row>
    <row r="514" spans="1:23" x14ac:dyDescent="0.25">
      <c r="A514" t="s">
        <v>790</v>
      </c>
      <c r="B514" t="s">
        <v>1283</v>
      </c>
      <c r="C514">
        <v>39</v>
      </c>
      <c r="D514" s="105">
        <v>27775734.129999999</v>
      </c>
      <c r="E514" t="s">
        <v>1447</v>
      </c>
      <c r="F514" s="105">
        <v>1620203.65</v>
      </c>
      <c r="G514" s="105">
        <v>34900174.009999998</v>
      </c>
      <c r="H514" s="143">
        <v>42901.710854594909</v>
      </c>
      <c r="I514" s="143">
        <v>43449</v>
      </c>
      <c r="J514" t="s">
        <v>791</v>
      </c>
      <c r="K514" t="s">
        <v>1280</v>
      </c>
      <c r="L514" t="s">
        <v>1280</v>
      </c>
      <c r="M514">
        <v>103240</v>
      </c>
      <c r="N514" t="s">
        <v>787</v>
      </c>
      <c r="O514" t="s">
        <v>27</v>
      </c>
      <c r="P514" t="s">
        <v>26</v>
      </c>
      <c r="Q514" t="s">
        <v>26</v>
      </c>
      <c r="R514" s="105">
        <f>IF(Table__192.168.1.150_Daily_Delinquency_With_Sectors[[#This Row],[Days in Arrears]] &gt; 0, Table__192.168.1.150_Daily_Delinquency_With_Sectors[[#This Row],[Outstanding Balance]],0)</f>
        <v>27775734.129999999</v>
      </c>
      <c r="S514" s="105">
        <f>IF(Table__192.168.1.150_Daily_Delinquency_With_Sectors[[#This Row],[Days in Arrears]] &gt; 30, Table__192.168.1.150_Daily_Delinquency_With_Sectors[[#This Row],[Outstanding Balance]],0)</f>
        <v>27775734.129999999</v>
      </c>
      <c r="T514" s="105">
        <f>IF(Table__192.168.1.150_Daily_Delinquency_With_Sectors[[#This Row],[Days in Arrears]] &gt; 90, Table__192.168.1.150_Daily_Delinquency_With_Sectors[[#This Row],[Outstanding Balance]],0)</f>
        <v>0</v>
      </c>
      <c r="U514" s="109">
        <f>IF(Table__192.168.1.150_Daily_Delinquency_With_Sectors[[#This Row],[Days in Arrears]] &gt;= 1,1,0)</f>
        <v>1</v>
      </c>
      <c r="V514" s="109">
        <f>IF(Table__192.168.1.150_Daily_Delinquency_With_Sectors[[#This Row],[Days in Arrears]] &gt; 30,1,0)</f>
        <v>1</v>
      </c>
      <c r="W514" s="109">
        <f>IF(Table__192.168.1.150_Daily_Delinquency_With_Sectors[[#This Row],[Days in Arrears]] &gt; 90,1,0)</f>
        <v>0</v>
      </c>
    </row>
    <row r="515" spans="1:23" x14ac:dyDescent="0.25">
      <c r="A515" t="s">
        <v>2532</v>
      </c>
      <c r="B515" t="s">
        <v>1283</v>
      </c>
      <c r="C515">
        <v>8</v>
      </c>
      <c r="D515" s="105">
        <v>35139057.840000004</v>
      </c>
      <c r="E515" t="s">
        <v>468</v>
      </c>
      <c r="F515" s="105">
        <v>1263491.03</v>
      </c>
      <c r="G515" s="105">
        <v>47210432.700000003</v>
      </c>
      <c r="H515" s="143">
        <v>42902.657832442128</v>
      </c>
      <c r="I515" s="143">
        <v>43632</v>
      </c>
      <c r="J515" t="s">
        <v>2533</v>
      </c>
      <c r="K515" t="s">
        <v>1280</v>
      </c>
      <c r="L515" t="s">
        <v>1280</v>
      </c>
      <c r="M515">
        <v>103242</v>
      </c>
      <c r="N515" t="s">
        <v>2530</v>
      </c>
      <c r="O515" t="s">
        <v>27</v>
      </c>
      <c r="P515" t="s">
        <v>81</v>
      </c>
      <c r="Q515" t="s">
        <v>26</v>
      </c>
      <c r="R515" s="105">
        <f>IF(Table__192.168.1.150_Daily_Delinquency_With_Sectors[[#This Row],[Days in Arrears]] &gt; 0, Table__192.168.1.150_Daily_Delinquency_With_Sectors[[#This Row],[Outstanding Balance]],0)</f>
        <v>35139057.840000004</v>
      </c>
      <c r="S515" s="105">
        <f>IF(Table__192.168.1.150_Daily_Delinquency_With_Sectors[[#This Row],[Days in Arrears]] &gt; 30, Table__192.168.1.150_Daily_Delinquency_With_Sectors[[#This Row],[Outstanding Balance]],0)</f>
        <v>0</v>
      </c>
      <c r="T515" s="105">
        <f>IF(Table__192.168.1.150_Daily_Delinquency_With_Sectors[[#This Row],[Days in Arrears]] &gt; 90, Table__192.168.1.150_Daily_Delinquency_With_Sectors[[#This Row],[Outstanding Balance]],0)</f>
        <v>0</v>
      </c>
      <c r="U515" s="109">
        <f>IF(Table__192.168.1.150_Daily_Delinquency_With_Sectors[[#This Row],[Days in Arrears]] &gt;= 1,1,0)</f>
        <v>1</v>
      </c>
      <c r="V515" s="109">
        <f>IF(Table__192.168.1.150_Daily_Delinquency_With_Sectors[[#This Row],[Days in Arrears]] &gt; 30,1,0)</f>
        <v>0</v>
      </c>
      <c r="W515" s="109">
        <f>IF(Table__192.168.1.150_Daily_Delinquency_With_Sectors[[#This Row],[Days in Arrears]] &gt; 90,1,0)</f>
        <v>0</v>
      </c>
    </row>
    <row r="516" spans="1:23" x14ac:dyDescent="0.25">
      <c r="A516" t="s">
        <v>1726</v>
      </c>
      <c r="B516" t="s">
        <v>1284</v>
      </c>
      <c r="C516">
        <v>-26</v>
      </c>
      <c r="D516" s="105">
        <v>29717377.190000001</v>
      </c>
      <c r="E516" t="s">
        <v>86</v>
      </c>
      <c r="F516" s="105">
        <v>89152.13</v>
      </c>
      <c r="G516" s="105">
        <v>39419023.009999998</v>
      </c>
      <c r="H516" s="143">
        <v>42902.556814467593</v>
      </c>
      <c r="I516" s="143">
        <v>43636</v>
      </c>
      <c r="J516" t="s">
        <v>1727</v>
      </c>
      <c r="K516" t="s">
        <v>1280</v>
      </c>
      <c r="L516" t="s">
        <v>1280</v>
      </c>
      <c r="M516">
        <v>103243</v>
      </c>
      <c r="N516" t="s">
        <v>1725</v>
      </c>
      <c r="O516" t="s">
        <v>44</v>
      </c>
      <c r="P516" t="s">
        <v>75</v>
      </c>
      <c r="Q516" t="s">
        <v>26</v>
      </c>
      <c r="R516" s="105">
        <f>IF(Table__192.168.1.150_Daily_Delinquency_With_Sectors[[#This Row],[Days in Arrears]] &gt; 0, Table__192.168.1.150_Daily_Delinquency_With_Sectors[[#This Row],[Outstanding Balance]],0)</f>
        <v>0</v>
      </c>
      <c r="S516" s="105">
        <f>IF(Table__192.168.1.150_Daily_Delinquency_With_Sectors[[#This Row],[Days in Arrears]] &gt; 30, Table__192.168.1.150_Daily_Delinquency_With_Sectors[[#This Row],[Outstanding Balance]],0)</f>
        <v>0</v>
      </c>
      <c r="T516" s="105">
        <f>IF(Table__192.168.1.150_Daily_Delinquency_With_Sectors[[#This Row],[Days in Arrears]] &gt; 90, Table__192.168.1.150_Daily_Delinquency_With_Sectors[[#This Row],[Outstanding Balance]],0)</f>
        <v>0</v>
      </c>
      <c r="U516" s="109">
        <f>IF(Table__192.168.1.150_Daily_Delinquency_With_Sectors[[#This Row],[Days in Arrears]] &gt;= 1,1,0)</f>
        <v>0</v>
      </c>
      <c r="V516" s="109">
        <f>IF(Table__192.168.1.150_Daily_Delinquency_With_Sectors[[#This Row],[Days in Arrears]] &gt; 30,1,0)</f>
        <v>0</v>
      </c>
      <c r="W516" s="109">
        <f>IF(Table__192.168.1.150_Daily_Delinquency_With_Sectors[[#This Row],[Days in Arrears]] &gt; 90,1,0)</f>
        <v>0</v>
      </c>
    </row>
    <row r="517" spans="1:23" x14ac:dyDescent="0.25">
      <c r="A517" t="s">
        <v>4905</v>
      </c>
      <c r="B517" t="s">
        <v>1284</v>
      </c>
      <c r="C517">
        <v>-26</v>
      </c>
      <c r="D517" s="105">
        <v>13823434.369999999</v>
      </c>
      <c r="E517" t="s">
        <v>2494</v>
      </c>
      <c r="F517" s="105">
        <v>41470.300000000003</v>
      </c>
      <c r="G517" s="105">
        <v>15531243.33</v>
      </c>
      <c r="H517" s="143">
        <v>42902.535563807869</v>
      </c>
      <c r="I517" s="143">
        <v>43271</v>
      </c>
      <c r="J517" t="s">
        <v>4906</v>
      </c>
      <c r="K517" t="s">
        <v>1280</v>
      </c>
      <c r="L517" t="s">
        <v>1280</v>
      </c>
      <c r="M517">
        <v>103244</v>
      </c>
      <c r="N517" t="s">
        <v>4903</v>
      </c>
      <c r="O517" t="s">
        <v>44</v>
      </c>
      <c r="P517" t="s">
        <v>26</v>
      </c>
      <c r="Q517" t="s">
        <v>26</v>
      </c>
      <c r="R517" s="105">
        <f>IF(Table__192.168.1.150_Daily_Delinquency_With_Sectors[[#This Row],[Days in Arrears]] &gt; 0, Table__192.168.1.150_Daily_Delinquency_With_Sectors[[#This Row],[Outstanding Balance]],0)</f>
        <v>0</v>
      </c>
      <c r="S517" s="105">
        <f>IF(Table__192.168.1.150_Daily_Delinquency_With_Sectors[[#This Row],[Days in Arrears]] &gt; 30, Table__192.168.1.150_Daily_Delinquency_With_Sectors[[#This Row],[Outstanding Balance]],0)</f>
        <v>0</v>
      </c>
      <c r="T517" s="105">
        <f>IF(Table__192.168.1.150_Daily_Delinquency_With_Sectors[[#This Row],[Days in Arrears]] &gt; 90, Table__192.168.1.150_Daily_Delinquency_With_Sectors[[#This Row],[Outstanding Balance]],0)</f>
        <v>0</v>
      </c>
      <c r="U517" s="109">
        <f>IF(Table__192.168.1.150_Daily_Delinquency_With_Sectors[[#This Row],[Days in Arrears]] &gt;= 1,1,0)</f>
        <v>0</v>
      </c>
      <c r="V517" s="109">
        <f>IF(Table__192.168.1.150_Daily_Delinquency_With_Sectors[[#This Row],[Days in Arrears]] &gt; 30,1,0)</f>
        <v>0</v>
      </c>
      <c r="W517" s="109">
        <f>IF(Table__192.168.1.150_Daily_Delinquency_With_Sectors[[#This Row],[Days in Arrears]] &gt; 90,1,0)</f>
        <v>0</v>
      </c>
    </row>
    <row r="518" spans="1:23" x14ac:dyDescent="0.25">
      <c r="A518" t="s">
        <v>3823</v>
      </c>
      <c r="B518" t="s">
        <v>1282</v>
      </c>
      <c r="C518">
        <v>35</v>
      </c>
      <c r="D518" s="105">
        <v>3169002.95</v>
      </c>
      <c r="E518" t="s">
        <v>468</v>
      </c>
      <c r="F518" s="105">
        <v>232476.04</v>
      </c>
      <c r="G518" s="105">
        <v>3827227.2</v>
      </c>
      <c r="H518" s="143">
        <v>42905.720340162035</v>
      </c>
      <c r="I518" s="143">
        <v>43270</v>
      </c>
      <c r="J518" t="s">
        <v>3824</v>
      </c>
      <c r="K518" t="s">
        <v>3825</v>
      </c>
      <c r="L518" t="s">
        <v>1280</v>
      </c>
      <c r="M518">
        <v>103245</v>
      </c>
      <c r="N518" t="s">
        <v>3822</v>
      </c>
      <c r="O518" t="s">
        <v>25</v>
      </c>
      <c r="P518" t="s">
        <v>289</v>
      </c>
      <c r="Q518" t="s">
        <v>26</v>
      </c>
      <c r="R518" s="105">
        <f>IF(Table__192.168.1.150_Daily_Delinquency_With_Sectors[[#This Row],[Days in Arrears]] &gt; 0, Table__192.168.1.150_Daily_Delinquency_With_Sectors[[#This Row],[Outstanding Balance]],0)</f>
        <v>3169002.95</v>
      </c>
      <c r="S518" s="105">
        <f>IF(Table__192.168.1.150_Daily_Delinquency_With_Sectors[[#This Row],[Days in Arrears]] &gt; 30, Table__192.168.1.150_Daily_Delinquency_With_Sectors[[#This Row],[Outstanding Balance]],0)</f>
        <v>3169002.95</v>
      </c>
      <c r="T518" s="105">
        <f>IF(Table__192.168.1.150_Daily_Delinquency_With_Sectors[[#This Row],[Days in Arrears]] &gt; 90, Table__192.168.1.150_Daily_Delinquency_With_Sectors[[#This Row],[Outstanding Balance]],0)</f>
        <v>0</v>
      </c>
      <c r="U518" s="109">
        <f>IF(Table__192.168.1.150_Daily_Delinquency_With_Sectors[[#This Row],[Days in Arrears]] &gt;= 1,1,0)</f>
        <v>1</v>
      </c>
      <c r="V518" s="109">
        <f>IF(Table__192.168.1.150_Daily_Delinquency_With_Sectors[[#This Row],[Days in Arrears]] &gt; 30,1,0)</f>
        <v>1</v>
      </c>
      <c r="W518" s="109">
        <f>IF(Table__192.168.1.150_Daily_Delinquency_With_Sectors[[#This Row],[Days in Arrears]] &gt; 90,1,0)</f>
        <v>0</v>
      </c>
    </row>
    <row r="519" spans="1:23" x14ac:dyDescent="0.25">
      <c r="A519" t="s">
        <v>4930</v>
      </c>
      <c r="B519" t="s">
        <v>1282</v>
      </c>
      <c r="C519">
        <v>3</v>
      </c>
      <c r="D519" s="105">
        <v>1839707.8</v>
      </c>
      <c r="E519" t="s">
        <v>2538</v>
      </c>
      <c r="F519" s="105">
        <v>4993.2</v>
      </c>
      <c r="G519" s="105">
        <v>2070989.86</v>
      </c>
      <c r="H519" s="143">
        <v>42907.661151273147</v>
      </c>
      <c r="I519" s="143">
        <v>43211</v>
      </c>
      <c r="J519" t="s">
        <v>4931</v>
      </c>
      <c r="K519" t="s">
        <v>1280</v>
      </c>
      <c r="L519" t="s">
        <v>1280</v>
      </c>
      <c r="M519">
        <v>103246</v>
      </c>
      <c r="N519" t="s">
        <v>4927</v>
      </c>
      <c r="O519" t="s">
        <v>27</v>
      </c>
      <c r="P519" t="s">
        <v>26</v>
      </c>
      <c r="Q519" t="s">
        <v>26</v>
      </c>
      <c r="R519" s="105">
        <f>IF(Table__192.168.1.150_Daily_Delinquency_With_Sectors[[#This Row],[Days in Arrears]] &gt; 0, Table__192.168.1.150_Daily_Delinquency_With_Sectors[[#This Row],[Outstanding Balance]],0)</f>
        <v>1839707.8</v>
      </c>
      <c r="S519" s="105">
        <f>IF(Table__192.168.1.150_Daily_Delinquency_With_Sectors[[#This Row],[Days in Arrears]] &gt; 30, Table__192.168.1.150_Daily_Delinquency_With_Sectors[[#This Row],[Outstanding Balance]],0)</f>
        <v>0</v>
      </c>
      <c r="T519" s="105">
        <f>IF(Table__192.168.1.150_Daily_Delinquency_With_Sectors[[#This Row],[Days in Arrears]] &gt; 90, Table__192.168.1.150_Daily_Delinquency_With_Sectors[[#This Row],[Outstanding Balance]],0)</f>
        <v>0</v>
      </c>
      <c r="U519" s="109">
        <f>IF(Table__192.168.1.150_Daily_Delinquency_With_Sectors[[#This Row],[Days in Arrears]] &gt;= 1,1,0)</f>
        <v>1</v>
      </c>
      <c r="V519" s="109">
        <f>IF(Table__192.168.1.150_Daily_Delinquency_With_Sectors[[#This Row],[Days in Arrears]] &gt; 30,1,0)</f>
        <v>0</v>
      </c>
      <c r="W519" s="109">
        <f>IF(Table__192.168.1.150_Daily_Delinquency_With_Sectors[[#This Row],[Days in Arrears]] &gt; 90,1,0)</f>
        <v>0</v>
      </c>
    </row>
    <row r="520" spans="1:23" x14ac:dyDescent="0.25">
      <c r="A520" t="s">
        <v>3158</v>
      </c>
      <c r="B520" t="s">
        <v>1282</v>
      </c>
      <c r="C520">
        <v>4</v>
      </c>
      <c r="D520" s="105">
        <v>10007086.789999999</v>
      </c>
      <c r="E520" t="s">
        <v>2175</v>
      </c>
      <c r="F520" s="105">
        <v>38371.919999999998</v>
      </c>
      <c r="G520" s="105">
        <v>11602085.439999999</v>
      </c>
      <c r="H520" s="143">
        <v>42906.645920254632</v>
      </c>
      <c r="I520" s="143">
        <v>43271</v>
      </c>
      <c r="J520" t="s">
        <v>3159</v>
      </c>
      <c r="K520" t="s">
        <v>1280</v>
      </c>
      <c r="L520" t="s">
        <v>1280</v>
      </c>
      <c r="M520">
        <v>103247</v>
      </c>
      <c r="N520" t="s">
        <v>3157</v>
      </c>
      <c r="O520" t="s">
        <v>25</v>
      </c>
      <c r="P520" t="s">
        <v>26</v>
      </c>
      <c r="Q520" t="s">
        <v>26</v>
      </c>
      <c r="R520" s="105">
        <f>IF(Table__192.168.1.150_Daily_Delinquency_With_Sectors[[#This Row],[Days in Arrears]] &gt; 0, Table__192.168.1.150_Daily_Delinquency_With_Sectors[[#This Row],[Outstanding Balance]],0)</f>
        <v>10007086.789999999</v>
      </c>
      <c r="S520" s="105">
        <f>IF(Table__192.168.1.150_Daily_Delinquency_With_Sectors[[#This Row],[Days in Arrears]] &gt; 30, Table__192.168.1.150_Daily_Delinquency_With_Sectors[[#This Row],[Outstanding Balance]],0)</f>
        <v>0</v>
      </c>
      <c r="T520" s="105">
        <f>IF(Table__192.168.1.150_Daily_Delinquency_With_Sectors[[#This Row],[Days in Arrears]] &gt; 90, Table__192.168.1.150_Daily_Delinquency_With_Sectors[[#This Row],[Outstanding Balance]],0)</f>
        <v>0</v>
      </c>
      <c r="U520" s="109">
        <f>IF(Table__192.168.1.150_Daily_Delinquency_With_Sectors[[#This Row],[Days in Arrears]] &gt;= 1,1,0)</f>
        <v>1</v>
      </c>
      <c r="V520" s="109">
        <f>IF(Table__192.168.1.150_Daily_Delinquency_With_Sectors[[#This Row],[Days in Arrears]] &gt; 30,1,0)</f>
        <v>0</v>
      </c>
      <c r="W520" s="109">
        <f>IF(Table__192.168.1.150_Daily_Delinquency_With_Sectors[[#This Row],[Days in Arrears]] &gt; 90,1,0)</f>
        <v>0</v>
      </c>
    </row>
    <row r="521" spans="1:23" x14ac:dyDescent="0.25">
      <c r="A521" t="s">
        <v>4932</v>
      </c>
      <c r="B521" t="s">
        <v>1279</v>
      </c>
      <c r="C521">
        <v>3</v>
      </c>
      <c r="D521" s="105">
        <v>2531709.91</v>
      </c>
      <c r="E521" t="s">
        <v>1191</v>
      </c>
      <c r="F521" s="105">
        <v>42748.82</v>
      </c>
      <c r="G521" s="105">
        <v>2992689.74</v>
      </c>
      <c r="H521" s="143">
        <v>42907.708400844909</v>
      </c>
      <c r="I521" s="143">
        <v>43272</v>
      </c>
      <c r="J521" t="s">
        <v>4933</v>
      </c>
      <c r="K521" t="s">
        <v>4934</v>
      </c>
      <c r="L521" t="s">
        <v>1280</v>
      </c>
      <c r="M521">
        <v>103249</v>
      </c>
      <c r="N521" t="s">
        <v>4928</v>
      </c>
      <c r="O521" t="s">
        <v>25</v>
      </c>
      <c r="P521" t="s">
        <v>26</v>
      </c>
      <c r="Q521" t="s">
        <v>26</v>
      </c>
      <c r="R521" s="105">
        <f>IF(Table__192.168.1.150_Daily_Delinquency_With_Sectors[[#This Row],[Days in Arrears]] &gt; 0, Table__192.168.1.150_Daily_Delinquency_With_Sectors[[#This Row],[Outstanding Balance]],0)</f>
        <v>2531709.91</v>
      </c>
      <c r="S521" s="105">
        <f>IF(Table__192.168.1.150_Daily_Delinquency_With_Sectors[[#This Row],[Days in Arrears]] &gt; 30, Table__192.168.1.150_Daily_Delinquency_With_Sectors[[#This Row],[Outstanding Balance]],0)</f>
        <v>0</v>
      </c>
      <c r="T521" s="105">
        <f>IF(Table__192.168.1.150_Daily_Delinquency_With_Sectors[[#This Row],[Days in Arrears]] &gt; 90, Table__192.168.1.150_Daily_Delinquency_With_Sectors[[#This Row],[Outstanding Balance]],0)</f>
        <v>0</v>
      </c>
      <c r="U521" s="109">
        <f>IF(Table__192.168.1.150_Daily_Delinquency_With_Sectors[[#This Row],[Days in Arrears]] &gt;= 1,1,0)</f>
        <v>1</v>
      </c>
      <c r="V521" s="109">
        <f>IF(Table__192.168.1.150_Daily_Delinquency_With_Sectors[[#This Row],[Days in Arrears]] &gt; 30,1,0)</f>
        <v>0</v>
      </c>
      <c r="W521" s="109">
        <f>IF(Table__192.168.1.150_Daily_Delinquency_With_Sectors[[#This Row],[Days in Arrears]] &gt; 90,1,0)</f>
        <v>0</v>
      </c>
    </row>
    <row r="522" spans="1:23" x14ac:dyDescent="0.25">
      <c r="A522" t="s">
        <v>1381</v>
      </c>
      <c r="B522" t="s">
        <v>1284</v>
      </c>
      <c r="C522">
        <v>-29</v>
      </c>
      <c r="D522" s="105">
        <v>15465074.65</v>
      </c>
      <c r="E522" t="s">
        <v>963</v>
      </c>
      <c r="F522" s="105">
        <v>492793.65</v>
      </c>
      <c r="G522" s="105">
        <v>18904260.899999999</v>
      </c>
      <c r="H522" s="143">
        <v>42909.574963113424</v>
      </c>
      <c r="I522" s="143">
        <v>43457</v>
      </c>
      <c r="J522" t="s">
        <v>1382</v>
      </c>
      <c r="K522" t="s">
        <v>1280</v>
      </c>
      <c r="L522" t="s">
        <v>1383</v>
      </c>
      <c r="M522">
        <v>103252</v>
      </c>
      <c r="N522" t="s">
        <v>1380</v>
      </c>
      <c r="O522" t="s">
        <v>44</v>
      </c>
      <c r="P522" t="s">
        <v>75</v>
      </c>
      <c r="Q522" t="s">
        <v>1442</v>
      </c>
      <c r="R522" s="105">
        <f>IF(Table__192.168.1.150_Daily_Delinquency_With_Sectors[[#This Row],[Days in Arrears]] &gt; 0, Table__192.168.1.150_Daily_Delinquency_With_Sectors[[#This Row],[Outstanding Balance]],0)</f>
        <v>0</v>
      </c>
      <c r="S522" s="105">
        <f>IF(Table__192.168.1.150_Daily_Delinquency_With_Sectors[[#This Row],[Days in Arrears]] &gt; 30, Table__192.168.1.150_Daily_Delinquency_With_Sectors[[#This Row],[Outstanding Balance]],0)</f>
        <v>0</v>
      </c>
      <c r="T522" s="105">
        <f>IF(Table__192.168.1.150_Daily_Delinquency_With_Sectors[[#This Row],[Days in Arrears]] &gt; 90, Table__192.168.1.150_Daily_Delinquency_With_Sectors[[#This Row],[Outstanding Balance]],0)</f>
        <v>0</v>
      </c>
      <c r="U522" s="109">
        <f>IF(Table__192.168.1.150_Daily_Delinquency_With_Sectors[[#This Row],[Days in Arrears]] &gt;= 1,1,0)</f>
        <v>0</v>
      </c>
      <c r="V522" s="109">
        <f>IF(Table__192.168.1.150_Daily_Delinquency_With_Sectors[[#This Row],[Days in Arrears]] &gt; 30,1,0)</f>
        <v>0</v>
      </c>
      <c r="W522" s="109">
        <f>IF(Table__192.168.1.150_Daily_Delinquency_With_Sectors[[#This Row],[Days in Arrears]] &gt; 90,1,0)</f>
        <v>0</v>
      </c>
    </row>
    <row r="523" spans="1:23" x14ac:dyDescent="0.25">
      <c r="A523" t="s">
        <v>4956</v>
      </c>
      <c r="B523" t="s">
        <v>1279</v>
      </c>
      <c r="C523">
        <v>-7</v>
      </c>
      <c r="D523" s="105">
        <v>2712982.47</v>
      </c>
      <c r="E523" t="s">
        <v>1448</v>
      </c>
      <c r="F523" s="105">
        <v>79580.820000000007</v>
      </c>
      <c r="G523" s="105">
        <v>2989598.65</v>
      </c>
      <c r="H523" s="143">
        <v>42912.611653206019</v>
      </c>
      <c r="I523" s="143">
        <v>43160</v>
      </c>
      <c r="J523" t="s">
        <v>4957</v>
      </c>
      <c r="K523" t="s">
        <v>4958</v>
      </c>
      <c r="L523" t="s">
        <v>1280</v>
      </c>
      <c r="M523">
        <v>103253</v>
      </c>
      <c r="N523" t="s">
        <v>4954</v>
      </c>
      <c r="O523" t="s">
        <v>25</v>
      </c>
      <c r="P523" t="s">
        <v>26</v>
      </c>
      <c r="Q523" t="s">
        <v>26</v>
      </c>
      <c r="R523" s="105">
        <f>IF(Table__192.168.1.150_Daily_Delinquency_With_Sectors[[#This Row],[Days in Arrears]] &gt; 0, Table__192.168.1.150_Daily_Delinquency_With_Sectors[[#This Row],[Outstanding Balance]],0)</f>
        <v>0</v>
      </c>
      <c r="S523" s="105">
        <f>IF(Table__192.168.1.150_Daily_Delinquency_With_Sectors[[#This Row],[Days in Arrears]] &gt; 30, Table__192.168.1.150_Daily_Delinquency_With_Sectors[[#This Row],[Outstanding Balance]],0)</f>
        <v>0</v>
      </c>
      <c r="T523" s="105">
        <f>IF(Table__192.168.1.150_Daily_Delinquency_With_Sectors[[#This Row],[Days in Arrears]] &gt; 90, Table__192.168.1.150_Daily_Delinquency_With_Sectors[[#This Row],[Outstanding Balance]],0)</f>
        <v>0</v>
      </c>
      <c r="U523" s="109">
        <f>IF(Table__192.168.1.150_Daily_Delinquency_With_Sectors[[#This Row],[Days in Arrears]] &gt;= 1,1,0)</f>
        <v>0</v>
      </c>
      <c r="V523" s="109">
        <f>IF(Table__192.168.1.150_Daily_Delinquency_With_Sectors[[#This Row],[Days in Arrears]] &gt; 30,1,0)</f>
        <v>0</v>
      </c>
      <c r="W523" s="109">
        <f>IF(Table__192.168.1.150_Daily_Delinquency_With_Sectors[[#This Row],[Days in Arrears]] &gt; 90,1,0)</f>
        <v>0</v>
      </c>
    </row>
    <row r="524" spans="1:23" x14ac:dyDescent="0.25">
      <c r="A524" t="s">
        <v>373</v>
      </c>
      <c r="B524" t="s">
        <v>1279</v>
      </c>
      <c r="C524">
        <v>23</v>
      </c>
      <c r="D524" s="105">
        <v>3185254.24</v>
      </c>
      <c r="E524" t="s">
        <v>1448</v>
      </c>
      <c r="F524" s="105">
        <v>212015.42</v>
      </c>
      <c r="G524" s="105">
        <v>3855549.38</v>
      </c>
      <c r="H524" s="143">
        <v>42913.651675497684</v>
      </c>
      <c r="I524" s="143">
        <v>43282</v>
      </c>
      <c r="J524" t="s">
        <v>374</v>
      </c>
      <c r="K524" t="s">
        <v>1280</v>
      </c>
      <c r="L524" t="s">
        <v>1280</v>
      </c>
      <c r="M524">
        <v>103254</v>
      </c>
      <c r="N524" t="s">
        <v>365</v>
      </c>
      <c r="O524" t="s">
        <v>25</v>
      </c>
      <c r="P524" t="s">
        <v>26</v>
      </c>
      <c r="Q524" t="s">
        <v>26</v>
      </c>
      <c r="R524" s="105">
        <f>IF(Table__192.168.1.150_Daily_Delinquency_With_Sectors[[#This Row],[Days in Arrears]] &gt; 0, Table__192.168.1.150_Daily_Delinquency_With_Sectors[[#This Row],[Outstanding Balance]],0)</f>
        <v>3185254.24</v>
      </c>
      <c r="S524" s="105">
        <f>IF(Table__192.168.1.150_Daily_Delinquency_With_Sectors[[#This Row],[Days in Arrears]] &gt; 30, Table__192.168.1.150_Daily_Delinquency_With_Sectors[[#This Row],[Outstanding Balance]],0)</f>
        <v>0</v>
      </c>
      <c r="T524" s="105">
        <f>IF(Table__192.168.1.150_Daily_Delinquency_With_Sectors[[#This Row],[Days in Arrears]] &gt; 90, Table__192.168.1.150_Daily_Delinquency_With_Sectors[[#This Row],[Outstanding Balance]],0)</f>
        <v>0</v>
      </c>
      <c r="U524" s="109">
        <f>IF(Table__192.168.1.150_Daily_Delinquency_With_Sectors[[#This Row],[Days in Arrears]] &gt;= 1,1,0)</f>
        <v>1</v>
      </c>
      <c r="V524" s="109">
        <f>IF(Table__192.168.1.150_Daily_Delinquency_With_Sectors[[#This Row],[Days in Arrears]] &gt; 30,1,0)</f>
        <v>0</v>
      </c>
      <c r="W524" s="109">
        <f>IF(Table__192.168.1.150_Daily_Delinquency_With_Sectors[[#This Row],[Days in Arrears]] &gt; 90,1,0)</f>
        <v>0</v>
      </c>
    </row>
    <row r="525" spans="1:23" x14ac:dyDescent="0.25">
      <c r="A525" t="s">
        <v>2426</v>
      </c>
      <c r="B525" t="s">
        <v>1282</v>
      </c>
      <c r="C525">
        <v>23</v>
      </c>
      <c r="D525" s="105">
        <v>3622295.32</v>
      </c>
      <c r="E525" t="s">
        <v>1447</v>
      </c>
      <c r="F525" s="105">
        <v>105891.46</v>
      </c>
      <c r="G525" s="105">
        <v>4301767.0999999996</v>
      </c>
      <c r="H525" s="143">
        <v>42912.638030983799</v>
      </c>
      <c r="I525" s="143">
        <v>43282</v>
      </c>
      <c r="J525" t="s">
        <v>2427</v>
      </c>
      <c r="K525" t="s">
        <v>2428</v>
      </c>
      <c r="L525" t="s">
        <v>1280</v>
      </c>
      <c r="M525">
        <v>103255</v>
      </c>
      <c r="N525" t="s">
        <v>83</v>
      </c>
      <c r="O525" t="s">
        <v>25</v>
      </c>
      <c r="P525" t="s">
        <v>26</v>
      </c>
      <c r="Q525" t="s">
        <v>26</v>
      </c>
      <c r="R525" s="105">
        <f>IF(Table__192.168.1.150_Daily_Delinquency_With_Sectors[[#This Row],[Days in Arrears]] &gt; 0, Table__192.168.1.150_Daily_Delinquency_With_Sectors[[#This Row],[Outstanding Balance]],0)</f>
        <v>3622295.32</v>
      </c>
      <c r="S525" s="105">
        <f>IF(Table__192.168.1.150_Daily_Delinquency_With_Sectors[[#This Row],[Days in Arrears]] &gt; 30, Table__192.168.1.150_Daily_Delinquency_With_Sectors[[#This Row],[Outstanding Balance]],0)</f>
        <v>0</v>
      </c>
      <c r="T525" s="105">
        <f>IF(Table__192.168.1.150_Daily_Delinquency_With_Sectors[[#This Row],[Days in Arrears]] &gt; 90, Table__192.168.1.150_Daily_Delinquency_With_Sectors[[#This Row],[Outstanding Balance]],0)</f>
        <v>0</v>
      </c>
      <c r="U525" s="109">
        <f>IF(Table__192.168.1.150_Daily_Delinquency_With_Sectors[[#This Row],[Days in Arrears]] &gt;= 1,1,0)</f>
        <v>1</v>
      </c>
      <c r="V525" s="109">
        <f>IF(Table__192.168.1.150_Daily_Delinquency_With_Sectors[[#This Row],[Days in Arrears]] &gt; 30,1,0)</f>
        <v>0</v>
      </c>
      <c r="W525" s="109">
        <f>IF(Table__192.168.1.150_Daily_Delinquency_With_Sectors[[#This Row],[Days in Arrears]] &gt; 90,1,0)</f>
        <v>0</v>
      </c>
    </row>
    <row r="526" spans="1:23" x14ac:dyDescent="0.25">
      <c r="A526" t="s">
        <v>4983</v>
      </c>
      <c r="B526" t="s">
        <v>1282</v>
      </c>
      <c r="C526">
        <v>23</v>
      </c>
      <c r="D526" s="105">
        <v>7982847.71</v>
      </c>
      <c r="E526" t="s">
        <v>1191</v>
      </c>
      <c r="F526" s="105">
        <v>598274.86</v>
      </c>
      <c r="G526" s="105">
        <v>9884124.4000000004</v>
      </c>
      <c r="H526" s="143">
        <v>42916.532879861108</v>
      </c>
      <c r="I526" s="143">
        <v>43282</v>
      </c>
      <c r="J526" t="s">
        <v>4984</v>
      </c>
      <c r="K526" t="s">
        <v>1280</v>
      </c>
      <c r="L526" t="s">
        <v>1280</v>
      </c>
      <c r="M526">
        <v>103256</v>
      </c>
      <c r="N526" t="s">
        <v>4982</v>
      </c>
      <c r="O526" t="s">
        <v>44</v>
      </c>
      <c r="P526" t="s">
        <v>92</v>
      </c>
      <c r="Q526" t="s">
        <v>92</v>
      </c>
      <c r="R526" s="105">
        <f>IF(Table__192.168.1.150_Daily_Delinquency_With_Sectors[[#This Row],[Days in Arrears]] &gt; 0, Table__192.168.1.150_Daily_Delinquency_With_Sectors[[#This Row],[Outstanding Balance]],0)</f>
        <v>7982847.71</v>
      </c>
      <c r="S526" s="105">
        <f>IF(Table__192.168.1.150_Daily_Delinquency_With_Sectors[[#This Row],[Days in Arrears]] &gt; 30, Table__192.168.1.150_Daily_Delinquency_With_Sectors[[#This Row],[Outstanding Balance]],0)</f>
        <v>0</v>
      </c>
      <c r="T526" s="105">
        <f>IF(Table__192.168.1.150_Daily_Delinquency_With_Sectors[[#This Row],[Days in Arrears]] &gt; 90, Table__192.168.1.150_Daily_Delinquency_With_Sectors[[#This Row],[Outstanding Balance]],0)</f>
        <v>0</v>
      </c>
      <c r="U526" s="109">
        <f>IF(Table__192.168.1.150_Daily_Delinquency_With_Sectors[[#This Row],[Days in Arrears]] &gt;= 1,1,0)</f>
        <v>1</v>
      </c>
      <c r="V526" s="109">
        <f>IF(Table__192.168.1.150_Daily_Delinquency_With_Sectors[[#This Row],[Days in Arrears]] &gt; 30,1,0)</f>
        <v>0</v>
      </c>
      <c r="W526" s="109">
        <f>IF(Table__192.168.1.150_Daily_Delinquency_With_Sectors[[#This Row],[Days in Arrears]] &gt; 90,1,0)</f>
        <v>0</v>
      </c>
    </row>
    <row r="527" spans="1:23" x14ac:dyDescent="0.25">
      <c r="A527" t="s">
        <v>3197</v>
      </c>
      <c r="B527" t="s">
        <v>1282</v>
      </c>
      <c r="C527">
        <v>19</v>
      </c>
      <c r="D527" s="105">
        <v>3547750.49</v>
      </c>
      <c r="E527" t="s">
        <v>491</v>
      </c>
      <c r="F527" s="105">
        <v>170115.75</v>
      </c>
      <c r="G527" s="105">
        <v>4016550.28</v>
      </c>
      <c r="H527" s="143">
        <v>42916.649968831021</v>
      </c>
      <c r="I527" s="143">
        <v>43195</v>
      </c>
      <c r="J527" t="s">
        <v>3198</v>
      </c>
      <c r="K527" t="s">
        <v>1280</v>
      </c>
      <c r="L527" t="s">
        <v>1280</v>
      </c>
      <c r="M527">
        <v>103257</v>
      </c>
      <c r="N527" t="s">
        <v>3196</v>
      </c>
      <c r="O527" t="s">
        <v>25</v>
      </c>
      <c r="P527" t="s">
        <v>88</v>
      </c>
      <c r="Q527" t="s">
        <v>285</v>
      </c>
      <c r="R527" s="105">
        <f>IF(Table__192.168.1.150_Daily_Delinquency_With_Sectors[[#This Row],[Days in Arrears]] &gt; 0, Table__192.168.1.150_Daily_Delinquency_With_Sectors[[#This Row],[Outstanding Balance]],0)</f>
        <v>3547750.49</v>
      </c>
      <c r="S527" s="105">
        <f>IF(Table__192.168.1.150_Daily_Delinquency_With_Sectors[[#This Row],[Days in Arrears]] &gt; 30, Table__192.168.1.150_Daily_Delinquency_With_Sectors[[#This Row],[Outstanding Balance]],0)</f>
        <v>0</v>
      </c>
      <c r="T527" s="105">
        <f>IF(Table__192.168.1.150_Daily_Delinquency_With_Sectors[[#This Row],[Days in Arrears]] &gt; 90, Table__192.168.1.150_Daily_Delinquency_With_Sectors[[#This Row],[Outstanding Balance]],0)</f>
        <v>0</v>
      </c>
      <c r="U527" s="109">
        <f>IF(Table__192.168.1.150_Daily_Delinquency_With_Sectors[[#This Row],[Days in Arrears]] &gt;= 1,1,0)</f>
        <v>1</v>
      </c>
      <c r="V527" s="109">
        <f>IF(Table__192.168.1.150_Daily_Delinquency_With_Sectors[[#This Row],[Days in Arrears]] &gt; 30,1,0)</f>
        <v>0</v>
      </c>
      <c r="W527" s="109">
        <f>IF(Table__192.168.1.150_Daily_Delinquency_With_Sectors[[#This Row],[Days in Arrears]] &gt; 90,1,0)</f>
        <v>0</v>
      </c>
    </row>
    <row r="528" spans="1:23" x14ac:dyDescent="0.25">
      <c r="A528" t="s">
        <v>4995</v>
      </c>
      <c r="B528" t="s">
        <v>1286</v>
      </c>
      <c r="C528">
        <v>-27</v>
      </c>
      <c r="D528" s="105">
        <v>347408.68</v>
      </c>
      <c r="E528" t="s">
        <v>284</v>
      </c>
      <c r="F528" s="105">
        <v>482.51</v>
      </c>
      <c r="G528" s="105">
        <v>354646.36</v>
      </c>
      <c r="H528" s="143">
        <v>42921.436926539354</v>
      </c>
      <c r="I528" s="143">
        <v>43090</v>
      </c>
      <c r="J528" t="s">
        <v>4996</v>
      </c>
      <c r="K528" t="s">
        <v>1280</v>
      </c>
      <c r="L528" t="s">
        <v>1280</v>
      </c>
      <c r="M528">
        <v>103258</v>
      </c>
      <c r="N528" t="s">
        <v>4994</v>
      </c>
      <c r="O528" t="s">
        <v>28</v>
      </c>
      <c r="P528" t="s">
        <v>26</v>
      </c>
      <c r="Q528" t="s">
        <v>26</v>
      </c>
      <c r="R528" s="105">
        <f>IF(Table__192.168.1.150_Daily_Delinquency_With_Sectors[[#This Row],[Days in Arrears]] &gt; 0, Table__192.168.1.150_Daily_Delinquency_With_Sectors[[#This Row],[Outstanding Balance]],0)</f>
        <v>0</v>
      </c>
      <c r="S528" s="105">
        <f>IF(Table__192.168.1.150_Daily_Delinquency_With_Sectors[[#This Row],[Days in Arrears]] &gt; 30, Table__192.168.1.150_Daily_Delinquency_With_Sectors[[#This Row],[Outstanding Balance]],0)</f>
        <v>0</v>
      </c>
      <c r="T528" s="105">
        <f>IF(Table__192.168.1.150_Daily_Delinquency_With_Sectors[[#This Row],[Days in Arrears]] &gt; 90, Table__192.168.1.150_Daily_Delinquency_With_Sectors[[#This Row],[Outstanding Balance]],0)</f>
        <v>0</v>
      </c>
      <c r="U528" s="109">
        <f>IF(Table__192.168.1.150_Daily_Delinquency_With_Sectors[[#This Row],[Days in Arrears]] &gt;= 1,1,0)</f>
        <v>0</v>
      </c>
      <c r="V528" s="109">
        <f>IF(Table__192.168.1.150_Daily_Delinquency_With_Sectors[[#This Row],[Days in Arrears]] &gt; 30,1,0)</f>
        <v>0</v>
      </c>
      <c r="W528" s="109">
        <f>IF(Table__192.168.1.150_Daily_Delinquency_With_Sectors[[#This Row],[Days in Arrears]] &gt; 90,1,0)</f>
        <v>0</v>
      </c>
    </row>
    <row r="529" spans="1:23" x14ac:dyDescent="0.25">
      <c r="A529" t="s">
        <v>3580</v>
      </c>
      <c r="B529" t="s">
        <v>1866</v>
      </c>
      <c r="C529">
        <v>-17</v>
      </c>
      <c r="D529" s="105">
        <v>4280211.46</v>
      </c>
      <c r="E529" t="s">
        <v>2034</v>
      </c>
      <c r="F529" s="105">
        <v>62776.43</v>
      </c>
      <c r="G529" s="105">
        <v>5016075.22</v>
      </c>
      <c r="H529" s="143">
        <v>42927.551533831022</v>
      </c>
      <c r="I529" s="143">
        <v>43292</v>
      </c>
      <c r="J529" t="s">
        <v>3581</v>
      </c>
      <c r="K529" t="s">
        <v>3582</v>
      </c>
      <c r="L529" t="s">
        <v>1280</v>
      </c>
      <c r="M529">
        <v>103259</v>
      </c>
      <c r="N529" t="s">
        <v>3550</v>
      </c>
      <c r="O529" t="s">
        <v>25</v>
      </c>
      <c r="P529" t="s">
        <v>88</v>
      </c>
      <c r="Q529" t="s">
        <v>285</v>
      </c>
      <c r="R529" s="105">
        <f>IF(Table__192.168.1.150_Daily_Delinquency_With_Sectors[[#This Row],[Days in Arrears]] &gt; 0, Table__192.168.1.150_Daily_Delinquency_With_Sectors[[#This Row],[Outstanding Balance]],0)</f>
        <v>0</v>
      </c>
      <c r="S529" s="105">
        <f>IF(Table__192.168.1.150_Daily_Delinquency_With_Sectors[[#This Row],[Days in Arrears]] &gt; 30, Table__192.168.1.150_Daily_Delinquency_With_Sectors[[#This Row],[Outstanding Balance]],0)</f>
        <v>0</v>
      </c>
      <c r="T529" s="105">
        <f>IF(Table__192.168.1.150_Daily_Delinquency_With_Sectors[[#This Row],[Days in Arrears]] &gt; 90, Table__192.168.1.150_Daily_Delinquency_With_Sectors[[#This Row],[Outstanding Balance]],0)</f>
        <v>0</v>
      </c>
      <c r="U529" s="109">
        <f>IF(Table__192.168.1.150_Daily_Delinquency_With_Sectors[[#This Row],[Days in Arrears]] &gt;= 1,1,0)</f>
        <v>0</v>
      </c>
      <c r="V529" s="109">
        <f>IF(Table__192.168.1.150_Daily_Delinquency_With_Sectors[[#This Row],[Days in Arrears]] &gt; 30,1,0)</f>
        <v>0</v>
      </c>
      <c r="W529" s="109">
        <f>IF(Table__192.168.1.150_Daily_Delinquency_With_Sectors[[#This Row],[Days in Arrears]] &gt; 90,1,0)</f>
        <v>0</v>
      </c>
    </row>
    <row r="530" spans="1:23" x14ac:dyDescent="0.25">
      <c r="A530" t="s">
        <v>5027</v>
      </c>
      <c r="B530" t="s">
        <v>1282</v>
      </c>
      <c r="C530">
        <v>-18</v>
      </c>
      <c r="D530" s="105">
        <v>3911075.08</v>
      </c>
      <c r="E530" t="s">
        <v>491</v>
      </c>
      <c r="F530" s="105">
        <v>64532.74</v>
      </c>
      <c r="G530" s="105">
        <v>4549637.58</v>
      </c>
      <c r="H530" s="143">
        <v>42928.569796956021</v>
      </c>
      <c r="I530" s="143">
        <v>43232</v>
      </c>
      <c r="J530" t="s">
        <v>5028</v>
      </c>
      <c r="K530" t="s">
        <v>1280</v>
      </c>
      <c r="L530" t="s">
        <v>1280</v>
      </c>
      <c r="M530">
        <v>103260</v>
      </c>
      <c r="N530" t="s">
        <v>5024</v>
      </c>
      <c r="O530" t="s">
        <v>25</v>
      </c>
      <c r="P530" t="s">
        <v>26</v>
      </c>
      <c r="Q530" t="s">
        <v>26</v>
      </c>
      <c r="R530" s="105">
        <f>IF(Table__192.168.1.150_Daily_Delinquency_With_Sectors[[#This Row],[Days in Arrears]] &gt; 0, Table__192.168.1.150_Daily_Delinquency_With_Sectors[[#This Row],[Outstanding Balance]],0)</f>
        <v>0</v>
      </c>
      <c r="S530" s="105">
        <f>IF(Table__192.168.1.150_Daily_Delinquency_With_Sectors[[#This Row],[Days in Arrears]] &gt; 30, Table__192.168.1.150_Daily_Delinquency_With_Sectors[[#This Row],[Outstanding Balance]],0)</f>
        <v>0</v>
      </c>
      <c r="T530" s="105">
        <f>IF(Table__192.168.1.150_Daily_Delinquency_With_Sectors[[#This Row],[Days in Arrears]] &gt; 90, Table__192.168.1.150_Daily_Delinquency_With_Sectors[[#This Row],[Outstanding Balance]],0)</f>
        <v>0</v>
      </c>
      <c r="U530" s="109">
        <f>IF(Table__192.168.1.150_Daily_Delinquency_With_Sectors[[#This Row],[Days in Arrears]] &gt;= 1,1,0)</f>
        <v>0</v>
      </c>
      <c r="V530" s="109">
        <f>IF(Table__192.168.1.150_Daily_Delinquency_With_Sectors[[#This Row],[Days in Arrears]] &gt; 30,1,0)</f>
        <v>0</v>
      </c>
      <c r="W530" s="109">
        <f>IF(Table__192.168.1.150_Daily_Delinquency_With_Sectors[[#This Row],[Days in Arrears]] &gt; 90,1,0)</f>
        <v>0</v>
      </c>
    </row>
    <row r="531" spans="1:23" x14ac:dyDescent="0.25">
      <c r="A531" t="s">
        <v>5029</v>
      </c>
      <c r="B531" t="s">
        <v>1284</v>
      </c>
      <c r="C531">
        <v>-18</v>
      </c>
      <c r="D531" s="105">
        <v>7093099.29</v>
      </c>
      <c r="E531" t="s">
        <v>1191</v>
      </c>
      <c r="F531" s="105">
        <v>86693.440000000002</v>
      </c>
      <c r="G531" s="105">
        <v>8197718.5999999996</v>
      </c>
      <c r="H531" s="143">
        <v>42928.637483252314</v>
      </c>
      <c r="I531" s="143">
        <v>43293</v>
      </c>
      <c r="J531" t="s">
        <v>5030</v>
      </c>
      <c r="K531" t="s">
        <v>5031</v>
      </c>
      <c r="L531" t="s">
        <v>1280</v>
      </c>
      <c r="M531">
        <v>103261</v>
      </c>
      <c r="N531" t="s">
        <v>5026</v>
      </c>
      <c r="O531" t="s">
        <v>25</v>
      </c>
      <c r="P531" t="s">
        <v>88</v>
      </c>
      <c r="Q531" t="s">
        <v>285</v>
      </c>
      <c r="R531" s="105">
        <f>IF(Table__192.168.1.150_Daily_Delinquency_With_Sectors[[#This Row],[Days in Arrears]] &gt; 0, Table__192.168.1.150_Daily_Delinquency_With_Sectors[[#This Row],[Outstanding Balance]],0)</f>
        <v>0</v>
      </c>
      <c r="S531" s="105">
        <f>IF(Table__192.168.1.150_Daily_Delinquency_With_Sectors[[#This Row],[Days in Arrears]] &gt; 30, Table__192.168.1.150_Daily_Delinquency_With_Sectors[[#This Row],[Outstanding Balance]],0)</f>
        <v>0</v>
      </c>
      <c r="T531" s="105">
        <f>IF(Table__192.168.1.150_Daily_Delinquency_With_Sectors[[#This Row],[Days in Arrears]] &gt; 90, Table__192.168.1.150_Daily_Delinquency_With_Sectors[[#This Row],[Outstanding Balance]],0)</f>
        <v>0</v>
      </c>
      <c r="U531" s="109">
        <f>IF(Table__192.168.1.150_Daily_Delinquency_With_Sectors[[#This Row],[Days in Arrears]] &gt;= 1,1,0)</f>
        <v>0</v>
      </c>
      <c r="V531" s="109">
        <f>IF(Table__192.168.1.150_Daily_Delinquency_With_Sectors[[#This Row],[Days in Arrears]] &gt; 30,1,0)</f>
        <v>0</v>
      </c>
      <c r="W531" s="109">
        <f>IF(Table__192.168.1.150_Daily_Delinquency_With_Sectors[[#This Row],[Days in Arrears]] &gt; 90,1,0)</f>
        <v>0</v>
      </c>
    </row>
    <row r="532" spans="1:23" x14ac:dyDescent="0.25">
      <c r="A532" t="s">
        <v>3686</v>
      </c>
      <c r="B532" t="s">
        <v>1282</v>
      </c>
      <c r="C532">
        <v>-20</v>
      </c>
      <c r="D532" s="105">
        <v>2510860.1</v>
      </c>
      <c r="E532" t="s">
        <v>86</v>
      </c>
      <c r="F532" s="105">
        <v>30130.32</v>
      </c>
      <c r="G532" s="105">
        <v>2983460.86</v>
      </c>
      <c r="H532" s="143">
        <v>42930.724245289355</v>
      </c>
      <c r="I532" s="143">
        <v>43295</v>
      </c>
      <c r="J532" t="s">
        <v>3687</v>
      </c>
      <c r="K532" t="s">
        <v>1280</v>
      </c>
      <c r="L532" t="s">
        <v>1280</v>
      </c>
      <c r="M532">
        <v>103262</v>
      </c>
      <c r="N532" t="s">
        <v>3682</v>
      </c>
      <c r="O532" t="s">
        <v>25</v>
      </c>
      <c r="P532" t="s">
        <v>88</v>
      </c>
      <c r="Q532" t="s">
        <v>285</v>
      </c>
      <c r="R532" s="105">
        <f>IF(Table__192.168.1.150_Daily_Delinquency_With_Sectors[[#This Row],[Days in Arrears]] &gt; 0, Table__192.168.1.150_Daily_Delinquency_With_Sectors[[#This Row],[Outstanding Balance]],0)</f>
        <v>0</v>
      </c>
      <c r="S532" s="105">
        <f>IF(Table__192.168.1.150_Daily_Delinquency_With_Sectors[[#This Row],[Days in Arrears]] &gt; 30, Table__192.168.1.150_Daily_Delinquency_With_Sectors[[#This Row],[Outstanding Balance]],0)</f>
        <v>0</v>
      </c>
      <c r="T532" s="105">
        <f>IF(Table__192.168.1.150_Daily_Delinquency_With_Sectors[[#This Row],[Days in Arrears]] &gt; 90, Table__192.168.1.150_Daily_Delinquency_With_Sectors[[#This Row],[Outstanding Balance]],0)</f>
        <v>0</v>
      </c>
      <c r="U532" s="109">
        <f>IF(Table__192.168.1.150_Daily_Delinquency_With_Sectors[[#This Row],[Days in Arrears]] &gt;= 1,1,0)</f>
        <v>0</v>
      </c>
      <c r="V532" s="109">
        <f>IF(Table__192.168.1.150_Daily_Delinquency_With_Sectors[[#This Row],[Days in Arrears]] &gt; 30,1,0)</f>
        <v>0</v>
      </c>
      <c r="W532" s="109">
        <f>IF(Table__192.168.1.150_Daily_Delinquency_With_Sectors[[#This Row],[Days in Arrears]] &gt; 90,1,0)</f>
        <v>0</v>
      </c>
    </row>
    <row r="533" spans="1:23" x14ac:dyDescent="0.25">
      <c r="A533" t="s">
        <v>5044</v>
      </c>
      <c r="B533" t="s">
        <v>1282</v>
      </c>
      <c r="C533">
        <v>7</v>
      </c>
      <c r="D533" s="105">
        <v>5579983.8499999996</v>
      </c>
      <c r="E533" t="s">
        <v>1039</v>
      </c>
      <c r="F533" s="105">
        <v>296670.05</v>
      </c>
      <c r="G533" s="105">
        <v>6908969.9000000004</v>
      </c>
      <c r="H533" s="143">
        <v>42933.649654201392</v>
      </c>
      <c r="I533" s="143">
        <v>43298</v>
      </c>
      <c r="J533" t="s">
        <v>5045</v>
      </c>
      <c r="K533" t="s">
        <v>1280</v>
      </c>
      <c r="L533" t="s">
        <v>1280</v>
      </c>
      <c r="M533">
        <v>103263</v>
      </c>
      <c r="N533" t="s">
        <v>5042</v>
      </c>
      <c r="O533" t="s">
        <v>25</v>
      </c>
      <c r="P533" t="s">
        <v>88</v>
      </c>
      <c r="Q533" t="s">
        <v>285</v>
      </c>
      <c r="R533" s="105">
        <f>IF(Table__192.168.1.150_Daily_Delinquency_With_Sectors[[#This Row],[Days in Arrears]] &gt; 0, Table__192.168.1.150_Daily_Delinquency_With_Sectors[[#This Row],[Outstanding Balance]],0)</f>
        <v>5579983.8499999996</v>
      </c>
      <c r="S533" s="105">
        <f>IF(Table__192.168.1.150_Daily_Delinquency_With_Sectors[[#This Row],[Days in Arrears]] &gt; 30, Table__192.168.1.150_Daily_Delinquency_With_Sectors[[#This Row],[Outstanding Balance]],0)</f>
        <v>0</v>
      </c>
      <c r="T533" s="105">
        <f>IF(Table__192.168.1.150_Daily_Delinquency_With_Sectors[[#This Row],[Days in Arrears]] &gt; 90, Table__192.168.1.150_Daily_Delinquency_With_Sectors[[#This Row],[Outstanding Balance]],0)</f>
        <v>0</v>
      </c>
      <c r="U533" s="109">
        <f>IF(Table__192.168.1.150_Daily_Delinquency_With_Sectors[[#This Row],[Days in Arrears]] &gt;= 1,1,0)</f>
        <v>1</v>
      </c>
      <c r="V533" s="109">
        <f>IF(Table__192.168.1.150_Daily_Delinquency_With_Sectors[[#This Row],[Days in Arrears]] &gt; 30,1,0)</f>
        <v>0</v>
      </c>
      <c r="W533" s="109">
        <f>IF(Table__192.168.1.150_Daily_Delinquency_With_Sectors[[#This Row],[Days in Arrears]] &gt; 90,1,0)</f>
        <v>0</v>
      </c>
    </row>
    <row r="534" spans="1:23" x14ac:dyDescent="0.25">
      <c r="A534" t="s">
        <v>2436</v>
      </c>
      <c r="B534" t="s">
        <v>1866</v>
      </c>
      <c r="C534">
        <v>-21</v>
      </c>
      <c r="D534" s="105">
        <v>4280211.46</v>
      </c>
      <c r="E534" t="s">
        <v>86</v>
      </c>
      <c r="F534" s="105">
        <v>41850.959999999999</v>
      </c>
      <c r="G534" s="105">
        <v>5016075.22</v>
      </c>
      <c r="H534" s="143">
        <v>42931.511849884257</v>
      </c>
      <c r="I534" s="143">
        <v>43296</v>
      </c>
      <c r="J534" t="s">
        <v>2437</v>
      </c>
      <c r="K534" t="s">
        <v>2438</v>
      </c>
      <c r="L534" t="s">
        <v>1280</v>
      </c>
      <c r="M534">
        <v>103264</v>
      </c>
      <c r="N534" t="s">
        <v>901</v>
      </c>
      <c r="O534" t="s">
        <v>25</v>
      </c>
      <c r="P534" t="s">
        <v>26</v>
      </c>
      <c r="Q534" t="s">
        <v>26</v>
      </c>
      <c r="R534" s="105">
        <f>IF(Table__192.168.1.150_Daily_Delinquency_With_Sectors[[#This Row],[Days in Arrears]] &gt; 0, Table__192.168.1.150_Daily_Delinquency_With_Sectors[[#This Row],[Outstanding Balance]],0)</f>
        <v>0</v>
      </c>
      <c r="S534" s="105">
        <f>IF(Table__192.168.1.150_Daily_Delinquency_With_Sectors[[#This Row],[Days in Arrears]] &gt; 30, Table__192.168.1.150_Daily_Delinquency_With_Sectors[[#This Row],[Outstanding Balance]],0)</f>
        <v>0</v>
      </c>
      <c r="T534" s="105">
        <f>IF(Table__192.168.1.150_Daily_Delinquency_With_Sectors[[#This Row],[Days in Arrears]] &gt; 90, Table__192.168.1.150_Daily_Delinquency_With_Sectors[[#This Row],[Outstanding Balance]],0)</f>
        <v>0</v>
      </c>
      <c r="U534" s="109">
        <f>IF(Table__192.168.1.150_Daily_Delinquency_With_Sectors[[#This Row],[Days in Arrears]] &gt;= 1,1,0)</f>
        <v>0</v>
      </c>
      <c r="V534" s="109">
        <f>IF(Table__192.168.1.150_Daily_Delinquency_With_Sectors[[#This Row],[Days in Arrears]] &gt; 30,1,0)</f>
        <v>0</v>
      </c>
      <c r="W534" s="109">
        <f>IF(Table__192.168.1.150_Daily_Delinquency_With_Sectors[[#This Row],[Days in Arrears]] &gt; 90,1,0)</f>
        <v>0</v>
      </c>
    </row>
    <row r="535" spans="1:23" x14ac:dyDescent="0.25">
      <c r="A535" t="s">
        <v>1923</v>
      </c>
      <c r="B535" t="s">
        <v>1285</v>
      </c>
      <c r="C535">
        <v>-27</v>
      </c>
      <c r="D535" s="105">
        <v>9905521.0899999999</v>
      </c>
      <c r="E535" t="s">
        <v>284</v>
      </c>
      <c r="F535" s="105">
        <v>12106.75</v>
      </c>
      <c r="G535" s="105">
        <v>12542030.369999999</v>
      </c>
      <c r="H535" s="143">
        <v>42933.644140509263</v>
      </c>
      <c r="I535" s="143">
        <v>43851</v>
      </c>
      <c r="J535" t="s">
        <v>1924</v>
      </c>
      <c r="K535" t="s">
        <v>1280</v>
      </c>
      <c r="L535" t="s">
        <v>1280</v>
      </c>
      <c r="M535">
        <v>103265</v>
      </c>
      <c r="N535" t="s">
        <v>1600</v>
      </c>
      <c r="O535" t="s">
        <v>43</v>
      </c>
      <c r="P535" t="s">
        <v>338</v>
      </c>
      <c r="Q535" t="s">
        <v>339</v>
      </c>
      <c r="R535" s="105">
        <f>IF(Table__192.168.1.150_Daily_Delinquency_With_Sectors[[#This Row],[Days in Arrears]] &gt; 0, Table__192.168.1.150_Daily_Delinquency_With_Sectors[[#This Row],[Outstanding Balance]],0)</f>
        <v>0</v>
      </c>
      <c r="S535" s="105">
        <f>IF(Table__192.168.1.150_Daily_Delinquency_With_Sectors[[#This Row],[Days in Arrears]] &gt; 30, Table__192.168.1.150_Daily_Delinquency_With_Sectors[[#This Row],[Outstanding Balance]],0)</f>
        <v>0</v>
      </c>
      <c r="T535" s="105">
        <f>IF(Table__192.168.1.150_Daily_Delinquency_With_Sectors[[#This Row],[Days in Arrears]] &gt; 90, Table__192.168.1.150_Daily_Delinquency_With_Sectors[[#This Row],[Outstanding Balance]],0)</f>
        <v>0</v>
      </c>
      <c r="U535" s="109">
        <f>IF(Table__192.168.1.150_Daily_Delinquency_With_Sectors[[#This Row],[Days in Arrears]] &gt;= 1,1,0)</f>
        <v>0</v>
      </c>
      <c r="V535" s="109">
        <f>IF(Table__192.168.1.150_Daily_Delinquency_With_Sectors[[#This Row],[Days in Arrears]] &gt; 30,1,0)</f>
        <v>0</v>
      </c>
      <c r="W535" s="109">
        <f>IF(Table__192.168.1.150_Daily_Delinquency_With_Sectors[[#This Row],[Days in Arrears]] &gt; 90,1,0)</f>
        <v>0</v>
      </c>
    </row>
    <row r="536" spans="1:23" x14ac:dyDescent="0.25">
      <c r="A536" t="s">
        <v>3181</v>
      </c>
      <c r="B536" t="s">
        <v>1866</v>
      </c>
      <c r="C536">
        <v>-24</v>
      </c>
      <c r="D536" s="105">
        <v>7133685.7599999998</v>
      </c>
      <c r="E536" t="s">
        <v>2855</v>
      </c>
      <c r="F536" s="105">
        <v>43594.75</v>
      </c>
      <c r="G536" s="105">
        <v>8360125.3499999996</v>
      </c>
      <c r="H536" s="143">
        <v>42934.646169641201</v>
      </c>
      <c r="I536" s="143">
        <v>43299</v>
      </c>
      <c r="J536" t="s">
        <v>3182</v>
      </c>
      <c r="K536" t="s">
        <v>1280</v>
      </c>
      <c r="L536" t="s">
        <v>1280</v>
      </c>
      <c r="M536">
        <v>103266</v>
      </c>
      <c r="N536" t="s">
        <v>3180</v>
      </c>
      <c r="O536" t="s">
        <v>25</v>
      </c>
      <c r="P536" t="s">
        <v>290</v>
      </c>
      <c r="Q536" t="s">
        <v>1822</v>
      </c>
      <c r="R536" s="105">
        <f>IF(Table__192.168.1.150_Daily_Delinquency_With_Sectors[[#This Row],[Days in Arrears]] &gt; 0, Table__192.168.1.150_Daily_Delinquency_With_Sectors[[#This Row],[Outstanding Balance]],0)</f>
        <v>0</v>
      </c>
      <c r="S536" s="105">
        <f>IF(Table__192.168.1.150_Daily_Delinquency_With_Sectors[[#This Row],[Days in Arrears]] &gt; 30, Table__192.168.1.150_Daily_Delinquency_With_Sectors[[#This Row],[Outstanding Balance]],0)</f>
        <v>0</v>
      </c>
      <c r="T536" s="105">
        <f>IF(Table__192.168.1.150_Daily_Delinquency_With_Sectors[[#This Row],[Days in Arrears]] &gt; 90, Table__192.168.1.150_Daily_Delinquency_With_Sectors[[#This Row],[Outstanding Balance]],0)</f>
        <v>0</v>
      </c>
      <c r="U536" s="109">
        <f>IF(Table__192.168.1.150_Daily_Delinquency_With_Sectors[[#This Row],[Days in Arrears]] &gt;= 1,1,0)</f>
        <v>0</v>
      </c>
      <c r="V536" s="109">
        <f>IF(Table__192.168.1.150_Daily_Delinquency_With_Sectors[[#This Row],[Days in Arrears]] &gt; 30,1,0)</f>
        <v>0</v>
      </c>
      <c r="W536" s="109">
        <f>IF(Table__192.168.1.150_Daily_Delinquency_With_Sectors[[#This Row],[Days in Arrears]] &gt; 90,1,0)</f>
        <v>0</v>
      </c>
    </row>
    <row r="537" spans="1:23" x14ac:dyDescent="0.25">
      <c r="A537" t="s">
        <v>5054</v>
      </c>
      <c r="B537" t="s">
        <v>1282</v>
      </c>
      <c r="C537">
        <v>4</v>
      </c>
      <c r="D537" s="105">
        <v>7971405.4800000004</v>
      </c>
      <c r="E537" t="s">
        <v>1191</v>
      </c>
      <c r="F537" s="105">
        <v>184829.05</v>
      </c>
      <c r="G537" s="105">
        <v>9663522.1999999993</v>
      </c>
      <c r="H537" s="143">
        <v>42936.509644131947</v>
      </c>
      <c r="I537" s="143">
        <v>43301</v>
      </c>
      <c r="J537" t="s">
        <v>5055</v>
      </c>
      <c r="K537" t="s">
        <v>5056</v>
      </c>
      <c r="L537" t="s">
        <v>1280</v>
      </c>
      <c r="M537">
        <v>103267</v>
      </c>
      <c r="N537" t="s">
        <v>5051</v>
      </c>
      <c r="O537" t="s">
        <v>25</v>
      </c>
      <c r="P537" t="s">
        <v>88</v>
      </c>
      <c r="Q537" t="s">
        <v>285</v>
      </c>
      <c r="R537" s="105">
        <f>IF(Table__192.168.1.150_Daily_Delinquency_With_Sectors[[#This Row],[Days in Arrears]] &gt; 0, Table__192.168.1.150_Daily_Delinquency_With_Sectors[[#This Row],[Outstanding Balance]],0)</f>
        <v>7971405.4800000004</v>
      </c>
      <c r="S537" s="105">
        <f>IF(Table__192.168.1.150_Daily_Delinquency_With_Sectors[[#This Row],[Days in Arrears]] &gt; 30, Table__192.168.1.150_Daily_Delinquency_With_Sectors[[#This Row],[Outstanding Balance]],0)</f>
        <v>0</v>
      </c>
      <c r="T537" s="105">
        <f>IF(Table__192.168.1.150_Daily_Delinquency_With_Sectors[[#This Row],[Days in Arrears]] &gt; 90, Table__192.168.1.150_Daily_Delinquency_With_Sectors[[#This Row],[Outstanding Balance]],0)</f>
        <v>0</v>
      </c>
      <c r="U537" s="109">
        <f>IF(Table__192.168.1.150_Daily_Delinquency_With_Sectors[[#This Row],[Days in Arrears]] &gt;= 1,1,0)</f>
        <v>1</v>
      </c>
      <c r="V537" s="109">
        <f>IF(Table__192.168.1.150_Daily_Delinquency_With_Sectors[[#This Row],[Days in Arrears]] &gt; 30,1,0)</f>
        <v>0</v>
      </c>
      <c r="W537" s="109">
        <f>IF(Table__192.168.1.150_Daily_Delinquency_With_Sectors[[#This Row],[Days in Arrears]] &gt; 90,1,0)</f>
        <v>0</v>
      </c>
    </row>
    <row r="538" spans="1:23" x14ac:dyDescent="0.25">
      <c r="A538" t="s">
        <v>5057</v>
      </c>
      <c r="B538" t="s">
        <v>1866</v>
      </c>
      <c r="C538">
        <v>-26</v>
      </c>
      <c r="D538" s="105">
        <v>7193840.4400000004</v>
      </c>
      <c r="E538" t="s">
        <v>2175</v>
      </c>
      <c r="F538" s="105">
        <v>29974.34</v>
      </c>
      <c r="G538" s="105">
        <v>8606809.4800000004</v>
      </c>
      <c r="H538" s="143">
        <v>42936.650801469907</v>
      </c>
      <c r="I538" s="143">
        <v>43301</v>
      </c>
      <c r="J538" t="s">
        <v>5058</v>
      </c>
      <c r="K538" t="s">
        <v>5059</v>
      </c>
      <c r="L538" t="s">
        <v>1280</v>
      </c>
      <c r="M538">
        <v>103268</v>
      </c>
      <c r="N538" t="s">
        <v>5052</v>
      </c>
      <c r="O538" t="s">
        <v>25</v>
      </c>
      <c r="P538" t="s">
        <v>88</v>
      </c>
      <c r="Q538" t="s">
        <v>285</v>
      </c>
      <c r="R538" s="105">
        <f>IF(Table__192.168.1.150_Daily_Delinquency_With_Sectors[[#This Row],[Days in Arrears]] &gt; 0, Table__192.168.1.150_Daily_Delinquency_With_Sectors[[#This Row],[Outstanding Balance]],0)</f>
        <v>0</v>
      </c>
      <c r="S538" s="105">
        <f>IF(Table__192.168.1.150_Daily_Delinquency_With_Sectors[[#This Row],[Days in Arrears]] &gt; 30, Table__192.168.1.150_Daily_Delinquency_With_Sectors[[#This Row],[Outstanding Balance]],0)</f>
        <v>0</v>
      </c>
      <c r="T538" s="105">
        <f>IF(Table__192.168.1.150_Daily_Delinquency_With_Sectors[[#This Row],[Days in Arrears]] &gt; 90, Table__192.168.1.150_Daily_Delinquency_With_Sectors[[#This Row],[Outstanding Balance]],0)</f>
        <v>0</v>
      </c>
      <c r="U538" s="109">
        <f>IF(Table__192.168.1.150_Daily_Delinquency_With_Sectors[[#This Row],[Days in Arrears]] &gt;= 1,1,0)</f>
        <v>0</v>
      </c>
      <c r="V538" s="109">
        <f>IF(Table__192.168.1.150_Daily_Delinquency_With_Sectors[[#This Row],[Days in Arrears]] &gt; 30,1,0)</f>
        <v>0</v>
      </c>
      <c r="W538" s="109">
        <f>IF(Table__192.168.1.150_Daily_Delinquency_With_Sectors[[#This Row],[Days in Arrears]] &gt; 90,1,0)</f>
        <v>0</v>
      </c>
    </row>
    <row r="539" spans="1:23" x14ac:dyDescent="0.25">
      <c r="A539" t="s">
        <v>5103</v>
      </c>
      <c r="B539" t="s">
        <v>1281</v>
      </c>
      <c r="C539">
        <v>-7</v>
      </c>
      <c r="D539" s="105">
        <v>15834211.49</v>
      </c>
      <c r="E539" t="s">
        <v>963</v>
      </c>
      <c r="F539" s="105">
        <v>406411.43</v>
      </c>
      <c r="G539" s="105">
        <v>18732094.629999999</v>
      </c>
      <c r="H539" s="143">
        <v>42942.4851346875</v>
      </c>
      <c r="I539" s="143">
        <v>43313</v>
      </c>
      <c r="J539" t="s">
        <v>5104</v>
      </c>
      <c r="K539" t="s">
        <v>5105</v>
      </c>
      <c r="L539" t="s">
        <v>1280</v>
      </c>
      <c r="M539">
        <v>103269</v>
      </c>
      <c r="N539" t="s">
        <v>5102</v>
      </c>
      <c r="O539" t="s">
        <v>25</v>
      </c>
      <c r="P539" t="s">
        <v>88</v>
      </c>
      <c r="Q539" t="s">
        <v>285</v>
      </c>
      <c r="R539" s="105">
        <f>IF(Table__192.168.1.150_Daily_Delinquency_With_Sectors[[#This Row],[Days in Arrears]] &gt; 0, Table__192.168.1.150_Daily_Delinquency_With_Sectors[[#This Row],[Outstanding Balance]],0)</f>
        <v>0</v>
      </c>
      <c r="S539" s="105">
        <f>IF(Table__192.168.1.150_Daily_Delinquency_With_Sectors[[#This Row],[Days in Arrears]] &gt; 30, Table__192.168.1.150_Daily_Delinquency_With_Sectors[[#This Row],[Outstanding Balance]],0)</f>
        <v>0</v>
      </c>
      <c r="T539" s="105">
        <f>IF(Table__192.168.1.150_Daily_Delinquency_With_Sectors[[#This Row],[Days in Arrears]] &gt; 90, Table__192.168.1.150_Daily_Delinquency_With_Sectors[[#This Row],[Outstanding Balance]],0)</f>
        <v>0</v>
      </c>
      <c r="U539" s="109">
        <f>IF(Table__192.168.1.150_Daily_Delinquency_With_Sectors[[#This Row],[Days in Arrears]] &gt;= 1,1,0)</f>
        <v>0</v>
      </c>
      <c r="V539" s="109">
        <f>IF(Table__192.168.1.150_Daily_Delinquency_With_Sectors[[#This Row],[Days in Arrears]] &gt; 30,1,0)</f>
        <v>0</v>
      </c>
      <c r="W539" s="109">
        <f>IF(Table__192.168.1.150_Daily_Delinquency_With_Sectors[[#This Row],[Days in Arrears]] &gt; 90,1,0)</f>
        <v>0</v>
      </c>
    </row>
    <row r="540" spans="1:23" x14ac:dyDescent="0.25">
      <c r="A540" t="s">
        <v>1336</v>
      </c>
      <c r="B540" t="s">
        <v>1282</v>
      </c>
      <c r="C540">
        <v>63</v>
      </c>
      <c r="D540" s="105">
        <v>11692958.02</v>
      </c>
      <c r="E540" t="s">
        <v>1191</v>
      </c>
      <c r="F540" s="105">
        <v>936925.24</v>
      </c>
      <c r="G540" s="105">
        <v>18101965.350000001</v>
      </c>
      <c r="H540" s="143">
        <v>42937.715785185188</v>
      </c>
      <c r="I540" s="143">
        <v>43667</v>
      </c>
      <c r="J540" t="s">
        <v>1337</v>
      </c>
      <c r="K540" t="s">
        <v>1280</v>
      </c>
      <c r="L540" t="s">
        <v>1280</v>
      </c>
      <c r="M540">
        <v>103270</v>
      </c>
      <c r="N540" t="s">
        <v>935</v>
      </c>
      <c r="O540" t="s">
        <v>25</v>
      </c>
      <c r="P540" t="s">
        <v>88</v>
      </c>
      <c r="Q540" t="s">
        <v>285</v>
      </c>
      <c r="R540" s="105">
        <f>IF(Table__192.168.1.150_Daily_Delinquency_With_Sectors[[#This Row],[Days in Arrears]] &gt; 0, Table__192.168.1.150_Daily_Delinquency_With_Sectors[[#This Row],[Outstanding Balance]],0)</f>
        <v>11692958.02</v>
      </c>
      <c r="S540" s="105">
        <f>IF(Table__192.168.1.150_Daily_Delinquency_With_Sectors[[#This Row],[Days in Arrears]] &gt; 30, Table__192.168.1.150_Daily_Delinquency_With_Sectors[[#This Row],[Outstanding Balance]],0)</f>
        <v>11692958.02</v>
      </c>
      <c r="T540" s="105">
        <f>IF(Table__192.168.1.150_Daily_Delinquency_With_Sectors[[#This Row],[Days in Arrears]] &gt; 90, Table__192.168.1.150_Daily_Delinquency_With_Sectors[[#This Row],[Outstanding Balance]],0)</f>
        <v>0</v>
      </c>
      <c r="U540" s="109">
        <f>IF(Table__192.168.1.150_Daily_Delinquency_With_Sectors[[#This Row],[Days in Arrears]] &gt;= 1,1,0)</f>
        <v>1</v>
      </c>
      <c r="V540" s="109">
        <f>IF(Table__192.168.1.150_Daily_Delinquency_With_Sectors[[#This Row],[Days in Arrears]] &gt; 30,1,0)</f>
        <v>1</v>
      </c>
      <c r="W540" s="109">
        <f>IF(Table__192.168.1.150_Daily_Delinquency_With_Sectors[[#This Row],[Days in Arrears]] &gt; 90,1,0)</f>
        <v>0</v>
      </c>
    </row>
    <row r="541" spans="1:23" x14ac:dyDescent="0.25">
      <c r="A541" t="s">
        <v>5067</v>
      </c>
      <c r="B541" t="s">
        <v>1282</v>
      </c>
      <c r="C541">
        <v>3</v>
      </c>
      <c r="D541" s="105">
        <v>6655628.54</v>
      </c>
      <c r="E541" t="s">
        <v>1667</v>
      </c>
      <c r="F541" s="105">
        <v>315820.39</v>
      </c>
      <c r="G541" s="105">
        <v>7580482.6799999997</v>
      </c>
      <c r="H541" s="143">
        <v>42937.581503587964</v>
      </c>
      <c r="I541" s="143">
        <v>43180</v>
      </c>
      <c r="J541" t="s">
        <v>5068</v>
      </c>
      <c r="K541" t="s">
        <v>1280</v>
      </c>
      <c r="L541" t="s">
        <v>1280</v>
      </c>
      <c r="M541">
        <v>103271</v>
      </c>
      <c r="N541" t="s">
        <v>5063</v>
      </c>
      <c r="O541" t="s">
        <v>27</v>
      </c>
      <c r="P541" t="s">
        <v>26</v>
      </c>
      <c r="Q541" t="s">
        <v>26</v>
      </c>
      <c r="R541" s="105">
        <f>IF(Table__192.168.1.150_Daily_Delinquency_With_Sectors[[#This Row],[Days in Arrears]] &gt; 0, Table__192.168.1.150_Daily_Delinquency_With_Sectors[[#This Row],[Outstanding Balance]],0)</f>
        <v>6655628.54</v>
      </c>
      <c r="S541" s="105">
        <f>IF(Table__192.168.1.150_Daily_Delinquency_With_Sectors[[#This Row],[Days in Arrears]] &gt; 30, Table__192.168.1.150_Daily_Delinquency_With_Sectors[[#This Row],[Outstanding Balance]],0)</f>
        <v>0</v>
      </c>
      <c r="T541" s="105">
        <f>IF(Table__192.168.1.150_Daily_Delinquency_With_Sectors[[#This Row],[Days in Arrears]] &gt; 90, Table__192.168.1.150_Daily_Delinquency_With_Sectors[[#This Row],[Outstanding Balance]],0)</f>
        <v>0</v>
      </c>
      <c r="U541" s="109">
        <f>IF(Table__192.168.1.150_Daily_Delinquency_With_Sectors[[#This Row],[Days in Arrears]] &gt;= 1,1,0)</f>
        <v>1</v>
      </c>
      <c r="V541" s="109">
        <f>IF(Table__192.168.1.150_Daily_Delinquency_With_Sectors[[#This Row],[Days in Arrears]] &gt; 30,1,0)</f>
        <v>0</v>
      </c>
      <c r="W541" s="109">
        <f>IF(Table__192.168.1.150_Daily_Delinquency_With_Sectors[[#This Row],[Days in Arrears]] &gt; 90,1,0)</f>
        <v>0</v>
      </c>
    </row>
    <row r="542" spans="1:23" x14ac:dyDescent="0.25">
      <c r="A542" t="s">
        <v>5069</v>
      </c>
      <c r="B542" t="s">
        <v>1282</v>
      </c>
      <c r="C542">
        <v>-27</v>
      </c>
      <c r="D542" s="105">
        <v>5786765.4800000004</v>
      </c>
      <c r="E542" t="s">
        <v>491</v>
      </c>
      <c r="F542" s="105">
        <v>17360.3</v>
      </c>
      <c r="G542" s="105">
        <v>7018636.0800000001</v>
      </c>
      <c r="H542" s="143">
        <v>42937.69081940972</v>
      </c>
      <c r="I542" s="143">
        <v>43302</v>
      </c>
      <c r="J542" t="s">
        <v>5070</v>
      </c>
      <c r="K542" t="s">
        <v>5071</v>
      </c>
      <c r="L542" t="s">
        <v>1280</v>
      </c>
      <c r="M542">
        <v>103272</v>
      </c>
      <c r="N542" t="s">
        <v>5064</v>
      </c>
      <c r="O542" t="s">
        <v>25</v>
      </c>
      <c r="P542" t="s">
        <v>26</v>
      </c>
      <c r="Q542" t="s">
        <v>26</v>
      </c>
      <c r="R542" s="105">
        <f>IF(Table__192.168.1.150_Daily_Delinquency_With_Sectors[[#This Row],[Days in Arrears]] &gt; 0, Table__192.168.1.150_Daily_Delinquency_With_Sectors[[#This Row],[Outstanding Balance]],0)</f>
        <v>0</v>
      </c>
      <c r="S542" s="105">
        <f>IF(Table__192.168.1.150_Daily_Delinquency_With_Sectors[[#This Row],[Days in Arrears]] &gt; 30, Table__192.168.1.150_Daily_Delinquency_With_Sectors[[#This Row],[Outstanding Balance]],0)</f>
        <v>0</v>
      </c>
      <c r="T542" s="105">
        <f>IF(Table__192.168.1.150_Daily_Delinquency_With_Sectors[[#This Row],[Days in Arrears]] &gt; 90, Table__192.168.1.150_Daily_Delinquency_With_Sectors[[#This Row],[Outstanding Balance]],0)</f>
        <v>0</v>
      </c>
      <c r="U542" s="109">
        <f>IF(Table__192.168.1.150_Daily_Delinquency_With_Sectors[[#This Row],[Days in Arrears]] &gt;= 1,1,0)</f>
        <v>0</v>
      </c>
      <c r="V542" s="109">
        <f>IF(Table__192.168.1.150_Daily_Delinquency_With_Sectors[[#This Row],[Days in Arrears]] &gt; 30,1,0)</f>
        <v>0</v>
      </c>
      <c r="W542" s="109">
        <f>IF(Table__192.168.1.150_Daily_Delinquency_With_Sectors[[#This Row],[Days in Arrears]] &gt; 90,1,0)</f>
        <v>0</v>
      </c>
    </row>
    <row r="543" spans="1:23" x14ac:dyDescent="0.25">
      <c r="A543" t="s">
        <v>563</v>
      </c>
      <c r="B543" t="s">
        <v>1282</v>
      </c>
      <c r="C543">
        <v>0</v>
      </c>
      <c r="D543" s="105">
        <v>10299259.609999999</v>
      </c>
      <c r="E543" t="s">
        <v>4684</v>
      </c>
      <c r="F543" s="105">
        <v>398238.04</v>
      </c>
      <c r="G543" s="105">
        <v>12466604.23</v>
      </c>
      <c r="H543" s="143">
        <v>42940.558297488424</v>
      </c>
      <c r="I543" s="143">
        <v>43305</v>
      </c>
      <c r="J543" t="s">
        <v>564</v>
      </c>
      <c r="K543" t="s">
        <v>565</v>
      </c>
      <c r="L543" t="s">
        <v>1280</v>
      </c>
      <c r="M543">
        <v>103273</v>
      </c>
      <c r="N543" t="s">
        <v>562</v>
      </c>
      <c r="O543" t="s">
        <v>25</v>
      </c>
      <c r="P543" t="s">
        <v>88</v>
      </c>
      <c r="Q543" t="s">
        <v>285</v>
      </c>
      <c r="R543" s="105">
        <f>IF(Table__192.168.1.150_Daily_Delinquency_With_Sectors[[#This Row],[Days in Arrears]] &gt; 0, Table__192.168.1.150_Daily_Delinquency_With_Sectors[[#This Row],[Outstanding Balance]],0)</f>
        <v>0</v>
      </c>
      <c r="S543" s="105">
        <f>IF(Table__192.168.1.150_Daily_Delinquency_With_Sectors[[#This Row],[Days in Arrears]] &gt; 30, Table__192.168.1.150_Daily_Delinquency_With_Sectors[[#This Row],[Outstanding Balance]],0)</f>
        <v>0</v>
      </c>
      <c r="T543" s="105">
        <f>IF(Table__192.168.1.150_Daily_Delinquency_With_Sectors[[#This Row],[Days in Arrears]] &gt; 90, Table__192.168.1.150_Daily_Delinquency_With_Sectors[[#This Row],[Outstanding Balance]],0)</f>
        <v>0</v>
      </c>
      <c r="U543" s="109">
        <f>IF(Table__192.168.1.150_Daily_Delinquency_With_Sectors[[#This Row],[Days in Arrears]] &gt;= 1,1,0)</f>
        <v>0</v>
      </c>
      <c r="V543" s="109">
        <f>IF(Table__192.168.1.150_Daily_Delinquency_With_Sectors[[#This Row],[Days in Arrears]] &gt; 30,1,0)</f>
        <v>0</v>
      </c>
      <c r="W543" s="109">
        <f>IF(Table__192.168.1.150_Daily_Delinquency_With_Sectors[[#This Row],[Days in Arrears]] &gt; 90,1,0)</f>
        <v>0</v>
      </c>
    </row>
    <row r="544" spans="1:23" x14ac:dyDescent="0.25">
      <c r="A544" t="s">
        <v>5118</v>
      </c>
      <c r="B544" t="s">
        <v>1279</v>
      </c>
      <c r="C544">
        <v>23</v>
      </c>
      <c r="D544" s="105">
        <v>698538.86</v>
      </c>
      <c r="E544" t="s">
        <v>1191</v>
      </c>
      <c r="F544" s="105">
        <v>49097.82</v>
      </c>
      <c r="G544" s="105">
        <v>778853.08</v>
      </c>
      <c r="H544" s="143">
        <v>42944.603416516205</v>
      </c>
      <c r="I544" s="143">
        <v>43132</v>
      </c>
      <c r="J544" t="s">
        <v>5119</v>
      </c>
      <c r="K544" t="s">
        <v>1280</v>
      </c>
      <c r="L544" t="s">
        <v>1280</v>
      </c>
      <c r="M544">
        <v>103274</v>
      </c>
      <c r="N544" t="s">
        <v>5117</v>
      </c>
      <c r="O544" t="s">
        <v>25</v>
      </c>
      <c r="P544" t="s">
        <v>88</v>
      </c>
      <c r="Q544" t="s">
        <v>26</v>
      </c>
      <c r="R544" s="105">
        <f>IF(Table__192.168.1.150_Daily_Delinquency_With_Sectors[[#This Row],[Days in Arrears]] &gt; 0, Table__192.168.1.150_Daily_Delinquency_With_Sectors[[#This Row],[Outstanding Balance]],0)</f>
        <v>698538.86</v>
      </c>
      <c r="S544" s="105">
        <f>IF(Table__192.168.1.150_Daily_Delinquency_With_Sectors[[#This Row],[Days in Arrears]] &gt; 30, Table__192.168.1.150_Daily_Delinquency_With_Sectors[[#This Row],[Outstanding Balance]],0)</f>
        <v>0</v>
      </c>
      <c r="T544" s="105">
        <f>IF(Table__192.168.1.150_Daily_Delinquency_With_Sectors[[#This Row],[Days in Arrears]] &gt; 90, Table__192.168.1.150_Daily_Delinquency_With_Sectors[[#This Row],[Outstanding Balance]],0)</f>
        <v>0</v>
      </c>
      <c r="U544" s="109">
        <f>IF(Table__192.168.1.150_Daily_Delinquency_With_Sectors[[#This Row],[Days in Arrears]] &gt;= 1,1,0)</f>
        <v>1</v>
      </c>
      <c r="V544" s="109">
        <f>IF(Table__192.168.1.150_Daily_Delinquency_With_Sectors[[#This Row],[Days in Arrears]] &gt; 30,1,0)</f>
        <v>0</v>
      </c>
      <c r="W544" s="109">
        <f>IF(Table__192.168.1.150_Daily_Delinquency_With_Sectors[[#This Row],[Days in Arrears]] &gt; 90,1,0)</f>
        <v>0</v>
      </c>
    </row>
    <row r="545" spans="1:23" x14ac:dyDescent="0.25">
      <c r="A545" t="s">
        <v>2772</v>
      </c>
      <c r="B545" t="s">
        <v>1282</v>
      </c>
      <c r="C545">
        <v>-7</v>
      </c>
      <c r="D545" s="105">
        <v>11944703.43</v>
      </c>
      <c r="E545" t="s">
        <v>1191</v>
      </c>
      <c r="F545" s="105">
        <v>350377.97</v>
      </c>
      <c r="G545" s="105">
        <v>14458310.210000001</v>
      </c>
      <c r="H545" s="143">
        <v>42943.421116435187</v>
      </c>
      <c r="I545" s="143">
        <v>43313</v>
      </c>
      <c r="J545" t="s">
        <v>2773</v>
      </c>
      <c r="K545" t="s">
        <v>1280</v>
      </c>
      <c r="L545" t="s">
        <v>1280</v>
      </c>
      <c r="M545">
        <v>103275</v>
      </c>
      <c r="N545" t="s">
        <v>2770</v>
      </c>
      <c r="O545" t="s">
        <v>27</v>
      </c>
      <c r="P545" t="s">
        <v>81</v>
      </c>
      <c r="Q545" t="s">
        <v>26</v>
      </c>
      <c r="R545" s="105">
        <f>IF(Table__192.168.1.150_Daily_Delinquency_With_Sectors[[#This Row],[Days in Arrears]] &gt; 0, Table__192.168.1.150_Daily_Delinquency_With_Sectors[[#This Row],[Outstanding Balance]],0)</f>
        <v>0</v>
      </c>
      <c r="S545" s="105">
        <f>IF(Table__192.168.1.150_Daily_Delinquency_With_Sectors[[#This Row],[Days in Arrears]] &gt; 30, Table__192.168.1.150_Daily_Delinquency_With_Sectors[[#This Row],[Outstanding Balance]],0)</f>
        <v>0</v>
      </c>
      <c r="T545" s="105">
        <f>IF(Table__192.168.1.150_Daily_Delinquency_With_Sectors[[#This Row],[Days in Arrears]] &gt; 90, Table__192.168.1.150_Daily_Delinquency_With_Sectors[[#This Row],[Outstanding Balance]],0)</f>
        <v>0</v>
      </c>
      <c r="U545" s="109">
        <f>IF(Table__192.168.1.150_Daily_Delinquency_With_Sectors[[#This Row],[Days in Arrears]] &gt;= 1,1,0)</f>
        <v>0</v>
      </c>
      <c r="V545" s="109">
        <f>IF(Table__192.168.1.150_Daily_Delinquency_With_Sectors[[#This Row],[Days in Arrears]] &gt; 30,1,0)</f>
        <v>0</v>
      </c>
      <c r="W545" s="109">
        <f>IF(Table__192.168.1.150_Daily_Delinquency_With_Sectors[[#This Row],[Days in Arrears]] &gt; 90,1,0)</f>
        <v>0</v>
      </c>
    </row>
    <row r="546" spans="1:23" x14ac:dyDescent="0.25">
      <c r="A546" t="s">
        <v>5111</v>
      </c>
      <c r="B546" t="s">
        <v>1866</v>
      </c>
      <c r="C546">
        <v>-7</v>
      </c>
      <c r="D546" s="105">
        <v>4473194.5199999996</v>
      </c>
      <c r="E546" t="s">
        <v>5124</v>
      </c>
      <c r="F546" s="105">
        <v>136680.94</v>
      </c>
      <c r="G546" s="105">
        <v>5249118.8899999997</v>
      </c>
      <c r="H546" s="143">
        <v>42943.604014502314</v>
      </c>
      <c r="I546" s="143">
        <v>43252</v>
      </c>
      <c r="J546" t="s">
        <v>5112</v>
      </c>
      <c r="K546" t="s">
        <v>1280</v>
      </c>
      <c r="L546" t="s">
        <v>1280</v>
      </c>
      <c r="M546">
        <v>103276</v>
      </c>
      <c r="N546" t="s">
        <v>5110</v>
      </c>
      <c r="O546" t="s">
        <v>25</v>
      </c>
      <c r="P546" t="s">
        <v>88</v>
      </c>
      <c r="Q546" t="s">
        <v>285</v>
      </c>
      <c r="R546" s="105">
        <f>IF(Table__192.168.1.150_Daily_Delinquency_With_Sectors[[#This Row],[Days in Arrears]] &gt; 0, Table__192.168.1.150_Daily_Delinquency_With_Sectors[[#This Row],[Outstanding Balance]],0)</f>
        <v>0</v>
      </c>
      <c r="S546" s="105">
        <f>IF(Table__192.168.1.150_Daily_Delinquency_With_Sectors[[#This Row],[Days in Arrears]] &gt; 30, Table__192.168.1.150_Daily_Delinquency_With_Sectors[[#This Row],[Outstanding Balance]],0)</f>
        <v>0</v>
      </c>
      <c r="T546" s="105">
        <f>IF(Table__192.168.1.150_Daily_Delinquency_With_Sectors[[#This Row],[Days in Arrears]] &gt; 90, Table__192.168.1.150_Daily_Delinquency_With_Sectors[[#This Row],[Outstanding Balance]],0)</f>
        <v>0</v>
      </c>
      <c r="U546" s="109">
        <f>IF(Table__192.168.1.150_Daily_Delinquency_With_Sectors[[#This Row],[Days in Arrears]] &gt;= 1,1,0)</f>
        <v>0</v>
      </c>
      <c r="V546" s="109">
        <f>IF(Table__192.168.1.150_Daily_Delinquency_With_Sectors[[#This Row],[Days in Arrears]] &gt; 30,1,0)</f>
        <v>0</v>
      </c>
      <c r="W546" s="109">
        <f>IF(Table__192.168.1.150_Daily_Delinquency_With_Sectors[[#This Row],[Days in Arrears]] &gt; 90,1,0)</f>
        <v>0</v>
      </c>
    </row>
    <row r="547" spans="1:23" x14ac:dyDescent="0.25">
      <c r="A547" t="s">
        <v>1551</v>
      </c>
      <c r="B547" t="s">
        <v>1281</v>
      </c>
      <c r="C547">
        <v>-7</v>
      </c>
      <c r="D547" s="105">
        <v>19704021.75</v>
      </c>
      <c r="E547" t="s">
        <v>5167</v>
      </c>
      <c r="F547" s="105">
        <v>505736.56</v>
      </c>
      <c r="G547" s="105">
        <v>23310134.489999998</v>
      </c>
      <c r="H547" s="143">
        <v>42947.694353125</v>
      </c>
      <c r="I547" s="143">
        <v>43313</v>
      </c>
      <c r="J547" t="s">
        <v>1552</v>
      </c>
      <c r="K547" t="s">
        <v>1280</v>
      </c>
      <c r="L547" t="s">
        <v>1280</v>
      </c>
      <c r="M547">
        <v>103277</v>
      </c>
      <c r="N547" t="s">
        <v>1541</v>
      </c>
      <c r="O547" t="s">
        <v>44</v>
      </c>
      <c r="P547" t="s">
        <v>92</v>
      </c>
      <c r="Q547" t="s">
        <v>92</v>
      </c>
      <c r="R547" s="105">
        <f>IF(Table__192.168.1.150_Daily_Delinquency_With_Sectors[[#This Row],[Days in Arrears]] &gt; 0, Table__192.168.1.150_Daily_Delinquency_With_Sectors[[#This Row],[Outstanding Balance]],0)</f>
        <v>0</v>
      </c>
      <c r="S547" s="105">
        <f>IF(Table__192.168.1.150_Daily_Delinquency_With_Sectors[[#This Row],[Days in Arrears]] &gt; 30, Table__192.168.1.150_Daily_Delinquency_With_Sectors[[#This Row],[Outstanding Balance]],0)</f>
        <v>0</v>
      </c>
      <c r="T547" s="105">
        <f>IF(Table__192.168.1.150_Daily_Delinquency_With_Sectors[[#This Row],[Days in Arrears]] &gt; 90, Table__192.168.1.150_Daily_Delinquency_With_Sectors[[#This Row],[Outstanding Balance]],0)</f>
        <v>0</v>
      </c>
      <c r="U547" s="109">
        <f>IF(Table__192.168.1.150_Daily_Delinquency_With_Sectors[[#This Row],[Days in Arrears]] &gt;= 1,1,0)</f>
        <v>0</v>
      </c>
      <c r="V547" s="109">
        <f>IF(Table__192.168.1.150_Daily_Delinquency_With_Sectors[[#This Row],[Days in Arrears]] &gt; 30,1,0)</f>
        <v>0</v>
      </c>
      <c r="W547" s="109">
        <f>IF(Table__192.168.1.150_Daily_Delinquency_With_Sectors[[#This Row],[Days in Arrears]] &gt; 90,1,0)</f>
        <v>0</v>
      </c>
    </row>
    <row r="548" spans="1:23" x14ac:dyDescent="0.25">
      <c r="A548" t="s">
        <v>5128</v>
      </c>
      <c r="B548" t="s">
        <v>1279</v>
      </c>
      <c r="C548">
        <v>23</v>
      </c>
      <c r="D548" s="105">
        <v>1010568.19</v>
      </c>
      <c r="E548" t="s">
        <v>5124</v>
      </c>
      <c r="F548" s="105">
        <v>32992.65</v>
      </c>
      <c r="G548" s="105">
        <v>1149495.46</v>
      </c>
      <c r="H548" s="143">
        <v>42947.548754085648</v>
      </c>
      <c r="I548" s="143">
        <v>43191</v>
      </c>
      <c r="J548" t="s">
        <v>5129</v>
      </c>
      <c r="K548" t="s">
        <v>1280</v>
      </c>
      <c r="L548" t="s">
        <v>1280</v>
      </c>
      <c r="M548">
        <v>103278</v>
      </c>
      <c r="N548" t="s">
        <v>5123</v>
      </c>
      <c r="O548" t="s">
        <v>25</v>
      </c>
      <c r="P548" t="s">
        <v>88</v>
      </c>
      <c r="Q548" t="s">
        <v>285</v>
      </c>
      <c r="R548" s="105">
        <f>IF(Table__192.168.1.150_Daily_Delinquency_With_Sectors[[#This Row],[Days in Arrears]] &gt; 0, Table__192.168.1.150_Daily_Delinquency_With_Sectors[[#This Row],[Outstanding Balance]],0)</f>
        <v>1010568.19</v>
      </c>
      <c r="S548" s="105">
        <f>IF(Table__192.168.1.150_Daily_Delinquency_With_Sectors[[#This Row],[Days in Arrears]] &gt; 30, Table__192.168.1.150_Daily_Delinquency_With_Sectors[[#This Row],[Outstanding Balance]],0)</f>
        <v>0</v>
      </c>
      <c r="T548" s="105">
        <f>IF(Table__192.168.1.150_Daily_Delinquency_With_Sectors[[#This Row],[Days in Arrears]] &gt; 90, Table__192.168.1.150_Daily_Delinquency_With_Sectors[[#This Row],[Outstanding Balance]],0)</f>
        <v>0</v>
      </c>
      <c r="U548" s="109">
        <f>IF(Table__192.168.1.150_Daily_Delinquency_With_Sectors[[#This Row],[Days in Arrears]] &gt;= 1,1,0)</f>
        <v>1</v>
      </c>
      <c r="V548" s="109">
        <f>IF(Table__192.168.1.150_Daily_Delinquency_With_Sectors[[#This Row],[Days in Arrears]] &gt; 30,1,0)</f>
        <v>0</v>
      </c>
      <c r="W548" s="109">
        <f>IF(Table__192.168.1.150_Daily_Delinquency_With_Sectors[[#This Row],[Days in Arrears]] &gt; 90,1,0)</f>
        <v>0</v>
      </c>
    </row>
    <row r="549" spans="1:23" x14ac:dyDescent="0.25">
      <c r="A549" t="s">
        <v>5130</v>
      </c>
      <c r="B549" t="s">
        <v>1282</v>
      </c>
      <c r="C549">
        <v>-7</v>
      </c>
      <c r="D549" s="105">
        <v>3991423.86</v>
      </c>
      <c r="E549" t="s">
        <v>4683</v>
      </c>
      <c r="F549" s="105">
        <v>131716.99</v>
      </c>
      <c r="G549" s="105">
        <v>4942062.1900000004</v>
      </c>
      <c r="H549" s="143">
        <v>42947.689028935187</v>
      </c>
      <c r="I549" s="143">
        <v>43313</v>
      </c>
      <c r="J549" t="s">
        <v>5131</v>
      </c>
      <c r="K549" t="s">
        <v>1280</v>
      </c>
      <c r="L549" t="s">
        <v>1280</v>
      </c>
      <c r="M549">
        <v>103279</v>
      </c>
      <c r="N549" t="s">
        <v>5122</v>
      </c>
      <c r="O549" t="s">
        <v>36</v>
      </c>
      <c r="P549" t="s">
        <v>118</v>
      </c>
      <c r="Q549" t="s">
        <v>119</v>
      </c>
      <c r="R549" s="105">
        <f>IF(Table__192.168.1.150_Daily_Delinquency_With_Sectors[[#This Row],[Days in Arrears]] &gt; 0, Table__192.168.1.150_Daily_Delinquency_With_Sectors[[#This Row],[Outstanding Balance]],0)</f>
        <v>0</v>
      </c>
      <c r="S549" s="105">
        <f>IF(Table__192.168.1.150_Daily_Delinquency_With_Sectors[[#This Row],[Days in Arrears]] &gt; 30, Table__192.168.1.150_Daily_Delinquency_With_Sectors[[#This Row],[Outstanding Balance]],0)</f>
        <v>0</v>
      </c>
      <c r="T549" s="105">
        <f>IF(Table__192.168.1.150_Daily_Delinquency_With_Sectors[[#This Row],[Days in Arrears]] &gt; 90, Table__192.168.1.150_Daily_Delinquency_With_Sectors[[#This Row],[Outstanding Balance]],0)</f>
        <v>0</v>
      </c>
      <c r="U549" s="109">
        <f>IF(Table__192.168.1.150_Daily_Delinquency_With_Sectors[[#This Row],[Days in Arrears]] &gt;= 1,1,0)</f>
        <v>0</v>
      </c>
      <c r="V549" s="109">
        <f>IF(Table__192.168.1.150_Daily_Delinquency_With_Sectors[[#This Row],[Days in Arrears]] &gt; 30,1,0)</f>
        <v>0</v>
      </c>
      <c r="W549" s="109">
        <f>IF(Table__192.168.1.150_Daily_Delinquency_With_Sectors[[#This Row],[Days in Arrears]] &gt; 90,1,0)</f>
        <v>0</v>
      </c>
    </row>
    <row r="550" spans="1:23" x14ac:dyDescent="0.25">
      <c r="A550" t="s">
        <v>5132</v>
      </c>
      <c r="B550" t="s">
        <v>1281</v>
      </c>
      <c r="C550">
        <v>53</v>
      </c>
      <c r="D550" s="105">
        <v>25509805.93</v>
      </c>
      <c r="E550" t="s">
        <v>2175</v>
      </c>
      <c r="F550" s="105">
        <v>1845861.48</v>
      </c>
      <c r="G550" s="105">
        <v>28650970.359999999</v>
      </c>
      <c r="H550" s="143">
        <v>42947.675540972225</v>
      </c>
      <c r="I550" s="143">
        <v>43132</v>
      </c>
      <c r="J550" t="s">
        <v>5133</v>
      </c>
      <c r="K550" t="s">
        <v>5134</v>
      </c>
      <c r="L550" t="s">
        <v>1280</v>
      </c>
      <c r="M550">
        <v>103280</v>
      </c>
      <c r="N550" t="s">
        <v>5125</v>
      </c>
      <c r="O550" t="s">
        <v>25</v>
      </c>
      <c r="P550" t="s">
        <v>88</v>
      </c>
      <c r="Q550" t="s">
        <v>285</v>
      </c>
      <c r="R550" s="105">
        <f>IF(Table__192.168.1.150_Daily_Delinquency_With_Sectors[[#This Row],[Days in Arrears]] &gt; 0, Table__192.168.1.150_Daily_Delinquency_With_Sectors[[#This Row],[Outstanding Balance]],0)</f>
        <v>25509805.93</v>
      </c>
      <c r="S550" s="105">
        <f>IF(Table__192.168.1.150_Daily_Delinquency_With_Sectors[[#This Row],[Days in Arrears]] &gt; 30, Table__192.168.1.150_Daily_Delinquency_With_Sectors[[#This Row],[Outstanding Balance]],0)</f>
        <v>25509805.93</v>
      </c>
      <c r="T550" s="105">
        <f>IF(Table__192.168.1.150_Daily_Delinquency_With_Sectors[[#This Row],[Days in Arrears]] &gt; 90, Table__192.168.1.150_Daily_Delinquency_With_Sectors[[#This Row],[Outstanding Balance]],0)</f>
        <v>0</v>
      </c>
      <c r="U550" s="109">
        <f>IF(Table__192.168.1.150_Daily_Delinquency_With_Sectors[[#This Row],[Days in Arrears]] &gt;= 1,1,0)</f>
        <v>1</v>
      </c>
      <c r="V550" s="109">
        <f>IF(Table__192.168.1.150_Daily_Delinquency_With_Sectors[[#This Row],[Days in Arrears]] &gt; 30,1,0)</f>
        <v>1</v>
      </c>
      <c r="W550" s="109">
        <f>IF(Table__192.168.1.150_Daily_Delinquency_With_Sectors[[#This Row],[Days in Arrears]] &gt; 90,1,0)</f>
        <v>0</v>
      </c>
    </row>
    <row r="551" spans="1:23" x14ac:dyDescent="0.25">
      <c r="A551" t="s">
        <v>5144</v>
      </c>
      <c r="B551" t="s">
        <v>1282</v>
      </c>
      <c r="C551">
        <v>-9</v>
      </c>
      <c r="D551" s="105">
        <v>3723563.01</v>
      </c>
      <c r="E551" t="s">
        <v>2175</v>
      </c>
      <c r="F551" s="105">
        <v>111706.89</v>
      </c>
      <c r="G551" s="105">
        <v>4423258.78</v>
      </c>
      <c r="H551" s="143">
        <v>42950.703443483799</v>
      </c>
      <c r="I551" s="143">
        <v>43254</v>
      </c>
      <c r="J551" t="s">
        <v>5145</v>
      </c>
      <c r="K551" t="s">
        <v>1280</v>
      </c>
      <c r="L551" t="s">
        <v>1280</v>
      </c>
      <c r="M551">
        <v>103281</v>
      </c>
      <c r="N551" t="s">
        <v>5142</v>
      </c>
      <c r="O551" t="s">
        <v>27</v>
      </c>
      <c r="P551" t="s">
        <v>116</v>
      </c>
      <c r="Q551" t="s">
        <v>1825</v>
      </c>
      <c r="R551" s="105">
        <f>IF(Table__192.168.1.150_Daily_Delinquency_With_Sectors[[#This Row],[Days in Arrears]] &gt; 0, Table__192.168.1.150_Daily_Delinquency_With_Sectors[[#This Row],[Outstanding Balance]],0)</f>
        <v>0</v>
      </c>
      <c r="S551" s="105">
        <f>IF(Table__192.168.1.150_Daily_Delinquency_With_Sectors[[#This Row],[Days in Arrears]] &gt; 30, Table__192.168.1.150_Daily_Delinquency_With_Sectors[[#This Row],[Outstanding Balance]],0)</f>
        <v>0</v>
      </c>
      <c r="T551" s="105">
        <f>IF(Table__192.168.1.150_Daily_Delinquency_With_Sectors[[#This Row],[Days in Arrears]] &gt; 90, Table__192.168.1.150_Daily_Delinquency_With_Sectors[[#This Row],[Outstanding Balance]],0)</f>
        <v>0</v>
      </c>
      <c r="U551" s="109">
        <f>IF(Table__192.168.1.150_Daily_Delinquency_With_Sectors[[#This Row],[Days in Arrears]] &gt;= 1,1,0)</f>
        <v>0</v>
      </c>
      <c r="V551" s="109">
        <f>IF(Table__192.168.1.150_Daily_Delinquency_With_Sectors[[#This Row],[Days in Arrears]] &gt; 30,1,0)</f>
        <v>0</v>
      </c>
      <c r="W551" s="109">
        <f>IF(Table__192.168.1.150_Daily_Delinquency_With_Sectors[[#This Row],[Days in Arrears]] &gt; 90,1,0)</f>
        <v>0</v>
      </c>
    </row>
    <row r="552" spans="1:23" x14ac:dyDescent="0.25">
      <c r="A552" t="s">
        <v>2793</v>
      </c>
      <c r="B552" t="s">
        <v>1279</v>
      </c>
      <c r="C552">
        <v>20</v>
      </c>
      <c r="D552" s="105">
        <v>1671318.49</v>
      </c>
      <c r="E552" t="s">
        <v>2538</v>
      </c>
      <c r="F552" s="105">
        <v>40233</v>
      </c>
      <c r="G552" s="105">
        <v>1800030.68</v>
      </c>
      <c r="H552" s="143">
        <v>42951.56538148148</v>
      </c>
      <c r="I552" s="143">
        <v>43135</v>
      </c>
      <c r="J552" t="s">
        <v>2794</v>
      </c>
      <c r="K552" t="s">
        <v>1280</v>
      </c>
      <c r="L552" t="s">
        <v>1280</v>
      </c>
      <c r="M552">
        <v>103282</v>
      </c>
      <c r="N552" t="s">
        <v>2789</v>
      </c>
      <c r="O552" t="s">
        <v>25</v>
      </c>
      <c r="P552" t="s">
        <v>88</v>
      </c>
      <c r="Q552" t="s">
        <v>285</v>
      </c>
      <c r="R552" s="105">
        <f>IF(Table__192.168.1.150_Daily_Delinquency_With_Sectors[[#This Row],[Days in Arrears]] &gt; 0, Table__192.168.1.150_Daily_Delinquency_With_Sectors[[#This Row],[Outstanding Balance]],0)</f>
        <v>1671318.49</v>
      </c>
      <c r="S552" s="105">
        <f>IF(Table__192.168.1.150_Daily_Delinquency_With_Sectors[[#This Row],[Days in Arrears]] &gt; 30, Table__192.168.1.150_Daily_Delinquency_With_Sectors[[#This Row],[Outstanding Balance]],0)</f>
        <v>0</v>
      </c>
      <c r="T552" s="105">
        <f>IF(Table__192.168.1.150_Daily_Delinquency_With_Sectors[[#This Row],[Days in Arrears]] &gt; 90, Table__192.168.1.150_Daily_Delinquency_With_Sectors[[#This Row],[Outstanding Balance]],0)</f>
        <v>0</v>
      </c>
      <c r="U552" s="109">
        <f>IF(Table__192.168.1.150_Daily_Delinquency_With_Sectors[[#This Row],[Days in Arrears]] &gt;= 1,1,0)</f>
        <v>1</v>
      </c>
      <c r="V552" s="109">
        <f>IF(Table__192.168.1.150_Daily_Delinquency_With_Sectors[[#This Row],[Days in Arrears]] &gt; 30,1,0)</f>
        <v>0</v>
      </c>
      <c r="W552" s="109">
        <f>IF(Table__192.168.1.150_Daily_Delinquency_With_Sectors[[#This Row],[Days in Arrears]] &gt; 90,1,0)</f>
        <v>0</v>
      </c>
    </row>
    <row r="553" spans="1:23" x14ac:dyDescent="0.25">
      <c r="A553" t="s">
        <v>5146</v>
      </c>
      <c r="B553" t="s">
        <v>1282</v>
      </c>
      <c r="C553">
        <v>-9</v>
      </c>
      <c r="D553" s="105">
        <v>2789991.93</v>
      </c>
      <c r="E553" t="s">
        <v>1039</v>
      </c>
      <c r="F553" s="105">
        <v>83699.759999999995</v>
      </c>
      <c r="G553" s="105">
        <v>3454484.95</v>
      </c>
      <c r="H553" s="143">
        <v>42950.647246643515</v>
      </c>
      <c r="I553" s="143">
        <v>43315</v>
      </c>
      <c r="J553" t="s">
        <v>5147</v>
      </c>
      <c r="K553" t="s">
        <v>1280</v>
      </c>
      <c r="L553" t="s">
        <v>1280</v>
      </c>
      <c r="M553">
        <v>103283</v>
      </c>
      <c r="N553" t="s">
        <v>5141</v>
      </c>
      <c r="O553" t="s">
        <v>25</v>
      </c>
      <c r="P553" t="s">
        <v>88</v>
      </c>
      <c r="Q553" t="s">
        <v>285</v>
      </c>
      <c r="R553" s="105">
        <f>IF(Table__192.168.1.150_Daily_Delinquency_With_Sectors[[#This Row],[Days in Arrears]] &gt; 0, Table__192.168.1.150_Daily_Delinquency_With_Sectors[[#This Row],[Outstanding Balance]],0)</f>
        <v>0</v>
      </c>
      <c r="S553" s="105">
        <f>IF(Table__192.168.1.150_Daily_Delinquency_With_Sectors[[#This Row],[Days in Arrears]] &gt; 30, Table__192.168.1.150_Daily_Delinquency_With_Sectors[[#This Row],[Outstanding Balance]],0)</f>
        <v>0</v>
      </c>
      <c r="T553" s="105">
        <f>IF(Table__192.168.1.150_Daily_Delinquency_With_Sectors[[#This Row],[Days in Arrears]] &gt; 90, Table__192.168.1.150_Daily_Delinquency_With_Sectors[[#This Row],[Outstanding Balance]],0)</f>
        <v>0</v>
      </c>
      <c r="U553" s="109">
        <f>IF(Table__192.168.1.150_Daily_Delinquency_With_Sectors[[#This Row],[Days in Arrears]] &gt;= 1,1,0)</f>
        <v>0</v>
      </c>
      <c r="V553" s="109">
        <f>IF(Table__192.168.1.150_Daily_Delinquency_With_Sectors[[#This Row],[Days in Arrears]] &gt; 30,1,0)</f>
        <v>0</v>
      </c>
      <c r="W553" s="109">
        <f>IF(Table__192.168.1.150_Daily_Delinquency_With_Sectors[[#This Row],[Days in Arrears]] &gt; 90,1,0)</f>
        <v>0</v>
      </c>
    </row>
    <row r="554" spans="1:23" x14ac:dyDescent="0.25">
      <c r="A554" t="s">
        <v>5153</v>
      </c>
      <c r="B554" t="s">
        <v>1286</v>
      </c>
      <c r="C554">
        <v>-27</v>
      </c>
      <c r="D554" s="105">
        <v>789800.11</v>
      </c>
      <c r="E554" t="s">
        <v>284</v>
      </c>
      <c r="F554" s="105">
        <v>1096.94</v>
      </c>
      <c r="G554" s="105">
        <v>814566.18</v>
      </c>
      <c r="H554" s="143">
        <v>42954.633464432867</v>
      </c>
      <c r="I554" s="143">
        <v>43121</v>
      </c>
      <c r="J554" t="s">
        <v>5154</v>
      </c>
      <c r="K554" t="s">
        <v>1280</v>
      </c>
      <c r="L554" t="s">
        <v>1280</v>
      </c>
      <c r="M554">
        <v>103284</v>
      </c>
      <c r="N554" t="s">
        <v>5151</v>
      </c>
      <c r="O554" t="s">
        <v>28</v>
      </c>
      <c r="P554" t="s">
        <v>26</v>
      </c>
      <c r="Q554" t="s">
        <v>26</v>
      </c>
      <c r="R554" s="105">
        <f>IF(Table__192.168.1.150_Daily_Delinquency_With_Sectors[[#This Row],[Days in Arrears]] &gt; 0, Table__192.168.1.150_Daily_Delinquency_With_Sectors[[#This Row],[Outstanding Balance]],0)</f>
        <v>0</v>
      </c>
      <c r="S554" s="105">
        <f>IF(Table__192.168.1.150_Daily_Delinquency_With_Sectors[[#This Row],[Days in Arrears]] &gt; 30, Table__192.168.1.150_Daily_Delinquency_With_Sectors[[#This Row],[Outstanding Balance]],0)</f>
        <v>0</v>
      </c>
      <c r="T554" s="105">
        <f>IF(Table__192.168.1.150_Daily_Delinquency_With_Sectors[[#This Row],[Days in Arrears]] &gt; 90, Table__192.168.1.150_Daily_Delinquency_With_Sectors[[#This Row],[Outstanding Balance]],0)</f>
        <v>0</v>
      </c>
      <c r="U554" s="109">
        <f>IF(Table__192.168.1.150_Daily_Delinquency_With_Sectors[[#This Row],[Days in Arrears]] &gt;= 1,1,0)</f>
        <v>0</v>
      </c>
      <c r="V554" s="109">
        <f>IF(Table__192.168.1.150_Daily_Delinquency_With_Sectors[[#This Row],[Days in Arrears]] &gt; 30,1,0)</f>
        <v>0</v>
      </c>
      <c r="W554" s="109">
        <f>IF(Table__192.168.1.150_Daily_Delinquency_With_Sectors[[#This Row],[Days in Arrears]] &gt; 90,1,0)</f>
        <v>0</v>
      </c>
    </row>
    <row r="555" spans="1:23" x14ac:dyDescent="0.25">
      <c r="A555" t="s">
        <v>5162</v>
      </c>
      <c r="B555" t="s">
        <v>1279</v>
      </c>
      <c r="C555">
        <v>-14</v>
      </c>
      <c r="D555" s="105">
        <v>1865376.7</v>
      </c>
      <c r="E555" t="s">
        <v>5124</v>
      </c>
      <c r="F555" s="105">
        <v>41970.98</v>
      </c>
      <c r="G555" s="105">
        <v>2035723.04</v>
      </c>
      <c r="H555" s="143">
        <v>42955.56868434028</v>
      </c>
      <c r="I555" s="143">
        <v>43139</v>
      </c>
      <c r="J555" t="s">
        <v>5163</v>
      </c>
      <c r="K555" t="s">
        <v>1280</v>
      </c>
      <c r="L555" t="s">
        <v>1280</v>
      </c>
      <c r="M555">
        <v>103286</v>
      </c>
      <c r="N555" t="s">
        <v>5161</v>
      </c>
      <c r="O555" t="s">
        <v>25</v>
      </c>
      <c r="P555" t="s">
        <v>103</v>
      </c>
      <c r="Q555" t="s">
        <v>104</v>
      </c>
      <c r="R555" s="105">
        <f>IF(Table__192.168.1.150_Daily_Delinquency_With_Sectors[[#This Row],[Days in Arrears]] &gt; 0, Table__192.168.1.150_Daily_Delinquency_With_Sectors[[#This Row],[Outstanding Balance]],0)</f>
        <v>0</v>
      </c>
      <c r="S555" s="105">
        <f>IF(Table__192.168.1.150_Daily_Delinquency_With_Sectors[[#This Row],[Days in Arrears]] &gt; 30, Table__192.168.1.150_Daily_Delinquency_With_Sectors[[#This Row],[Outstanding Balance]],0)</f>
        <v>0</v>
      </c>
      <c r="T555" s="105">
        <f>IF(Table__192.168.1.150_Daily_Delinquency_With_Sectors[[#This Row],[Days in Arrears]] &gt; 90, Table__192.168.1.150_Daily_Delinquency_With_Sectors[[#This Row],[Outstanding Balance]],0)</f>
        <v>0</v>
      </c>
      <c r="U555" s="109">
        <f>IF(Table__192.168.1.150_Daily_Delinquency_With_Sectors[[#This Row],[Days in Arrears]] &gt;= 1,1,0)</f>
        <v>0</v>
      </c>
      <c r="V555" s="109">
        <f>IF(Table__192.168.1.150_Daily_Delinquency_With_Sectors[[#This Row],[Days in Arrears]] &gt; 30,1,0)</f>
        <v>0</v>
      </c>
      <c r="W555" s="109">
        <f>IF(Table__192.168.1.150_Daily_Delinquency_With_Sectors[[#This Row],[Days in Arrears]] &gt; 90,1,0)</f>
        <v>0</v>
      </c>
    </row>
    <row r="556" spans="1:23" x14ac:dyDescent="0.25">
      <c r="A556" t="s">
        <v>5168</v>
      </c>
      <c r="B556" t="s">
        <v>1282</v>
      </c>
      <c r="C556">
        <v>-15</v>
      </c>
      <c r="D556" s="105">
        <v>1996688.56</v>
      </c>
      <c r="E556" t="s">
        <v>1925</v>
      </c>
      <c r="F556" s="105">
        <v>41930.46</v>
      </c>
      <c r="G556" s="105">
        <v>2274144.8199999998</v>
      </c>
      <c r="H556" s="143">
        <v>42956.540528437501</v>
      </c>
      <c r="I556" s="143">
        <v>43199</v>
      </c>
      <c r="J556" t="s">
        <v>5169</v>
      </c>
      <c r="K556" t="s">
        <v>5170</v>
      </c>
      <c r="L556" t="s">
        <v>1280</v>
      </c>
      <c r="M556">
        <v>103287</v>
      </c>
      <c r="N556" t="s">
        <v>5164</v>
      </c>
      <c r="O556" t="s">
        <v>25</v>
      </c>
      <c r="P556" t="s">
        <v>88</v>
      </c>
      <c r="Q556" t="s">
        <v>285</v>
      </c>
      <c r="R556" s="105">
        <f>IF(Table__192.168.1.150_Daily_Delinquency_With_Sectors[[#This Row],[Days in Arrears]] &gt; 0, Table__192.168.1.150_Daily_Delinquency_With_Sectors[[#This Row],[Outstanding Balance]],0)</f>
        <v>0</v>
      </c>
      <c r="S556" s="105">
        <f>IF(Table__192.168.1.150_Daily_Delinquency_With_Sectors[[#This Row],[Days in Arrears]] &gt; 30, Table__192.168.1.150_Daily_Delinquency_With_Sectors[[#This Row],[Outstanding Balance]],0)</f>
        <v>0</v>
      </c>
      <c r="T556" s="105">
        <f>IF(Table__192.168.1.150_Daily_Delinquency_With_Sectors[[#This Row],[Days in Arrears]] &gt; 90, Table__192.168.1.150_Daily_Delinquency_With_Sectors[[#This Row],[Outstanding Balance]],0)</f>
        <v>0</v>
      </c>
      <c r="U556" s="109">
        <f>IF(Table__192.168.1.150_Daily_Delinquency_With_Sectors[[#This Row],[Days in Arrears]] &gt;= 1,1,0)</f>
        <v>0</v>
      </c>
      <c r="V556" s="109">
        <f>IF(Table__192.168.1.150_Daily_Delinquency_With_Sectors[[#This Row],[Days in Arrears]] &gt; 30,1,0)</f>
        <v>0</v>
      </c>
      <c r="W556" s="109">
        <f>IF(Table__192.168.1.150_Daily_Delinquency_With_Sectors[[#This Row],[Days in Arrears]] &gt; 90,1,0)</f>
        <v>0</v>
      </c>
    </row>
    <row r="557" spans="1:23" x14ac:dyDescent="0.25">
      <c r="A557" t="s">
        <v>1594</v>
      </c>
      <c r="B557" t="s">
        <v>1867</v>
      </c>
      <c r="C557">
        <v>-15</v>
      </c>
      <c r="D557" s="105">
        <v>10506255.109999999</v>
      </c>
      <c r="E557" t="s">
        <v>963</v>
      </c>
      <c r="F557" s="105">
        <v>171602.17</v>
      </c>
      <c r="G557" s="105">
        <v>11830140.449999999</v>
      </c>
      <c r="H557" s="143">
        <v>42956.716109641202</v>
      </c>
      <c r="I557" s="143">
        <v>43229</v>
      </c>
      <c r="J557" t="s">
        <v>1595</v>
      </c>
      <c r="K557" t="s">
        <v>1596</v>
      </c>
      <c r="L557" t="s">
        <v>1280</v>
      </c>
      <c r="M557">
        <v>103288</v>
      </c>
      <c r="N557" t="s">
        <v>1565</v>
      </c>
      <c r="O557" t="s">
        <v>45</v>
      </c>
      <c r="P557" t="s">
        <v>45</v>
      </c>
      <c r="Q557" t="s">
        <v>89</v>
      </c>
      <c r="R557" s="105">
        <f>IF(Table__192.168.1.150_Daily_Delinquency_With_Sectors[[#This Row],[Days in Arrears]] &gt; 0, Table__192.168.1.150_Daily_Delinquency_With_Sectors[[#This Row],[Outstanding Balance]],0)</f>
        <v>0</v>
      </c>
      <c r="S557" s="105">
        <f>IF(Table__192.168.1.150_Daily_Delinquency_With_Sectors[[#This Row],[Days in Arrears]] &gt; 30, Table__192.168.1.150_Daily_Delinquency_With_Sectors[[#This Row],[Outstanding Balance]],0)</f>
        <v>0</v>
      </c>
      <c r="T557" s="105">
        <f>IF(Table__192.168.1.150_Daily_Delinquency_With_Sectors[[#This Row],[Days in Arrears]] &gt; 90, Table__192.168.1.150_Daily_Delinquency_With_Sectors[[#This Row],[Outstanding Balance]],0)</f>
        <v>0</v>
      </c>
      <c r="U557" s="109">
        <f>IF(Table__192.168.1.150_Daily_Delinquency_With_Sectors[[#This Row],[Days in Arrears]] &gt;= 1,1,0)</f>
        <v>0</v>
      </c>
      <c r="V557" s="109">
        <f>IF(Table__192.168.1.150_Daily_Delinquency_With_Sectors[[#This Row],[Days in Arrears]] &gt; 30,1,0)</f>
        <v>0</v>
      </c>
      <c r="W557" s="109">
        <f>IF(Table__192.168.1.150_Daily_Delinquency_With_Sectors[[#This Row],[Days in Arrears]] &gt; 90,1,0)</f>
        <v>0</v>
      </c>
    </row>
    <row r="558" spans="1:23" x14ac:dyDescent="0.25">
      <c r="A558" t="s">
        <v>548</v>
      </c>
      <c r="B558" t="s">
        <v>1281</v>
      </c>
      <c r="C558">
        <v>-20</v>
      </c>
      <c r="D558" s="105">
        <v>26383875.649999999</v>
      </c>
      <c r="E558" t="s">
        <v>1448</v>
      </c>
      <c r="F558" s="105">
        <v>277030.69</v>
      </c>
      <c r="G558" s="105">
        <v>34431646.640000001</v>
      </c>
      <c r="H558" s="143">
        <v>42956.687870405091</v>
      </c>
      <c r="I558" s="143">
        <v>43510</v>
      </c>
      <c r="J558" t="s">
        <v>549</v>
      </c>
      <c r="K558" t="s">
        <v>550</v>
      </c>
      <c r="L558" t="s">
        <v>1280</v>
      </c>
      <c r="M558">
        <v>103289</v>
      </c>
      <c r="N558" t="s">
        <v>547</v>
      </c>
      <c r="O558" t="s">
        <v>25</v>
      </c>
      <c r="P558" t="s">
        <v>88</v>
      </c>
      <c r="Q558" t="s">
        <v>285</v>
      </c>
      <c r="R558" s="105">
        <f>IF(Table__192.168.1.150_Daily_Delinquency_With_Sectors[[#This Row],[Days in Arrears]] &gt; 0, Table__192.168.1.150_Daily_Delinquency_With_Sectors[[#This Row],[Outstanding Balance]],0)</f>
        <v>0</v>
      </c>
      <c r="S558" s="105">
        <f>IF(Table__192.168.1.150_Daily_Delinquency_With_Sectors[[#This Row],[Days in Arrears]] &gt; 30, Table__192.168.1.150_Daily_Delinquency_With_Sectors[[#This Row],[Outstanding Balance]],0)</f>
        <v>0</v>
      </c>
      <c r="T558" s="105">
        <f>IF(Table__192.168.1.150_Daily_Delinquency_With_Sectors[[#This Row],[Days in Arrears]] &gt; 90, Table__192.168.1.150_Daily_Delinquency_With_Sectors[[#This Row],[Outstanding Balance]],0)</f>
        <v>0</v>
      </c>
      <c r="U558" s="109">
        <f>IF(Table__192.168.1.150_Daily_Delinquency_With_Sectors[[#This Row],[Days in Arrears]] &gt;= 1,1,0)</f>
        <v>0</v>
      </c>
      <c r="V558" s="109">
        <f>IF(Table__192.168.1.150_Daily_Delinquency_With_Sectors[[#This Row],[Days in Arrears]] &gt; 30,1,0)</f>
        <v>0</v>
      </c>
      <c r="W558" s="109">
        <f>IF(Table__192.168.1.150_Daily_Delinquency_With_Sectors[[#This Row],[Days in Arrears]] &gt; 90,1,0)</f>
        <v>0</v>
      </c>
    </row>
    <row r="559" spans="1:23" x14ac:dyDescent="0.25">
      <c r="A559" t="s">
        <v>1385</v>
      </c>
      <c r="B559" t="s">
        <v>1281</v>
      </c>
      <c r="C559">
        <v>-17</v>
      </c>
      <c r="D559" s="105">
        <v>18458432.82</v>
      </c>
      <c r="E559" t="s">
        <v>963</v>
      </c>
      <c r="F559" s="105">
        <v>258418.06</v>
      </c>
      <c r="G559" s="105">
        <v>22921818.300000001</v>
      </c>
      <c r="H559" s="143">
        <v>42958.6777147338</v>
      </c>
      <c r="I559" s="143">
        <v>43415</v>
      </c>
      <c r="J559" t="s">
        <v>1386</v>
      </c>
      <c r="K559" t="s">
        <v>1387</v>
      </c>
      <c r="L559" t="s">
        <v>1280</v>
      </c>
      <c r="M559">
        <v>103290</v>
      </c>
      <c r="N559" t="s">
        <v>1384</v>
      </c>
      <c r="O559" t="s">
        <v>25</v>
      </c>
      <c r="P559" t="s">
        <v>101</v>
      </c>
      <c r="Q559" t="s">
        <v>26</v>
      </c>
      <c r="R559" s="105">
        <f>IF(Table__192.168.1.150_Daily_Delinquency_With_Sectors[[#This Row],[Days in Arrears]] &gt; 0, Table__192.168.1.150_Daily_Delinquency_With_Sectors[[#This Row],[Outstanding Balance]],0)</f>
        <v>0</v>
      </c>
      <c r="S559" s="105">
        <f>IF(Table__192.168.1.150_Daily_Delinquency_With_Sectors[[#This Row],[Days in Arrears]] &gt; 30, Table__192.168.1.150_Daily_Delinquency_With_Sectors[[#This Row],[Outstanding Balance]],0)</f>
        <v>0</v>
      </c>
      <c r="T559" s="105">
        <f>IF(Table__192.168.1.150_Daily_Delinquency_With_Sectors[[#This Row],[Days in Arrears]] &gt; 90, Table__192.168.1.150_Daily_Delinquency_With_Sectors[[#This Row],[Outstanding Balance]],0)</f>
        <v>0</v>
      </c>
      <c r="U559" s="109">
        <f>IF(Table__192.168.1.150_Daily_Delinquency_With_Sectors[[#This Row],[Days in Arrears]] &gt;= 1,1,0)</f>
        <v>0</v>
      </c>
      <c r="V559" s="109">
        <f>IF(Table__192.168.1.150_Daily_Delinquency_With_Sectors[[#This Row],[Days in Arrears]] &gt; 30,1,0)</f>
        <v>0</v>
      </c>
      <c r="W559" s="109">
        <f>IF(Table__192.168.1.150_Daily_Delinquency_With_Sectors[[#This Row],[Days in Arrears]] &gt; 90,1,0)</f>
        <v>0</v>
      </c>
    </row>
    <row r="560" spans="1:23" x14ac:dyDescent="0.25">
      <c r="A560" t="s">
        <v>5184</v>
      </c>
      <c r="B560" t="s">
        <v>1283</v>
      </c>
      <c r="C560">
        <v>-18</v>
      </c>
      <c r="D560" s="105">
        <v>27377305.899999999</v>
      </c>
      <c r="E560" t="s">
        <v>1467</v>
      </c>
      <c r="F560" s="105">
        <v>301150.36</v>
      </c>
      <c r="G560" s="105">
        <v>31645556.93</v>
      </c>
      <c r="H560" s="143">
        <v>42959.445603969907</v>
      </c>
      <c r="I560" s="143">
        <v>43324</v>
      </c>
      <c r="J560" t="s">
        <v>5185</v>
      </c>
      <c r="K560" t="s">
        <v>5186</v>
      </c>
      <c r="L560" t="s">
        <v>1280</v>
      </c>
      <c r="M560">
        <v>103291</v>
      </c>
      <c r="N560" t="s">
        <v>5183</v>
      </c>
      <c r="O560" t="s">
        <v>25</v>
      </c>
      <c r="P560" t="s">
        <v>88</v>
      </c>
      <c r="Q560" t="s">
        <v>285</v>
      </c>
      <c r="R560" s="105">
        <f>IF(Table__192.168.1.150_Daily_Delinquency_With_Sectors[[#This Row],[Days in Arrears]] &gt; 0, Table__192.168.1.150_Daily_Delinquency_With_Sectors[[#This Row],[Outstanding Balance]],0)</f>
        <v>0</v>
      </c>
      <c r="S560" s="105">
        <f>IF(Table__192.168.1.150_Daily_Delinquency_With_Sectors[[#This Row],[Days in Arrears]] &gt; 30, Table__192.168.1.150_Daily_Delinquency_With_Sectors[[#This Row],[Outstanding Balance]],0)</f>
        <v>0</v>
      </c>
      <c r="T560" s="105">
        <f>IF(Table__192.168.1.150_Daily_Delinquency_With_Sectors[[#This Row],[Days in Arrears]] &gt; 90, Table__192.168.1.150_Daily_Delinquency_With_Sectors[[#This Row],[Outstanding Balance]],0)</f>
        <v>0</v>
      </c>
      <c r="U560" s="109">
        <f>IF(Table__192.168.1.150_Daily_Delinquency_With_Sectors[[#This Row],[Days in Arrears]] &gt;= 1,1,0)</f>
        <v>0</v>
      </c>
      <c r="V560" s="109">
        <f>IF(Table__192.168.1.150_Daily_Delinquency_With_Sectors[[#This Row],[Days in Arrears]] &gt; 30,1,0)</f>
        <v>0</v>
      </c>
      <c r="W560" s="109">
        <f>IF(Table__192.168.1.150_Daily_Delinquency_With_Sectors[[#This Row],[Days in Arrears]] &gt; 90,1,0)</f>
        <v>0</v>
      </c>
    </row>
    <row r="561" spans="1:23" x14ac:dyDescent="0.25">
      <c r="A561" t="s">
        <v>2240</v>
      </c>
      <c r="B561" t="s">
        <v>1281</v>
      </c>
      <c r="C561">
        <v>-20</v>
      </c>
      <c r="D561" s="105">
        <v>15745468.880000001</v>
      </c>
      <c r="E561" t="s">
        <v>90</v>
      </c>
      <c r="F561" s="105">
        <v>165327.42000000001</v>
      </c>
      <c r="G561" s="105">
        <v>18627110.84</v>
      </c>
      <c r="H561" s="143">
        <v>42961.548503900463</v>
      </c>
      <c r="I561" s="143">
        <v>43326</v>
      </c>
      <c r="J561" t="s">
        <v>2241</v>
      </c>
      <c r="K561" t="s">
        <v>2242</v>
      </c>
      <c r="L561" t="s">
        <v>1280</v>
      </c>
      <c r="M561">
        <v>103292</v>
      </c>
      <c r="N561" t="s">
        <v>2234</v>
      </c>
      <c r="O561" t="s">
        <v>25</v>
      </c>
      <c r="P561" t="s">
        <v>103</v>
      </c>
      <c r="Q561" t="s">
        <v>104</v>
      </c>
      <c r="R561" s="105">
        <f>IF(Table__192.168.1.150_Daily_Delinquency_With_Sectors[[#This Row],[Days in Arrears]] &gt; 0, Table__192.168.1.150_Daily_Delinquency_With_Sectors[[#This Row],[Outstanding Balance]],0)</f>
        <v>0</v>
      </c>
      <c r="S561" s="105">
        <f>IF(Table__192.168.1.150_Daily_Delinquency_With_Sectors[[#This Row],[Days in Arrears]] &gt; 30, Table__192.168.1.150_Daily_Delinquency_With_Sectors[[#This Row],[Outstanding Balance]],0)</f>
        <v>0</v>
      </c>
      <c r="T561" s="105">
        <f>IF(Table__192.168.1.150_Daily_Delinquency_With_Sectors[[#This Row],[Days in Arrears]] &gt; 90, Table__192.168.1.150_Daily_Delinquency_With_Sectors[[#This Row],[Outstanding Balance]],0)</f>
        <v>0</v>
      </c>
      <c r="U561" s="109">
        <f>IF(Table__192.168.1.150_Daily_Delinquency_With_Sectors[[#This Row],[Days in Arrears]] &gt;= 1,1,0)</f>
        <v>0</v>
      </c>
      <c r="V561" s="109">
        <f>IF(Table__192.168.1.150_Daily_Delinquency_With_Sectors[[#This Row],[Days in Arrears]] &gt; 30,1,0)</f>
        <v>0</v>
      </c>
      <c r="W561" s="109">
        <f>IF(Table__192.168.1.150_Daily_Delinquency_With_Sectors[[#This Row],[Days in Arrears]] &gt; 90,1,0)</f>
        <v>0</v>
      </c>
    </row>
    <row r="562" spans="1:23" x14ac:dyDescent="0.25">
      <c r="A562" t="s">
        <v>5194</v>
      </c>
      <c r="B562" t="s">
        <v>1282</v>
      </c>
      <c r="C562">
        <v>-20</v>
      </c>
      <c r="D562" s="105">
        <v>11957108.24</v>
      </c>
      <c r="E562" t="s">
        <v>4683</v>
      </c>
      <c r="F562" s="105">
        <v>161420.96</v>
      </c>
      <c r="G562" s="105">
        <v>14804935.470000001</v>
      </c>
      <c r="H562" s="143">
        <v>42961.705719097219</v>
      </c>
      <c r="I562" s="143">
        <v>43326</v>
      </c>
      <c r="J562" t="s">
        <v>5195</v>
      </c>
      <c r="K562" t="s">
        <v>5196</v>
      </c>
      <c r="L562" t="s">
        <v>1280</v>
      </c>
      <c r="M562">
        <v>103293</v>
      </c>
      <c r="N562" t="s">
        <v>5191</v>
      </c>
      <c r="O562" t="s">
        <v>25</v>
      </c>
      <c r="P562" t="s">
        <v>88</v>
      </c>
      <c r="Q562" t="s">
        <v>285</v>
      </c>
      <c r="R562" s="105">
        <f>IF(Table__192.168.1.150_Daily_Delinquency_With_Sectors[[#This Row],[Days in Arrears]] &gt; 0, Table__192.168.1.150_Daily_Delinquency_With_Sectors[[#This Row],[Outstanding Balance]],0)</f>
        <v>0</v>
      </c>
      <c r="S562" s="105">
        <f>IF(Table__192.168.1.150_Daily_Delinquency_With_Sectors[[#This Row],[Days in Arrears]] &gt; 30, Table__192.168.1.150_Daily_Delinquency_With_Sectors[[#This Row],[Outstanding Balance]],0)</f>
        <v>0</v>
      </c>
      <c r="T562" s="105">
        <f>IF(Table__192.168.1.150_Daily_Delinquency_With_Sectors[[#This Row],[Days in Arrears]] &gt; 90, Table__192.168.1.150_Daily_Delinquency_With_Sectors[[#This Row],[Outstanding Balance]],0)</f>
        <v>0</v>
      </c>
      <c r="U562" s="109">
        <f>IF(Table__192.168.1.150_Daily_Delinquency_With_Sectors[[#This Row],[Days in Arrears]] &gt;= 1,1,0)</f>
        <v>0</v>
      </c>
      <c r="V562" s="109">
        <f>IF(Table__192.168.1.150_Daily_Delinquency_With_Sectors[[#This Row],[Days in Arrears]] &gt; 30,1,0)</f>
        <v>0</v>
      </c>
      <c r="W562" s="109">
        <f>IF(Table__192.168.1.150_Daily_Delinquency_With_Sectors[[#This Row],[Days in Arrears]] &gt; 90,1,0)</f>
        <v>0</v>
      </c>
    </row>
    <row r="563" spans="1:23" x14ac:dyDescent="0.25">
      <c r="A563" t="s">
        <v>306</v>
      </c>
      <c r="B563" t="s">
        <v>1282</v>
      </c>
      <c r="C563">
        <v>-21</v>
      </c>
      <c r="D563" s="105">
        <v>4439993.91</v>
      </c>
      <c r="E563" t="s">
        <v>468</v>
      </c>
      <c r="F563" s="105">
        <v>47359.94</v>
      </c>
      <c r="G563" s="105">
        <v>5178219.63</v>
      </c>
      <c r="H563" s="143">
        <v>42962.466988194443</v>
      </c>
      <c r="I563" s="143">
        <v>43266</v>
      </c>
      <c r="J563" t="s">
        <v>307</v>
      </c>
      <c r="K563" t="s">
        <v>1280</v>
      </c>
      <c r="L563" t="s">
        <v>1280</v>
      </c>
      <c r="M563">
        <v>103294</v>
      </c>
      <c r="N563" t="s">
        <v>305</v>
      </c>
      <c r="O563" t="s">
        <v>25</v>
      </c>
      <c r="P563" t="s">
        <v>88</v>
      </c>
      <c r="Q563" t="s">
        <v>285</v>
      </c>
      <c r="R563" s="105">
        <f>IF(Table__192.168.1.150_Daily_Delinquency_With_Sectors[[#This Row],[Days in Arrears]] &gt; 0, Table__192.168.1.150_Daily_Delinquency_With_Sectors[[#This Row],[Outstanding Balance]],0)</f>
        <v>0</v>
      </c>
      <c r="S563" s="105">
        <f>IF(Table__192.168.1.150_Daily_Delinquency_With_Sectors[[#This Row],[Days in Arrears]] &gt; 30, Table__192.168.1.150_Daily_Delinquency_With_Sectors[[#This Row],[Outstanding Balance]],0)</f>
        <v>0</v>
      </c>
      <c r="T563" s="105">
        <f>IF(Table__192.168.1.150_Daily_Delinquency_With_Sectors[[#This Row],[Days in Arrears]] &gt; 90, Table__192.168.1.150_Daily_Delinquency_With_Sectors[[#This Row],[Outstanding Balance]],0)</f>
        <v>0</v>
      </c>
      <c r="U563" s="109">
        <f>IF(Table__192.168.1.150_Daily_Delinquency_With_Sectors[[#This Row],[Days in Arrears]] &gt;= 1,1,0)</f>
        <v>0</v>
      </c>
      <c r="V563" s="109">
        <f>IF(Table__192.168.1.150_Daily_Delinquency_With_Sectors[[#This Row],[Days in Arrears]] &gt; 30,1,0)</f>
        <v>0</v>
      </c>
      <c r="W563" s="109">
        <f>IF(Table__192.168.1.150_Daily_Delinquency_With_Sectors[[#This Row],[Days in Arrears]] &gt; 90,1,0)</f>
        <v>0</v>
      </c>
    </row>
    <row r="564" spans="1:23" x14ac:dyDescent="0.25">
      <c r="A564" t="s">
        <v>5197</v>
      </c>
      <c r="B564" t="s">
        <v>1279</v>
      </c>
      <c r="C564">
        <v>10</v>
      </c>
      <c r="D564" s="105">
        <v>641245.48</v>
      </c>
      <c r="E564" t="s">
        <v>5124</v>
      </c>
      <c r="F564" s="105">
        <v>8634.0300000000007</v>
      </c>
      <c r="G564" s="105">
        <v>699649.95</v>
      </c>
      <c r="H564" s="143">
        <v>42961.61328391204</v>
      </c>
      <c r="I564" s="143">
        <v>43145</v>
      </c>
      <c r="J564" t="s">
        <v>5198</v>
      </c>
      <c r="K564" t="s">
        <v>5199</v>
      </c>
      <c r="L564" t="s">
        <v>1280</v>
      </c>
      <c r="M564">
        <v>103295</v>
      </c>
      <c r="N564" t="s">
        <v>5190</v>
      </c>
      <c r="O564" t="s">
        <v>25</v>
      </c>
      <c r="P564" t="s">
        <v>290</v>
      </c>
      <c r="Q564" t="s">
        <v>1768</v>
      </c>
      <c r="R564" s="105">
        <f>IF(Table__192.168.1.150_Daily_Delinquency_With_Sectors[[#This Row],[Days in Arrears]] &gt; 0, Table__192.168.1.150_Daily_Delinquency_With_Sectors[[#This Row],[Outstanding Balance]],0)</f>
        <v>641245.48</v>
      </c>
      <c r="S564" s="105">
        <f>IF(Table__192.168.1.150_Daily_Delinquency_With_Sectors[[#This Row],[Days in Arrears]] &gt; 30, Table__192.168.1.150_Daily_Delinquency_With_Sectors[[#This Row],[Outstanding Balance]],0)</f>
        <v>0</v>
      </c>
      <c r="T564" s="105">
        <f>IF(Table__192.168.1.150_Daily_Delinquency_With_Sectors[[#This Row],[Days in Arrears]] &gt; 90, Table__192.168.1.150_Daily_Delinquency_With_Sectors[[#This Row],[Outstanding Balance]],0)</f>
        <v>0</v>
      </c>
      <c r="U564" s="109">
        <f>IF(Table__192.168.1.150_Daily_Delinquency_With_Sectors[[#This Row],[Days in Arrears]] &gt;= 1,1,0)</f>
        <v>1</v>
      </c>
      <c r="V564" s="109">
        <f>IF(Table__192.168.1.150_Daily_Delinquency_With_Sectors[[#This Row],[Days in Arrears]] &gt; 30,1,0)</f>
        <v>0</v>
      </c>
      <c r="W564" s="109">
        <f>IF(Table__192.168.1.150_Daily_Delinquency_With_Sectors[[#This Row],[Days in Arrears]] &gt; 90,1,0)</f>
        <v>0</v>
      </c>
    </row>
    <row r="565" spans="1:23" x14ac:dyDescent="0.25">
      <c r="A565" t="s">
        <v>5200</v>
      </c>
      <c r="B565" t="s">
        <v>1281</v>
      </c>
      <c r="C565">
        <v>10</v>
      </c>
      <c r="D565" s="105">
        <v>17212703.260000002</v>
      </c>
      <c r="E565" t="s">
        <v>1909</v>
      </c>
      <c r="F565" s="105">
        <v>767772.03</v>
      </c>
      <c r="G565" s="105">
        <v>20696789.829999998</v>
      </c>
      <c r="H565" s="143">
        <v>42961.64805625</v>
      </c>
      <c r="I565" s="143">
        <v>43326</v>
      </c>
      <c r="J565" t="s">
        <v>5201</v>
      </c>
      <c r="K565" t="s">
        <v>5202</v>
      </c>
      <c r="L565" t="s">
        <v>5203</v>
      </c>
      <c r="M565">
        <v>103296</v>
      </c>
      <c r="N565" t="s">
        <v>5193</v>
      </c>
      <c r="O565" t="s">
        <v>25</v>
      </c>
      <c r="P565" t="s">
        <v>88</v>
      </c>
      <c r="Q565" t="s">
        <v>285</v>
      </c>
      <c r="R565" s="105">
        <f>IF(Table__192.168.1.150_Daily_Delinquency_With_Sectors[[#This Row],[Days in Arrears]] &gt; 0, Table__192.168.1.150_Daily_Delinquency_With_Sectors[[#This Row],[Outstanding Balance]],0)</f>
        <v>17212703.260000002</v>
      </c>
      <c r="S565" s="105">
        <f>IF(Table__192.168.1.150_Daily_Delinquency_With_Sectors[[#This Row],[Days in Arrears]] &gt; 30, Table__192.168.1.150_Daily_Delinquency_With_Sectors[[#This Row],[Outstanding Balance]],0)</f>
        <v>0</v>
      </c>
      <c r="T565" s="105">
        <f>IF(Table__192.168.1.150_Daily_Delinquency_With_Sectors[[#This Row],[Days in Arrears]] &gt; 90, Table__192.168.1.150_Daily_Delinquency_With_Sectors[[#This Row],[Outstanding Balance]],0)</f>
        <v>0</v>
      </c>
      <c r="U565" s="109">
        <f>IF(Table__192.168.1.150_Daily_Delinquency_With_Sectors[[#This Row],[Days in Arrears]] &gt;= 1,1,0)</f>
        <v>1</v>
      </c>
      <c r="V565" s="109">
        <f>IF(Table__192.168.1.150_Daily_Delinquency_With_Sectors[[#This Row],[Days in Arrears]] &gt; 30,1,0)</f>
        <v>0</v>
      </c>
      <c r="W565" s="109">
        <f>IF(Table__192.168.1.150_Daily_Delinquency_With_Sectors[[#This Row],[Days in Arrears]] &gt; 90,1,0)</f>
        <v>0</v>
      </c>
    </row>
    <row r="566" spans="1:23" x14ac:dyDescent="0.25">
      <c r="A566" t="s">
        <v>5204</v>
      </c>
      <c r="B566" t="s">
        <v>1282</v>
      </c>
      <c r="C566">
        <v>10</v>
      </c>
      <c r="D566" s="105">
        <v>3765854.15</v>
      </c>
      <c r="E566" t="s">
        <v>3074</v>
      </c>
      <c r="F566" s="105">
        <v>50268.1</v>
      </c>
      <c r="G566" s="105">
        <v>4465549.92</v>
      </c>
      <c r="H566" s="143">
        <v>42961.702593136572</v>
      </c>
      <c r="I566" s="143">
        <v>43265</v>
      </c>
      <c r="J566" t="s">
        <v>5205</v>
      </c>
      <c r="K566" t="s">
        <v>5206</v>
      </c>
      <c r="L566" t="s">
        <v>1280</v>
      </c>
      <c r="M566">
        <v>103297</v>
      </c>
      <c r="N566" t="s">
        <v>5189</v>
      </c>
      <c r="O566" t="s">
        <v>25</v>
      </c>
      <c r="P566" t="s">
        <v>103</v>
      </c>
      <c r="Q566" t="s">
        <v>104</v>
      </c>
      <c r="R566" s="105">
        <f>IF(Table__192.168.1.150_Daily_Delinquency_With_Sectors[[#This Row],[Days in Arrears]] &gt; 0, Table__192.168.1.150_Daily_Delinquency_With_Sectors[[#This Row],[Outstanding Balance]],0)</f>
        <v>3765854.15</v>
      </c>
      <c r="S566" s="105">
        <f>IF(Table__192.168.1.150_Daily_Delinquency_With_Sectors[[#This Row],[Days in Arrears]] &gt; 30, Table__192.168.1.150_Daily_Delinquency_With_Sectors[[#This Row],[Outstanding Balance]],0)</f>
        <v>0</v>
      </c>
      <c r="T566" s="105">
        <f>IF(Table__192.168.1.150_Daily_Delinquency_With_Sectors[[#This Row],[Days in Arrears]] &gt; 90, Table__192.168.1.150_Daily_Delinquency_With_Sectors[[#This Row],[Outstanding Balance]],0)</f>
        <v>0</v>
      </c>
      <c r="U566" s="109">
        <f>IF(Table__192.168.1.150_Daily_Delinquency_With_Sectors[[#This Row],[Days in Arrears]] &gt;= 1,1,0)</f>
        <v>1</v>
      </c>
      <c r="V566" s="109">
        <f>IF(Table__192.168.1.150_Daily_Delinquency_With_Sectors[[#This Row],[Days in Arrears]] &gt; 30,1,0)</f>
        <v>0</v>
      </c>
      <c r="W566" s="109">
        <f>IF(Table__192.168.1.150_Daily_Delinquency_With_Sectors[[#This Row],[Days in Arrears]] &gt; 90,1,0)</f>
        <v>0</v>
      </c>
    </row>
    <row r="567" spans="1:23" x14ac:dyDescent="0.25">
      <c r="A567" t="s">
        <v>5212</v>
      </c>
      <c r="B567" t="s">
        <v>1282</v>
      </c>
      <c r="C567">
        <v>-21</v>
      </c>
      <c r="D567" s="105">
        <v>3188562.22</v>
      </c>
      <c r="E567" t="s">
        <v>5352</v>
      </c>
      <c r="F567" s="105">
        <v>38262.75</v>
      </c>
      <c r="G567" s="105">
        <v>3947982.81</v>
      </c>
      <c r="H567" s="143">
        <v>42962.635241203701</v>
      </c>
      <c r="I567" s="143">
        <v>43327</v>
      </c>
      <c r="J567" t="s">
        <v>5213</v>
      </c>
      <c r="K567" t="s">
        <v>5214</v>
      </c>
      <c r="L567" t="s">
        <v>1280</v>
      </c>
      <c r="M567">
        <v>103298</v>
      </c>
      <c r="N567" t="s">
        <v>5209</v>
      </c>
      <c r="O567" t="s">
        <v>25</v>
      </c>
      <c r="P567" t="s">
        <v>88</v>
      </c>
      <c r="Q567" t="s">
        <v>285</v>
      </c>
      <c r="R567" s="105">
        <f>IF(Table__192.168.1.150_Daily_Delinquency_With_Sectors[[#This Row],[Days in Arrears]] &gt; 0, Table__192.168.1.150_Daily_Delinquency_With_Sectors[[#This Row],[Outstanding Balance]],0)</f>
        <v>0</v>
      </c>
      <c r="S567" s="105">
        <f>IF(Table__192.168.1.150_Daily_Delinquency_With_Sectors[[#This Row],[Days in Arrears]] &gt; 30, Table__192.168.1.150_Daily_Delinquency_With_Sectors[[#This Row],[Outstanding Balance]],0)</f>
        <v>0</v>
      </c>
      <c r="T567" s="105">
        <f>IF(Table__192.168.1.150_Daily_Delinquency_With_Sectors[[#This Row],[Days in Arrears]] &gt; 90, Table__192.168.1.150_Daily_Delinquency_With_Sectors[[#This Row],[Outstanding Balance]],0)</f>
        <v>0</v>
      </c>
      <c r="U567" s="109">
        <f>IF(Table__192.168.1.150_Daily_Delinquency_With_Sectors[[#This Row],[Days in Arrears]] &gt;= 1,1,0)</f>
        <v>0</v>
      </c>
      <c r="V567" s="109">
        <f>IF(Table__192.168.1.150_Daily_Delinquency_With_Sectors[[#This Row],[Days in Arrears]] &gt; 30,1,0)</f>
        <v>0</v>
      </c>
      <c r="W567" s="109">
        <f>IF(Table__192.168.1.150_Daily_Delinquency_With_Sectors[[#This Row],[Days in Arrears]] &gt; 90,1,0)</f>
        <v>0</v>
      </c>
    </row>
    <row r="568" spans="1:23" x14ac:dyDescent="0.25">
      <c r="A568" t="s">
        <v>5215</v>
      </c>
      <c r="B568" t="s">
        <v>1279</v>
      </c>
      <c r="C568">
        <v>-21</v>
      </c>
      <c r="D568" s="105">
        <v>2391421.63</v>
      </c>
      <c r="E568" t="s">
        <v>546</v>
      </c>
      <c r="F568" s="105">
        <v>28697.06</v>
      </c>
      <c r="G568" s="105">
        <v>2960987.06</v>
      </c>
      <c r="H568" s="143">
        <v>42962.688732025461</v>
      </c>
      <c r="I568" s="143">
        <v>43327</v>
      </c>
      <c r="J568" t="s">
        <v>5216</v>
      </c>
      <c r="K568" t="s">
        <v>5217</v>
      </c>
      <c r="L568" t="s">
        <v>1280</v>
      </c>
      <c r="M568">
        <v>103299</v>
      </c>
      <c r="N568" t="s">
        <v>5211</v>
      </c>
      <c r="O568" t="s">
        <v>25</v>
      </c>
      <c r="P568" t="s">
        <v>88</v>
      </c>
      <c r="Q568" t="s">
        <v>285</v>
      </c>
      <c r="R568" s="105">
        <f>IF(Table__192.168.1.150_Daily_Delinquency_With_Sectors[[#This Row],[Days in Arrears]] &gt; 0, Table__192.168.1.150_Daily_Delinquency_With_Sectors[[#This Row],[Outstanding Balance]],0)</f>
        <v>0</v>
      </c>
      <c r="S568" s="105">
        <f>IF(Table__192.168.1.150_Daily_Delinquency_With_Sectors[[#This Row],[Days in Arrears]] &gt; 30, Table__192.168.1.150_Daily_Delinquency_With_Sectors[[#This Row],[Outstanding Balance]],0)</f>
        <v>0</v>
      </c>
      <c r="T568" s="105">
        <f>IF(Table__192.168.1.150_Daily_Delinquency_With_Sectors[[#This Row],[Days in Arrears]] &gt; 90, Table__192.168.1.150_Daily_Delinquency_With_Sectors[[#This Row],[Outstanding Balance]],0)</f>
        <v>0</v>
      </c>
      <c r="U568" s="109">
        <f>IF(Table__192.168.1.150_Daily_Delinquency_With_Sectors[[#This Row],[Days in Arrears]] &gt;= 1,1,0)</f>
        <v>0</v>
      </c>
      <c r="V568" s="109">
        <f>IF(Table__192.168.1.150_Daily_Delinquency_With_Sectors[[#This Row],[Days in Arrears]] &gt; 30,1,0)</f>
        <v>0</v>
      </c>
      <c r="W568" s="109">
        <f>IF(Table__192.168.1.150_Daily_Delinquency_With_Sectors[[#This Row],[Days in Arrears]] &gt; 90,1,0)</f>
        <v>0</v>
      </c>
    </row>
    <row r="569" spans="1:23" x14ac:dyDescent="0.25">
      <c r="A569" t="s">
        <v>1041</v>
      </c>
      <c r="B569" t="s">
        <v>1284</v>
      </c>
      <c r="C569">
        <v>-21</v>
      </c>
      <c r="D569" s="105">
        <v>10005754.5</v>
      </c>
      <c r="E569" t="s">
        <v>963</v>
      </c>
      <c r="F569" s="105">
        <v>80046.039999999994</v>
      </c>
      <c r="G569" s="105">
        <v>12062387.57</v>
      </c>
      <c r="H569" s="143">
        <v>42962.698615740737</v>
      </c>
      <c r="I569" s="143">
        <v>43419</v>
      </c>
      <c r="J569" t="s">
        <v>1042</v>
      </c>
      <c r="K569" t="s">
        <v>1043</v>
      </c>
      <c r="L569" t="s">
        <v>1280</v>
      </c>
      <c r="M569">
        <v>103300</v>
      </c>
      <c r="N569" t="s">
        <v>1040</v>
      </c>
      <c r="O569" t="s">
        <v>29</v>
      </c>
      <c r="P569" t="s">
        <v>30</v>
      </c>
      <c r="Q569" t="s">
        <v>1819</v>
      </c>
      <c r="R569" s="105">
        <f>IF(Table__192.168.1.150_Daily_Delinquency_With_Sectors[[#This Row],[Days in Arrears]] &gt; 0, Table__192.168.1.150_Daily_Delinquency_With_Sectors[[#This Row],[Outstanding Balance]],0)</f>
        <v>0</v>
      </c>
      <c r="S569" s="105">
        <f>IF(Table__192.168.1.150_Daily_Delinquency_With_Sectors[[#This Row],[Days in Arrears]] &gt; 30, Table__192.168.1.150_Daily_Delinquency_With_Sectors[[#This Row],[Outstanding Balance]],0)</f>
        <v>0</v>
      </c>
      <c r="T569" s="105">
        <f>IF(Table__192.168.1.150_Daily_Delinquency_With_Sectors[[#This Row],[Days in Arrears]] &gt; 90, Table__192.168.1.150_Daily_Delinquency_With_Sectors[[#This Row],[Outstanding Balance]],0)</f>
        <v>0</v>
      </c>
      <c r="U569" s="109">
        <f>IF(Table__192.168.1.150_Daily_Delinquency_With_Sectors[[#This Row],[Days in Arrears]] &gt;= 1,1,0)</f>
        <v>0</v>
      </c>
      <c r="V569" s="109">
        <f>IF(Table__192.168.1.150_Daily_Delinquency_With_Sectors[[#This Row],[Days in Arrears]] &gt; 30,1,0)</f>
        <v>0</v>
      </c>
      <c r="W569" s="109">
        <f>IF(Table__192.168.1.150_Daily_Delinquency_With_Sectors[[#This Row],[Days in Arrears]] &gt; 90,1,0)</f>
        <v>0</v>
      </c>
    </row>
    <row r="570" spans="1:23" x14ac:dyDescent="0.25">
      <c r="A570" t="s">
        <v>4265</v>
      </c>
      <c r="B570" t="s">
        <v>1282</v>
      </c>
      <c r="C570">
        <v>8</v>
      </c>
      <c r="D570" s="105">
        <v>3320345.89</v>
      </c>
      <c r="E570" t="s">
        <v>2538</v>
      </c>
      <c r="F570" s="105">
        <v>160440.47</v>
      </c>
      <c r="G570" s="105">
        <v>3945310.21</v>
      </c>
      <c r="H570" s="143">
        <v>42963.622981099536</v>
      </c>
      <c r="I570" s="143">
        <v>43267</v>
      </c>
      <c r="J570" t="s">
        <v>4266</v>
      </c>
      <c r="K570" t="s">
        <v>4267</v>
      </c>
      <c r="L570" t="s">
        <v>1280</v>
      </c>
      <c r="M570">
        <v>103302</v>
      </c>
      <c r="N570" t="s">
        <v>4263</v>
      </c>
      <c r="O570" t="s">
        <v>44</v>
      </c>
      <c r="P570" t="s">
        <v>75</v>
      </c>
      <c r="Q570" t="s">
        <v>1442</v>
      </c>
      <c r="R570" s="105">
        <f>IF(Table__192.168.1.150_Daily_Delinquency_With_Sectors[[#This Row],[Days in Arrears]] &gt; 0, Table__192.168.1.150_Daily_Delinquency_With_Sectors[[#This Row],[Outstanding Balance]],0)</f>
        <v>3320345.89</v>
      </c>
      <c r="S570" s="105">
        <f>IF(Table__192.168.1.150_Daily_Delinquency_With_Sectors[[#This Row],[Days in Arrears]] &gt; 30, Table__192.168.1.150_Daily_Delinquency_With_Sectors[[#This Row],[Outstanding Balance]],0)</f>
        <v>0</v>
      </c>
      <c r="T570" s="105">
        <f>IF(Table__192.168.1.150_Daily_Delinquency_With_Sectors[[#This Row],[Days in Arrears]] &gt; 90, Table__192.168.1.150_Daily_Delinquency_With_Sectors[[#This Row],[Outstanding Balance]],0)</f>
        <v>0</v>
      </c>
      <c r="U570" s="109">
        <f>IF(Table__192.168.1.150_Daily_Delinquency_With_Sectors[[#This Row],[Days in Arrears]] &gt;= 1,1,0)</f>
        <v>1</v>
      </c>
      <c r="V570" s="109">
        <f>IF(Table__192.168.1.150_Daily_Delinquency_With_Sectors[[#This Row],[Days in Arrears]] &gt; 30,1,0)</f>
        <v>0</v>
      </c>
      <c r="W570" s="109">
        <f>IF(Table__192.168.1.150_Daily_Delinquency_With_Sectors[[#This Row],[Days in Arrears]] &gt; 90,1,0)</f>
        <v>0</v>
      </c>
    </row>
    <row r="571" spans="1:23" x14ac:dyDescent="0.25">
      <c r="A571" t="s">
        <v>5245</v>
      </c>
      <c r="B571" t="s">
        <v>1282</v>
      </c>
      <c r="C571">
        <v>-25</v>
      </c>
      <c r="D571" s="105">
        <v>2664823.87</v>
      </c>
      <c r="E571" t="s">
        <v>1925</v>
      </c>
      <c r="F571" s="105">
        <v>114117.11</v>
      </c>
      <c r="G571" s="105">
        <v>2908175.8</v>
      </c>
      <c r="H571" s="143">
        <v>42966.501115196763</v>
      </c>
      <c r="I571" s="143">
        <v>43150</v>
      </c>
      <c r="J571" t="s">
        <v>5246</v>
      </c>
      <c r="K571" t="s">
        <v>1280</v>
      </c>
      <c r="L571" t="s">
        <v>1280</v>
      </c>
      <c r="M571">
        <v>103303</v>
      </c>
      <c r="N571" t="s">
        <v>5243</v>
      </c>
      <c r="O571" t="s">
        <v>31</v>
      </c>
      <c r="P571" t="s">
        <v>509</v>
      </c>
      <c r="Q571" t="s">
        <v>26</v>
      </c>
      <c r="R571" s="105">
        <f>IF(Table__192.168.1.150_Daily_Delinquency_With_Sectors[[#This Row],[Days in Arrears]] &gt; 0, Table__192.168.1.150_Daily_Delinquency_With_Sectors[[#This Row],[Outstanding Balance]],0)</f>
        <v>0</v>
      </c>
      <c r="S571" s="105">
        <f>IF(Table__192.168.1.150_Daily_Delinquency_With_Sectors[[#This Row],[Days in Arrears]] &gt; 30, Table__192.168.1.150_Daily_Delinquency_With_Sectors[[#This Row],[Outstanding Balance]],0)</f>
        <v>0</v>
      </c>
      <c r="T571" s="105">
        <f>IF(Table__192.168.1.150_Daily_Delinquency_With_Sectors[[#This Row],[Days in Arrears]] &gt; 90, Table__192.168.1.150_Daily_Delinquency_With_Sectors[[#This Row],[Outstanding Balance]],0)</f>
        <v>0</v>
      </c>
      <c r="U571" s="109">
        <f>IF(Table__192.168.1.150_Daily_Delinquency_With_Sectors[[#This Row],[Days in Arrears]] &gt;= 1,1,0)</f>
        <v>0</v>
      </c>
      <c r="V571" s="109">
        <f>IF(Table__192.168.1.150_Daily_Delinquency_With_Sectors[[#This Row],[Days in Arrears]] &gt; 30,1,0)</f>
        <v>0</v>
      </c>
      <c r="W571" s="109">
        <f>IF(Table__192.168.1.150_Daily_Delinquency_With_Sectors[[#This Row],[Days in Arrears]] &gt; 90,1,0)</f>
        <v>0</v>
      </c>
    </row>
    <row r="572" spans="1:23" x14ac:dyDescent="0.25">
      <c r="A572" t="s">
        <v>246</v>
      </c>
      <c r="B572" t="s">
        <v>1282</v>
      </c>
      <c r="C572">
        <v>5</v>
      </c>
      <c r="D572" s="105">
        <v>5546549.6200000001</v>
      </c>
      <c r="E572" t="s">
        <v>86</v>
      </c>
      <c r="F572" s="105">
        <v>29577.360000000001</v>
      </c>
      <c r="G572" s="105">
        <v>6713581.3399999999</v>
      </c>
      <c r="H572" s="143">
        <v>42966.547201238427</v>
      </c>
      <c r="I572" s="143">
        <v>43331</v>
      </c>
      <c r="J572" t="s">
        <v>247</v>
      </c>
      <c r="K572" t="s">
        <v>248</v>
      </c>
      <c r="L572" t="s">
        <v>1280</v>
      </c>
      <c r="M572">
        <v>103304</v>
      </c>
      <c r="N572" t="s">
        <v>85</v>
      </c>
      <c r="O572" t="s">
        <v>25</v>
      </c>
      <c r="P572" t="s">
        <v>88</v>
      </c>
      <c r="Q572" t="s">
        <v>285</v>
      </c>
      <c r="R572" s="105">
        <f>IF(Table__192.168.1.150_Daily_Delinquency_With_Sectors[[#This Row],[Days in Arrears]] &gt; 0, Table__192.168.1.150_Daily_Delinquency_With_Sectors[[#This Row],[Outstanding Balance]],0)</f>
        <v>5546549.6200000001</v>
      </c>
      <c r="S572" s="105">
        <f>IF(Table__192.168.1.150_Daily_Delinquency_With_Sectors[[#This Row],[Days in Arrears]] &gt; 30, Table__192.168.1.150_Daily_Delinquency_With_Sectors[[#This Row],[Outstanding Balance]],0)</f>
        <v>0</v>
      </c>
      <c r="T572" s="105">
        <f>IF(Table__192.168.1.150_Daily_Delinquency_With_Sectors[[#This Row],[Days in Arrears]] &gt; 90, Table__192.168.1.150_Daily_Delinquency_With_Sectors[[#This Row],[Outstanding Balance]],0)</f>
        <v>0</v>
      </c>
      <c r="U572" s="109">
        <f>IF(Table__192.168.1.150_Daily_Delinquency_With_Sectors[[#This Row],[Days in Arrears]] &gt;= 1,1,0)</f>
        <v>1</v>
      </c>
      <c r="V572" s="109">
        <f>IF(Table__192.168.1.150_Daily_Delinquency_With_Sectors[[#This Row],[Days in Arrears]] &gt; 30,1,0)</f>
        <v>0</v>
      </c>
      <c r="W572" s="109">
        <f>IF(Table__192.168.1.150_Daily_Delinquency_With_Sectors[[#This Row],[Days in Arrears]] &gt; 90,1,0)</f>
        <v>0</v>
      </c>
    </row>
    <row r="573" spans="1:23" x14ac:dyDescent="0.25">
      <c r="A573" t="s">
        <v>5258</v>
      </c>
      <c r="B573" t="s">
        <v>1282</v>
      </c>
      <c r="C573">
        <v>-27</v>
      </c>
      <c r="D573" s="105">
        <v>1996688.56</v>
      </c>
      <c r="E573" t="s">
        <v>546</v>
      </c>
      <c r="F573" s="105">
        <v>5990.07</v>
      </c>
      <c r="G573" s="105">
        <v>2274144.8199999998</v>
      </c>
      <c r="H573" s="143">
        <v>42968.717358368056</v>
      </c>
      <c r="I573" s="143">
        <v>43211</v>
      </c>
      <c r="J573" t="s">
        <v>5259</v>
      </c>
      <c r="K573" t="s">
        <v>5260</v>
      </c>
      <c r="L573" t="s">
        <v>1280</v>
      </c>
      <c r="M573">
        <v>103305</v>
      </c>
      <c r="N573" t="s">
        <v>5252</v>
      </c>
      <c r="O573" t="s">
        <v>25</v>
      </c>
      <c r="P573" t="s">
        <v>88</v>
      </c>
      <c r="Q573" t="s">
        <v>285</v>
      </c>
      <c r="R573" s="105">
        <f>IF(Table__192.168.1.150_Daily_Delinquency_With_Sectors[[#This Row],[Days in Arrears]] &gt; 0, Table__192.168.1.150_Daily_Delinquency_With_Sectors[[#This Row],[Outstanding Balance]],0)</f>
        <v>0</v>
      </c>
      <c r="S573" s="105">
        <f>IF(Table__192.168.1.150_Daily_Delinquency_With_Sectors[[#This Row],[Days in Arrears]] &gt; 30, Table__192.168.1.150_Daily_Delinquency_With_Sectors[[#This Row],[Outstanding Balance]],0)</f>
        <v>0</v>
      </c>
      <c r="T573" s="105">
        <f>IF(Table__192.168.1.150_Daily_Delinquency_With_Sectors[[#This Row],[Days in Arrears]] &gt; 90, Table__192.168.1.150_Daily_Delinquency_With_Sectors[[#This Row],[Outstanding Balance]],0)</f>
        <v>0</v>
      </c>
      <c r="U573" s="109">
        <f>IF(Table__192.168.1.150_Daily_Delinquency_With_Sectors[[#This Row],[Days in Arrears]] &gt;= 1,1,0)</f>
        <v>0</v>
      </c>
      <c r="V573" s="109">
        <f>IF(Table__192.168.1.150_Daily_Delinquency_With_Sectors[[#This Row],[Days in Arrears]] &gt; 30,1,0)</f>
        <v>0</v>
      </c>
      <c r="W573" s="109">
        <f>IF(Table__192.168.1.150_Daily_Delinquency_With_Sectors[[#This Row],[Days in Arrears]] &gt; 90,1,0)</f>
        <v>0</v>
      </c>
    </row>
    <row r="574" spans="1:23" x14ac:dyDescent="0.25">
      <c r="A574" t="s">
        <v>5261</v>
      </c>
      <c r="B574" t="s">
        <v>1282</v>
      </c>
      <c r="C574">
        <v>-27</v>
      </c>
      <c r="D574" s="105">
        <v>6330057.1299999999</v>
      </c>
      <c r="E574" t="s">
        <v>1039</v>
      </c>
      <c r="F574" s="105">
        <v>18990.169999999998</v>
      </c>
      <c r="G574" s="105">
        <v>7519539.9199999999</v>
      </c>
      <c r="H574" s="143">
        <v>42968.609788622685</v>
      </c>
      <c r="I574" s="143">
        <v>43272</v>
      </c>
      <c r="J574" t="s">
        <v>5262</v>
      </c>
      <c r="K574" t="s">
        <v>1280</v>
      </c>
      <c r="L574" t="s">
        <v>1280</v>
      </c>
      <c r="M574">
        <v>103306</v>
      </c>
      <c r="N574" t="s">
        <v>5254</v>
      </c>
      <c r="O574" t="s">
        <v>37</v>
      </c>
      <c r="P574" t="s">
        <v>288</v>
      </c>
      <c r="Q574" t="s">
        <v>1829</v>
      </c>
      <c r="R574" s="105">
        <f>IF(Table__192.168.1.150_Daily_Delinquency_With_Sectors[[#This Row],[Days in Arrears]] &gt; 0, Table__192.168.1.150_Daily_Delinquency_With_Sectors[[#This Row],[Outstanding Balance]],0)</f>
        <v>0</v>
      </c>
      <c r="S574" s="105">
        <f>IF(Table__192.168.1.150_Daily_Delinquency_With_Sectors[[#This Row],[Days in Arrears]] &gt; 30, Table__192.168.1.150_Daily_Delinquency_With_Sectors[[#This Row],[Outstanding Balance]],0)</f>
        <v>0</v>
      </c>
      <c r="T574" s="105">
        <f>IF(Table__192.168.1.150_Daily_Delinquency_With_Sectors[[#This Row],[Days in Arrears]] &gt; 90, Table__192.168.1.150_Daily_Delinquency_With_Sectors[[#This Row],[Outstanding Balance]],0)</f>
        <v>0</v>
      </c>
      <c r="U574" s="109">
        <f>IF(Table__192.168.1.150_Daily_Delinquency_With_Sectors[[#This Row],[Days in Arrears]] &gt;= 1,1,0)</f>
        <v>0</v>
      </c>
      <c r="V574" s="109">
        <f>IF(Table__192.168.1.150_Daily_Delinquency_With_Sectors[[#This Row],[Days in Arrears]] &gt; 30,1,0)</f>
        <v>0</v>
      </c>
      <c r="W574" s="109">
        <f>IF(Table__192.168.1.150_Daily_Delinquency_With_Sectors[[#This Row],[Days in Arrears]] &gt; 90,1,0)</f>
        <v>0</v>
      </c>
    </row>
    <row r="575" spans="1:23" x14ac:dyDescent="0.25">
      <c r="A575" t="s">
        <v>5263</v>
      </c>
      <c r="B575" t="s">
        <v>1282</v>
      </c>
      <c r="C575">
        <v>-27</v>
      </c>
      <c r="D575" s="105">
        <v>2664823.87</v>
      </c>
      <c r="E575" t="s">
        <v>1039</v>
      </c>
      <c r="F575" s="105">
        <v>150729.60000000001</v>
      </c>
      <c r="G575" s="105">
        <v>2908175.8</v>
      </c>
      <c r="H575" s="143">
        <v>42968.741020104164</v>
      </c>
      <c r="I575" s="143">
        <v>43152</v>
      </c>
      <c r="J575" t="s">
        <v>5264</v>
      </c>
      <c r="K575" t="s">
        <v>1280</v>
      </c>
      <c r="L575" t="s">
        <v>1280</v>
      </c>
      <c r="M575">
        <v>103307</v>
      </c>
      <c r="N575" t="s">
        <v>5256</v>
      </c>
      <c r="O575" t="s">
        <v>29</v>
      </c>
      <c r="P575" t="s">
        <v>30</v>
      </c>
      <c r="Q575" t="s">
        <v>1819</v>
      </c>
      <c r="R575" s="105">
        <f>IF(Table__192.168.1.150_Daily_Delinquency_With_Sectors[[#This Row],[Days in Arrears]] &gt; 0, Table__192.168.1.150_Daily_Delinquency_With_Sectors[[#This Row],[Outstanding Balance]],0)</f>
        <v>0</v>
      </c>
      <c r="S575" s="105">
        <f>IF(Table__192.168.1.150_Daily_Delinquency_With_Sectors[[#This Row],[Days in Arrears]] &gt; 30, Table__192.168.1.150_Daily_Delinquency_With_Sectors[[#This Row],[Outstanding Balance]],0)</f>
        <v>0</v>
      </c>
      <c r="T575" s="105">
        <f>IF(Table__192.168.1.150_Daily_Delinquency_With_Sectors[[#This Row],[Days in Arrears]] &gt; 90, Table__192.168.1.150_Daily_Delinquency_With_Sectors[[#This Row],[Outstanding Balance]],0)</f>
        <v>0</v>
      </c>
      <c r="U575" s="109">
        <f>IF(Table__192.168.1.150_Daily_Delinquency_With_Sectors[[#This Row],[Days in Arrears]] &gt;= 1,1,0)</f>
        <v>0</v>
      </c>
      <c r="V575" s="109">
        <f>IF(Table__192.168.1.150_Daily_Delinquency_With_Sectors[[#This Row],[Days in Arrears]] &gt; 30,1,0)</f>
        <v>0</v>
      </c>
      <c r="W575" s="109">
        <f>IF(Table__192.168.1.150_Daily_Delinquency_With_Sectors[[#This Row],[Days in Arrears]] &gt; 90,1,0)</f>
        <v>0</v>
      </c>
    </row>
    <row r="576" spans="1:23" x14ac:dyDescent="0.25">
      <c r="A576" t="s">
        <v>1315</v>
      </c>
      <c r="B576" t="s">
        <v>1282</v>
      </c>
      <c r="C576">
        <v>2</v>
      </c>
      <c r="D576" s="105">
        <v>6913868.54</v>
      </c>
      <c r="E576" t="s">
        <v>963</v>
      </c>
      <c r="F576" s="105">
        <v>227933.22</v>
      </c>
      <c r="G576" s="105">
        <v>8467101.6199999992</v>
      </c>
      <c r="H576" s="143">
        <v>42969.451779976851</v>
      </c>
      <c r="I576" s="143">
        <v>43334</v>
      </c>
      <c r="J576" t="s">
        <v>1316</v>
      </c>
      <c r="K576" t="s">
        <v>1280</v>
      </c>
      <c r="L576" t="s">
        <v>1280</v>
      </c>
      <c r="M576">
        <v>103308</v>
      </c>
      <c r="N576" t="s">
        <v>1314</v>
      </c>
      <c r="O576" t="s">
        <v>25</v>
      </c>
      <c r="P576" t="s">
        <v>88</v>
      </c>
      <c r="Q576" t="s">
        <v>285</v>
      </c>
      <c r="R576" s="105">
        <f>IF(Table__192.168.1.150_Daily_Delinquency_With_Sectors[[#This Row],[Days in Arrears]] &gt; 0, Table__192.168.1.150_Daily_Delinquency_With_Sectors[[#This Row],[Outstanding Balance]],0)</f>
        <v>6913868.54</v>
      </c>
      <c r="S576" s="105">
        <f>IF(Table__192.168.1.150_Daily_Delinquency_With_Sectors[[#This Row],[Days in Arrears]] &gt; 30, Table__192.168.1.150_Daily_Delinquency_With_Sectors[[#This Row],[Outstanding Balance]],0)</f>
        <v>0</v>
      </c>
      <c r="T576" s="105">
        <f>IF(Table__192.168.1.150_Daily_Delinquency_With_Sectors[[#This Row],[Days in Arrears]] &gt; 90, Table__192.168.1.150_Daily_Delinquency_With_Sectors[[#This Row],[Outstanding Balance]],0)</f>
        <v>0</v>
      </c>
      <c r="U576" s="109">
        <f>IF(Table__192.168.1.150_Daily_Delinquency_With_Sectors[[#This Row],[Days in Arrears]] &gt;= 1,1,0)</f>
        <v>1</v>
      </c>
      <c r="V576" s="109">
        <f>IF(Table__192.168.1.150_Daily_Delinquency_With_Sectors[[#This Row],[Days in Arrears]] &gt; 30,1,0)</f>
        <v>0</v>
      </c>
      <c r="W576" s="109">
        <f>IF(Table__192.168.1.150_Daily_Delinquency_With_Sectors[[#This Row],[Days in Arrears]] &gt; 90,1,0)</f>
        <v>0</v>
      </c>
    </row>
    <row r="577" spans="1:23" x14ac:dyDescent="0.25">
      <c r="A577" t="s">
        <v>5286</v>
      </c>
      <c r="B577" t="s">
        <v>1282</v>
      </c>
      <c r="C577">
        <v>1</v>
      </c>
      <c r="D577" s="105">
        <v>2169394.11</v>
      </c>
      <c r="E577" t="s">
        <v>4684</v>
      </c>
      <c r="F577" s="105">
        <v>97622.73</v>
      </c>
      <c r="G577" s="105">
        <v>2684632.66</v>
      </c>
      <c r="H577" s="143">
        <v>42970.699644444445</v>
      </c>
      <c r="I577" s="143">
        <v>43335</v>
      </c>
      <c r="J577" t="s">
        <v>5287</v>
      </c>
      <c r="K577" t="s">
        <v>1280</v>
      </c>
      <c r="L577" t="s">
        <v>1280</v>
      </c>
      <c r="M577">
        <v>103310</v>
      </c>
      <c r="N577" t="s">
        <v>5283</v>
      </c>
      <c r="O577" t="s">
        <v>25</v>
      </c>
      <c r="P577" t="s">
        <v>88</v>
      </c>
      <c r="Q577" t="s">
        <v>285</v>
      </c>
      <c r="R577" s="105">
        <f>IF(Table__192.168.1.150_Daily_Delinquency_With_Sectors[[#This Row],[Days in Arrears]] &gt; 0, Table__192.168.1.150_Daily_Delinquency_With_Sectors[[#This Row],[Outstanding Balance]],0)</f>
        <v>2169394.11</v>
      </c>
      <c r="S577" s="105">
        <f>IF(Table__192.168.1.150_Daily_Delinquency_With_Sectors[[#This Row],[Days in Arrears]] &gt; 30, Table__192.168.1.150_Daily_Delinquency_With_Sectors[[#This Row],[Outstanding Balance]],0)</f>
        <v>0</v>
      </c>
      <c r="T577" s="105">
        <f>IF(Table__192.168.1.150_Daily_Delinquency_With_Sectors[[#This Row],[Days in Arrears]] &gt; 90, Table__192.168.1.150_Daily_Delinquency_With_Sectors[[#This Row],[Outstanding Balance]],0)</f>
        <v>0</v>
      </c>
      <c r="U577" s="109">
        <f>IF(Table__192.168.1.150_Daily_Delinquency_With_Sectors[[#This Row],[Days in Arrears]] &gt;= 1,1,0)</f>
        <v>1</v>
      </c>
      <c r="V577" s="109">
        <f>IF(Table__192.168.1.150_Daily_Delinquency_With_Sectors[[#This Row],[Days in Arrears]] &gt; 30,1,0)</f>
        <v>0</v>
      </c>
      <c r="W577" s="109">
        <f>IF(Table__192.168.1.150_Daily_Delinquency_With_Sectors[[#This Row],[Days in Arrears]] &gt; 90,1,0)</f>
        <v>0</v>
      </c>
    </row>
    <row r="578" spans="1:23" x14ac:dyDescent="0.25">
      <c r="A578" t="s">
        <v>5296</v>
      </c>
      <c r="B578" t="s">
        <v>1866</v>
      </c>
      <c r="C578">
        <v>0</v>
      </c>
      <c r="D578" s="105">
        <v>8312576.0700000003</v>
      </c>
      <c r="E578" t="s">
        <v>5124</v>
      </c>
      <c r="F578" s="105">
        <v>334812.09000000003</v>
      </c>
      <c r="G578" s="105">
        <v>9945280.1600000001</v>
      </c>
      <c r="H578" s="143">
        <v>42971.706171412035</v>
      </c>
      <c r="I578" s="143">
        <v>43275</v>
      </c>
      <c r="J578" t="s">
        <v>5297</v>
      </c>
      <c r="K578" t="s">
        <v>5298</v>
      </c>
      <c r="L578" t="s">
        <v>1280</v>
      </c>
      <c r="M578">
        <v>103311</v>
      </c>
      <c r="N578" t="s">
        <v>5293</v>
      </c>
      <c r="O578" t="s">
        <v>25</v>
      </c>
      <c r="P578" t="s">
        <v>88</v>
      </c>
      <c r="Q578" t="s">
        <v>285</v>
      </c>
      <c r="R578" s="105">
        <f>IF(Table__192.168.1.150_Daily_Delinquency_With_Sectors[[#This Row],[Days in Arrears]] &gt; 0, Table__192.168.1.150_Daily_Delinquency_With_Sectors[[#This Row],[Outstanding Balance]],0)</f>
        <v>0</v>
      </c>
      <c r="S578" s="105">
        <f>IF(Table__192.168.1.150_Daily_Delinquency_With_Sectors[[#This Row],[Days in Arrears]] &gt; 30, Table__192.168.1.150_Daily_Delinquency_With_Sectors[[#This Row],[Outstanding Balance]],0)</f>
        <v>0</v>
      </c>
      <c r="T578" s="105">
        <f>IF(Table__192.168.1.150_Daily_Delinquency_With_Sectors[[#This Row],[Days in Arrears]] &gt; 90, Table__192.168.1.150_Daily_Delinquency_With_Sectors[[#This Row],[Outstanding Balance]],0)</f>
        <v>0</v>
      </c>
      <c r="U578" s="109">
        <f>IF(Table__192.168.1.150_Daily_Delinquency_With_Sectors[[#This Row],[Days in Arrears]] &gt;= 1,1,0)</f>
        <v>0</v>
      </c>
      <c r="V578" s="109">
        <f>IF(Table__192.168.1.150_Daily_Delinquency_With_Sectors[[#This Row],[Days in Arrears]] &gt; 30,1,0)</f>
        <v>0</v>
      </c>
      <c r="W578" s="109">
        <f>IF(Table__192.168.1.150_Daily_Delinquency_With_Sectors[[#This Row],[Days in Arrears]] &gt; 90,1,0)</f>
        <v>0</v>
      </c>
    </row>
    <row r="579" spans="1:23" x14ac:dyDescent="0.25">
      <c r="A579" t="s">
        <v>5308</v>
      </c>
      <c r="B579" t="s">
        <v>1281</v>
      </c>
      <c r="C579">
        <v>-1</v>
      </c>
      <c r="D579" s="105">
        <v>23255400.719999999</v>
      </c>
      <c r="E579" t="s">
        <v>2175</v>
      </c>
      <c r="F579" s="105">
        <v>759676.42</v>
      </c>
      <c r="G579" s="105">
        <v>26185796.370000001</v>
      </c>
      <c r="H579" s="143">
        <v>42972.434798379632</v>
      </c>
      <c r="I579" s="143">
        <v>43215</v>
      </c>
      <c r="J579" t="s">
        <v>5309</v>
      </c>
      <c r="K579" t="s">
        <v>5310</v>
      </c>
      <c r="L579" t="s">
        <v>1280</v>
      </c>
      <c r="M579">
        <v>103312</v>
      </c>
      <c r="N579" t="s">
        <v>5304</v>
      </c>
      <c r="O579" t="s">
        <v>27</v>
      </c>
      <c r="P579" t="s">
        <v>81</v>
      </c>
      <c r="Q579" t="s">
        <v>26</v>
      </c>
      <c r="R579" s="105">
        <f>IF(Table__192.168.1.150_Daily_Delinquency_With_Sectors[[#This Row],[Days in Arrears]] &gt; 0, Table__192.168.1.150_Daily_Delinquency_With_Sectors[[#This Row],[Outstanding Balance]],0)</f>
        <v>0</v>
      </c>
      <c r="S579" s="105">
        <f>IF(Table__192.168.1.150_Daily_Delinquency_With_Sectors[[#This Row],[Days in Arrears]] &gt; 30, Table__192.168.1.150_Daily_Delinquency_With_Sectors[[#This Row],[Outstanding Balance]],0)</f>
        <v>0</v>
      </c>
      <c r="T579" s="105">
        <f>IF(Table__192.168.1.150_Daily_Delinquency_With_Sectors[[#This Row],[Days in Arrears]] &gt; 90, Table__192.168.1.150_Daily_Delinquency_With_Sectors[[#This Row],[Outstanding Balance]],0)</f>
        <v>0</v>
      </c>
      <c r="U579" s="109">
        <f>IF(Table__192.168.1.150_Daily_Delinquency_With_Sectors[[#This Row],[Days in Arrears]] &gt;= 1,1,0)</f>
        <v>0</v>
      </c>
      <c r="V579" s="109">
        <f>IF(Table__192.168.1.150_Daily_Delinquency_With_Sectors[[#This Row],[Days in Arrears]] &gt; 30,1,0)</f>
        <v>0</v>
      </c>
      <c r="W579" s="109">
        <f>IF(Table__192.168.1.150_Daily_Delinquency_With_Sectors[[#This Row],[Days in Arrears]] &gt; 90,1,0)</f>
        <v>0</v>
      </c>
    </row>
    <row r="580" spans="1:23" x14ac:dyDescent="0.25">
      <c r="A580" t="s">
        <v>5311</v>
      </c>
      <c r="B580" t="s">
        <v>1282</v>
      </c>
      <c r="C580">
        <v>-1</v>
      </c>
      <c r="D580" s="105">
        <v>6228825.7699999996</v>
      </c>
      <c r="E580" t="s">
        <v>2855</v>
      </c>
      <c r="F580" s="105">
        <v>232542.83</v>
      </c>
      <c r="G580" s="105">
        <v>7129335.9299999997</v>
      </c>
      <c r="H580" s="143">
        <v>42972.497745833331</v>
      </c>
      <c r="I580" s="143">
        <v>43215</v>
      </c>
      <c r="J580" t="s">
        <v>5312</v>
      </c>
      <c r="K580" t="s">
        <v>5313</v>
      </c>
      <c r="L580" t="s">
        <v>1280</v>
      </c>
      <c r="M580">
        <v>103313</v>
      </c>
      <c r="N580" t="s">
        <v>5307</v>
      </c>
      <c r="O580" t="s">
        <v>28</v>
      </c>
      <c r="P580" t="s">
        <v>26</v>
      </c>
      <c r="Q580" t="s">
        <v>26</v>
      </c>
      <c r="R580" s="105">
        <f>IF(Table__192.168.1.150_Daily_Delinquency_With_Sectors[[#This Row],[Days in Arrears]] &gt; 0, Table__192.168.1.150_Daily_Delinquency_With_Sectors[[#This Row],[Outstanding Balance]],0)</f>
        <v>0</v>
      </c>
      <c r="S580" s="105">
        <f>IF(Table__192.168.1.150_Daily_Delinquency_With_Sectors[[#This Row],[Days in Arrears]] &gt; 30, Table__192.168.1.150_Daily_Delinquency_With_Sectors[[#This Row],[Outstanding Balance]],0)</f>
        <v>0</v>
      </c>
      <c r="T580" s="105">
        <f>IF(Table__192.168.1.150_Daily_Delinquency_With_Sectors[[#This Row],[Days in Arrears]] &gt; 90, Table__192.168.1.150_Daily_Delinquency_With_Sectors[[#This Row],[Outstanding Balance]],0)</f>
        <v>0</v>
      </c>
      <c r="U580" s="109">
        <f>IF(Table__192.168.1.150_Daily_Delinquency_With_Sectors[[#This Row],[Days in Arrears]] &gt;= 1,1,0)</f>
        <v>0</v>
      </c>
      <c r="V580" s="109">
        <f>IF(Table__192.168.1.150_Daily_Delinquency_With_Sectors[[#This Row],[Days in Arrears]] &gt; 30,1,0)</f>
        <v>0</v>
      </c>
      <c r="W580" s="109">
        <f>IF(Table__192.168.1.150_Daily_Delinquency_With_Sectors[[#This Row],[Days in Arrears]] &gt; 90,1,0)</f>
        <v>0</v>
      </c>
    </row>
    <row r="581" spans="1:23" x14ac:dyDescent="0.25">
      <c r="A581" t="s">
        <v>5314</v>
      </c>
      <c r="B581" t="s">
        <v>1282</v>
      </c>
      <c r="C581">
        <v>-7</v>
      </c>
      <c r="D581" s="105">
        <v>4311644.3</v>
      </c>
      <c r="E581" t="s">
        <v>1191</v>
      </c>
      <c r="F581" s="105">
        <v>142284.26</v>
      </c>
      <c r="G581" s="105">
        <v>4829252.8899999997</v>
      </c>
      <c r="H581" s="143">
        <v>42972.678314583332</v>
      </c>
      <c r="I581" s="143">
        <v>43160</v>
      </c>
      <c r="J581" t="s">
        <v>5315</v>
      </c>
      <c r="K581" t="s">
        <v>5316</v>
      </c>
      <c r="L581" t="s">
        <v>1280</v>
      </c>
      <c r="M581">
        <v>103314</v>
      </c>
      <c r="N581" t="s">
        <v>5306</v>
      </c>
      <c r="O581" t="s">
        <v>25</v>
      </c>
      <c r="P581" t="s">
        <v>88</v>
      </c>
      <c r="Q581" t="s">
        <v>285</v>
      </c>
      <c r="R581" s="105">
        <f>IF(Table__192.168.1.150_Daily_Delinquency_With_Sectors[[#This Row],[Days in Arrears]] &gt; 0, Table__192.168.1.150_Daily_Delinquency_With_Sectors[[#This Row],[Outstanding Balance]],0)</f>
        <v>0</v>
      </c>
      <c r="S581" s="105">
        <f>IF(Table__192.168.1.150_Daily_Delinquency_With_Sectors[[#This Row],[Days in Arrears]] &gt; 30, Table__192.168.1.150_Daily_Delinquency_With_Sectors[[#This Row],[Outstanding Balance]],0)</f>
        <v>0</v>
      </c>
      <c r="T581" s="105">
        <f>IF(Table__192.168.1.150_Daily_Delinquency_With_Sectors[[#This Row],[Days in Arrears]] &gt; 90, Table__192.168.1.150_Daily_Delinquency_With_Sectors[[#This Row],[Outstanding Balance]],0)</f>
        <v>0</v>
      </c>
      <c r="U581" s="109">
        <f>IF(Table__192.168.1.150_Daily_Delinquency_With_Sectors[[#This Row],[Days in Arrears]] &gt;= 1,1,0)</f>
        <v>0</v>
      </c>
      <c r="V581" s="109">
        <f>IF(Table__192.168.1.150_Daily_Delinquency_With_Sectors[[#This Row],[Days in Arrears]] &gt; 30,1,0)</f>
        <v>0</v>
      </c>
      <c r="W581" s="109">
        <f>IF(Table__192.168.1.150_Daily_Delinquency_With_Sectors[[#This Row],[Days in Arrears]] &gt; 90,1,0)</f>
        <v>0</v>
      </c>
    </row>
    <row r="582" spans="1:23" x14ac:dyDescent="0.25">
      <c r="A582" t="s">
        <v>276</v>
      </c>
      <c r="B582" t="s">
        <v>1282</v>
      </c>
      <c r="C582">
        <v>-7</v>
      </c>
      <c r="D582" s="105">
        <v>9543132.9600000009</v>
      </c>
      <c r="E582" t="s">
        <v>90</v>
      </c>
      <c r="F582" s="105">
        <v>279931.90000000002</v>
      </c>
      <c r="G582" s="105">
        <v>11765818.75</v>
      </c>
      <c r="H582" s="143">
        <v>42975.555813460647</v>
      </c>
      <c r="I582" s="143">
        <v>43344</v>
      </c>
      <c r="J582" t="s">
        <v>277</v>
      </c>
      <c r="K582" t="s">
        <v>278</v>
      </c>
      <c r="L582" t="s">
        <v>1280</v>
      </c>
      <c r="M582">
        <v>103315</v>
      </c>
      <c r="N582" t="s">
        <v>114</v>
      </c>
      <c r="O582" t="s">
        <v>25</v>
      </c>
      <c r="P582" t="s">
        <v>88</v>
      </c>
      <c r="Q582" t="s">
        <v>285</v>
      </c>
      <c r="R582" s="105">
        <f>IF(Table__192.168.1.150_Daily_Delinquency_With_Sectors[[#This Row],[Days in Arrears]] &gt; 0, Table__192.168.1.150_Daily_Delinquency_With_Sectors[[#This Row],[Outstanding Balance]],0)</f>
        <v>0</v>
      </c>
      <c r="S582" s="105">
        <f>IF(Table__192.168.1.150_Daily_Delinquency_With_Sectors[[#This Row],[Days in Arrears]] &gt; 30, Table__192.168.1.150_Daily_Delinquency_With_Sectors[[#This Row],[Outstanding Balance]],0)</f>
        <v>0</v>
      </c>
      <c r="T582" s="105">
        <f>IF(Table__192.168.1.150_Daily_Delinquency_With_Sectors[[#This Row],[Days in Arrears]] &gt; 90, Table__192.168.1.150_Daily_Delinquency_With_Sectors[[#This Row],[Outstanding Balance]],0)</f>
        <v>0</v>
      </c>
      <c r="U582" s="109">
        <f>IF(Table__192.168.1.150_Daily_Delinquency_With_Sectors[[#This Row],[Days in Arrears]] &gt;= 1,1,0)</f>
        <v>0</v>
      </c>
      <c r="V582" s="109">
        <f>IF(Table__192.168.1.150_Daily_Delinquency_With_Sectors[[#This Row],[Days in Arrears]] &gt; 30,1,0)</f>
        <v>0</v>
      </c>
      <c r="W582" s="109">
        <f>IF(Table__192.168.1.150_Daily_Delinquency_With_Sectors[[#This Row],[Days in Arrears]] &gt; 90,1,0)</f>
        <v>0</v>
      </c>
    </row>
    <row r="583" spans="1:23" x14ac:dyDescent="0.25">
      <c r="A583" t="s">
        <v>5336</v>
      </c>
      <c r="B583" t="s">
        <v>1866</v>
      </c>
      <c r="C583">
        <v>-7</v>
      </c>
      <c r="D583" s="105">
        <v>4177532.16</v>
      </c>
      <c r="E583" t="s">
        <v>5124</v>
      </c>
      <c r="F583" s="105">
        <v>127646.82</v>
      </c>
      <c r="G583" s="105">
        <v>4621569.6100000003</v>
      </c>
      <c r="H583" s="143">
        <v>42975.539610914355</v>
      </c>
      <c r="I583" s="143">
        <v>43160</v>
      </c>
      <c r="J583" t="s">
        <v>5337</v>
      </c>
      <c r="K583" t="s">
        <v>5338</v>
      </c>
      <c r="L583" t="s">
        <v>1280</v>
      </c>
      <c r="M583">
        <v>103316</v>
      </c>
      <c r="N583" t="s">
        <v>5330</v>
      </c>
      <c r="O583" t="s">
        <v>25</v>
      </c>
      <c r="P583" t="s">
        <v>88</v>
      </c>
      <c r="Q583" t="s">
        <v>285</v>
      </c>
      <c r="R583" s="105">
        <f>IF(Table__192.168.1.150_Daily_Delinquency_With_Sectors[[#This Row],[Days in Arrears]] &gt; 0, Table__192.168.1.150_Daily_Delinquency_With_Sectors[[#This Row],[Outstanding Balance]],0)</f>
        <v>0</v>
      </c>
      <c r="S583" s="105">
        <f>IF(Table__192.168.1.150_Daily_Delinquency_With_Sectors[[#This Row],[Days in Arrears]] &gt; 30, Table__192.168.1.150_Daily_Delinquency_With_Sectors[[#This Row],[Outstanding Balance]],0)</f>
        <v>0</v>
      </c>
      <c r="T583" s="105">
        <f>IF(Table__192.168.1.150_Daily_Delinquency_With_Sectors[[#This Row],[Days in Arrears]] &gt; 90, Table__192.168.1.150_Daily_Delinquency_With_Sectors[[#This Row],[Outstanding Balance]],0)</f>
        <v>0</v>
      </c>
      <c r="U583" s="109">
        <f>IF(Table__192.168.1.150_Daily_Delinquency_With_Sectors[[#This Row],[Days in Arrears]] &gt;= 1,1,0)</f>
        <v>0</v>
      </c>
      <c r="V583" s="109">
        <f>IF(Table__192.168.1.150_Daily_Delinquency_With_Sectors[[#This Row],[Days in Arrears]] &gt; 30,1,0)</f>
        <v>0</v>
      </c>
      <c r="W583" s="109">
        <f>IF(Table__192.168.1.150_Daily_Delinquency_With_Sectors[[#This Row],[Days in Arrears]] &gt; 90,1,0)</f>
        <v>0</v>
      </c>
    </row>
    <row r="584" spans="1:23" x14ac:dyDescent="0.25">
      <c r="A584" t="s">
        <v>5339</v>
      </c>
      <c r="B584" t="s">
        <v>1282</v>
      </c>
      <c r="C584">
        <v>53</v>
      </c>
      <c r="D584" s="105">
        <v>5692511.4699999997</v>
      </c>
      <c r="E584" t="s">
        <v>3074</v>
      </c>
      <c r="F584" s="105">
        <v>248327.12</v>
      </c>
      <c r="G584" s="105">
        <v>7010893.6699999999</v>
      </c>
      <c r="H584" s="143">
        <v>42975.650625347225</v>
      </c>
      <c r="I584" s="143">
        <v>43282</v>
      </c>
      <c r="J584" t="s">
        <v>5340</v>
      </c>
      <c r="K584" t="s">
        <v>5341</v>
      </c>
      <c r="L584" t="s">
        <v>1280</v>
      </c>
      <c r="M584">
        <v>103317</v>
      </c>
      <c r="N584" t="s">
        <v>5332</v>
      </c>
      <c r="O584" t="s">
        <v>25</v>
      </c>
      <c r="P584" t="s">
        <v>88</v>
      </c>
      <c r="Q584" t="s">
        <v>285</v>
      </c>
      <c r="R584" s="105">
        <f>IF(Table__192.168.1.150_Daily_Delinquency_With_Sectors[[#This Row],[Days in Arrears]] &gt; 0, Table__192.168.1.150_Daily_Delinquency_With_Sectors[[#This Row],[Outstanding Balance]],0)</f>
        <v>5692511.4699999997</v>
      </c>
      <c r="S584" s="105">
        <f>IF(Table__192.168.1.150_Daily_Delinquency_With_Sectors[[#This Row],[Days in Arrears]] &gt; 30, Table__192.168.1.150_Daily_Delinquency_With_Sectors[[#This Row],[Outstanding Balance]],0)</f>
        <v>5692511.4699999997</v>
      </c>
      <c r="T584" s="105">
        <f>IF(Table__192.168.1.150_Daily_Delinquency_With_Sectors[[#This Row],[Days in Arrears]] &gt; 90, Table__192.168.1.150_Daily_Delinquency_With_Sectors[[#This Row],[Outstanding Balance]],0)</f>
        <v>0</v>
      </c>
      <c r="U584" s="109">
        <f>IF(Table__192.168.1.150_Daily_Delinquency_With_Sectors[[#This Row],[Days in Arrears]] &gt;= 1,1,0)</f>
        <v>1</v>
      </c>
      <c r="V584" s="109">
        <f>IF(Table__192.168.1.150_Daily_Delinquency_With_Sectors[[#This Row],[Days in Arrears]] &gt; 30,1,0)</f>
        <v>1</v>
      </c>
      <c r="W584" s="109">
        <f>IF(Table__192.168.1.150_Daily_Delinquency_With_Sectors[[#This Row],[Days in Arrears]] &gt; 90,1,0)</f>
        <v>0</v>
      </c>
    </row>
    <row r="585" spans="1:23" x14ac:dyDescent="0.25">
      <c r="A585" t="s">
        <v>5342</v>
      </c>
      <c r="B585" t="s">
        <v>1279</v>
      </c>
      <c r="C585">
        <v>-7</v>
      </c>
      <c r="D585" s="105">
        <v>838246.64</v>
      </c>
      <c r="E585" t="s">
        <v>4844</v>
      </c>
      <c r="F585" s="105">
        <v>27662.14</v>
      </c>
      <c r="G585" s="105">
        <v>934623.71</v>
      </c>
      <c r="H585" s="143">
        <v>42975.660906168981</v>
      </c>
      <c r="I585" s="143">
        <v>43160</v>
      </c>
      <c r="J585" t="s">
        <v>5343</v>
      </c>
      <c r="K585" t="s">
        <v>1280</v>
      </c>
      <c r="L585" t="s">
        <v>1280</v>
      </c>
      <c r="M585">
        <v>103318</v>
      </c>
      <c r="N585" t="s">
        <v>5331</v>
      </c>
      <c r="O585" t="s">
        <v>25</v>
      </c>
      <c r="P585" t="s">
        <v>88</v>
      </c>
      <c r="Q585" t="s">
        <v>285</v>
      </c>
      <c r="R585" s="105">
        <f>IF(Table__192.168.1.150_Daily_Delinquency_With_Sectors[[#This Row],[Days in Arrears]] &gt; 0, Table__192.168.1.150_Daily_Delinquency_With_Sectors[[#This Row],[Outstanding Balance]],0)</f>
        <v>0</v>
      </c>
      <c r="S585" s="105">
        <f>IF(Table__192.168.1.150_Daily_Delinquency_With_Sectors[[#This Row],[Days in Arrears]] &gt; 30, Table__192.168.1.150_Daily_Delinquency_With_Sectors[[#This Row],[Outstanding Balance]],0)</f>
        <v>0</v>
      </c>
      <c r="T585" s="105">
        <f>IF(Table__192.168.1.150_Daily_Delinquency_With_Sectors[[#This Row],[Days in Arrears]] &gt; 90, Table__192.168.1.150_Daily_Delinquency_With_Sectors[[#This Row],[Outstanding Balance]],0)</f>
        <v>0</v>
      </c>
      <c r="U585" s="109">
        <f>IF(Table__192.168.1.150_Daily_Delinquency_With_Sectors[[#This Row],[Days in Arrears]] &gt;= 1,1,0)</f>
        <v>0</v>
      </c>
      <c r="V585" s="109">
        <f>IF(Table__192.168.1.150_Daily_Delinquency_With_Sectors[[#This Row],[Days in Arrears]] &gt; 30,1,0)</f>
        <v>0</v>
      </c>
      <c r="W585" s="109">
        <f>IF(Table__192.168.1.150_Daily_Delinquency_With_Sectors[[#This Row],[Days in Arrears]] &gt; 90,1,0)</f>
        <v>0</v>
      </c>
    </row>
    <row r="586" spans="1:23" x14ac:dyDescent="0.25">
      <c r="A586" t="s">
        <v>5344</v>
      </c>
      <c r="B586" t="s">
        <v>1282</v>
      </c>
      <c r="C586">
        <v>-7</v>
      </c>
      <c r="D586" s="105">
        <v>11720378.470000001</v>
      </c>
      <c r="E586" t="s">
        <v>1191</v>
      </c>
      <c r="F586" s="105">
        <v>386772.49</v>
      </c>
      <c r="G586" s="105">
        <v>14215380.130000001</v>
      </c>
      <c r="H586" s="143">
        <v>42975.715995138889</v>
      </c>
      <c r="I586" s="143">
        <v>43282</v>
      </c>
      <c r="J586" t="s">
        <v>5345</v>
      </c>
      <c r="K586" t="s">
        <v>5346</v>
      </c>
      <c r="L586" t="s">
        <v>1280</v>
      </c>
      <c r="M586">
        <v>103319</v>
      </c>
      <c r="N586" t="s">
        <v>5333</v>
      </c>
      <c r="O586" t="s">
        <v>37</v>
      </c>
      <c r="P586" t="s">
        <v>38</v>
      </c>
      <c r="Q586" t="s">
        <v>39</v>
      </c>
      <c r="R586" s="105">
        <f>IF(Table__192.168.1.150_Daily_Delinquency_With_Sectors[[#This Row],[Days in Arrears]] &gt; 0, Table__192.168.1.150_Daily_Delinquency_With_Sectors[[#This Row],[Outstanding Balance]],0)</f>
        <v>0</v>
      </c>
      <c r="S586" s="105">
        <f>IF(Table__192.168.1.150_Daily_Delinquency_With_Sectors[[#This Row],[Days in Arrears]] &gt; 30, Table__192.168.1.150_Daily_Delinquency_With_Sectors[[#This Row],[Outstanding Balance]],0)</f>
        <v>0</v>
      </c>
      <c r="T586" s="105">
        <f>IF(Table__192.168.1.150_Daily_Delinquency_With_Sectors[[#This Row],[Days in Arrears]] &gt; 90, Table__192.168.1.150_Daily_Delinquency_With_Sectors[[#This Row],[Outstanding Balance]],0)</f>
        <v>0</v>
      </c>
      <c r="U586" s="109">
        <f>IF(Table__192.168.1.150_Daily_Delinquency_With_Sectors[[#This Row],[Days in Arrears]] &gt;= 1,1,0)</f>
        <v>0</v>
      </c>
      <c r="V586" s="109">
        <f>IF(Table__192.168.1.150_Daily_Delinquency_With_Sectors[[#This Row],[Days in Arrears]] &gt; 30,1,0)</f>
        <v>0</v>
      </c>
      <c r="W586" s="109">
        <f>IF(Table__192.168.1.150_Daily_Delinquency_With_Sectors[[#This Row],[Days in Arrears]] &gt; 90,1,0)</f>
        <v>0</v>
      </c>
    </row>
    <row r="587" spans="1:23" x14ac:dyDescent="0.25">
      <c r="A587" t="s">
        <v>5356</v>
      </c>
      <c r="B587" t="s">
        <v>1282</v>
      </c>
      <c r="C587">
        <v>-7</v>
      </c>
      <c r="D587" s="105">
        <v>4351244.07</v>
      </c>
      <c r="E587" t="s">
        <v>4844</v>
      </c>
      <c r="F587" s="105">
        <v>143591.04999999999</v>
      </c>
      <c r="G587" s="105">
        <v>5499050.9800000004</v>
      </c>
      <c r="H587" s="143">
        <v>42976.521201967589</v>
      </c>
      <c r="I587" s="143">
        <v>43344</v>
      </c>
      <c r="J587" t="s">
        <v>5357</v>
      </c>
      <c r="K587" t="s">
        <v>1280</v>
      </c>
      <c r="L587" t="s">
        <v>1280</v>
      </c>
      <c r="M587">
        <v>103320</v>
      </c>
      <c r="N587" t="s">
        <v>5353</v>
      </c>
      <c r="O587" t="s">
        <v>25</v>
      </c>
      <c r="P587" t="s">
        <v>88</v>
      </c>
      <c r="Q587" t="s">
        <v>285</v>
      </c>
      <c r="R587" s="105">
        <f>IF(Table__192.168.1.150_Daily_Delinquency_With_Sectors[[#This Row],[Days in Arrears]] &gt; 0, Table__192.168.1.150_Daily_Delinquency_With_Sectors[[#This Row],[Outstanding Balance]],0)</f>
        <v>0</v>
      </c>
      <c r="S587" s="105">
        <f>IF(Table__192.168.1.150_Daily_Delinquency_With_Sectors[[#This Row],[Days in Arrears]] &gt; 30, Table__192.168.1.150_Daily_Delinquency_With_Sectors[[#This Row],[Outstanding Balance]],0)</f>
        <v>0</v>
      </c>
      <c r="T587" s="105">
        <f>IF(Table__192.168.1.150_Daily_Delinquency_With_Sectors[[#This Row],[Days in Arrears]] &gt; 90, Table__192.168.1.150_Daily_Delinquency_With_Sectors[[#This Row],[Outstanding Balance]],0)</f>
        <v>0</v>
      </c>
      <c r="U587" s="109">
        <f>IF(Table__192.168.1.150_Daily_Delinquency_With_Sectors[[#This Row],[Days in Arrears]] &gt;= 1,1,0)</f>
        <v>0</v>
      </c>
      <c r="V587" s="109">
        <f>IF(Table__192.168.1.150_Daily_Delinquency_With_Sectors[[#This Row],[Days in Arrears]] &gt; 30,1,0)</f>
        <v>0</v>
      </c>
      <c r="W587" s="109">
        <f>IF(Table__192.168.1.150_Daily_Delinquency_With_Sectors[[#This Row],[Days in Arrears]] &gt; 90,1,0)</f>
        <v>0</v>
      </c>
    </row>
    <row r="588" spans="1:23" x14ac:dyDescent="0.25">
      <c r="A588" t="s">
        <v>5358</v>
      </c>
      <c r="B588" t="s">
        <v>1282</v>
      </c>
      <c r="C588">
        <v>-7</v>
      </c>
      <c r="D588" s="105">
        <v>2092621.42</v>
      </c>
      <c r="E588" t="s">
        <v>5352</v>
      </c>
      <c r="F588" s="105">
        <v>69056.509999999995</v>
      </c>
      <c r="G588" s="105">
        <v>2333219.7000000002</v>
      </c>
      <c r="H588" s="143">
        <v>42976.540823842595</v>
      </c>
      <c r="I588" s="143">
        <v>43160</v>
      </c>
      <c r="J588" t="s">
        <v>5359</v>
      </c>
      <c r="K588" t="s">
        <v>5360</v>
      </c>
      <c r="L588" t="s">
        <v>1280</v>
      </c>
      <c r="M588">
        <v>103321</v>
      </c>
      <c r="N588" t="s">
        <v>5351</v>
      </c>
      <c r="O588" t="s">
        <v>25</v>
      </c>
      <c r="P588" t="s">
        <v>94</v>
      </c>
      <c r="Q588" t="s">
        <v>95</v>
      </c>
      <c r="R588" s="105">
        <f>IF(Table__192.168.1.150_Daily_Delinquency_With_Sectors[[#This Row],[Days in Arrears]] &gt; 0, Table__192.168.1.150_Daily_Delinquency_With_Sectors[[#This Row],[Outstanding Balance]],0)</f>
        <v>0</v>
      </c>
      <c r="S588" s="105">
        <f>IF(Table__192.168.1.150_Daily_Delinquency_With_Sectors[[#This Row],[Days in Arrears]] &gt; 30, Table__192.168.1.150_Daily_Delinquency_With_Sectors[[#This Row],[Outstanding Balance]],0)</f>
        <v>0</v>
      </c>
      <c r="T588" s="105">
        <f>IF(Table__192.168.1.150_Daily_Delinquency_With_Sectors[[#This Row],[Days in Arrears]] &gt; 90, Table__192.168.1.150_Daily_Delinquency_With_Sectors[[#This Row],[Outstanding Balance]],0)</f>
        <v>0</v>
      </c>
      <c r="U588" s="109">
        <f>IF(Table__192.168.1.150_Daily_Delinquency_With_Sectors[[#This Row],[Days in Arrears]] &gt;= 1,1,0)</f>
        <v>0</v>
      </c>
      <c r="V588" s="109">
        <f>IF(Table__192.168.1.150_Daily_Delinquency_With_Sectors[[#This Row],[Days in Arrears]] &gt; 30,1,0)</f>
        <v>0</v>
      </c>
      <c r="W588" s="109">
        <f>IF(Table__192.168.1.150_Daily_Delinquency_With_Sectors[[#This Row],[Days in Arrears]] &gt; 90,1,0)</f>
        <v>0</v>
      </c>
    </row>
    <row r="589" spans="1:23" x14ac:dyDescent="0.25">
      <c r="A589" t="s">
        <v>5368</v>
      </c>
      <c r="B589" t="s">
        <v>1866</v>
      </c>
      <c r="C589">
        <v>-7</v>
      </c>
      <c r="D589" s="105">
        <v>4684646.0199999996</v>
      </c>
      <c r="E589" t="s">
        <v>5124</v>
      </c>
      <c r="F589" s="105">
        <v>143141.96</v>
      </c>
      <c r="G589" s="105">
        <v>5392238.29</v>
      </c>
      <c r="H589" s="143">
        <v>42977.493870914353</v>
      </c>
      <c r="I589" s="143">
        <v>43222</v>
      </c>
      <c r="J589" t="s">
        <v>5369</v>
      </c>
      <c r="K589" t="s">
        <v>1280</v>
      </c>
      <c r="L589" t="s">
        <v>1280</v>
      </c>
      <c r="M589">
        <v>103322</v>
      </c>
      <c r="N589" t="s">
        <v>5367</v>
      </c>
      <c r="O589" t="s">
        <v>25</v>
      </c>
      <c r="P589" t="s">
        <v>88</v>
      </c>
      <c r="Q589" t="s">
        <v>285</v>
      </c>
      <c r="R589" s="105">
        <f>IF(Table__192.168.1.150_Daily_Delinquency_With_Sectors[[#This Row],[Days in Arrears]] &gt; 0, Table__192.168.1.150_Daily_Delinquency_With_Sectors[[#This Row],[Outstanding Balance]],0)</f>
        <v>0</v>
      </c>
      <c r="S589" s="105">
        <f>IF(Table__192.168.1.150_Daily_Delinquency_With_Sectors[[#This Row],[Days in Arrears]] &gt; 30, Table__192.168.1.150_Daily_Delinquency_With_Sectors[[#This Row],[Outstanding Balance]],0)</f>
        <v>0</v>
      </c>
      <c r="T589" s="105">
        <f>IF(Table__192.168.1.150_Daily_Delinquency_With_Sectors[[#This Row],[Days in Arrears]] &gt; 90, Table__192.168.1.150_Daily_Delinquency_With_Sectors[[#This Row],[Outstanding Balance]],0)</f>
        <v>0</v>
      </c>
      <c r="U589" s="109">
        <f>IF(Table__192.168.1.150_Daily_Delinquency_With_Sectors[[#This Row],[Days in Arrears]] &gt;= 1,1,0)</f>
        <v>0</v>
      </c>
      <c r="V589" s="109">
        <f>IF(Table__192.168.1.150_Daily_Delinquency_With_Sectors[[#This Row],[Days in Arrears]] &gt; 30,1,0)</f>
        <v>0</v>
      </c>
      <c r="W589" s="109">
        <f>IF(Table__192.168.1.150_Daily_Delinquency_With_Sectors[[#This Row],[Days in Arrears]] &gt; 90,1,0)</f>
        <v>0</v>
      </c>
    </row>
    <row r="590" spans="1:23" x14ac:dyDescent="0.25">
      <c r="A590" t="s">
        <v>4085</v>
      </c>
      <c r="B590" t="s">
        <v>1281</v>
      </c>
      <c r="C590">
        <v>-7</v>
      </c>
      <c r="D590" s="105">
        <v>13785684.529999999</v>
      </c>
      <c r="E590" t="s">
        <v>491</v>
      </c>
      <c r="F590" s="105">
        <v>353832.57</v>
      </c>
      <c r="G590" s="105">
        <v>16576095.66</v>
      </c>
      <c r="H590" s="143">
        <v>42977.530860300925</v>
      </c>
      <c r="I590" s="143">
        <v>43344</v>
      </c>
      <c r="J590" t="s">
        <v>4086</v>
      </c>
      <c r="K590" t="s">
        <v>4087</v>
      </c>
      <c r="L590" t="s">
        <v>1280</v>
      </c>
      <c r="M590">
        <v>103323</v>
      </c>
      <c r="N590" t="s">
        <v>4083</v>
      </c>
      <c r="O590" t="s">
        <v>25</v>
      </c>
      <c r="P590" t="s">
        <v>88</v>
      </c>
      <c r="Q590" t="s">
        <v>285</v>
      </c>
      <c r="R590" s="105">
        <f>IF(Table__192.168.1.150_Daily_Delinquency_With_Sectors[[#This Row],[Days in Arrears]] &gt; 0, Table__192.168.1.150_Daily_Delinquency_With_Sectors[[#This Row],[Outstanding Balance]],0)</f>
        <v>0</v>
      </c>
      <c r="S590" s="105">
        <f>IF(Table__192.168.1.150_Daily_Delinquency_With_Sectors[[#This Row],[Days in Arrears]] &gt; 30, Table__192.168.1.150_Daily_Delinquency_With_Sectors[[#This Row],[Outstanding Balance]],0)</f>
        <v>0</v>
      </c>
      <c r="T590" s="105">
        <f>IF(Table__192.168.1.150_Daily_Delinquency_With_Sectors[[#This Row],[Days in Arrears]] &gt; 90, Table__192.168.1.150_Daily_Delinquency_With_Sectors[[#This Row],[Outstanding Balance]],0)</f>
        <v>0</v>
      </c>
      <c r="U590" s="109">
        <f>IF(Table__192.168.1.150_Daily_Delinquency_With_Sectors[[#This Row],[Days in Arrears]] &gt;= 1,1,0)</f>
        <v>0</v>
      </c>
      <c r="V590" s="109">
        <f>IF(Table__192.168.1.150_Daily_Delinquency_With_Sectors[[#This Row],[Days in Arrears]] &gt; 30,1,0)</f>
        <v>0</v>
      </c>
      <c r="W590" s="109">
        <f>IF(Table__192.168.1.150_Daily_Delinquency_With_Sectors[[#This Row],[Days in Arrears]] &gt; 90,1,0)</f>
        <v>0</v>
      </c>
    </row>
    <row r="591" spans="1:23" x14ac:dyDescent="0.25">
      <c r="A591" t="s">
        <v>3188</v>
      </c>
      <c r="B591" t="s">
        <v>1282</v>
      </c>
      <c r="C591">
        <v>23</v>
      </c>
      <c r="D591" s="105">
        <v>5140545.05</v>
      </c>
      <c r="E591" t="s">
        <v>1039</v>
      </c>
      <c r="F591" s="105">
        <v>288430.24</v>
      </c>
      <c r="G591" s="105">
        <v>6397871.0700000003</v>
      </c>
      <c r="H591" s="143">
        <v>42977.704196030092</v>
      </c>
      <c r="I591" s="143">
        <v>43344</v>
      </c>
      <c r="J591" t="s">
        <v>3189</v>
      </c>
      <c r="K591" t="s">
        <v>1280</v>
      </c>
      <c r="L591" t="s">
        <v>1280</v>
      </c>
      <c r="M591">
        <v>103324</v>
      </c>
      <c r="N591" t="s">
        <v>3185</v>
      </c>
      <c r="O591" t="s">
        <v>25</v>
      </c>
      <c r="P591" t="s">
        <v>88</v>
      </c>
      <c r="Q591" t="s">
        <v>285</v>
      </c>
      <c r="R591" s="105">
        <f>IF(Table__192.168.1.150_Daily_Delinquency_With_Sectors[[#This Row],[Days in Arrears]] &gt; 0, Table__192.168.1.150_Daily_Delinquency_With_Sectors[[#This Row],[Outstanding Balance]],0)</f>
        <v>5140545.05</v>
      </c>
      <c r="S591" s="105">
        <f>IF(Table__192.168.1.150_Daily_Delinquency_With_Sectors[[#This Row],[Days in Arrears]] &gt; 30, Table__192.168.1.150_Daily_Delinquency_With_Sectors[[#This Row],[Outstanding Balance]],0)</f>
        <v>0</v>
      </c>
      <c r="T591" s="105">
        <f>IF(Table__192.168.1.150_Daily_Delinquency_With_Sectors[[#This Row],[Days in Arrears]] &gt; 90, Table__192.168.1.150_Daily_Delinquency_With_Sectors[[#This Row],[Outstanding Balance]],0)</f>
        <v>0</v>
      </c>
      <c r="U591" s="109">
        <f>IF(Table__192.168.1.150_Daily_Delinquency_With_Sectors[[#This Row],[Days in Arrears]] &gt;= 1,1,0)</f>
        <v>1</v>
      </c>
      <c r="V591" s="109">
        <f>IF(Table__192.168.1.150_Daily_Delinquency_With_Sectors[[#This Row],[Days in Arrears]] &gt; 30,1,0)</f>
        <v>0</v>
      </c>
      <c r="W591" s="109">
        <f>IF(Table__192.168.1.150_Daily_Delinquency_With_Sectors[[#This Row],[Days in Arrears]] &gt; 90,1,0)</f>
        <v>0</v>
      </c>
    </row>
    <row r="592" spans="1:23" x14ac:dyDescent="0.25">
      <c r="A592" t="s">
        <v>869</v>
      </c>
      <c r="B592" t="s">
        <v>1284</v>
      </c>
      <c r="C592">
        <v>23</v>
      </c>
      <c r="D592" s="105">
        <v>25871959.25</v>
      </c>
      <c r="E592" t="s">
        <v>86</v>
      </c>
      <c r="F592" s="105">
        <v>1012027.18</v>
      </c>
      <c r="G592" s="105">
        <v>33098533.329999998</v>
      </c>
      <c r="H592" s="143">
        <v>42978.51465853009</v>
      </c>
      <c r="I592" s="143">
        <v>43525</v>
      </c>
      <c r="J592" t="s">
        <v>870</v>
      </c>
      <c r="K592" t="s">
        <v>871</v>
      </c>
      <c r="L592" t="s">
        <v>1280</v>
      </c>
      <c r="M592">
        <v>103325</v>
      </c>
      <c r="N592" t="s">
        <v>868</v>
      </c>
      <c r="O592" t="s">
        <v>25</v>
      </c>
      <c r="P592" t="s">
        <v>88</v>
      </c>
      <c r="Q592" t="s">
        <v>285</v>
      </c>
      <c r="R592" s="105">
        <f>IF(Table__192.168.1.150_Daily_Delinquency_With_Sectors[[#This Row],[Days in Arrears]] &gt; 0, Table__192.168.1.150_Daily_Delinquency_With_Sectors[[#This Row],[Outstanding Balance]],0)</f>
        <v>25871959.25</v>
      </c>
      <c r="S592" s="105">
        <f>IF(Table__192.168.1.150_Daily_Delinquency_With_Sectors[[#This Row],[Days in Arrears]] &gt; 30, Table__192.168.1.150_Daily_Delinquency_With_Sectors[[#This Row],[Outstanding Balance]],0)</f>
        <v>0</v>
      </c>
      <c r="T592" s="105">
        <f>IF(Table__192.168.1.150_Daily_Delinquency_With_Sectors[[#This Row],[Days in Arrears]] &gt; 90, Table__192.168.1.150_Daily_Delinquency_With_Sectors[[#This Row],[Outstanding Balance]],0)</f>
        <v>0</v>
      </c>
      <c r="U592" s="109">
        <f>IF(Table__192.168.1.150_Daily_Delinquency_With_Sectors[[#This Row],[Days in Arrears]] &gt;= 1,1,0)</f>
        <v>1</v>
      </c>
      <c r="V592" s="109">
        <f>IF(Table__192.168.1.150_Daily_Delinquency_With_Sectors[[#This Row],[Days in Arrears]] &gt; 30,1,0)</f>
        <v>0</v>
      </c>
      <c r="W592" s="109">
        <f>IF(Table__192.168.1.150_Daily_Delinquency_With_Sectors[[#This Row],[Days in Arrears]] &gt; 90,1,0)</f>
        <v>0</v>
      </c>
    </row>
    <row r="593" spans="1:23" x14ac:dyDescent="0.25">
      <c r="A593" t="s">
        <v>5374</v>
      </c>
      <c r="B593" t="s">
        <v>1282</v>
      </c>
      <c r="C593">
        <v>23</v>
      </c>
      <c r="D593" s="105">
        <v>4599698.87</v>
      </c>
      <c r="E593" t="s">
        <v>1191</v>
      </c>
      <c r="F593" s="105">
        <v>344724.63</v>
      </c>
      <c r="G593" s="105">
        <v>5695210.21</v>
      </c>
      <c r="H593" s="143">
        <v>42978.663012650461</v>
      </c>
      <c r="I593" s="143">
        <v>43282</v>
      </c>
      <c r="J593" t="s">
        <v>5375</v>
      </c>
      <c r="K593" t="s">
        <v>1280</v>
      </c>
      <c r="L593" t="s">
        <v>1280</v>
      </c>
      <c r="M593">
        <v>103326</v>
      </c>
      <c r="N593" t="s">
        <v>5370</v>
      </c>
      <c r="O593" t="s">
        <v>27</v>
      </c>
      <c r="P593" t="s">
        <v>81</v>
      </c>
      <c r="Q593" t="s">
        <v>5371</v>
      </c>
      <c r="R593" s="105">
        <f>IF(Table__192.168.1.150_Daily_Delinquency_With_Sectors[[#This Row],[Days in Arrears]] &gt; 0, Table__192.168.1.150_Daily_Delinquency_With_Sectors[[#This Row],[Outstanding Balance]],0)</f>
        <v>4599698.87</v>
      </c>
      <c r="S593" s="105">
        <f>IF(Table__192.168.1.150_Daily_Delinquency_With_Sectors[[#This Row],[Days in Arrears]] &gt; 30, Table__192.168.1.150_Daily_Delinquency_With_Sectors[[#This Row],[Outstanding Balance]],0)</f>
        <v>0</v>
      </c>
      <c r="T593" s="105">
        <f>IF(Table__192.168.1.150_Daily_Delinquency_With_Sectors[[#This Row],[Days in Arrears]] &gt; 90, Table__192.168.1.150_Daily_Delinquency_With_Sectors[[#This Row],[Outstanding Balance]],0)</f>
        <v>0</v>
      </c>
      <c r="U593" s="109">
        <f>IF(Table__192.168.1.150_Daily_Delinquency_With_Sectors[[#This Row],[Days in Arrears]] &gt;= 1,1,0)</f>
        <v>1</v>
      </c>
      <c r="V593" s="109">
        <f>IF(Table__192.168.1.150_Daily_Delinquency_With_Sectors[[#This Row],[Days in Arrears]] &gt; 30,1,0)</f>
        <v>0</v>
      </c>
      <c r="W593" s="109">
        <f>IF(Table__192.168.1.150_Daily_Delinquency_With_Sectors[[#This Row],[Days in Arrears]] &gt; 90,1,0)</f>
        <v>0</v>
      </c>
    </row>
    <row r="594" spans="1:23" x14ac:dyDescent="0.25">
      <c r="A594" t="s">
        <v>5376</v>
      </c>
      <c r="B594" t="s">
        <v>1282</v>
      </c>
      <c r="C594">
        <v>-7</v>
      </c>
      <c r="D594" s="105">
        <v>4173884.19</v>
      </c>
      <c r="E594" t="s">
        <v>5352</v>
      </c>
      <c r="F594" s="105">
        <v>137738.18</v>
      </c>
      <c r="G594" s="105">
        <v>5062409.08</v>
      </c>
      <c r="H594" s="143">
        <v>42978.741225428239</v>
      </c>
      <c r="I594" s="143">
        <v>43282</v>
      </c>
      <c r="J594" t="s">
        <v>5377</v>
      </c>
      <c r="K594" t="s">
        <v>5378</v>
      </c>
      <c r="L594" t="s">
        <v>1280</v>
      </c>
      <c r="M594">
        <v>103327</v>
      </c>
      <c r="N594" t="s">
        <v>5373</v>
      </c>
      <c r="O594" t="s">
        <v>25</v>
      </c>
      <c r="P594" t="s">
        <v>88</v>
      </c>
      <c r="Q594" t="s">
        <v>285</v>
      </c>
      <c r="R594" s="105">
        <f>IF(Table__192.168.1.150_Daily_Delinquency_With_Sectors[[#This Row],[Days in Arrears]] &gt; 0, Table__192.168.1.150_Daily_Delinquency_With_Sectors[[#This Row],[Outstanding Balance]],0)</f>
        <v>0</v>
      </c>
      <c r="S594" s="105">
        <f>IF(Table__192.168.1.150_Daily_Delinquency_With_Sectors[[#This Row],[Days in Arrears]] &gt; 30, Table__192.168.1.150_Daily_Delinquency_With_Sectors[[#This Row],[Outstanding Balance]],0)</f>
        <v>0</v>
      </c>
      <c r="T594" s="105">
        <f>IF(Table__192.168.1.150_Daily_Delinquency_With_Sectors[[#This Row],[Days in Arrears]] &gt; 90, Table__192.168.1.150_Daily_Delinquency_With_Sectors[[#This Row],[Outstanding Balance]],0)</f>
        <v>0</v>
      </c>
      <c r="U594" s="109">
        <f>IF(Table__192.168.1.150_Daily_Delinquency_With_Sectors[[#This Row],[Days in Arrears]] &gt;= 1,1,0)</f>
        <v>0</v>
      </c>
      <c r="V594" s="109">
        <f>IF(Table__192.168.1.150_Daily_Delinquency_With_Sectors[[#This Row],[Days in Arrears]] &gt; 30,1,0)</f>
        <v>0</v>
      </c>
      <c r="W594" s="109">
        <f>IF(Table__192.168.1.150_Daily_Delinquency_With_Sectors[[#This Row],[Days in Arrears]] &gt; 90,1,0)</f>
        <v>0</v>
      </c>
    </row>
    <row r="595" spans="1:23" x14ac:dyDescent="0.25">
      <c r="A595" t="s">
        <v>5379</v>
      </c>
      <c r="B595" t="s">
        <v>1282</v>
      </c>
      <c r="C595">
        <v>-7</v>
      </c>
      <c r="D595" s="105">
        <v>9055047.1199999992</v>
      </c>
      <c r="E595" t="s">
        <v>2175</v>
      </c>
      <c r="F595" s="105">
        <v>298816.55</v>
      </c>
      <c r="G595" s="105">
        <v>10096147.460000001</v>
      </c>
      <c r="H595" s="143">
        <v>42978.731462037038</v>
      </c>
      <c r="I595" s="143">
        <v>43160</v>
      </c>
      <c r="J595" t="s">
        <v>5380</v>
      </c>
      <c r="K595" t="s">
        <v>5381</v>
      </c>
      <c r="L595" t="s">
        <v>1280</v>
      </c>
      <c r="M595">
        <v>103328</v>
      </c>
      <c r="N595" t="s">
        <v>5372</v>
      </c>
      <c r="O595" t="s">
        <v>25</v>
      </c>
      <c r="P595" t="s">
        <v>88</v>
      </c>
      <c r="Q595" t="s">
        <v>285</v>
      </c>
      <c r="R595" s="105">
        <f>IF(Table__192.168.1.150_Daily_Delinquency_With_Sectors[[#This Row],[Days in Arrears]] &gt; 0, Table__192.168.1.150_Daily_Delinquency_With_Sectors[[#This Row],[Outstanding Balance]],0)</f>
        <v>0</v>
      </c>
      <c r="S595" s="105">
        <f>IF(Table__192.168.1.150_Daily_Delinquency_With_Sectors[[#This Row],[Days in Arrears]] &gt; 30, Table__192.168.1.150_Daily_Delinquency_With_Sectors[[#This Row],[Outstanding Balance]],0)</f>
        <v>0</v>
      </c>
      <c r="T595" s="105">
        <f>IF(Table__192.168.1.150_Daily_Delinquency_With_Sectors[[#This Row],[Days in Arrears]] &gt; 90, Table__192.168.1.150_Daily_Delinquency_With_Sectors[[#This Row],[Outstanding Balance]],0)</f>
        <v>0</v>
      </c>
      <c r="U595" s="109">
        <f>IF(Table__192.168.1.150_Daily_Delinquency_With_Sectors[[#This Row],[Days in Arrears]] &gt;= 1,1,0)</f>
        <v>0</v>
      </c>
      <c r="V595" s="109">
        <f>IF(Table__192.168.1.150_Daily_Delinquency_With_Sectors[[#This Row],[Days in Arrears]] &gt; 30,1,0)</f>
        <v>0</v>
      </c>
      <c r="W595" s="109">
        <f>IF(Table__192.168.1.150_Daily_Delinquency_With_Sectors[[#This Row],[Days in Arrears]] &gt; 90,1,0)</f>
        <v>0</v>
      </c>
    </row>
    <row r="596" spans="1:23" x14ac:dyDescent="0.25">
      <c r="A596" t="s">
        <v>5392</v>
      </c>
      <c r="B596" t="s">
        <v>1281</v>
      </c>
      <c r="C596">
        <v>-10</v>
      </c>
      <c r="D596" s="105">
        <v>14111470.060000001</v>
      </c>
      <c r="E596" t="s">
        <v>2175</v>
      </c>
      <c r="F596" s="105">
        <v>357490.57</v>
      </c>
      <c r="G596" s="105">
        <v>16767568.43</v>
      </c>
      <c r="H596" s="143">
        <v>42982.679339236114</v>
      </c>
      <c r="I596" s="143">
        <v>43285</v>
      </c>
      <c r="J596" t="s">
        <v>5393</v>
      </c>
      <c r="K596" t="s">
        <v>5394</v>
      </c>
      <c r="L596" t="s">
        <v>1280</v>
      </c>
      <c r="M596">
        <v>103329</v>
      </c>
      <c r="N596" t="s">
        <v>5388</v>
      </c>
      <c r="O596" t="s">
        <v>25</v>
      </c>
      <c r="P596" t="s">
        <v>88</v>
      </c>
      <c r="Q596" t="s">
        <v>285</v>
      </c>
      <c r="R596" s="105">
        <f>IF(Table__192.168.1.150_Daily_Delinquency_With_Sectors[[#This Row],[Days in Arrears]] &gt; 0, Table__192.168.1.150_Daily_Delinquency_With_Sectors[[#This Row],[Outstanding Balance]],0)</f>
        <v>0</v>
      </c>
      <c r="S596" s="105">
        <f>IF(Table__192.168.1.150_Daily_Delinquency_With_Sectors[[#This Row],[Days in Arrears]] &gt; 30, Table__192.168.1.150_Daily_Delinquency_With_Sectors[[#This Row],[Outstanding Balance]],0)</f>
        <v>0</v>
      </c>
      <c r="T596" s="105">
        <f>IF(Table__192.168.1.150_Daily_Delinquency_With_Sectors[[#This Row],[Days in Arrears]] &gt; 90, Table__192.168.1.150_Daily_Delinquency_With_Sectors[[#This Row],[Outstanding Balance]],0)</f>
        <v>0</v>
      </c>
      <c r="U596" s="109">
        <f>IF(Table__192.168.1.150_Daily_Delinquency_With_Sectors[[#This Row],[Days in Arrears]] &gt;= 1,1,0)</f>
        <v>0</v>
      </c>
      <c r="V596" s="109">
        <f>IF(Table__192.168.1.150_Daily_Delinquency_With_Sectors[[#This Row],[Days in Arrears]] &gt; 30,1,0)</f>
        <v>0</v>
      </c>
      <c r="W596" s="109">
        <f>IF(Table__192.168.1.150_Daily_Delinquency_With_Sectors[[#This Row],[Days in Arrears]] &gt; 90,1,0)</f>
        <v>0</v>
      </c>
    </row>
    <row r="597" spans="1:23" x14ac:dyDescent="0.25">
      <c r="A597" t="s">
        <v>5402</v>
      </c>
      <c r="B597" t="s">
        <v>1284</v>
      </c>
      <c r="C597">
        <v>-12</v>
      </c>
      <c r="D597" s="105">
        <v>31965547.149999999</v>
      </c>
      <c r="E597" t="s">
        <v>2855</v>
      </c>
      <c r="F597" s="105">
        <v>543414.30000000005</v>
      </c>
      <c r="G597" s="105">
        <v>40716869.659999996</v>
      </c>
      <c r="H597" s="143">
        <v>42984.636498807871</v>
      </c>
      <c r="I597" s="143">
        <v>43530</v>
      </c>
      <c r="J597" t="s">
        <v>5403</v>
      </c>
      <c r="K597" t="s">
        <v>5404</v>
      </c>
      <c r="L597" t="s">
        <v>1280</v>
      </c>
      <c r="M597">
        <v>103330</v>
      </c>
      <c r="N597" t="s">
        <v>5400</v>
      </c>
      <c r="O597" t="s">
        <v>44</v>
      </c>
      <c r="P597" t="s">
        <v>75</v>
      </c>
      <c r="Q597" t="s">
        <v>1442</v>
      </c>
      <c r="R597" s="105">
        <f>IF(Table__192.168.1.150_Daily_Delinquency_With_Sectors[[#This Row],[Days in Arrears]] &gt; 0, Table__192.168.1.150_Daily_Delinquency_With_Sectors[[#This Row],[Outstanding Balance]],0)</f>
        <v>0</v>
      </c>
      <c r="S597" s="105">
        <f>IF(Table__192.168.1.150_Daily_Delinquency_With_Sectors[[#This Row],[Days in Arrears]] &gt; 30, Table__192.168.1.150_Daily_Delinquency_With_Sectors[[#This Row],[Outstanding Balance]],0)</f>
        <v>0</v>
      </c>
      <c r="T597" s="105">
        <f>IF(Table__192.168.1.150_Daily_Delinquency_With_Sectors[[#This Row],[Days in Arrears]] &gt; 90, Table__192.168.1.150_Daily_Delinquency_With_Sectors[[#This Row],[Outstanding Balance]],0)</f>
        <v>0</v>
      </c>
      <c r="U597" s="109">
        <f>IF(Table__192.168.1.150_Daily_Delinquency_With_Sectors[[#This Row],[Days in Arrears]] &gt;= 1,1,0)</f>
        <v>0</v>
      </c>
      <c r="V597" s="109">
        <f>IF(Table__192.168.1.150_Daily_Delinquency_With_Sectors[[#This Row],[Days in Arrears]] &gt; 30,1,0)</f>
        <v>0</v>
      </c>
      <c r="W597" s="109">
        <f>IF(Table__192.168.1.150_Daily_Delinquency_With_Sectors[[#This Row],[Days in Arrears]] &gt; 90,1,0)</f>
        <v>0</v>
      </c>
    </row>
    <row r="598" spans="1:23" x14ac:dyDescent="0.25">
      <c r="A598" t="s">
        <v>3387</v>
      </c>
      <c r="B598" t="s">
        <v>1866</v>
      </c>
      <c r="C598">
        <v>43</v>
      </c>
      <c r="D598" s="105">
        <v>9831925.9800000004</v>
      </c>
      <c r="E598" t="s">
        <v>1191</v>
      </c>
      <c r="F598" s="105">
        <v>340934.38</v>
      </c>
      <c r="G598" s="105">
        <v>12005447.34</v>
      </c>
      <c r="H598" s="143">
        <v>42989.615845219909</v>
      </c>
      <c r="I598" s="143">
        <v>43354</v>
      </c>
      <c r="J598" t="s">
        <v>3388</v>
      </c>
      <c r="K598" t="s">
        <v>3389</v>
      </c>
      <c r="L598" t="s">
        <v>1280</v>
      </c>
      <c r="M598">
        <v>103331</v>
      </c>
      <c r="N598" t="s">
        <v>3386</v>
      </c>
      <c r="O598" t="s">
        <v>25</v>
      </c>
      <c r="P598" t="s">
        <v>88</v>
      </c>
      <c r="Q598" t="s">
        <v>285</v>
      </c>
      <c r="R598" s="105">
        <f>IF(Table__192.168.1.150_Daily_Delinquency_With_Sectors[[#This Row],[Days in Arrears]] &gt; 0, Table__192.168.1.150_Daily_Delinquency_With_Sectors[[#This Row],[Outstanding Balance]],0)</f>
        <v>9831925.9800000004</v>
      </c>
      <c r="S598" s="105">
        <f>IF(Table__192.168.1.150_Daily_Delinquency_With_Sectors[[#This Row],[Days in Arrears]] &gt; 30, Table__192.168.1.150_Daily_Delinquency_With_Sectors[[#This Row],[Outstanding Balance]],0)</f>
        <v>9831925.9800000004</v>
      </c>
      <c r="T598" s="105">
        <f>IF(Table__192.168.1.150_Daily_Delinquency_With_Sectors[[#This Row],[Days in Arrears]] &gt; 90, Table__192.168.1.150_Daily_Delinquency_With_Sectors[[#This Row],[Outstanding Balance]],0)</f>
        <v>0</v>
      </c>
      <c r="U598" s="109">
        <f>IF(Table__192.168.1.150_Daily_Delinquency_With_Sectors[[#This Row],[Days in Arrears]] &gt;= 1,1,0)</f>
        <v>1</v>
      </c>
      <c r="V598" s="109">
        <f>IF(Table__192.168.1.150_Daily_Delinquency_With_Sectors[[#This Row],[Days in Arrears]] &gt; 30,1,0)</f>
        <v>1</v>
      </c>
      <c r="W598" s="109">
        <f>IF(Table__192.168.1.150_Daily_Delinquency_With_Sectors[[#This Row],[Days in Arrears]] &gt; 90,1,0)</f>
        <v>0</v>
      </c>
    </row>
    <row r="599" spans="1:23" x14ac:dyDescent="0.25">
      <c r="A599" t="s">
        <v>5544</v>
      </c>
      <c r="B599" t="s">
        <v>1284</v>
      </c>
      <c r="C599">
        <v>2</v>
      </c>
      <c r="D599" s="105">
        <v>18950683.91</v>
      </c>
      <c r="E599" t="s">
        <v>2494</v>
      </c>
      <c r="F599" s="105">
        <v>638116.49</v>
      </c>
      <c r="G599" s="105">
        <v>24010334.09</v>
      </c>
      <c r="H599" s="143">
        <v>43000.551402893521</v>
      </c>
      <c r="I599" s="143">
        <v>43456</v>
      </c>
      <c r="J599" t="s">
        <v>5545</v>
      </c>
      <c r="K599" t="s">
        <v>1280</v>
      </c>
      <c r="L599" t="s">
        <v>1280</v>
      </c>
      <c r="M599">
        <v>103332</v>
      </c>
      <c r="N599" t="s">
        <v>5542</v>
      </c>
      <c r="O599" t="s">
        <v>44</v>
      </c>
      <c r="P599" t="s">
        <v>75</v>
      </c>
      <c r="Q599" t="s">
        <v>4000</v>
      </c>
      <c r="R599" s="105">
        <f>IF(Table__192.168.1.150_Daily_Delinquency_With_Sectors[[#This Row],[Days in Arrears]] &gt; 0, Table__192.168.1.150_Daily_Delinquency_With_Sectors[[#This Row],[Outstanding Balance]],0)</f>
        <v>18950683.91</v>
      </c>
      <c r="S599" s="105">
        <f>IF(Table__192.168.1.150_Daily_Delinquency_With_Sectors[[#This Row],[Days in Arrears]] &gt; 30, Table__192.168.1.150_Daily_Delinquency_With_Sectors[[#This Row],[Outstanding Balance]],0)</f>
        <v>0</v>
      </c>
      <c r="T599" s="105">
        <f>IF(Table__192.168.1.150_Daily_Delinquency_With_Sectors[[#This Row],[Days in Arrears]] &gt; 90, Table__192.168.1.150_Daily_Delinquency_With_Sectors[[#This Row],[Outstanding Balance]],0)</f>
        <v>0</v>
      </c>
      <c r="U599" s="109">
        <f>IF(Table__192.168.1.150_Daily_Delinquency_With_Sectors[[#This Row],[Days in Arrears]] &gt;= 1,1,0)</f>
        <v>1</v>
      </c>
      <c r="V599" s="109">
        <f>IF(Table__192.168.1.150_Daily_Delinquency_With_Sectors[[#This Row],[Days in Arrears]] &gt; 30,1,0)</f>
        <v>0</v>
      </c>
      <c r="W599" s="109">
        <f>IF(Table__192.168.1.150_Daily_Delinquency_With_Sectors[[#This Row],[Days in Arrears]] &gt; 90,1,0)</f>
        <v>0</v>
      </c>
    </row>
    <row r="600" spans="1:23" x14ac:dyDescent="0.25">
      <c r="A600" t="s">
        <v>5434</v>
      </c>
      <c r="B600" t="s">
        <v>1282</v>
      </c>
      <c r="C600">
        <v>-18</v>
      </c>
      <c r="D600" s="105">
        <v>2083950.78</v>
      </c>
      <c r="E600" t="s">
        <v>2175</v>
      </c>
      <c r="F600" s="105">
        <v>34385.19</v>
      </c>
      <c r="G600" s="105">
        <v>2527576.4700000002</v>
      </c>
      <c r="H600" s="143">
        <v>42990.502439895834</v>
      </c>
      <c r="I600" s="143">
        <v>43293</v>
      </c>
      <c r="J600" t="s">
        <v>5435</v>
      </c>
      <c r="K600" t="s">
        <v>5436</v>
      </c>
      <c r="L600" t="s">
        <v>1280</v>
      </c>
      <c r="M600">
        <v>103333</v>
      </c>
      <c r="N600" t="s">
        <v>5431</v>
      </c>
      <c r="O600" t="s">
        <v>25</v>
      </c>
      <c r="P600" t="s">
        <v>88</v>
      </c>
      <c r="Q600" t="s">
        <v>285</v>
      </c>
      <c r="R600" s="105">
        <f>IF(Table__192.168.1.150_Daily_Delinquency_With_Sectors[[#This Row],[Days in Arrears]] &gt; 0, Table__192.168.1.150_Daily_Delinquency_With_Sectors[[#This Row],[Outstanding Balance]],0)</f>
        <v>0</v>
      </c>
      <c r="S600" s="105">
        <f>IF(Table__192.168.1.150_Daily_Delinquency_With_Sectors[[#This Row],[Days in Arrears]] &gt; 30, Table__192.168.1.150_Daily_Delinquency_With_Sectors[[#This Row],[Outstanding Balance]],0)</f>
        <v>0</v>
      </c>
      <c r="T600" s="105">
        <f>IF(Table__192.168.1.150_Daily_Delinquency_With_Sectors[[#This Row],[Days in Arrears]] &gt; 90, Table__192.168.1.150_Daily_Delinquency_With_Sectors[[#This Row],[Outstanding Balance]],0)</f>
        <v>0</v>
      </c>
      <c r="U600" s="109">
        <f>IF(Table__192.168.1.150_Daily_Delinquency_With_Sectors[[#This Row],[Days in Arrears]] &gt;= 1,1,0)</f>
        <v>0</v>
      </c>
      <c r="V600" s="109">
        <f>IF(Table__192.168.1.150_Daily_Delinquency_With_Sectors[[#This Row],[Days in Arrears]] &gt; 30,1,0)</f>
        <v>0</v>
      </c>
      <c r="W600" s="109">
        <f>IF(Table__192.168.1.150_Daily_Delinquency_With_Sectors[[#This Row],[Days in Arrears]] &gt; 90,1,0)</f>
        <v>0</v>
      </c>
    </row>
    <row r="601" spans="1:23" x14ac:dyDescent="0.25">
      <c r="A601" t="s">
        <v>5437</v>
      </c>
      <c r="B601" t="s">
        <v>1282</v>
      </c>
      <c r="C601">
        <v>-18</v>
      </c>
      <c r="D601" s="105">
        <v>5001481.8600000003</v>
      </c>
      <c r="E601" t="s">
        <v>5124</v>
      </c>
      <c r="F601" s="105">
        <v>82524.45</v>
      </c>
      <c r="G601" s="105">
        <v>6066183.4400000004</v>
      </c>
      <c r="H601" s="143">
        <v>42990.598106481484</v>
      </c>
      <c r="I601" s="143">
        <v>43293</v>
      </c>
      <c r="J601" t="s">
        <v>5438</v>
      </c>
      <c r="K601" t="s">
        <v>5439</v>
      </c>
      <c r="L601" t="s">
        <v>1280</v>
      </c>
      <c r="M601">
        <v>103334</v>
      </c>
      <c r="N601" t="s">
        <v>5432</v>
      </c>
      <c r="O601" t="s">
        <v>25</v>
      </c>
      <c r="P601" t="s">
        <v>88</v>
      </c>
      <c r="Q601" t="s">
        <v>285</v>
      </c>
      <c r="R601" s="105">
        <f>IF(Table__192.168.1.150_Daily_Delinquency_With_Sectors[[#This Row],[Days in Arrears]] &gt; 0, Table__192.168.1.150_Daily_Delinquency_With_Sectors[[#This Row],[Outstanding Balance]],0)</f>
        <v>0</v>
      </c>
      <c r="S601" s="105">
        <f>IF(Table__192.168.1.150_Daily_Delinquency_With_Sectors[[#This Row],[Days in Arrears]] &gt; 30, Table__192.168.1.150_Daily_Delinquency_With_Sectors[[#This Row],[Outstanding Balance]],0)</f>
        <v>0</v>
      </c>
      <c r="T601" s="105">
        <f>IF(Table__192.168.1.150_Daily_Delinquency_With_Sectors[[#This Row],[Days in Arrears]] &gt; 90, Table__192.168.1.150_Daily_Delinquency_With_Sectors[[#This Row],[Outstanding Balance]],0)</f>
        <v>0</v>
      </c>
      <c r="U601" s="109">
        <f>IF(Table__192.168.1.150_Daily_Delinquency_With_Sectors[[#This Row],[Days in Arrears]] &gt;= 1,1,0)</f>
        <v>0</v>
      </c>
      <c r="V601" s="109">
        <f>IF(Table__192.168.1.150_Daily_Delinquency_With_Sectors[[#This Row],[Days in Arrears]] &gt; 30,1,0)</f>
        <v>0</v>
      </c>
      <c r="W601" s="109">
        <f>IF(Table__192.168.1.150_Daily_Delinquency_With_Sectors[[#This Row],[Days in Arrears]] &gt; 90,1,0)</f>
        <v>0</v>
      </c>
    </row>
    <row r="602" spans="1:23" x14ac:dyDescent="0.25">
      <c r="A602" t="s">
        <v>5446</v>
      </c>
      <c r="B602" t="s">
        <v>1281</v>
      </c>
      <c r="C602">
        <v>-19</v>
      </c>
      <c r="D602" s="105">
        <v>26836079.52</v>
      </c>
      <c r="E602" t="s">
        <v>90</v>
      </c>
      <c r="F602" s="105">
        <v>313087.59000000003</v>
      </c>
      <c r="G602" s="105">
        <v>33861777.060000002</v>
      </c>
      <c r="H602" s="143">
        <v>42991.676158298615</v>
      </c>
      <c r="I602" s="143">
        <v>43447</v>
      </c>
      <c r="J602" t="s">
        <v>5447</v>
      </c>
      <c r="K602" t="s">
        <v>1280</v>
      </c>
      <c r="L602" t="s">
        <v>1280</v>
      </c>
      <c r="M602">
        <v>103335</v>
      </c>
      <c r="N602" t="s">
        <v>5443</v>
      </c>
      <c r="O602" t="s">
        <v>46</v>
      </c>
      <c r="P602" t="s">
        <v>46</v>
      </c>
      <c r="Q602" t="s">
        <v>112</v>
      </c>
      <c r="R602" s="105">
        <f>IF(Table__192.168.1.150_Daily_Delinquency_With_Sectors[[#This Row],[Days in Arrears]] &gt; 0, Table__192.168.1.150_Daily_Delinquency_With_Sectors[[#This Row],[Outstanding Balance]],0)</f>
        <v>0</v>
      </c>
      <c r="S602" s="105">
        <f>IF(Table__192.168.1.150_Daily_Delinquency_With_Sectors[[#This Row],[Days in Arrears]] &gt; 30, Table__192.168.1.150_Daily_Delinquency_With_Sectors[[#This Row],[Outstanding Balance]],0)</f>
        <v>0</v>
      </c>
      <c r="T602" s="105">
        <f>IF(Table__192.168.1.150_Daily_Delinquency_With_Sectors[[#This Row],[Days in Arrears]] &gt; 90, Table__192.168.1.150_Daily_Delinquency_With_Sectors[[#This Row],[Outstanding Balance]],0)</f>
        <v>0</v>
      </c>
      <c r="U602" s="109">
        <f>IF(Table__192.168.1.150_Daily_Delinquency_With_Sectors[[#This Row],[Days in Arrears]] &gt;= 1,1,0)</f>
        <v>0</v>
      </c>
      <c r="V602" s="109">
        <f>IF(Table__192.168.1.150_Daily_Delinquency_With_Sectors[[#This Row],[Days in Arrears]] &gt; 30,1,0)</f>
        <v>0</v>
      </c>
      <c r="W602" s="109">
        <f>IF(Table__192.168.1.150_Daily_Delinquency_With_Sectors[[#This Row],[Days in Arrears]] &gt; 90,1,0)</f>
        <v>0</v>
      </c>
    </row>
    <row r="603" spans="1:23" x14ac:dyDescent="0.25">
      <c r="A603" t="s">
        <v>5448</v>
      </c>
      <c r="B603" t="s">
        <v>1866</v>
      </c>
      <c r="C603">
        <v>-19</v>
      </c>
      <c r="D603" s="105">
        <v>6650060.8399999999</v>
      </c>
      <c r="E603" t="s">
        <v>5124</v>
      </c>
      <c r="F603" s="105">
        <v>92361.96</v>
      </c>
      <c r="G603" s="105">
        <v>7956224.0999999996</v>
      </c>
      <c r="H603" s="143">
        <v>42991.640739548609</v>
      </c>
      <c r="I603" s="143">
        <v>43294</v>
      </c>
      <c r="J603" t="s">
        <v>5449</v>
      </c>
      <c r="K603" t="s">
        <v>5450</v>
      </c>
      <c r="L603" t="s">
        <v>1280</v>
      </c>
      <c r="M603">
        <v>103336</v>
      </c>
      <c r="N603" t="s">
        <v>5445</v>
      </c>
      <c r="O603" t="s">
        <v>25</v>
      </c>
      <c r="P603" t="s">
        <v>88</v>
      </c>
      <c r="Q603" t="s">
        <v>285</v>
      </c>
      <c r="R603" s="105">
        <f>IF(Table__192.168.1.150_Daily_Delinquency_With_Sectors[[#This Row],[Days in Arrears]] &gt; 0, Table__192.168.1.150_Daily_Delinquency_With_Sectors[[#This Row],[Outstanding Balance]],0)</f>
        <v>0</v>
      </c>
      <c r="S603" s="105">
        <f>IF(Table__192.168.1.150_Daily_Delinquency_With_Sectors[[#This Row],[Days in Arrears]] &gt; 30, Table__192.168.1.150_Daily_Delinquency_With_Sectors[[#This Row],[Outstanding Balance]],0)</f>
        <v>0</v>
      </c>
      <c r="T603" s="105">
        <f>IF(Table__192.168.1.150_Daily_Delinquency_With_Sectors[[#This Row],[Days in Arrears]] &gt; 90, Table__192.168.1.150_Daily_Delinquency_With_Sectors[[#This Row],[Outstanding Balance]],0)</f>
        <v>0</v>
      </c>
      <c r="U603" s="109">
        <f>IF(Table__192.168.1.150_Daily_Delinquency_With_Sectors[[#This Row],[Days in Arrears]] &gt;= 1,1,0)</f>
        <v>0</v>
      </c>
      <c r="V603" s="109">
        <f>IF(Table__192.168.1.150_Daily_Delinquency_With_Sectors[[#This Row],[Days in Arrears]] &gt; 30,1,0)</f>
        <v>0</v>
      </c>
      <c r="W603" s="109">
        <f>IF(Table__192.168.1.150_Daily_Delinquency_With_Sectors[[#This Row],[Days in Arrears]] &gt; 90,1,0)</f>
        <v>0</v>
      </c>
    </row>
    <row r="604" spans="1:23" x14ac:dyDescent="0.25">
      <c r="A604" t="s">
        <v>1438</v>
      </c>
      <c r="B604" t="s">
        <v>1281</v>
      </c>
      <c r="C604">
        <v>9</v>
      </c>
      <c r="D604" s="105">
        <v>19183663.18</v>
      </c>
      <c r="E604" t="s">
        <v>963</v>
      </c>
      <c r="F604" s="105">
        <v>333852.73</v>
      </c>
      <c r="G604" s="105">
        <v>25268988.66</v>
      </c>
      <c r="H604" s="143">
        <v>42993.718332986115</v>
      </c>
      <c r="I604" s="143">
        <v>43539</v>
      </c>
      <c r="J604" t="s">
        <v>1439</v>
      </c>
      <c r="K604" t="s">
        <v>1280</v>
      </c>
      <c r="L604" t="s">
        <v>1440</v>
      </c>
      <c r="M604">
        <v>103337</v>
      </c>
      <c r="N604" t="s">
        <v>1437</v>
      </c>
      <c r="O604" t="s">
        <v>37</v>
      </c>
      <c r="P604" t="s">
        <v>38</v>
      </c>
      <c r="Q604" t="s">
        <v>39</v>
      </c>
      <c r="R604" s="105">
        <f>IF(Table__192.168.1.150_Daily_Delinquency_With_Sectors[[#This Row],[Days in Arrears]] &gt; 0, Table__192.168.1.150_Daily_Delinquency_With_Sectors[[#This Row],[Outstanding Balance]],0)</f>
        <v>19183663.18</v>
      </c>
      <c r="S604" s="105">
        <f>IF(Table__192.168.1.150_Daily_Delinquency_With_Sectors[[#This Row],[Days in Arrears]] &gt; 30, Table__192.168.1.150_Daily_Delinquency_With_Sectors[[#This Row],[Outstanding Balance]],0)</f>
        <v>0</v>
      </c>
      <c r="T604" s="105">
        <f>IF(Table__192.168.1.150_Daily_Delinquency_With_Sectors[[#This Row],[Days in Arrears]] &gt; 90, Table__192.168.1.150_Daily_Delinquency_With_Sectors[[#This Row],[Outstanding Balance]],0)</f>
        <v>0</v>
      </c>
      <c r="U604" s="109">
        <f>IF(Table__192.168.1.150_Daily_Delinquency_With_Sectors[[#This Row],[Days in Arrears]] &gt;= 1,1,0)</f>
        <v>1</v>
      </c>
      <c r="V604" s="109">
        <f>IF(Table__192.168.1.150_Daily_Delinquency_With_Sectors[[#This Row],[Days in Arrears]] &gt; 30,1,0)</f>
        <v>0</v>
      </c>
      <c r="W604" s="109">
        <f>IF(Table__192.168.1.150_Daily_Delinquency_With_Sectors[[#This Row],[Days in Arrears]] &gt; 90,1,0)</f>
        <v>0</v>
      </c>
    </row>
    <row r="605" spans="1:23" x14ac:dyDescent="0.25">
      <c r="A605" t="s">
        <v>3403</v>
      </c>
      <c r="B605" t="s">
        <v>1282</v>
      </c>
      <c r="C605">
        <v>-20</v>
      </c>
      <c r="D605" s="105">
        <v>4150432.37</v>
      </c>
      <c r="E605" t="s">
        <v>1447</v>
      </c>
      <c r="F605" s="105">
        <v>49805.19</v>
      </c>
      <c r="G605" s="105">
        <v>4931637.78</v>
      </c>
      <c r="H605" s="143">
        <v>42992.475522997687</v>
      </c>
      <c r="I605" s="143">
        <v>43295</v>
      </c>
      <c r="J605" t="s">
        <v>3404</v>
      </c>
      <c r="K605" t="s">
        <v>3405</v>
      </c>
      <c r="L605" t="s">
        <v>1280</v>
      </c>
      <c r="M605">
        <v>103338</v>
      </c>
      <c r="N605" t="s">
        <v>3397</v>
      </c>
      <c r="O605" t="s">
        <v>44</v>
      </c>
      <c r="P605" t="s">
        <v>75</v>
      </c>
      <c r="Q605" t="s">
        <v>4834</v>
      </c>
      <c r="R605" s="105">
        <f>IF(Table__192.168.1.150_Daily_Delinquency_With_Sectors[[#This Row],[Days in Arrears]] &gt; 0, Table__192.168.1.150_Daily_Delinquency_With_Sectors[[#This Row],[Outstanding Balance]],0)</f>
        <v>0</v>
      </c>
      <c r="S605" s="105">
        <f>IF(Table__192.168.1.150_Daily_Delinquency_With_Sectors[[#This Row],[Days in Arrears]] &gt; 30, Table__192.168.1.150_Daily_Delinquency_With_Sectors[[#This Row],[Outstanding Balance]],0)</f>
        <v>0</v>
      </c>
      <c r="T605" s="105">
        <f>IF(Table__192.168.1.150_Daily_Delinquency_With_Sectors[[#This Row],[Days in Arrears]] &gt; 90, Table__192.168.1.150_Daily_Delinquency_With_Sectors[[#This Row],[Outstanding Balance]],0)</f>
        <v>0</v>
      </c>
      <c r="U605" s="109">
        <f>IF(Table__192.168.1.150_Daily_Delinquency_With_Sectors[[#This Row],[Days in Arrears]] &gt;= 1,1,0)</f>
        <v>0</v>
      </c>
      <c r="V605" s="109">
        <f>IF(Table__192.168.1.150_Daily_Delinquency_With_Sectors[[#This Row],[Days in Arrears]] &gt; 30,1,0)</f>
        <v>0</v>
      </c>
      <c r="W605" s="109">
        <f>IF(Table__192.168.1.150_Daily_Delinquency_With_Sectors[[#This Row],[Days in Arrears]] &gt; 90,1,0)</f>
        <v>0</v>
      </c>
    </row>
    <row r="606" spans="1:23" x14ac:dyDescent="0.25">
      <c r="A606" t="s">
        <v>5459</v>
      </c>
      <c r="B606" t="s">
        <v>1281</v>
      </c>
      <c r="C606">
        <v>-20</v>
      </c>
      <c r="D606" s="105">
        <v>15491432.93</v>
      </c>
      <c r="E606" t="s">
        <v>2855</v>
      </c>
      <c r="F606" s="105">
        <v>162660.04999999999</v>
      </c>
      <c r="G606" s="105">
        <v>18627110.850000001</v>
      </c>
      <c r="H606" s="143">
        <v>42992.532625196756</v>
      </c>
      <c r="I606" s="143">
        <v>43357</v>
      </c>
      <c r="J606" t="s">
        <v>5460</v>
      </c>
      <c r="K606" t="s">
        <v>1280</v>
      </c>
      <c r="L606" t="s">
        <v>5461</v>
      </c>
      <c r="M606">
        <v>103339</v>
      </c>
      <c r="N606" t="s">
        <v>5453</v>
      </c>
      <c r="O606" t="s">
        <v>27</v>
      </c>
      <c r="P606" t="s">
        <v>116</v>
      </c>
      <c r="Q606" t="s">
        <v>1825</v>
      </c>
      <c r="R606" s="105">
        <f>IF(Table__192.168.1.150_Daily_Delinquency_With_Sectors[[#This Row],[Days in Arrears]] &gt; 0, Table__192.168.1.150_Daily_Delinquency_With_Sectors[[#This Row],[Outstanding Balance]],0)</f>
        <v>0</v>
      </c>
      <c r="S606" s="105">
        <f>IF(Table__192.168.1.150_Daily_Delinquency_With_Sectors[[#This Row],[Days in Arrears]] &gt; 30, Table__192.168.1.150_Daily_Delinquency_With_Sectors[[#This Row],[Outstanding Balance]],0)</f>
        <v>0</v>
      </c>
      <c r="T606" s="105">
        <f>IF(Table__192.168.1.150_Daily_Delinquency_With_Sectors[[#This Row],[Days in Arrears]] &gt; 90, Table__192.168.1.150_Daily_Delinquency_With_Sectors[[#This Row],[Outstanding Balance]],0)</f>
        <v>0</v>
      </c>
      <c r="U606" s="109">
        <f>IF(Table__192.168.1.150_Daily_Delinquency_With_Sectors[[#This Row],[Days in Arrears]] &gt;= 1,1,0)</f>
        <v>0</v>
      </c>
      <c r="V606" s="109">
        <f>IF(Table__192.168.1.150_Daily_Delinquency_With_Sectors[[#This Row],[Days in Arrears]] &gt; 30,1,0)</f>
        <v>0</v>
      </c>
      <c r="W606" s="109">
        <f>IF(Table__192.168.1.150_Daily_Delinquency_With_Sectors[[#This Row],[Days in Arrears]] &gt; 90,1,0)</f>
        <v>0</v>
      </c>
    </row>
    <row r="607" spans="1:23" x14ac:dyDescent="0.25">
      <c r="A607" t="s">
        <v>576</v>
      </c>
      <c r="B607" t="s">
        <v>1284</v>
      </c>
      <c r="C607">
        <v>10</v>
      </c>
      <c r="D607" s="105">
        <v>11170342.210000001</v>
      </c>
      <c r="E607" t="s">
        <v>491</v>
      </c>
      <c r="F607" s="105">
        <v>436172.25</v>
      </c>
      <c r="G607" s="105">
        <v>13486932.970000001</v>
      </c>
      <c r="H607" s="143">
        <v>42992.651779201391</v>
      </c>
      <c r="I607" s="143">
        <v>43357</v>
      </c>
      <c r="J607" t="s">
        <v>5462</v>
      </c>
      <c r="K607" t="s">
        <v>5463</v>
      </c>
      <c r="L607" t="s">
        <v>1280</v>
      </c>
      <c r="M607">
        <v>103340</v>
      </c>
      <c r="N607" t="s">
        <v>5458</v>
      </c>
      <c r="O607" t="s">
        <v>44</v>
      </c>
      <c r="P607" t="s">
        <v>92</v>
      </c>
      <c r="Q607" t="s">
        <v>92</v>
      </c>
      <c r="R607" s="105">
        <f>IF(Table__192.168.1.150_Daily_Delinquency_With_Sectors[[#This Row],[Days in Arrears]] &gt; 0, Table__192.168.1.150_Daily_Delinquency_With_Sectors[[#This Row],[Outstanding Balance]],0)</f>
        <v>11170342.210000001</v>
      </c>
      <c r="S607" s="105">
        <f>IF(Table__192.168.1.150_Daily_Delinquency_With_Sectors[[#This Row],[Days in Arrears]] &gt; 30, Table__192.168.1.150_Daily_Delinquency_With_Sectors[[#This Row],[Outstanding Balance]],0)</f>
        <v>0</v>
      </c>
      <c r="T607" s="105">
        <f>IF(Table__192.168.1.150_Daily_Delinquency_With_Sectors[[#This Row],[Days in Arrears]] &gt; 90, Table__192.168.1.150_Daily_Delinquency_With_Sectors[[#This Row],[Outstanding Balance]],0)</f>
        <v>0</v>
      </c>
      <c r="U607" s="109">
        <f>IF(Table__192.168.1.150_Daily_Delinquency_With_Sectors[[#This Row],[Days in Arrears]] &gt;= 1,1,0)</f>
        <v>1</v>
      </c>
      <c r="V607" s="109">
        <f>IF(Table__192.168.1.150_Daily_Delinquency_With_Sectors[[#This Row],[Days in Arrears]] &gt; 30,1,0)</f>
        <v>0</v>
      </c>
      <c r="W607" s="109">
        <f>IF(Table__192.168.1.150_Daily_Delinquency_With_Sectors[[#This Row],[Days in Arrears]] &gt; 90,1,0)</f>
        <v>0</v>
      </c>
    </row>
    <row r="608" spans="1:23" x14ac:dyDescent="0.25">
      <c r="A608" t="s">
        <v>4050</v>
      </c>
      <c r="B608" t="s">
        <v>1867</v>
      </c>
      <c r="C608">
        <v>10</v>
      </c>
      <c r="D608" s="105">
        <v>10359551.869999999</v>
      </c>
      <c r="E608" t="s">
        <v>90</v>
      </c>
      <c r="F608" s="105">
        <v>108567.93</v>
      </c>
      <c r="G608" s="105">
        <v>11279841.460000001</v>
      </c>
      <c r="H608" s="143">
        <v>42992.725817858794</v>
      </c>
      <c r="I608" s="143">
        <v>43173</v>
      </c>
      <c r="J608" t="s">
        <v>4051</v>
      </c>
      <c r="K608" t="s">
        <v>1280</v>
      </c>
      <c r="L608" t="s">
        <v>1280</v>
      </c>
      <c r="M608">
        <v>103341</v>
      </c>
      <c r="N608" t="s">
        <v>4049</v>
      </c>
      <c r="O608" t="s">
        <v>25</v>
      </c>
      <c r="P608" t="s">
        <v>88</v>
      </c>
      <c r="Q608" t="s">
        <v>285</v>
      </c>
      <c r="R608" s="105">
        <f>IF(Table__192.168.1.150_Daily_Delinquency_With_Sectors[[#This Row],[Days in Arrears]] &gt; 0, Table__192.168.1.150_Daily_Delinquency_With_Sectors[[#This Row],[Outstanding Balance]],0)</f>
        <v>10359551.869999999</v>
      </c>
      <c r="S608" s="105">
        <f>IF(Table__192.168.1.150_Daily_Delinquency_With_Sectors[[#This Row],[Days in Arrears]] &gt; 30, Table__192.168.1.150_Daily_Delinquency_With_Sectors[[#This Row],[Outstanding Balance]],0)</f>
        <v>0</v>
      </c>
      <c r="T608" s="105">
        <f>IF(Table__192.168.1.150_Daily_Delinquency_With_Sectors[[#This Row],[Days in Arrears]] &gt; 90, Table__192.168.1.150_Daily_Delinquency_With_Sectors[[#This Row],[Outstanding Balance]],0)</f>
        <v>0</v>
      </c>
      <c r="U608" s="109">
        <f>IF(Table__192.168.1.150_Daily_Delinquency_With_Sectors[[#This Row],[Days in Arrears]] &gt;= 1,1,0)</f>
        <v>1</v>
      </c>
      <c r="V608" s="109">
        <f>IF(Table__192.168.1.150_Daily_Delinquency_With_Sectors[[#This Row],[Days in Arrears]] &gt; 30,1,0)</f>
        <v>0</v>
      </c>
      <c r="W608" s="109">
        <f>IF(Table__192.168.1.150_Daily_Delinquency_With_Sectors[[#This Row],[Days in Arrears]] &gt; 90,1,0)</f>
        <v>0</v>
      </c>
    </row>
    <row r="609" spans="1:23" x14ac:dyDescent="0.25">
      <c r="A609" t="s">
        <v>5476</v>
      </c>
      <c r="B609" t="s">
        <v>1867</v>
      </c>
      <c r="C609">
        <v>-21</v>
      </c>
      <c r="D609" s="105">
        <v>12963503.52</v>
      </c>
      <c r="E609" t="s">
        <v>1039</v>
      </c>
      <c r="F609" s="105">
        <v>138277.37</v>
      </c>
      <c r="G609" s="105">
        <v>15982825.91</v>
      </c>
      <c r="H609" s="143">
        <v>42993.698568599539</v>
      </c>
      <c r="I609" s="143">
        <v>43358</v>
      </c>
      <c r="J609" t="s">
        <v>5477</v>
      </c>
      <c r="K609" t="s">
        <v>5478</v>
      </c>
      <c r="L609" t="s">
        <v>1280</v>
      </c>
      <c r="M609">
        <v>103342</v>
      </c>
      <c r="N609" t="s">
        <v>5473</v>
      </c>
      <c r="O609" t="s">
        <v>25</v>
      </c>
      <c r="P609" t="s">
        <v>94</v>
      </c>
      <c r="Q609" t="s">
        <v>26</v>
      </c>
      <c r="R609" s="105">
        <f>IF(Table__192.168.1.150_Daily_Delinquency_With_Sectors[[#This Row],[Days in Arrears]] &gt; 0, Table__192.168.1.150_Daily_Delinquency_With_Sectors[[#This Row],[Outstanding Balance]],0)</f>
        <v>0</v>
      </c>
      <c r="S609" s="105">
        <f>IF(Table__192.168.1.150_Daily_Delinquency_With_Sectors[[#This Row],[Days in Arrears]] &gt; 30, Table__192.168.1.150_Daily_Delinquency_With_Sectors[[#This Row],[Outstanding Balance]],0)</f>
        <v>0</v>
      </c>
      <c r="T609" s="105">
        <f>IF(Table__192.168.1.150_Daily_Delinquency_With_Sectors[[#This Row],[Days in Arrears]] &gt; 90, Table__192.168.1.150_Daily_Delinquency_With_Sectors[[#This Row],[Outstanding Balance]],0)</f>
        <v>0</v>
      </c>
      <c r="U609" s="109">
        <f>IF(Table__192.168.1.150_Daily_Delinquency_With_Sectors[[#This Row],[Days in Arrears]] &gt;= 1,1,0)</f>
        <v>0</v>
      </c>
      <c r="V609" s="109">
        <f>IF(Table__192.168.1.150_Daily_Delinquency_With_Sectors[[#This Row],[Days in Arrears]] &gt; 30,1,0)</f>
        <v>0</v>
      </c>
      <c r="W609" s="109">
        <f>IF(Table__192.168.1.150_Daily_Delinquency_With_Sectors[[#This Row],[Days in Arrears]] &gt; 90,1,0)</f>
        <v>0</v>
      </c>
    </row>
    <row r="610" spans="1:23" x14ac:dyDescent="0.25">
      <c r="A610" t="s">
        <v>5479</v>
      </c>
      <c r="B610" t="s">
        <v>1281</v>
      </c>
      <c r="C610">
        <v>-21</v>
      </c>
      <c r="D610" s="105">
        <v>15556204.220000001</v>
      </c>
      <c r="E610" t="s">
        <v>2175</v>
      </c>
      <c r="F610" s="105">
        <v>165932.85</v>
      </c>
      <c r="G610" s="105">
        <v>19179391.09</v>
      </c>
      <c r="H610" s="143">
        <v>42993.773849502315</v>
      </c>
      <c r="I610" s="143">
        <v>43358</v>
      </c>
      <c r="J610" t="s">
        <v>5480</v>
      </c>
      <c r="K610" t="s">
        <v>1280</v>
      </c>
      <c r="L610" t="s">
        <v>1280</v>
      </c>
      <c r="M610">
        <v>103343</v>
      </c>
      <c r="N610" t="s">
        <v>5474</v>
      </c>
      <c r="O610" t="s">
        <v>25</v>
      </c>
      <c r="P610" t="s">
        <v>88</v>
      </c>
      <c r="Q610" t="s">
        <v>285</v>
      </c>
      <c r="R610" s="105">
        <f>IF(Table__192.168.1.150_Daily_Delinquency_With_Sectors[[#This Row],[Days in Arrears]] &gt; 0, Table__192.168.1.150_Daily_Delinquency_With_Sectors[[#This Row],[Outstanding Balance]],0)</f>
        <v>0</v>
      </c>
      <c r="S610" s="105">
        <f>IF(Table__192.168.1.150_Daily_Delinquency_With_Sectors[[#This Row],[Days in Arrears]] &gt; 30, Table__192.168.1.150_Daily_Delinquency_With_Sectors[[#This Row],[Outstanding Balance]],0)</f>
        <v>0</v>
      </c>
      <c r="T610" s="105">
        <f>IF(Table__192.168.1.150_Daily_Delinquency_With_Sectors[[#This Row],[Days in Arrears]] &gt; 90, Table__192.168.1.150_Daily_Delinquency_With_Sectors[[#This Row],[Outstanding Balance]],0)</f>
        <v>0</v>
      </c>
      <c r="U610" s="109">
        <f>IF(Table__192.168.1.150_Daily_Delinquency_With_Sectors[[#This Row],[Days in Arrears]] &gt;= 1,1,0)</f>
        <v>0</v>
      </c>
      <c r="V610" s="109">
        <f>IF(Table__192.168.1.150_Daily_Delinquency_With_Sectors[[#This Row],[Days in Arrears]] &gt; 30,1,0)</f>
        <v>0</v>
      </c>
      <c r="W610" s="109">
        <f>IF(Table__192.168.1.150_Daily_Delinquency_With_Sectors[[#This Row],[Days in Arrears]] &gt; 90,1,0)</f>
        <v>0</v>
      </c>
    </row>
    <row r="611" spans="1:23" x14ac:dyDescent="0.25">
      <c r="A611" t="s">
        <v>2139</v>
      </c>
      <c r="B611" t="s">
        <v>1283</v>
      </c>
      <c r="C611">
        <v>-21</v>
      </c>
      <c r="D611" s="105">
        <v>26994301.949999999</v>
      </c>
      <c r="E611" t="s">
        <v>1467</v>
      </c>
      <c r="F611" s="105">
        <v>215954.42</v>
      </c>
      <c r="G611" s="105">
        <v>31645556.940000001</v>
      </c>
      <c r="H611" s="143">
        <v>42993.785429317133</v>
      </c>
      <c r="I611" s="143">
        <v>43358</v>
      </c>
      <c r="J611" t="s">
        <v>2140</v>
      </c>
      <c r="K611" t="s">
        <v>1280</v>
      </c>
      <c r="L611" t="s">
        <v>2141</v>
      </c>
      <c r="M611">
        <v>103344</v>
      </c>
      <c r="N611" t="s">
        <v>2128</v>
      </c>
      <c r="O611" t="s">
        <v>25</v>
      </c>
      <c r="P611" t="s">
        <v>88</v>
      </c>
      <c r="Q611" t="s">
        <v>285</v>
      </c>
      <c r="R611" s="105">
        <f>IF(Table__192.168.1.150_Daily_Delinquency_With_Sectors[[#This Row],[Days in Arrears]] &gt; 0, Table__192.168.1.150_Daily_Delinquency_With_Sectors[[#This Row],[Outstanding Balance]],0)</f>
        <v>0</v>
      </c>
      <c r="S611" s="105">
        <f>IF(Table__192.168.1.150_Daily_Delinquency_With_Sectors[[#This Row],[Days in Arrears]] &gt; 30, Table__192.168.1.150_Daily_Delinquency_With_Sectors[[#This Row],[Outstanding Balance]],0)</f>
        <v>0</v>
      </c>
      <c r="T611" s="105">
        <f>IF(Table__192.168.1.150_Daily_Delinquency_With_Sectors[[#This Row],[Days in Arrears]] &gt; 90, Table__192.168.1.150_Daily_Delinquency_With_Sectors[[#This Row],[Outstanding Balance]],0)</f>
        <v>0</v>
      </c>
      <c r="U611" s="109">
        <f>IF(Table__192.168.1.150_Daily_Delinquency_With_Sectors[[#This Row],[Days in Arrears]] &gt;= 1,1,0)</f>
        <v>0</v>
      </c>
      <c r="V611" s="109">
        <f>IF(Table__192.168.1.150_Daily_Delinquency_With_Sectors[[#This Row],[Days in Arrears]] &gt; 30,1,0)</f>
        <v>0</v>
      </c>
      <c r="W611" s="109">
        <f>IF(Table__192.168.1.150_Daily_Delinquency_With_Sectors[[#This Row],[Days in Arrears]] &gt; 90,1,0)</f>
        <v>0</v>
      </c>
    </row>
    <row r="612" spans="1:23" x14ac:dyDescent="0.25">
      <c r="A612" t="s">
        <v>5492</v>
      </c>
      <c r="B612" t="s">
        <v>1282</v>
      </c>
      <c r="C612">
        <v>-22</v>
      </c>
      <c r="D612" s="105">
        <v>4338788.2300000004</v>
      </c>
      <c r="E612" t="s">
        <v>5491</v>
      </c>
      <c r="F612" s="105">
        <v>45557.279999999999</v>
      </c>
      <c r="G612" s="105">
        <v>5483309.4400000004</v>
      </c>
      <c r="H612" s="143">
        <v>42994.53301929398</v>
      </c>
      <c r="I612" s="143">
        <v>43359</v>
      </c>
      <c r="J612" t="s">
        <v>5493</v>
      </c>
      <c r="K612" t="s">
        <v>5494</v>
      </c>
      <c r="L612" t="s">
        <v>1280</v>
      </c>
      <c r="M612">
        <v>103345</v>
      </c>
      <c r="N612" t="s">
        <v>5490</v>
      </c>
      <c r="O612" t="s">
        <v>25</v>
      </c>
      <c r="P612" t="s">
        <v>88</v>
      </c>
      <c r="Q612" t="s">
        <v>285</v>
      </c>
      <c r="R612" s="105">
        <f>IF(Table__192.168.1.150_Daily_Delinquency_With_Sectors[[#This Row],[Days in Arrears]] &gt; 0, Table__192.168.1.150_Daily_Delinquency_With_Sectors[[#This Row],[Outstanding Balance]],0)</f>
        <v>0</v>
      </c>
      <c r="S612" s="105">
        <f>IF(Table__192.168.1.150_Daily_Delinquency_With_Sectors[[#This Row],[Days in Arrears]] &gt; 30, Table__192.168.1.150_Daily_Delinquency_With_Sectors[[#This Row],[Outstanding Balance]],0)</f>
        <v>0</v>
      </c>
      <c r="T612" s="105">
        <f>IF(Table__192.168.1.150_Daily_Delinquency_With_Sectors[[#This Row],[Days in Arrears]] &gt; 90, Table__192.168.1.150_Daily_Delinquency_With_Sectors[[#This Row],[Outstanding Balance]],0)</f>
        <v>0</v>
      </c>
      <c r="U612" s="109">
        <f>IF(Table__192.168.1.150_Daily_Delinquency_With_Sectors[[#This Row],[Days in Arrears]] &gt;= 1,1,0)</f>
        <v>0</v>
      </c>
      <c r="V612" s="109">
        <f>IF(Table__192.168.1.150_Daily_Delinquency_With_Sectors[[#This Row],[Days in Arrears]] &gt; 30,1,0)</f>
        <v>0</v>
      </c>
      <c r="W612" s="109">
        <f>IF(Table__192.168.1.150_Daily_Delinquency_With_Sectors[[#This Row],[Days in Arrears]] &gt; 90,1,0)</f>
        <v>0</v>
      </c>
    </row>
    <row r="613" spans="1:23" x14ac:dyDescent="0.25">
      <c r="A613" t="s">
        <v>5498</v>
      </c>
      <c r="B613" t="s">
        <v>1284</v>
      </c>
      <c r="C613">
        <v>-24</v>
      </c>
      <c r="D613" s="105">
        <v>18266026.940000001</v>
      </c>
      <c r="E613" t="s">
        <v>2855</v>
      </c>
      <c r="F613" s="105">
        <v>91330.13</v>
      </c>
      <c r="G613" s="105">
        <v>23266782.66</v>
      </c>
      <c r="H613" s="143">
        <v>42996.512122650463</v>
      </c>
      <c r="I613" s="143">
        <v>43542</v>
      </c>
      <c r="J613" t="s">
        <v>5499</v>
      </c>
      <c r="K613" t="s">
        <v>5500</v>
      </c>
      <c r="L613" t="s">
        <v>1280</v>
      </c>
      <c r="M613">
        <v>103346</v>
      </c>
      <c r="N613" t="s">
        <v>5497</v>
      </c>
      <c r="O613" t="s">
        <v>44</v>
      </c>
      <c r="P613" t="s">
        <v>75</v>
      </c>
      <c r="Q613" t="s">
        <v>1442</v>
      </c>
      <c r="R613" s="105">
        <f>IF(Table__192.168.1.150_Daily_Delinquency_With_Sectors[[#This Row],[Days in Arrears]] &gt; 0, Table__192.168.1.150_Daily_Delinquency_With_Sectors[[#This Row],[Outstanding Balance]],0)</f>
        <v>0</v>
      </c>
      <c r="S613" s="105">
        <f>IF(Table__192.168.1.150_Daily_Delinquency_With_Sectors[[#This Row],[Days in Arrears]] &gt; 30, Table__192.168.1.150_Daily_Delinquency_With_Sectors[[#This Row],[Outstanding Balance]],0)</f>
        <v>0</v>
      </c>
      <c r="T613" s="105">
        <f>IF(Table__192.168.1.150_Daily_Delinquency_With_Sectors[[#This Row],[Days in Arrears]] &gt; 90, Table__192.168.1.150_Daily_Delinquency_With_Sectors[[#This Row],[Outstanding Balance]],0)</f>
        <v>0</v>
      </c>
      <c r="U613" s="109">
        <f>IF(Table__192.168.1.150_Daily_Delinquency_With_Sectors[[#This Row],[Days in Arrears]] &gt;= 1,1,0)</f>
        <v>0</v>
      </c>
      <c r="V613" s="109">
        <f>IF(Table__192.168.1.150_Daily_Delinquency_With_Sectors[[#This Row],[Days in Arrears]] &gt; 30,1,0)</f>
        <v>0</v>
      </c>
      <c r="W613" s="109">
        <f>IF(Table__192.168.1.150_Daily_Delinquency_With_Sectors[[#This Row],[Days in Arrears]] &gt; 90,1,0)</f>
        <v>0</v>
      </c>
    </row>
    <row r="614" spans="1:23" x14ac:dyDescent="0.25">
      <c r="A614" t="s">
        <v>5501</v>
      </c>
      <c r="B614" t="s">
        <v>1282</v>
      </c>
      <c r="C614">
        <v>-24</v>
      </c>
      <c r="D614" s="105">
        <v>2083950.78</v>
      </c>
      <c r="E614" t="s">
        <v>4684</v>
      </c>
      <c r="F614" s="105">
        <v>15629.63</v>
      </c>
      <c r="G614" s="105">
        <v>2527576.4700000002</v>
      </c>
      <c r="H614" s="143">
        <v>42996.667852777777</v>
      </c>
      <c r="I614" s="143">
        <v>43299</v>
      </c>
      <c r="J614" t="s">
        <v>5502</v>
      </c>
      <c r="K614" t="s">
        <v>5503</v>
      </c>
      <c r="L614" t="s">
        <v>1280</v>
      </c>
      <c r="M614">
        <v>103347</v>
      </c>
      <c r="N614" t="s">
        <v>5495</v>
      </c>
      <c r="O614" t="s">
        <v>25</v>
      </c>
      <c r="P614" t="s">
        <v>103</v>
      </c>
      <c r="Q614" t="s">
        <v>104</v>
      </c>
      <c r="R614" s="105">
        <f>IF(Table__192.168.1.150_Daily_Delinquency_With_Sectors[[#This Row],[Days in Arrears]] &gt; 0, Table__192.168.1.150_Daily_Delinquency_With_Sectors[[#This Row],[Outstanding Balance]],0)</f>
        <v>0</v>
      </c>
      <c r="S614" s="105">
        <f>IF(Table__192.168.1.150_Daily_Delinquency_With_Sectors[[#This Row],[Days in Arrears]] &gt; 30, Table__192.168.1.150_Daily_Delinquency_With_Sectors[[#This Row],[Outstanding Balance]],0)</f>
        <v>0</v>
      </c>
      <c r="T614" s="105">
        <f>IF(Table__192.168.1.150_Daily_Delinquency_With_Sectors[[#This Row],[Days in Arrears]] &gt; 90, Table__192.168.1.150_Daily_Delinquency_With_Sectors[[#This Row],[Outstanding Balance]],0)</f>
        <v>0</v>
      </c>
      <c r="U614" s="109">
        <f>IF(Table__192.168.1.150_Daily_Delinquency_With_Sectors[[#This Row],[Days in Arrears]] &gt;= 1,1,0)</f>
        <v>0</v>
      </c>
      <c r="V614" s="109">
        <f>IF(Table__192.168.1.150_Daily_Delinquency_With_Sectors[[#This Row],[Days in Arrears]] &gt; 30,1,0)</f>
        <v>0</v>
      </c>
      <c r="W614" s="109">
        <f>IF(Table__192.168.1.150_Daily_Delinquency_With_Sectors[[#This Row],[Days in Arrears]] &gt; 90,1,0)</f>
        <v>0</v>
      </c>
    </row>
    <row r="615" spans="1:23" x14ac:dyDescent="0.25">
      <c r="A615" t="s">
        <v>494</v>
      </c>
      <c r="B615" t="s">
        <v>1281</v>
      </c>
      <c r="C615">
        <v>4</v>
      </c>
      <c r="D615" s="105">
        <v>18963498.609999999</v>
      </c>
      <c r="E615" t="s">
        <v>2175</v>
      </c>
      <c r="F615" s="105">
        <v>147230</v>
      </c>
      <c r="G615" s="105">
        <v>23731909.440000001</v>
      </c>
      <c r="H615" s="143">
        <v>42998.502675231481</v>
      </c>
      <c r="I615" s="143">
        <v>43454</v>
      </c>
      <c r="J615" t="s">
        <v>495</v>
      </c>
      <c r="K615" t="s">
        <v>496</v>
      </c>
      <c r="L615" t="s">
        <v>1280</v>
      </c>
      <c r="M615">
        <v>103348</v>
      </c>
      <c r="N615" t="s">
        <v>493</v>
      </c>
      <c r="O615" t="s">
        <v>25</v>
      </c>
      <c r="P615" t="s">
        <v>88</v>
      </c>
      <c r="Q615" t="s">
        <v>285</v>
      </c>
      <c r="R615" s="105">
        <f>IF(Table__192.168.1.150_Daily_Delinquency_With_Sectors[[#This Row],[Days in Arrears]] &gt; 0, Table__192.168.1.150_Daily_Delinquency_With_Sectors[[#This Row],[Outstanding Balance]],0)</f>
        <v>18963498.609999999</v>
      </c>
      <c r="S615" s="105">
        <f>IF(Table__192.168.1.150_Daily_Delinquency_With_Sectors[[#This Row],[Days in Arrears]] &gt; 30, Table__192.168.1.150_Daily_Delinquency_With_Sectors[[#This Row],[Outstanding Balance]],0)</f>
        <v>0</v>
      </c>
      <c r="T615" s="105">
        <f>IF(Table__192.168.1.150_Daily_Delinquency_With_Sectors[[#This Row],[Days in Arrears]] &gt; 90, Table__192.168.1.150_Daily_Delinquency_With_Sectors[[#This Row],[Outstanding Balance]],0)</f>
        <v>0</v>
      </c>
      <c r="U615" s="109">
        <f>IF(Table__192.168.1.150_Daily_Delinquency_With_Sectors[[#This Row],[Days in Arrears]] &gt;= 1,1,0)</f>
        <v>1</v>
      </c>
      <c r="V615" s="109">
        <f>IF(Table__192.168.1.150_Daily_Delinquency_With_Sectors[[#This Row],[Days in Arrears]] &gt; 30,1,0)</f>
        <v>0</v>
      </c>
      <c r="W615" s="109">
        <f>IF(Table__192.168.1.150_Daily_Delinquency_With_Sectors[[#This Row],[Days in Arrears]] &gt; 90,1,0)</f>
        <v>0</v>
      </c>
    </row>
    <row r="616" spans="1:23" x14ac:dyDescent="0.25">
      <c r="A616" t="s">
        <v>3059</v>
      </c>
      <c r="B616" t="s">
        <v>1284</v>
      </c>
      <c r="C616">
        <v>-26</v>
      </c>
      <c r="D616" s="105">
        <v>17139239.329999998</v>
      </c>
      <c r="E616" t="s">
        <v>491</v>
      </c>
      <c r="F616" s="105">
        <v>51417.72</v>
      </c>
      <c r="G616" s="105">
        <v>20092417.079999998</v>
      </c>
      <c r="H616" s="143">
        <v>42998.574405590276</v>
      </c>
      <c r="I616" s="143">
        <v>43363</v>
      </c>
      <c r="J616" t="s">
        <v>3060</v>
      </c>
      <c r="K616" t="s">
        <v>3061</v>
      </c>
      <c r="L616" t="s">
        <v>1280</v>
      </c>
      <c r="M616">
        <v>103349</v>
      </c>
      <c r="N616" t="s">
        <v>3053</v>
      </c>
      <c r="O616" t="s">
        <v>44</v>
      </c>
      <c r="P616" t="s">
        <v>75</v>
      </c>
      <c r="Q616" t="s">
        <v>1442</v>
      </c>
      <c r="R616" s="105">
        <f>IF(Table__192.168.1.150_Daily_Delinquency_With_Sectors[[#This Row],[Days in Arrears]] &gt; 0, Table__192.168.1.150_Daily_Delinquency_With_Sectors[[#This Row],[Outstanding Balance]],0)</f>
        <v>0</v>
      </c>
      <c r="S616" s="105">
        <f>IF(Table__192.168.1.150_Daily_Delinquency_With_Sectors[[#This Row],[Days in Arrears]] &gt; 30, Table__192.168.1.150_Daily_Delinquency_With_Sectors[[#This Row],[Outstanding Balance]],0)</f>
        <v>0</v>
      </c>
      <c r="T616" s="105">
        <f>IF(Table__192.168.1.150_Daily_Delinquency_With_Sectors[[#This Row],[Days in Arrears]] &gt; 90, Table__192.168.1.150_Daily_Delinquency_With_Sectors[[#This Row],[Outstanding Balance]],0)</f>
        <v>0</v>
      </c>
      <c r="U616" s="109">
        <f>IF(Table__192.168.1.150_Daily_Delinquency_With_Sectors[[#This Row],[Days in Arrears]] &gt;= 1,1,0)</f>
        <v>0</v>
      </c>
      <c r="V616" s="109">
        <f>IF(Table__192.168.1.150_Daily_Delinquency_With_Sectors[[#This Row],[Days in Arrears]] &gt; 30,1,0)</f>
        <v>0</v>
      </c>
      <c r="W616" s="109">
        <f>IF(Table__192.168.1.150_Daily_Delinquency_With_Sectors[[#This Row],[Days in Arrears]] &gt; 90,1,0)</f>
        <v>0</v>
      </c>
    </row>
    <row r="617" spans="1:23" x14ac:dyDescent="0.25">
      <c r="A617" t="s">
        <v>5510</v>
      </c>
      <c r="B617" t="s">
        <v>1279</v>
      </c>
      <c r="C617">
        <v>-25</v>
      </c>
      <c r="D617" s="105">
        <v>2083950.78</v>
      </c>
      <c r="E617" t="s">
        <v>963</v>
      </c>
      <c r="F617" s="105">
        <v>12503.7</v>
      </c>
      <c r="G617" s="105">
        <v>2527576.4700000002</v>
      </c>
      <c r="H617" s="143">
        <v>42997.547181909722</v>
      </c>
      <c r="I617" s="143">
        <v>43300</v>
      </c>
      <c r="J617" t="s">
        <v>5511</v>
      </c>
      <c r="K617" t="s">
        <v>1280</v>
      </c>
      <c r="L617" t="s">
        <v>1280</v>
      </c>
      <c r="M617">
        <v>103350</v>
      </c>
      <c r="N617" t="s">
        <v>5506</v>
      </c>
      <c r="O617" t="s">
        <v>25</v>
      </c>
      <c r="P617" t="s">
        <v>94</v>
      </c>
      <c r="Q617" t="s">
        <v>5507</v>
      </c>
      <c r="R617" s="105">
        <f>IF(Table__192.168.1.150_Daily_Delinquency_With_Sectors[[#This Row],[Days in Arrears]] &gt; 0, Table__192.168.1.150_Daily_Delinquency_With_Sectors[[#This Row],[Outstanding Balance]],0)</f>
        <v>0</v>
      </c>
      <c r="S617" s="105">
        <f>IF(Table__192.168.1.150_Daily_Delinquency_With_Sectors[[#This Row],[Days in Arrears]] &gt; 30, Table__192.168.1.150_Daily_Delinquency_With_Sectors[[#This Row],[Outstanding Balance]],0)</f>
        <v>0</v>
      </c>
      <c r="T617" s="105">
        <f>IF(Table__192.168.1.150_Daily_Delinquency_With_Sectors[[#This Row],[Days in Arrears]] &gt; 90, Table__192.168.1.150_Daily_Delinquency_With_Sectors[[#This Row],[Outstanding Balance]],0)</f>
        <v>0</v>
      </c>
      <c r="U617" s="109">
        <f>IF(Table__192.168.1.150_Daily_Delinquency_With_Sectors[[#This Row],[Days in Arrears]] &gt;= 1,1,0)</f>
        <v>0</v>
      </c>
      <c r="V617" s="109">
        <f>IF(Table__192.168.1.150_Daily_Delinquency_With_Sectors[[#This Row],[Days in Arrears]] &gt; 30,1,0)</f>
        <v>0</v>
      </c>
      <c r="W617" s="109">
        <f>IF(Table__192.168.1.150_Daily_Delinquency_With_Sectors[[#This Row],[Days in Arrears]] &gt; 90,1,0)</f>
        <v>0</v>
      </c>
    </row>
    <row r="618" spans="1:23" x14ac:dyDescent="0.25">
      <c r="A618" t="s">
        <v>5485</v>
      </c>
      <c r="B618" t="s">
        <v>1282</v>
      </c>
      <c r="C618">
        <v>5</v>
      </c>
      <c r="D618" s="105">
        <v>9334478.2699999996</v>
      </c>
      <c r="E618" t="s">
        <v>2034</v>
      </c>
      <c r="F618" s="105">
        <v>414471.52</v>
      </c>
      <c r="G618" s="105">
        <v>11715738.92</v>
      </c>
      <c r="H618" s="143">
        <v>42997.603942627313</v>
      </c>
      <c r="I618" s="143">
        <v>43362</v>
      </c>
      <c r="J618" t="s">
        <v>5486</v>
      </c>
      <c r="K618" t="s">
        <v>1280</v>
      </c>
      <c r="L618" t="s">
        <v>1280</v>
      </c>
      <c r="M618">
        <v>103351</v>
      </c>
      <c r="N618" t="s">
        <v>5484</v>
      </c>
      <c r="O618" t="s">
        <v>44</v>
      </c>
      <c r="P618" t="s">
        <v>92</v>
      </c>
      <c r="Q618" t="s">
        <v>92</v>
      </c>
      <c r="R618" s="105">
        <f>IF(Table__192.168.1.150_Daily_Delinquency_With_Sectors[[#This Row],[Days in Arrears]] &gt; 0, Table__192.168.1.150_Daily_Delinquency_With_Sectors[[#This Row],[Outstanding Balance]],0)</f>
        <v>9334478.2699999996</v>
      </c>
      <c r="S618" s="105">
        <f>IF(Table__192.168.1.150_Daily_Delinquency_With_Sectors[[#This Row],[Days in Arrears]] &gt; 30, Table__192.168.1.150_Daily_Delinquency_With_Sectors[[#This Row],[Outstanding Balance]],0)</f>
        <v>0</v>
      </c>
      <c r="T618" s="105">
        <f>IF(Table__192.168.1.150_Daily_Delinquency_With_Sectors[[#This Row],[Days in Arrears]] &gt; 90, Table__192.168.1.150_Daily_Delinquency_With_Sectors[[#This Row],[Outstanding Balance]],0)</f>
        <v>0</v>
      </c>
      <c r="U618" s="109">
        <f>IF(Table__192.168.1.150_Daily_Delinquency_With_Sectors[[#This Row],[Days in Arrears]] &gt;= 1,1,0)</f>
        <v>1</v>
      </c>
      <c r="V618" s="109">
        <f>IF(Table__192.168.1.150_Daily_Delinquency_With_Sectors[[#This Row],[Days in Arrears]] &gt; 30,1,0)</f>
        <v>0</v>
      </c>
      <c r="W618" s="109">
        <f>IF(Table__192.168.1.150_Daily_Delinquency_With_Sectors[[#This Row],[Days in Arrears]] &gt; 90,1,0)</f>
        <v>0</v>
      </c>
    </row>
    <row r="619" spans="1:23" x14ac:dyDescent="0.25">
      <c r="A619" t="s">
        <v>1367</v>
      </c>
      <c r="B619" t="s">
        <v>1284</v>
      </c>
      <c r="C619">
        <v>5</v>
      </c>
      <c r="D619" s="105">
        <v>12828956.289999999</v>
      </c>
      <c r="E619" t="s">
        <v>2494</v>
      </c>
      <c r="F619" s="105">
        <v>144506.17000000001</v>
      </c>
      <c r="G619" s="105">
        <v>16204466.439999999</v>
      </c>
      <c r="H619" s="143">
        <v>42997.615128321762</v>
      </c>
      <c r="I619" s="143">
        <v>43543</v>
      </c>
      <c r="J619" t="s">
        <v>1368</v>
      </c>
      <c r="K619" t="s">
        <v>1369</v>
      </c>
      <c r="L619" t="s">
        <v>1280</v>
      </c>
      <c r="M619">
        <v>103352</v>
      </c>
      <c r="N619" t="s">
        <v>1366</v>
      </c>
      <c r="O619" t="s">
        <v>44</v>
      </c>
      <c r="P619" t="s">
        <v>75</v>
      </c>
      <c r="Q619" t="s">
        <v>26</v>
      </c>
      <c r="R619" s="105">
        <f>IF(Table__192.168.1.150_Daily_Delinquency_With_Sectors[[#This Row],[Days in Arrears]] &gt; 0, Table__192.168.1.150_Daily_Delinquency_With_Sectors[[#This Row],[Outstanding Balance]],0)</f>
        <v>12828956.289999999</v>
      </c>
      <c r="S619" s="105">
        <f>IF(Table__192.168.1.150_Daily_Delinquency_With_Sectors[[#This Row],[Days in Arrears]] &gt; 30, Table__192.168.1.150_Daily_Delinquency_With_Sectors[[#This Row],[Outstanding Balance]],0)</f>
        <v>0</v>
      </c>
      <c r="T619" s="105">
        <f>IF(Table__192.168.1.150_Daily_Delinquency_With_Sectors[[#This Row],[Days in Arrears]] &gt; 90, Table__192.168.1.150_Daily_Delinquency_With_Sectors[[#This Row],[Outstanding Balance]],0)</f>
        <v>0</v>
      </c>
      <c r="U619" s="109">
        <f>IF(Table__192.168.1.150_Daily_Delinquency_With_Sectors[[#This Row],[Days in Arrears]] &gt;= 1,1,0)</f>
        <v>1</v>
      </c>
      <c r="V619" s="109">
        <f>IF(Table__192.168.1.150_Daily_Delinquency_With_Sectors[[#This Row],[Days in Arrears]] &gt; 30,1,0)</f>
        <v>0</v>
      </c>
      <c r="W619" s="109">
        <f>IF(Table__192.168.1.150_Daily_Delinquency_With_Sectors[[#This Row],[Days in Arrears]] &gt; 90,1,0)</f>
        <v>0</v>
      </c>
    </row>
    <row r="620" spans="1:23" x14ac:dyDescent="0.25">
      <c r="A620" t="s">
        <v>5512</v>
      </c>
      <c r="B620" t="s">
        <v>1282</v>
      </c>
      <c r="C620">
        <v>-25</v>
      </c>
      <c r="D620" s="105">
        <v>2345949.7799999998</v>
      </c>
      <c r="E620" t="s">
        <v>2175</v>
      </c>
      <c r="F620" s="105">
        <v>14075.7</v>
      </c>
      <c r="G620" s="105">
        <v>2728973.78</v>
      </c>
      <c r="H620" s="143">
        <v>42997.658450381947</v>
      </c>
      <c r="I620" s="143">
        <v>43239</v>
      </c>
      <c r="J620" t="s">
        <v>5513</v>
      </c>
      <c r="K620" t="s">
        <v>1280</v>
      </c>
      <c r="L620" t="s">
        <v>1280</v>
      </c>
      <c r="M620">
        <v>103353</v>
      </c>
      <c r="N620" t="s">
        <v>5508</v>
      </c>
      <c r="O620" t="s">
        <v>25</v>
      </c>
      <c r="P620" t="s">
        <v>88</v>
      </c>
      <c r="Q620" t="s">
        <v>285</v>
      </c>
      <c r="R620" s="105">
        <f>IF(Table__192.168.1.150_Daily_Delinquency_With_Sectors[[#This Row],[Days in Arrears]] &gt; 0, Table__192.168.1.150_Daily_Delinquency_With_Sectors[[#This Row],[Outstanding Balance]],0)</f>
        <v>0</v>
      </c>
      <c r="S620" s="105">
        <f>IF(Table__192.168.1.150_Daily_Delinquency_With_Sectors[[#This Row],[Days in Arrears]] &gt; 30, Table__192.168.1.150_Daily_Delinquency_With_Sectors[[#This Row],[Outstanding Balance]],0)</f>
        <v>0</v>
      </c>
      <c r="T620" s="105">
        <f>IF(Table__192.168.1.150_Daily_Delinquency_With_Sectors[[#This Row],[Days in Arrears]] &gt; 90, Table__192.168.1.150_Daily_Delinquency_With_Sectors[[#This Row],[Outstanding Balance]],0)</f>
        <v>0</v>
      </c>
      <c r="U620" s="109">
        <f>IF(Table__192.168.1.150_Daily_Delinquency_With_Sectors[[#This Row],[Days in Arrears]] &gt;= 1,1,0)</f>
        <v>0</v>
      </c>
      <c r="V620" s="109">
        <f>IF(Table__192.168.1.150_Daily_Delinquency_With_Sectors[[#This Row],[Days in Arrears]] &gt; 30,1,0)</f>
        <v>0</v>
      </c>
      <c r="W620" s="109">
        <f>IF(Table__192.168.1.150_Daily_Delinquency_With_Sectors[[#This Row],[Days in Arrears]] &gt; 90,1,0)</f>
        <v>0</v>
      </c>
    </row>
    <row r="621" spans="1:23" x14ac:dyDescent="0.25">
      <c r="A621" t="s">
        <v>2791</v>
      </c>
      <c r="B621" t="s">
        <v>1279</v>
      </c>
      <c r="C621">
        <v>4</v>
      </c>
      <c r="D621" s="105">
        <v>1566317.77</v>
      </c>
      <c r="E621" t="s">
        <v>2538</v>
      </c>
      <c r="F621" s="105">
        <v>6228.83</v>
      </c>
      <c r="G621" s="105">
        <v>1791445.32</v>
      </c>
      <c r="H621" s="143">
        <v>42998.67493429398</v>
      </c>
      <c r="I621" s="143">
        <v>43240</v>
      </c>
      <c r="J621" t="s">
        <v>2792</v>
      </c>
      <c r="K621" t="s">
        <v>1280</v>
      </c>
      <c r="L621" t="s">
        <v>1280</v>
      </c>
      <c r="M621">
        <v>103354</v>
      </c>
      <c r="N621" t="s">
        <v>2785</v>
      </c>
      <c r="O621" t="s">
        <v>25</v>
      </c>
      <c r="P621" t="s">
        <v>88</v>
      </c>
      <c r="Q621" t="s">
        <v>285</v>
      </c>
      <c r="R621" s="105">
        <f>IF(Table__192.168.1.150_Daily_Delinquency_With_Sectors[[#This Row],[Days in Arrears]] &gt; 0, Table__192.168.1.150_Daily_Delinquency_With_Sectors[[#This Row],[Outstanding Balance]],0)</f>
        <v>1566317.77</v>
      </c>
      <c r="S621" s="105">
        <f>IF(Table__192.168.1.150_Daily_Delinquency_With_Sectors[[#This Row],[Days in Arrears]] &gt; 30, Table__192.168.1.150_Daily_Delinquency_With_Sectors[[#This Row],[Outstanding Balance]],0)</f>
        <v>0</v>
      </c>
      <c r="T621" s="105">
        <f>IF(Table__192.168.1.150_Daily_Delinquency_With_Sectors[[#This Row],[Days in Arrears]] &gt; 90, Table__192.168.1.150_Daily_Delinquency_With_Sectors[[#This Row],[Outstanding Balance]],0)</f>
        <v>0</v>
      </c>
      <c r="U621" s="109">
        <f>IF(Table__192.168.1.150_Daily_Delinquency_With_Sectors[[#This Row],[Days in Arrears]] &gt;= 1,1,0)</f>
        <v>1</v>
      </c>
      <c r="V621" s="109">
        <f>IF(Table__192.168.1.150_Daily_Delinquency_With_Sectors[[#This Row],[Days in Arrears]] &gt; 30,1,0)</f>
        <v>0</v>
      </c>
      <c r="W621" s="109">
        <f>IF(Table__192.168.1.150_Daily_Delinquency_With_Sectors[[#This Row],[Days in Arrears]] &gt; 90,1,0)</f>
        <v>0</v>
      </c>
    </row>
    <row r="622" spans="1:23" x14ac:dyDescent="0.25">
      <c r="A622" t="s">
        <v>5520</v>
      </c>
      <c r="B622" t="s">
        <v>1279</v>
      </c>
      <c r="C622">
        <v>34</v>
      </c>
      <c r="D622" s="105">
        <v>3457790.7</v>
      </c>
      <c r="E622" t="s">
        <v>546</v>
      </c>
      <c r="F622" s="105">
        <v>144236.37</v>
      </c>
      <c r="G622" s="105">
        <v>4223549.4400000004</v>
      </c>
      <c r="H622" s="143">
        <v>42998.555043865737</v>
      </c>
      <c r="I622" s="143">
        <v>43301</v>
      </c>
      <c r="J622" t="s">
        <v>5521</v>
      </c>
      <c r="K622" t="s">
        <v>1280</v>
      </c>
      <c r="L622" t="s">
        <v>1280</v>
      </c>
      <c r="M622">
        <v>103355</v>
      </c>
      <c r="N622" t="s">
        <v>5519</v>
      </c>
      <c r="O622" t="s">
        <v>44</v>
      </c>
      <c r="P622" t="s">
        <v>92</v>
      </c>
      <c r="Q622" t="s">
        <v>92</v>
      </c>
      <c r="R622" s="105">
        <f>IF(Table__192.168.1.150_Daily_Delinquency_With_Sectors[[#This Row],[Days in Arrears]] &gt; 0, Table__192.168.1.150_Daily_Delinquency_With_Sectors[[#This Row],[Outstanding Balance]],0)</f>
        <v>3457790.7</v>
      </c>
      <c r="S622" s="105">
        <f>IF(Table__192.168.1.150_Daily_Delinquency_With_Sectors[[#This Row],[Days in Arrears]] &gt; 30, Table__192.168.1.150_Daily_Delinquency_With_Sectors[[#This Row],[Outstanding Balance]],0)</f>
        <v>3457790.7</v>
      </c>
      <c r="T622" s="105">
        <f>IF(Table__192.168.1.150_Daily_Delinquency_With_Sectors[[#This Row],[Days in Arrears]] &gt; 90, Table__192.168.1.150_Daily_Delinquency_With_Sectors[[#This Row],[Outstanding Balance]],0)</f>
        <v>0</v>
      </c>
      <c r="U622" s="109">
        <f>IF(Table__192.168.1.150_Daily_Delinquency_With_Sectors[[#This Row],[Days in Arrears]] &gt;= 1,1,0)</f>
        <v>1</v>
      </c>
      <c r="V622" s="109">
        <f>IF(Table__192.168.1.150_Daily_Delinquency_With_Sectors[[#This Row],[Days in Arrears]] &gt; 30,1,0)</f>
        <v>1</v>
      </c>
      <c r="W622" s="109">
        <f>IF(Table__192.168.1.150_Daily_Delinquency_With_Sectors[[#This Row],[Days in Arrears]] &gt; 90,1,0)</f>
        <v>0</v>
      </c>
    </row>
    <row r="623" spans="1:23" x14ac:dyDescent="0.25">
      <c r="A623" t="s">
        <v>4402</v>
      </c>
      <c r="B623" t="s">
        <v>1281</v>
      </c>
      <c r="C623">
        <v>4</v>
      </c>
      <c r="D623" s="105">
        <v>20650434.34</v>
      </c>
      <c r="E623" t="s">
        <v>1039</v>
      </c>
      <c r="F623" s="105">
        <v>104558.74</v>
      </c>
      <c r="G623" s="105">
        <v>27165332.25</v>
      </c>
      <c r="H623" s="143">
        <v>42998.62777835648</v>
      </c>
      <c r="I623" s="143">
        <v>43544</v>
      </c>
      <c r="J623" t="s">
        <v>4403</v>
      </c>
      <c r="K623" t="s">
        <v>1280</v>
      </c>
      <c r="L623" t="s">
        <v>1280</v>
      </c>
      <c r="M623">
        <v>103356</v>
      </c>
      <c r="N623" t="s">
        <v>4400</v>
      </c>
      <c r="O623" t="s">
        <v>25</v>
      </c>
      <c r="P623" t="s">
        <v>88</v>
      </c>
      <c r="Q623" t="s">
        <v>26</v>
      </c>
      <c r="R623" s="105">
        <f>IF(Table__192.168.1.150_Daily_Delinquency_With_Sectors[[#This Row],[Days in Arrears]] &gt; 0, Table__192.168.1.150_Daily_Delinquency_With_Sectors[[#This Row],[Outstanding Balance]],0)</f>
        <v>20650434.34</v>
      </c>
      <c r="S623" s="105">
        <f>IF(Table__192.168.1.150_Daily_Delinquency_With_Sectors[[#This Row],[Days in Arrears]] &gt; 30, Table__192.168.1.150_Daily_Delinquency_With_Sectors[[#This Row],[Outstanding Balance]],0)</f>
        <v>0</v>
      </c>
      <c r="T623" s="105">
        <f>IF(Table__192.168.1.150_Daily_Delinquency_With_Sectors[[#This Row],[Days in Arrears]] &gt; 90, Table__192.168.1.150_Daily_Delinquency_With_Sectors[[#This Row],[Outstanding Balance]],0)</f>
        <v>0</v>
      </c>
      <c r="U623" s="109">
        <f>IF(Table__192.168.1.150_Daily_Delinquency_With_Sectors[[#This Row],[Days in Arrears]] &gt;= 1,1,0)</f>
        <v>1</v>
      </c>
      <c r="V623" s="109">
        <f>IF(Table__192.168.1.150_Daily_Delinquency_With_Sectors[[#This Row],[Days in Arrears]] &gt; 30,1,0)</f>
        <v>0</v>
      </c>
      <c r="W623" s="109">
        <f>IF(Table__192.168.1.150_Daily_Delinquency_With_Sectors[[#This Row],[Days in Arrears]] &gt; 90,1,0)</f>
        <v>0</v>
      </c>
    </row>
    <row r="624" spans="1:23" x14ac:dyDescent="0.25">
      <c r="A624" t="s">
        <v>2936</v>
      </c>
      <c r="B624" t="s">
        <v>1282</v>
      </c>
      <c r="C624">
        <v>4</v>
      </c>
      <c r="D624" s="105">
        <v>9334478.2699999996</v>
      </c>
      <c r="E624" t="s">
        <v>2538</v>
      </c>
      <c r="F624" s="105">
        <v>315771.19</v>
      </c>
      <c r="G624" s="105">
        <v>11628561.710000001</v>
      </c>
      <c r="H624" s="143">
        <v>42998.699082951389</v>
      </c>
      <c r="I624" s="143">
        <v>43363</v>
      </c>
      <c r="J624" t="s">
        <v>2937</v>
      </c>
      <c r="K624" t="s">
        <v>1280</v>
      </c>
      <c r="L624" t="s">
        <v>1280</v>
      </c>
      <c r="M624">
        <v>103357</v>
      </c>
      <c r="N624" t="s">
        <v>2935</v>
      </c>
      <c r="O624" t="s">
        <v>25</v>
      </c>
      <c r="P624" t="s">
        <v>32</v>
      </c>
      <c r="Q624" t="s">
        <v>3369</v>
      </c>
      <c r="R624" s="105">
        <f>IF(Table__192.168.1.150_Daily_Delinquency_With_Sectors[[#This Row],[Days in Arrears]] &gt; 0, Table__192.168.1.150_Daily_Delinquency_With_Sectors[[#This Row],[Outstanding Balance]],0)</f>
        <v>9334478.2699999996</v>
      </c>
      <c r="S624" s="105">
        <f>IF(Table__192.168.1.150_Daily_Delinquency_With_Sectors[[#This Row],[Days in Arrears]] &gt; 30, Table__192.168.1.150_Daily_Delinquency_With_Sectors[[#This Row],[Outstanding Balance]],0)</f>
        <v>0</v>
      </c>
      <c r="T624" s="105">
        <f>IF(Table__192.168.1.150_Daily_Delinquency_With_Sectors[[#This Row],[Days in Arrears]] &gt; 90, Table__192.168.1.150_Daily_Delinquency_With_Sectors[[#This Row],[Outstanding Balance]],0)</f>
        <v>0</v>
      </c>
      <c r="U624" s="109">
        <f>IF(Table__192.168.1.150_Daily_Delinquency_With_Sectors[[#This Row],[Days in Arrears]] &gt;= 1,1,0)</f>
        <v>1</v>
      </c>
      <c r="V624" s="109">
        <f>IF(Table__192.168.1.150_Daily_Delinquency_With_Sectors[[#This Row],[Days in Arrears]] &gt; 30,1,0)</f>
        <v>0</v>
      </c>
      <c r="W624" s="109">
        <f>IF(Table__192.168.1.150_Daily_Delinquency_With_Sectors[[#This Row],[Days in Arrears]] &gt; 90,1,0)</f>
        <v>0</v>
      </c>
    </row>
    <row r="625" spans="1:23" x14ac:dyDescent="0.25">
      <c r="A625" t="s">
        <v>5533</v>
      </c>
      <c r="B625" t="s">
        <v>1279</v>
      </c>
      <c r="C625">
        <v>3</v>
      </c>
      <c r="D625" s="105">
        <v>3126866.21</v>
      </c>
      <c r="E625" t="s">
        <v>5385</v>
      </c>
      <c r="F625" s="105">
        <v>145053.59</v>
      </c>
      <c r="G625" s="105">
        <v>3710570.28</v>
      </c>
      <c r="H625" s="143">
        <v>42999.724034340281</v>
      </c>
      <c r="I625" s="143">
        <v>43241</v>
      </c>
      <c r="J625" t="s">
        <v>5534</v>
      </c>
      <c r="K625" t="s">
        <v>1280</v>
      </c>
      <c r="L625" t="s">
        <v>1280</v>
      </c>
      <c r="M625">
        <v>103358</v>
      </c>
      <c r="N625" t="s">
        <v>5530</v>
      </c>
      <c r="O625" t="s">
        <v>25</v>
      </c>
      <c r="P625" t="s">
        <v>290</v>
      </c>
      <c r="Q625" t="s">
        <v>297</v>
      </c>
      <c r="R625" s="105">
        <f>IF(Table__192.168.1.150_Daily_Delinquency_With_Sectors[[#This Row],[Days in Arrears]] &gt; 0, Table__192.168.1.150_Daily_Delinquency_With_Sectors[[#This Row],[Outstanding Balance]],0)</f>
        <v>3126866.21</v>
      </c>
      <c r="S625" s="105">
        <f>IF(Table__192.168.1.150_Daily_Delinquency_With_Sectors[[#This Row],[Days in Arrears]] &gt; 30, Table__192.168.1.150_Daily_Delinquency_With_Sectors[[#This Row],[Outstanding Balance]],0)</f>
        <v>0</v>
      </c>
      <c r="T625" s="105">
        <f>IF(Table__192.168.1.150_Daily_Delinquency_With_Sectors[[#This Row],[Days in Arrears]] &gt; 90, Table__192.168.1.150_Daily_Delinquency_With_Sectors[[#This Row],[Outstanding Balance]],0)</f>
        <v>0</v>
      </c>
      <c r="U625" s="109">
        <f>IF(Table__192.168.1.150_Daily_Delinquency_With_Sectors[[#This Row],[Days in Arrears]] &gt;= 1,1,0)</f>
        <v>1</v>
      </c>
      <c r="V625" s="109">
        <f>IF(Table__192.168.1.150_Daily_Delinquency_With_Sectors[[#This Row],[Days in Arrears]] &gt; 30,1,0)</f>
        <v>0</v>
      </c>
      <c r="W625" s="109">
        <f>IF(Table__192.168.1.150_Daily_Delinquency_With_Sectors[[#This Row],[Days in Arrears]] &gt; 90,1,0)</f>
        <v>0</v>
      </c>
    </row>
    <row r="626" spans="1:23" x14ac:dyDescent="0.25">
      <c r="A626" t="s">
        <v>5546</v>
      </c>
      <c r="B626" t="s">
        <v>1282</v>
      </c>
      <c r="C626">
        <v>2</v>
      </c>
      <c r="D626" s="105">
        <v>2755863.53</v>
      </c>
      <c r="E626" t="s">
        <v>4684</v>
      </c>
      <c r="F626" s="105">
        <v>127764.97</v>
      </c>
      <c r="G626" s="105">
        <v>3412228.18</v>
      </c>
      <c r="H626" s="143">
        <v>43000.423390821757</v>
      </c>
      <c r="I626" s="143">
        <v>43303</v>
      </c>
      <c r="J626" t="s">
        <v>5547</v>
      </c>
      <c r="K626" t="s">
        <v>5548</v>
      </c>
      <c r="L626" t="s">
        <v>1280</v>
      </c>
      <c r="M626">
        <v>103359</v>
      </c>
      <c r="N626" t="s">
        <v>5539</v>
      </c>
      <c r="O626" t="s">
        <v>25</v>
      </c>
      <c r="P626" t="s">
        <v>103</v>
      </c>
      <c r="Q626" t="s">
        <v>104</v>
      </c>
      <c r="R626" s="105">
        <f>IF(Table__192.168.1.150_Daily_Delinquency_With_Sectors[[#This Row],[Days in Arrears]] &gt; 0, Table__192.168.1.150_Daily_Delinquency_With_Sectors[[#This Row],[Outstanding Balance]],0)</f>
        <v>2755863.53</v>
      </c>
      <c r="S626" s="105">
        <f>IF(Table__192.168.1.150_Daily_Delinquency_With_Sectors[[#This Row],[Days in Arrears]] &gt; 30, Table__192.168.1.150_Daily_Delinquency_With_Sectors[[#This Row],[Outstanding Balance]],0)</f>
        <v>0</v>
      </c>
      <c r="T626" s="105">
        <f>IF(Table__192.168.1.150_Daily_Delinquency_With_Sectors[[#This Row],[Days in Arrears]] &gt; 90, Table__192.168.1.150_Daily_Delinquency_With_Sectors[[#This Row],[Outstanding Balance]],0)</f>
        <v>0</v>
      </c>
      <c r="U626" s="109">
        <f>IF(Table__192.168.1.150_Daily_Delinquency_With_Sectors[[#This Row],[Days in Arrears]] &gt;= 1,1,0)</f>
        <v>1</v>
      </c>
      <c r="V626" s="109">
        <f>IF(Table__192.168.1.150_Daily_Delinquency_With_Sectors[[#This Row],[Days in Arrears]] &gt; 30,1,0)</f>
        <v>0</v>
      </c>
      <c r="W626" s="109">
        <f>IF(Table__192.168.1.150_Daily_Delinquency_With_Sectors[[#This Row],[Days in Arrears]] &gt; 90,1,0)</f>
        <v>0</v>
      </c>
    </row>
    <row r="627" spans="1:23" x14ac:dyDescent="0.25">
      <c r="A627" t="s">
        <v>2914</v>
      </c>
      <c r="B627" t="s">
        <v>1282</v>
      </c>
      <c r="C627">
        <v>2</v>
      </c>
      <c r="D627" s="105">
        <v>4200515.22</v>
      </c>
      <c r="E627" t="s">
        <v>963</v>
      </c>
      <c r="F627" s="105">
        <v>172506.94</v>
      </c>
      <c r="G627" s="105">
        <v>5273633.46</v>
      </c>
      <c r="H627" s="143">
        <v>43000.569336574074</v>
      </c>
      <c r="I627" s="143">
        <v>43365</v>
      </c>
      <c r="J627" t="s">
        <v>2915</v>
      </c>
      <c r="K627" t="s">
        <v>2916</v>
      </c>
      <c r="L627" t="s">
        <v>1280</v>
      </c>
      <c r="M627">
        <v>103360</v>
      </c>
      <c r="N627" t="s">
        <v>2913</v>
      </c>
      <c r="O627" t="s">
        <v>44</v>
      </c>
      <c r="P627" t="s">
        <v>75</v>
      </c>
      <c r="Q627" t="s">
        <v>26</v>
      </c>
      <c r="R627" s="105">
        <f>IF(Table__192.168.1.150_Daily_Delinquency_With_Sectors[[#This Row],[Days in Arrears]] &gt; 0, Table__192.168.1.150_Daily_Delinquency_With_Sectors[[#This Row],[Outstanding Balance]],0)</f>
        <v>4200515.22</v>
      </c>
      <c r="S627" s="105">
        <f>IF(Table__192.168.1.150_Daily_Delinquency_With_Sectors[[#This Row],[Days in Arrears]] &gt; 30, Table__192.168.1.150_Daily_Delinquency_With_Sectors[[#This Row],[Outstanding Balance]],0)</f>
        <v>0</v>
      </c>
      <c r="T627" s="105">
        <f>IF(Table__192.168.1.150_Daily_Delinquency_With_Sectors[[#This Row],[Days in Arrears]] &gt; 90, Table__192.168.1.150_Daily_Delinquency_With_Sectors[[#This Row],[Outstanding Balance]],0)</f>
        <v>0</v>
      </c>
      <c r="U627" s="109">
        <f>IF(Table__192.168.1.150_Daily_Delinquency_With_Sectors[[#This Row],[Days in Arrears]] &gt;= 1,1,0)</f>
        <v>1</v>
      </c>
      <c r="V627" s="109">
        <f>IF(Table__192.168.1.150_Daily_Delinquency_With_Sectors[[#This Row],[Days in Arrears]] &gt; 30,1,0)</f>
        <v>0</v>
      </c>
      <c r="W627" s="109">
        <f>IF(Table__192.168.1.150_Daily_Delinquency_With_Sectors[[#This Row],[Days in Arrears]] &gt; 90,1,0)</f>
        <v>0</v>
      </c>
    </row>
    <row r="628" spans="1:23" x14ac:dyDescent="0.25">
      <c r="A628" t="s">
        <v>1318</v>
      </c>
      <c r="B628" t="s">
        <v>1285</v>
      </c>
      <c r="C628">
        <v>-27</v>
      </c>
      <c r="D628" s="105">
        <v>9037977.4499999993</v>
      </c>
      <c r="E628" t="s">
        <v>284</v>
      </c>
      <c r="F628" s="105">
        <v>11046.42</v>
      </c>
      <c r="G628" s="105">
        <v>10510273.24</v>
      </c>
      <c r="H628" s="143">
        <v>43000.651462499998</v>
      </c>
      <c r="I628" s="143">
        <v>43545</v>
      </c>
      <c r="J628" t="s">
        <v>1319</v>
      </c>
      <c r="K628" t="s">
        <v>1280</v>
      </c>
      <c r="L628" t="s">
        <v>1280</v>
      </c>
      <c r="M628">
        <v>103361</v>
      </c>
      <c r="N628" t="s">
        <v>1144</v>
      </c>
      <c r="O628" t="s">
        <v>43</v>
      </c>
      <c r="P628" t="s">
        <v>338</v>
      </c>
      <c r="Q628" t="s">
        <v>339</v>
      </c>
      <c r="R628" s="105">
        <f>IF(Table__192.168.1.150_Daily_Delinquency_With_Sectors[[#This Row],[Days in Arrears]] &gt; 0, Table__192.168.1.150_Daily_Delinquency_With_Sectors[[#This Row],[Outstanding Balance]],0)</f>
        <v>0</v>
      </c>
      <c r="S628" s="105">
        <f>IF(Table__192.168.1.150_Daily_Delinquency_With_Sectors[[#This Row],[Days in Arrears]] &gt; 30, Table__192.168.1.150_Daily_Delinquency_With_Sectors[[#This Row],[Outstanding Balance]],0)</f>
        <v>0</v>
      </c>
      <c r="T628" s="105">
        <f>IF(Table__192.168.1.150_Daily_Delinquency_With_Sectors[[#This Row],[Days in Arrears]] &gt; 90, Table__192.168.1.150_Daily_Delinquency_With_Sectors[[#This Row],[Outstanding Balance]],0)</f>
        <v>0</v>
      </c>
      <c r="U628" s="109">
        <f>IF(Table__192.168.1.150_Daily_Delinquency_With_Sectors[[#This Row],[Days in Arrears]] &gt;= 1,1,0)</f>
        <v>0</v>
      </c>
      <c r="V628" s="109">
        <f>IF(Table__192.168.1.150_Daily_Delinquency_With_Sectors[[#This Row],[Days in Arrears]] &gt; 30,1,0)</f>
        <v>0</v>
      </c>
      <c r="W628" s="109">
        <f>IF(Table__192.168.1.150_Daily_Delinquency_With_Sectors[[#This Row],[Days in Arrears]] &gt; 90,1,0)</f>
        <v>0</v>
      </c>
    </row>
    <row r="629" spans="1:23" x14ac:dyDescent="0.25">
      <c r="A629" t="s">
        <v>5549</v>
      </c>
      <c r="B629" t="s">
        <v>1279</v>
      </c>
      <c r="C629">
        <v>2</v>
      </c>
      <c r="D629" s="105">
        <v>1377931.77</v>
      </c>
      <c r="E629" t="s">
        <v>5124</v>
      </c>
      <c r="F629" s="105">
        <v>57498.559999999998</v>
      </c>
      <c r="G629" s="105">
        <v>1699730.19</v>
      </c>
      <c r="H629" s="143">
        <v>43000.727458530091</v>
      </c>
      <c r="I629" s="143">
        <v>43303</v>
      </c>
      <c r="J629" t="s">
        <v>5550</v>
      </c>
      <c r="K629" t="s">
        <v>1280</v>
      </c>
      <c r="L629" t="s">
        <v>1280</v>
      </c>
      <c r="M629">
        <v>103363</v>
      </c>
      <c r="N629" t="s">
        <v>5540</v>
      </c>
      <c r="O629" t="s">
        <v>25</v>
      </c>
      <c r="P629" t="s">
        <v>101</v>
      </c>
      <c r="Q629" t="s">
        <v>26</v>
      </c>
      <c r="R629" s="105">
        <f>IF(Table__192.168.1.150_Daily_Delinquency_With_Sectors[[#This Row],[Days in Arrears]] &gt; 0, Table__192.168.1.150_Daily_Delinquency_With_Sectors[[#This Row],[Outstanding Balance]],0)</f>
        <v>1377931.77</v>
      </c>
      <c r="S629" s="105">
        <f>IF(Table__192.168.1.150_Daily_Delinquency_With_Sectors[[#This Row],[Days in Arrears]] &gt; 30, Table__192.168.1.150_Daily_Delinquency_With_Sectors[[#This Row],[Outstanding Balance]],0)</f>
        <v>0</v>
      </c>
      <c r="T629" s="105">
        <f>IF(Table__192.168.1.150_Daily_Delinquency_With_Sectors[[#This Row],[Days in Arrears]] &gt; 90, Table__192.168.1.150_Daily_Delinquency_With_Sectors[[#This Row],[Outstanding Balance]],0)</f>
        <v>0</v>
      </c>
      <c r="U629" s="109">
        <f>IF(Table__192.168.1.150_Daily_Delinquency_With_Sectors[[#This Row],[Days in Arrears]] &gt;= 1,1,0)</f>
        <v>1</v>
      </c>
      <c r="V629" s="109">
        <f>IF(Table__192.168.1.150_Daily_Delinquency_With_Sectors[[#This Row],[Days in Arrears]] &gt; 30,1,0)</f>
        <v>0</v>
      </c>
      <c r="W629" s="109">
        <f>IF(Table__192.168.1.150_Daily_Delinquency_With_Sectors[[#This Row],[Days in Arrears]] &gt; 90,1,0)</f>
        <v>0</v>
      </c>
    </row>
    <row r="630" spans="1:23" x14ac:dyDescent="0.25">
      <c r="A630" t="s">
        <v>5557</v>
      </c>
      <c r="B630" t="s">
        <v>1282</v>
      </c>
      <c r="C630">
        <v>1</v>
      </c>
      <c r="D630" s="105">
        <v>12685999.300000001</v>
      </c>
      <c r="E630" t="s">
        <v>5382</v>
      </c>
      <c r="F630" s="105">
        <v>620069.30000000005</v>
      </c>
      <c r="G630" s="105">
        <v>15347753.27</v>
      </c>
      <c r="H630" s="143">
        <v>43001.43780659722</v>
      </c>
      <c r="I630" s="143">
        <v>43304</v>
      </c>
      <c r="J630" t="s">
        <v>5558</v>
      </c>
      <c r="K630" t="s">
        <v>5559</v>
      </c>
      <c r="L630" t="s">
        <v>1280</v>
      </c>
      <c r="M630">
        <v>103364</v>
      </c>
      <c r="N630" t="s">
        <v>5556</v>
      </c>
      <c r="O630" t="s">
        <v>29</v>
      </c>
      <c r="P630" t="s">
        <v>30</v>
      </c>
      <c r="Q630" t="s">
        <v>437</v>
      </c>
      <c r="R630" s="105">
        <f>IF(Table__192.168.1.150_Daily_Delinquency_With_Sectors[[#This Row],[Days in Arrears]] &gt; 0, Table__192.168.1.150_Daily_Delinquency_With_Sectors[[#This Row],[Outstanding Balance]],0)</f>
        <v>12685999.300000001</v>
      </c>
      <c r="S630" s="105">
        <f>IF(Table__192.168.1.150_Daily_Delinquency_With_Sectors[[#This Row],[Days in Arrears]] &gt; 30, Table__192.168.1.150_Daily_Delinquency_With_Sectors[[#This Row],[Outstanding Balance]],0)</f>
        <v>0</v>
      </c>
      <c r="T630" s="105">
        <f>IF(Table__192.168.1.150_Daily_Delinquency_With_Sectors[[#This Row],[Days in Arrears]] &gt; 90, Table__192.168.1.150_Daily_Delinquency_With_Sectors[[#This Row],[Outstanding Balance]],0)</f>
        <v>0</v>
      </c>
      <c r="U630" s="109">
        <f>IF(Table__192.168.1.150_Daily_Delinquency_With_Sectors[[#This Row],[Days in Arrears]] &gt;= 1,1,0)</f>
        <v>1</v>
      </c>
      <c r="V630" s="109">
        <f>IF(Table__192.168.1.150_Daily_Delinquency_With_Sectors[[#This Row],[Days in Arrears]] &gt; 30,1,0)</f>
        <v>0</v>
      </c>
      <c r="W630" s="109">
        <f>IF(Table__192.168.1.150_Daily_Delinquency_With_Sectors[[#This Row],[Days in Arrears]] &gt; 90,1,0)</f>
        <v>0</v>
      </c>
    </row>
    <row r="631" spans="1:23" x14ac:dyDescent="0.25">
      <c r="A631" t="s">
        <v>1357</v>
      </c>
      <c r="B631" t="s">
        <v>1282</v>
      </c>
      <c r="C631">
        <v>1</v>
      </c>
      <c r="D631" s="105">
        <v>12044374.609999999</v>
      </c>
      <c r="E631" t="s">
        <v>2175</v>
      </c>
      <c r="F631" s="105">
        <v>485392.87</v>
      </c>
      <c r="G631" s="105">
        <v>14661120.689999999</v>
      </c>
      <c r="H631" s="143">
        <v>43001.462453125001</v>
      </c>
      <c r="I631" s="143">
        <v>43366</v>
      </c>
      <c r="J631" t="s">
        <v>4342</v>
      </c>
      <c r="K631" t="s">
        <v>1280</v>
      </c>
      <c r="L631" t="s">
        <v>1280</v>
      </c>
      <c r="M631">
        <v>103365</v>
      </c>
      <c r="N631" t="s">
        <v>4327</v>
      </c>
      <c r="O631" t="s">
        <v>25</v>
      </c>
      <c r="P631" t="s">
        <v>103</v>
      </c>
      <c r="Q631" t="s">
        <v>104</v>
      </c>
      <c r="R631" s="105">
        <f>IF(Table__192.168.1.150_Daily_Delinquency_With_Sectors[[#This Row],[Days in Arrears]] &gt; 0, Table__192.168.1.150_Daily_Delinquency_With_Sectors[[#This Row],[Outstanding Balance]],0)</f>
        <v>12044374.609999999</v>
      </c>
      <c r="S631" s="105">
        <f>IF(Table__192.168.1.150_Daily_Delinquency_With_Sectors[[#This Row],[Days in Arrears]] &gt; 30, Table__192.168.1.150_Daily_Delinquency_With_Sectors[[#This Row],[Outstanding Balance]],0)</f>
        <v>0</v>
      </c>
      <c r="T631" s="105">
        <f>IF(Table__192.168.1.150_Daily_Delinquency_With_Sectors[[#This Row],[Days in Arrears]] &gt; 90, Table__192.168.1.150_Daily_Delinquency_With_Sectors[[#This Row],[Outstanding Balance]],0)</f>
        <v>0</v>
      </c>
      <c r="U631" s="109">
        <f>IF(Table__192.168.1.150_Daily_Delinquency_With_Sectors[[#This Row],[Days in Arrears]] &gt;= 1,1,0)</f>
        <v>1</v>
      </c>
      <c r="V631" s="109">
        <f>IF(Table__192.168.1.150_Daily_Delinquency_With_Sectors[[#This Row],[Days in Arrears]] &gt; 30,1,0)</f>
        <v>0</v>
      </c>
      <c r="W631" s="109">
        <f>IF(Table__192.168.1.150_Daily_Delinquency_With_Sectors[[#This Row],[Days in Arrears]] &gt; 90,1,0)</f>
        <v>0</v>
      </c>
    </row>
    <row r="632" spans="1:23" x14ac:dyDescent="0.25">
      <c r="A632" t="s">
        <v>5568</v>
      </c>
      <c r="B632" t="s">
        <v>1282</v>
      </c>
      <c r="C632">
        <v>-1</v>
      </c>
      <c r="D632" s="105">
        <v>9353338.1099999994</v>
      </c>
      <c r="E632" t="s">
        <v>5382</v>
      </c>
      <c r="F632" s="105">
        <v>392840.2</v>
      </c>
      <c r="G632" s="105">
        <v>12063280.74</v>
      </c>
      <c r="H632" s="143">
        <v>43003.566039664351</v>
      </c>
      <c r="I632" s="143">
        <v>43368</v>
      </c>
      <c r="J632" t="s">
        <v>5569</v>
      </c>
      <c r="K632" t="s">
        <v>5570</v>
      </c>
      <c r="L632" t="s">
        <v>1280</v>
      </c>
      <c r="M632">
        <v>103366</v>
      </c>
      <c r="N632" t="s">
        <v>5564</v>
      </c>
      <c r="O632" t="s">
        <v>37</v>
      </c>
      <c r="P632" t="s">
        <v>38</v>
      </c>
      <c r="Q632" t="s">
        <v>39</v>
      </c>
      <c r="R632" s="105">
        <f>IF(Table__192.168.1.150_Daily_Delinquency_With_Sectors[[#This Row],[Days in Arrears]] &gt; 0, Table__192.168.1.150_Daily_Delinquency_With_Sectors[[#This Row],[Outstanding Balance]],0)</f>
        <v>0</v>
      </c>
      <c r="S632" s="105">
        <f>IF(Table__192.168.1.150_Daily_Delinquency_With_Sectors[[#This Row],[Days in Arrears]] &gt; 30, Table__192.168.1.150_Daily_Delinquency_With_Sectors[[#This Row],[Outstanding Balance]],0)</f>
        <v>0</v>
      </c>
      <c r="T632" s="105">
        <f>IF(Table__192.168.1.150_Daily_Delinquency_With_Sectors[[#This Row],[Days in Arrears]] &gt; 90, Table__192.168.1.150_Daily_Delinquency_With_Sectors[[#This Row],[Outstanding Balance]],0)</f>
        <v>0</v>
      </c>
      <c r="U632" s="109">
        <f>IF(Table__192.168.1.150_Daily_Delinquency_With_Sectors[[#This Row],[Days in Arrears]] &gt;= 1,1,0)</f>
        <v>0</v>
      </c>
      <c r="V632" s="109">
        <f>IF(Table__192.168.1.150_Daily_Delinquency_With_Sectors[[#This Row],[Days in Arrears]] &gt; 30,1,0)</f>
        <v>0</v>
      </c>
      <c r="W632" s="109">
        <f>IF(Table__192.168.1.150_Daily_Delinquency_With_Sectors[[#This Row],[Days in Arrears]] &gt; 90,1,0)</f>
        <v>0</v>
      </c>
    </row>
    <row r="633" spans="1:23" x14ac:dyDescent="0.25">
      <c r="A633" t="s">
        <v>5571</v>
      </c>
      <c r="B633" t="s">
        <v>1282</v>
      </c>
      <c r="C633">
        <v>-1</v>
      </c>
      <c r="D633" s="105">
        <v>5612002.8700000001</v>
      </c>
      <c r="E633" t="s">
        <v>1039</v>
      </c>
      <c r="F633" s="105">
        <v>235704.12</v>
      </c>
      <c r="G633" s="105">
        <v>7237968.46</v>
      </c>
      <c r="H633" s="143">
        <v>43003.651829629627</v>
      </c>
      <c r="I633" s="143">
        <v>43368</v>
      </c>
      <c r="J633" t="s">
        <v>5572</v>
      </c>
      <c r="K633" t="s">
        <v>5573</v>
      </c>
      <c r="L633" t="s">
        <v>1280</v>
      </c>
      <c r="M633">
        <v>103367</v>
      </c>
      <c r="N633" t="s">
        <v>5565</v>
      </c>
      <c r="O633" t="s">
        <v>44</v>
      </c>
      <c r="P633" t="s">
        <v>92</v>
      </c>
      <c r="Q633" t="s">
        <v>92</v>
      </c>
      <c r="R633" s="105">
        <f>IF(Table__192.168.1.150_Daily_Delinquency_With_Sectors[[#This Row],[Days in Arrears]] &gt; 0, Table__192.168.1.150_Daily_Delinquency_With_Sectors[[#This Row],[Outstanding Balance]],0)</f>
        <v>0</v>
      </c>
      <c r="S633" s="105">
        <f>IF(Table__192.168.1.150_Daily_Delinquency_With_Sectors[[#This Row],[Days in Arrears]] &gt; 30, Table__192.168.1.150_Daily_Delinquency_With_Sectors[[#This Row],[Outstanding Balance]],0)</f>
        <v>0</v>
      </c>
      <c r="T633" s="105">
        <f>IF(Table__192.168.1.150_Daily_Delinquency_With_Sectors[[#This Row],[Days in Arrears]] &gt; 90, Table__192.168.1.150_Daily_Delinquency_With_Sectors[[#This Row],[Outstanding Balance]],0)</f>
        <v>0</v>
      </c>
      <c r="U633" s="109">
        <f>IF(Table__192.168.1.150_Daily_Delinquency_With_Sectors[[#This Row],[Days in Arrears]] &gt;= 1,1,0)</f>
        <v>0</v>
      </c>
      <c r="V633" s="109">
        <f>IF(Table__192.168.1.150_Daily_Delinquency_With_Sectors[[#This Row],[Days in Arrears]] &gt; 30,1,0)</f>
        <v>0</v>
      </c>
      <c r="W633" s="109">
        <f>IF(Table__192.168.1.150_Daily_Delinquency_With_Sectors[[#This Row],[Days in Arrears]] &gt; 90,1,0)</f>
        <v>0</v>
      </c>
    </row>
    <row r="634" spans="1:23" x14ac:dyDescent="0.25">
      <c r="A634" t="s">
        <v>1228</v>
      </c>
      <c r="B634" t="s">
        <v>1282</v>
      </c>
      <c r="C634">
        <v>-1</v>
      </c>
      <c r="D634" s="105">
        <v>9334478.2699999996</v>
      </c>
      <c r="E634" t="s">
        <v>1191</v>
      </c>
      <c r="F634" s="105">
        <v>348487.19</v>
      </c>
      <c r="G634" s="105">
        <v>11720738.99</v>
      </c>
      <c r="H634" s="143">
        <v>43003.6607721412</v>
      </c>
      <c r="I634" s="143">
        <v>43368</v>
      </c>
      <c r="J634" t="s">
        <v>1229</v>
      </c>
      <c r="K634" t="s">
        <v>1230</v>
      </c>
      <c r="L634" t="s">
        <v>1280</v>
      </c>
      <c r="M634">
        <v>103368</v>
      </c>
      <c r="N634" t="s">
        <v>438</v>
      </c>
      <c r="O634" t="s">
        <v>44</v>
      </c>
      <c r="P634" t="s">
        <v>75</v>
      </c>
      <c r="Q634" t="s">
        <v>26</v>
      </c>
      <c r="R634" s="105">
        <f>IF(Table__192.168.1.150_Daily_Delinquency_With_Sectors[[#This Row],[Days in Arrears]] &gt; 0, Table__192.168.1.150_Daily_Delinquency_With_Sectors[[#This Row],[Outstanding Balance]],0)</f>
        <v>0</v>
      </c>
      <c r="S634" s="105">
        <f>IF(Table__192.168.1.150_Daily_Delinquency_With_Sectors[[#This Row],[Days in Arrears]] &gt; 30, Table__192.168.1.150_Daily_Delinquency_With_Sectors[[#This Row],[Outstanding Balance]],0)</f>
        <v>0</v>
      </c>
      <c r="T634" s="105">
        <f>IF(Table__192.168.1.150_Daily_Delinquency_With_Sectors[[#This Row],[Days in Arrears]] &gt; 90, Table__192.168.1.150_Daily_Delinquency_With_Sectors[[#This Row],[Outstanding Balance]],0)</f>
        <v>0</v>
      </c>
      <c r="U634" s="109">
        <f>IF(Table__192.168.1.150_Daily_Delinquency_With_Sectors[[#This Row],[Days in Arrears]] &gt;= 1,1,0)</f>
        <v>0</v>
      </c>
      <c r="V634" s="109">
        <f>IF(Table__192.168.1.150_Daily_Delinquency_With_Sectors[[#This Row],[Days in Arrears]] &gt; 30,1,0)</f>
        <v>0</v>
      </c>
      <c r="W634" s="109">
        <f>IF(Table__192.168.1.150_Daily_Delinquency_With_Sectors[[#This Row],[Days in Arrears]] &gt; 90,1,0)</f>
        <v>0</v>
      </c>
    </row>
    <row r="635" spans="1:23" x14ac:dyDescent="0.25">
      <c r="A635" t="s">
        <v>424</v>
      </c>
      <c r="B635" t="s">
        <v>1282</v>
      </c>
      <c r="C635">
        <v>22</v>
      </c>
      <c r="D635" s="105">
        <v>5000000</v>
      </c>
      <c r="E635" t="s">
        <v>1191</v>
      </c>
      <c r="F635" s="105">
        <v>357876.6</v>
      </c>
      <c r="G635" s="105">
        <v>6199444.8600000003</v>
      </c>
      <c r="H635" s="143">
        <v>43005.528888460649</v>
      </c>
      <c r="I635" s="143">
        <v>43314</v>
      </c>
      <c r="J635" t="s">
        <v>425</v>
      </c>
      <c r="K635" t="s">
        <v>426</v>
      </c>
      <c r="L635" t="s">
        <v>1280</v>
      </c>
      <c r="M635">
        <v>103369</v>
      </c>
      <c r="N635" t="s">
        <v>423</v>
      </c>
      <c r="O635" t="s">
        <v>25</v>
      </c>
      <c r="P635" t="s">
        <v>88</v>
      </c>
      <c r="Q635" t="s">
        <v>285</v>
      </c>
      <c r="R635" s="105">
        <f>IF(Table__192.168.1.150_Daily_Delinquency_With_Sectors[[#This Row],[Days in Arrears]] &gt; 0, Table__192.168.1.150_Daily_Delinquency_With_Sectors[[#This Row],[Outstanding Balance]],0)</f>
        <v>5000000</v>
      </c>
      <c r="S635" s="105">
        <f>IF(Table__192.168.1.150_Daily_Delinquency_With_Sectors[[#This Row],[Days in Arrears]] &gt; 30, Table__192.168.1.150_Daily_Delinquency_With_Sectors[[#This Row],[Outstanding Balance]],0)</f>
        <v>0</v>
      </c>
      <c r="T635" s="105">
        <f>IF(Table__192.168.1.150_Daily_Delinquency_With_Sectors[[#This Row],[Days in Arrears]] &gt; 90, Table__192.168.1.150_Daily_Delinquency_With_Sectors[[#This Row],[Outstanding Balance]],0)</f>
        <v>0</v>
      </c>
      <c r="U635" s="109">
        <f>IF(Table__192.168.1.150_Daily_Delinquency_With_Sectors[[#This Row],[Days in Arrears]] &gt;= 1,1,0)</f>
        <v>1</v>
      </c>
      <c r="V635" s="109">
        <f>IF(Table__192.168.1.150_Daily_Delinquency_With_Sectors[[#This Row],[Days in Arrears]] &gt; 30,1,0)</f>
        <v>0</v>
      </c>
      <c r="W635" s="109">
        <f>IF(Table__192.168.1.150_Daily_Delinquency_With_Sectors[[#This Row],[Days in Arrears]] &gt; 90,1,0)</f>
        <v>0</v>
      </c>
    </row>
    <row r="636" spans="1:23" x14ac:dyDescent="0.25">
      <c r="A636" t="s">
        <v>5583</v>
      </c>
      <c r="B636" t="s">
        <v>1279</v>
      </c>
      <c r="C636">
        <v>-8</v>
      </c>
      <c r="D636" s="105">
        <v>926532.75</v>
      </c>
      <c r="E636" t="s">
        <v>5385</v>
      </c>
      <c r="F636" s="105">
        <v>29185.78</v>
      </c>
      <c r="G636" s="105">
        <v>1147205.26</v>
      </c>
      <c r="H636" s="143">
        <v>43004.608470254629</v>
      </c>
      <c r="I636" s="143">
        <v>43314</v>
      </c>
      <c r="J636" t="s">
        <v>5584</v>
      </c>
      <c r="K636" t="s">
        <v>5585</v>
      </c>
      <c r="L636" t="s">
        <v>1280</v>
      </c>
      <c r="M636">
        <v>103370</v>
      </c>
      <c r="N636" t="s">
        <v>5579</v>
      </c>
      <c r="O636" t="s">
        <v>25</v>
      </c>
      <c r="P636" t="s">
        <v>88</v>
      </c>
      <c r="Q636" t="s">
        <v>285</v>
      </c>
      <c r="R636" s="105">
        <f>IF(Table__192.168.1.150_Daily_Delinquency_With_Sectors[[#This Row],[Days in Arrears]] &gt; 0, Table__192.168.1.150_Daily_Delinquency_With_Sectors[[#This Row],[Outstanding Balance]],0)</f>
        <v>0</v>
      </c>
      <c r="S636" s="105">
        <f>IF(Table__192.168.1.150_Daily_Delinquency_With_Sectors[[#This Row],[Days in Arrears]] &gt; 30, Table__192.168.1.150_Daily_Delinquency_With_Sectors[[#This Row],[Outstanding Balance]],0)</f>
        <v>0</v>
      </c>
      <c r="T636" s="105">
        <f>IF(Table__192.168.1.150_Daily_Delinquency_With_Sectors[[#This Row],[Days in Arrears]] &gt; 90, Table__192.168.1.150_Daily_Delinquency_With_Sectors[[#This Row],[Outstanding Balance]],0)</f>
        <v>0</v>
      </c>
      <c r="U636" s="109">
        <f>IF(Table__192.168.1.150_Daily_Delinquency_With_Sectors[[#This Row],[Days in Arrears]] &gt;= 1,1,0)</f>
        <v>0</v>
      </c>
      <c r="V636" s="109">
        <f>IF(Table__192.168.1.150_Daily_Delinquency_With_Sectors[[#This Row],[Days in Arrears]] &gt; 30,1,0)</f>
        <v>0</v>
      </c>
      <c r="W636" s="109">
        <f>IF(Table__192.168.1.150_Daily_Delinquency_With_Sectors[[#This Row],[Days in Arrears]] &gt; 90,1,0)</f>
        <v>0</v>
      </c>
    </row>
    <row r="637" spans="1:23" x14ac:dyDescent="0.25">
      <c r="A637" t="s">
        <v>4312</v>
      </c>
      <c r="B637" t="s">
        <v>1279</v>
      </c>
      <c r="C637">
        <v>-8</v>
      </c>
      <c r="D637" s="105">
        <v>4703140.9800000004</v>
      </c>
      <c r="E637" t="s">
        <v>4684</v>
      </c>
      <c r="F637" s="105">
        <v>131687.95000000001</v>
      </c>
      <c r="G637" s="105">
        <v>5905449.2800000003</v>
      </c>
      <c r="H637" s="143">
        <v>43004.666905243059</v>
      </c>
      <c r="I637" s="143">
        <v>43375</v>
      </c>
      <c r="J637" t="s">
        <v>4313</v>
      </c>
      <c r="K637" t="s">
        <v>1280</v>
      </c>
      <c r="L637" t="s">
        <v>1280</v>
      </c>
      <c r="M637">
        <v>103371</v>
      </c>
      <c r="N637" t="s">
        <v>4305</v>
      </c>
      <c r="O637" t="s">
        <v>44</v>
      </c>
      <c r="P637" t="s">
        <v>75</v>
      </c>
      <c r="Q637" t="s">
        <v>4000</v>
      </c>
      <c r="R637" s="105">
        <f>IF(Table__192.168.1.150_Daily_Delinquency_With_Sectors[[#This Row],[Days in Arrears]] &gt; 0, Table__192.168.1.150_Daily_Delinquency_With_Sectors[[#This Row],[Outstanding Balance]],0)</f>
        <v>0</v>
      </c>
      <c r="S637" s="105">
        <f>IF(Table__192.168.1.150_Daily_Delinquency_With_Sectors[[#This Row],[Days in Arrears]] &gt; 30, Table__192.168.1.150_Daily_Delinquency_With_Sectors[[#This Row],[Outstanding Balance]],0)</f>
        <v>0</v>
      </c>
      <c r="T637" s="105">
        <f>IF(Table__192.168.1.150_Daily_Delinquency_With_Sectors[[#This Row],[Days in Arrears]] &gt; 90, Table__192.168.1.150_Daily_Delinquency_With_Sectors[[#This Row],[Outstanding Balance]],0)</f>
        <v>0</v>
      </c>
      <c r="U637" s="109">
        <f>IF(Table__192.168.1.150_Daily_Delinquency_With_Sectors[[#This Row],[Days in Arrears]] &gt;= 1,1,0)</f>
        <v>0</v>
      </c>
      <c r="V637" s="109">
        <f>IF(Table__192.168.1.150_Daily_Delinquency_With_Sectors[[#This Row],[Days in Arrears]] &gt; 30,1,0)</f>
        <v>0</v>
      </c>
      <c r="W637" s="109">
        <f>IF(Table__192.168.1.150_Daily_Delinquency_With_Sectors[[#This Row],[Days in Arrears]] &gt; 90,1,0)</f>
        <v>0</v>
      </c>
    </row>
    <row r="638" spans="1:23" x14ac:dyDescent="0.25">
      <c r="A638" t="s">
        <v>5597</v>
      </c>
      <c r="B638" t="s">
        <v>1279</v>
      </c>
      <c r="C638">
        <v>-8</v>
      </c>
      <c r="D638" s="105">
        <v>3700856.61</v>
      </c>
      <c r="E638" t="s">
        <v>5124</v>
      </c>
      <c r="F638" s="105">
        <v>116576.98</v>
      </c>
      <c r="G638" s="105">
        <v>4582290.4800000004</v>
      </c>
      <c r="H638" s="143">
        <v>43005.701929594907</v>
      </c>
      <c r="I638" s="143">
        <v>43314</v>
      </c>
      <c r="J638" t="s">
        <v>5598</v>
      </c>
      <c r="K638" t="s">
        <v>1280</v>
      </c>
      <c r="L638" t="s">
        <v>1280</v>
      </c>
      <c r="M638">
        <v>103372</v>
      </c>
      <c r="N638" t="s">
        <v>5595</v>
      </c>
      <c r="O638" t="s">
        <v>25</v>
      </c>
      <c r="P638" t="s">
        <v>88</v>
      </c>
      <c r="Q638" t="s">
        <v>285</v>
      </c>
      <c r="R638" s="105">
        <f>IF(Table__192.168.1.150_Daily_Delinquency_With_Sectors[[#This Row],[Days in Arrears]] &gt; 0, Table__192.168.1.150_Daily_Delinquency_With_Sectors[[#This Row],[Outstanding Balance]],0)</f>
        <v>0</v>
      </c>
      <c r="S638" s="105">
        <f>IF(Table__192.168.1.150_Daily_Delinquency_With_Sectors[[#This Row],[Days in Arrears]] &gt; 30, Table__192.168.1.150_Daily_Delinquency_With_Sectors[[#This Row],[Outstanding Balance]],0)</f>
        <v>0</v>
      </c>
      <c r="T638" s="105">
        <f>IF(Table__192.168.1.150_Daily_Delinquency_With_Sectors[[#This Row],[Days in Arrears]] &gt; 90, Table__192.168.1.150_Daily_Delinquency_With_Sectors[[#This Row],[Outstanding Balance]],0)</f>
        <v>0</v>
      </c>
      <c r="U638" s="109">
        <f>IF(Table__192.168.1.150_Daily_Delinquency_With_Sectors[[#This Row],[Days in Arrears]] &gt;= 1,1,0)</f>
        <v>0</v>
      </c>
      <c r="V638" s="109">
        <f>IF(Table__192.168.1.150_Daily_Delinquency_With_Sectors[[#This Row],[Days in Arrears]] &gt; 30,1,0)</f>
        <v>0</v>
      </c>
      <c r="W638" s="109">
        <f>IF(Table__192.168.1.150_Daily_Delinquency_With_Sectors[[#This Row],[Days in Arrears]] &gt; 90,1,0)</f>
        <v>0</v>
      </c>
    </row>
    <row r="639" spans="1:23" x14ac:dyDescent="0.25">
      <c r="A639" t="s">
        <v>5599</v>
      </c>
      <c r="B639" t="s">
        <v>1279</v>
      </c>
      <c r="C639">
        <v>-8</v>
      </c>
      <c r="D639" s="105">
        <v>3700856.61</v>
      </c>
      <c r="E639" t="s">
        <v>5352</v>
      </c>
      <c r="F639" s="105">
        <v>116576.98</v>
      </c>
      <c r="G639" s="105">
        <v>4582290.4800000004</v>
      </c>
      <c r="H639" s="143">
        <v>43005.713250196757</v>
      </c>
      <c r="I639" s="143">
        <v>43314</v>
      </c>
      <c r="J639" t="s">
        <v>5600</v>
      </c>
      <c r="K639" t="s">
        <v>5601</v>
      </c>
      <c r="L639" t="s">
        <v>1280</v>
      </c>
      <c r="M639">
        <v>103373</v>
      </c>
      <c r="N639" t="s">
        <v>5592</v>
      </c>
      <c r="O639" t="s">
        <v>25</v>
      </c>
      <c r="P639" t="s">
        <v>286</v>
      </c>
      <c r="Q639" t="s">
        <v>287</v>
      </c>
      <c r="R639" s="105">
        <f>IF(Table__192.168.1.150_Daily_Delinquency_With_Sectors[[#This Row],[Days in Arrears]] &gt; 0, Table__192.168.1.150_Daily_Delinquency_With_Sectors[[#This Row],[Outstanding Balance]],0)</f>
        <v>0</v>
      </c>
      <c r="S639" s="105">
        <f>IF(Table__192.168.1.150_Daily_Delinquency_With_Sectors[[#This Row],[Days in Arrears]] &gt; 30, Table__192.168.1.150_Daily_Delinquency_With_Sectors[[#This Row],[Outstanding Balance]],0)</f>
        <v>0</v>
      </c>
      <c r="T639" s="105">
        <f>IF(Table__192.168.1.150_Daily_Delinquency_With_Sectors[[#This Row],[Days in Arrears]] &gt; 90, Table__192.168.1.150_Daily_Delinquency_With_Sectors[[#This Row],[Outstanding Balance]],0)</f>
        <v>0</v>
      </c>
      <c r="U639" s="109">
        <f>IF(Table__192.168.1.150_Daily_Delinquency_With_Sectors[[#This Row],[Days in Arrears]] &gt;= 1,1,0)</f>
        <v>0</v>
      </c>
      <c r="V639" s="109">
        <f>IF(Table__192.168.1.150_Daily_Delinquency_With_Sectors[[#This Row],[Days in Arrears]] &gt; 30,1,0)</f>
        <v>0</v>
      </c>
      <c r="W639" s="109">
        <f>IF(Table__192.168.1.150_Daily_Delinquency_With_Sectors[[#This Row],[Days in Arrears]] &gt; 90,1,0)</f>
        <v>0</v>
      </c>
    </row>
    <row r="640" spans="1:23" x14ac:dyDescent="0.25">
      <c r="A640" t="s">
        <v>3671</v>
      </c>
      <c r="B640" t="s">
        <v>1279</v>
      </c>
      <c r="C640">
        <v>22</v>
      </c>
      <c r="D640" s="105">
        <v>3500000</v>
      </c>
      <c r="E640" t="s">
        <v>1039</v>
      </c>
      <c r="F640" s="105">
        <v>246243.1</v>
      </c>
      <c r="G640" s="105">
        <v>4493770.38</v>
      </c>
      <c r="H640" s="143">
        <v>43006.684353240744</v>
      </c>
      <c r="I640" s="143">
        <v>43375</v>
      </c>
      <c r="J640" t="s">
        <v>3672</v>
      </c>
      <c r="K640" t="s">
        <v>3673</v>
      </c>
      <c r="L640" t="s">
        <v>1280</v>
      </c>
      <c r="M640">
        <v>103374</v>
      </c>
      <c r="N640" t="s">
        <v>3667</v>
      </c>
      <c r="O640" t="s">
        <v>44</v>
      </c>
      <c r="P640" t="s">
        <v>75</v>
      </c>
      <c r="Q640" t="s">
        <v>1442</v>
      </c>
      <c r="R640" s="105">
        <f>IF(Table__192.168.1.150_Daily_Delinquency_With_Sectors[[#This Row],[Days in Arrears]] &gt; 0, Table__192.168.1.150_Daily_Delinquency_With_Sectors[[#This Row],[Outstanding Balance]],0)</f>
        <v>3500000</v>
      </c>
      <c r="S640" s="105">
        <f>IF(Table__192.168.1.150_Daily_Delinquency_With_Sectors[[#This Row],[Days in Arrears]] &gt; 30, Table__192.168.1.150_Daily_Delinquency_With_Sectors[[#This Row],[Outstanding Balance]],0)</f>
        <v>0</v>
      </c>
      <c r="T640" s="105">
        <f>IF(Table__192.168.1.150_Daily_Delinquency_With_Sectors[[#This Row],[Days in Arrears]] &gt; 90, Table__192.168.1.150_Daily_Delinquency_With_Sectors[[#This Row],[Outstanding Balance]],0)</f>
        <v>0</v>
      </c>
      <c r="U640" s="109">
        <f>IF(Table__192.168.1.150_Daily_Delinquency_With_Sectors[[#This Row],[Days in Arrears]] &gt;= 1,1,0)</f>
        <v>1</v>
      </c>
      <c r="V640" s="109">
        <f>IF(Table__192.168.1.150_Daily_Delinquency_With_Sectors[[#This Row],[Days in Arrears]] &gt; 30,1,0)</f>
        <v>0</v>
      </c>
      <c r="W640" s="109">
        <f>IF(Table__192.168.1.150_Daily_Delinquency_With_Sectors[[#This Row],[Days in Arrears]] &gt; 90,1,0)</f>
        <v>0</v>
      </c>
    </row>
    <row r="641" spans="1:23" x14ac:dyDescent="0.25">
      <c r="A641" t="s">
        <v>3871</v>
      </c>
      <c r="B641" t="s">
        <v>1284</v>
      </c>
      <c r="C641">
        <v>-8</v>
      </c>
      <c r="D641" s="105">
        <v>23328694.260000002</v>
      </c>
      <c r="E641" t="s">
        <v>2861</v>
      </c>
      <c r="F641" s="105">
        <v>489902.58</v>
      </c>
      <c r="G641" s="105">
        <v>27734363.109999999</v>
      </c>
      <c r="H641" s="143">
        <v>43006.724725729167</v>
      </c>
      <c r="I641" s="143">
        <v>43375</v>
      </c>
      <c r="J641" t="s">
        <v>3872</v>
      </c>
      <c r="K641" t="s">
        <v>3873</v>
      </c>
      <c r="L641" t="s">
        <v>1280</v>
      </c>
      <c r="M641">
        <v>103375</v>
      </c>
      <c r="N641" t="s">
        <v>3866</v>
      </c>
      <c r="O641" t="s">
        <v>37</v>
      </c>
      <c r="P641" t="s">
        <v>686</v>
      </c>
      <c r="Q641" t="s">
        <v>686</v>
      </c>
      <c r="R641" s="105">
        <f>IF(Table__192.168.1.150_Daily_Delinquency_With_Sectors[[#This Row],[Days in Arrears]] &gt; 0, Table__192.168.1.150_Daily_Delinquency_With_Sectors[[#This Row],[Outstanding Balance]],0)</f>
        <v>0</v>
      </c>
      <c r="S641" s="105">
        <f>IF(Table__192.168.1.150_Daily_Delinquency_With_Sectors[[#This Row],[Days in Arrears]] &gt; 30, Table__192.168.1.150_Daily_Delinquency_With_Sectors[[#This Row],[Outstanding Balance]],0)</f>
        <v>0</v>
      </c>
      <c r="T641" s="105">
        <f>IF(Table__192.168.1.150_Daily_Delinquency_With_Sectors[[#This Row],[Days in Arrears]] &gt; 90, Table__192.168.1.150_Daily_Delinquency_With_Sectors[[#This Row],[Outstanding Balance]],0)</f>
        <v>0</v>
      </c>
      <c r="U641" s="109">
        <f>IF(Table__192.168.1.150_Daily_Delinquency_With_Sectors[[#This Row],[Days in Arrears]] &gt;= 1,1,0)</f>
        <v>0</v>
      </c>
      <c r="V641" s="109">
        <f>IF(Table__192.168.1.150_Daily_Delinquency_With_Sectors[[#This Row],[Days in Arrears]] &gt; 30,1,0)</f>
        <v>0</v>
      </c>
      <c r="W641" s="109">
        <f>IF(Table__192.168.1.150_Daily_Delinquency_With_Sectors[[#This Row],[Days in Arrears]] &gt; 90,1,0)</f>
        <v>0</v>
      </c>
    </row>
    <row r="642" spans="1:23" x14ac:dyDescent="0.25">
      <c r="A642" t="s">
        <v>5615</v>
      </c>
      <c r="B642" t="s">
        <v>1282</v>
      </c>
      <c r="C642">
        <v>-8</v>
      </c>
      <c r="D642" s="105">
        <v>2771686.67</v>
      </c>
      <c r="E642" t="s">
        <v>5124</v>
      </c>
      <c r="F642" s="105">
        <v>87308.13</v>
      </c>
      <c r="G642" s="105">
        <v>3431819.92</v>
      </c>
      <c r="H642" s="143">
        <v>43006.714477974536</v>
      </c>
      <c r="I642" s="143">
        <v>43314</v>
      </c>
      <c r="J642" t="s">
        <v>5616</v>
      </c>
      <c r="K642" t="s">
        <v>5617</v>
      </c>
      <c r="L642" t="s">
        <v>1280</v>
      </c>
      <c r="M642">
        <v>103376</v>
      </c>
      <c r="N642" t="s">
        <v>5608</v>
      </c>
      <c r="O642" t="s">
        <v>25</v>
      </c>
      <c r="P642" t="s">
        <v>88</v>
      </c>
      <c r="Q642" t="s">
        <v>285</v>
      </c>
      <c r="R642" s="105">
        <f>IF(Table__192.168.1.150_Daily_Delinquency_With_Sectors[[#This Row],[Days in Arrears]] &gt; 0, Table__192.168.1.150_Daily_Delinquency_With_Sectors[[#This Row],[Outstanding Balance]],0)</f>
        <v>0</v>
      </c>
      <c r="S642" s="105">
        <f>IF(Table__192.168.1.150_Daily_Delinquency_With_Sectors[[#This Row],[Days in Arrears]] &gt; 30, Table__192.168.1.150_Daily_Delinquency_With_Sectors[[#This Row],[Outstanding Balance]],0)</f>
        <v>0</v>
      </c>
      <c r="T642" s="105">
        <f>IF(Table__192.168.1.150_Daily_Delinquency_With_Sectors[[#This Row],[Days in Arrears]] &gt; 90, Table__192.168.1.150_Daily_Delinquency_With_Sectors[[#This Row],[Outstanding Balance]],0)</f>
        <v>0</v>
      </c>
      <c r="U642" s="109">
        <f>IF(Table__192.168.1.150_Daily_Delinquency_With_Sectors[[#This Row],[Days in Arrears]] &gt;= 1,1,0)</f>
        <v>0</v>
      </c>
      <c r="V642" s="109">
        <f>IF(Table__192.168.1.150_Daily_Delinquency_With_Sectors[[#This Row],[Days in Arrears]] &gt; 30,1,0)</f>
        <v>0</v>
      </c>
      <c r="W642" s="109">
        <f>IF(Table__192.168.1.150_Daily_Delinquency_With_Sectors[[#This Row],[Days in Arrears]] &gt; 90,1,0)</f>
        <v>0</v>
      </c>
    </row>
    <row r="643" spans="1:23" x14ac:dyDescent="0.25">
      <c r="A643" t="s">
        <v>5618</v>
      </c>
      <c r="B643" t="s">
        <v>1279</v>
      </c>
      <c r="C643">
        <v>-8</v>
      </c>
      <c r="D643" s="105">
        <v>4703520.75</v>
      </c>
      <c r="E643" t="s">
        <v>468</v>
      </c>
      <c r="F643" s="105">
        <v>148160.9</v>
      </c>
      <c r="G643" s="105">
        <v>6066271.8300000001</v>
      </c>
      <c r="H643" s="143">
        <v>43006.690618981484</v>
      </c>
      <c r="I643" s="143">
        <v>43375</v>
      </c>
      <c r="J643" t="s">
        <v>5619</v>
      </c>
      <c r="K643" t="s">
        <v>5620</v>
      </c>
      <c r="L643" t="s">
        <v>1280</v>
      </c>
      <c r="M643">
        <v>103377</v>
      </c>
      <c r="N643" t="s">
        <v>5610</v>
      </c>
      <c r="O643" t="s">
        <v>25</v>
      </c>
      <c r="P643" t="s">
        <v>88</v>
      </c>
      <c r="Q643" t="s">
        <v>285</v>
      </c>
      <c r="R643" s="105">
        <f>IF(Table__192.168.1.150_Daily_Delinquency_With_Sectors[[#This Row],[Days in Arrears]] &gt; 0, Table__192.168.1.150_Daily_Delinquency_With_Sectors[[#This Row],[Outstanding Balance]],0)</f>
        <v>0</v>
      </c>
      <c r="S643" s="105">
        <f>IF(Table__192.168.1.150_Daily_Delinquency_With_Sectors[[#This Row],[Days in Arrears]] &gt; 30, Table__192.168.1.150_Daily_Delinquency_With_Sectors[[#This Row],[Outstanding Balance]],0)</f>
        <v>0</v>
      </c>
      <c r="T643" s="105">
        <f>IF(Table__192.168.1.150_Daily_Delinquency_With_Sectors[[#This Row],[Days in Arrears]] &gt; 90, Table__192.168.1.150_Daily_Delinquency_With_Sectors[[#This Row],[Outstanding Balance]],0)</f>
        <v>0</v>
      </c>
      <c r="U643" s="109">
        <f>IF(Table__192.168.1.150_Daily_Delinquency_With_Sectors[[#This Row],[Days in Arrears]] &gt;= 1,1,0)</f>
        <v>0</v>
      </c>
      <c r="V643" s="109">
        <f>IF(Table__192.168.1.150_Daily_Delinquency_With_Sectors[[#This Row],[Days in Arrears]] &gt; 30,1,0)</f>
        <v>0</v>
      </c>
      <c r="W643" s="109">
        <f>IF(Table__192.168.1.150_Daily_Delinquency_With_Sectors[[#This Row],[Days in Arrears]] &gt; 90,1,0)</f>
        <v>0</v>
      </c>
    </row>
    <row r="644" spans="1:23" x14ac:dyDescent="0.25">
      <c r="A644" t="s">
        <v>5621</v>
      </c>
      <c r="B644" t="s">
        <v>1282</v>
      </c>
      <c r="C644">
        <v>-8</v>
      </c>
      <c r="D644" s="105">
        <v>2822112.45</v>
      </c>
      <c r="E644" t="s">
        <v>4684</v>
      </c>
      <c r="F644" s="105">
        <v>88896.54</v>
      </c>
      <c r="G644" s="105">
        <v>3639763.08</v>
      </c>
      <c r="H644" s="143">
        <v>43006.734178472223</v>
      </c>
      <c r="I644" s="143">
        <v>43375</v>
      </c>
      <c r="J644" t="s">
        <v>5622</v>
      </c>
      <c r="K644" t="s">
        <v>1280</v>
      </c>
      <c r="L644" t="s">
        <v>1280</v>
      </c>
      <c r="M644">
        <v>103378</v>
      </c>
      <c r="N644" t="s">
        <v>5613</v>
      </c>
      <c r="O644" t="s">
        <v>44</v>
      </c>
      <c r="P644" t="s">
        <v>75</v>
      </c>
      <c r="Q644" t="s">
        <v>1442</v>
      </c>
      <c r="R644" s="105">
        <f>IF(Table__192.168.1.150_Daily_Delinquency_With_Sectors[[#This Row],[Days in Arrears]] &gt; 0, Table__192.168.1.150_Daily_Delinquency_With_Sectors[[#This Row],[Outstanding Balance]],0)</f>
        <v>0</v>
      </c>
      <c r="S644" s="105">
        <f>IF(Table__192.168.1.150_Daily_Delinquency_With_Sectors[[#This Row],[Days in Arrears]] &gt; 30, Table__192.168.1.150_Daily_Delinquency_With_Sectors[[#This Row],[Outstanding Balance]],0)</f>
        <v>0</v>
      </c>
      <c r="T644" s="105">
        <f>IF(Table__192.168.1.150_Daily_Delinquency_With_Sectors[[#This Row],[Days in Arrears]] &gt; 90, Table__192.168.1.150_Daily_Delinquency_With_Sectors[[#This Row],[Outstanding Balance]],0)</f>
        <v>0</v>
      </c>
      <c r="U644" s="109">
        <f>IF(Table__192.168.1.150_Daily_Delinquency_With_Sectors[[#This Row],[Days in Arrears]] &gt;= 1,1,0)</f>
        <v>0</v>
      </c>
      <c r="V644" s="109">
        <f>IF(Table__192.168.1.150_Daily_Delinquency_With_Sectors[[#This Row],[Days in Arrears]] &gt; 30,1,0)</f>
        <v>0</v>
      </c>
      <c r="W644" s="109">
        <f>IF(Table__192.168.1.150_Daily_Delinquency_With_Sectors[[#This Row],[Days in Arrears]] &gt; 90,1,0)</f>
        <v>0</v>
      </c>
    </row>
    <row r="645" spans="1:23" x14ac:dyDescent="0.25">
      <c r="A645" t="s">
        <v>5676</v>
      </c>
      <c r="B645" t="s">
        <v>1282</v>
      </c>
      <c r="C645">
        <v>-8</v>
      </c>
      <c r="D645" s="105">
        <v>13132265.720000001</v>
      </c>
      <c r="E645" t="s">
        <v>4844</v>
      </c>
      <c r="F645" s="105">
        <v>413666.37</v>
      </c>
      <c r="G645" s="105">
        <v>16937077.02</v>
      </c>
      <c r="H645" s="143">
        <v>43008.50186921296</v>
      </c>
      <c r="I645" s="143">
        <v>43375</v>
      </c>
      <c r="J645" t="s">
        <v>5677</v>
      </c>
      <c r="K645" t="s">
        <v>5678</v>
      </c>
      <c r="L645" t="s">
        <v>1280</v>
      </c>
      <c r="M645">
        <v>103379</v>
      </c>
      <c r="N645" t="s">
        <v>5673</v>
      </c>
      <c r="O645" t="s">
        <v>25</v>
      </c>
      <c r="P645" t="s">
        <v>88</v>
      </c>
      <c r="Q645" t="s">
        <v>285</v>
      </c>
      <c r="R645" s="105">
        <f>IF(Table__192.168.1.150_Daily_Delinquency_With_Sectors[[#This Row],[Days in Arrears]] &gt; 0, Table__192.168.1.150_Daily_Delinquency_With_Sectors[[#This Row],[Outstanding Balance]],0)</f>
        <v>0</v>
      </c>
      <c r="S645" s="105">
        <f>IF(Table__192.168.1.150_Daily_Delinquency_With_Sectors[[#This Row],[Days in Arrears]] &gt; 30, Table__192.168.1.150_Daily_Delinquency_With_Sectors[[#This Row],[Outstanding Balance]],0)</f>
        <v>0</v>
      </c>
      <c r="T645" s="105">
        <f>IF(Table__192.168.1.150_Daily_Delinquency_With_Sectors[[#This Row],[Days in Arrears]] &gt; 90, Table__192.168.1.150_Daily_Delinquency_With_Sectors[[#This Row],[Outstanding Balance]],0)</f>
        <v>0</v>
      </c>
      <c r="U645" s="109">
        <f>IF(Table__192.168.1.150_Daily_Delinquency_With_Sectors[[#This Row],[Days in Arrears]] &gt;= 1,1,0)</f>
        <v>0</v>
      </c>
      <c r="V645" s="109">
        <f>IF(Table__192.168.1.150_Daily_Delinquency_With_Sectors[[#This Row],[Days in Arrears]] &gt; 30,1,0)</f>
        <v>0</v>
      </c>
      <c r="W645" s="109">
        <f>IF(Table__192.168.1.150_Daily_Delinquency_With_Sectors[[#This Row],[Days in Arrears]] &gt; 90,1,0)</f>
        <v>0</v>
      </c>
    </row>
    <row r="646" spans="1:23" x14ac:dyDescent="0.25">
      <c r="A646" t="s">
        <v>4002</v>
      </c>
      <c r="B646" t="s">
        <v>1282</v>
      </c>
      <c r="C646">
        <v>-12</v>
      </c>
      <c r="D646" s="105">
        <v>9418249.2300000004</v>
      </c>
      <c r="E646" t="s">
        <v>90</v>
      </c>
      <c r="F646" s="105">
        <v>213480.32000000001</v>
      </c>
      <c r="G646" s="105">
        <v>11825925.119999999</v>
      </c>
      <c r="H646" s="143">
        <v>43007.603788738423</v>
      </c>
      <c r="I646" s="143">
        <v>43379</v>
      </c>
      <c r="J646" t="s">
        <v>4003</v>
      </c>
      <c r="K646" t="s">
        <v>4004</v>
      </c>
      <c r="L646" t="s">
        <v>4005</v>
      </c>
      <c r="M646">
        <v>103380</v>
      </c>
      <c r="N646" t="s">
        <v>4001</v>
      </c>
      <c r="O646" t="s">
        <v>25</v>
      </c>
      <c r="P646" t="s">
        <v>88</v>
      </c>
      <c r="Q646" t="s">
        <v>285</v>
      </c>
      <c r="R646" s="105">
        <f>IF(Table__192.168.1.150_Daily_Delinquency_With_Sectors[[#This Row],[Days in Arrears]] &gt; 0, Table__192.168.1.150_Daily_Delinquency_With_Sectors[[#This Row],[Outstanding Balance]],0)</f>
        <v>0</v>
      </c>
      <c r="S646" s="105">
        <f>IF(Table__192.168.1.150_Daily_Delinquency_With_Sectors[[#This Row],[Days in Arrears]] &gt; 30, Table__192.168.1.150_Daily_Delinquency_With_Sectors[[#This Row],[Outstanding Balance]],0)</f>
        <v>0</v>
      </c>
      <c r="T646" s="105">
        <f>IF(Table__192.168.1.150_Daily_Delinquency_With_Sectors[[#This Row],[Days in Arrears]] &gt; 90, Table__192.168.1.150_Daily_Delinquency_With_Sectors[[#This Row],[Outstanding Balance]],0)</f>
        <v>0</v>
      </c>
      <c r="U646" s="109">
        <f>IF(Table__192.168.1.150_Daily_Delinquency_With_Sectors[[#This Row],[Days in Arrears]] &gt;= 1,1,0)</f>
        <v>0</v>
      </c>
      <c r="V646" s="109">
        <f>IF(Table__192.168.1.150_Daily_Delinquency_With_Sectors[[#This Row],[Days in Arrears]] &gt; 30,1,0)</f>
        <v>0</v>
      </c>
      <c r="W646" s="109">
        <f>IF(Table__192.168.1.150_Daily_Delinquency_With_Sectors[[#This Row],[Days in Arrears]] &gt; 90,1,0)</f>
        <v>0</v>
      </c>
    </row>
    <row r="647" spans="1:23" x14ac:dyDescent="0.25">
      <c r="A647" t="s">
        <v>5643</v>
      </c>
      <c r="B647" t="s">
        <v>1282</v>
      </c>
      <c r="C647">
        <v>-8</v>
      </c>
      <c r="D647" s="105">
        <v>7380615.71</v>
      </c>
      <c r="E647" t="s">
        <v>2034</v>
      </c>
      <c r="F647" s="105">
        <v>232489.39</v>
      </c>
      <c r="G647" s="105">
        <v>9138458.6799999997</v>
      </c>
      <c r="H647" s="143">
        <v>43007.669438854165</v>
      </c>
      <c r="I647" s="143">
        <v>43314</v>
      </c>
      <c r="J647" t="s">
        <v>5644</v>
      </c>
      <c r="K647" t="s">
        <v>1280</v>
      </c>
      <c r="L647" t="s">
        <v>1280</v>
      </c>
      <c r="M647">
        <v>103381</v>
      </c>
      <c r="N647" t="s">
        <v>5636</v>
      </c>
      <c r="O647" t="s">
        <v>25</v>
      </c>
      <c r="P647" t="s">
        <v>94</v>
      </c>
      <c r="Q647" t="s">
        <v>5507</v>
      </c>
      <c r="R647" s="105">
        <f>IF(Table__192.168.1.150_Daily_Delinquency_With_Sectors[[#This Row],[Days in Arrears]] &gt; 0, Table__192.168.1.150_Daily_Delinquency_With_Sectors[[#This Row],[Outstanding Balance]],0)</f>
        <v>0</v>
      </c>
      <c r="S647" s="105">
        <f>IF(Table__192.168.1.150_Daily_Delinquency_With_Sectors[[#This Row],[Days in Arrears]] &gt; 30, Table__192.168.1.150_Daily_Delinquency_With_Sectors[[#This Row],[Outstanding Balance]],0)</f>
        <v>0</v>
      </c>
      <c r="T647" s="105">
        <f>IF(Table__192.168.1.150_Daily_Delinquency_With_Sectors[[#This Row],[Days in Arrears]] &gt; 90, Table__192.168.1.150_Daily_Delinquency_With_Sectors[[#This Row],[Outstanding Balance]],0)</f>
        <v>0</v>
      </c>
      <c r="U647" s="109">
        <f>IF(Table__192.168.1.150_Daily_Delinquency_With_Sectors[[#This Row],[Days in Arrears]] &gt;= 1,1,0)</f>
        <v>0</v>
      </c>
      <c r="V647" s="109">
        <f>IF(Table__192.168.1.150_Daily_Delinquency_With_Sectors[[#This Row],[Days in Arrears]] &gt; 30,1,0)</f>
        <v>0</v>
      </c>
      <c r="W647" s="109">
        <f>IF(Table__192.168.1.150_Daily_Delinquency_With_Sectors[[#This Row],[Days in Arrears]] &gt; 90,1,0)</f>
        <v>0</v>
      </c>
    </row>
    <row r="648" spans="1:23" x14ac:dyDescent="0.25">
      <c r="A648" t="s">
        <v>381</v>
      </c>
      <c r="B648" t="s">
        <v>1281</v>
      </c>
      <c r="C648">
        <v>-8</v>
      </c>
      <c r="D648" s="105">
        <v>17323681.93</v>
      </c>
      <c r="E648" t="s">
        <v>1191</v>
      </c>
      <c r="F648" s="105">
        <v>424430.21</v>
      </c>
      <c r="G648" s="105">
        <v>23278407.260000002</v>
      </c>
      <c r="H648" s="143">
        <v>43007.60738105324</v>
      </c>
      <c r="I648" s="143">
        <v>43557</v>
      </c>
      <c r="J648" t="s">
        <v>382</v>
      </c>
      <c r="K648" t="s">
        <v>383</v>
      </c>
      <c r="L648" t="s">
        <v>1280</v>
      </c>
      <c r="M648">
        <v>103382</v>
      </c>
      <c r="N648" t="s">
        <v>369</v>
      </c>
      <c r="O648" t="s">
        <v>25</v>
      </c>
      <c r="P648" t="s">
        <v>88</v>
      </c>
      <c r="Q648" t="s">
        <v>285</v>
      </c>
      <c r="R648" s="105">
        <f>IF(Table__192.168.1.150_Daily_Delinquency_With_Sectors[[#This Row],[Days in Arrears]] &gt; 0, Table__192.168.1.150_Daily_Delinquency_With_Sectors[[#This Row],[Outstanding Balance]],0)</f>
        <v>0</v>
      </c>
      <c r="S648" s="105">
        <f>IF(Table__192.168.1.150_Daily_Delinquency_With_Sectors[[#This Row],[Days in Arrears]] &gt; 30, Table__192.168.1.150_Daily_Delinquency_With_Sectors[[#This Row],[Outstanding Balance]],0)</f>
        <v>0</v>
      </c>
      <c r="T648" s="105">
        <f>IF(Table__192.168.1.150_Daily_Delinquency_With_Sectors[[#This Row],[Days in Arrears]] &gt; 90, Table__192.168.1.150_Daily_Delinquency_With_Sectors[[#This Row],[Outstanding Balance]],0)</f>
        <v>0</v>
      </c>
      <c r="U648" s="109">
        <f>IF(Table__192.168.1.150_Daily_Delinquency_With_Sectors[[#This Row],[Days in Arrears]] &gt;= 1,1,0)</f>
        <v>0</v>
      </c>
      <c r="V648" s="109">
        <f>IF(Table__192.168.1.150_Daily_Delinquency_With_Sectors[[#This Row],[Days in Arrears]] &gt; 30,1,0)</f>
        <v>0</v>
      </c>
      <c r="W648" s="109">
        <f>IF(Table__192.168.1.150_Daily_Delinquency_With_Sectors[[#This Row],[Days in Arrears]] &gt; 90,1,0)</f>
        <v>0</v>
      </c>
    </row>
    <row r="649" spans="1:23" x14ac:dyDescent="0.25">
      <c r="A649" t="s">
        <v>5645</v>
      </c>
      <c r="B649" t="s">
        <v>1279</v>
      </c>
      <c r="C649">
        <v>-8</v>
      </c>
      <c r="D649" s="105">
        <v>3757446.26</v>
      </c>
      <c r="E649" t="s">
        <v>5385</v>
      </c>
      <c r="F649" s="105">
        <v>118359.56</v>
      </c>
      <c r="G649" s="105">
        <v>4846091.1500000004</v>
      </c>
      <c r="H649" s="143">
        <v>43007.676541053239</v>
      </c>
      <c r="I649" s="143">
        <v>43375</v>
      </c>
      <c r="J649" t="s">
        <v>5646</v>
      </c>
      <c r="K649" t="s">
        <v>5647</v>
      </c>
      <c r="L649" t="s">
        <v>1280</v>
      </c>
      <c r="M649">
        <v>103383</v>
      </c>
      <c r="N649" t="s">
        <v>5635</v>
      </c>
      <c r="O649" t="s">
        <v>25</v>
      </c>
      <c r="P649" t="s">
        <v>101</v>
      </c>
      <c r="Q649" t="s">
        <v>1826</v>
      </c>
      <c r="R649" s="105">
        <f>IF(Table__192.168.1.150_Daily_Delinquency_With_Sectors[[#This Row],[Days in Arrears]] &gt; 0, Table__192.168.1.150_Daily_Delinquency_With_Sectors[[#This Row],[Outstanding Balance]],0)</f>
        <v>0</v>
      </c>
      <c r="S649" s="105">
        <f>IF(Table__192.168.1.150_Daily_Delinquency_With_Sectors[[#This Row],[Days in Arrears]] &gt; 30, Table__192.168.1.150_Daily_Delinquency_With_Sectors[[#This Row],[Outstanding Balance]],0)</f>
        <v>0</v>
      </c>
      <c r="T649" s="105">
        <f>IF(Table__192.168.1.150_Daily_Delinquency_With_Sectors[[#This Row],[Days in Arrears]] &gt; 90, Table__192.168.1.150_Daily_Delinquency_With_Sectors[[#This Row],[Outstanding Balance]],0)</f>
        <v>0</v>
      </c>
      <c r="U649" s="109">
        <f>IF(Table__192.168.1.150_Daily_Delinquency_With_Sectors[[#This Row],[Days in Arrears]] &gt;= 1,1,0)</f>
        <v>0</v>
      </c>
      <c r="V649" s="109">
        <f>IF(Table__192.168.1.150_Daily_Delinquency_With_Sectors[[#This Row],[Days in Arrears]] &gt; 30,1,0)</f>
        <v>0</v>
      </c>
      <c r="W649" s="109">
        <f>IF(Table__192.168.1.150_Daily_Delinquency_With_Sectors[[#This Row],[Days in Arrears]] &gt; 90,1,0)</f>
        <v>0</v>
      </c>
    </row>
    <row r="650" spans="1:23" x14ac:dyDescent="0.25">
      <c r="A650" t="s">
        <v>5679</v>
      </c>
      <c r="B650" t="s">
        <v>1281</v>
      </c>
      <c r="C650">
        <v>-8</v>
      </c>
      <c r="D650" s="105">
        <v>23396032.09</v>
      </c>
      <c r="E650" t="s">
        <v>1039</v>
      </c>
      <c r="F650" s="105">
        <v>655088.9</v>
      </c>
      <c r="G650" s="105">
        <v>29376980.449999999</v>
      </c>
      <c r="H650" s="143">
        <v>43008.542422685183</v>
      </c>
      <c r="I650" s="143">
        <v>43375</v>
      </c>
      <c r="J650" t="s">
        <v>5680</v>
      </c>
      <c r="K650" t="s">
        <v>5681</v>
      </c>
      <c r="L650" t="s">
        <v>1280</v>
      </c>
      <c r="M650">
        <v>103384</v>
      </c>
      <c r="N650" t="s">
        <v>5675</v>
      </c>
      <c r="O650" t="s">
        <v>37</v>
      </c>
      <c r="P650" t="s">
        <v>38</v>
      </c>
      <c r="Q650" t="s">
        <v>1681</v>
      </c>
      <c r="R650" s="105">
        <f>IF(Table__192.168.1.150_Daily_Delinquency_With_Sectors[[#This Row],[Days in Arrears]] &gt; 0, Table__192.168.1.150_Daily_Delinquency_With_Sectors[[#This Row],[Outstanding Balance]],0)</f>
        <v>0</v>
      </c>
      <c r="S650" s="105">
        <f>IF(Table__192.168.1.150_Daily_Delinquency_With_Sectors[[#This Row],[Days in Arrears]] &gt; 30, Table__192.168.1.150_Daily_Delinquency_With_Sectors[[#This Row],[Outstanding Balance]],0)</f>
        <v>0</v>
      </c>
      <c r="T650" s="105">
        <f>IF(Table__192.168.1.150_Daily_Delinquency_With_Sectors[[#This Row],[Days in Arrears]] &gt; 90, Table__192.168.1.150_Daily_Delinquency_With_Sectors[[#This Row],[Outstanding Balance]],0)</f>
        <v>0</v>
      </c>
      <c r="U650" s="109">
        <f>IF(Table__192.168.1.150_Daily_Delinquency_With_Sectors[[#This Row],[Days in Arrears]] &gt;= 1,1,0)</f>
        <v>0</v>
      </c>
      <c r="V650" s="109">
        <f>IF(Table__192.168.1.150_Daily_Delinquency_With_Sectors[[#This Row],[Days in Arrears]] &gt; 30,1,0)</f>
        <v>0</v>
      </c>
      <c r="W650" s="109">
        <f>IF(Table__192.168.1.150_Daily_Delinquency_With_Sectors[[#This Row],[Days in Arrears]] &gt; 90,1,0)</f>
        <v>0</v>
      </c>
    </row>
    <row r="651" spans="1:23" x14ac:dyDescent="0.25">
      <c r="A651" t="s">
        <v>5648</v>
      </c>
      <c r="B651" t="s">
        <v>1279</v>
      </c>
      <c r="C651">
        <v>-8</v>
      </c>
      <c r="D651" s="105">
        <v>4103637.2</v>
      </c>
      <c r="E651" t="s">
        <v>1039</v>
      </c>
      <c r="F651" s="105">
        <v>129264.57</v>
      </c>
      <c r="G651" s="105">
        <v>4575451.2</v>
      </c>
      <c r="H651" s="143">
        <v>43007.794188391206</v>
      </c>
      <c r="I651" s="143">
        <v>43161</v>
      </c>
      <c r="J651" t="s">
        <v>5649</v>
      </c>
      <c r="K651" t="s">
        <v>5650</v>
      </c>
      <c r="L651" t="s">
        <v>1280</v>
      </c>
      <c r="M651">
        <v>103385</v>
      </c>
      <c r="N651" t="s">
        <v>5639</v>
      </c>
      <c r="O651" t="s">
        <v>25</v>
      </c>
      <c r="P651" t="s">
        <v>88</v>
      </c>
      <c r="Q651" t="s">
        <v>285</v>
      </c>
      <c r="R651" s="105">
        <f>IF(Table__192.168.1.150_Daily_Delinquency_With_Sectors[[#This Row],[Days in Arrears]] &gt; 0, Table__192.168.1.150_Daily_Delinquency_With_Sectors[[#This Row],[Outstanding Balance]],0)</f>
        <v>0</v>
      </c>
      <c r="S651" s="105">
        <f>IF(Table__192.168.1.150_Daily_Delinquency_With_Sectors[[#This Row],[Days in Arrears]] &gt; 30, Table__192.168.1.150_Daily_Delinquency_With_Sectors[[#This Row],[Outstanding Balance]],0)</f>
        <v>0</v>
      </c>
      <c r="T651" s="105">
        <f>IF(Table__192.168.1.150_Daily_Delinquency_With_Sectors[[#This Row],[Days in Arrears]] &gt; 90, Table__192.168.1.150_Daily_Delinquency_With_Sectors[[#This Row],[Outstanding Balance]],0)</f>
        <v>0</v>
      </c>
      <c r="U651" s="109">
        <f>IF(Table__192.168.1.150_Daily_Delinquency_With_Sectors[[#This Row],[Days in Arrears]] &gt;= 1,1,0)</f>
        <v>0</v>
      </c>
      <c r="V651" s="109">
        <f>IF(Table__192.168.1.150_Daily_Delinquency_With_Sectors[[#This Row],[Days in Arrears]] &gt; 30,1,0)</f>
        <v>0</v>
      </c>
      <c r="W651" s="109">
        <f>IF(Table__192.168.1.150_Daily_Delinquency_With_Sectors[[#This Row],[Days in Arrears]] &gt; 90,1,0)</f>
        <v>0</v>
      </c>
    </row>
    <row r="652" spans="1:23" x14ac:dyDescent="0.25">
      <c r="A652" t="s">
        <v>5651</v>
      </c>
      <c r="B652" t="s">
        <v>1282</v>
      </c>
      <c r="C652">
        <v>-8</v>
      </c>
      <c r="D652" s="105">
        <v>4612884.82</v>
      </c>
      <c r="E652" t="s">
        <v>5385</v>
      </c>
      <c r="F652" s="105">
        <v>145305.87</v>
      </c>
      <c r="G652" s="105">
        <v>5711536.6799999997</v>
      </c>
      <c r="H652" s="143">
        <v>43007.759531284719</v>
      </c>
      <c r="I652" s="143">
        <v>43314</v>
      </c>
      <c r="J652" t="s">
        <v>5652</v>
      </c>
      <c r="K652" t="s">
        <v>5653</v>
      </c>
      <c r="L652" t="s">
        <v>1280</v>
      </c>
      <c r="M652">
        <v>103386</v>
      </c>
      <c r="N652" t="s">
        <v>5633</v>
      </c>
      <c r="O652" t="s">
        <v>27</v>
      </c>
      <c r="P652" t="s">
        <v>81</v>
      </c>
      <c r="Q652" t="s">
        <v>5634</v>
      </c>
      <c r="R652" s="105">
        <f>IF(Table__192.168.1.150_Daily_Delinquency_With_Sectors[[#This Row],[Days in Arrears]] &gt; 0, Table__192.168.1.150_Daily_Delinquency_With_Sectors[[#This Row],[Outstanding Balance]],0)</f>
        <v>0</v>
      </c>
      <c r="S652" s="105">
        <f>IF(Table__192.168.1.150_Daily_Delinquency_With_Sectors[[#This Row],[Days in Arrears]] &gt; 30, Table__192.168.1.150_Daily_Delinquency_With_Sectors[[#This Row],[Outstanding Balance]],0)</f>
        <v>0</v>
      </c>
      <c r="T652" s="105">
        <f>IF(Table__192.168.1.150_Daily_Delinquency_With_Sectors[[#This Row],[Days in Arrears]] &gt; 90, Table__192.168.1.150_Daily_Delinquency_With_Sectors[[#This Row],[Outstanding Balance]],0)</f>
        <v>0</v>
      </c>
      <c r="U652" s="109">
        <f>IF(Table__192.168.1.150_Daily_Delinquency_With_Sectors[[#This Row],[Days in Arrears]] &gt;= 1,1,0)</f>
        <v>0</v>
      </c>
      <c r="V652" s="109">
        <f>IF(Table__192.168.1.150_Daily_Delinquency_With_Sectors[[#This Row],[Days in Arrears]] &gt; 30,1,0)</f>
        <v>0</v>
      </c>
      <c r="W652" s="109">
        <f>IF(Table__192.168.1.150_Daily_Delinquency_With_Sectors[[#This Row],[Days in Arrears]] &gt; 90,1,0)</f>
        <v>0</v>
      </c>
    </row>
    <row r="653" spans="1:23" x14ac:dyDescent="0.25">
      <c r="A653" t="s">
        <v>5654</v>
      </c>
      <c r="B653" t="s">
        <v>1281</v>
      </c>
      <c r="C653">
        <v>-8</v>
      </c>
      <c r="D653" s="105">
        <v>22488912.27</v>
      </c>
      <c r="E653" t="s">
        <v>5124</v>
      </c>
      <c r="F653" s="105">
        <v>629689.54</v>
      </c>
      <c r="G653" s="105">
        <v>28237965.030000001</v>
      </c>
      <c r="H653" s="143">
        <v>43007.720409988426</v>
      </c>
      <c r="I653" s="143">
        <v>43375</v>
      </c>
      <c r="J653" t="s">
        <v>5655</v>
      </c>
      <c r="K653" t="s">
        <v>1280</v>
      </c>
      <c r="L653" t="s">
        <v>1280</v>
      </c>
      <c r="M653">
        <v>103387</v>
      </c>
      <c r="N653" t="s">
        <v>5641</v>
      </c>
      <c r="O653" t="s">
        <v>44</v>
      </c>
      <c r="P653" t="s">
        <v>75</v>
      </c>
      <c r="Q653" t="s">
        <v>1442</v>
      </c>
      <c r="R653" s="105">
        <f>IF(Table__192.168.1.150_Daily_Delinquency_With_Sectors[[#This Row],[Days in Arrears]] &gt; 0, Table__192.168.1.150_Daily_Delinquency_With_Sectors[[#This Row],[Outstanding Balance]],0)</f>
        <v>0</v>
      </c>
      <c r="S653" s="105">
        <f>IF(Table__192.168.1.150_Daily_Delinquency_With_Sectors[[#This Row],[Days in Arrears]] &gt; 30, Table__192.168.1.150_Daily_Delinquency_With_Sectors[[#This Row],[Outstanding Balance]],0)</f>
        <v>0</v>
      </c>
      <c r="T653" s="105">
        <f>IF(Table__192.168.1.150_Daily_Delinquency_With_Sectors[[#This Row],[Days in Arrears]] &gt; 90, Table__192.168.1.150_Daily_Delinquency_With_Sectors[[#This Row],[Outstanding Balance]],0)</f>
        <v>0</v>
      </c>
      <c r="U653" s="109">
        <f>IF(Table__192.168.1.150_Daily_Delinquency_With_Sectors[[#This Row],[Days in Arrears]] &gt;= 1,1,0)</f>
        <v>0</v>
      </c>
      <c r="V653" s="109">
        <f>IF(Table__192.168.1.150_Daily_Delinquency_With_Sectors[[#This Row],[Days in Arrears]] &gt; 30,1,0)</f>
        <v>0</v>
      </c>
      <c r="W653" s="109">
        <f>IF(Table__192.168.1.150_Daily_Delinquency_With_Sectors[[#This Row],[Days in Arrears]] &gt; 90,1,0)</f>
        <v>0</v>
      </c>
    </row>
    <row r="654" spans="1:23" x14ac:dyDescent="0.25">
      <c r="A654" t="s">
        <v>5656</v>
      </c>
      <c r="B654" t="s">
        <v>1282</v>
      </c>
      <c r="C654">
        <v>-8</v>
      </c>
      <c r="D654" s="105">
        <v>3690307.85</v>
      </c>
      <c r="E654" t="s">
        <v>1039</v>
      </c>
      <c r="F654" s="105">
        <v>116244.7</v>
      </c>
      <c r="G654" s="105">
        <v>4569229.3099999996</v>
      </c>
      <c r="H654" s="143">
        <v>43007.829713657404</v>
      </c>
      <c r="I654" s="143">
        <v>43314</v>
      </c>
      <c r="J654" t="s">
        <v>5657</v>
      </c>
      <c r="K654" t="s">
        <v>5658</v>
      </c>
      <c r="L654" t="s">
        <v>1280</v>
      </c>
      <c r="M654">
        <v>103388</v>
      </c>
      <c r="N654" t="s">
        <v>5637</v>
      </c>
      <c r="O654" t="s">
        <v>25</v>
      </c>
      <c r="P654" t="s">
        <v>88</v>
      </c>
      <c r="Q654" t="s">
        <v>285</v>
      </c>
      <c r="R654" s="105">
        <f>IF(Table__192.168.1.150_Daily_Delinquency_With_Sectors[[#This Row],[Days in Arrears]] &gt; 0, Table__192.168.1.150_Daily_Delinquency_With_Sectors[[#This Row],[Outstanding Balance]],0)</f>
        <v>0</v>
      </c>
      <c r="S654" s="105">
        <f>IF(Table__192.168.1.150_Daily_Delinquency_With_Sectors[[#This Row],[Days in Arrears]] &gt; 30, Table__192.168.1.150_Daily_Delinquency_With_Sectors[[#This Row],[Outstanding Balance]],0)</f>
        <v>0</v>
      </c>
      <c r="T654" s="105">
        <f>IF(Table__192.168.1.150_Daily_Delinquency_With_Sectors[[#This Row],[Days in Arrears]] &gt; 90, Table__192.168.1.150_Daily_Delinquency_With_Sectors[[#This Row],[Outstanding Balance]],0)</f>
        <v>0</v>
      </c>
      <c r="U654" s="109">
        <f>IF(Table__192.168.1.150_Daily_Delinquency_With_Sectors[[#This Row],[Days in Arrears]] &gt;= 1,1,0)</f>
        <v>0</v>
      </c>
      <c r="V654" s="109">
        <f>IF(Table__192.168.1.150_Daily_Delinquency_With_Sectors[[#This Row],[Days in Arrears]] &gt; 30,1,0)</f>
        <v>0</v>
      </c>
      <c r="W654" s="109">
        <f>IF(Table__192.168.1.150_Daily_Delinquency_With_Sectors[[#This Row],[Days in Arrears]] &gt; 90,1,0)</f>
        <v>0</v>
      </c>
    </row>
    <row r="655" spans="1:23" x14ac:dyDescent="0.25">
      <c r="A655" t="s">
        <v>1275</v>
      </c>
      <c r="B655" t="s">
        <v>1282</v>
      </c>
      <c r="C655">
        <v>-8</v>
      </c>
      <c r="D655" s="105">
        <v>6744295.54</v>
      </c>
      <c r="E655" t="s">
        <v>5167</v>
      </c>
      <c r="F655" s="105">
        <v>188840.28</v>
      </c>
      <c r="G655" s="105">
        <v>9424309.0999999996</v>
      </c>
      <c r="H655" s="143">
        <v>43008.509689120372</v>
      </c>
      <c r="I655" s="143">
        <v>43557</v>
      </c>
      <c r="J655" t="s">
        <v>1276</v>
      </c>
      <c r="K655" t="s">
        <v>1280</v>
      </c>
      <c r="L655" t="s">
        <v>1280</v>
      </c>
      <c r="M655">
        <v>103389</v>
      </c>
      <c r="N655" t="s">
        <v>1274</v>
      </c>
      <c r="O655" t="s">
        <v>25</v>
      </c>
      <c r="P655" t="s">
        <v>88</v>
      </c>
      <c r="Q655" t="s">
        <v>285</v>
      </c>
      <c r="R655" s="105">
        <f>IF(Table__192.168.1.150_Daily_Delinquency_With_Sectors[[#This Row],[Days in Arrears]] &gt; 0, Table__192.168.1.150_Daily_Delinquency_With_Sectors[[#This Row],[Outstanding Balance]],0)</f>
        <v>0</v>
      </c>
      <c r="S655" s="105">
        <f>IF(Table__192.168.1.150_Daily_Delinquency_With_Sectors[[#This Row],[Days in Arrears]] &gt; 30, Table__192.168.1.150_Daily_Delinquency_With_Sectors[[#This Row],[Outstanding Balance]],0)</f>
        <v>0</v>
      </c>
      <c r="T655" s="105">
        <f>IF(Table__192.168.1.150_Daily_Delinquency_With_Sectors[[#This Row],[Days in Arrears]] &gt; 90, Table__192.168.1.150_Daily_Delinquency_With_Sectors[[#This Row],[Outstanding Balance]],0)</f>
        <v>0</v>
      </c>
      <c r="U655" s="109">
        <f>IF(Table__192.168.1.150_Daily_Delinquency_With_Sectors[[#This Row],[Days in Arrears]] &gt;= 1,1,0)</f>
        <v>0</v>
      </c>
      <c r="V655" s="109">
        <f>IF(Table__192.168.1.150_Daily_Delinquency_With_Sectors[[#This Row],[Days in Arrears]] &gt; 30,1,0)</f>
        <v>0</v>
      </c>
      <c r="W655" s="109">
        <f>IF(Table__192.168.1.150_Daily_Delinquency_With_Sectors[[#This Row],[Days in Arrears]] &gt; 90,1,0)</f>
        <v>0</v>
      </c>
    </row>
    <row r="656" spans="1:23" x14ac:dyDescent="0.25">
      <c r="A656" t="s">
        <v>5682</v>
      </c>
      <c r="B656" t="s">
        <v>1284</v>
      </c>
      <c r="C656">
        <v>-8</v>
      </c>
      <c r="D656" s="105">
        <v>5588057.0599999996</v>
      </c>
      <c r="E656" t="s">
        <v>1467</v>
      </c>
      <c r="F656" s="105">
        <v>117349.2</v>
      </c>
      <c r="G656" s="105">
        <v>6643372.4100000001</v>
      </c>
      <c r="H656" s="143">
        <v>43008.53713290509</v>
      </c>
      <c r="I656" s="143">
        <v>43375</v>
      </c>
      <c r="J656" t="s">
        <v>5683</v>
      </c>
      <c r="K656" t="s">
        <v>1280</v>
      </c>
      <c r="L656" t="s">
        <v>5684</v>
      </c>
      <c r="M656">
        <v>103390</v>
      </c>
      <c r="N656" t="s">
        <v>5666</v>
      </c>
      <c r="O656" t="s">
        <v>25</v>
      </c>
      <c r="P656" t="s">
        <v>94</v>
      </c>
      <c r="Q656" t="s">
        <v>5507</v>
      </c>
      <c r="R656" s="105">
        <f>IF(Table__192.168.1.150_Daily_Delinquency_With_Sectors[[#This Row],[Days in Arrears]] &gt; 0, Table__192.168.1.150_Daily_Delinquency_With_Sectors[[#This Row],[Outstanding Balance]],0)</f>
        <v>0</v>
      </c>
      <c r="S656" s="105">
        <f>IF(Table__192.168.1.150_Daily_Delinquency_With_Sectors[[#This Row],[Days in Arrears]] &gt; 30, Table__192.168.1.150_Daily_Delinquency_With_Sectors[[#This Row],[Outstanding Balance]],0)</f>
        <v>0</v>
      </c>
      <c r="T656" s="105">
        <f>IF(Table__192.168.1.150_Daily_Delinquency_With_Sectors[[#This Row],[Days in Arrears]] &gt; 90, Table__192.168.1.150_Daily_Delinquency_With_Sectors[[#This Row],[Outstanding Balance]],0)</f>
        <v>0</v>
      </c>
      <c r="U656" s="109">
        <f>IF(Table__192.168.1.150_Daily_Delinquency_With_Sectors[[#This Row],[Days in Arrears]] &gt;= 1,1,0)</f>
        <v>0</v>
      </c>
      <c r="V656" s="109">
        <f>IF(Table__192.168.1.150_Daily_Delinquency_With_Sectors[[#This Row],[Days in Arrears]] &gt; 30,1,0)</f>
        <v>0</v>
      </c>
      <c r="W656" s="109">
        <f>IF(Table__192.168.1.150_Daily_Delinquency_With_Sectors[[#This Row],[Days in Arrears]] &gt; 90,1,0)</f>
        <v>0</v>
      </c>
    </row>
    <row r="657" spans="1:23" x14ac:dyDescent="0.25">
      <c r="A657" t="s">
        <v>5685</v>
      </c>
      <c r="B657" t="s">
        <v>1279</v>
      </c>
      <c r="C657">
        <v>-8</v>
      </c>
      <c r="D657" s="105">
        <v>3283066.43</v>
      </c>
      <c r="E657" t="s">
        <v>5352</v>
      </c>
      <c r="F657" s="105">
        <v>103416.59</v>
      </c>
      <c r="G657" s="105">
        <v>4234269.2699999996</v>
      </c>
      <c r="H657" s="143">
        <v>43008.581624189814</v>
      </c>
      <c r="I657" s="143">
        <v>43375</v>
      </c>
      <c r="J657" t="s">
        <v>5686</v>
      </c>
      <c r="K657" t="s">
        <v>5687</v>
      </c>
      <c r="L657" t="s">
        <v>1280</v>
      </c>
      <c r="M657">
        <v>103391</v>
      </c>
      <c r="N657" t="s">
        <v>5671</v>
      </c>
      <c r="O657" t="s">
        <v>25</v>
      </c>
      <c r="P657" t="s">
        <v>88</v>
      </c>
      <c r="Q657" t="s">
        <v>285</v>
      </c>
      <c r="R657" s="105">
        <f>IF(Table__192.168.1.150_Daily_Delinquency_With_Sectors[[#This Row],[Days in Arrears]] &gt; 0, Table__192.168.1.150_Daily_Delinquency_With_Sectors[[#This Row],[Outstanding Balance]],0)</f>
        <v>0</v>
      </c>
      <c r="S657" s="105">
        <f>IF(Table__192.168.1.150_Daily_Delinquency_With_Sectors[[#This Row],[Days in Arrears]] &gt; 30, Table__192.168.1.150_Daily_Delinquency_With_Sectors[[#This Row],[Outstanding Balance]],0)</f>
        <v>0</v>
      </c>
      <c r="T657" s="105">
        <f>IF(Table__192.168.1.150_Daily_Delinquency_With_Sectors[[#This Row],[Days in Arrears]] &gt; 90, Table__192.168.1.150_Daily_Delinquency_With_Sectors[[#This Row],[Outstanding Balance]],0)</f>
        <v>0</v>
      </c>
      <c r="U657" s="109">
        <f>IF(Table__192.168.1.150_Daily_Delinquency_With_Sectors[[#This Row],[Days in Arrears]] &gt;= 1,1,0)</f>
        <v>0</v>
      </c>
      <c r="V657" s="109">
        <f>IF(Table__192.168.1.150_Daily_Delinquency_With_Sectors[[#This Row],[Days in Arrears]] &gt; 30,1,0)</f>
        <v>0</v>
      </c>
      <c r="W657" s="109">
        <f>IF(Table__192.168.1.150_Daily_Delinquency_With_Sectors[[#This Row],[Days in Arrears]] &gt; 90,1,0)</f>
        <v>0</v>
      </c>
    </row>
    <row r="658" spans="1:23" x14ac:dyDescent="0.25">
      <c r="A658" t="s">
        <v>5688</v>
      </c>
      <c r="B658" t="s">
        <v>1866</v>
      </c>
      <c r="C658">
        <v>-8</v>
      </c>
      <c r="D658" s="105">
        <v>5366963.54</v>
      </c>
      <c r="E658" t="s">
        <v>5352</v>
      </c>
      <c r="F658" s="105">
        <v>156536.44</v>
      </c>
      <c r="G658" s="105">
        <v>6297921.8700000001</v>
      </c>
      <c r="H658" s="143">
        <v>43008.621397766205</v>
      </c>
      <c r="I658" s="143">
        <v>43253</v>
      </c>
      <c r="J658" t="s">
        <v>5689</v>
      </c>
      <c r="K658" t="s">
        <v>1280</v>
      </c>
      <c r="L658" t="s">
        <v>1280</v>
      </c>
      <c r="M658">
        <v>103392</v>
      </c>
      <c r="N658" t="s">
        <v>5669</v>
      </c>
      <c r="O658" t="s">
        <v>25</v>
      </c>
      <c r="P658" t="s">
        <v>88</v>
      </c>
      <c r="Q658" t="s">
        <v>285</v>
      </c>
      <c r="R658" s="105">
        <f>IF(Table__192.168.1.150_Daily_Delinquency_With_Sectors[[#This Row],[Days in Arrears]] &gt; 0, Table__192.168.1.150_Daily_Delinquency_With_Sectors[[#This Row],[Outstanding Balance]],0)</f>
        <v>0</v>
      </c>
      <c r="S658" s="105">
        <f>IF(Table__192.168.1.150_Daily_Delinquency_With_Sectors[[#This Row],[Days in Arrears]] &gt; 30, Table__192.168.1.150_Daily_Delinquency_With_Sectors[[#This Row],[Outstanding Balance]],0)</f>
        <v>0</v>
      </c>
      <c r="T658" s="105">
        <f>IF(Table__192.168.1.150_Daily_Delinquency_With_Sectors[[#This Row],[Days in Arrears]] &gt; 90, Table__192.168.1.150_Daily_Delinquency_With_Sectors[[#This Row],[Outstanding Balance]],0)</f>
        <v>0</v>
      </c>
      <c r="U658" s="109">
        <f>IF(Table__192.168.1.150_Daily_Delinquency_With_Sectors[[#This Row],[Days in Arrears]] &gt;= 1,1,0)</f>
        <v>0</v>
      </c>
      <c r="V658" s="109">
        <f>IF(Table__192.168.1.150_Daily_Delinquency_With_Sectors[[#This Row],[Days in Arrears]] &gt; 30,1,0)</f>
        <v>0</v>
      </c>
      <c r="W658" s="109">
        <f>IF(Table__192.168.1.150_Daily_Delinquency_With_Sectors[[#This Row],[Days in Arrears]] &gt; 90,1,0)</f>
        <v>0</v>
      </c>
    </row>
    <row r="659" spans="1:23" x14ac:dyDescent="0.25">
      <c r="A659" t="s">
        <v>5690</v>
      </c>
      <c r="B659" t="s">
        <v>1279</v>
      </c>
      <c r="C659">
        <v>-8</v>
      </c>
      <c r="D659" s="105">
        <v>1658265.06</v>
      </c>
      <c r="E659" t="s">
        <v>4683</v>
      </c>
      <c r="F659" s="105">
        <v>52235.35</v>
      </c>
      <c r="G659" s="105">
        <v>2053214.43</v>
      </c>
      <c r="H659" s="143">
        <v>43008.724388310184</v>
      </c>
      <c r="I659" s="143">
        <v>43314</v>
      </c>
      <c r="J659" t="s">
        <v>5691</v>
      </c>
      <c r="K659" t="s">
        <v>1280</v>
      </c>
      <c r="L659" t="s">
        <v>1280</v>
      </c>
      <c r="M659">
        <v>103393</v>
      </c>
      <c r="N659" t="s">
        <v>5670</v>
      </c>
      <c r="O659" t="s">
        <v>25</v>
      </c>
      <c r="P659" t="s">
        <v>88</v>
      </c>
      <c r="Q659" t="s">
        <v>285</v>
      </c>
      <c r="R659" s="105">
        <f>IF(Table__192.168.1.150_Daily_Delinquency_With_Sectors[[#This Row],[Days in Arrears]] &gt; 0, Table__192.168.1.150_Daily_Delinquency_With_Sectors[[#This Row],[Outstanding Balance]],0)</f>
        <v>0</v>
      </c>
      <c r="S659" s="105">
        <f>IF(Table__192.168.1.150_Daily_Delinquency_With_Sectors[[#This Row],[Days in Arrears]] &gt; 30, Table__192.168.1.150_Daily_Delinquency_With_Sectors[[#This Row],[Outstanding Balance]],0)</f>
        <v>0</v>
      </c>
      <c r="T659" s="105">
        <f>IF(Table__192.168.1.150_Daily_Delinquency_With_Sectors[[#This Row],[Days in Arrears]] &gt; 90, Table__192.168.1.150_Daily_Delinquency_With_Sectors[[#This Row],[Outstanding Balance]],0)</f>
        <v>0</v>
      </c>
      <c r="U659" s="109">
        <f>IF(Table__192.168.1.150_Daily_Delinquency_With_Sectors[[#This Row],[Days in Arrears]] &gt;= 1,1,0)</f>
        <v>0</v>
      </c>
      <c r="V659" s="109">
        <f>IF(Table__192.168.1.150_Daily_Delinquency_With_Sectors[[#This Row],[Days in Arrears]] &gt; 30,1,0)</f>
        <v>0</v>
      </c>
      <c r="W659" s="109">
        <f>IF(Table__192.168.1.150_Daily_Delinquency_With_Sectors[[#This Row],[Days in Arrears]] &gt; 90,1,0)</f>
        <v>0</v>
      </c>
    </row>
    <row r="660" spans="1:23" x14ac:dyDescent="0.25">
      <c r="A660" t="s">
        <v>406</v>
      </c>
      <c r="B660" t="s">
        <v>1866</v>
      </c>
      <c r="C660">
        <v>22</v>
      </c>
      <c r="D660" s="105">
        <v>6594714.0300000003</v>
      </c>
      <c r="E660" t="s">
        <v>90</v>
      </c>
      <c r="F660" s="105">
        <v>167873.91</v>
      </c>
      <c r="G660" s="105">
        <v>8119766.5800000001</v>
      </c>
      <c r="H660" s="143">
        <v>43008.719984108793</v>
      </c>
      <c r="I660" s="143">
        <v>43375</v>
      </c>
      <c r="J660" t="s">
        <v>407</v>
      </c>
      <c r="K660" t="s">
        <v>1280</v>
      </c>
      <c r="L660" t="s">
        <v>1280</v>
      </c>
      <c r="M660">
        <v>103394</v>
      </c>
      <c r="N660" t="s">
        <v>405</v>
      </c>
      <c r="O660" t="s">
        <v>45</v>
      </c>
      <c r="P660" t="s">
        <v>45</v>
      </c>
      <c r="Q660" t="s">
        <v>1658</v>
      </c>
      <c r="R660" s="105">
        <f>IF(Table__192.168.1.150_Daily_Delinquency_With_Sectors[[#This Row],[Days in Arrears]] &gt; 0, Table__192.168.1.150_Daily_Delinquency_With_Sectors[[#This Row],[Outstanding Balance]],0)</f>
        <v>6594714.0300000003</v>
      </c>
      <c r="S660" s="105">
        <f>IF(Table__192.168.1.150_Daily_Delinquency_With_Sectors[[#This Row],[Days in Arrears]] &gt; 30, Table__192.168.1.150_Daily_Delinquency_With_Sectors[[#This Row],[Outstanding Balance]],0)</f>
        <v>0</v>
      </c>
      <c r="T660" s="105">
        <f>IF(Table__192.168.1.150_Daily_Delinquency_With_Sectors[[#This Row],[Days in Arrears]] &gt; 90, Table__192.168.1.150_Daily_Delinquency_With_Sectors[[#This Row],[Outstanding Balance]],0)</f>
        <v>0</v>
      </c>
      <c r="U660" s="109">
        <f>IF(Table__192.168.1.150_Daily_Delinquency_With_Sectors[[#This Row],[Days in Arrears]] &gt;= 1,1,0)</f>
        <v>1</v>
      </c>
      <c r="V660" s="109">
        <f>IF(Table__192.168.1.150_Daily_Delinquency_With_Sectors[[#This Row],[Days in Arrears]] &gt; 30,1,0)</f>
        <v>0</v>
      </c>
      <c r="W660" s="109">
        <f>IF(Table__192.168.1.150_Daily_Delinquency_With_Sectors[[#This Row],[Days in Arrears]] &gt; 90,1,0)</f>
        <v>0</v>
      </c>
    </row>
    <row r="661" spans="1:23" x14ac:dyDescent="0.25">
      <c r="A661" t="s">
        <v>5692</v>
      </c>
      <c r="B661" t="s">
        <v>1866</v>
      </c>
      <c r="C661">
        <v>-8</v>
      </c>
      <c r="D661" s="105">
        <v>7358375.4699999997</v>
      </c>
      <c r="E661" t="s">
        <v>5382</v>
      </c>
      <c r="F661" s="105">
        <v>214619.28</v>
      </c>
      <c r="G661" s="105">
        <v>8974620.8300000001</v>
      </c>
      <c r="H661" s="143">
        <v>43008.778982094911</v>
      </c>
      <c r="I661" s="143">
        <v>43314</v>
      </c>
      <c r="J661" t="s">
        <v>5693</v>
      </c>
      <c r="K661" t="s">
        <v>1280</v>
      </c>
      <c r="L661" t="s">
        <v>1280</v>
      </c>
      <c r="M661">
        <v>103395</v>
      </c>
      <c r="N661" t="s">
        <v>5665</v>
      </c>
      <c r="O661" t="s">
        <v>25</v>
      </c>
      <c r="P661" t="s">
        <v>103</v>
      </c>
      <c r="Q661" t="s">
        <v>104</v>
      </c>
      <c r="R661" s="105">
        <f>IF(Table__192.168.1.150_Daily_Delinquency_With_Sectors[[#This Row],[Days in Arrears]] &gt; 0, Table__192.168.1.150_Daily_Delinquency_With_Sectors[[#This Row],[Outstanding Balance]],0)</f>
        <v>0</v>
      </c>
      <c r="S661" s="105">
        <f>IF(Table__192.168.1.150_Daily_Delinquency_With_Sectors[[#This Row],[Days in Arrears]] &gt; 30, Table__192.168.1.150_Daily_Delinquency_With_Sectors[[#This Row],[Outstanding Balance]],0)</f>
        <v>0</v>
      </c>
      <c r="T661" s="105">
        <f>IF(Table__192.168.1.150_Daily_Delinquency_With_Sectors[[#This Row],[Days in Arrears]] &gt; 90, Table__192.168.1.150_Daily_Delinquency_With_Sectors[[#This Row],[Outstanding Balance]],0)</f>
        <v>0</v>
      </c>
      <c r="U661" s="109">
        <f>IF(Table__192.168.1.150_Daily_Delinquency_With_Sectors[[#This Row],[Days in Arrears]] &gt;= 1,1,0)</f>
        <v>0</v>
      </c>
      <c r="V661" s="109">
        <f>IF(Table__192.168.1.150_Daily_Delinquency_With_Sectors[[#This Row],[Days in Arrears]] &gt; 30,1,0)</f>
        <v>0</v>
      </c>
      <c r="W661" s="109">
        <f>IF(Table__192.168.1.150_Daily_Delinquency_With_Sectors[[#This Row],[Days in Arrears]] &gt; 90,1,0)</f>
        <v>0</v>
      </c>
    </row>
    <row r="662" spans="1:23" x14ac:dyDescent="0.25">
      <c r="A662" t="s">
        <v>5707</v>
      </c>
      <c r="B662" t="s">
        <v>1279</v>
      </c>
      <c r="C662">
        <v>-8</v>
      </c>
      <c r="D662" s="105">
        <v>3215174.12</v>
      </c>
      <c r="E662" t="s">
        <v>5491</v>
      </c>
      <c r="F662" s="105">
        <v>101277.98</v>
      </c>
      <c r="G662" s="105">
        <v>3980932.86</v>
      </c>
      <c r="H662" s="143">
        <v>43010.702141516202</v>
      </c>
      <c r="I662" s="143">
        <v>43314</v>
      </c>
      <c r="J662" t="s">
        <v>5708</v>
      </c>
      <c r="K662" t="s">
        <v>1280</v>
      </c>
      <c r="L662" t="s">
        <v>1280</v>
      </c>
      <c r="M662">
        <v>103396</v>
      </c>
      <c r="N662" t="s">
        <v>5706</v>
      </c>
      <c r="O662" t="s">
        <v>25</v>
      </c>
      <c r="P662" t="s">
        <v>88</v>
      </c>
      <c r="Q662" t="s">
        <v>285</v>
      </c>
      <c r="R662" s="105">
        <f>IF(Table__192.168.1.150_Daily_Delinquency_With_Sectors[[#This Row],[Days in Arrears]] &gt; 0, Table__192.168.1.150_Daily_Delinquency_With_Sectors[[#This Row],[Outstanding Balance]],0)</f>
        <v>0</v>
      </c>
      <c r="S662" s="105">
        <f>IF(Table__192.168.1.150_Daily_Delinquency_With_Sectors[[#This Row],[Days in Arrears]] &gt; 30, Table__192.168.1.150_Daily_Delinquency_With_Sectors[[#This Row],[Outstanding Balance]],0)</f>
        <v>0</v>
      </c>
      <c r="T662" s="105">
        <f>IF(Table__192.168.1.150_Daily_Delinquency_With_Sectors[[#This Row],[Days in Arrears]] &gt; 90, Table__192.168.1.150_Daily_Delinquency_With_Sectors[[#This Row],[Outstanding Balance]],0)</f>
        <v>0</v>
      </c>
      <c r="U662" s="109">
        <f>IF(Table__192.168.1.150_Daily_Delinquency_With_Sectors[[#This Row],[Days in Arrears]] &gt;= 1,1,0)</f>
        <v>0</v>
      </c>
      <c r="V662" s="109">
        <f>IF(Table__192.168.1.150_Daily_Delinquency_With_Sectors[[#This Row],[Days in Arrears]] &gt; 30,1,0)</f>
        <v>0</v>
      </c>
      <c r="W662" s="109">
        <f>IF(Table__192.168.1.150_Daily_Delinquency_With_Sectors[[#This Row],[Days in Arrears]] &gt; 90,1,0)</f>
        <v>0</v>
      </c>
    </row>
    <row r="663" spans="1:23" x14ac:dyDescent="0.25">
      <c r="A663" t="s">
        <v>5715</v>
      </c>
      <c r="B663" t="s">
        <v>1284</v>
      </c>
      <c r="C663">
        <v>-10</v>
      </c>
      <c r="D663" s="105">
        <v>23688354.879999999</v>
      </c>
      <c r="E663" t="s">
        <v>546</v>
      </c>
      <c r="F663" s="105">
        <v>500087.49</v>
      </c>
      <c r="G663" s="105">
        <v>30029698.27</v>
      </c>
      <c r="H663" s="143">
        <v>43012.753689618054</v>
      </c>
      <c r="I663" s="143">
        <v>43469</v>
      </c>
      <c r="J663" t="s">
        <v>5716</v>
      </c>
      <c r="K663" t="s">
        <v>5717</v>
      </c>
      <c r="L663" t="s">
        <v>1280</v>
      </c>
      <c r="M663">
        <v>103397</v>
      </c>
      <c r="N663" t="s">
        <v>5714</v>
      </c>
      <c r="O663" t="s">
        <v>44</v>
      </c>
      <c r="P663" t="s">
        <v>92</v>
      </c>
      <c r="Q663" t="s">
        <v>92</v>
      </c>
      <c r="R663" s="105">
        <f>IF(Table__192.168.1.150_Daily_Delinquency_With_Sectors[[#This Row],[Days in Arrears]] &gt; 0, Table__192.168.1.150_Daily_Delinquency_With_Sectors[[#This Row],[Outstanding Balance]],0)</f>
        <v>0</v>
      </c>
      <c r="S663" s="105">
        <f>IF(Table__192.168.1.150_Daily_Delinquency_With_Sectors[[#This Row],[Days in Arrears]] &gt; 30, Table__192.168.1.150_Daily_Delinquency_With_Sectors[[#This Row],[Outstanding Balance]],0)</f>
        <v>0</v>
      </c>
      <c r="T663" s="105">
        <f>IF(Table__192.168.1.150_Daily_Delinquency_With_Sectors[[#This Row],[Days in Arrears]] &gt; 90, Table__192.168.1.150_Daily_Delinquency_With_Sectors[[#This Row],[Outstanding Balance]],0)</f>
        <v>0</v>
      </c>
      <c r="U663" s="109">
        <f>IF(Table__192.168.1.150_Daily_Delinquency_With_Sectors[[#This Row],[Days in Arrears]] &gt;= 1,1,0)</f>
        <v>0</v>
      </c>
      <c r="V663" s="109">
        <f>IF(Table__192.168.1.150_Daily_Delinquency_With_Sectors[[#This Row],[Days in Arrears]] &gt; 30,1,0)</f>
        <v>0</v>
      </c>
      <c r="W663" s="109">
        <f>IF(Table__192.168.1.150_Daily_Delinquency_With_Sectors[[#This Row],[Days in Arrears]] &gt; 90,1,0)</f>
        <v>0</v>
      </c>
    </row>
    <row r="664" spans="1:23" x14ac:dyDescent="0.25">
      <c r="A664" t="s">
        <v>5734</v>
      </c>
      <c r="B664" t="s">
        <v>1282</v>
      </c>
      <c r="C664">
        <v>-12</v>
      </c>
      <c r="D664" s="105">
        <v>8401030.4499999993</v>
      </c>
      <c r="E664" t="s">
        <v>86</v>
      </c>
      <c r="F664" s="105">
        <v>190423.36</v>
      </c>
      <c r="G664" s="105">
        <v>10548665.109999999</v>
      </c>
      <c r="H664" s="143">
        <v>43014.58796099537</v>
      </c>
      <c r="I664" s="143">
        <v>43379</v>
      </c>
      <c r="J664" t="s">
        <v>5735</v>
      </c>
      <c r="K664" t="s">
        <v>1280</v>
      </c>
      <c r="L664" t="s">
        <v>1280</v>
      </c>
      <c r="M664">
        <v>103398</v>
      </c>
      <c r="N664" t="s">
        <v>5729</v>
      </c>
      <c r="O664" t="s">
        <v>25</v>
      </c>
      <c r="P664" t="s">
        <v>88</v>
      </c>
      <c r="Q664" t="s">
        <v>285</v>
      </c>
      <c r="R664" s="105">
        <f>IF(Table__192.168.1.150_Daily_Delinquency_With_Sectors[[#This Row],[Days in Arrears]] &gt; 0, Table__192.168.1.150_Daily_Delinquency_With_Sectors[[#This Row],[Outstanding Balance]],0)</f>
        <v>0</v>
      </c>
      <c r="S664" s="105">
        <f>IF(Table__192.168.1.150_Daily_Delinquency_With_Sectors[[#This Row],[Days in Arrears]] &gt; 30, Table__192.168.1.150_Daily_Delinquency_With_Sectors[[#This Row],[Outstanding Balance]],0)</f>
        <v>0</v>
      </c>
      <c r="T664" s="105">
        <f>IF(Table__192.168.1.150_Daily_Delinquency_With_Sectors[[#This Row],[Days in Arrears]] &gt; 90, Table__192.168.1.150_Daily_Delinquency_With_Sectors[[#This Row],[Outstanding Balance]],0)</f>
        <v>0</v>
      </c>
      <c r="U664" s="109">
        <f>IF(Table__192.168.1.150_Daily_Delinquency_With_Sectors[[#This Row],[Days in Arrears]] &gt;= 1,1,0)</f>
        <v>0</v>
      </c>
      <c r="V664" s="109">
        <f>IF(Table__192.168.1.150_Daily_Delinquency_With_Sectors[[#This Row],[Days in Arrears]] &gt; 30,1,0)</f>
        <v>0</v>
      </c>
      <c r="W664" s="109">
        <f>IF(Table__192.168.1.150_Daily_Delinquency_With_Sectors[[#This Row],[Days in Arrears]] &gt; 90,1,0)</f>
        <v>0</v>
      </c>
    </row>
    <row r="665" spans="1:23" x14ac:dyDescent="0.25">
      <c r="A665" t="s">
        <v>5736</v>
      </c>
      <c r="B665" t="s">
        <v>1866</v>
      </c>
      <c r="C665">
        <v>-12</v>
      </c>
      <c r="D665" s="105">
        <v>5604489.29</v>
      </c>
      <c r="E665" t="s">
        <v>3074</v>
      </c>
      <c r="F665" s="105">
        <v>132328.22</v>
      </c>
      <c r="G665" s="105">
        <v>7100617.8300000001</v>
      </c>
      <c r="H665" s="143">
        <v>43014.588256481482</v>
      </c>
      <c r="I665" s="143">
        <v>43379</v>
      </c>
      <c r="J665" t="s">
        <v>5737</v>
      </c>
      <c r="K665" t="s">
        <v>1280</v>
      </c>
      <c r="L665" t="s">
        <v>1280</v>
      </c>
      <c r="M665">
        <v>103399</v>
      </c>
      <c r="N665" t="s">
        <v>5733</v>
      </c>
      <c r="O665" t="s">
        <v>25</v>
      </c>
      <c r="P665" t="s">
        <v>101</v>
      </c>
      <c r="Q665" t="s">
        <v>5507</v>
      </c>
      <c r="R665" s="105">
        <f>IF(Table__192.168.1.150_Daily_Delinquency_With_Sectors[[#This Row],[Days in Arrears]] &gt; 0, Table__192.168.1.150_Daily_Delinquency_With_Sectors[[#This Row],[Outstanding Balance]],0)</f>
        <v>0</v>
      </c>
      <c r="S665" s="105">
        <f>IF(Table__192.168.1.150_Daily_Delinquency_With_Sectors[[#This Row],[Days in Arrears]] &gt; 30, Table__192.168.1.150_Daily_Delinquency_With_Sectors[[#This Row],[Outstanding Balance]],0)</f>
        <v>0</v>
      </c>
      <c r="T665" s="105">
        <f>IF(Table__192.168.1.150_Daily_Delinquency_With_Sectors[[#This Row],[Days in Arrears]] &gt; 90, Table__192.168.1.150_Daily_Delinquency_With_Sectors[[#This Row],[Outstanding Balance]],0)</f>
        <v>0</v>
      </c>
      <c r="U665" s="109">
        <f>IF(Table__192.168.1.150_Daily_Delinquency_With_Sectors[[#This Row],[Days in Arrears]] &gt;= 1,1,0)</f>
        <v>0</v>
      </c>
      <c r="V665" s="109">
        <f>IF(Table__192.168.1.150_Daily_Delinquency_With_Sectors[[#This Row],[Days in Arrears]] &gt; 30,1,0)</f>
        <v>0</v>
      </c>
      <c r="W665" s="109">
        <f>IF(Table__192.168.1.150_Daily_Delinquency_With_Sectors[[#This Row],[Days in Arrears]] &gt; 90,1,0)</f>
        <v>0</v>
      </c>
    </row>
    <row r="666" spans="1:23" x14ac:dyDescent="0.25">
      <c r="A666" t="s">
        <v>5752</v>
      </c>
      <c r="B666" t="s">
        <v>1282</v>
      </c>
      <c r="C666">
        <v>-16</v>
      </c>
      <c r="D666" s="105">
        <v>5360342.08</v>
      </c>
      <c r="E666" t="s">
        <v>5385</v>
      </c>
      <c r="F666" s="105">
        <v>104526.67</v>
      </c>
      <c r="G666" s="105">
        <v>6367605.4299999997</v>
      </c>
      <c r="H666" s="143">
        <v>43018.732764780092</v>
      </c>
      <c r="I666" s="143">
        <v>43261</v>
      </c>
      <c r="J666" t="s">
        <v>5753</v>
      </c>
      <c r="K666" t="s">
        <v>1280</v>
      </c>
      <c r="L666" t="s">
        <v>1280</v>
      </c>
      <c r="M666">
        <v>103400</v>
      </c>
      <c r="N666" t="s">
        <v>5747</v>
      </c>
      <c r="O666" t="s">
        <v>25</v>
      </c>
      <c r="P666" t="s">
        <v>88</v>
      </c>
      <c r="Q666" t="s">
        <v>285</v>
      </c>
      <c r="R666" s="105">
        <f>IF(Table__192.168.1.150_Daily_Delinquency_With_Sectors[[#This Row],[Days in Arrears]] &gt; 0, Table__192.168.1.150_Daily_Delinquency_With_Sectors[[#This Row],[Outstanding Balance]],0)</f>
        <v>0</v>
      </c>
      <c r="S666" s="105">
        <f>IF(Table__192.168.1.150_Daily_Delinquency_With_Sectors[[#This Row],[Days in Arrears]] &gt; 30, Table__192.168.1.150_Daily_Delinquency_With_Sectors[[#This Row],[Outstanding Balance]],0)</f>
        <v>0</v>
      </c>
      <c r="T666" s="105">
        <f>IF(Table__192.168.1.150_Daily_Delinquency_With_Sectors[[#This Row],[Days in Arrears]] &gt; 90, Table__192.168.1.150_Daily_Delinquency_With_Sectors[[#This Row],[Outstanding Balance]],0)</f>
        <v>0</v>
      </c>
      <c r="U666" s="109">
        <f>IF(Table__192.168.1.150_Daily_Delinquency_With_Sectors[[#This Row],[Days in Arrears]] &gt;= 1,1,0)</f>
        <v>0</v>
      </c>
      <c r="V666" s="109">
        <f>IF(Table__192.168.1.150_Daily_Delinquency_With_Sectors[[#This Row],[Days in Arrears]] &gt; 30,1,0)</f>
        <v>0</v>
      </c>
      <c r="W666" s="109">
        <f>IF(Table__192.168.1.150_Daily_Delinquency_With_Sectors[[#This Row],[Days in Arrears]] &gt; 90,1,0)</f>
        <v>0</v>
      </c>
    </row>
    <row r="667" spans="1:23" x14ac:dyDescent="0.25">
      <c r="A667" t="s">
        <v>5738</v>
      </c>
      <c r="B667" t="s">
        <v>1281</v>
      </c>
      <c r="C667">
        <v>-12</v>
      </c>
      <c r="D667" s="105">
        <v>23336195.68</v>
      </c>
      <c r="E667" t="s">
        <v>5167</v>
      </c>
      <c r="F667" s="105">
        <v>528953.77</v>
      </c>
      <c r="G667" s="105">
        <v>29301847.48</v>
      </c>
      <c r="H667" s="143">
        <v>43014.726949652781</v>
      </c>
      <c r="I667" s="143">
        <v>43379</v>
      </c>
      <c r="J667" t="s">
        <v>5739</v>
      </c>
      <c r="K667" t="s">
        <v>5740</v>
      </c>
      <c r="L667" t="s">
        <v>1280</v>
      </c>
      <c r="M667">
        <v>103401</v>
      </c>
      <c r="N667" t="s">
        <v>5730</v>
      </c>
      <c r="O667" t="s">
        <v>44</v>
      </c>
      <c r="P667" t="s">
        <v>75</v>
      </c>
      <c r="Q667" t="s">
        <v>26</v>
      </c>
      <c r="R667" s="105">
        <f>IF(Table__192.168.1.150_Daily_Delinquency_With_Sectors[[#This Row],[Days in Arrears]] &gt; 0, Table__192.168.1.150_Daily_Delinquency_With_Sectors[[#This Row],[Outstanding Balance]],0)</f>
        <v>0</v>
      </c>
      <c r="S667" s="105">
        <f>IF(Table__192.168.1.150_Daily_Delinquency_With_Sectors[[#This Row],[Days in Arrears]] &gt; 30, Table__192.168.1.150_Daily_Delinquency_With_Sectors[[#This Row],[Outstanding Balance]],0)</f>
        <v>0</v>
      </c>
      <c r="T667" s="105">
        <f>IF(Table__192.168.1.150_Daily_Delinquency_With_Sectors[[#This Row],[Days in Arrears]] &gt; 90, Table__192.168.1.150_Daily_Delinquency_With_Sectors[[#This Row],[Outstanding Balance]],0)</f>
        <v>0</v>
      </c>
      <c r="U667" s="109">
        <f>IF(Table__192.168.1.150_Daily_Delinquency_With_Sectors[[#This Row],[Days in Arrears]] &gt;= 1,1,0)</f>
        <v>0</v>
      </c>
      <c r="V667" s="109">
        <f>IF(Table__192.168.1.150_Daily_Delinquency_With_Sectors[[#This Row],[Days in Arrears]] &gt; 30,1,0)</f>
        <v>0</v>
      </c>
      <c r="W667" s="109">
        <f>IF(Table__192.168.1.150_Daily_Delinquency_With_Sectors[[#This Row],[Days in Arrears]] &gt; 90,1,0)</f>
        <v>0</v>
      </c>
    </row>
    <row r="668" spans="1:23" x14ac:dyDescent="0.25">
      <c r="A668" t="s">
        <v>3563</v>
      </c>
      <c r="B668" t="s">
        <v>1282</v>
      </c>
      <c r="C668">
        <v>-16</v>
      </c>
      <c r="D668" s="105">
        <v>4200515.22</v>
      </c>
      <c r="E668" t="s">
        <v>1039</v>
      </c>
      <c r="F668" s="105">
        <v>72808.929999999993</v>
      </c>
      <c r="G668" s="105">
        <v>5274332.53</v>
      </c>
      <c r="H668" s="143">
        <v>43018.615223726854</v>
      </c>
      <c r="I668" s="143">
        <v>43383</v>
      </c>
      <c r="J668" t="s">
        <v>3564</v>
      </c>
      <c r="K668" t="s">
        <v>1280</v>
      </c>
      <c r="L668" t="s">
        <v>3565</v>
      </c>
      <c r="M668">
        <v>103403</v>
      </c>
      <c r="N668" t="s">
        <v>3553</v>
      </c>
      <c r="O668" t="s">
        <v>25</v>
      </c>
      <c r="P668" t="s">
        <v>88</v>
      </c>
      <c r="Q668" t="s">
        <v>285</v>
      </c>
      <c r="R668" s="105">
        <f>IF(Table__192.168.1.150_Daily_Delinquency_With_Sectors[[#This Row],[Days in Arrears]] &gt; 0, Table__192.168.1.150_Daily_Delinquency_With_Sectors[[#This Row],[Outstanding Balance]],0)</f>
        <v>0</v>
      </c>
      <c r="S668" s="105">
        <f>IF(Table__192.168.1.150_Daily_Delinquency_With_Sectors[[#This Row],[Days in Arrears]] &gt; 30, Table__192.168.1.150_Daily_Delinquency_With_Sectors[[#This Row],[Outstanding Balance]],0)</f>
        <v>0</v>
      </c>
      <c r="T668" s="105">
        <f>IF(Table__192.168.1.150_Daily_Delinquency_With_Sectors[[#This Row],[Days in Arrears]] &gt; 90, Table__192.168.1.150_Daily_Delinquency_With_Sectors[[#This Row],[Outstanding Balance]],0)</f>
        <v>0</v>
      </c>
      <c r="U668" s="109">
        <f>IF(Table__192.168.1.150_Daily_Delinquency_With_Sectors[[#This Row],[Days in Arrears]] &gt;= 1,1,0)</f>
        <v>0</v>
      </c>
      <c r="V668" s="109">
        <f>IF(Table__192.168.1.150_Daily_Delinquency_With_Sectors[[#This Row],[Days in Arrears]] &gt; 30,1,0)</f>
        <v>0</v>
      </c>
      <c r="W668" s="109">
        <f>IF(Table__192.168.1.150_Daily_Delinquency_With_Sectors[[#This Row],[Days in Arrears]] &gt; 90,1,0)</f>
        <v>0</v>
      </c>
    </row>
    <row r="669" spans="1:23" x14ac:dyDescent="0.25">
      <c r="A669" t="s">
        <v>5754</v>
      </c>
      <c r="B669" t="s">
        <v>1866</v>
      </c>
      <c r="C669">
        <v>14</v>
      </c>
      <c r="D669" s="105">
        <v>6000000</v>
      </c>
      <c r="E669" t="s">
        <v>468</v>
      </c>
      <c r="F669" s="105">
        <v>96175.02</v>
      </c>
      <c r="G669" s="105">
        <v>7064122.3499999996</v>
      </c>
      <c r="H669" s="143">
        <v>43018.723705902776</v>
      </c>
      <c r="I669" s="143">
        <v>43322</v>
      </c>
      <c r="J669" t="s">
        <v>5755</v>
      </c>
      <c r="K669" t="s">
        <v>1280</v>
      </c>
      <c r="L669" t="s">
        <v>1280</v>
      </c>
      <c r="M669">
        <v>103404</v>
      </c>
      <c r="N669" t="s">
        <v>5751</v>
      </c>
      <c r="O669" t="s">
        <v>37</v>
      </c>
      <c r="P669" t="s">
        <v>38</v>
      </c>
      <c r="Q669" t="s">
        <v>39</v>
      </c>
      <c r="R669" s="105">
        <f>IF(Table__192.168.1.150_Daily_Delinquency_With_Sectors[[#This Row],[Days in Arrears]] &gt; 0, Table__192.168.1.150_Daily_Delinquency_With_Sectors[[#This Row],[Outstanding Balance]],0)</f>
        <v>6000000</v>
      </c>
      <c r="S669" s="105">
        <f>IF(Table__192.168.1.150_Daily_Delinquency_With_Sectors[[#This Row],[Days in Arrears]] &gt; 30, Table__192.168.1.150_Daily_Delinquency_With_Sectors[[#This Row],[Outstanding Balance]],0)</f>
        <v>0</v>
      </c>
      <c r="T669" s="105">
        <f>IF(Table__192.168.1.150_Daily_Delinquency_With_Sectors[[#This Row],[Days in Arrears]] &gt; 90, Table__192.168.1.150_Daily_Delinquency_With_Sectors[[#This Row],[Outstanding Balance]],0)</f>
        <v>0</v>
      </c>
      <c r="U669" s="109">
        <f>IF(Table__192.168.1.150_Daily_Delinquency_With_Sectors[[#This Row],[Days in Arrears]] &gt;= 1,1,0)</f>
        <v>1</v>
      </c>
      <c r="V669" s="109">
        <f>IF(Table__192.168.1.150_Daily_Delinquency_With_Sectors[[#This Row],[Days in Arrears]] &gt; 30,1,0)</f>
        <v>0</v>
      </c>
      <c r="W669" s="109">
        <f>IF(Table__192.168.1.150_Daily_Delinquency_With_Sectors[[#This Row],[Days in Arrears]] &gt; 90,1,0)</f>
        <v>0</v>
      </c>
    </row>
    <row r="670" spans="1:23" x14ac:dyDescent="0.25">
      <c r="A670" t="s">
        <v>5767</v>
      </c>
      <c r="B670" t="s">
        <v>1279</v>
      </c>
      <c r="C670">
        <v>13</v>
      </c>
      <c r="D670" s="105">
        <v>3992273.24</v>
      </c>
      <c r="E670" t="s">
        <v>1039</v>
      </c>
      <c r="F670" s="105">
        <v>67344.03</v>
      </c>
      <c r="G670" s="105">
        <v>5076250.3</v>
      </c>
      <c r="H670" s="143">
        <v>43019.550980555556</v>
      </c>
      <c r="I670" s="143">
        <v>43384</v>
      </c>
      <c r="J670" t="s">
        <v>5768</v>
      </c>
      <c r="K670" t="s">
        <v>1280</v>
      </c>
      <c r="L670" t="s">
        <v>1280</v>
      </c>
      <c r="M670">
        <v>103405</v>
      </c>
      <c r="N670" t="s">
        <v>5766</v>
      </c>
      <c r="O670" t="s">
        <v>25</v>
      </c>
      <c r="P670" t="s">
        <v>88</v>
      </c>
      <c r="Q670" t="s">
        <v>285</v>
      </c>
      <c r="R670" s="105">
        <f>IF(Table__192.168.1.150_Daily_Delinquency_With_Sectors[[#This Row],[Days in Arrears]] &gt; 0, Table__192.168.1.150_Daily_Delinquency_With_Sectors[[#This Row],[Outstanding Balance]],0)</f>
        <v>3992273.24</v>
      </c>
      <c r="S670" s="105">
        <f>IF(Table__192.168.1.150_Daily_Delinquency_With_Sectors[[#This Row],[Days in Arrears]] &gt; 30, Table__192.168.1.150_Daily_Delinquency_With_Sectors[[#This Row],[Outstanding Balance]],0)</f>
        <v>0</v>
      </c>
      <c r="T670" s="105">
        <f>IF(Table__192.168.1.150_Daily_Delinquency_With_Sectors[[#This Row],[Days in Arrears]] &gt; 90, Table__192.168.1.150_Daily_Delinquency_With_Sectors[[#This Row],[Outstanding Balance]],0)</f>
        <v>0</v>
      </c>
      <c r="U670" s="109">
        <f>IF(Table__192.168.1.150_Daily_Delinquency_With_Sectors[[#This Row],[Days in Arrears]] &gt;= 1,1,0)</f>
        <v>1</v>
      </c>
      <c r="V670" s="109">
        <f>IF(Table__192.168.1.150_Daily_Delinquency_With_Sectors[[#This Row],[Days in Arrears]] &gt; 30,1,0)</f>
        <v>0</v>
      </c>
      <c r="W670" s="109">
        <f>IF(Table__192.168.1.150_Daily_Delinquency_With_Sectors[[#This Row],[Days in Arrears]] &gt; 90,1,0)</f>
        <v>0</v>
      </c>
    </row>
    <row r="671" spans="1:23" x14ac:dyDescent="0.25">
      <c r="A671" t="s">
        <v>5769</v>
      </c>
      <c r="B671" t="s">
        <v>1282</v>
      </c>
      <c r="C671">
        <v>-17</v>
      </c>
      <c r="D671" s="105">
        <v>11023454.140000001</v>
      </c>
      <c r="E671" t="s">
        <v>468</v>
      </c>
      <c r="F671" s="105">
        <v>198422.17</v>
      </c>
      <c r="G671" s="105">
        <v>13648912.76</v>
      </c>
      <c r="H671" s="143">
        <v>43019.650154016206</v>
      </c>
      <c r="I671" s="143">
        <v>43323</v>
      </c>
      <c r="J671" t="s">
        <v>5770</v>
      </c>
      <c r="K671" t="s">
        <v>5771</v>
      </c>
      <c r="L671" t="s">
        <v>1280</v>
      </c>
      <c r="M671">
        <v>103406</v>
      </c>
      <c r="N671" t="s">
        <v>5765</v>
      </c>
      <c r="O671" t="s">
        <v>25</v>
      </c>
      <c r="P671" t="s">
        <v>94</v>
      </c>
      <c r="Q671" t="s">
        <v>95</v>
      </c>
      <c r="R671" s="105">
        <f>IF(Table__192.168.1.150_Daily_Delinquency_With_Sectors[[#This Row],[Days in Arrears]] &gt; 0, Table__192.168.1.150_Daily_Delinquency_With_Sectors[[#This Row],[Outstanding Balance]],0)</f>
        <v>0</v>
      </c>
      <c r="S671" s="105">
        <f>IF(Table__192.168.1.150_Daily_Delinquency_With_Sectors[[#This Row],[Days in Arrears]] &gt; 30, Table__192.168.1.150_Daily_Delinquency_With_Sectors[[#This Row],[Outstanding Balance]],0)</f>
        <v>0</v>
      </c>
      <c r="T671" s="105">
        <f>IF(Table__192.168.1.150_Daily_Delinquency_With_Sectors[[#This Row],[Days in Arrears]] &gt; 90, Table__192.168.1.150_Daily_Delinquency_With_Sectors[[#This Row],[Outstanding Balance]],0)</f>
        <v>0</v>
      </c>
      <c r="U671" s="109">
        <f>IF(Table__192.168.1.150_Daily_Delinquency_With_Sectors[[#This Row],[Days in Arrears]] &gt;= 1,1,0)</f>
        <v>0</v>
      </c>
      <c r="V671" s="109">
        <f>IF(Table__192.168.1.150_Daily_Delinquency_With_Sectors[[#This Row],[Days in Arrears]] &gt; 30,1,0)</f>
        <v>0</v>
      </c>
      <c r="W671" s="109">
        <f>IF(Table__192.168.1.150_Daily_Delinquency_With_Sectors[[#This Row],[Days in Arrears]] &gt; 90,1,0)</f>
        <v>0</v>
      </c>
    </row>
    <row r="672" spans="1:23" x14ac:dyDescent="0.25">
      <c r="A672" t="s">
        <v>5772</v>
      </c>
      <c r="B672" t="s">
        <v>1282</v>
      </c>
      <c r="C672">
        <v>-17</v>
      </c>
      <c r="D672" s="105">
        <v>1837242.36</v>
      </c>
      <c r="E672" t="s">
        <v>5124</v>
      </c>
      <c r="F672" s="105">
        <v>33070.36</v>
      </c>
      <c r="G672" s="105">
        <v>2274818.81</v>
      </c>
      <c r="H672" s="143">
        <v>43019.696723148147</v>
      </c>
      <c r="I672" s="143">
        <v>43323</v>
      </c>
      <c r="J672" t="s">
        <v>5773</v>
      </c>
      <c r="K672" t="s">
        <v>1280</v>
      </c>
      <c r="L672" t="s">
        <v>1280</v>
      </c>
      <c r="M672">
        <v>103407</v>
      </c>
      <c r="N672" t="s">
        <v>5764</v>
      </c>
      <c r="O672" t="s">
        <v>25</v>
      </c>
      <c r="P672" t="s">
        <v>88</v>
      </c>
      <c r="Q672" t="s">
        <v>285</v>
      </c>
      <c r="R672" s="105">
        <f>IF(Table__192.168.1.150_Daily_Delinquency_With_Sectors[[#This Row],[Days in Arrears]] &gt; 0, Table__192.168.1.150_Daily_Delinquency_With_Sectors[[#This Row],[Outstanding Balance]],0)</f>
        <v>0</v>
      </c>
      <c r="S672" s="105">
        <f>IF(Table__192.168.1.150_Daily_Delinquency_With_Sectors[[#This Row],[Days in Arrears]] &gt; 30, Table__192.168.1.150_Daily_Delinquency_With_Sectors[[#This Row],[Outstanding Balance]],0)</f>
        <v>0</v>
      </c>
      <c r="T672" s="105">
        <f>IF(Table__192.168.1.150_Daily_Delinquency_With_Sectors[[#This Row],[Days in Arrears]] &gt; 90, Table__192.168.1.150_Daily_Delinquency_With_Sectors[[#This Row],[Outstanding Balance]],0)</f>
        <v>0</v>
      </c>
      <c r="U672" s="109">
        <f>IF(Table__192.168.1.150_Daily_Delinquency_With_Sectors[[#This Row],[Days in Arrears]] &gt;= 1,1,0)</f>
        <v>0</v>
      </c>
      <c r="V672" s="109">
        <f>IF(Table__192.168.1.150_Daily_Delinquency_With_Sectors[[#This Row],[Days in Arrears]] &gt; 30,1,0)</f>
        <v>0</v>
      </c>
      <c r="W672" s="109">
        <f>IF(Table__192.168.1.150_Daily_Delinquency_With_Sectors[[#This Row],[Days in Arrears]] &gt; 90,1,0)</f>
        <v>0</v>
      </c>
    </row>
    <row r="673" spans="1:23" x14ac:dyDescent="0.25">
      <c r="A673" t="s">
        <v>5782</v>
      </c>
      <c r="B673" t="s">
        <v>1282</v>
      </c>
      <c r="C673">
        <v>-18</v>
      </c>
      <c r="D673" s="105">
        <v>4676669.0599999996</v>
      </c>
      <c r="E673" t="s">
        <v>5124</v>
      </c>
      <c r="F673" s="105">
        <v>77165.039999999994</v>
      </c>
      <c r="G673" s="105">
        <v>6031640.3799999999</v>
      </c>
      <c r="H673" s="143">
        <v>43020.53792318287</v>
      </c>
      <c r="I673" s="143">
        <v>43385</v>
      </c>
      <c r="J673" t="s">
        <v>5783</v>
      </c>
      <c r="K673" t="s">
        <v>1280</v>
      </c>
      <c r="L673" t="s">
        <v>1280</v>
      </c>
      <c r="M673">
        <v>103409</v>
      </c>
      <c r="N673" t="s">
        <v>5774</v>
      </c>
      <c r="O673" t="s">
        <v>25</v>
      </c>
      <c r="P673" t="s">
        <v>94</v>
      </c>
      <c r="Q673" t="s">
        <v>95</v>
      </c>
      <c r="R673" s="105">
        <f>IF(Table__192.168.1.150_Daily_Delinquency_With_Sectors[[#This Row],[Days in Arrears]] &gt; 0, Table__192.168.1.150_Daily_Delinquency_With_Sectors[[#This Row],[Outstanding Balance]],0)</f>
        <v>0</v>
      </c>
      <c r="S673" s="105">
        <f>IF(Table__192.168.1.150_Daily_Delinquency_With_Sectors[[#This Row],[Days in Arrears]] &gt; 30, Table__192.168.1.150_Daily_Delinquency_With_Sectors[[#This Row],[Outstanding Balance]],0)</f>
        <v>0</v>
      </c>
      <c r="T673" s="105">
        <f>IF(Table__192.168.1.150_Daily_Delinquency_With_Sectors[[#This Row],[Days in Arrears]] &gt; 90, Table__192.168.1.150_Daily_Delinquency_With_Sectors[[#This Row],[Outstanding Balance]],0)</f>
        <v>0</v>
      </c>
      <c r="U673" s="109">
        <f>IF(Table__192.168.1.150_Daily_Delinquency_With_Sectors[[#This Row],[Days in Arrears]] &gt;= 1,1,0)</f>
        <v>0</v>
      </c>
      <c r="V673" s="109">
        <f>IF(Table__192.168.1.150_Daily_Delinquency_With_Sectors[[#This Row],[Days in Arrears]] &gt; 30,1,0)</f>
        <v>0</v>
      </c>
      <c r="W673" s="109">
        <f>IF(Table__192.168.1.150_Daily_Delinquency_With_Sectors[[#This Row],[Days in Arrears]] &gt; 90,1,0)</f>
        <v>0</v>
      </c>
    </row>
    <row r="674" spans="1:23" x14ac:dyDescent="0.25">
      <c r="A674" t="s">
        <v>5784</v>
      </c>
      <c r="B674" t="s">
        <v>1282</v>
      </c>
      <c r="C674">
        <v>-18</v>
      </c>
      <c r="D674" s="105">
        <v>5360342.08</v>
      </c>
      <c r="E674" t="s">
        <v>1039</v>
      </c>
      <c r="F674" s="105">
        <v>88445.64</v>
      </c>
      <c r="G674" s="105">
        <v>6367605.4299999997</v>
      </c>
      <c r="H674" s="143">
        <v>43020.652944756941</v>
      </c>
      <c r="I674" s="143">
        <v>43263</v>
      </c>
      <c r="J674" t="s">
        <v>5785</v>
      </c>
      <c r="K674" t="s">
        <v>5786</v>
      </c>
      <c r="L674" t="s">
        <v>1280</v>
      </c>
      <c r="M674">
        <v>103410</v>
      </c>
      <c r="N674" t="s">
        <v>5776</v>
      </c>
      <c r="O674" t="s">
        <v>25</v>
      </c>
      <c r="P674" t="s">
        <v>88</v>
      </c>
      <c r="Q674" t="s">
        <v>285</v>
      </c>
      <c r="R674" s="105">
        <f>IF(Table__192.168.1.150_Daily_Delinquency_With_Sectors[[#This Row],[Days in Arrears]] &gt; 0, Table__192.168.1.150_Daily_Delinquency_With_Sectors[[#This Row],[Outstanding Balance]],0)</f>
        <v>0</v>
      </c>
      <c r="S674" s="105">
        <f>IF(Table__192.168.1.150_Daily_Delinquency_With_Sectors[[#This Row],[Days in Arrears]] &gt; 30, Table__192.168.1.150_Daily_Delinquency_With_Sectors[[#This Row],[Outstanding Balance]],0)</f>
        <v>0</v>
      </c>
      <c r="T674" s="105">
        <f>IF(Table__192.168.1.150_Daily_Delinquency_With_Sectors[[#This Row],[Days in Arrears]] &gt; 90, Table__192.168.1.150_Daily_Delinquency_With_Sectors[[#This Row],[Outstanding Balance]],0)</f>
        <v>0</v>
      </c>
      <c r="U674" s="109">
        <f>IF(Table__192.168.1.150_Daily_Delinquency_With_Sectors[[#This Row],[Days in Arrears]] &gt;= 1,1,0)</f>
        <v>0</v>
      </c>
      <c r="V674" s="109">
        <f>IF(Table__192.168.1.150_Daily_Delinquency_With_Sectors[[#This Row],[Days in Arrears]] &gt; 30,1,0)</f>
        <v>0</v>
      </c>
      <c r="W674" s="109">
        <f>IF(Table__192.168.1.150_Daily_Delinquency_With_Sectors[[#This Row],[Days in Arrears]] &gt; 90,1,0)</f>
        <v>0</v>
      </c>
    </row>
    <row r="675" spans="1:23" x14ac:dyDescent="0.25">
      <c r="A675" t="s">
        <v>5807</v>
      </c>
      <c r="B675" t="s">
        <v>1282</v>
      </c>
      <c r="C675">
        <v>-19</v>
      </c>
      <c r="D675" s="105">
        <v>6430348.25</v>
      </c>
      <c r="E675" t="s">
        <v>5382</v>
      </c>
      <c r="F675" s="105">
        <v>96455.22</v>
      </c>
      <c r="G675" s="105">
        <v>7961865.7800000003</v>
      </c>
      <c r="H675" s="143">
        <v>43021.708743553238</v>
      </c>
      <c r="I675" s="143">
        <v>43325</v>
      </c>
      <c r="J675" t="s">
        <v>5808</v>
      </c>
      <c r="K675" t="s">
        <v>1280</v>
      </c>
      <c r="L675" t="s">
        <v>1280</v>
      </c>
      <c r="M675">
        <v>103411</v>
      </c>
      <c r="N675" t="s">
        <v>5804</v>
      </c>
      <c r="O675" t="s">
        <v>25</v>
      </c>
      <c r="P675" t="s">
        <v>88</v>
      </c>
      <c r="Q675" t="s">
        <v>285</v>
      </c>
      <c r="R675" s="105">
        <f>IF(Table__192.168.1.150_Daily_Delinquency_With_Sectors[[#This Row],[Days in Arrears]] &gt; 0, Table__192.168.1.150_Daily_Delinquency_With_Sectors[[#This Row],[Outstanding Balance]],0)</f>
        <v>0</v>
      </c>
      <c r="S675" s="105">
        <f>IF(Table__192.168.1.150_Daily_Delinquency_With_Sectors[[#This Row],[Days in Arrears]] &gt; 30, Table__192.168.1.150_Daily_Delinquency_With_Sectors[[#This Row],[Outstanding Balance]],0)</f>
        <v>0</v>
      </c>
      <c r="T675" s="105">
        <f>IF(Table__192.168.1.150_Daily_Delinquency_With_Sectors[[#This Row],[Days in Arrears]] &gt; 90, Table__192.168.1.150_Daily_Delinquency_With_Sectors[[#This Row],[Outstanding Balance]],0)</f>
        <v>0</v>
      </c>
      <c r="U675" s="109">
        <f>IF(Table__192.168.1.150_Daily_Delinquency_With_Sectors[[#This Row],[Days in Arrears]] &gt;= 1,1,0)</f>
        <v>0</v>
      </c>
      <c r="V675" s="109">
        <f>IF(Table__192.168.1.150_Daily_Delinquency_With_Sectors[[#This Row],[Days in Arrears]] &gt; 30,1,0)</f>
        <v>0</v>
      </c>
      <c r="W675" s="109">
        <f>IF(Table__192.168.1.150_Daily_Delinquency_With_Sectors[[#This Row],[Days in Arrears]] &gt; 90,1,0)</f>
        <v>0</v>
      </c>
    </row>
    <row r="676" spans="1:23" x14ac:dyDescent="0.25">
      <c r="A676" t="s">
        <v>5809</v>
      </c>
      <c r="B676" t="s">
        <v>1867</v>
      </c>
      <c r="C676">
        <v>-19</v>
      </c>
      <c r="D676" s="105">
        <v>11201373.93</v>
      </c>
      <c r="E676" t="s">
        <v>2175</v>
      </c>
      <c r="F676" s="105">
        <v>149351.65</v>
      </c>
      <c r="G676" s="105">
        <v>14064886.789999999</v>
      </c>
      <c r="H676" s="143">
        <v>43021.701740509263</v>
      </c>
      <c r="I676" s="143">
        <v>43386</v>
      </c>
      <c r="J676" t="s">
        <v>5810</v>
      </c>
      <c r="K676" t="s">
        <v>5811</v>
      </c>
      <c r="L676" t="s">
        <v>1280</v>
      </c>
      <c r="M676">
        <v>103412</v>
      </c>
      <c r="N676" t="s">
        <v>5805</v>
      </c>
      <c r="O676" t="s">
        <v>25</v>
      </c>
      <c r="P676" t="s">
        <v>88</v>
      </c>
      <c r="Q676" t="s">
        <v>285</v>
      </c>
      <c r="R676" s="105">
        <f>IF(Table__192.168.1.150_Daily_Delinquency_With_Sectors[[#This Row],[Days in Arrears]] &gt; 0, Table__192.168.1.150_Daily_Delinquency_With_Sectors[[#This Row],[Outstanding Balance]],0)</f>
        <v>0</v>
      </c>
      <c r="S676" s="105">
        <f>IF(Table__192.168.1.150_Daily_Delinquency_With_Sectors[[#This Row],[Days in Arrears]] &gt; 30, Table__192.168.1.150_Daily_Delinquency_With_Sectors[[#This Row],[Outstanding Balance]],0)</f>
        <v>0</v>
      </c>
      <c r="T676" s="105">
        <f>IF(Table__192.168.1.150_Daily_Delinquency_With_Sectors[[#This Row],[Days in Arrears]] &gt; 90, Table__192.168.1.150_Daily_Delinquency_With_Sectors[[#This Row],[Outstanding Balance]],0)</f>
        <v>0</v>
      </c>
      <c r="U676" s="109">
        <f>IF(Table__192.168.1.150_Daily_Delinquency_With_Sectors[[#This Row],[Days in Arrears]] &gt;= 1,1,0)</f>
        <v>0</v>
      </c>
      <c r="V676" s="109">
        <f>IF(Table__192.168.1.150_Daily_Delinquency_With_Sectors[[#This Row],[Days in Arrears]] &gt; 30,1,0)</f>
        <v>0</v>
      </c>
      <c r="W676" s="109">
        <f>IF(Table__192.168.1.150_Daily_Delinquency_With_Sectors[[#This Row],[Days in Arrears]] &gt; 90,1,0)</f>
        <v>0</v>
      </c>
    </row>
    <row r="677" spans="1:23" x14ac:dyDescent="0.25">
      <c r="A677" t="s">
        <v>5812</v>
      </c>
      <c r="B677" t="s">
        <v>1282</v>
      </c>
      <c r="C677">
        <v>-20</v>
      </c>
      <c r="D677" s="105">
        <v>2680171.04</v>
      </c>
      <c r="E677" t="s">
        <v>5385</v>
      </c>
      <c r="F677" s="105">
        <v>36182.31</v>
      </c>
      <c r="G677" s="105">
        <v>3183802.74</v>
      </c>
      <c r="H677" s="143">
        <v>43022.524741319445</v>
      </c>
      <c r="I677" s="143">
        <v>43265</v>
      </c>
      <c r="J677" t="s">
        <v>5813</v>
      </c>
      <c r="K677" t="s">
        <v>5814</v>
      </c>
      <c r="L677" t="s">
        <v>1280</v>
      </c>
      <c r="M677">
        <v>103413</v>
      </c>
      <c r="N677" t="s">
        <v>5803</v>
      </c>
      <c r="O677" t="s">
        <v>25</v>
      </c>
      <c r="P677" t="s">
        <v>88</v>
      </c>
      <c r="Q677" t="s">
        <v>285</v>
      </c>
      <c r="R677" s="105">
        <f>IF(Table__192.168.1.150_Daily_Delinquency_With_Sectors[[#This Row],[Days in Arrears]] &gt; 0, Table__192.168.1.150_Daily_Delinquency_With_Sectors[[#This Row],[Outstanding Balance]],0)</f>
        <v>0</v>
      </c>
      <c r="S677" s="105">
        <f>IF(Table__192.168.1.150_Daily_Delinquency_With_Sectors[[#This Row],[Days in Arrears]] &gt; 30, Table__192.168.1.150_Daily_Delinquency_With_Sectors[[#This Row],[Outstanding Balance]],0)</f>
        <v>0</v>
      </c>
      <c r="T677" s="105">
        <f>IF(Table__192.168.1.150_Daily_Delinquency_With_Sectors[[#This Row],[Days in Arrears]] &gt; 90, Table__192.168.1.150_Daily_Delinquency_With_Sectors[[#This Row],[Outstanding Balance]],0)</f>
        <v>0</v>
      </c>
      <c r="U677" s="109">
        <f>IF(Table__192.168.1.150_Daily_Delinquency_With_Sectors[[#This Row],[Days in Arrears]] &gt;= 1,1,0)</f>
        <v>0</v>
      </c>
      <c r="V677" s="109">
        <f>IF(Table__192.168.1.150_Daily_Delinquency_With_Sectors[[#This Row],[Days in Arrears]] &gt; 30,1,0)</f>
        <v>0</v>
      </c>
      <c r="W677" s="109">
        <f>IF(Table__192.168.1.150_Daily_Delinquency_With_Sectors[[#This Row],[Days in Arrears]] &gt; 90,1,0)</f>
        <v>0</v>
      </c>
    </row>
    <row r="678" spans="1:23" x14ac:dyDescent="0.25">
      <c r="A678" t="s">
        <v>190</v>
      </c>
      <c r="B678" t="s">
        <v>1282</v>
      </c>
      <c r="C678">
        <v>-23</v>
      </c>
      <c r="D678" s="105">
        <v>14250883.49</v>
      </c>
      <c r="E678" t="s">
        <v>90</v>
      </c>
      <c r="F678" s="105">
        <v>114007.07</v>
      </c>
      <c r="G678" s="105">
        <v>18887631.050000001</v>
      </c>
      <c r="H678" s="143">
        <v>43025.674368483793</v>
      </c>
      <c r="I678" s="143">
        <v>43482</v>
      </c>
      <c r="J678" t="s">
        <v>191</v>
      </c>
      <c r="K678" t="s">
        <v>1280</v>
      </c>
      <c r="L678" t="s">
        <v>1280</v>
      </c>
      <c r="M678">
        <v>103414</v>
      </c>
      <c r="N678" t="s">
        <v>189</v>
      </c>
      <c r="O678" t="s">
        <v>25</v>
      </c>
      <c r="P678" t="s">
        <v>88</v>
      </c>
      <c r="Q678" t="s">
        <v>285</v>
      </c>
      <c r="R678" s="105">
        <f>IF(Table__192.168.1.150_Daily_Delinquency_With_Sectors[[#This Row],[Days in Arrears]] &gt; 0, Table__192.168.1.150_Daily_Delinquency_With_Sectors[[#This Row],[Outstanding Balance]],0)</f>
        <v>0</v>
      </c>
      <c r="S678" s="105">
        <f>IF(Table__192.168.1.150_Daily_Delinquency_With_Sectors[[#This Row],[Days in Arrears]] &gt; 30, Table__192.168.1.150_Daily_Delinquency_With_Sectors[[#This Row],[Outstanding Balance]],0)</f>
        <v>0</v>
      </c>
      <c r="T678" s="105">
        <f>IF(Table__192.168.1.150_Daily_Delinquency_With_Sectors[[#This Row],[Days in Arrears]] &gt; 90, Table__192.168.1.150_Daily_Delinquency_With_Sectors[[#This Row],[Outstanding Balance]],0)</f>
        <v>0</v>
      </c>
      <c r="U678" s="109">
        <f>IF(Table__192.168.1.150_Daily_Delinquency_With_Sectors[[#This Row],[Days in Arrears]] &gt;= 1,1,0)</f>
        <v>0</v>
      </c>
      <c r="V678" s="109">
        <f>IF(Table__192.168.1.150_Daily_Delinquency_With_Sectors[[#This Row],[Days in Arrears]] &gt; 30,1,0)</f>
        <v>0</v>
      </c>
      <c r="W678" s="109">
        <f>IF(Table__192.168.1.150_Daily_Delinquency_With_Sectors[[#This Row],[Days in Arrears]] &gt; 90,1,0)</f>
        <v>0</v>
      </c>
    </row>
    <row r="679" spans="1:23" x14ac:dyDescent="0.25">
      <c r="A679" t="s">
        <v>793</v>
      </c>
      <c r="B679" t="s">
        <v>1866</v>
      </c>
      <c r="C679">
        <v>-22</v>
      </c>
      <c r="D679" s="105">
        <v>8389485.9000000004</v>
      </c>
      <c r="E679" t="s">
        <v>2855</v>
      </c>
      <c r="F679" s="105">
        <v>71776.710000000006</v>
      </c>
      <c r="G679" s="105">
        <v>10345655.109999999</v>
      </c>
      <c r="H679" s="143">
        <v>43024.674112997687</v>
      </c>
      <c r="I679" s="143">
        <v>43389</v>
      </c>
      <c r="J679" t="s">
        <v>794</v>
      </c>
      <c r="K679" t="s">
        <v>1280</v>
      </c>
      <c r="L679" t="s">
        <v>1280</v>
      </c>
      <c r="M679">
        <v>103416</v>
      </c>
      <c r="N679" t="s">
        <v>792</v>
      </c>
      <c r="O679" t="s">
        <v>25</v>
      </c>
      <c r="P679" t="s">
        <v>88</v>
      </c>
      <c r="Q679" t="s">
        <v>285</v>
      </c>
      <c r="R679" s="105">
        <f>IF(Table__192.168.1.150_Daily_Delinquency_With_Sectors[[#This Row],[Days in Arrears]] &gt; 0, Table__192.168.1.150_Daily_Delinquency_With_Sectors[[#This Row],[Outstanding Balance]],0)</f>
        <v>0</v>
      </c>
      <c r="S679" s="105">
        <f>IF(Table__192.168.1.150_Daily_Delinquency_With_Sectors[[#This Row],[Days in Arrears]] &gt; 30, Table__192.168.1.150_Daily_Delinquency_With_Sectors[[#This Row],[Outstanding Balance]],0)</f>
        <v>0</v>
      </c>
      <c r="T679" s="105">
        <f>IF(Table__192.168.1.150_Daily_Delinquency_With_Sectors[[#This Row],[Days in Arrears]] &gt; 90, Table__192.168.1.150_Daily_Delinquency_With_Sectors[[#This Row],[Outstanding Balance]],0)</f>
        <v>0</v>
      </c>
      <c r="U679" s="109">
        <f>IF(Table__192.168.1.150_Daily_Delinquency_With_Sectors[[#This Row],[Days in Arrears]] &gt;= 1,1,0)</f>
        <v>0</v>
      </c>
      <c r="V679" s="109">
        <f>IF(Table__192.168.1.150_Daily_Delinquency_With_Sectors[[#This Row],[Days in Arrears]] &gt; 30,1,0)</f>
        <v>0</v>
      </c>
      <c r="W679" s="109">
        <f>IF(Table__192.168.1.150_Daily_Delinquency_With_Sectors[[#This Row],[Days in Arrears]] &gt; 90,1,0)</f>
        <v>0</v>
      </c>
    </row>
    <row r="680" spans="1:23" x14ac:dyDescent="0.25">
      <c r="A680" t="s">
        <v>5823</v>
      </c>
      <c r="B680" t="s">
        <v>1282</v>
      </c>
      <c r="C680">
        <v>8</v>
      </c>
      <c r="D680" s="105">
        <v>6932269.5499999998</v>
      </c>
      <c r="E680" t="s">
        <v>2034</v>
      </c>
      <c r="F680" s="105">
        <v>67518.66</v>
      </c>
      <c r="G680" s="105">
        <v>8463787.0800000001</v>
      </c>
      <c r="H680" s="143">
        <v>43024.682983877312</v>
      </c>
      <c r="I680" s="143">
        <v>43328</v>
      </c>
      <c r="J680" t="s">
        <v>5824</v>
      </c>
      <c r="K680" t="s">
        <v>1280</v>
      </c>
      <c r="L680" t="s">
        <v>1280</v>
      </c>
      <c r="M680">
        <v>103417</v>
      </c>
      <c r="N680" t="s">
        <v>5820</v>
      </c>
      <c r="O680" t="s">
        <v>25</v>
      </c>
      <c r="P680" t="s">
        <v>94</v>
      </c>
      <c r="Q680" t="s">
        <v>95</v>
      </c>
      <c r="R680" s="105">
        <f>IF(Table__192.168.1.150_Daily_Delinquency_With_Sectors[[#This Row],[Days in Arrears]] &gt; 0, Table__192.168.1.150_Daily_Delinquency_With_Sectors[[#This Row],[Outstanding Balance]],0)</f>
        <v>6932269.5499999998</v>
      </c>
      <c r="S680" s="105">
        <f>IF(Table__192.168.1.150_Daily_Delinquency_With_Sectors[[#This Row],[Days in Arrears]] &gt; 30, Table__192.168.1.150_Daily_Delinquency_With_Sectors[[#This Row],[Outstanding Balance]],0)</f>
        <v>0</v>
      </c>
      <c r="T680" s="105">
        <f>IF(Table__192.168.1.150_Daily_Delinquency_With_Sectors[[#This Row],[Days in Arrears]] &gt; 90, Table__192.168.1.150_Daily_Delinquency_With_Sectors[[#This Row],[Outstanding Balance]],0)</f>
        <v>0</v>
      </c>
      <c r="U680" s="109">
        <f>IF(Table__192.168.1.150_Daily_Delinquency_With_Sectors[[#This Row],[Days in Arrears]] &gt;= 1,1,0)</f>
        <v>1</v>
      </c>
      <c r="V680" s="109">
        <f>IF(Table__192.168.1.150_Daily_Delinquency_With_Sectors[[#This Row],[Days in Arrears]] &gt; 30,1,0)</f>
        <v>0</v>
      </c>
      <c r="W680" s="109">
        <f>IF(Table__192.168.1.150_Daily_Delinquency_With_Sectors[[#This Row],[Days in Arrears]] &gt; 90,1,0)</f>
        <v>0</v>
      </c>
    </row>
    <row r="681" spans="1:23" x14ac:dyDescent="0.25">
      <c r="A681" t="s">
        <v>4272</v>
      </c>
      <c r="B681" t="s">
        <v>1282</v>
      </c>
      <c r="C681">
        <v>-22</v>
      </c>
      <c r="D681" s="105">
        <v>6534134.79</v>
      </c>
      <c r="E681" t="s">
        <v>546</v>
      </c>
      <c r="F681" s="105">
        <v>60985.26</v>
      </c>
      <c r="G681" s="105">
        <v>8204517.2999999998</v>
      </c>
      <c r="H681" s="143">
        <v>43024.724898379631</v>
      </c>
      <c r="I681" s="143">
        <v>43389</v>
      </c>
      <c r="J681" t="s">
        <v>4273</v>
      </c>
      <c r="K681" t="s">
        <v>4274</v>
      </c>
      <c r="L681" t="s">
        <v>1280</v>
      </c>
      <c r="M681">
        <v>103418</v>
      </c>
      <c r="N681" t="s">
        <v>4270</v>
      </c>
      <c r="O681" t="s">
        <v>25</v>
      </c>
      <c r="P681" t="s">
        <v>88</v>
      </c>
      <c r="Q681" t="s">
        <v>285</v>
      </c>
      <c r="R681" s="105">
        <f>IF(Table__192.168.1.150_Daily_Delinquency_With_Sectors[[#This Row],[Days in Arrears]] &gt; 0, Table__192.168.1.150_Daily_Delinquency_With_Sectors[[#This Row],[Outstanding Balance]],0)</f>
        <v>0</v>
      </c>
      <c r="S681" s="105">
        <f>IF(Table__192.168.1.150_Daily_Delinquency_With_Sectors[[#This Row],[Days in Arrears]] &gt; 30, Table__192.168.1.150_Daily_Delinquency_With_Sectors[[#This Row],[Outstanding Balance]],0)</f>
        <v>0</v>
      </c>
      <c r="T681" s="105">
        <f>IF(Table__192.168.1.150_Daily_Delinquency_With_Sectors[[#This Row],[Days in Arrears]] &gt; 90, Table__192.168.1.150_Daily_Delinquency_With_Sectors[[#This Row],[Outstanding Balance]],0)</f>
        <v>0</v>
      </c>
      <c r="U681" s="109">
        <f>IF(Table__192.168.1.150_Daily_Delinquency_With_Sectors[[#This Row],[Days in Arrears]] &gt;= 1,1,0)</f>
        <v>0</v>
      </c>
      <c r="V681" s="109">
        <f>IF(Table__192.168.1.150_Daily_Delinquency_With_Sectors[[#This Row],[Days in Arrears]] &gt; 30,1,0)</f>
        <v>0</v>
      </c>
      <c r="W681" s="109">
        <f>IF(Table__192.168.1.150_Daily_Delinquency_With_Sectors[[#This Row],[Days in Arrears]] &gt; 90,1,0)</f>
        <v>0</v>
      </c>
    </row>
    <row r="682" spans="1:23" x14ac:dyDescent="0.25">
      <c r="A682" t="s">
        <v>5834</v>
      </c>
      <c r="B682" t="s">
        <v>1284</v>
      </c>
      <c r="C682">
        <v>-23</v>
      </c>
      <c r="D682" s="105">
        <v>25881125.25</v>
      </c>
      <c r="E682" t="s">
        <v>1039</v>
      </c>
      <c r="F682" s="105">
        <v>172540.84</v>
      </c>
      <c r="G682" s="105">
        <v>34320870.619999997</v>
      </c>
      <c r="H682" s="143">
        <v>43025.590373692132</v>
      </c>
      <c r="I682" s="143">
        <v>43572</v>
      </c>
      <c r="J682" t="s">
        <v>5835</v>
      </c>
      <c r="K682" t="s">
        <v>5836</v>
      </c>
      <c r="L682" t="s">
        <v>1280</v>
      </c>
      <c r="M682">
        <v>103419</v>
      </c>
      <c r="N682" t="s">
        <v>5832</v>
      </c>
      <c r="O682" t="s">
        <v>44</v>
      </c>
      <c r="P682" t="s">
        <v>75</v>
      </c>
      <c r="Q682" t="s">
        <v>1442</v>
      </c>
      <c r="R682" s="105">
        <f>IF(Table__192.168.1.150_Daily_Delinquency_With_Sectors[[#This Row],[Days in Arrears]] &gt; 0, Table__192.168.1.150_Daily_Delinquency_With_Sectors[[#This Row],[Outstanding Balance]],0)</f>
        <v>0</v>
      </c>
      <c r="S682" s="105">
        <f>IF(Table__192.168.1.150_Daily_Delinquency_With_Sectors[[#This Row],[Days in Arrears]] &gt; 30, Table__192.168.1.150_Daily_Delinquency_With_Sectors[[#This Row],[Outstanding Balance]],0)</f>
        <v>0</v>
      </c>
      <c r="T682" s="105">
        <f>IF(Table__192.168.1.150_Daily_Delinquency_With_Sectors[[#This Row],[Days in Arrears]] &gt; 90, Table__192.168.1.150_Daily_Delinquency_With_Sectors[[#This Row],[Outstanding Balance]],0)</f>
        <v>0</v>
      </c>
      <c r="U682" s="109">
        <f>IF(Table__192.168.1.150_Daily_Delinquency_With_Sectors[[#This Row],[Days in Arrears]] &gt;= 1,1,0)</f>
        <v>0</v>
      </c>
      <c r="V682" s="109">
        <f>IF(Table__192.168.1.150_Daily_Delinquency_With_Sectors[[#This Row],[Days in Arrears]] &gt; 30,1,0)</f>
        <v>0</v>
      </c>
      <c r="W682" s="109">
        <f>IF(Table__192.168.1.150_Daily_Delinquency_With_Sectors[[#This Row],[Days in Arrears]] &gt; 90,1,0)</f>
        <v>0</v>
      </c>
    </row>
    <row r="683" spans="1:23" x14ac:dyDescent="0.25">
      <c r="A683" t="s">
        <v>5837</v>
      </c>
      <c r="B683" t="s">
        <v>1284</v>
      </c>
      <c r="C683">
        <v>-23</v>
      </c>
      <c r="D683" s="105">
        <v>18950683.91</v>
      </c>
      <c r="E683" t="s">
        <v>86</v>
      </c>
      <c r="F683" s="105">
        <v>126337.89</v>
      </c>
      <c r="G683" s="105">
        <v>24023758.609999999</v>
      </c>
      <c r="H683" s="143">
        <v>43025.550861076386</v>
      </c>
      <c r="I683" s="143">
        <v>43482</v>
      </c>
      <c r="J683" t="s">
        <v>5838</v>
      </c>
      <c r="K683" t="s">
        <v>1280</v>
      </c>
      <c r="L683" t="s">
        <v>1280</v>
      </c>
      <c r="M683">
        <v>103420</v>
      </c>
      <c r="N683" t="s">
        <v>5830</v>
      </c>
      <c r="O683" t="s">
        <v>25</v>
      </c>
      <c r="P683" t="s">
        <v>88</v>
      </c>
      <c r="Q683" t="s">
        <v>285</v>
      </c>
      <c r="R683" s="105">
        <f>IF(Table__192.168.1.150_Daily_Delinquency_With_Sectors[[#This Row],[Days in Arrears]] &gt; 0, Table__192.168.1.150_Daily_Delinquency_With_Sectors[[#This Row],[Outstanding Balance]],0)</f>
        <v>0</v>
      </c>
      <c r="S683" s="105">
        <f>IF(Table__192.168.1.150_Daily_Delinquency_With_Sectors[[#This Row],[Days in Arrears]] &gt; 30, Table__192.168.1.150_Daily_Delinquency_With_Sectors[[#This Row],[Outstanding Balance]],0)</f>
        <v>0</v>
      </c>
      <c r="T683" s="105">
        <f>IF(Table__192.168.1.150_Daily_Delinquency_With_Sectors[[#This Row],[Days in Arrears]] &gt; 90, Table__192.168.1.150_Daily_Delinquency_With_Sectors[[#This Row],[Outstanding Balance]],0)</f>
        <v>0</v>
      </c>
      <c r="U683" s="109">
        <f>IF(Table__192.168.1.150_Daily_Delinquency_With_Sectors[[#This Row],[Days in Arrears]] &gt;= 1,1,0)</f>
        <v>0</v>
      </c>
      <c r="V683" s="109">
        <f>IF(Table__192.168.1.150_Daily_Delinquency_With_Sectors[[#This Row],[Days in Arrears]] &gt; 30,1,0)</f>
        <v>0</v>
      </c>
      <c r="W683" s="109">
        <f>IF(Table__192.168.1.150_Daily_Delinquency_With_Sectors[[#This Row],[Days in Arrears]] &gt; 90,1,0)</f>
        <v>0</v>
      </c>
    </row>
    <row r="684" spans="1:23" x14ac:dyDescent="0.25">
      <c r="A684" t="s">
        <v>5958</v>
      </c>
      <c r="B684" t="s">
        <v>1867</v>
      </c>
      <c r="C684">
        <v>-8</v>
      </c>
      <c r="D684" s="105">
        <v>13000000</v>
      </c>
      <c r="E684" t="s">
        <v>491</v>
      </c>
      <c r="F684" s="105">
        <v>450666.67</v>
      </c>
      <c r="G684" s="105">
        <v>1613056.52</v>
      </c>
      <c r="H684" s="143">
        <v>43035.645899965275</v>
      </c>
      <c r="I684" s="143">
        <v>43345</v>
      </c>
      <c r="J684" t="s">
        <v>5959</v>
      </c>
      <c r="K684" t="s">
        <v>1280</v>
      </c>
      <c r="L684" t="s">
        <v>1280</v>
      </c>
      <c r="M684">
        <v>103421</v>
      </c>
      <c r="N684" t="s">
        <v>5955</v>
      </c>
      <c r="O684" t="s">
        <v>25</v>
      </c>
      <c r="P684" t="s">
        <v>103</v>
      </c>
      <c r="Q684" t="s">
        <v>104</v>
      </c>
      <c r="R684" s="105">
        <f>IF(Table__192.168.1.150_Daily_Delinquency_With_Sectors[[#This Row],[Days in Arrears]] &gt; 0, Table__192.168.1.150_Daily_Delinquency_With_Sectors[[#This Row],[Outstanding Balance]],0)</f>
        <v>0</v>
      </c>
      <c r="S684" s="105">
        <f>IF(Table__192.168.1.150_Daily_Delinquency_With_Sectors[[#This Row],[Days in Arrears]] &gt; 30, Table__192.168.1.150_Daily_Delinquency_With_Sectors[[#This Row],[Outstanding Balance]],0)</f>
        <v>0</v>
      </c>
      <c r="T684" s="105">
        <f>IF(Table__192.168.1.150_Daily_Delinquency_With_Sectors[[#This Row],[Days in Arrears]] &gt; 90, Table__192.168.1.150_Daily_Delinquency_With_Sectors[[#This Row],[Outstanding Balance]],0)</f>
        <v>0</v>
      </c>
      <c r="U684" s="109">
        <f>IF(Table__192.168.1.150_Daily_Delinquency_With_Sectors[[#This Row],[Days in Arrears]] &gt;= 1,1,0)</f>
        <v>0</v>
      </c>
      <c r="V684" s="109">
        <f>IF(Table__192.168.1.150_Daily_Delinquency_With_Sectors[[#This Row],[Days in Arrears]] &gt; 30,1,0)</f>
        <v>0</v>
      </c>
      <c r="W684" s="109">
        <f>IF(Table__192.168.1.150_Daily_Delinquency_With_Sectors[[#This Row],[Days in Arrears]] &gt; 90,1,0)</f>
        <v>0</v>
      </c>
    </row>
    <row r="685" spans="1:23" x14ac:dyDescent="0.25">
      <c r="A685" t="s">
        <v>5843</v>
      </c>
      <c r="B685" t="s">
        <v>1282</v>
      </c>
      <c r="C685">
        <v>-24</v>
      </c>
      <c r="D685" s="105">
        <v>2806001.43</v>
      </c>
      <c r="E685" t="s">
        <v>2034</v>
      </c>
      <c r="F685" s="105">
        <v>21045.01</v>
      </c>
      <c r="G685" s="105">
        <v>3618984.2</v>
      </c>
      <c r="H685" s="143">
        <v>43026.725895567128</v>
      </c>
      <c r="I685" s="143">
        <v>43391</v>
      </c>
      <c r="J685" t="s">
        <v>5844</v>
      </c>
      <c r="K685" t="s">
        <v>5845</v>
      </c>
      <c r="L685" t="s">
        <v>1280</v>
      </c>
      <c r="M685">
        <v>103422</v>
      </c>
      <c r="N685" t="s">
        <v>5842</v>
      </c>
      <c r="O685" t="s">
        <v>25</v>
      </c>
      <c r="P685" t="s">
        <v>88</v>
      </c>
      <c r="Q685" t="s">
        <v>285</v>
      </c>
      <c r="R685" s="105">
        <f>IF(Table__192.168.1.150_Daily_Delinquency_With_Sectors[[#This Row],[Days in Arrears]] &gt; 0, Table__192.168.1.150_Daily_Delinquency_With_Sectors[[#This Row],[Outstanding Balance]],0)</f>
        <v>0</v>
      </c>
      <c r="S685" s="105">
        <f>IF(Table__192.168.1.150_Daily_Delinquency_With_Sectors[[#This Row],[Days in Arrears]] &gt; 30, Table__192.168.1.150_Daily_Delinquency_With_Sectors[[#This Row],[Outstanding Balance]],0)</f>
        <v>0</v>
      </c>
      <c r="T685" s="105">
        <f>IF(Table__192.168.1.150_Daily_Delinquency_With_Sectors[[#This Row],[Days in Arrears]] &gt; 90, Table__192.168.1.150_Daily_Delinquency_With_Sectors[[#This Row],[Outstanding Balance]],0)</f>
        <v>0</v>
      </c>
      <c r="U685" s="109">
        <f>IF(Table__192.168.1.150_Daily_Delinquency_With_Sectors[[#This Row],[Days in Arrears]] &gt;= 1,1,0)</f>
        <v>0</v>
      </c>
      <c r="V685" s="109">
        <f>IF(Table__192.168.1.150_Daily_Delinquency_With_Sectors[[#This Row],[Days in Arrears]] &gt; 30,1,0)</f>
        <v>0</v>
      </c>
      <c r="W685" s="109">
        <f>IF(Table__192.168.1.150_Daily_Delinquency_With_Sectors[[#This Row],[Days in Arrears]] &gt; 90,1,0)</f>
        <v>0</v>
      </c>
    </row>
    <row r="686" spans="1:23" x14ac:dyDescent="0.25">
      <c r="A686" t="s">
        <v>4697</v>
      </c>
      <c r="B686" t="s">
        <v>1282</v>
      </c>
      <c r="C686">
        <v>-25</v>
      </c>
      <c r="D686" s="105">
        <v>4667239.1399999997</v>
      </c>
      <c r="E686" t="s">
        <v>546</v>
      </c>
      <c r="F686" s="105">
        <v>24891.94</v>
      </c>
      <c r="G686" s="105">
        <v>5860369.5199999996</v>
      </c>
      <c r="H686" s="143">
        <v>43027.536510995371</v>
      </c>
      <c r="I686" s="143">
        <v>43392</v>
      </c>
      <c r="J686" t="s">
        <v>4698</v>
      </c>
      <c r="K686" t="s">
        <v>1280</v>
      </c>
      <c r="L686" t="s">
        <v>1280</v>
      </c>
      <c r="M686">
        <v>103423</v>
      </c>
      <c r="N686" t="s">
        <v>4691</v>
      </c>
      <c r="O686" t="s">
        <v>25</v>
      </c>
      <c r="P686" t="s">
        <v>88</v>
      </c>
      <c r="Q686" t="s">
        <v>285</v>
      </c>
      <c r="R686" s="105">
        <f>IF(Table__192.168.1.150_Daily_Delinquency_With_Sectors[[#This Row],[Days in Arrears]] &gt; 0, Table__192.168.1.150_Daily_Delinquency_With_Sectors[[#This Row],[Outstanding Balance]],0)</f>
        <v>0</v>
      </c>
      <c r="S686" s="105">
        <f>IF(Table__192.168.1.150_Daily_Delinquency_With_Sectors[[#This Row],[Days in Arrears]] &gt; 30, Table__192.168.1.150_Daily_Delinquency_With_Sectors[[#This Row],[Outstanding Balance]],0)</f>
        <v>0</v>
      </c>
      <c r="T686" s="105">
        <f>IF(Table__192.168.1.150_Daily_Delinquency_With_Sectors[[#This Row],[Days in Arrears]] &gt; 90, Table__192.168.1.150_Daily_Delinquency_With_Sectors[[#This Row],[Outstanding Balance]],0)</f>
        <v>0</v>
      </c>
      <c r="U686" s="109">
        <f>IF(Table__192.168.1.150_Daily_Delinquency_With_Sectors[[#This Row],[Days in Arrears]] &gt;= 1,1,0)</f>
        <v>0</v>
      </c>
      <c r="V686" s="109">
        <f>IF(Table__192.168.1.150_Daily_Delinquency_With_Sectors[[#This Row],[Days in Arrears]] &gt; 30,1,0)</f>
        <v>0</v>
      </c>
      <c r="W686" s="109">
        <f>IF(Table__192.168.1.150_Daily_Delinquency_With_Sectors[[#This Row],[Days in Arrears]] &gt; 90,1,0)</f>
        <v>0</v>
      </c>
    </row>
    <row r="687" spans="1:23" x14ac:dyDescent="0.25">
      <c r="A687" t="s">
        <v>5852</v>
      </c>
      <c r="B687" t="s">
        <v>1279</v>
      </c>
      <c r="C687">
        <v>-25</v>
      </c>
      <c r="D687" s="105">
        <v>3573561.39</v>
      </c>
      <c r="E687" t="s">
        <v>5352</v>
      </c>
      <c r="F687" s="105">
        <v>21441.37</v>
      </c>
      <c r="G687" s="105">
        <v>4245070.3</v>
      </c>
      <c r="H687" s="143">
        <v>43027.549113078705</v>
      </c>
      <c r="I687" s="143">
        <v>43270</v>
      </c>
      <c r="J687" t="s">
        <v>5853</v>
      </c>
      <c r="K687" t="s">
        <v>5854</v>
      </c>
      <c r="L687" t="s">
        <v>1280</v>
      </c>
      <c r="M687">
        <v>103424</v>
      </c>
      <c r="N687" t="s">
        <v>5847</v>
      </c>
      <c r="O687" t="s">
        <v>25</v>
      </c>
      <c r="P687" t="s">
        <v>88</v>
      </c>
      <c r="Q687" t="s">
        <v>285</v>
      </c>
      <c r="R687" s="105">
        <f>IF(Table__192.168.1.150_Daily_Delinquency_With_Sectors[[#This Row],[Days in Arrears]] &gt; 0, Table__192.168.1.150_Daily_Delinquency_With_Sectors[[#This Row],[Outstanding Balance]],0)</f>
        <v>0</v>
      </c>
      <c r="S687" s="105">
        <f>IF(Table__192.168.1.150_Daily_Delinquency_With_Sectors[[#This Row],[Days in Arrears]] &gt; 30, Table__192.168.1.150_Daily_Delinquency_With_Sectors[[#This Row],[Outstanding Balance]],0)</f>
        <v>0</v>
      </c>
      <c r="T687" s="105">
        <f>IF(Table__192.168.1.150_Daily_Delinquency_With_Sectors[[#This Row],[Days in Arrears]] &gt; 90, Table__192.168.1.150_Daily_Delinquency_With_Sectors[[#This Row],[Outstanding Balance]],0)</f>
        <v>0</v>
      </c>
      <c r="U687" s="109">
        <f>IF(Table__192.168.1.150_Daily_Delinquency_With_Sectors[[#This Row],[Days in Arrears]] &gt;= 1,1,0)</f>
        <v>0</v>
      </c>
      <c r="V687" s="109">
        <f>IF(Table__192.168.1.150_Daily_Delinquency_With_Sectors[[#This Row],[Days in Arrears]] &gt; 30,1,0)</f>
        <v>0</v>
      </c>
      <c r="W687" s="109">
        <f>IF(Table__192.168.1.150_Daily_Delinquency_With_Sectors[[#This Row],[Days in Arrears]] &gt; 90,1,0)</f>
        <v>0</v>
      </c>
    </row>
    <row r="688" spans="1:23" x14ac:dyDescent="0.25">
      <c r="A688" t="s">
        <v>3120</v>
      </c>
      <c r="B688" t="s">
        <v>1866</v>
      </c>
      <c r="C688">
        <v>-26</v>
      </c>
      <c r="D688" s="105">
        <v>6525155.7000000002</v>
      </c>
      <c r="E688" t="s">
        <v>2494</v>
      </c>
      <c r="F688" s="105">
        <v>23925.57</v>
      </c>
      <c r="G688" s="105">
        <v>8046620.6600000001</v>
      </c>
      <c r="H688" s="143">
        <v>43028.727197488428</v>
      </c>
      <c r="I688" s="143">
        <v>43393</v>
      </c>
      <c r="J688" t="s">
        <v>3121</v>
      </c>
      <c r="K688" t="s">
        <v>3122</v>
      </c>
      <c r="L688" t="s">
        <v>1280</v>
      </c>
      <c r="M688">
        <v>103425</v>
      </c>
      <c r="N688" t="s">
        <v>3119</v>
      </c>
      <c r="O688" t="s">
        <v>25</v>
      </c>
      <c r="P688" t="s">
        <v>88</v>
      </c>
      <c r="Q688" t="s">
        <v>285</v>
      </c>
      <c r="R688" s="105">
        <f>IF(Table__192.168.1.150_Daily_Delinquency_With_Sectors[[#This Row],[Days in Arrears]] &gt; 0, Table__192.168.1.150_Daily_Delinquency_With_Sectors[[#This Row],[Outstanding Balance]],0)</f>
        <v>0</v>
      </c>
      <c r="S688" s="105">
        <f>IF(Table__192.168.1.150_Daily_Delinquency_With_Sectors[[#This Row],[Days in Arrears]] &gt; 30, Table__192.168.1.150_Daily_Delinquency_With_Sectors[[#This Row],[Outstanding Balance]],0)</f>
        <v>0</v>
      </c>
      <c r="T688" s="105">
        <f>IF(Table__192.168.1.150_Daily_Delinquency_With_Sectors[[#This Row],[Days in Arrears]] &gt; 90, Table__192.168.1.150_Daily_Delinquency_With_Sectors[[#This Row],[Outstanding Balance]],0)</f>
        <v>0</v>
      </c>
      <c r="U688" s="109">
        <f>IF(Table__192.168.1.150_Daily_Delinquency_With_Sectors[[#This Row],[Days in Arrears]] &gt;= 1,1,0)</f>
        <v>0</v>
      </c>
      <c r="V688" s="109">
        <f>IF(Table__192.168.1.150_Daily_Delinquency_With_Sectors[[#This Row],[Days in Arrears]] &gt; 30,1,0)</f>
        <v>0</v>
      </c>
      <c r="W688" s="109">
        <f>IF(Table__192.168.1.150_Daily_Delinquency_With_Sectors[[#This Row],[Days in Arrears]] &gt; 90,1,0)</f>
        <v>0</v>
      </c>
    </row>
    <row r="689" spans="1:23" x14ac:dyDescent="0.25">
      <c r="A689" t="s">
        <v>1307</v>
      </c>
      <c r="B689" t="s">
        <v>1285</v>
      </c>
      <c r="C689">
        <v>-27</v>
      </c>
      <c r="D689" s="105">
        <v>5945443.5300000003</v>
      </c>
      <c r="E689" t="s">
        <v>284</v>
      </c>
      <c r="F689" s="105">
        <v>7266.65</v>
      </c>
      <c r="G689" s="105">
        <v>6973891.6200000001</v>
      </c>
      <c r="H689" s="143">
        <v>43027.722257789355</v>
      </c>
      <c r="I689" s="143">
        <v>43576</v>
      </c>
      <c r="J689" t="s">
        <v>1308</v>
      </c>
      <c r="K689" t="s">
        <v>1280</v>
      </c>
      <c r="L689" t="s">
        <v>1280</v>
      </c>
      <c r="M689">
        <v>103426</v>
      </c>
      <c r="N689" t="s">
        <v>914</v>
      </c>
      <c r="O689" t="s">
        <v>25</v>
      </c>
      <c r="P689" t="s">
        <v>88</v>
      </c>
      <c r="Q689" t="s">
        <v>285</v>
      </c>
      <c r="R689" s="105">
        <f>IF(Table__192.168.1.150_Daily_Delinquency_With_Sectors[[#This Row],[Days in Arrears]] &gt; 0, Table__192.168.1.150_Daily_Delinquency_With_Sectors[[#This Row],[Outstanding Balance]],0)</f>
        <v>0</v>
      </c>
      <c r="S689" s="105">
        <f>IF(Table__192.168.1.150_Daily_Delinquency_With_Sectors[[#This Row],[Days in Arrears]] &gt; 30, Table__192.168.1.150_Daily_Delinquency_With_Sectors[[#This Row],[Outstanding Balance]],0)</f>
        <v>0</v>
      </c>
      <c r="T689" s="105">
        <f>IF(Table__192.168.1.150_Daily_Delinquency_With_Sectors[[#This Row],[Days in Arrears]] &gt; 90, Table__192.168.1.150_Daily_Delinquency_With_Sectors[[#This Row],[Outstanding Balance]],0)</f>
        <v>0</v>
      </c>
      <c r="U689" s="109">
        <f>IF(Table__192.168.1.150_Daily_Delinquency_With_Sectors[[#This Row],[Days in Arrears]] &gt;= 1,1,0)</f>
        <v>0</v>
      </c>
      <c r="V689" s="109">
        <f>IF(Table__192.168.1.150_Daily_Delinquency_With_Sectors[[#This Row],[Days in Arrears]] &gt; 30,1,0)</f>
        <v>0</v>
      </c>
      <c r="W689" s="109">
        <f>IF(Table__192.168.1.150_Daily_Delinquency_With_Sectors[[#This Row],[Days in Arrears]] &gt; 90,1,0)</f>
        <v>0</v>
      </c>
    </row>
    <row r="690" spans="1:23" x14ac:dyDescent="0.25">
      <c r="A690" t="s">
        <v>4763</v>
      </c>
      <c r="B690" t="s">
        <v>1279</v>
      </c>
      <c r="C690">
        <v>4</v>
      </c>
      <c r="D690" s="105">
        <v>1900391.41</v>
      </c>
      <c r="E690" t="s">
        <v>1039</v>
      </c>
      <c r="F690" s="105">
        <v>7131.78</v>
      </c>
      <c r="G690" s="105">
        <v>2196836.73</v>
      </c>
      <c r="H690" s="143">
        <v>43028.644662500003</v>
      </c>
      <c r="I690" s="143">
        <v>43271</v>
      </c>
      <c r="J690" t="s">
        <v>4764</v>
      </c>
      <c r="K690" t="s">
        <v>1280</v>
      </c>
      <c r="L690" t="s">
        <v>1280</v>
      </c>
      <c r="M690">
        <v>103427</v>
      </c>
      <c r="N690" t="s">
        <v>4761</v>
      </c>
      <c r="O690" t="s">
        <v>25</v>
      </c>
      <c r="P690" t="s">
        <v>88</v>
      </c>
      <c r="Q690" t="s">
        <v>285</v>
      </c>
      <c r="R690" s="105">
        <f>IF(Table__192.168.1.150_Daily_Delinquency_With_Sectors[[#This Row],[Days in Arrears]] &gt; 0, Table__192.168.1.150_Daily_Delinquency_With_Sectors[[#This Row],[Outstanding Balance]],0)</f>
        <v>1900391.41</v>
      </c>
      <c r="S690" s="105">
        <f>IF(Table__192.168.1.150_Daily_Delinquency_With_Sectors[[#This Row],[Days in Arrears]] &gt; 30, Table__192.168.1.150_Daily_Delinquency_With_Sectors[[#This Row],[Outstanding Balance]],0)</f>
        <v>0</v>
      </c>
      <c r="T690" s="105">
        <f>IF(Table__192.168.1.150_Daily_Delinquency_With_Sectors[[#This Row],[Days in Arrears]] &gt; 90, Table__192.168.1.150_Daily_Delinquency_With_Sectors[[#This Row],[Outstanding Balance]],0)</f>
        <v>0</v>
      </c>
      <c r="U690" s="109">
        <f>IF(Table__192.168.1.150_Daily_Delinquency_With_Sectors[[#This Row],[Days in Arrears]] &gt;= 1,1,0)</f>
        <v>1</v>
      </c>
      <c r="V690" s="109">
        <f>IF(Table__192.168.1.150_Daily_Delinquency_With_Sectors[[#This Row],[Days in Arrears]] &gt; 30,1,0)</f>
        <v>0</v>
      </c>
      <c r="W690" s="109">
        <f>IF(Table__192.168.1.150_Daily_Delinquency_With_Sectors[[#This Row],[Days in Arrears]] &gt; 90,1,0)</f>
        <v>0</v>
      </c>
    </row>
    <row r="691" spans="1:23" x14ac:dyDescent="0.25">
      <c r="A691" t="s">
        <v>5873</v>
      </c>
      <c r="B691" t="s">
        <v>1279</v>
      </c>
      <c r="C691">
        <v>-26</v>
      </c>
      <c r="D691" s="105">
        <v>2755863.53</v>
      </c>
      <c r="E691" t="s">
        <v>5385</v>
      </c>
      <c r="F691" s="105">
        <v>12401.39</v>
      </c>
      <c r="G691" s="105">
        <v>3412228.18</v>
      </c>
      <c r="H691" s="143">
        <v>43028.627366469904</v>
      </c>
      <c r="I691" s="143">
        <v>43332</v>
      </c>
      <c r="J691" t="s">
        <v>5874</v>
      </c>
      <c r="K691" t="s">
        <v>1280</v>
      </c>
      <c r="L691" t="s">
        <v>1280</v>
      </c>
      <c r="M691">
        <v>103428</v>
      </c>
      <c r="N691" t="s">
        <v>5869</v>
      </c>
      <c r="O691" t="s">
        <v>25</v>
      </c>
      <c r="P691" t="s">
        <v>88</v>
      </c>
      <c r="Q691" t="s">
        <v>285</v>
      </c>
      <c r="R691" s="105">
        <f>IF(Table__192.168.1.150_Daily_Delinquency_With_Sectors[[#This Row],[Days in Arrears]] &gt; 0, Table__192.168.1.150_Daily_Delinquency_With_Sectors[[#This Row],[Outstanding Balance]],0)</f>
        <v>0</v>
      </c>
      <c r="S691" s="105">
        <f>IF(Table__192.168.1.150_Daily_Delinquency_With_Sectors[[#This Row],[Days in Arrears]] &gt; 30, Table__192.168.1.150_Daily_Delinquency_With_Sectors[[#This Row],[Outstanding Balance]],0)</f>
        <v>0</v>
      </c>
      <c r="T691" s="105">
        <f>IF(Table__192.168.1.150_Daily_Delinquency_With_Sectors[[#This Row],[Days in Arrears]] &gt; 90, Table__192.168.1.150_Daily_Delinquency_With_Sectors[[#This Row],[Outstanding Balance]],0)</f>
        <v>0</v>
      </c>
      <c r="U691" s="109">
        <f>IF(Table__192.168.1.150_Daily_Delinquency_With_Sectors[[#This Row],[Days in Arrears]] &gt;= 1,1,0)</f>
        <v>0</v>
      </c>
      <c r="V691" s="109">
        <f>IF(Table__192.168.1.150_Daily_Delinquency_With_Sectors[[#This Row],[Days in Arrears]] &gt; 30,1,0)</f>
        <v>0</v>
      </c>
      <c r="W691" s="109">
        <f>IF(Table__192.168.1.150_Daily_Delinquency_With_Sectors[[#This Row],[Days in Arrears]] &gt; 90,1,0)</f>
        <v>0</v>
      </c>
    </row>
    <row r="692" spans="1:23" x14ac:dyDescent="0.25">
      <c r="A692" t="s">
        <v>3929</v>
      </c>
      <c r="B692" t="s">
        <v>1282</v>
      </c>
      <c r="C692">
        <v>-26</v>
      </c>
      <c r="D692" s="105">
        <v>9806193.8499999996</v>
      </c>
      <c r="E692" t="s">
        <v>2855</v>
      </c>
      <c r="F692" s="105">
        <v>39224.78</v>
      </c>
      <c r="G692" s="105">
        <v>11436643.07</v>
      </c>
      <c r="H692" s="143">
        <v>43028.712508252313</v>
      </c>
      <c r="I692" s="143">
        <v>43271</v>
      </c>
      <c r="J692" t="s">
        <v>3930</v>
      </c>
      <c r="K692" t="s">
        <v>3931</v>
      </c>
      <c r="L692" t="s">
        <v>3932</v>
      </c>
      <c r="M692">
        <v>103429</v>
      </c>
      <c r="N692" t="s">
        <v>3925</v>
      </c>
      <c r="O692" t="s">
        <v>44</v>
      </c>
      <c r="P692" t="s">
        <v>92</v>
      </c>
      <c r="Q692" t="s">
        <v>92</v>
      </c>
      <c r="R692" s="105">
        <f>IF(Table__192.168.1.150_Daily_Delinquency_With_Sectors[[#This Row],[Days in Arrears]] &gt; 0, Table__192.168.1.150_Daily_Delinquency_With_Sectors[[#This Row],[Outstanding Balance]],0)</f>
        <v>0</v>
      </c>
      <c r="S692" s="105">
        <f>IF(Table__192.168.1.150_Daily_Delinquency_With_Sectors[[#This Row],[Days in Arrears]] &gt; 30, Table__192.168.1.150_Daily_Delinquency_With_Sectors[[#This Row],[Outstanding Balance]],0)</f>
        <v>0</v>
      </c>
      <c r="T692" s="105">
        <f>IF(Table__192.168.1.150_Daily_Delinquency_With_Sectors[[#This Row],[Days in Arrears]] &gt; 90, Table__192.168.1.150_Daily_Delinquency_With_Sectors[[#This Row],[Outstanding Balance]],0)</f>
        <v>0</v>
      </c>
      <c r="U692" s="109">
        <f>IF(Table__192.168.1.150_Daily_Delinquency_With_Sectors[[#This Row],[Days in Arrears]] &gt;= 1,1,0)</f>
        <v>0</v>
      </c>
      <c r="V692" s="109">
        <f>IF(Table__192.168.1.150_Daily_Delinquency_With_Sectors[[#This Row],[Days in Arrears]] &gt; 30,1,0)</f>
        <v>0</v>
      </c>
      <c r="W692" s="109">
        <f>IF(Table__192.168.1.150_Daily_Delinquency_With_Sectors[[#This Row],[Days in Arrears]] &gt; 90,1,0)</f>
        <v>0</v>
      </c>
    </row>
    <row r="693" spans="1:23" x14ac:dyDescent="0.25">
      <c r="A693" t="s">
        <v>4621</v>
      </c>
      <c r="B693" t="s">
        <v>1282</v>
      </c>
      <c r="C693">
        <v>3</v>
      </c>
      <c r="D693" s="105">
        <v>6500000</v>
      </c>
      <c r="E693" t="s">
        <v>2494</v>
      </c>
      <c r="F693" s="105">
        <v>267065.71000000002</v>
      </c>
      <c r="G693" s="105">
        <v>8301955.4500000002</v>
      </c>
      <c r="H693" s="143">
        <v>43029.572978738426</v>
      </c>
      <c r="I693" s="143">
        <v>43394</v>
      </c>
      <c r="J693" t="s">
        <v>4622</v>
      </c>
      <c r="K693" t="s">
        <v>4623</v>
      </c>
      <c r="L693" t="s">
        <v>1280</v>
      </c>
      <c r="M693">
        <v>103430</v>
      </c>
      <c r="N693" t="s">
        <v>4618</v>
      </c>
      <c r="O693" t="s">
        <v>25</v>
      </c>
      <c r="P693" t="s">
        <v>88</v>
      </c>
      <c r="Q693" t="s">
        <v>26</v>
      </c>
      <c r="R693" s="105">
        <f>IF(Table__192.168.1.150_Daily_Delinquency_With_Sectors[[#This Row],[Days in Arrears]] &gt; 0, Table__192.168.1.150_Daily_Delinquency_With_Sectors[[#This Row],[Outstanding Balance]],0)</f>
        <v>6500000</v>
      </c>
      <c r="S693" s="105">
        <f>IF(Table__192.168.1.150_Daily_Delinquency_With_Sectors[[#This Row],[Days in Arrears]] &gt; 30, Table__192.168.1.150_Daily_Delinquency_With_Sectors[[#This Row],[Outstanding Balance]],0)</f>
        <v>0</v>
      </c>
      <c r="T693" s="105">
        <f>IF(Table__192.168.1.150_Daily_Delinquency_With_Sectors[[#This Row],[Days in Arrears]] &gt; 90, Table__192.168.1.150_Daily_Delinquency_With_Sectors[[#This Row],[Outstanding Balance]],0)</f>
        <v>0</v>
      </c>
      <c r="U693" s="109">
        <f>IF(Table__192.168.1.150_Daily_Delinquency_With_Sectors[[#This Row],[Days in Arrears]] &gt;= 1,1,0)</f>
        <v>1</v>
      </c>
      <c r="V693" s="109">
        <f>IF(Table__192.168.1.150_Daily_Delinquency_With_Sectors[[#This Row],[Days in Arrears]] &gt; 30,1,0)</f>
        <v>0</v>
      </c>
      <c r="W693" s="109">
        <f>IF(Table__192.168.1.150_Daily_Delinquency_With_Sectors[[#This Row],[Days in Arrears]] &gt; 90,1,0)</f>
        <v>0</v>
      </c>
    </row>
    <row r="694" spans="1:23" x14ac:dyDescent="0.25">
      <c r="A694" t="s">
        <v>4688</v>
      </c>
      <c r="B694" t="s">
        <v>1282</v>
      </c>
      <c r="C694">
        <v>3</v>
      </c>
      <c r="D694" s="105">
        <v>3500000</v>
      </c>
      <c r="E694" t="s">
        <v>1191</v>
      </c>
      <c r="F694" s="105">
        <v>139701.76000000001</v>
      </c>
      <c r="G694" s="105">
        <v>4466180.84</v>
      </c>
      <c r="H694" s="143">
        <v>43029.566491585647</v>
      </c>
      <c r="I694" s="143">
        <v>43394</v>
      </c>
      <c r="J694" t="s">
        <v>4689</v>
      </c>
      <c r="K694" t="s">
        <v>4690</v>
      </c>
      <c r="L694" t="s">
        <v>1280</v>
      </c>
      <c r="M694">
        <v>103431</v>
      </c>
      <c r="N694" t="s">
        <v>4687</v>
      </c>
      <c r="O694" t="s">
        <v>25</v>
      </c>
      <c r="P694" t="s">
        <v>88</v>
      </c>
      <c r="Q694" t="s">
        <v>285</v>
      </c>
      <c r="R694" s="105">
        <f>IF(Table__192.168.1.150_Daily_Delinquency_With_Sectors[[#This Row],[Days in Arrears]] &gt; 0, Table__192.168.1.150_Daily_Delinquency_With_Sectors[[#This Row],[Outstanding Balance]],0)</f>
        <v>3500000</v>
      </c>
      <c r="S694" s="105">
        <f>IF(Table__192.168.1.150_Daily_Delinquency_With_Sectors[[#This Row],[Days in Arrears]] &gt; 30, Table__192.168.1.150_Daily_Delinquency_With_Sectors[[#This Row],[Outstanding Balance]],0)</f>
        <v>0</v>
      </c>
      <c r="T694" s="105">
        <f>IF(Table__192.168.1.150_Daily_Delinquency_With_Sectors[[#This Row],[Days in Arrears]] &gt; 90, Table__192.168.1.150_Daily_Delinquency_With_Sectors[[#This Row],[Outstanding Balance]],0)</f>
        <v>0</v>
      </c>
      <c r="U694" s="109">
        <f>IF(Table__192.168.1.150_Daily_Delinquency_With_Sectors[[#This Row],[Days in Arrears]] &gt;= 1,1,0)</f>
        <v>1</v>
      </c>
      <c r="V694" s="109">
        <f>IF(Table__192.168.1.150_Daily_Delinquency_With_Sectors[[#This Row],[Days in Arrears]] &gt; 30,1,0)</f>
        <v>0</v>
      </c>
      <c r="W694" s="109">
        <f>IF(Table__192.168.1.150_Daily_Delinquency_With_Sectors[[#This Row],[Days in Arrears]] &gt; 90,1,0)</f>
        <v>0</v>
      </c>
    </row>
    <row r="695" spans="1:23" x14ac:dyDescent="0.25">
      <c r="A695" t="s">
        <v>5897</v>
      </c>
      <c r="B695" t="s">
        <v>1282</v>
      </c>
      <c r="C695">
        <v>-29</v>
      </c>
      <c r="D695" s="105">
        <v>2296552.9500000002</v>
      </c>
      <c r="E695" t="s">
        <v>3074</v>
      </c>
      <c r="F695" s="105">
        <v>112500</v>
      </c>
      <c r="G695" s="105">
        <v>2843523.52</v>
      </c>
      <c r="H695" s="143">
        <v>43031.460546030095</v>
      </c>
      <c r="I695" s="143">
        <v>43335</v>
      </c>
      <c r="J695" t="s">
        <v>5898</v>
      </c>
      <c r="K695" t="s">
        <v>5899</v>
      </c>
      <c r="L695" t="s">
        <v>1280</v>
      </c>
      <c r="M695">
        <v>103432</v>
      </c>
      <c r="N695" t="s">
        <v>5896</v>
      </c>
      <c r="O695" t="s">
        <v>29</v>
      </c>
      <c r="P695" t="s">
        <v>30</v>
      </c>
      <c r="Q695" t="s">
        <v>437</v>
      </c>
      <c r="R695" s="105">
        <f>IF(Table__192.168.1.150_Daily_Delinquency_With_Sectors[[#This Row],[Days in Arrears]] &gt; 0, Table__192.168.1.150_Daily_Delinquency_With_Sectors[[#This Row],[Outstanding Balance]],0)</f>
        <v>0</v>
      </c>
      <c r="S695" s="105">
        <f>IF(Table__192.168.1.150_Daily_Delinquency_With_Sectors[[#This Row],[Days in Arrears]] &gt; 30, Table__192.168.1.150_Daily_Delinquency_With_Sectors[[#This Row],[Outstanding Balance]],0)</f>
        <v>0</v>
      </c>
      <c r="T695" s="105">
        <f>IF(Table__192.168.1.150_Daily_Delinquency_With_Sectors[[#This Row],[Days in Arrears]] &gt; 90, Table__192.168.1.150_Daily_Delinquency_With_Sectors[[#This Row],[Outstanding Balance]],0)</f>
        <v>0</v>
      </c>
      <c r="U695" s="109">
        <f>IF(Table__192.168.1.150_Daily_Delinquency_With_Sectors[[#This Row],[Days in Arrears]] &gt;= 1,1,0)</f>
        <v>0</v>
      </c>
      <c r="V695" s="109">
        <f>IF(Table__192.168.1.150_Daily_Delinquency_With_Sectors[[#This Row],[Days in Arrears]] &gt; 30,1,0)</f>
        <v>0</v>
      </c>
      <c r="W695" s="109">
        <f>IF(Table__192.168.1.150_Daily_Delinquency_With_Sectors[[#This Row],[Days in Arrears]] &gt; 90,1,0)</f>
        <v>0</v>
      </c>
    </row>
    <row r="696" spans="1:23" x14ac:dyDescent="0.25">
      <c r="A696" t="s">
        <v>5900</v>
      </c>
      <c r="B696" t="s">
        <v>1282</v>
      </c>
      <c r="C696">
        <v>1</v>
      </c>
      <c r="D696" s="105">
        <v>2500000</v>
      </c>
      <c r="E696" t="s">
        <v>5124</v>
      </c>
      <c r="F696" s="105">
        <v>112500</v>
      </c>
      <c r="G696" s="105">
        <v>3159470.57</v>
      </c>
      <c r="H696" s="143">
        <v>43031.583880555554</v>
      </c>
      <c r="I696" s="143">
        <v>43335</v>
      </c>
      <c r="J696" t="s">
        <v>5901</v>
      </c>
      <c r="K696" t="s">
        <v>1280</v>
      </c>
      <c r="L696" t="s">
        <v>1280</v>
      </c>
      <c r="M696">
        <v>103433</v>
      </c>
      <c r="N696" t="s">
        <v>5890</v>
      </c>
      <c r="O696" t="s">
        <v>25</v>
      </c>
      <c r="P696" t="s">
        <v>88</v>
      </c>
      <c r="Q696" t="s">
        <v>285</v>
      </c>
      <c r="R696" s="105">
        <f>IF(Table__192.168.1.150_Daily_Delinquency_With_Sectors[[#This Row],[Days in Arrears]] &gt; 0, Table__192.168.1.150_Daily_Delinquency_With_Sectors[[#This Row],[Outstanding Balance]],0)</f>
        <v>2500000</v>
      </c>
      <c r="S696" s="105">
        <f>IF(Table__192.168.1.150_Daily_Delinquency_With_Sectors[[#This Row],[Days in Arrears]] &gt; 30, Table__192.168.1.150_Daily_Delinquency_With_Sectors[[#This Row],[Outstanding Balance]],0)</f>
        <v>0</v>
      </c>
      <c r="T696" s="105">
        <f>IF(Table__192.168.1.150_Daily_Delinquency_With_Sectors[[#This Row],[Days in Arrears]] &gt; 90, Table__192.168.1.150_Daily_Delinquency_With_Sectors[[#This Row],[Outstanding Balance]],0)</f>
        <v>0</v>
      </c>
      <c r="U696" s="109">
        <f>IF(Table__192.168.1.150_Daily_Delinquency_With_Sectors[[#This Row],[Days in Arrears]] &gt;= 1,1,0)</f>
        <v>1</v>
      </c>
      <c r="V696" s="109">
        <f>IF(Table__192.168.1.150_Daily_Delinquency_With_Sectors[[#This Row],[Days in Arrears]] &gt; 30,1,0)</f>
        <v>0</v>
      </c>
      <c r="W696" s="109">
        <f>IF(Table__192.168.1.150_Daily_Delinquency_With_Sectors[[#This Row],[Days in Arrears]] &gt; 90,1,0)</f>
        <v>0</v>
      </c>
    </row>
    <row r="697" spans="1:23" x14ac:dyDescent="0.25">
      <c r="A697" t="s">
        <v>5902</v>
      </c>
      <c r="B697" t="s">
        <v>1866</v>
      </c>
      <c r="C697">
        <v>-29</v>
      </c>
      <c r="D697" s="105">
        <v>6071530.0599999996</v>
      </c>
      <c r="E697" t="s">
        <v>2494</v>
      </c>
      <c r="F697" s="105">
        <v>270833.33</v>
      </c>
      <c r="G697" s="105">
        <v>7692335.9699999997</v>
      </c>
      <c r="H697" s="143">
        <v>43031.636988541664</v>
      </c>
      <c r="I697" s="143">
        <v>43396</v>
      </c>
      <c r="J697" t="s">
        <v>5903</v>
      </c>
      <c r="K697" t="s">
        <v>1280</v>
      </c>
      <c r="L697" t="s">
        <v>1280</v>
      </c>
      <c r="M697">
        <v>103434</v>
      </c>
      <c r="N697" t="s">
        <v>5891</v>
      </c>
      <c r="O697" t="s">
        <v>25</v>
      </c>
      <c r="P697" t="s">
        <v>88</v>
      </c>
      <c r="Q697" t="s">
        <v>285</v>
      </c>
      <c r="R697" s="105">
        <f>IF(Table__192.168.1.150_Daily_Delinquency_With_Sectors[[#This Row],[Days in Arrears]] &gt; 0, Table__192.168.1.150_Daily_Delinquency_With_Sectors[[#This Row],[Outstanding Balance]],0)</f>
        <v>0</v>
      </c>
      <c r="S697" s="105">
        <f>IF(Table__192.168.1.150_Daily_Delinquency_With_Sectors[[#This Row],[Days in Arrears]] &gt; 30, Table__192.168.1.150_Daily_Delinquency_With_Sectors[[#This Row],[Outstanding Balance]],0)</f>
        <v>0</v>
      </c>
      <c r="T697" s="105">
        <f>IF(Table__192.168.1.150_Daily_Delinquency_With_Sectors[[#This Row],[Days in Arrears]] &gt; 90, Table__192.168.1.150_Daily_Delinquency_With_Sectors[[#This Row],[Outstanding Balance]],0)</f>
        <v>0</v>
      </c>
      <c r="U697" s="109">
        <f>IF(Table__192.168.1.150_Daily_Delinquency_With_Sectors[[#This Row],[Days in Arrears]] &gt;= 1,1,0)</f>
        <v>0</v>
      </c>
      <c r="V697" s="109">
        <f>IF(Table__192.168.1.150_Daily_Delinquency_With_Sectors[[#This Row],[Days in Arrears]] &gt; 30,1,0)</f>
        <v>0</v>
      </c>
      <c r="W697" s="109">
        <f>IF(Table__192.168.1.150_Daily_Delinquency_With_Sectors[[#This Row],[Days in Arrears]] &gt; 90,1,0)</f>
        <v>0</v>
      </c>
    </row>
    <row r="698" spans="1:23" x14ac:dyDescent="0.25">
      <c r="A698" t="s">
        <v>5904</v>
      </c>
      <c r="B698" t="s">
        <v>1281</v>
      </c>
      <c r="C698">
        <v>-29</v>
      </c>
      <c r="D698" s="105">
        <v>23778666.73</v>
      </c>
      <c r="E698" t="s">
        <v>2861</v>
      </c>
      <c r="F698" s="105">
        <v>1120000</v>
      </c>
      <c r="G698" s="105">
        <v>26706666.359999999</v>
      </c>
      <c r="H698" s="143">
        <v>43031.669717395831</v>
      </c>
      <c r="I698" s="143">
        <v>43213</v>
      </c>
      <c r="J698" t="s">
        <v>5905</v>
      </c>
      <c r="K698" t="s">
        <v>1280</v>
      </c>
      <c r="L698" t="s">
        <v>1280</v>
      </c>
      <c r="M698">
        <v>103435</v>
      </c>
      <c r="N698" t="s">
        <v>5892</v>
      </c>
      <c r="O698" t="s">
        <v>25</v>
      </c>
      <c r="P698" t="s">
        <v>88</v>
      </c>
      <c r="Q698" t="s">
        <v>285</v>
      </c>
      <c r="R698" s="105">
        <f>IF(Table__192.168.1.150_Daily_Delinquency_With_Sectors[[#This Row],[Days in Arrears]] &gt; 0, Table__192.168.1.150_Daily_Delinquency_With_Sectors[[#This Row],[Outstanding Balance]],0)</f>
        <v>0</v>
      </c>
      <c r="S698" s="105">
        <f>IF(Table__192.168.1.150_Daily_Delinquency_With_Sectors[[#This Row],[Days in Arrears]] &gt; 30, Table__192.168.1.150_Daily_Delinquency_With_Sectors[[#This Row],[Outstanding Balance]],0)</f>
        <v>0</v>
      </c>
      <c r="T698" s="105">
        <f>IF(Table__192.168.1.150_Daily_Delinquency_With_Sectors[[#This Row],[Days in Arrears]] &gt; 90, Table__192.168.1.150_Daily_Delinquency_With_Sectors[[#This Row],[Outstanding Balance]],0)</f>
        <v>0</v>
      </c>
      <c r="U698" s="109">
        <f>IF(Table__192.168.1.150_Daily_Delinquency_With_Sectors[[#This Row],[Days in Arrears]] &gt;= 1,1,0)</f>
        <v>0</v>
      </c>
      <c r="V698" s="109">
        <f>IF(Table__192.168.1.150_Daily_Delinquency_With_Sectors[[#This Row],[Days in Arrears]] &gt; 30,1,0)</f>
        <v>0</v>
      </c>
      <c r="W698" s="109">
        <f>IF(Table__192.168.1.150_Daily_Delinquency_With_Sectors[[#This Row],[Days in Arrears]] &gt; 90,1,0)</f>
        <v>0</v>
      </c>
    </row>
    <row r="699" spans="1:23" x14ac:dyDescent="0.25">
      <c r="A699" t="s">
        <v>5906</v>
      </c>
      <c r="B699" t="s">
        <v>1281</v>
      </c>
      <c r="C699">
        <v>1</v>
      </c>
      <c r="D699" s="105">
        <v>18000000</v>
      </c>
      <c r="E699" t="s">
        <v>468</v>
      </c>
      <c r="F699" s="105">
        <v>630000</v>
      </c>
      <c r="G699" s="105">
        <v>22343001.030000001</v>
      </c>
      <c r="H699" s="143">
        <v>43031.534003009256</v>
      </c>
      <c r="I699" s="143">
        <v>43396</v>
      </c>
      <c r="J699" t="s">
        <v>5907</v>
      </c>
      <c r="K699" t="s">
        <v>5908</v>
      </c>
      <c r="L699" t="s">
        <v>1280</v>
      </c>
      <c r="M699">
        <v>103436</v>
      </c>
      <c r="N699" t="s">
        <v>5889</v>
      </c>
      <c r="O699" t="s">
        <v>25</v>
      </c>
      <c r="P699" t="s">
        <v>103</v>
      </c>
      <c r="Q699" t="s">
        <v>104</v>
      </c>
      <c r="R699" s="105">
        <f>IF(Table__192.168.1.150_Daily_Delinquency_With_Sectors[[#This Row],[Days in Arrears]] &gt; 0, Table__192.168.1.150_Daily_Delinquency_With_Sectors[[#This Row],[Outstanding Balance]],0)</f>
        <v>18000000</v>
      </c>
      <c r="S699" s="105">
        <f>IF(Table__192.168.1.150_Daily_Delinquency_With_Sectors[[#This Row],[Days in Arrears]] &gt; 30, Table__192.168.1.150_Daily_Delinquency_With_Sectors[[#This Row],[Outstanding Balance]],0)</f>
        <v>0</v>
      </c>
      <c r="T699" s="105">
        <f>IF(Table__192.168.1.150_Daily_Delinquency_With_Sectors[[#This Row],[Days in Arrears]] &gt; 90, Table__192.168.1.150_Daily_Delinquency_With_Sectors[[#This Row],[Outstanding Balance]],0)</f>
        <v>0</v>
      </c>
      <c r="U699" s="109">
        <f>IF(Table__192.168.1.150_Daily_Delinquency_With_Sectors[[#This Row],[Days in Arrears]] &gt;= 1,1,0)</f>
        <v>1</v>
      </c>
      <c r="V699" s="109">
        <f>IF(Table__192.168.1.150_Daily_Delinquency_With_Sectors[[#This Row],[Days in Arrears]] &gt; 30,1,0)</f>
        <v>0</v>
      </c>
      <c r="W699" s="109">
        <f>IF(Table__192.168.1.150_Daily_Delinquency_With_Sectors[[#This Row],[Days in Arrears]] &gt; 90,1,0)</f>
        <v>0</v>
      </c>
    </row>
    <row r="700" spans="1:23" x14ac:dyDescent="0.25">
      <c r="A700" t="s">
        <v>5923</v>
      </c>
      <c r="B700" t="s">
        <v>1279</v>
      </c>
      <c r="C700">
        <v>0</v>
      </c>
      <c r="D700" s="105">
        <v>4000000</v>
      </c>
      <c r="E700" t="s">
        <v>86</v>
      </c>
      <c r="F700" s="105">
        <v>154666.67000000001</v>
      </c>
      <c r="G700" s="105">
        <v>493163.78</v>
      </c>
      <c r="H700" s="143">
        <v>43032.714318715276</v>
      </c>
      <c r="I700" s="143">
        <v>43336</v>
      </c>
      <c r="J700" t="s">
        <v>5924</v>
      </c>
      <c r="K700" t="s">
        <v>5925</v>
      </c>
      <c r="L700" t="s">
        <v>1280</v>
      </c>
      <c r="M700">
        <v>103437</v>
      </c>
      <c r="N700" t="s">
        <v>5921</v>
      </c>
      <c r="O700" t="s">
        <v>25</v>
      </c>
      <c r="P700" t="s">
        <v>88</v>
      </c>
      <c r="Q700" t="s">
        <v>285</v>
      </c>
      <c r="R700" s="105">
        <f>IF(Table__192.168.1.150_Daily_Delinquency_With_Sectors[[#This Row],[Days in Arrears]] &gt; 0, Table__192.168.1.150_Daily_Delinquency_With_Sectors[[#This Row],[Outstanding Balance]],0)</f>
        <v>0</v>
      </c>
      <c r="S700" s="105">
        <f>IF(Table__192.168.1.150_Daily_Delinquency_With_Sectors[[#This Row],[Days in Arrears]] &gt; 30, Table__192.168.1.150_Daily_Delinquency_With_Sectors[[#This Row],[Outstanding Balance]],0)</f>
        <v>0</v>
      </c>
      <c r="T700" s="105">
        <f>IF(Table__192.168.1.150_Daily_Delinquency_With_Sectors[[#This Row],[Days in Arrears]] &gt; 90, Table__192.168.1.150_Daily_Delinquency_With_Sectors[[#This Row],[Outstanding Balance]],0)</f>
        <v>0</v>
      </c>
      <c r="U700" s="109">
        <f>IF(Table__192.168.1.150_Daily_Delinquency_With_Sectors[[#This Row],[Days in Arrears]] &gt;= 1,1,0)</f>
        <v>0</v>
      </c>
      <c r="V700" s="109">
        <f>IF(Table__192.168.1.150_Daily_Delinquency_With_Sectors[[#This Row],[Days in Arrears]] &gt; 30,1,0)</f>
        <v>0</v>
      </c>
      <c r="W700" s="109">
        <f>IF(Table__192.168.1.150_Daily_Delinquency_With_Sectors[[#This Row],[Days in Arrears]] &gt; 90,1,0)</f>
        <v>0</v>
      </c>
    </row>
    <row r="701" spans="1:23" x14ac:dyDescent="0.25">
      <c r="A701" t="s">
        <v>2086</v>
      </c>
      <c r="B701" t="s">
        <v>1284</v>
      </c>
      <c r="C701">
        <v>1</v>
      </c>
      <c r="D701" s="105">
        <v>10000000</v>
      </c>
      <c r="E701" t="s">
        <v>86</v>
      </c>
      <c r="F701" s="105">
        <v>300000</v>
      </c>
      <c r="G701" s="105">
        <v>12055450.27</v>
      </c>
      <c r="H701" s="143">
        <v>43031.701143020837</v>
      </c>
      <c r="I701" s="143">
        <v>43396</v>
      </c>
      <c r="J701" t="s">
        <v>2087</v>
      </c>
      <c r="K701" t="s">
        <v>2088</v>
      </c>
      <c r="L701" t="s">
        <v>1280</v>
      </c>
      <c r="M701">
        <v>103438</v>
      </c>
      <c r="N701" t="s">
        <v>2083</v>
      </c>
      <c r="O701" t="s">
        <v>25</v>
      </c>
      <c r="P701" t="s">
        <v>88</v>
      </c>
      <c r="Q701" t="s">
        <v>285</v>
      </c>
      <c r="R701" s="105">
        <f>IF(Table__192.168.1.150_Daily_Delinquency_With_Sectors[[#This Row],[Days in Arrears]] &gt; 0, Table__192.168.1.150_Daily_Delinquency_With_Sectors[[#This Row],[Outstanding Balance]],0)</f>
        <v>10000000</v>
      </c>
      <c r="S701" s="105">
        <f>IF(Table__192.168.1.150_Daily_Delinquency_With_Sectors[[#This Row],[Days in Arrears]] &gt; 30, Table__192.168.1.150_Daily_Delinquency_With_Sectors[[#This Row],[Outstanding Balance]],0)</f>
        <v>0</v>
      </c>
      <c r="T701" s="105">
        <f>IF(Table__192.168.1.150_Daily_Delinquency_With_Sectors[[#This Row],[Days in Arrears]] &gt; 90, Table__192.168.1.150_Daily_Delinquency_With_Sectors[[#This Row],[Outstanding Balance]],0)</f>
        <v>0</v>
      </c>
      <c r="U701" s="109">
        <f>IF(Table__192.168.1.150_Daily_Delinquency_With_Sectors[[#This Row],[Days in Arrears]] &gt;= 1,1,0)</f>
        <v>1</v>
      </c>
      <c r="V701" s="109">
        <f>IF(Table__192.168.1.150_Daily_Delinquency_With_Sectors[[#This Row],[Days in Arrears]] &gt; 30,1,0)</f>
        <v>0</v>
      </c>
      <c r="W701" s="109">
        <f>IF(Table__192.168.1.150_Daily_Delinquency_With_Sectors[[#This Row],[Days in Arrears]] &gt; 90,1,0)</f>
        <v>0</v>
      </c>
    </row>
    <row r="702" spans="1:23" x14ac:dyDescent="0.25">
      <c r="A702" t="s">
        <v>2167</v>
      </c>
      <c r="B702" t="s">
        <v>1282</v>
      </c>
      <c r="C702">
        <v>-8</v>
      </c>
      <c r="D702" s="105">
        <v>2500000</v>
      </c>
      <c r="E702" t="s">
        <v>1191</v>
      </c>
      <c r="F702" s="105">
        <v>86666.67</v>
      </c>
      <c r="G702" s="105">
        <v>268088</v>
      </c>
      <c r="H702" s="143">
        <v>43035.715470289353</v>
      </c>
      <c r="I702" s="143">
        <v>43406</v>
      </c>
      <c r="J702" t="s">
        <v>2168</v>
      </c>
      <c r="K702" t="s">
        <v>1280</v>
      </c>
      <c r="L702" t="s">
        <v>1280</v>
      </c>
      <c r="M702">
        <v>103439</v>
      </c>
      <c r="N702" t="s">
        <v>972</v>
      </c>
      <c r="O702" t="s">
        <v>25</v>
      </c>
      <c r="P702" t="s">
        <v>88</v>
      </c>
      <c r="Q702" t="s">
        <v>285</v>
      </c>
      <c r="R702" s="105">
        <f>IF(Table__192.168.1.150_Daily_Delinquency_With_Sectors[[#This Row],[Days in Arrears]] &gt; 0, Table__192.168.1.150_Daily_Delinquency_With_Sectors[[#This Row],[Outstanding Balance]],0)</f>
        <v>0</v>
      </c>
      <c r="S702" s="105">
        <f>IF(Table__192.168.1.150_Daily_Delinquency_With_Sectors[[#This Row],[Days in Arrears]] &gt; 30, Table__192.168.1.150_Daily_Delinquency_With_Sectors[[#This Row],[Outstanding Balance]],0)</f>
        <v>0</v>
      </c>
      <c r="T702" s="105">
        <f>IF(Table__192.168.1.150_Daily_Delinquency_With_Sectors[[#This Row],[Days in Arrears]] &gt; 90, Table__192.168.1.150_Daily_Delinquency_With_Sectors[[#This Row],[Outstanding Balance]],0)</f>
        <v>0</v>
      </c>
      <c r="U702" s="109">
        <f>IF(Table__192.168.1.150_Daily_Delinquency_With_Sectors[[#This Row],[Days in Arrears]] &gt;= 1,1,0)</f>
        <v>0</v>
      </c>
      <c r="V702" s="109">
        <f>IF(Table__192.168.1.150_Daily_Delinquency_With_Sectors[[#This Row],[Days in Arrears]] &gt; 30,1,0)</f>
        <v>0</v>
      </c>
      <c r="W702" s="109">
        <f>IF(Table__192.168.1.150_Daily_Delinquency_With_Sectors[[#This Row],[Days in Arrears]] &gt; 90,1,0)</f>
        <v>0</v>
      </c>
    </row>
    <row r="703" spans="1:23" x14ac:dyDescent="0.25">
      <c r="A703" t="s">
        <v>5926</v>
      </c>
      <c r="B703" t="s">
        <v>1282</v>
      </c>
      <c r="C703">
        <v>0</v>
      </c>
      <c r="D703" s="105">
        <v>3500000</v>
      </c>
      <c r="E703" t="s">
        <v>468</v>
      </c>
      <c r="F703" s="105">
        <v>152250</v>
      </c>
      <c r="G703" s="105">
        <v>530633.79</v>
      </c>
      <c r="H703" s="143">
        <v>43032.635776354167</v>
      </c>
      <c r="I703" s="143">
        <v>43275</v>
      </c>
      <c r="J703" t="s">
        <v>5927</v>
      </c>
      <c r="K703" t="s">
        <v>5928</v>
      </c>
      <c r="L703" t="s">
        <v>1280</v>
      </c>
      <c r="M703">
        <v>103440</v>
      </c>
      <c r="N703" t="s">
        <v>5918</v>
      </c>
      <c r="O703" t="s">
        <v>25</v>
      </c>
      <c r="P703" t="s">
        <v>88</v>
      </c>
      <c r="Q703" t="s">
        <v>285</v>
      </c>
      <c r="R703" s="105">
        <f>IF(Table__192.168.1.150_Daily_Delinquency_With_Sectors[[#This Row],[Days in Arrears]] &gt; 0, Table__192.168.1.150_Daily_Delinquency_With_Sectors[[#This Row],[Outstanding Balance]],0)</f>
        <v>0</v>
      </c>
      <c r="S703" s="105">
        <f>IF(Table__192.168.1.150_Daily_Delinquency_With_Sectors[[#This Row],[Days in Arrears]] &gt; 30, Table__192.168.1.150_Daily_Delinquency_With_Sectors[[#This Row],[Outstanding Balance]],0)</f>
        <v>0</v>
      </c>
      <c r="T703" s="105">
        <f>IF(Table__192.168.1.150_Daily_Delinquency_With_Sectors[[#This Row],[Days in Arrears]] &gt; 90, Table__192.168.1.150_Daily_Delinquency_With_Sectors[[#This Row],[Outstanding Balance]],0)</f>
        <v>0</v>
      </c>
      <c r="U703" s="109">
        <f>IF(Table__192.168.1.150_Daily_Delinquency_With_Sectors[[#This Row],[Days in Arrears]] &gt;= 1,1,0)</f>
        <v>0</v>
      </c>
      <c r="V703" s="109">
        <f>IF(Table__192.168.1.150_Daily_Delinquency_With_Sectors[[#This Row],[Days in Arrears]] &gt; 30,1,0)</f>
        <v>0</v>
      </c>
      <c r="W703" s="109">
        <f>IF(Table__192.168.1.150_Daily_Delinquency_With_Sectors[[#This Row],[Days in Arrears]] &gt; 90,1,0)</f>
        <v>0</v>
      </c>
    </row>
    <row r="704" spans="1:23" x14ac:dyDescent="0.25">
      <c r="A704" t="s">
        <v>5929</v>
      </c>
      <c r="B704" t="s">
        <v>1279</v>
      </c>
      <c r="C704">
        <v>0</v>
      </c>
      <c r="D704" s="105">
        <v>1800000</v>
      </c>
      <c r="E704" t="s">
        <v>5385</v>
      </c>
      <c r="F704" s="105">
        <v>78300</v>
      </c>
      <c r="G704" s="105">
        <v>272897.38</v>
      </c>
      <c r="H704" s="143">
        <v>43032.747680057873</v>
      </c>
      <c r="I704" s="143">
        <v>43275</v>
      </c>
      <c r="J704" t="s">
        <v>5930</v>
      </c>
      <c r="K704" t="s">
        <v>1280</v>
      </c>
      <c r="L704" t="s">
        <v>1280</v>
      </c>
      <c r="M704">
        <v>103441</v>
      </c>
      <c r="N704" t="s">
        <v>5917</v>
      </c>
      <c r="O704" t="s">
        <v>25</v>
      </c>
      <c r="P704" t="s">
        <v>94</v>
      </c>
      <c r="Q704" t="s">
        <v>1826</v>
      </c>
      <c r="R704" s="105">
        <f>IF(Table__192.168.1.150_Daily_Delinquency_With_Sectors[[#This Row],[Days in Arrears]] &gt; 0, Table__192.168.1.150_Daily_Delinquency_With_Sectors[[#This Row],[Outstanding Balance]],0)</f>
        <v>0</v>
      </c>
      <c r="S704" s="105">
        <f>IF(Table__192.168.1.150_Daily_Delinquency_With_Sectors[[#This Row],[Days in Arrears]] &gt; 30, Table__192.168.1.150_Daily_Delinquency_With_Sectors[[#This Row],[Outstanding Balance]],0)</f>
        <v>0</v>
      </c>
      <c r="T704" s="105">
        <f>IF(Table__192.168.1.150_Daily_Delinquency_With_Sectors[[#This Row],[Days in Arrears]] &gt; 90, Table__192.168.1.150_Daily_Delinquency_With_Sectors[[#This Row],[Outstanding Balance]],0)</f>
        <v>0</v>
      </c>
      <c r="U704" s="109">
        <f>IF(Table__192.168.1.150_Daily_Delinquency_With_Sectors[[#This Row],[Days in Arrears]] &gt;= 1,1,0)</f>
        <v>0</v>
      </c>
      <c r="V704" s="109">
        <f>IF(Table__192.168.1.150_Daily_Delinquency_With_Sectors[[#This Row],[Days in Arrears]] &gt; 30,1,0)</f>
        <v>0</v>
      </c>
      <c r="W704" s="109">
        <f>IF(Table__192.168.1.150_Daily_Delinquency_With_Sectors[[#This Row],[Days in Arrears]] &gt; 90,1,0)</f>
        <v>0</v>
      </c>
    </row>
    <row r="705" spans="1:23" x14ac:dyDescent="0.25">
      <c r="A705" t="s">
        <v>5945</v>
      </c>
      <c r="B705" t="s">
        <v>1281</v>
      </c>
      <c r="C705">
        <v>-1</v>
      </c>
      <c r="D705" s="105">
        <v>16000000</v>
      </c>
      <c r="E705" t="s">
        <v>1039</v>
      </c>
      <c r="F705" s="105">
        <v>522666.67</v>
      </c>
      <c r="G705" s="105">
        <v>1923861.89</v>
      </c>
      <c r="H705" s="143">
        <v>43033.586344363423</v>
      </c>
      <c r="I705" s="143">
        <v>43337</v>
      </c>
      <c r="J705" t="s">
        <v>5946</v>
      </c>
      <c r="K705" t="s">
        <v>5947</v>
      </c>
      <c r="L705" t="s">
        <v>1280</v>
      </c>
      <c r="M705">
        <v>103442</v>
      </c>
      <c r="N705" t="s">
        <v>5943</v>
      </c>
      <c r="O705" t="s">
        <v>25</v>
      </c>
      <c r="P705" t="s">
        <v>88</v>
      </c>
      <c r="Q705" t="s">
        <v>285</v>
      </c>
      <c r="R705" s="105">
        <f>IF(Table__192.168.1.150_Daily_Delinquency_With_Sectors[[#This Row],[Days in Arrears]] &gt; 0, Table__192.168.1.150_Daily_Delinquency_With_Sectors[[#This Row],[Outstanding Balance]],0)</f>
        <v>0</v>
      </c>
      <c r="S705" s="105">
        <f>IF(Table__192.168.1.150_Daily_Delinquency_With_Sectors[[#This Row],[Days in Arrears]] &gt; 30, Table__192.168.1.150_Daily_Delinquency_With_Sectors[[#This Row],[Outstanding Balance]],0)</f>
        <v>0</v>
      </c>
      <c r="T705" s="105">
        <f>IF(Table__192.168.1.150_Daily_Delinquency_With_Sectors[[#This Row],[Days in Arrears]] &gt; 90, Table__192.168.1.150_Daily_Delinquency_With_Sectors[[#This Row],[Outstanding Balance]],0)</f>
        <v>0</v>
      </c>
      <c r="U705" s="109">
        <f>IF(Table__192.168.1.150_Daily_Delinquency_With_Sectors[[#This Row],[Days in Arrears]] &gt;= 1,1,0)</f>
        <v>0</v>
      </c>
      <c r="V705" s="109">
        <f>IF(Table__192.168.1.150_Daily_Delinquency_With_Sectors[[#This Row],[Days in Arrears]] &gt; 30,1,0)</f>
        <v>0</v>
      </c>
      <c r="W705" s="109">
        <f>IF(Table__192.168.1.150_Daily_Delinquency_With_Sectors[[#This Row],[Days in Arrears]] &gt; 90,1,0)</f>
        <v>0</v>
      </c>
    </row>
    <row r="706" spans="1:23" x14ac:dyDescent="0.25">
      <c r="A706" t="s">
        <v>4568</v>
      </c>
      <c r="B706" t="s">
        <v>1279</v>
      </c>
      <c r="C706">
        <v>-1</v>
      </c>
      <c r="D706" s="105">
        <v>1500000</v>
      </c>
      <c r="E706" t="s">
        <v>2494</v>
      </c>
      <c r="F706" s="105">
        <v>54000</v>
      </c>
      <c r="G706" s="105">
        <v>285776</v>
      </c>
      <c r="H706" s="143">
        <v>43034.504942395833</v>
      </c>
      <c r="I706" s="143">
        <v>43215</v>
      </c>
      <c r="J706" t="s">
        <v>4569</v>
      </c>
      <c r="K706" t="s">
        <v>1280</v>
      </c>
      <c r="L706" t="s">
        <v>1280</v>
      </c>
      <c r="M706">
        <v>103443</v>
      </c>
      <c r="N706" t="s">
        <v>4565</v>
      </c>
      <c r="O706" t="s">
        <v>25</v>
      </c>
      <c r="P706" t="s">
        <v>88</v>
      </c>
      <c r="Q706" t="s">
        <v>285</v>
      </c>
      <c r="R706" s="105">
        <f>IF(Table__192.168.1.150_Daily_Delinquency_With_Sectors[[#This Row],[Days in Arrears]] &gt; 0, Table__192.168.1.150_Daily_Delinquency_With_Sectors[[#This Row],[Outstanding Balance]],0)</f>
        <v>0</v>
      </c>
      <c r="S706" s="105">
        <f>IF(Table__192.168.1.150_Daily_Delinquency_With_Sectors[[#This Row],[Days in Arrears]] &gt; 30, Table__192.168.1.150_Daily_Delinquency_With_Sectors[[#This Row],[Outstanding Balance]],0)</f>
        <v>0</v>
      </c>
      <c r="T706" s="105">
        <f>IF(Table__192.168.1.150_Daily_Delinquency_With_Sectors[[#This Row],[Days in Arrears]] &gt; 90, Table__192.168.1.150_Daily_Delinquency_With_Sectors[[#This Row],[Outstanding Balance]],0)</f>
        <v>0</v>
      </c>
      <c r="U706" s="109">
        <f>IF(Table__192.168.1.150_Daily_Delinquency_With_Sectors[[#This Row],[Days in Arrears]] &gt;= 1,1,0)</f>
        <v>0</v>
      </c>
      <c r="V706" s="109">
        <f>IF(Table__192.168.1.150_Daily_Delinquency_With_Sectors[[#This Row],[Days in Arrears]] &gt; 30,1,0)</f>
        <v>0</v>
      </c>
      <c r="W706" s="109">
        <f>IF(Table__192.168.1.150_Daily_Delinquency_With_Sectors[[#This Row],[Days in Arrears]] &gt; 90,1,0)</f>
        <v>0</v>
      </c>
    </row>
    <row r="707" spans="1:23" x14ac:dyDescent="0.25">
      <c r="A707" t="s">
        <v>1958</v>
      </c>
      <c r="B707" t="s">
        <v>1286</v>
      </c>
      <c r="C707">
        <v>-27</v>
      </c>
      <c r="D707" s="105">
        <v>3358058</v>
      </c>
      <c r="E707" t="s">
        <v>284</v>
      </c>
      <c r="F707" s="105">
        <v>4663.97</v>
      </c>
      <c r="G707" s="105">
        <v>3570821.13</v>
      </c>
      <c r="H707" s="143">
        <v>43033.706176122687</v>
      </c>
      <c r="I707" s="143">
        <v>43211</v>
      </c>
      <c r="J707" t="s">
        <v>1959</v>
      </c>
      <c r="K707" t="s">
        <v>1280</v>
      </c>
      <c r="L707" t="s">
        <v>1280</v>
      </c>
      <c r="M707">
        <v>103444</v>
      </c>
      <c r="N707" t="s">
        <v>1747</v>
      </c>
      <c r="O707" t="s">
        <v>28</v>
      </c>
      <c r="P707" t="s">
        <v>26</v>
      </c>
      <c r="Q707" t="s">
        <v>26</v>
      </c>
      <c r="R707" s="105">
        <f>IF(Table__192.168.1.150_Daily_Delinquency_With_Sectors[[#This Row],[Days in Arrears]] &gt; 0, Table__192.168.1.150_Daily_Delinquency_With_Sectors[[#This Row],[Outstanding Balance]],0)</f>
        <v>0</v>
      </c>
      <c r="S707" s="105">
        <f>IF(Table__192.168.1.150_Daily_Delinquency_With_Sectors[[#This Row],[Days in Arrears]] &gt; 30, Table__192.168.1.150_Daily_Delinquency_With_Sectors[[#This Row],[Outstanding Balance]],0)</f>
        <v>0</v>
      </c>
      <c r="T707" s="105">
        <f>IF(Table__192.168.1.150_Daily_Delinquency_With_Sectors[[#This Row],[Days in Arrears]] &gt; 90, Table__192.168.1.150_Daily_Delinquency_With_Sectors[[#This Row],[Outstanding Balance]],0)</f>
        <v>0</v>
      </c>
      <c r="U707" s="109">
        <f>IF(Table__192.168.1.150_Daily_Delinquency_With_Sectors[[#This Row],[Days in Arrears]] &gt;= 1,1,0)</f>
        <v>0</v>
      </c>
      <c r="V707" s="109">
        <f>IF(Table__192.168.1.150_Daily_Delinquency_With_Sectors[[#This Row],[Days in Arrears]] &gt; 30,1,0)</f>
        <v>0</v>
      </c>
      <c r="W707" s="109">
        <f>IF(Table__192.168.1.150_Daily_Delinquency_With_Sectors[[#This Row],[Days in Arrears]] &gt; 90,1,0)</f>
        <v>0</v>
      </c>
    </row>
    <row r="708" spans="1:23" x14ac:dyDescent="0.25">
      <c r="A708" t="s">
        <v>5960</v>
      </c>
      <c r="B708" t="s">
        <v>1282</v>
      </c>
      <c r="C708">
        <v>-8</v>
      </c>
      <c r="D708" s="105">
        <v>9000000</v>
      </c>
      <c r="E708" t="s">
        <v>468</v>
      </c>
      <c r="F708" s="105">
        <v>351000</v>
      </c>
      <c r="G708" s="105">
        <v>994079.4</v>
      </c>
      <c r="H708" s="143">
        <v>43035.561631793978</v>
      </c>
      <c r="I708" s="143">
        <v>43406</v>
      </c>
      <c r="J708" t="s">
        <v>5961</v>
      </c>
      <c r="K708" t="s">
        <v>5962</v>
      </c>
      <c r="L708" t="s">
        <v>1280</v>
      </c>
      <c r="M708">
        <v>103445</v>
      </c>
      <c r="N708" t="s">
        <v>5957</v>
      </c>
      <c r="O708" t="s">
        <v>29</v>
      </c>
      <c r="P708" t="s">
        <v>30</v>
      </c>
      <c r="Q708" t="s">
        <v>1819</v>
      </c>
      <c r="R708" s="105">
        <f>IF(Table__192.168.1.150_Daily_Delinquency_With_Sectors[[#This Row],[Days in Arrears]] &gt; 0, Table__192.168.1.150_Daily_Delinquency_With_Sectors[[#This Row],[Outstanding Balance]],0)</f>
        <v>0</v>
      </c>
      <c r="S708" s="105">
        <f>IF(Table__192.168.1.150_Daily_Delinquency_With_Sectors[[#This Row],[Days in Arrears]] &gt; 30, Table__192.168.1.150_Daily_Delinquency_With_Sectors[[#This Row],[Outstanding Balance]],0)</f>
        <v>0</v>
      </c>
      <c r="T708" s="105">
        <f>IF(Table__192.168.1.150_Daily_Delinquency_With_Sectors[[#This Row],[Days in Arrears]] &gt; 90, Table__192.168.1.150_Daily_Delinquency_With_Sectors[[#This Row],[Outstanding Balance]],0)</f>
        <v>0</v>
      </c>
      <c r="U708" s="109">
        <f>IF(Table__192.168.1.150_Daily_Delinquency_With_Sectors[[#This Row],[Days in Arrears]] &gt;= 1,1,0)</f>
        <v>0</v>
      </c>
      <c r="V708" s="109">
        <f>IF(Table__192.168.1.150_Daily_Delinquency_With_Sectors[[#This Row],[Days in Arrears]] &gt; 30,1,0)</f>
        <v>0</v>
      </c>
      <c r="W708" s="109">
        <f>IF(Table__192.168.1.150_Daily_Delinquency_With_Sectors[[#This Row],[Days in Arrears]] &gt; 90,1,0)</f>
        <v>0</v>
      </c>
    </row>
    <row r="709" spans="1:23" x14ac:dyDescent="0.25">
      <c r="A709" t="s">
        <v>5963</v>
      </c>
      <c r="B709" t="s">
        <v>1282</v>
      </c>
      <c r="C709">
        <v>-8</v>
      </c>
      <c r="D709" s="105">
        <v>3000000</v>
      </c>
      <c r="E709" t="s">
        <v>5491</v>
      </c>
      <c r="F709" s="105">
        <v>117000</v>
      </c>
      <c r="G709" s="105">
        <v>381857.54</v>
      </c>
      <c r="H709" s="143">
        <v>43035.696272719906</v>
      </c>
      <c r="I709" s="143">
        <v>43345</v>
      </c>
      <c r="J709" t="s">
        <v>5964</v>
      </c>
      <c r="K709" t="s">
        <v>1280</v>
      </c>
      <c r="L709" t="s">
        <v>1280</v>
      </c>
      <c r="M709">
        <v>103446</v>
      </c>
      <c r="N709" t="s">
        <v>5956</v>
      </c>
      <c r="O709" t="s">
        <v>44</v>
      </c>
      <c r="P709" t="s">
        <v>75</v>
      </c>
      <c r="Q709" t="s">
        <v>1442</v>
      </c>
      <c r="R709" s="105">
        <f>IF(Table__192.168.1.150_Daily_Delinquency_With_Sectors[[#This Row],[Days in Arrears]] &gt; 0, Table__192.168.1.150_Daily_Delinquency_With_Sectors[[#This Row],[Outstanding Balance]],0)</f>
        <v>0</v>
      </c>
      <c r="S709" s="105">
        <f>IF(Table__192.168.1.150_Daily_Delinquency_With_Sectors[[#This Row],[Days in Arrears]] &gt; 30, Table__192.168.1.150_Daily_Delinquency_With_Sectors[[#This Row],[Outstanding Balance]],0)</f>
        <v>0</v>
      </c>
      <c r="T709" s="105">
        <f>IF(Table__192.168.1.150_Daily_Delinquency_With_Sectors[[#This Row],[Days in Arrears]] &gt; 90, Table__192.168.1.150_Daily_Delinquency_With_Sectors[[#This Row],[Outstanding Balance]],0)</f>
        <v>0</v>
      </c>
      <c r="U709" s="109">
        <f>IF(Table__192.168.1.150_Daily_Delinquency_With_Sectors[[#This Row],[Days in Arrears]] &gt;= 1,1,0)</f>
        <v>0</v>
      </c>
      <c r="V709" s="109">
        <f>IF(Table__192.168.1.150_Daily_Delinquency_With_Sectors[[#This Row],[Days in Arrears]] &gt; 30,1,0)</f>
        <v>0</v>
      </c>
      <c r="W709" s="109">
        <f>IF(Table__192.168.1.150_Daily_Delinquency_With_Sectors[[#This Row],[Days in Arrears]] &gt; 90,1,0)</f>
        <v>0</v>
      </c>
    </row>
    <row r="710" spans="1:23" x14ac:dyDescent="0.25">
      <c r="A710" t="s">
        <v>5975</v>
      </c>
      <c r="B710" t="s">
        <v>1282</v>
      </c>
      <c r="C710">
        <v>-8</v>
      </c>
      <c r="D710" s="105">
        <v>6000000</v>
      </c>
      <c r="E710" t="s">
        <v>5352</v>
      </c>
      <c r="F710" s="105">
        <v>207000</v>
      </c>
      <c r="G710" s="105">
        <v>760449.79</v>
      </c>
      <c r="H710" s="143">
        <v>43039.617964895835</v>
      </c>
      <c r="I710" s="143">
        <v>43345</v>
      </c>
      <c r="J710" t="s">
        <v>5976</v>
      </c>
      <c r="K710" t="s">
        <v>1280</v>
      </c>
      <c r="L710" t="s">
        <v>1280</v>
      </c>
      <c r="M710">
        <v>103447</v>
      </c>
      <c r="N710" t="s">
        <v>5972</v>
      </c>
      <c r="O710" t="s">
        <v>25</v>
      </c>
      <c r="P710" t="s">
        <v>88</v>
      </c>
      <c r="Q710" t="s">
        <v>285</v>
      </c>
      <c r="R710" s="105">
        <f>IF(Table__192.168.1.150_Daily_Delinquency_With_Sectors[[#This Row],[Days in Arrears]] &gt; 0, Table__192.168.1.150_Daily_Delinquency_With_Sectors[[#This Row],[Outstanding Balance]],0)</f>
        <v>0</v>
      </c>
      <c r="S710" s="105">
        <f>IF(Table__192.168.1.150_Daily_Delinquency_With_Sectors[[#This Row],[Days in Arrears]] &gt; 30, Table__192.168.1.150_Daily_Delinquency_With_Sectors[[#This Row],[Outstanding Balance]],0)</f>
        <v>0</v>
      </c>
      <c r="T710" s="105">
        <f>IF(Table__192.168.1.150_Daily_Delinquency_With_Sectors[[#This Row],[Days in Arrears]] &gt; 90, Table__192.168.1.150_Daily_Delinquency_With_Sectors[[#This Row],[Outstanding Balance]],0)</f>
        <v>0</v>
      </c>
      <c r="U710" s="109">
        <f>IF(Table__192.168.1.150_Daily_Delinquency_With_Sectors[[#This Row],[Days in Arrears]] &gt;= 1,1,0)</f>
        <v>0</v>
      </c>
      <c r="V710" s="109">
        <f>IF(Table__192.168.1.150_Daily_Delinquency_With_Sectors[[#This Row],[Days in Arrears]] &gt; 30,1,0)</f>
        <v>0</v>
      </c>
      <c r="W710" s="109">
        <f>IF(Table__192.168.1.150_Daily_Delinquency_With_Sectors[[#This Row],[Days in Arrears]] &gt; 90,1,0)</f>
        <v>0</v>
      </c>
    </row>
    <row r="711" spans="1:23" x14ac:dyDescent="0.25">
      <c r="A711" t="s">
        <v>4466</v>
      </c>
      <c r="B711" t="s">
        <v>1279</v>
      </c>
      <c r="C711">
        <v>-8</v>
      </c>
      <c r="D711" s="105">
        <v>2000000</v>
      </c>
      <c r="E711" t="s">
        <v>5124</v>
      </c>
      <c r="F711" s="105">
        <v>61333.33</v>
      </c>
      <c r="G711" s="105">
        <v>247214.15</v>
      </c>
      <c r="H711" s="143">
        <v>43039.540177314811</v>
      </c>
      <c r="I711" s="143">
        <v>43345</v>
      </c>
      <c r="J711" t="s">
        <v>4467</v>
      </c>
      <c r="K711" t="s">
        <v>1280</v>
      </c>
      <c r="L711" t="s">
        <v>1280</v>
      </c>
      <c r="M711">
        <v>103449</v>
      </c>
      <c r="N711" t="s">
        <v>4465</v>
      </c>
      <c r="O711" t="s">
        <v>25</v>
      </c>
      <c r="P711" t="s">
        <v>88</v>
      </c>
      <c r="Q711" t="s">
        <v>26</v>
      </c>
      <c r="R711" s="105">
        <f>IF(Table__192.168.1.150_Daily_Delinquency_With_Sectors[[#This Row],[Days in Arrears]] &gt; 0, Table__192.168.1.150_Daily_Delinquency_With_Sectors[[#This Row],[Outstanding Balance]],0)</f>
        <v>0</v>
      </c>
      <c r="S711" s="105">
        <f>IF(Table__192.168.1.150_Daily_Delinquency_With_Sectors[[#This Row],[Days in Arrears]] &gt; 30, Table__192.168.1.150_Daily_Delinquency_With_Sectors[[#This Row],[Outstanding Balance]],0)</f>
        <v>0</v>
      </c>
      <c r="T711" s="105">
        <f>IF(Table__192.168.1.150_Daily_Delinquency_With_Sectors[[#This Row],[Days in Arrears]] &gt; 90, Table__192.168.1.150_Daily_Delinquency_With_Sectors[[#This Row],[Outstanding Balance]],0)</f>
        <v>0</v>
      </c>
      <c r="U711" s="109">
        <f>IF(Table__192.168.1.150_Daily_Delinquency_With_Sectors[[#This Row],[Days in Arrears]] &gt;= 1,1,0)</f>
        <v>0</v>
      </c>
      <c r="V711" s="109">
        <f>IF(Table__192.168.1.150_Daily_Delinquency_With_Sectors[[#This Row],[Days in Arrears]] &gt; 30,1,0)</f>
        <v>0</v>
      </c>
      <c r="W711" s="109">
        <f>IF(Table__192.168.1.150_Daily_Delinquency_With_Sectors[[#This Row],[Days in Arrears]] &gt; 90,1,0)</f>
        <v>0</v>
      </c>
    </row>
    <row r="712" spans="1:23" x14ac:dyDescent="0.25">
      <c r="A712" t="s">
        <v>5977</v>
      </c>
      <c r="B712" t="s">
        <v>1282</v>
      </c>
      <c r="C712">
        <v>-8</v>
      </c>
      <c r="D712" s="105">
        <v>1200000</v>
      </c>
      <c r="E712" t="s">
        <v>5124</v>
      </c>
      <c r="F712" s="105">
        <v>41400</v>
      </c>
      <c r="G712" s="105">
        <v>233321.97</v>
      </c>
      <c r="H712" s="143">
        <v>43039.546280127317</v>
      </c>
      <c r="I712" s="143">
        <v>43222</v>
      </c>
      <c r="J712" t="s">
        <v>5978</v>
      </c>
      <c r="K712" t="s">
        <v>5979</v>
      </c>
      <c r="L712" t="s">
        <v>1280</v>
      </c>
      <c r="M712">
        <v>103450</v>
      </c>
      <c r="N712" t="s">
        <v>5968</v>
      </c>
      <c r="O712" t="s">
        <v>25</v>
      </c>
      <c r="P712" t="s">
        <v>88</v>
      </c>
      <c r="Q712" t="s">
        <v>285</v>
      </c>
      <c r="R712" s="105">
        <f>IF(Table__192.168.1.150_Daily_Delinquency_With_Sectors[[#This Row],[Days in Arrears]] &gt; 0, Table__192.168.1.150_Daily_Delinquency_With_Sectors[[#This Row],[Outstanding Balance]],0)</f>
        <v>0</v>
      </c>
      <c r="S712" s="105">
        <f>IF(Table__192.168.1.150_Daily_Delinquency_With_Sectors[[#This Row],[Days in Arrears]] &gt; 30, Table__192.168.1.150_Daily_Delinquency_With_Sectors[[#This Row],[Outstanding Balance]],0)</f>
        <v>0</v>
      </c>
      <c r="T712" s="105">
        <f>IF(Table__192.168.1.150_Daily_Delinquency_With_Sectors[[#This Row],[Days in Arrears]] &gt; 90, Table__192.168.1.150_Daily_Delinquency_With_Sectors[[#This Row],[Outstanding Balance]],0)</f>
        <v>0</v>
      </c>
      <c r="U712" s="109">
        <f>IF(Table__192.168.1.150_Daily_Delinquency_With_Sectors[[#This Row],[Days in Arrears]] &gt;= 1,1,0)</f>
        <v>0</v>
      </c>
      <c r="V712" s="109">
        <f>IF(Table__192.168.1.150_Daily_Delinquency_With_Sectors[[#This Row],[Days in Arrears]] &gt; 30,1,0)</f>
        <v>0</v>
      </c>
      <c r="W712" s="109">
        <f>IF(Table__192.168.1.150_Daily_Delinquency_With_Sectors[[#This Row],[Days in Arrears]] &gt; 90,1,0)</f>
        <v>0</v>
      </c>
    </row>
    <row r="713" spans="1:23" x14ac:dyDescent="0.25">
      <c r="A713" t="s">
        <v>5980</v>
      </c>
      <c r="B713" t="s">
        <v>1286</v>
      </c>
      <c r="C713">
        <v>-27</v>
      </c>
      <c r="D713" s="105">
        <v>753039.43</v>
      </c>
      <c r="E713" t="s">
        <v>284</v>
      </c>
      <c r="F713" s="105">
        <v>1045.8900000000001</v>
      </c>
      <c r="G713" s="105">
        <v>784631.71</v>
      </c>
      <c r="H713" s="143">
        <v>43039.655609571761</v>
      </c>
      <c r="I713" s="143">
        <v>43152</v>
      </c>
      <c r="J713" t="s">
        <v>5981</v>
      </c>
      <c r="K713" t="s">
        <v>5982</v>
      </c>
      <c r="L713" t="s">
        <v>1280</v>
      </c>
      <c r="M713">
        <v>103451</v>
      </c>
      <c r="N713" t="s">
        <v>5974</v>
      </c>
      <c r="O713" t="s">
        <v>28</v>
      </c>
      <c r="P713" t="s">
        <v>26</v>
      </c>
      <c r="Q713" t="s">
        <v>26</v>
      </c>
      <c r="R713" s="105">
        <f>IF(Table__192.168.1.150_Daily_Delinquency_With_Sectors[[#This Row],[Days in Arrears]] &gt; 0, Table__192.168.1.150_Daily_Delinquency_With_Sectors[[#This Row],[Outstanding Balance]],0)</f>
        <v>0</v>
      </c>
      <c r="S713" s="105">
        <f>IF(Table__192.168.1.150_Daily_Delinquency_With_Sectors[[#This Row],[Days in Arrears]] &gt; 30, Table__192.168.1.150_Daily_Delinquency_With_Sectors[[#This Row],[Outstanding Balance]],0)</f>
        <v>0</v>
      </c>
      <c r="T713" s="105">
        <f>IF(Table__192.168.1.150_Daily_Delinquency_With_Sectors[[#This Row],[Days in Arrears]] &gt; 90, Table__192.168.1.150_Daily_Delinquency_With_Sectors[[#This Row],[Outstanding Balance]],0)</f>
        <v>0</v>
      </c>
      <c r="U713" s="109">
        <f>IF(Table__192.168.1.150_Daily_Delinquency_With_Sectors[[#This Row],[Days in Arrears]] &gt;= 1,1,0)</f>
        <v>0</v>
      </c>
      <c r="V713" s="109">
        <f>IF(Table__192.168.1.150_Daily_Delinquency_With_Sectors[[#This Row],[Days in Arrears]] &gt; 30,1,0)</f>
        <v>0</v>
      </c>
      <c r="W713" s="109">
        <f>IF(Table__192.168.1.150_Daily_Delinquency_With_Sectors[[#This Row],[Days in Arrears]] &gt; 90,1,0)</f>
        <v>0</v>
      </c>
    </row>
    <row r="714" spans="1:23" x14ac:dyDescent="0.25">
      <c r="A714" t="s">
        <v>3947</v>
      </c>
      <c r="B714" t="s">
        <v>1282</v>
      </c>
      <c r="C714">
        <v>-8</v>
      </c>
      <c r="D714" s="105">
        <v>6800000</v>
      </c>
      <c r="E714" t="s">
        <v>5167</v>
      </c>
      <c r="F714" s="105">
        <v>190400</v>
      </c>
      <c r="G714" s="105">
        <v>724554.77</v>
      </c>
      <c r="H714" s="143">
        <v>43041.432835914355</v>
      </c>
      <c r="I714" s="143">
        <v>43406</v>
      </c>
      <c r="J714" t="s">
        <v>3948</v>
      </c>
      <c r="K714" t="s">
        <v>3949</v>
      </c>
      <c r="L714" t="s">
        <v>1280</v>
      </c>
      <c r="M714">
        <v>103452</v>
      </c>
      <c r="N714" t="s">
        <v>3939</v>
      </c>
      <c r="O714" t="s">
        <v>25</v>
      </c>
      <c r="P714" t="s">
        <v>88</v>
      </c>
      <c r="Q714" t="s">
        <v>285</v>
      </c>
      <c r="R714" s="105">
        <f>IF(Table__192.168.1.150_Daily_Delinquency_With_Sectors[[#This Row],[Days in Arrears]] &gt; 0, Table__192.168.1.150_Daily_Delinquency_With_Sectors[[#This Row],[Outstanding Balance]],0)</f>
        <v>0</v>
      </c>
      <c r="S714" s="105">
        <f>IF(Table__192.168.1.150_Daily_Delinquency_With_Sectors[[#This Row],[Days in Arrears]] &gt; 30, Table__192.168.1.150_Daily_Delinquency_With_Sectors[[#This Row],[Outstanding Balance]],0)</f>
        <v>0</v>
      </c>
      <c r="T714" s="105">
        <f>IF(Table__192.168.1.150_Daily_Delinquency_With_Sectors[[#This Row],[Days in Arrears]] &gt; 90, Table__192.168.1.150_Daily_Delinquency_With_Sectors[[#This Row],[Outstanding Balance]],0)</f>
        <v>0</v>
      </c>
      <c r="U714" s="109">
        <f>IF(Table__192.168.1.150_Daily_Delinquency_With_Sectors[[#This Row],[Days in Arrears]] &gt;= 1,1,0)</f>
        <v>0</v>
      </c>
      <c r="V714" s="109">
        <f>IF(Table__192.168.1.150_Daily_Delinquency_With_Sectors[[#This Row],[Days in Arrears]] &gt; 30,1,0)</f>
        <v>0</v>
      </c>
      <c r="W714" s="109">
        <f>IF(Table__192.168.1.150_Daily_Delinquency_With_Sectors[[#This Row],[Days in Arrears]] &gt; 90,1,0)</f>
        <v>0</v>
      </c>
    </row>
    <row r="715" spans="1:23" x14ac:dyDescent="0.25">
      <c r="A715" t="s">
        <v>5996</v>
      </c>
      <c r="B715" t="s">
        <v>1282</v>
      </c>
      <c r="C715">
        <v>-8</v>
      </c>
      <c r="D715" s="105">
        <v>8000000</v>
      </c>
      <c r="E715" t="s">
        <v>2855</v>
      </c>
      <c r="F715" s="105">
        <v>224000</v>
      </c>
      <c r="G715" s="105">
        <v>852417.38</v>
      </c>
      <c r="H715" s="143">
        <v>43041.585350231479</v>
      </c>
      <c r="I715" s="143">
        <v>43406</v>
      </c>
      <c r="J715" t="s">
        <v>5997</v>
      </c>
      <c r="K715" t="s">
        <v>5998</v>
      </c>
      <c r="L715" t="s">
        <v>1280</v>
      </c>
      <c r="M715">
        <v>103453</v>
      </c>
      <c r="N715" t="s">
        <v>5995</v>
      </c>
      <c r="O715" t="s">
        <v>25</v>
      </c>
      <c r="P715" t="s">
        <v>88</v>
      </c>
      <c r="Q715" t="s">
        <v>285</v>
      </c>
      <c r="R715" s="105">
        <f>IF(Table__192.168.1.150_Daily_Delinquency_With_Sectors[[#This Row],[Days in Arrears]] &gt; 0, Table__192.168.1.150_Daily_Delinquency_With_Sectors[[#This Row],[Outstanding Balance]],0)</f>
        <v>0</v>
      </c>
      <c r="S715" s="105">
        <f>IF(Table__192.168.1.150_Daily_Delinquency_With_Sectors[[#This Row],[Days in Arrears]] &gt; 30, Table__192.168.1.150_Daily_Delinquency_With_Sectors[[#This Row],[Outstanding Balance]],0)</f>
        <v>0</v>
      </c>
      <c r="T715" s="105">
        <f>IF(Table__192.168.1.150_Daily_Delinquency_With_Sectors[[#This Row],[Days in Arrears]] &gt; 90, Table__192.168.1.150_Daily_Delinquency_With_Sectors[[#This Row],[Outstanding Balance]],0)</f>
        <v>0</v>
      </c>
      <c r="U715" s="109">
        <f>IF(Table__192.168.1.150_Daily_Delinquency_With_Sectors[[#This Row],[Days in Arrears]] &gt;= 1,1,0)</f>
        <v>0</v>
      </c>
      <c r="V715" s="109">
        <f>IF(Table__192.168.1.150_Daily_Delinquency_With_Sectors[[#This Row],[Days in Arrears]] &gt; 30,1,0)</f>
        <v>0</v>
      </c>
      <c r="W715" s="109">
        <f>IF(Table__192.168.1.150_Daily_Delinquency_With_Sectors[[#This Row],[Days in Arrears]] &gt; 90,1,0)</f>
        <v>0</v>
      </c>
    </row>
    <row r="716" spans="1:23" x14ac:dyDescent="0.25">
      <c r="A716" t="s">
        <v>3813</v>
      </c>
      <c r="B716" t="s">
        <v>1282</v>
      </c>
      <c r="C716">
        <v>-8</v>
      </c>
      <c r="D716" s="105">
        <v>5000000</v>
      </c>
      <c r="E716" t="s">
        <v>468</v>
      </c>
      <c r="F716" s="105">
        <v>140000</v>
      </c>
      <c r="G716" s="105">
        <v>532760.86</v>
      </c>
      <c r="H716" s="143">
        <v>43041.721432754632</v>
      </c>
      <c r="I716" s="143">
        <v>43406</v>
      </c>
      <c r="J716" t="s">
        <v>3814</v>
      </c>
      <c r="K716" t="s">
        <v>3815</v>
      </c>
      <c r="L716" t="s">
        <v>1280</v>
      </c>
      <c r="M716">
        <v>103454</v>
      </c>
      <c r="N716" t="s">
        <v>3807</v>
      </c>
      <c r="O716" t="s">
        <v>25</v>
      </c>
      <c r="P716" t="s">
        <v>88</v>
      </c>
      <c r="Q716" t="s">
        <v>285</v>
      </c>
      <c r="R716" s="105">
        <f>IF(Table__192.168.1.150_Daily_Delinquency_With_Sectors[[#This Row],[Days in Arrears]] &gt; 0, Table__192.168.1.150_Daily_Delinquency_With_Sectors[[#This Row],[Outstanding Balance]],0)</f>
        <v>0</v>
      </c>
      <c r="S716" s="105">
        <f>IF(Table__192.168.1.150_Daily_Delinquency_With_Sectors[[#This Row],[Days in Arrears]] &gt; 30, Table__192.168.1.150_Daily_Delinquency_With_Sectors[[#This Row],[Outstanding Balance]],0)</f>
        <v>0</v>
      </c>
      <c r="T716" s="105">
        <f>IF(Table__192.168.1.150_Daily_Delinquency_With_Sectors[[#This Row],[Days in Arrears]] &gt; 90, Table__192.168.1.150_Daily_Delinquency_With_Sectors[[#This Row],[Outstanding Balance]],0)</f>
        <v>0</v>
      </c>
      <c r="U716" s="109">
        <f>IF(Table__192.168.1.150_Daily_Delinquency_With_Sectors[[#This Row],[Days in Arrears]] &gt;= 1,1,0)</f>
        <v>0</v>
      </c>
      <c r="V716" s="109">
        <f>IF(Table__192.168.1.150_Daily_Delinquency_With_Sectors[[#This Row],[Days in Arrears]] &gt; 30,1,0)</f>
        <v>0</v>
      </c>
      <c r="W716" s="109">
        <f>IF(Table__192.168.1.150_Daily_Delinquency_With_Sectors[[#This Row],[Days in Arrears]] &gt; 90,1,0)</f>
        <v>0</v>
      </c>
    </row>
    <row r="717" spans="1:23" x14ac:dyDescent="0.25">
      <c r="A717" t="s">
        <v>1185</v>
      </c>
      <c r="B717" t="s">
        <v>1281</v>
      </c>
      <c r="C717">
        <v>-12</v>
      </c>
      <c r="D717" s="105">
        <v>17000000</v>
      </c>
      <c r="E717" t="s">
        <v>963</v>
      </c>
      <c r="F717" s="105">
        <v>337166.67</v>
      </c>
      <c r="G717" s="105">
        <v>1288886.29</v>
      </c>
      <c r="H717" s="143">
        <v>43045.488874224538</v>
      </c>
      <c r="I717" s="143">
        <v>43591</v>
      </c>
      <c r="J717" t="s">
        <v>1186</v>
      </c>
      <c r="K717" t="s">
        <v>1187</v>
      </c>
      <c r="L717" t="s">
        <v>1280</v>
      </c>
      <c r="M717">
        <v>103455</v>
      </c>
      <c r="N717" t="s">
        <v>1184</v>
      </c>
      <c r="O717" t="s">
        <v>44</v>
      </c>
      <c r="P717" t="s">
        <v>75</v>
      </c>
      <c r="Q717" t="s">
        <v>1442</v>
      </c>
      <c r="R717" s="105">
        <f>IF(Table__192.168.1.150_Daily_Delinquency_With_Sectors[[#This Row],[Days in Arrears]] &gt; 0, Table__192.168.1.150_Daily_Delinquency_With_Sectors[[#This Row],[Outstanding Balance]],0)</f>
        <v>0</v>
      </c>
      <c r="S717" s="105">
        <f>IF(Table__192.168.1.150_Daily_Delinquency_With_Sectors[[#This Row],[Days in Arrears]] &gt; 30, Table__192.168.1.150_Daily_Delinquency_With_Sectors[[#This Row],[Outstanding Balance]],0)</f>
        <v>0</v>
      </c>
      <c r="T717" s="105">
        <f>IF(Table__192.168.1.150_Daily_Delinquency_With_Sectors[[#This Row],[Days in Arrears]] &gt; 90, Table__192.168.1.150_Daily_Delinquency_With_Sectors[[#This Row],[Outstanding Balance]],0)</f>
        <v>0</v>
      </c>
      <c r="U717" s="109">
        <f>IF(Table__192.168.1.150_Daily_Delinquency_With_Sectors[[#This Row],[Days in Arrears]] &gt;= 1,1,0)</f>
        <v>0</v>
      </c>
      <c r="V717" s="109">
        <f>IF(Table__192.168.1.150_Daily_Delinquency_With_Sectors[[#This Row],[Days in Arrears]] &gt; 30,1,0)</f>
        <v>0</v>
      </c>
      <c r="W717" s="109">
        <f>IF(Table__192.168.1.150_Daily_Delinquency_With_Sectors[[#This Row],[Days in Arrears]] &gt; 90,1,0)</f>
        <v>0</v>
      </c>
    </row>
    <row r="718" spans="1:23" x14ac:dyDescent="0.25">
      <c r="A718" t="s">
        <v>1065</v>
      </c>
      <c r="B718" t="s">
        <v>1284</v>
      </c>
      <c r="C718">
        <v>-9</v>
      </c>
      <c r="D718" s="105">
        <v>23000000</v>
      </c>
      <c r="E718" t="s">
        <v>1039</v>
      </c>
      <c r="F718" s="105">
        <v>460000</v>
      </c>
      <c r="G718" s="105">
        <v>1358090.57</v>
      </c>
      <c r="H718" s="143">
        <v>43042.562480243054</v>
      </c>
      <c r="I718" s="143">
        <v>43772</v>
      </c>
      <c r="J718" t="s">
        <v>1066</v>
      </c>
      <c r="K718" t="s">
        <v>1280</v>
      </c>
      <c r="L718" t="s">
        <v>1280</v>
      </c>
      <c r="M718">
        <v>103456</v>
      </c>
      <c r="N718" t="s">
        <v>1064</v>
      </c>
      <c r="O718" t="s">
        <v>44</v>
      </c>
      <c r="P718" t="s">
        <v>92</v>
      </c>
      <c r="Q718" t="s">
        <v>92</v>
      </c>
      <c r="R718" s="105">
        <f>IF(Table__192.168.1.150_Daily_Delinquency_With_Sectors[[#This Row],[Days in Arrears]] &gt; 0, Table__192.168.1.150_Daily_Delinquency_With_Sectors[[#This Row],[Outstanding Balance]],0)</f>
        <v>0</v>
      </c>
      <c r="S718" s="105">
        <f>IF(Table__192.168.1.150_Daily_Delinquency_With_Sectors[[#This Row],[Days in Arrears]] &gt; 30, Table__192.168.1.150_Daily_Delinquency_With_Sectors[[#This Row],[Outstanding Balance]],0)</f>
        <v>0</v>
      </c>
      <c r="T718" s="105">
        <f>IF(Table__192.168.1.150_Daily_Delinquency_With_Sectors[[#This Row],[Days in Arrears]] &gt; 90, Table__192.168.1.150_Daily_Delinquency_With_Sectors[[#This Row],[Outstanding Balance]],0)</f>
        <v>0</v>
      </c>
      <c r="U718" s="109">
        <f>IF(Table__192.168.1.150_Daily_Delinquency_With_Sectors[[#This Row],[Days in Arrears]] &gt;= 1,1,0)</f>
        <v>0</v>
      </c>
      <c r="V718" s="109">
        <f>IF(Table__192.168.1.150_Daily_Delinquency_With_Sectors[[#This Row],[Days in Arrears]] &gt; 30,1,0)</f>
        <v>0</v>
      </c>
      <c r="W718" s="109">
        <f>IF(Table__192.168.1.150_Daily_Delinquency_With_Sectors[[#This Row],[Days in Arrears]] &gt; 90,1,0)</f>
        <v>0</v>
      </c>
    </row>
    <row r="719" spans="1:23" x14ac:dyDescent="0.25">
      <c r="A719" t="s">
        <v>6020</v>
      </c>
      <c r="B719" t="s">
        <v>1282</v>
      </c>
      <c r="C719">
        <v>-15</v>
      </c>
      <c r="D719" s="105">
        <v>4000000</v>
      </c>
      <c r="E719" t="s">
        <v>4684</v>
      </c>
      <c r="F719" s="105">
        <v>84000</v>
      </c>
      <c r="G719" s="105">
        <v>505515.29</v>
      </c>
      <c r="H719" s="143">
        <v>43048.461907210651</v>
      </c>
      <c r="I719" s="143">
        <v>43352</v>
      </c>
      <c r="J719" t="s">
        <v>6021</v>
      </c>
      <c r="K719" t="s">
        <v>1280</v>
      </c>
      <c r="L719" t="s">
        <v>6022</v>
      </c>
      <c r="M719">
        <v>103457</v>
      </c>
      <c r="N719" t="s">
        <v>6016</v>
      </c>
      <c r="O719" t="s">
        <v>44</v>
      </c>
      <c r="P719" t="s">
        <v>75</v>
      </c>
      <c r="Q719" t="s">
        <v>1442</v>
      </c>
      <c r="R719" s="105">
        <f>IF(Table__192.168.1.150_Daily_Delinquency_With_Sectors[[#This Row],[Days in Arrears]] &gt; 0, Table__192.168.1.150_Daily_Delinquency_With_Sectors[[#This Row],[Outstanding Balance]],0)</f>
        <v>0</v>
      </c>
      <c r="S719" s="105">
        <f>IF(Table__192.168.1.150_Daily_Delinquency_With_Sectors[[#This Row],[Days in Arrears]] &gt; 30, Table__192.168.1.150_Daily_Delinquency_With_Sectors[[#This Row],[Outstanding Balance]],0)</f>
        <v>0</v>
      </c>
      <c r="T719" s="105">
        <f>IF(Table__192.168.1.150_Daily_Delinquency_With_Sectors[[#This Row],[Days in Arrears]] &gt; 90, Table__192.168.1.150_Daily_Delinquency_With_Sectors[[#This Row],[Outstanding Balance]],0)</f>
        <v>0</v>
      </c>
      <c r="U719" s="109">
        <f>IF(Table__192.168.1.150_Daily_Delinquency_With_Sectors[[#This Row],[Days in Arrears]] &gt;= 1,1,0)</f>
        <v>0</v>
      </c>
      <c r="V719" s="109">
        <f>IF(Table__192.168.1.150_Daily_Delinquency_With_Sectors[[#This Row],[Days in Arrears]] &gt; 30,1,0)</f>
        <v>0</v>
      </c>
      <c r="W719" s="109">
        <f>IF(Table__192.168.1.150_Daily_Delinquency_With_Sectors[[#This Row],[Days in Arrears]] &gt; 90,1,0)</f>
        <v>0</v>
      </c>
    </row>
    <row r="720" spans="1:23" x14ac:dyDescent="0.25">
      <c r="A720" t="s">
        <v>1682</v>
      </c>
      <c r="B720" t="s">
        <v>1282</v>
      </c>
      <c r="C720">
        <v>32</v>
      </c>
      <c r="D720" s="105">
        <v>2751142.53</v>
      </c>
      <c r="E720" t="s">
        <v>963</v>
      </c>
      <c r="F720" s="105">
        <v>143552.12</v>
      </c>
      <c r="G720" s="105">
        <v>2934046.37</v>
      </c>
      <c r="H720" s="143">
        <v>42354.515555821759</v>
      </c>
      <c r="I720" s="143">
        <v>43091</v>
      </c>
      <c r="J720" t="s">
        <v>1683</v>
      </c>
      <c r="K720" t="s">
        <v>1684</v>
      </c>
      <c r="L720" t="s">
        <v>1280</v>
      </c>
      <c r="M720">
        <v>200008</v>
      </c>
      <c r="N720" t="s">
        <v>1680</v>
      </c>
      <c r="O720" t="s">
        <v>37</v>
      </c>
      <c r="P720" t="s">
        <v>38</v>
      </c>
      <c r="Q720" t="s">
        <v>1681</v>
      </c>
      <c r="R720" s="105">
        <f>IF(Table__192.168.1.150_Daily_Delinquency_With_Sectors[[#This Row],[Days in Arrears]] &gt; 0, Table__192.168.1.150_Daily_Delinquency_With_Sectors[[#This Row],[Outstanding Balance]],0)</f>
        <v>2751142.53</v>
      </c>
      <c r="S720" s="105">
        <f>IF(Table__192.168.1.150_Daily_Delinquency_With_Sectors[[#This Row],[Days in Arrears]] &gt; 30, Table__192.168.1.150_Daily_Delinquency_With_Sectors[[#This Row],[Outstanding Balance]],0)</f>
        <v>2751142.53</v>
      </c>
      <c r="T720" s="105">
        <f>IF(Table__192.168.1.150_Daily_Delinquency_With_Sectors[[#This Row],[Days in Arrears]] &gt; 90, Table__192.168.1.150_Daily_Delinquency_With_Sectors[[#This Row],[Outstanding Balance]],0)</f>
        <v>0</v>
      </c>
      <c r="U720" s="109">
        <f>IF(Table__192.168.1.150_Daily_Delinquency_With_Sectors[[#This Row],[Days in Arrears]] &gt;= 1,1,0)</f>
        <v>1</v>
      </c>
      <c r="V720" s="109">
        <f>IF(Table__192.168.1.150_Daily_Delinquency_With_Sectors[[#This Row],[Days in Arrears]] &gt; 30,1,0)</f>
        <v>1</v>
      </c>
      <c r="W720" s="109">
        <f>IF(Table__192.168.1.150_Daily_Delinquency_With_Sectors[[#This Row],[Days in Arrears]] &gt; 90,1,0)</f>
        <v>0</v>
      </c>
    </row>
    <row r="721" spans="1:23" x14ac:dyDescent="0.25">
      <c r="A721" t="s">
        <v>1699</v>
      </c>
      <c r="B721" t="s">
        <v>1284</v>
      </c>
      <c r="C721">
        <v>19</v>
      </c>
      <c r="D721" s="105">
        <v>10950711.75</v>
      </c>
      <c r="E721" t="s">
        <v>1467</v>
      </c>
      <c r="F721" s="105">
        <v>196103.46</v>
      </c>
      <c r="G721" s="105">
        <v>13745172.08</v>
      </c>
      <c r="H721" s="143">
        <v>42397.512360763889</v>
      </c>
      <c r="I721" s="143">
        <v>43501</v>
      </c>
      <c r="J721" t="s">
        <v>1700</v>
      </c>
      <c r="K721" t="s">
        <v>1701</v>
      </c>
      <c r="L721" t="s">
        <v>1280</v>
      </c>
      <c r="M721">
        <v>200035</v>
      </c>
      <c r="N721" t="s">
        <v>1698</v>
      </c>
      <c r="O721" t="s">
        <v>44</v>
      </c>
      <c r="P721" t="s">
        <v>92</v>
      </c>
      <c r="Q721" t="s">
        <v>26</v>
      </c>
      <c r="R721" s="105">
        <f>IF(Table__192.168.1.150_Daily_Delinquency_With_Sectors[[#This Row],[Days in Arrears]] &gt; 0, Table__192.168.1.150_Daily_Delinquency_With_Sectors[[#This Row],[Outstanding Balance]],0)</f>
        <v>10950711.75</v>
      </c>
      <c r="S721" s="105">
        <f>IF(Table__192.168.1.150_Daily_Delinquency_With_Sectors[[#This Row],[Days in Arrears]] &gt; 30, Table__192.168.1.150_Daily_Delinquency_With_Sectors[[#This Row],[Outstanding Balance]],0)</f>
        <v>0</v>
      </c>
      <c r="T721" s="105">
        <f>IF(Table__192.168.1.150_Daily_Delinquency_With_Sectors[[#This Row],[Days in Arrears]] &gt; 90, Table__192.168.1.150_Daily_Delinquency_With_Sectors[[#This Row],[Outstanding Balance]],0)</f>
        <v>0</v>
      </c>
      <c r="U721" s="109">
        <f>IF(Table__192.168.1.150_Daily_Delinquency_With_Sectors[[#This Row],[Days in Arrears]] &gt;= 1,1,0)</f>
        <v>1</v>
      </c>
      <c r="V721" s="109">
        <f>IF(Table__192.168.1.150_Daily_Delinquency_With_Sectors[[#This Row],[Days in Arrears]] &gt; 30,1,0)</f>
        <v>0</v>
      </c>
      <c r="W721" s="109">
        <f>IF(Table__192.168.1.150_Daily_Delinquency_With_Sectors[[#This Row],[Days in Arrears]] &gt; 90,1,0)</f>
        <v>0</v>
      </c>
    </row>
    <row r="722" spans="1:23" x14ac:dyDescent="0.25">
      <c r="A722" t="s">
        <v>1844</v>
      </c>
      <c r="B722" t="s">
        <v>1283</v>
      </c>
      <c r="C722">
        <v>-1</v>
      </c>
      <c r="D722" s="105">
        <v>20137114.530000001</v>
      </c>
      <c r="E722" t="s">
        <v>2855</v>
      </c>
      <c r="F722" s="105">
        <v>563839.21</v>
      </c>
      <c r="G722" s="105">
        <v>25650124.579999998</v>
      </c>
      <c r="H722" s="143">
        <v>42425.682359340281</v>
      </c>
      <c r="I722" s="143">
        <v>43521</v>
      </c>
      <c r="J722" t="s">
        <v>1845</v>
      </c>
      <c r="K722" t="s">
        <v>1280</v>
      </c>
      <c r="L722" t="s">
        <v>1280</v>
      </c>
      <c r="M722">
        <v>200058</v>
      </c>
      <c r="N722" t="s">
        <v>1843</v>
      </c>
      <c r="O722" t="s">
        <v>45</v>
      </c>
      <c r="P722" t="s">
        <v>45</v>
      </c>
      <c r="Q722" t="s">
        <v>26</v>
      </c>
      <c r="R722" s="105">
        <f>IF(Table__192.168.1.150_Daily_Delinquency_With_Sectors[[#This Row],[Days in Arrears]] &gt; 0, Table__192.168.1.150_Daily_Delinquency_With_Sectors[[#This Row],[Outstanding Balance]],0)</f>
        <v>0</v>
      </c>
      <c r="S722" s="105">
        <f>IF(Table__192.168.1.150_Daily_Delinquency_With_Sectors[[#This Row],[Days in Arrears]] &gt; 30, Table__192.168.1.150_Daily_Delinquency_With_Sectors[[#This Row],[Outstanding Balance]],0)</f>
        <v>0</v>
      </c>
      <c r="T722" s="105">
        <f>IF(Table__192.168.1.150_Daily_Delinquency_With_Sectors[[#This Row],[Days in Arrears]] &gt; 90, Table__192.168.1.150_Daily_Delinquency_With_Sectors[[#This Row],[Outstanding Balance]],0)</f>
        <v>0</v>
      </c>
      <c r="U722" s="109">
        <f>IF(Table__192.168.1.150_Daily_Delinquency_With_Sectors[[#This Row],[Days in Arrears]] &gt;= 1,1,0)</f>
        <v>0</v>
      </c>
      <c r="V722" s="109">
        <f>IF(Table__192.168.1.150_Daily_Delinquency_With_Sectors[[#This Row],[Days in Arrears]] &gt; 30,1,0)</f>
        <v>0</v>
      </c>
      <c r="W722" s="109">
        <f>IF(Table__192.168.1.150_Daily_Delinquency_With_Sectors[[#This Row],[Days in Arrears]] &gt; 90,1,0)</f>
        <v>0</v>
      </c>
    </row>
    <row r="723" spans="1:23" x14ac:dyDescent="0.25">
      <c r="A723" t="s">
        <v>1864</v>
      </c>
      <c r="B723" t="s">
        <v>1284</v>
      </c>
      <c r="C723">
        <v>12</v>
      </c>
      <c r="D723" s="105">
        <v>13267280.039999999</v>
      </c>
      <c r="E723" t="s">
        <v>491</v>
      </c>
      <c r="F723" s="105">
        <v>537252.16</v>
      </c>
      <c r="G723" s="105">
        <v>17130619.140000001</v>
      </c>
      <c r="H723" s="143">
        <v>42441.469613194444</v>
      </c>
      <c r="I723" s="143">
        <v>43536</v>
      </c>
      <c r="J723" t="s">
        <v>1865</v>
      </c>
      <c r="K723" t="s">
        <v>1280</v>
      </c>
      <c r="L723" t="s">
        <v>1280</v>
      </c>
      <c r="M723">
        <v>200071</v>
      </c>
      <c r="N723" t="s">
        <v>1863</v>
      </c>
      <c r="O723" t="s">
        <v>44</v>
      </c>
      <c r="P723" t="s">
        <v>75</v>
      </c>
      <c r="Q723" t="s">
        <v>26</v>
      </c>
      <c r="R723" s="105">
        <f>IF(Table__192.168.1.150_Daily_Delinquency_With_Sectors[[#This Row],[Days in Arrears]] &gt; 0, Table__192.168.1.150_Daily_Delinquency_With_Sectors[[#This Row],[Outstanding Balance]],0)</f>
        <v>13267280.039999999</v>
      </c>
      <c r="S723" s="105">
        <f>IF(Table__192.168.1.150_Daily_Delinquency_With_Sectors[[#This Row],[Days in Arrears]] &gt; 30, Table__192.168.1.150_Daily_Delinquency_With_Sectors[[#This Row],[Outstanding Balance]],0)</f>
        <v>0</v>
      </c>
      <c r="T723" s="105">
        <f>IF(Table__192.168.1.150_Daily_Delinquency_With_Sectors[[#This Row],[Days in Arrears]] &gt; 90, Table__192.168.1.150_Daily_Delinquency_With_Sectors[[#This Row],[Outstanding Balance]],0)</f>
        <v>0</v>
      </c>
      <c r="U723" s="109">
        <f>IF(Table__192.168.1.150_Daily_Delinquency_With_Sectors[[#This Row],[Days in Arrears]] &gt;= 1,1,0)</f>
        <v>1</v>
      </c>
      <c r="V723" s="109">
        <f>IF(Table__192.168.1.150_Daily_Delinquency_With_Sectors[[#This Row],[Days in Arrears]] &gt; 30,1,0)</f>
        <v>0</v>
      </c>
      <c r="W723" s="109">
        <f>IF(Table__192.168.1.150_Daily_Delinquency_With_Sectors[[#This Row],[Days in Arrears]] &gt; 90,1,0)</f>
        <v>0</v>
      </c>
    </row>
    <row r="724" spans="1:23" x14ac:dyDescent="0.25">
      <c r="A724" t="s">
        <v>1897</v>
      </c>
      <c r="B724" t="s">
        <v>1284</v>
      </c>
      <c r="C724">
        <v>-7</v>
      </c>
      <c r="D724" s="105">
        <v>29018508.73</v>
      </c>
      <c r="E724" t="s">
        <v>546</v>
      </c>
      <c r="F724" s="105">
        <v>709341.32</v>
      </c>
      <c r="G724" s="105">
        <v>38481344.130000003</v>
      </c>
      <c r="H724" s="143">
        <v>42459.710820219909</v>
      </c>
      <c r="I724" s="143">
        <v>43556</v>
      </c>
      <c r="J724" t="s">
        <v>1898</v>
      </c>
      <c r="K724" t="s">
        <v>1280</v>
      </c>
      <c r="L724" t="s">
        <v>1280</v>
      </c>
      <c r="M724">
        <v>200081</v>
      </c>
      <c r="N724" t="s">
        <v>1896</v>
      </c>
      <c r="O724" t="s">
        <v>27</v>
      </c>
      <c r="P724" t="s">
        <v>116</v>
      </c>
      <c r="Q724" t="s">
        <v>1830</v>
      </c>
      <c r="R724" s="105">
        <f>IF(Table__192.168.1.150_Daily_Delinquency_With_Sectors[[#This Row],[Days in Arrears]] &gt; 0, Table__192.168.1.150_Daily_Delinquency_With_Sectors[[#This Row],[Outstanding Balance]],0)</f>
        <v>0</v>
      </c>
      <c r="S724" s="105">
        <f>IF(Table__192.168.1.150_Daily_Delinquency_With_Sectors[[#This Row],[Days in Arrears]] &gt; 30, Table__192.168.1.150_Daily_Delinquency_With_Sectors[[#This Row],[Outstanding Balance]],0)</f>
        <v>0</v>
      </c>
      <c r="T724" s="105">
        <f>IF(Table__192.168.1.150_Daily_Delinquency_With_Sectors[[#This Row],[Days in Arrears]] &gt; 90, Table__192.168.1.150_Daily_Delinquency_With_Sectors[[#This Row],[Outstanding Balance]],0)</f>
        <v>0</v>
      </c>
      <c r="U724" s="109">
        <f>IF(Table__192.168.1.150_Daily_Delinquency_With_Sectors[[#This Row],[Days in Arrears]] &gt;= 1,1,0)</f>
        <v>0</v>
      </c>
      <c r="V724" s="109">
        <f>IF(Table__192.168.1.150_Daily_Delinquency_With_Sectors[[#This Row],[Days in Arrears]] &gt; 30,1,0)</f>
        <v>0</v>
      </c>
      <c r="W724" s="109">
        <f>IF(Table__192.168.1.150_Daily_Delinquency_With_Sectors[[#This Row],[Days in Arrears]] &gt; 90,1,0)</f>
        <v>0</v>
      </c>
    </row>
    <row r="725" spans="1:23" x14ac:dyDescent="0.25">
      <c r="A725" t="s">
        <v>1911</v>
      </c>
      <c r="B725" t="s">
        <v>1284</v>
      </c>
      <c r="C725">
        <v>-11</v>
      </c>
      <c r="D725" s="105">
        <v>3330896.48</v>
      </c>
      <c r="E725" t="s">
        <v>1467</v>
      </c>
      <c r="F725" s="105">
        <v>66617.929999999993</v>
      </c>
      <c r="G725" s="105">
        <v>3671264.03</v>
      </c>
      <c r="H725" s="143">
        <v>42465.41413449074</v>
      </c>
      <c r="I725" s="143">
        <v>43195</v>
      </c>
      <c r="J725" t="s">
        <v>1912</v>
      </c>
      <c r="K725" t="s">
        <v>1280</v>
      </c>
      <c r="L725" t="s">
        <v>1280</v>
      </c>
      <c r="M725">
        <v>200089</v>
      </c>
      <c r="N725" t="s">
        <v>1910</v>
      </c>
      <c r="O725" t="s">
        <v>44</v>
      </c>
      <c r="P725" t="s">
        <v>75</v>
      </c>
      <c r="Q725" t="s">
        <v>26</v>
      </c>
      <c r="R725" s="105">
        <f>IF(Table__192.168.1.150_Daily_Delinquency_With_Sectors[[#This Row],[Days in Arrears]] &gt; 0, Table__192.168.1.150_Daily_Delinquency_With_Sectors[[#This Row],[Outstanding Balance]],0)</f>
        <v>0</v>
      </c>
      <c r="S725" s="105">
        <f>IF(Table__192.168.1.150_Daily_Delinquency_With_Sectors[[#This Row],[Days in Arrears]] &gt; 30, Table__192.168.1.150_Daily_Delinquency_With_Sectors[[#This Row],[Outstanding Balance]],0)</f>
        <v>0</v>
      </c>
      <c r="T725" s="105">
        <f>IF(Table__192.168.1.150_Daily_Delinquency_With_Sectors[[#This Row],[Days in Arrears]] &gt; 90, Table__192.168.1.150_Daily_Delinquency_With_Sectors[[#This Row],[Outstanding Balance]],0)</f>
        <v>0</v>
      </c>
      <c r="U725" s="109">
        <f>IF(Table__192.168.1.150_Daily_Delinquency_With_Sectors[[#This Row],[Days in Arrears]] &gt;= 1,1,0)</f>
        <v>0</v>
      </c>
      <c r="V725" s="109">
        <f>IF(Table__192.168.1.150_Daily_Delinquency_With_Sectors[[#This Row],[Days in Arrears]] &gt; 30,1,0)</f>
        <v>0</v>
      </c>
      <c r="W725" s="109">
        <f>IF(Table__192.168.1.150_Daily_Delinquency_With_Sectors[[#This Row],[Days in Arrears]] &gt; 90,1,0)</f>
        <v>0</v>
      </c>
    </row>
    <row r="726" spans="1:23" x14ac:dyDescent="0.25">
      <c r="A726" t="s">
        <v>1918</v>
      </c>
      <c r="B726" t="s">
        <v>1281</v>
      </c>
      <c r="C726">
        <v>16</v>
      </c>
      <c r="D726" s="105">
        <v>4816026.9000000004</v>
      </c>
      <c r="E726" t="s">
        <v>1925</v>
      </c>
      <c r="F726" s="105">
        <v>90514.08</v>
      </c>
      <c r="G726" s="105">
        <v>5373302.0499999998</v>
      </c>
      <c r="H726" s="143">
        <v>42468.666712418984</v>
      </c>
      <c r="I726" s="143">
        <v>43198</v>
      </c>
      <c r="J726" t="s">
        <v>1919</v>
      </c>
      <c r="K726" t="s">
        <v>1280</v>
      </c>
      <c r="L726" t="s">
        <v>1920</v>
      </c>
      <c r="M726">
        <v>200091</v>
      </c>
      <c r="N726" t="s">
        <v>1917</v>
      </c>
      <c r="O726" t="s">
        <v>37</v>
      </c>
      <c r="P726" t="s">
        <v>686</v>
      </c>
      <c r="Q726" t="s">
        <v>686</v>
      </c>
      <c r="R726" s="105">
        <f>IF(Table__192.168.1.150_Daily_Delinquency_With_Sectors[[#This Row],[Days in Arrears]] &gt; 0, Table__192.168.1.150_Daily_Delinquency_With_Sectors[[#This Row],[Outstanding Balance]],0)</f>
        <v>4816026.9000000004</v>
      </c>
      <c r="S726" s="105">
        <f>IF(Table__192.168.1.150_Daily_Delinquency_With_Sectors[[#This Row],[Days in Arrears]] &gt; 30, Table__192.168.1.150_Daily_Delinquency_With_Sectors[[#This Row],[Outstanding Balance]],0)</f>
        <v>0</v>
      </c>
      <c r="T726" s="105">
        <f>IF(Table__192.168.1.150_Daily_Delinquency_With_Sectors[[#This Row],[Days in Arrears]] &gt; 90, Table__192.168.1.150_Daily_Delinquency_With_Sectors[[#This Row],[Outstanding Balance]],0)</f>
        <v>0</v>
      </c>
      <c r="U726" s="109">
        <f>IF(Table__192.168.1.150_Daily_Delinquency_With_Sectors[[#This Row],[Days in Arrears]] &gt;= 1,1,0)</f>
        <v>1</v>
      </c>
      <c r="V726" s="109">
        <f>IF(Table__192.168.1.150_Daily_Delinquency_With_Sectors[[#This Row],[Days in Arrears]] &gt; 30,1,0)</f>
        <v>0</v>
      </c>
      <c r="W726" s="109">
        <f>IF(Table__192.168.1.150_Daily_Delinquency_With_Sectors[[#This Row],[Days in Arrears]] &gt; 90,1,0)</f>
        <v>0</v>
      </c>
    </row>
    <row r="727" spans="1:23" x14ac:dyDescent="0.25">
      <c r="A727" t="s">
        <v>1935</v>
      </c>
      <c r="B727" t="s">
        <v>1281</v>
      </c>
      <c r="C727">
        <v>-1</v>
      </c>
      <c r="D727" s="105">
        <v>16845060.75</v>
      </c>
      <c r="E727" t="s">
        <v>90</v>
      </c>
      <c r="F727" s="105">
        <v>628882.27</v>
      </c>
      <c r="G727" s="105">
        <v>23951653.420000002</v>
      </c>
      <c r="H727" s="143">
        <v>42480.684143020837</v>
      </c>
      <c r="I727" s="143">
        <v>43580</v>
      </c>
      <c r="J727" t="s">
        <v>1936</v>
      </c>
      <c r="K727" t="s">
        <v>1280</v>
      </c>
      <c r="L727" t="s">
        <v>1280</v>
      </c>
      <c r="M727">
        <v>200098</v>
      </c>
      <c r="N727" t="s">
        <v>1934</v>
      </c>
      <c r="O727" t="s">
        <v>25</v>
      </c>
      <c r="P727" t="s">
        <v>286</v>
      </c>
      <c r="Q727" t="s">
        <v>26</v>
      </c>
      <c r="R727" s="105">
        <f>IF(Table__192.168.1.150_Daily_Delinquency_With_Sectors[[#This Row],[Days in Arrears]] &gt; 0, Table__192.168.1.150_Daily_Delinquency_With_Sectors[[#This Row],[Outstanding Balance]],0)</f>
        <v>0</v>
      </c>
      <c r="S727" s="105">
        <f>IF(Table__192.168.1.150_Daily_Delinquency_With_Sectors[[#This Row],[Days in Arrears]] &gt; 30, Table__192.168.1.150_Daily_Delinquency_With_Sectors[[#This Row],[Outstanding Balance]],0)</f>
        <v>0</v>
      </c>
      <c r="T727" s="105">
        <f>IF(Table__192.168.1.150_Daily_Delinquency_With_Sectors[[#This Row],[Days in Arrears]] &gt; 90, Table__192.168.1.150_Daily_Delinquency_With_Sectors[[#This Row],[Outstanding Balance]],0)</f>
        <v>0</v>
      </c>
      <c r="U727" s="109">
        <f>IF(Table__192.168.1.150_Daily_Delinquency_With_Sectors[[#This Row],[Days in Arrears]] &gt;= 1,1,0)</f>
        <v>0</v>
      </c>
      <c r="V727" s="109">
        <f>IF(Table__192.168.1.150_Daily_Delinquency_With_Sectors[[#This Row],[Days in Arrears]] &gt; 30,1,0)</f>
        <v>0</v>
      </c>
      <c r="W727" s="109">
        <f>IF(Table__192.168.1.150_Daily_Delinquency_With_Sectors[[#This Row],[Days in Arrears]] &gt; 90,1,0)</f>
        <v>0</v>
      </c>
    </row>
    <row r="728" spans="1:23" x14ac:dyDescent="0.25">
      <c r="A728" t="s">
        <v>1942</v>
      </c>
      <c r="B728" t="s">
        <v>1284</v>
      </c>
      <c r="C728">
        <v>0</v>
      </c>
      <c r="D728" s="105">
        <v>12909808.369999999</v>
      </c>
      <c r="E728" t="s">
        <v>2861</v>
      </c>
      <c r="F728" s="105">
        <v>415982.71</v>
      </c>
      <c r="G728" s="105">
        <v>17375524.010000002</v>
      </c>
      <c r="H728" s="143">
        <v>42481.548824652775</v>
      </c>
      <c r="I728" s="143">
        <v>43579</v>
      </c>
      <c r="J728" t="s">
        <v>1943</v>
      </c>
      <c r="K728" t="s">
        <v>1280</v>
      </c>
      <c r="L728" t="s">
        <v>1280</v>
      </c>
      <c r="M728">
        <v>200099</v>
      </c>
      <c r="N728" t="s">
        <v>1938</v>
      </c>
      <c r="O728" t="s">
        <v>25</v>
      </c>
      <c r="P728" t="s">
        <v>88</v>
      </c>
      <c r="Q728" t="s">
        <v>26</v>
      </c>
      <c r="R728" s="105">
        <f>IF(Table__192.168.1.150_Daily_Delinquency_With_Sectors[[#This Row],[Days in Arrears]] &gt; 0, Table__192.168.1.150_Daily_Delinquency_With_Sectors[[#This Row],[Outstanding Balance]],0)</f>
        <v>0</v>
      </c>
      <c r="S728" s="105">
        <f>IF(Table__192.168.1.150_Daily_Delinquency_With_Sectors[[#This Row],[Days in Arrears]] &gt; 30, Table__192.168.1.150_Daily_Delinquency_With_Sectors[[#This Row],[Outstanding Balance]],0)</f>
        <v>0</v>
      </c>
      <c r="T728" s="105">
        <f>IF(Table__192.168.1.150_Daily_Delinquency_With_Sectors[[#This Row],[Days in Arrears]] &gt; 90, Table__192.168.1.150_Daily_Delinquency_With_Sectors[[#This Row],[Outstanding Balance]],0)</f>
        <v>0</v>
      </c>
      <c r="U728" s="109">
        <f>IF(Table__192.168.1.150_Daily_Delinquency_With_Sectors[[#This Row],[Days in Arrears]] &gt;= 1,1,0)</f>
        <v>0</v>
      </c>
      <c r="V728" s="109">
        <f>IF(Table__192.168.1.150_Daily_Delinquency_With_Sectors[[#This Row],[Days in Arrears]] &gt; 30,1,0)</f>
        <v>0</v>
      </c>
      <c r="W728" s="109">
        <f>IF(Table__192.168.1.150_Daily_Delinquency_With_Sectors[[#This Row],[Days in Arrears]] &gt; 90,1,0)</f>
        <v>0</v>
      </c>
    </row>
    <row r="729" spans="1:23" x14ac:dyDescent="0.25">
      <c r="A729" t="s">
        <v>1996</v>
      </c>
      <c r="B729" t="s">
        <v>1281</v>
      </c>
      <c r="C729">
        <v>-1</v>
      </c>
      <c r="D729" s="105">
        <v>16737767.310000001</v>
      </c>
      <c r="E729" t="s">
        <v>4684</v>
      </c>
      <c r="F729" s="105">
        <v>624876.65</v>
      </c>
      <c r="G729" s="105">
        <v>23799094.969999999</v>
      </c>
      <c r="H729" s="143">
        <v>42485.720724270832</v>
      </c>
      <c r="I729" s="143">
        <v>43580</v>
      </c>
      <c r="J729" t="s">
        <v>1997</v>
      </c>
      <c r="K729" t="s">
        <v>1280</v>
      </c>
      <c r="L729" t="s">
        <v>1998</v>
      </c>
      <c r="M729">
        <v>200105</v>
      </c>
      <c r="N729" t="s">
        <v>1995</v>
      </c>
      <c r="O729" t="s">
        <v>44</v>
      </c>
      <c r="P729" t="s">
        <v>92</v>
      </c>
      <c r="Q729" t="s">
        <v>92</v>
      </c>
      <c r="R729" s="105">
        <f>IF(Table__192.168.1.150_Daily_Delinquency_With_Sectors[[#This Row],[Days in Arrears]] &gt; 0, Table__192.168.1.150_Daily_Delinquency_With_Sectors[[#This Row],[Outstanding Balance]],0)</f>
        <v>0</v>
      </c>
      <c r="S729" s="105">
        <f>IF(Table__192.168.1.150_Daily_Delinquency_With_Sectors[[#This Row],[Days in Arrears]] &gt; 30, Table__192.168.1.150_Daily_Delinquency_With_Sectors[[#This Row],[Outstanding Balance]],0)</f>
        <v>0</v>
      </c>
      <c r="T729" s="105">
        <f>IF(Table__192.168.1.150_Daily_Delinquency_With_Sectors[[#This Row],[Days in Arrears]] &gt; 90, Table__192.168.1.150_Daily_Delinquency_With_Sectors[[#This Row],[Outstanding Balance]],0)</f>
        <v>0</v>
      </c>
      <c r="U729" s="109">
        <f>IF(Table__192.168.1.150_Daily_Delinquency_With_Sectors[[#This Row],[Days in Arrears]] &gt;= 1,1,0)</f>
        <v>0</v>
      </c>
      <c r="V729" s="109">
        <f>IF(Table__192.168.1.150_Daily_Delinquency_With_Sectors[[#This Row],[Days in Arrears]] &gt; 30,1,0)</f>
        <v>0</v>
      </c>
      <c r="W729" s="109">
        <f>IF(Table__192.168.1.150_Daily_Delinquency_With_Sectors[[#This Row],[Days in Arrears]] &gt; 90,1,0)</f>
        <v>0</v>
      </c>
    </row>
    <row r="730" spans="1:23" x14ac:dyDescent="0.25">
      <c r="A730" t="s">
        <v>1906</v>
      </c>
      <c r="B730" t="s">
        <v>1285</v>
      </c>
      <c r="C730">
        <v>-27</v>
      </c>
      <c r="D730" s="105">
        <v>4442839.51</v>
      </c>
      <c r="E730" t="s">
        <v>284</v>
      </c>
      <c r="F730" s="105">
        <v>6170.61</v>
      </c>
      <c r="G730" s="105">
        <v>5321582.1500000004</v>
      </c>
      <c r="H730" s="143">
        <v>42486.63441712963</v>
      </c>
      <c r="I730" s="143">
        <v>43576</v>
      </c>
      <c r="J730" t="s">
        <v>1907</v>
      </c>
      <c r="K730" t="s">
        <v>1280</v>
      </c>
      <c r="L730" t="s">
        <v>1908</v>
      </c>
      <c r="M730">
        <v>200107</v>
      </c>
      <c r="N730" t="s">
        <v>1705</v>
      </c>
      <c r="O730" t="s">
        <v>44</v>
      </c>
      <c r="P730" t="s">
        <v>26</v>
      </c>
      <c r="Q730" t="s">
        <v>26</v>
      </c>
      <c r="R730" s="105">
        <f>IF(Table__192.168.1.150_Daily_Delinquency_With_Sectors[[#This Row],[Days in Arrears]] &gt; 0, Table__192.168.1.150_Daily_Delinquency_With_Sectors[[#This Row],[Outstanding Balance]],0)</f>
        <v>0</v>
      </c>
      <c r="S730" s="105">
        <f>IF(Table__192.168.1.150_Daily_Delinquency_With_Sectors[[#This Row],[Days in Arrears]] &gt; 30, Table__192.168.1.150_Daily_Delinquency_With_Sectors[[#This Row],[Outstanding Balance]],0)</f>
        <v>0</v>
      </c>
      <c r="T730" s="105">
        <f>IF(Table__192.168.1.150_Daily_Delinquency_With_Sectors[[#This Row],[Days in Arrears]] &gt; 90, Table__192.168.1.150_Daily_Delinquency_With_Sectors[[#This Row],[Outstanding Balance]],0)</f>
        <v>0</v>
      </c>
      <c r="U730" s="109">
        <f>IF(Table__192.168.1.150_Daily_Delinquency_With_Sectors[[#This Row],[Days in Arrears]] &gt;= 1,1,0)</f>
        <v>0</v>
      </c>
      <c r="V730" s="109">
        <f>IF(Table__192.168.1.150_Daily_Delinquency_With_Sectors[[#This Row],[Days in Arrears]] &gt; 30,1,0)</f>
        <v>0</v>
      </c>
      <c r="W730" s="109">
        <f>IF(Table__192.168.1.150_Daily_Delinquency_With_Sectors[[#This Row],[Days in Arrears]] &gt; 90,1,0)</f>
        <v>0</v>
      </c>
    </row>
    <row r="731" spans="1:23" x14ac:dyDescent="0.25">
      <c r="A731" t="s">
        <v>2006</v>
      </c>
      <c r="B731" t="s">
        <v>1283</v>
      </c>
      <c r="C731">
        <v>19</v>
      </c>
      <c r="D731" s="105">
        <v>18519114.02</v>
      </c>
      <c r="E731" t="s">
        <v>2855</v>
      </c>
      <c r="F731" s="105">
        <v>845413.96</v>
      </c>
      <c r="G731" s="105">
        <v>20807048.27</v>
      </c>
      <c r="H731" s="143">
        <v>42488.544714965275</v>
      </c>
      <c r="I731" s="143">
        <v>43225</v>
      </c>
      <c r="J731" t="s">
        <v>1570</v>
      </c>
      <c r="K731" t="s">
        <v>1280</v>
      </c>
      <c r="L731" t="s">
        <v>1280</v>
      </c>
      <c r="M731">
        <v>200111</v>
      </c>
      <c r="N731" t="s">
        <v>2005</v>
      </c>
      <c r="O731" t="s">
        <v>27</v>
      </c>
      <c r="P731" t="s">
        <v>81</v>
      </c>
      <c r="Q731" t="s">
        <v>1685</v>
      </c>
      <c r="R731" s="105">
        <f>IF(Table__192.168.1.150_Daily_Delinquency_With_Sectors[[#This Row],[Days in Arrears]] &gt; 0, Table__192.168.1.150_Daily_Delinquency_With_Sectors[[#This Row],[Outstanding Balance]],0)</f>
        <v>18519114.02</v>
      </c>
      <c r="S731" s="105">
        <f>IF(Table__192.168.1.150_Daily_Delinquency_With_Sectors[[#This Row],[Days in Arrears]] &gt; 30, Table__192.168.1.150_Daily_Delinquency_With_Sectors[[#This Row],[Outstanding Balance]],0)</f>
        <v>0</v>
      </c>
      <c r="T731" s="105">
        <f>IF(Table__192.168.1.150_Daily_Delinquency_With_Sectors[[#This Row],[Days in Arrears]] &gt; 90, Table__192.168.1.150_Daily_Delinquency_With_Sectors[[#This Row],[Outstanding Balance]],0)</f>
        <v>0</v>
      </c>
      <c r="U731" s="109">
        <f>IF(Table__192.168.1.150_Daily_Delinquency_With_Sectors[[#This Row],[Days in Arrears]] &gt;= 1,1,0)</f>
        <v>1</v>
      </c>
      <c r="V731" s="109">
        <f>IF(Table__192.168.1.150_Daily_Delinquency_With_Sectors[[#This Row],[Days in Arrears]] &gt; 30,1,0)</f>
        <v>0</v>
      </c>
      <c r="W731" s="109">
        <f>IF(Table__192.168.1.150_Daily_Delinquency_With_Sectors[[#This Row],[Days in Arrears]] &gt; 90,1,0)</f>
        <v>0</v>
      </c>
    </row>
    <row r="732" spans="1:23" x14ac:dyDescent="0.25">
      <c r="A732" t="s">
        <v>2018</v>
      </c>
      <c r="B732" t="s">
        <v>1283</v>
      </c>
      <c r="C732">
        <v>143</v>
      </c>
      <c r="D732" s="105">
        <v>38300691.909999996</v>
      </c>
      <c r="E732" t="s">
        <v>1909</v>
      </c>
      <c r="F732" s="105">
        <v>1435362.7</v>
      </c>
      <c r="G732" s="105">
        <v>54370912.640000001</v>
      </c>
      <c r="H732" s="143">
        <v>42489.806193321761</v>
      </c>
      <c r="I732" s="143">
        <v>43586</v>
      </c>
      <c r="J732" t="s">
        <v>2019</v>
      </c>
      <c r="K732" t="s">
        <v>1280</v>
      </c>
      <c r="L732" t="s">
        <v>1280</v>
      </c>
      <c r="M732">
        <v>200119</v>
      </c>
      <c r="N732" t="s">
        <v>2017</v>
      </c>
      <c r="O732" t="s">
        <v>25</v>
      </c>
      <c r="P732" t="s">
        <v>88</v>
      </c>
      <c r="Q732" t="s">
        <v>285</v>
      </c>
      <c r="R732" s="105">
        <f>IF(Table__192.168.1.150_Daily_Delinquency_With_Sectors[[#This Row],[Days in Arrears]] &gt; 0, Table__192.168.1.150_Daily_Delinquency_With_Sectors[[#This Row],[Outstanding Balance]],0)</f>
        <v>38300691.909999996</v>
      </c>
      <c r="S732" s="105">
        <f>IF(Table__192.168.1.150_Daily_Delinquency_With_Sectors[[#This Row],[Days in Arrears]] &gt; 30, Table__192.168.1.150_Daily_Delinquency_With_Sectors[[#This Row],[Outstanding Balance]],0)</f>
        <v>38300691.909999996</v>
      </c>
      <c r="T732" s="105">
        <f>IF(Table__192.168.1.150_Daily_Delinquency_With_Sectors[[#This Row],[Days in Arrears]] &gt; 90, Table__192.168.1.150_Daily_Delinquency_With_Sectors[[#This Row],[Outstanding Balance]],0)</f>
        <v>38300691.909999996</v>
      </c>
      <c r="U732" s="109">
        <f>IF(Table__192.168.1.150_Daily_Delinquency_With_Sectors[[#This Row],[Days in Arrears]] &gt;= 1,1,0)</f>
        <v>1</v>
      </c>
      <c r="V732" s="109">
        <f>IF(Table__192.168.1.150_Daily_Delinquency_With_Sectors[[#This Row],[Days in Arrears]] &gt; 30,1,0)</f>
        <v>1</v>
      </c>
      <c r="W732" s="109">
        <f>IF(Table__192.168.1.150_Daily_Delinquency_With_Sectors[[#This Row],[Days in Arrears]] &gt; 90,1,0)</f>
        <v>1</v>
      </c>
    </row>
    <row r="733" spans="1:23" x14ac:dyDescent="0.25">
      <c r="A733" t="s">
        <v>2021</v>
      </c>
      <c r="B733" t="s">
        <v>1283</v>
      </c>
      <c r="C733">
        <v>-26</v>
      </c>
      <c r="D733" s="105">
        <v>38284314.530000001</v>
      </c>
      <c r="E733" t="s">
        <v>1447</v>
      </c>
      <c r="F733" s="105">
        <v>127614.38</v>
      </c>
      <c r="G733" s="105">
        <v>60312323.920000002</v>
      </c>
      <c r="H733" s="143">
        <v>42490.746087997686</v>
      </c>
      <c r="I733" s="143">
        <v>43941</v>
      </c>
      <c r="J733" t="s">
        <v>2022</v>
      </c>
      <c r="K733" t="s">
        <v>1280</v>
      </c>
      <c r="L733" t="s">
        <v>1280</v>
      </c>
      <c r="M733">
        <v>200122</v>
      </c>
      <c r="N733" t="s">
        <v>2020</v>
      </c>
      <c r="O733" t="s">
        <v>45</v>
      </c>
      <c r="P733" t="s">
        <v>45</v>
      </c>
      <c r="Q733" t="s">
        <v>89</v>
      </c>
      <c r="R733" s="105">
        <f>IF(Table__192.168.1.150_Daily_Delinquency_With_Sectors[[#This Row],[Days in Arrears]] &gt; 0, Table__192.168.1.150_Daily_Delinquency_With_Sectors[[#This Row],[Outstanding Balance]],0)</f>
        <v>0</v>
      </c>
      <c r="S733" s="105">
        <f>IF(Table__192.168.1.150_Daily_Delinquency_With_Sectors[[#This Row],[Days in Arrears]] &gt; 30, Table__192.168.1.150_Daily_Delinquency_With_Sectors[[#This Row],[Outstanding Balance]],0)</f>
        <v>0</v>
      </c>
      <c r="T733" s="105">
        <f>IF(Table__192.168.1.150_Daily_Delinquency_With_Sectors[[#This Row],[Days in Arrears]] &gt; 90, Table__192.168.1.150_Daily_Delinquency_With_Sectors[[#This Row],[Outstanding Balance]],0)</f>
        <v>0</v>
      </c>
      <c r="U733" s="109">
        <f>IF(Table__192.168.1.150_Daily_Delinquency_With_Sectors[[#This Row],[Days in Arrears]] &gt;= 1,1,0)</f>
        <v>0</v>
      </c>
      <c r="V733" s="109">
        <f>IF(Table__192.168.1.150_Daily_Delinquency_With_Sectors[[#This Row],[Days in Arrears]] &gt; 30,1,0)</f>
        <v>0</v>
      </c>
      <c r="W733" s="109">
        <f>IF(Table__192.168.1.150_Daily_Delinquency_With_Sectors[[#This Row],[Days in Arrears]] &gt; 90,1,0)</f>
        <v>0</v>
      </c>
    </row>
    <row r="734" spans="1:23" x14ac:dyDescent="0.25">
      <c r="A734" t="s">
        <v>2024</v>
      </c>
      <c r="B734" t="s">
        <v>1282</v>
      </c>
      <c r="C734">
        <v>109</v>
      </c>
      <c r="D734" s="105">
        <v>5259874.79</v>
      </c>
      <c r="E734" t="s">
        <v>5724</v>
      </c>
      <c r="F734" s="105">
        <v>225072.98</v>
      </c>
      <c r="G734" s="105">
        <v>6462756.4299999997</v>
      </c>
      <c r="H734" s="143">
        <v>42490.775684641201</v>
      </c>
      <c r="I734" s="143">
        <v>43225</v>
      </c>
      <c r="J734" t="s">
        <v>2025</v>
      </c>
      <c r="K734" t="s">
        <v>1280</v>
      </c>
      <c r="L734" t="s">
        <v>1280</v>
      </c>
      <c r="M734">
        <v>200123</v>
      </c>
      <c r="N734" t="s">
        <v>2023</v>
      </c>
      <c r="O734" t="s">
        <v>44</v>
      </c>
      <c r="P734" t="s">
        <v>26</v>
      </c>
      <c r="Q734" t="s">
        <v>26</v>
      </c>
      <c r="R734" s="105">
        <f>IF(Table__192.168.1.150_Daily_Delinquency_With_Sectors[[#This Row],[Days in Arrears]] &gt; 0, Table__192.168.1.150_Daily_Delinquency_With_Sectors[[#This Row],[Outstanding Balance]],0)</f>
        <v>5259874.79</v>
      </c>
      <c r="S734" s="105">
        <f>IF(Table__192.168.1.150_Daily_Delinquency_With_Sectors[[#This Row],[Days in Arrears]] &gt; 30, Table__192.168.1.150_Daily_Delinquency_With_Sectors[[#This Row],[Outstanding Balance]],0)</f>
        <v>5259874.79</v>
      </c>
      <c r="T734" s="105">
        <f>IF(Table__192.168.1.150_Daily_Delinquency_With_Sectors[[#This Row],[Days in Arrears]] &gt; 90, Table__192.168.1.150_Daily_Delinquency_With_Sectors[[#This Row],[Outstanding Balance]],0)</f>
        <v>5259874.79</v>
      </c>
      <c r="U734" s="109">
        <f>IF(Table__192.168.1.150_Daily_Delinquency_With_Sectors[[#This Row],[Days in Arrears]] &gt;= 1,1,0)</f>
        <v>1</v>
      </c>
      <c r="V734" s="109">
        <f>IF(Table__192.168.1.150_Daily_Delinquency_With_Sectors[[#This Row],[Days in Arrears]] &gt; 30,1,0)</f>
        <v>1</v>
      </c>
      <c r="W734" s="109">
        <f>IF(Table__192.168.1.150_Daily_Delinquency_With_Sectors[[#This Row],[Days in Arrears]] &gt; 90,1,0)</f>
        <v>1</v>
      </c>
    </row>
    <row r="735" spans="1:23" x14ac:dyDescent="0.25">
      <c r="A735" t="s">
        <v>1703</v>
      </c>
      <c r="B735" t="s">
        <v>1284</v>
      </c>
      <c r="C735">
        <v>-16</v>
      </c>
      <c r="D735" s="105">
        <v>32802582.32</v>
      </c>
      <c r="E735" t="s">
        <v>546</v>
      </c>
      <c r="F735" s="105">
        <v>426433.57</v>
      </c>
      <c r="G735" s="105">
        <v>50206903.479999997</v>
      </c>
      <c r="H735" s="143">
        <v>42493.687899502314</v>
      </c>
      <c r="I735" s="143">
        <v>43961</v>
      </c>
      <c r="J735" t="s">
        <v>1704</v>
      </c>
      <c r="K735" t="s">
        <v>1280</v>
      </c>
      <c r="L735" t="s">
        <v>1280</v>
      </c>
      <c r="M735">
        <v>200126</v>
      </c>
      <c r="N735" t="s">
        <v>1702</v>
      </c>
      <c r="O735" t="s">
        <v>44</v>
      </c>
      <c r="P735" t="s">
        <v>75</v>
      </c>
      <c r="Q735" t="s">
        <v>26</v>
      </c>
      <c r="R735" s="105">
        <f>IF(Table__192.168.1.150_Daily_Delinquency_With_Sectors[[#This Row],[Days in Arrears]] &gt; 0, Table__192.168.1.150_Daily_Delinquency_With_Sectors[[#This Row],[Outstanding Balance]],0)</f>
        <v>0</v>
      </c>
      <c r="S735" s="105">
        <f>IF(Table__192.168.1.150_Daily_Delinquency_With_Sectors[[#This Row],[Days in Arrears]] &gt; 30, Table__192.168.1.150_Daily_Delinquency_With_Sectors[[#This Row],[Outstanding Balance]],0)</f>
        <v>0</v>
      </c>
      <c r="T735" s="105">
        <f>IF(Table__192.168.1.150_Daily_Delinquency_With_Sectors[[#This Row],[Days in Arrears]] &gt; 90, Table__192.168.1.150_Daily_Delinquency_With_Sectors[[#This Row],[Outstanding Balance]],0)</f>
        <v>0</v>
      </c>
      <c r="U735" s="109">
        <f>IF(Table__192.168.1.150_Daily_Delinquency_With_Sectors[[#This Row],[Days in Arrears]] &gt;= 1,1,0)</f>
        <v>0</v>
      </c>
      <c r="V735" s="109">
        <f>IF(Table__192.168.1.150_Daily_Delinquency_With_Sectors[[#This Row],[Days in Arrears]] &gt; 30,1,0)</f>
        <v>0</v>
      </c>
      <c r="W735" s="109">
        <f>IF(Table__192.168.1.150_Daily_Delinquency_With_Sectors[[#This Row],[Days in Arrears]] &gt; 90,1,0)</f>
        <v>0</v>
      </c>
    </row>
    <row r="736" spans="1:23" x14ac:dyDescent="0.25">
      <c r="A736" t="s">
        <v>2028</v>
      </c>
      <c r="B736" t="s">
        <v>1281</v>
      </c>
      <c r="C736">
        <v>-15</v>
      </c>
      <c r="D736" s="105">
        <v>13869438.57</v>
      </c>
      <c r="E736" t="s">
        <v>1909</v>
      </c>
      <c r="F736" s="105">
        <v>258896.19</v>
      </c>
      <c r="G736" s="105">
        <v>24062130.149999999</v>
      </c>
      <c r="H736" s="143">
        <v>42499.721652546294</v>
      </c>
      <c r="I736" s="143">
        <v>43960</v>
      </c>
      <c r="J736" t="s">
        <v>2029</v>
      </c>
      <c r="K736" t="s">
        <v>1280</v>
      </c>
      <c r="L736" t="s">
        <v>1280</v>
      </c>
      <c r="M736">
        <v>200130</v>
      </c>
      <c r="N736" t="s">
        <v>1954</v>
      </c>
      <c r="O736" t="s">
        <v>25</v>
      </c>
      <c r="P736" t="s">
        <v>88</v>
      </c>
      <c r="Q736" t="s">
        <v>285</v>
      </c>
      <c r="R736" s="105">
        <f>IF(Table__192.168.1.150_Daily_Delinquency_With_Sectors[[#This Row],[Days in Arrears]] &gt; 0, Table__192.168.1.150_Daily_Delinquency_With_Sectors[[#This Row],[Outstanding Balance]],0)</f>
        <v>0</v>
      </c>
      <c r="S736" s="105">
        <f>IF(Table__192.168.1.150_Daily_Delinquency_With_Sectors[[#This Row],[Days in Arrears]] &gt; 30, Table__192.168.1.150_Daily_Delinquency_With_Sectors[[#This Row],[Outstanding Balance]],0)</f>
        <v>0</v>
      </c>
      <c r="T736" s="105">
        <f>IF(Table__192.168.1.150_Daily_Delinquency_With_Sectors[[#This Row],[Days in Arrears]] &gt; 90, Table__192.168.1.150_Daily_Delinquency_With_Sectors[[#This Row],[Outstanding Balance]],0)</f>
        <v>0</v>
      </c>
      <c r="U736" s="109">
        <f>IF(Table__192.168.1.150_Daily_Delinquency_With_Sectors[[#This Row],[Days in Arrears]] &gt;= 1,1,0)</f>
        <v>0</v>
      </c>
      <c r="V736" s="109">
        <f>IF(Table__192.168.1.150_Daily_Delinquency_With_Sectors[[#This Row],[Days in Arrears]] &gt; 30,1,0)</f>
        <v>0</v>
      </c>
      <c r="W736" s="109">
        <f>IF(Table__192.168.1.150_Daily_Delinquency_With_Sectors[[#This Row],[Days in Arrears]] &gt; 90,1,0)</f>
        <v>0</v>
      </c>
    </row>
    <row r="737" spans="1:23" x14ac:dyDescent="0.25">
      <c r="A737" t="s">
        <v>2054</v>
      </c>
      <c r="B737" t="s">
        <v>1284</v>
      </c>
      <c r="C737">
        <v>9</v>
      </c>
      <c r="D737" s="105">
        <v>17944519.829999998</v>
      </c>
      <c r="E737" t="s">
        <v>1467</v>
      </c>
      <c r="F737" s="105">
        <v>146330.96</v>
      </c>
      <c r="G737" s="105">
        <v>19917558.93</v>
      </c>
      <c r="H737" s="143">
        <v>42501.640024386572</v>
      </c>
      <c r="I737" s="143">
        <v>43235</v>
      </c>
      <c r="J737" t="s">
        <v>2055</v>
      </c>
      <c r="K737" t="s">
        <v>1280</v>
      </c>
      <c r="L737" t="s">
        <v>1280</v>
      </c>
      <c r="M737">
        <v>200137</v>
      </c>
      <c r="N737" t="s">
        <v>2048</v>
      </c>
      <c r="O737" t="s">
        <v>35</v>
      </c>
      <c r="P737" t="s">
        <v>121</v>
      </c>
      <c r="Q737" t="s">
        <v>122</v>
      </c>
      <c r="R737" s="105">
        <f>IF(Table__192.168.1.150_Daily_Delinquency_With_Sectors[[#This Row],[Days in Arrears]] &gt; 0, Table__192.168.1.150_Daily_Delinquency_With_Sectors[[#This Row],[Outstanding Balance]],0)</f>
        <v>17944519.829999998</v>
      </c>
      <c r="S737" s="105">
        <f>IF(Table__192.168.1.150_Daily_Delinquency_With_Sectors[[#This Row],[Days in Arrears]] &gt; 30, Table__192.168.1.150_Daily_Delinquency_With_Sectors[[#This Row],[Outstanding Balance]],0)</f>
        <v>0</v>
      </c>
      <c r="T737" s="105">
        <f>IF(Table__192.168.1.150_Daily_Delinquency_With_Sectors[[#This Row],[Days in Arrears]] &gt; 90, Table__192.168.1.150_Daily_Delinquency_With_Sectors[[#This Row],[Outstanding Balance]],0)</f>
        <v>0</v>
      </c>
      <c r="U737" s="109">
        <f>IF(Table__192.168.1.150_Daily_Delinquency_With_Sectors[[#This Row],[Days in Arrears]] &gt;= 1,1,0)</f>
        <v>1</v>
      </c>
      <c r="V737" s="109">
        <f>IF(Table__192.168.1.150_Daily_Delinquency_With_Sectors[[#This Row],[Days in Arrears]] &gt; 30,1,0)</f>
        <v>0</v>
      </c>
      <c r="W737" s="109">
        <f>IF(Table__192.168.1.150_Daily_Delinquency_With_Sectors[[#This Row],[Days in Arrears]] &gt; 90,1,0)</f>
        <v>0</v>
      </c>
    </row>
    <row r="738" spans="1:23" x14ac:dyDescent="0.25">
      <c r="A738" t="s">
        <v>2056</v>
      </c>
      <c r="B738" t="s">
        <v>1281</v>
      </c>
      <c r="C738">
        <v>39</v>
      </c>
      <c r="D738" s="105">
        <v>8427538.2899999991</v>
      </c>
      <c r="E738" t="s">
        <v>90</v>
      </c>
      <c r="F738" s="105">
        <v>315203.7</v>
      </c>
      <c r="G738" s="105">
        <v>9743292.7799999993</v>
      </c>
      <c r="H738" s="143">
        <v>42501.670679166666</v>
      </c>
      <c r="I738" s="143">
        <v>43235</v>
      </c>
      <c r="J738" t="s">
        <v>2057</v>
      </c>
      <c r="K738" t="s">
        <v>1280</v>
      </c>
      <c r="L738" t="s">
        <v>2058</v>
      </c>
      <c r="M738">
        <v>200138</v>
      </c>
      <c r="N738" t="s">
        <v>2049</v>
      </c>
      <c r="O738" t="s">
        <v>25</v>
      </c>
      <c r="P738" t="s">
        <v>26</v>
      </c>
      <c r="Q738" t="s">
        <v>26</v>
      </c>
      <c r="R738" s="105">
        <f>IF(Table__192.168.1.150_Daily_Delinquency_With_Sectors[[#This Row],[Days in Arrears]] &gt; 0, Table__192.168.1.150_Daily_Delinquency_With_Sectors[[#This Row],[Outstanding Balance]],0)</f>
        <v>8427538.2899999991</v>
      </c>
      <c r="S738" s="105">
        <f>IF(Table__192.168.1.150_Daily_Delinquency_With_Sectors[[#This Row],[Days in Arrears]] &gt; 30, Table__192.168.1.150_Daily_Delinquency_With_Sectors[[#This Row],[Outstanding Balance]],0)</f>
        <v>8427538.2899999991</v>
      </c>
      <c r="T738" s="105">
        <f>IF(Table__192.168.1.150_Daily_Delinquency_With_Sectors[[#This Row],[Days in Arrears]] &gt; 90, Table__192.168.1.150_Daily_Delinquency_With_Sectors[[#This Row],[Outstanding Balance]],0)</f>
        <v>0</v>
      </c>
      <c r="U738" s="109">
        <f>IF(Table__192.168.1.150_Daily_Delinquency_With_Sectors[[#This Row],[Days in Arrears]] &gt;= 1,1,0)</f>
        <v>1</v>
      </c>
      <c r="V738" s="109">
        <f>IF(Table__192.168.1.150_Daily_Delinquency_With_Sectors[[#This Row],[Days in Arrears]] &gt; 30,1,0)</f>
        <v>1</v>
      </c>
      <c r="W738" s="109">
        <f>IF(Table__192.168.1.150_Daily_Delinquency_With_Sectors[[#This Row],[Days in Arrears]] &gt; 90,1,0)</f>
        <v>0</v>
      </c>
    </row>
    <row r="739" spans="1:23" x14ac:dyDescent="0.25">
      <c r="A739" t="s">
        <v>2066</v>
      </c>
      <c r="B739" t="s">
        <v>1284</v>
      </c>
      <c r="C739">
        <v>40</v>
      </c>
      <c r="D739" s="105">
        <v>8339217.0599999996</v>
      </c>
      <c r="E739" t="s">
        <v>1039</v>
      </c>
      <c r="F739" s="105">
        <v>545604.43999999994</v>
      </c>
      <c r="G739" s="105">
        <v>11558851.560000001</v>
      </c>
      <c r="H739" s="143">
        <v>42503.7178915162</v>
      </c>
      <c r="I739" s="143">
        <v>43599</v>
      </c>
      <c r="J739" t="s">
        <v>2067</v>
      </c>
      <c r="K739" t="s">
        <v>1280</v>
      </c>
      <c r="L739" t="s">
        <v>1280</v>
      </c>
      <c r="M739">
        <v>200140</v>
      </c>
      <c r="N739" t="s">
        <v>2059</v>
      </c>
      <c r="O739" t="s">
        <v>25</v>
      </c>
      <c r="P739" t="s">
        <v>88</v>
      </c>
      <c r="Q739" t="s">
        <v>285</v>
      </c>
      <c r="R739" s="105">
        <f>IF(Table__192.168.1.150_Daily_Delinquency_With_Sectors[[#This Row],[Days in Arrears]] &gt; 0, Table__192.168.1.150_Daily_Delinquency_With_Sectors[[#This Row],[Outstanding Balance]],0)</f>
        <v>8339217.0599999996</v>
      </c>
      <c r="S739" s="105">
        <f>IF(Table__192.168.1.150_Daily_Delinquency_With_Sectors[[#This Row],[Days in Arrears]] &gt; 30, Table__192.168.1.150_Daily_Delinquency_With_Sectors[[#This Row],[Outstanding Balance]],0)</f>
        <v>8339217.0599999996</v>
      </c>
      <c r="T739" s="105">
        <f>IF(Table__192.168.1.150_Daily_Delinquency_With_Sectors[[#This Row],[Days in Arrears]] &gt; 90, Table__192.168.1.150_Daily_Delinquency_With_Sectors[[#This Row],[Outstanding Balance]],0)</f>
        <v>0</v>
      </c>
      <c r="U739" s="109">
        <f>IF(Table__192.168.1.150_Daily_Delinquency_With_Sectors[[#This Row],[Days in Arrears]] &gt;= 1,1,0)</f>
        <v>1</v>
      </c>
      <c r="V739" s="109">
        <f>IF(Table__192.168.1.150_Daily_Delinquency_With_Sectors[[#This Row],[Days in Arrears]] &gt; 30,1,0)</f>
        <v>1</v>
      </c>
      <c r="W739" s="109">
        <f>IF(Table__192.168.1.150_Daily_Delinquency_With_Sectors[[#This Row],[Days in Arrears]] &gt; 90,1,0)</f>
        <v>0</v>
      </c>
    </row>
    <row r="740" spans="1:23" x14ac:dyDescent="0.25">
      <c r="A740" t="s">
        <v>2071</v>
      </c>
      <c r="B740" t="s">
        <v>1284</v>
      </c>
      <c r="C740">
        <v>1</v>
      </c>
      <c r="D740" s="105">
        <v>23649292.989999998</v>
      </c>
      <c r="E740" t="s">
        <v>546</v>
      </c>
      <c r="F740" s="105">
        <v>788309.77</v>
      </c>
      <c r="G740" s="105">
        <v>32253180.84</v>
      </c>
      <c r="H740" s="143">
        <v>42504.434353321762</v>
      </c>
      <c r="I740" s="143">
        <v>43608</v>
      </c>
      <c r="J740" t="s">
        <v>2072</v>
      </c>
      <c r="K740" t="s">
        <v>1280</v>
      </c>
      <c r="L740" t="s">
        <v>1280</v>
      </c>
      <c r="M740">
        <v>200141</v>
      </c>
      <c r="N740" t="s">
        <v>2068</v>
      </c>
      <c r="O740" t="s">
        <v>44</v>
      </c>
      <c r="P740" t="s">
        <v>75</v>
      </c>
      <c r="Q740" t="s">
        <v>26</v>
      </c>
      <c r="R740" s="105">
        <f>IF(Table__192.168.1.150_Daily_Delinquency_With_Sectors[[#This Row],[Days in Arrears]] &gt; 0, Table__192.168.1.150_Daily_Delinquency_With_Sectors[[#This Row],[Outstanding Balance]],0)</f>
        <v>23649292.989999998</v>
      </c>
      <c r="S740" s="105">
        <f>IF(Table__192.168.1.150_Daily_Delinquency_With_Sectors[[#This Row],[Days in Arrears]] &gt; 30, Table__192.168.1.150_Daily_Delinquency_With_Sectors[[#This Row],[Outstanding Balance]],0)</f>
        <v>0</v>
      </c>
      <c r="T740" s="105">
        <f>IF(Table__192.168.1.150_Daily_Delinquency_With_Sectors[[#This Row],[Days in Arrears]] &gt; 90, Table__192.168.1.150_Daily_Delinquency_With_Sectors[[#This Row],[Outstanding Balance]],0)</f>
        <v>0</v>
      </c>
      <c r="U740" s="109">
        <f>IF(Table__192.168.1.150_Daily_Delinquency_With_Sectors[[#This Row],[Days in Arrears]] &gt;= 1,1,0)</f>
        <v>1</v>
      </c>
      <c r="V740" s="109">
        <f>IF(Table__192.168.1.150_Daily_Delinquency_With_Sectors[[#This Row],[Days in Arrears]] &gt; 30,1,0)</f>
        <v>0</v>
      </c>
      <c r="W740" s="109">
        <f>IF(Table__192.168.1.150_Daily_Delinquency_With_Sectors[[#This Row],[Days in Arrears]] &gt; 90,1,0)</f>
        <v>0</v>
      </c>
    </row>
    <row r="741" spans="1:23" x14ac:dyDescent="0.25">
      <c r="A741" t="s">
        <v>2077</v>
      </c>
      <c r="B741" t="s">
        <v>1281</v>
      </c>
      <c r="C741">
        <v>8</v>
      </c>
      <c r="D741" s="105">
        <v>11113808.76</v>
      </c>
      <c r="E741" t="s">
        <v>1448</v>
      </c>
      <c r="F741" s="105">
        <v>469417.86</v>
      </c>
      <c r="G741" s="105">
        <v>16002496.02</v>
      </c>
      <c r="H741" s="143">
        <v>42506.736059606483</v>
      </c>
      <c r="I741" s="143">
        <v>43601</v>
      </c>
      <c r="J741" t="s">
        <v>2078</v>
      </c>
      <c r="K741" t="s">
        <v>1280</v>
      </c>
      <c r="L741" t="s">
        <v>1280</v>
      </c>
      <c r="M741">
        <v>200142</v>
      </c>
      <c r="N741" t="s">
        <v>2074</v>
      </c>
      <c r="O741" t="s">
        <v>45</v>
      </c>
      <c r="P741" t="s">
        <v>45</v>
      </c>
      <c r="Q741" t="s">
        <v>89</v>
      </c>
      <c r="R741" s="105">
        <f>IF(Table__192.168.1.150_Daily_Delinquency_With_Sectors[[#This Row],[Days in Arrears]] &gt; 0, Table__192.168.1.150_Daily_Delinquency_With_Sectors[[#This Row],[Outstanding Balance]],0)</f>
        <v>11113808.76</v>
      </c>
      <c r="S741" s="105">
        <f>IF(Table__192.168.1.150_Daily_Delinquency_With_Sectors[[#This Row],[Days in Arrears]] &gt; 30, Table__192.168.1.150_Daily_Delinquency_With_Sectors[[#This Row],[Outstanding Balance]],0)</f>
        <v>0</v>
      </c>
      <c r="T741" s="105">
        <f>IF(Table__192.168.1.150_Daily_Delinquency_With_Sectors[[#This Row],[Days in Arrears]] &gt; 90, Table__192.168.1.150_Daily_Delinquency_With_Sectors[[#This Row],[Outstanding Balance]],0)</f>
        <v>0</v>
      </c>
      <c r="U741" s="109">
        <f>IF(Table__192.168.1.150_Daily_Delinquency_With_Sectors[[#This Row],[Days in Arrears]] &gt;= 1,1,0)</f>
        <v>1</v>
      </c>
      <c r="V741" s="109">
        <f>IF(Table__192.168.1.150_Daily_Delinquency_With_Sectors[[#This Row],[Days in Arrears]] &gt; 30,1,0)</f>
        <v>0</v>
      </c>
      <c r="W741" s="109">
        <f>IF(Table__192.168.1.150_Daily_Delinquency_With_Sectors[[#This Row],[Days in Arrears]] &gt; 90,1,0)</f>
        <v>0</v>
      </c>
    </row>
    <row r="742" spans="1:23" x14ac:dyDescent="0.25">
      <c r="A742" t="s">
        <v>2093</v>
      </c>
      <c r="B742" t="s">
        <v>1283</v>
      </c>
      <c r="C742">
        <v>-1</v>
      </c>
      <c r="D742" s="105">
        <v>20564774.699999999</v>
      </c>
      <c r="E742" t="s">
        <v>2034</v>
      </c>
      <c r="F742" s="105">
        <v>639792.99</v>
      </c>
      <c r="G742" s="105">
        <v>28089680.829999998</v>
      </c>
      <c r="H742" s="143">
        <v>42508.715886377315</v>
      </c>
      <c r="I742" s="143">
        <v>43610</v>
      </c>
      <c r="J742" t="s">
        <v>2094</v>
      </c>
      <c r="K742" t="s">
        <v>1280</v>
      </c>
      <c r="L742" t="s">
        <v>1280</v>
      </c>
      <c r="M742">
        <v>200149</v>
      </c>
      <c r="N742" t="s">
        <v>2082</v>
      </c>
      <c r="O742" t="s">
        <v>25</v>
      </c>
      <c r="P742" t="s">
        <v>295</v>
      </c>
      <c r="Q742" t="s">
        <v>26</v>
      </c>
      <c r="R742" s="105">
        <f>IF(Table__192.168.1.150_Daily_Delinquency_With_Sectors[[#This Row],[Days in Arrears]] &gt; 0, Table__192.168.1.150_Daily_Delinquency_With_Sectors[[#This Row],[Outstanding Balance]],0)</f>
        <v>0</v>
      </c>
      <c r="S742" s="105">
        <f>IF(Table__192.168.1.150_Daily_Delinquency_With_Sectors[[#This Row],[Days in Arrears]] &gt; 30, Table__192.168.1.150_Daily_Delinquency_With_Sectors[[#This Row],[Outstanding Balance]],0)</f>
        <v>0</v>
      </c>
      <c r="T742" s="105">
        <f>IF(Table__192.168.1.150_Daily_Delinquency_With_Sectors[[#This Row],[Days in Arrears]] &gt; 90, Table__192.168.1.150_Daily_Delinquency_With_Sectors[[#This Row],[Outstanding Balance]],0)</f>
        <v>0</v>
      </c>
      <c r="U742" s="109">
        <f>IF(Table__192.168.1.150_Daily_Delinquency_With_Sectors[[#This Row],[Days in Arrears]] &gt;= 1,1,0)</f>
        <v>0</v>
      </c>
      <c r="V742" s="109">
        <f>IF(Table__192.168.1.150_Daily_Delinquency_With_Sectors[[#This Row],[Days in Arrears]] &gt; 30,1,0)</f>
        <v>0</v>
      </c>
      <c r="W742" s="109">
        <f>IF(Table__192.168.1.150_Daily_Delinquency_With_Sectors[[#This Row],[Days in Arrears]] &gt; 90,1,0)</f>
        <v>0</v>
      </c>
    </row>
    <row r="743" spans="1:23" x14ac:dyDescent="0.25">
      <c r="A743" t="s">
        <v>403</v>
      </c>
      <c r="B743" t="s">
        <v>1281</v>
      </c>
      <c r="C743">
        <v>-27</v>
      </c>
      <c r="D743" s="105">
        <v>23223436.140000001</v>
      </c>
      <c r="E743" t="s">
        <v>284</v>
      </c>
      <c r="F743" s="105">
        <v>32254.77</v>
      </c>
      <c r="G743" s="105">
        <v>31465315.210000001</v>
      </c>
      <c r="H743" s="143">
        <v>42510.554343206015</v>
      </c>
      <c r="I743" s="143">
        <v>43972</v>
      </c>
      <c r="J743" t="s">
        <v>404</v>
      </c>
      <c r="K743" t="s">
        <v>1280</v>
      </c>
      <c r="L743" t="s">
        <v>1280</v>
      </c>
      <c r="M743">
        <v>200154</v>
      </c>
      <c r="N743" t="s">
        <v>1746</v>
      </c>
      <c r="O743" t="s">
        <v>43</v>
      </c>
      <c r="P743" t="s">
        <v>338</v>
      </c>
      <c r="Q743" t="s">
        <v>26</v>
      </c>
      <c r="R743" s="105">
        <f>IF(Table__192.168.1.150_Daily_Delinquency_With_Sectors[[#This Row],[Days in Arrears]] &gt; 0, Table__192.168.1.150_Daily_Delinquency_With_Sectors[[#This Row],[Outstanding Balance]],0)</f>
        <v>0</v>
      </c>
      <c r="S743" s="105">
        <f>IF(Table__192.168.1.150_Daily_Delinquency_With_Sectors[[#This Row],[Days in Arrears]] &gt; 30, Table__192.168.1.150_Daily_Delinquency_With_Sectors[[#This Row],[Outstanding Balance]],0)</f>
        <v>0</v>
      </c>
      <c r="T743" s="105">
        <f>IF(Table__192.168.1.150_Daily_Delinquency_With_Sectors[[#This Row],[Days in Arrears]] &gt; 90, Table__192.168.1.150_Daily_Delinquency_With_Sectors[[#This Row],[Outstanding Balance]],0)</f>
        <v>0</v>
      </c>
      <c r="U743" s="109">
        <f>IF(Table__192.168.1.150_Daily_Delinquency_With_Sectors[[#This Row],[Days in Arrears]] &gt;= 1,1,0)</f>
        <v>0</v>
      </c>
      <c r="V743" s="109">
        <f>IF(Table__192.168.1.150_Daily_Delinquency_With_Sectors[[#This Row],[Days in Arrears]] &gt; 30,1,0)</f>
        <v>0</v>
      </c>
      <c r="W743" s="109">
        <f>IF(Table__192.168.1.150_Daily_Delinquency_With_Sectors[[#This Row],[Days in Arrears]] &gt; 90,1,0)</f>
        <v>0</v>
      </c>
    </row>
    <row r="744" spans="1:23" x14ac:dyDescent="0.25">
      <c r="A744" t="s">
        <v>2115</v>
      </c>
      <c r="B744" t="s">
        <v>1281</v>
      </c>
      <c r="C744">
        <v>4</v>
      </c>
      <c r="D744" s="105">
        <v>1153762.44</v>
      </c>
      <c r="E744" t="s">
        <v>1448</v>
      </c>
      <c r="F744" s="105">
        <v>47092.17</v>
      </c>
      <c r="G744" s="105">
        <v>1153762.44</v>
      </c>
      <c r="H744" s="143">
        <v>42510.632320370372</v>
      </c>
      <c r="I744" s="143">
        <v>43059</v>
      </c>
      <c r="J744" t="s">
        <v>2116</v>
      </c>
      <c r="K744" t="s">
        <v>5711</v>
      </c>
      <c r="L744" t="s">
        <v>1280</v>
      </c>
      <c r="M744">
        <v>200156</v>
      </c>
      <c r="N744" t="s">
        <v>2105</v>
      </c>
      <c r="O744" t="s">
        <v>45</v>
      </c>
      <c r="P744" t="s">
        <v>45</v>
      </c>
      <c r="Q744" t="s">
        <v>26</v>
      </c>
      <c r="R744" s="105">
        <f>IF(Table__192.168.1.150_Daily_Delinquency_With_Sectors[[#This Row],[Days in Arrears]] &gt; 0, Table__192.168.1.150_Daily_Delinquency_With_Sectors[[#This Row],[Outstanding Balance]],0)</f>
        <v>1153762.44</v>
      </c>
      <c r="S744" s="105">
        <f>IF(Table__192.168.1.150_Daily_Delinquency_With_Sectors[[#This Row],[Days in Arrears]] &gt; 30, Table__192.168.1.150_Daily_Delinquency_With_Sectors[[#This Row],[Outstanding Balance]],0)</f>
        <v>0</v>
      </c>
      <c r="T744" s="105">
        <f>IF(Table__192.168.1.150_Daily_Delinquency_With_Sectors[[#This Row],[Days in Arrears]] &gt; 90, Table__192.168.1.150_Daily_Delinquency_With_Sectors[[#This Row],[Outstanding Balance]],0)</f>
        <v>0</v>
      </c>
      <c r="U744" s="109">
        <f>IF(Table__192.168.1.150_Daily_Delinquency_With_Sectors[[#This Row],[Days in Arrears]] &gt;= 1,1,0)</f>
        <v>1</v>
      </c>
      <c r="V744" s="109">
        <f>IF(Table__192.168.1.150_Daily_Delinquency_With_Sectors[[#This Row],[Days in Arrears]] &gt; 30,1,0)</f>
        <v>0</v>
      </c>
      <c r="W744" s="109">
        <f>IF(Table__192.168.1.150_Daily_Delinquency_With_Sectors[[#This Row],[Days in Arrears]] &gt; 90,1,0)</f>
        <v>0</v>
      </c>
    </row>
    <row r="745" spans="1:23" x14ac:dyDescent="0.25">
      <c r="A745" t="s">
        <v>2120</v>
      </c>
      <c r="B745" t="s">
        <v>1283</v>
      </c>
      <c r="C745">
        <v>4</v>
      </c>
      <c r="D745" s="105">
        <v>28964323.84</v>
      </c>
      <c r="E745" t="s">
        <v>1448</v>
      </c>
      <c r="F745" s="105">
        <v>1100338.8999999999</v>
      </c>
      <c r="G745" s="105">
        <v>38979875.920000002</v>
      </c>
      <c r="H745" s="143">
        <v>42510.694846643521</v>
      </c>
      <c r="I745" s="143">
        <v>43605</v>
      </c>
      <c r="J745" t="s">
        <v>2121</v>
      </c>
      <c r="K745" t="s">
        <v>1280</v>
      </c>
      <c r="L745" t="s">
        <v>1280</v>
      </c>
      <c r="M745">
        <v>200158</v>
      </c>
      <c r="N745" t="s">
        <v>2103</v>
      </c>
      <c r="O745" t="s">
        <v>44</v>
      </c>
      <c r="P745" t="s">
        <v>92</v>
      </c>
      <c r="Q745" t="s">
        <v>92</v>
      </c>
      <c r="R745" s="105">
        <f>IF(Table__192.168.1.150_Daily_Delinquency_With_Sectors[[#This Row],[Days in Arrears]] &gt; 0, Table__192.168.1.150_Daily_Delinquency_With_Sectors[[#This Row],[Outstanding Balance]],0)</f>
        <v>28964323.84</v>
      </c>
      <c r="S745" s="105">
        <f>IF(Table__192.168.1.150_Daily_Delinquency_With_Sectors[[#This Row],[Days in Arrears]] &gt; 30, Table__192.168.1.150_Daily_Delinquency_With_Sectors[[#This Row],[Outstanding Balance]],0)</f>
        <v>0</v>
      </c>
      <c r="T745" s="105">
        <f>IF(Table__192.168.1.150_Daily_Delinquency_With_Sectors[[#This Row],[Days in Arrears]] &gt; 90, Table__192.168.1.150_Daily_Delinquency_With_Sectors[[#This Row],[Outstanding Balance]],0)</f>
        <v>0</v>
      </c>
      <c r="U745" s="109">
        <f>IF(Table__192.168.1.150_Daily_Delinquency_With_Sectors[[#This Row],[Days in Arrears]] &gt;= 1,1,0)</f>
        <v>1</v>
      </c>
      <c r="V745" s="109">
        <f>IF(Table__192.168.1.150_Daily_Delinquency_With_Sectors[[#This Row],[Days in Arrears]] &gt; 30,1,0)</f>
        <v>0</v>
      </c>
      <c r="W745" s="109">
        <f>IF(Table__192.168.1.150_Daily_Delinquency_With_Sectors[[#This Row],[Days in Arrears]] &gt; 90,1,0)</f>
        <v>0</v>
      </c>
    </row>
    <row r="746" spans="1:23" x14ac:dyDescent="0.25">
      <c r="A746" t="s">
        <v>2047</v>
      </c>
      <c r="B746" t="s">
        <v>1284</v>
      </c>
      <c r="C746">
        <v>9</v>
      </c>
      <c r="D746" s="105">
        <v>35619244.359999999</v>
      </c>
      <c r="E746" t="s">
        <v>546</v>
      </c>
      <c r="F746" s="105">
        <v>1408938.92</v>
      </c>
      <c r="G746" s="105">
        <v>57589302.270000003</v>
      </c>
      <c r="H746" s="143">
        <v>42511.461811539353</v>
      </c>
      <c r="I746" s="143">
        <v>43966</v>
      </c>
      <c r="J746" t="s">
        <v>1278</v>
      </c>
      <c r="K746" t="s">
        <v>1704</v>
      </c>
      <c r="L746" t="s">
        <v>1280</v>
      </c>
      <c r="M746">
        <v>200160</v>
      </c>
      <c r="N746" t="s">
        <v>2036</v>
      </c>
      <c r="O746" t="s">
        <v>35</v>
      </c>
      <c r="P746" t="s">
        <v>121</v>
      </c>
      <c r="Q746" t="s">
        <v>299</v>
      </c>
      <c r="R746" s="105">
        <f>IF(Table__192.168.1.150_Daily_Delinquency_With_Sectors[[#This Row],[Days in Arrears]] &gt; 0, Table__192.168.1.150_Daily_Delinquency_With_Sectors[[#This Row],[Outstanding Balance]],0)</f>
        <v>35619244.359999999</v>
      </c>
      <c r="S746" s="105">
        <f>IF(Table__192.168.1.150_Daily_Delinquency_With_Sectors[[#This Row],[Days in Arrears]] &gt; 30, Table__192.168.1.150_Daily_Delinquency_With_Sectors[[#This Row],[Outstanding Balance]],0)</f>
        <v>0</v>
      </c>
      <c r="T746" s="105">
        <f>IF(Table__192.168.1.150_Daily_Delinquency_With_Sectors[[#This Row],[Days in Arrears]] &gt; 90, Table__192.168.1.150_Daily_Delinquency_With_Sectors[[#This Row],[Outstanding Balance]],0)</f>
        <v>0</v>
      </c>
      <c r="U746" s="109">
        <f>IF(Table__192.168.1.150_Daily_Delinquency_With_Sectors[[#This Row],[Days in Arrears]] &gt;= 1,1,0)</f>
        <v>1</v>
      </c>
      <c r="V746" s="109">
        <f>IF(Table__192.168.1.150_Daily_Delinquency_With_Sectors[[#This Row],[Days in Arrears]] &gt; 30,1,0)</f>
        <v>0</v>
      </c>
      <c r="W746" s="109">
        <f>IF(Table__192.168.1.150_Daily_Delinquency_With_Sectors[[#This Row],[Days in Arrears]] &gt; 90,1,0)</f>
        <v>0</v>
      </c>
    </row>
    <row r="747" spans="1:23" x14ac:dyDescent="0.25">
      <c r="A747" t="s">
        <v>2156</v>
      </c>
      <c r="B747" t="s">
        <v>1281</v>
      </c>
      <c r="C747">
        <v>89</v>
      </c>
      <c r="D747" s="105">
        <v>13494346.41</v>
      </c>
      <c r="E747" t="s">
        <v>1925</v>
      </c>
      <c r="F747" s="105">
        <v>1031529.39</v>
      </c>
      <c r="G747" s="105">
        <v>18507819.920000002</v>
      </c>
      <c r="H747" s="143">
        <v>42514.770124456016</v>
      </c>
      <c r="I747" s="143">
        <v>43429</v>
      </c>
      <c r="J747" t="s">
        <v>2157</v>
      </c>
      <c r="K747" t="s">
        <v>1280</v>
      </c>
      <c r="L747" t="s">
        <v>1280</v>
      </c>
      <c r="M747">
        <v>200166</v>
      </c>
      <c r="N747" t="s">
        <v>2138</v>
      </c>
      <c r="O747" t="s">
        <v>46</v>
      </c>
      <c r="P747" t="s">
        <v>46</v>
      </c>
      <c r="Q747" t="s">
        <v>26</v>
      </c>
      <c r="R747" s="105">
        <f>IF(Table__192.168.1.150_Daily_Delinquency_With_Sectors[[#This Row],[Days in Arrears]] &gt; 0, Table__192.168.1.150_Daily_Delinquency_With_Sectors[[#This Row],[Outstanding Balance]],0)</f>
        <v>13494346.41</v>
      </c>
      <c r="S747" s="105">
        <f>IF(Table__192.168.1.150_Daily_Delinquency_With_Sectors[[#This Row],[Days in Arrears]] &gt; 30, Table__192.168.1.150_Daily_Delinquency_With_Sectors[[#This Row],[Outstanding Balance]],0)</f>
        <v>13494346.41</v>
      </c>
      <c r="T747" s="105">
        <f>IF(Table__192.168.1.150_Daily_Delinquency_With_Sectors[[#This Row],[Days in Arrears]] &gt; 90, Table__192.168.1.150_Daily_Delinquency_With_Sectors[[#This Row],[Outstanding Balance]],0)</f>
        <v>0</v>
      </c>
      <c r="U747" s="109">
        <f>IF(Table__192.168.1.150_Daily_Delinquency_With_Sectors[[#This Row],[Days in Arrears]] &gt;= 1,1,0)</f>
        <v>1</v>
      </c>
      <c r="V747" s="109">
        <f>IF(Table__192.168.1.150_Daily_Delinquency_With_Sectors[[#This Row],[Days in Arrears]] &gt; 30,1,0)</f>
        <v>1</v>
      </c>
      <c r="W747" s="109">
        <f>IF(Table__192.168.1.150_Daily_Delinquency_With_Sectors[[#This Row],[Days in Arrears]] &gt; 90,1,0)</f>
        <v>0</v>
      </c>
    </row>
    <row r="748" spans="1:23" x14ac:dyDescent="0.25">
      <c r="A748" t="s">
        <v>2160</v>
      </c>
      <c r="B748" t="s">
        <v>1281</v>
      </c>
      <c r="C748">
        <v>23</v>
      </c>
      <c r="D748" s="105">
        <v>15389135.51</v>
      </c>
      <c r="E748" t="s">
        <v>1925</v>
      </c>
      <c r="F748" s="105">
        <v>972646.62</v>
      </c>
      <c r="G748" s="105">
        <v>20326576.129999999</v>
      </c>
      <c r="H748" s="143">
        <v>42515.69282207176</v>
      </c>
      <c r="I748" s="143">
        <v>43435</v>
      </c>
      <c r="J748" t="s">
        <v>2161</v>
      </c>
      <c r="K748" t="s">
        <v>4143</v>
      </c>
      <c r="L748" t="s">
        <v>1280</v>
      </c>
      <c r="M748">
        <v>200168</v>
      </c>
      <c r="N748" t="s">
        <v>2129</v>
      </c>
      <c r="O748" t="s">
        <v>27</v>
      </c>
      <c r="P748" t="s">
        <v>116</v>
      </c>
      <c r="Q748" t="s">
        <v>1830</v>
      </c>
      <c r="R748" s="105">
        <f>IF(Table__192.168.1.150_Daily_Delinquency_With_Sectors[[#This Row],[Days in Arrears]] &gt; 0, Table__192.168.1.150_Daily_Delinquency_With_Sectors[[#This Row],[Outstanding Balance]],0)</f>
        <v>15389135.51</v>
      </c>
      <c r="S748" s="105">
        <f>IF(Table__192.168.1.150_Daily_Delinquency_With_Sectors[[#This Row],[Days in Arrears]] &gt; 30, Table__192.168.1.150_Daily_Delinquency_With_Sectors[[#This Row],[Outstanding Balance]],0)</f>
        <v>0</v>
      </c>
      <c r="T748" s="105">
        <f>IF(Table__192.168.1.150_Daily_Delinquency_With_Sectors[[#This Row],[Days in Arrears]] &gt; 90, Table__192.168.1.150_Daily_Delinquency_With_Sectors[[#This Row],[Outstanding Balance]],0)</f>
        <v>0</v>
      </c>
      <c r="U748" s="109">
        <f>IF(Table__192.168.1.150_Daily_Delinquency_With_Sectors[[#This Row],[Days in Arrears]] &gt;= 1,1,0)</f>
        <v>1</v>
      </c>
      <c r="V748" s="109">
        <f>IF(Table__192.168.1.150_Daily_Delinquency_With_Sectors[[#This Row],[Days in Arrears]] &gt; 30,1,0)</f>
        <v>0</v>
      </c>
      <c r="W748" s="109">
        <f>IF(Table__192.168.1.150_Daily_Delinquency_With_Sectors[[#This Row],[Days in Arrears]] &gt; 90,1,0)</f>
        <v>0</v>
      </c>
    </row>
    <row r="749" spans="1:23" x14ac:dyDescent="0.25">
      <c r="A749" t="s">
        <v>2172</v>
      </c>
      <c r="B749" t="s">
        <v>1283</v>
      </c>
      <c r="C749">
        <v>21</v>
      </c>
      <c r="D749" s="105">
        <v>34933347.789999999</v>
      </c>
      <c r="E749" t="s">
        <v>1909</v>
      </c>
      <c r="F749" s="105">
        <v>1810300.91</v>
      </c>
      <c r="G749" s="105">
        <v>48318022.259999998</v>
      </c>
      <c r="H749" s="143">
        <v>42517.76865690972</v>
      </c>
      <c r="I749" s="143">
        <v>43619</v>
      </c>
      <c r="J749" t="s">
        <v>2173</v>
      </c>
      <c r="K749" t="s">
        <v>1280</v>
      </c>
      <c r="L749" t="s">
        <v>1280</v>
      </c>
      <c r="M749">
        <v>200172</v>
      </c>
      <c r="N749" t="s">
        <v>2166</v>
      </c>
      <c r="O749" t="s">
        <v>44</v>
      </c>
      <c r="P749" t="s">
        <v>92</v>
      </c>
      <c r="Q749" t="s">
        <v>92</v>
      </c>
      <c r="R749" s="105">
        <f>IF(Table__192.168.1.150_Daily_Delinquency_With_Sectors[[#This Row],[Days in Arrears]] &gt; 0, Table__192.168.1.150_Daily_Delinquency_With_Sectors[[#This Row],[Outstanding Balance]],0)</f>
        <v>34933347.789999999</v>
      </c>
      <c r="S749" s="105">
        <f>IF(Table__192.168.1.150_Daily_Delinquency_With_Sectors[[#This Row],[Days in Arrears]] &gt; 30, Table__192.168.1.150_Daily_Delinquency_With_Sectors[[#This Row],[Outstanding Balance]],0)</f>
        <v>0</v>
      </c>
      <c r="T749" s="105">
        <f>IF(Table__192.168.1.150_Daily_Delinquency_With_Sectors[[#This Row],[Days in Arrears]] &gt; 90, Table__192.168.1.150_Daily_Delinquency_With_Sectors[[#This Row],[Outstanding Balance]],0)</f>
        <v>0</v>
      </c>
      <c r="U749" s="109">
        <f>IF(Table__192.168.1.150_Daily_Delinquency_With_Sectors[[#This Row],[Days in Arrears]] &gt;= 1,1,0)</f>
        <v>1</v>
      </c>
      <c r="V749" s="109">
        <f>IF(Table__192.168.1.150_Daily_Delinquency_With_Sectors[[#This Row],[Days in Arrears]] &gt; 30,1,0)</f>
        <v>0</v>
      </c>
      <c r="W749" s="109">
        <f>IF(Table__192.168.1.150_Daily_Delinquency_With_Sectors[[#This Row],[Days in Arrears]] &gt; 90,1,0)</f>
        <v>0</v>
      </c>
    </row>
    <row r="750" spans="1:23" x14ac:dyDescent="0.25">
      <c r="A750" t="s">
        <v>2180</v>
      </c>
      <c r="B750" t="s">
        <v>1284</v>
      </c>
      <c r="C750">
        <v>-7</v>
      </c>
      <c r="D750" s="105">
        <v>3768780.6</v>
      </c>
      <c r="E750" t="s">
        <v>2175</v>
      </c>
      <c r="F750" s="105">
        <v>92125.75</v>
      </c>
      <c r="G750" s="105">
        <v>4287746.95</v>
      </c>
      <c r="H750" s="143">
        <v>42520.713327662037</v>
      </c>
      <c r="I750" s="143">
        <v>43252</v>
      </c>
      <c r="J750" t="s">
        <v>2181</v>
      </c>
      <c r="K750" t="s">
        <v>1280</v>
      </c>
      <c r="L750" t="s">
        <v>1280</v>
      </c>
      <c r="M750">
        <v>200174</v>
      </c>
      <c r="N750" t="s">
        <v>2174</v>
      </c>
      <c r="O750" t="s">
        <v>27</v>
      </c>
      <c r="P750" t="s">
        <v>81</v>
      </c>
      <c r="Q750" t="s">
        <v>26</v>
      </c>
      <c r="R750" s="105">
        <f>IF(Table__192.168.1.150_Daily_Delinquency_With_Sectors[[#This Row],[Days in Arrears]] &gt; 0, Table__192.168.1.150_Daily_Delinquency_With_Sectors[[#This Row],[Outstanding Balance]],0)</f>
        <v>0</v>
      </c>
      <c r="S750" s="105">
        <f>IF(Table__192.168.1.150_Daily_Delinquency_With_Sectors[[#This Row],[Days in Arrears]] &gt; 30, Table__192.168.1.150_Daily_Delinquency_With_Sectors[[#This Row],[Outstanding Balance]],0)</f>
        <v>0</v>
      </c>
      <c r="T750" s="105">
        <f>IF(Table__192.168.1.150_Daily_Delinquency_With_Sectors[[#This Row],[Days in Arrears]] &gt; 90, Table__192.168.1.150_Daily_Delinquency_With_Sectors[[#This Row],[Outstanding Balance]],0)</f>
        <v>0</v>
      </c>
      <c r="U750" s="109">
        <f>IF(Table__192.168.1.150_Daily_Delinquency_With_Sectors[[#This Row],[Days in Arrears]] &gt;= 1,1,0)</f>
        <v>0</v>
      </c>
      <c r="V750" s="109">
        <f>IF(Table__192.168.1.150_Daily_Delinquency_With_Sectors[[#This Row],[Days in Arrears]] &gt; 30,1,0)</f>
        <v>0</v>
      </c>
      <c r="W750" s="109">
        <f>IF(Table__192.168.1.150_Daily_Delinquency_With_Sectors[[#This Row],[Days in Arrears]] &gt; 90,1,0)</f>
        <v>0</v>
      </c>
    </row>
    <row r="751" spans="1:23" x14ac:dyDescent="0.25">
      <c r="A751" t="s">
        <v>2203</v>
      </c>
      <c r="B751" t="s">
        <v>1284</v>
      </c>
      <c r="C751">
        <v>23</v>
      </c>
      <c r="D751" s="105">
        <v>32219659.550000001</v>
      </c>
      <c r="E751" t="s">
        <v>491</v>
      </c>
      <c r="F751" s="105">
        <v>769005.89</v>
      </c>
      <c r="G751" s="105">
        <v>47620307.869999997</v>
      </c>
      <c r="H751" s="143">
        <v>42521.653327465276</v>
      </c>
      <c r="I751" s="143">
        <v>43800</v>
      </c>
      <c r="J751" t="s">
        <v>2204</v>
      </c>
      <c r="K751" t="s">
        <v>1280</v>
      </c>
      <c r="L751" t="s">
        <v>1280</v>
      </c>
      <c r="M751">
        <v>200177</v>
      </c>
      <c r="N751" t="s">
        <v>2194</v>
      </c>
      <c r="O751" t="s">
        <v>44</v>
      </c>
      <c r="P751" t="s">
        <v>92</v>
      </c>
      <c r="Q751" t="s">
        <v>92</v>
      </c>
      <c r="R751" s="105">
        <f>IF(Table__192.168.1.150_Daily_Delinquency_With_Sectors[[#This Row],[Days in Arrears]] &gt; 0, Table__192.168.1.150_Daily_Delinquency_With_Sectors[[#This Row],[Outstanding Balance]],0)</f>
        <v>32219659.550000001</v>
      </c>
      <c r="S751" s="105">
        <f>IF(Table__192.168.1.150_Daily_Delinquency_With_Sectors[[#This Row],[Days in Arrears]] &gt; 30, Table__192.168.1.150_Daily_Delinquency_With_Sectors[[#This Row],[Outstanding Balance]],0)</f>
        <v>0</v>
      </c>
      <c r="T751" s="105">
        <f>IF(Table__192.168.1.150_Daily_Delinquency_With_Sectors[[#This Row],[Days in Arrears]] &gt; 90, Table__192.168.1.150_Daily_Delinquency_With_Sectors[[#This Row],[Outstanding Balance]],0)</f>
        <v>0</v>
      </c>
      <c r="U751" s="109">
        <f>IF(Table__192.168.1.150_Daily_Delinquency_With_Sectors[[#This Row],[Days in Arrears]] &gt;= 1,1,0)</f>
        <v>1</v>
      </c>
      <c r="V751" s="109">
        <f>IF(Table__192.168.1.150_Daily_Delinquency_With_Sectors[[#This Row],[Days in Arrears]] &gt; 30,1,0)</f>
        <v>0</v>
      </c>
      <c r="W751" s="109">
        <f>IF(Table__192.168.1.150_Daily_Delinquency_With_Sectors[[#This Row],[Days in Arrears]] &gt; 90,1,0)</f>
        <v>0</v>
      </c>
    </row>
    <row r="752" spans="1:23" x14ac:dyDescent="0.25">
      <c r="A752" t="s">
        <v>2205</v>
      </c>
      <c r="B752" t="s">
        <v>1281</v>
      </c>
      <c r="C752">
        <v>23</v>
      </c>
      <c r="D752" s="105">
        <v>2252616.69</v>
      </c>
      <c r="E752" t="s">
        <v>2034</v>
      </c>
      <c r="F752" s="105">
        <v>123790.86</v>
      </c>
      <c r="G752" s="105">
        <v>2388657.08</v>
      </c>
      <c r="H752" s="143">
        <v>42521.717520486112</v>
      </c>
      <c r="I752" s="143">
        <v>43070</v>
      </c>
      <c r="J752" t="s">
        <v>2206</v>
      </c>
      <c r="K752" t="s">
        <v>1280</v>
      </c>
      <c r="L752" t="s">
        <v>1280</v>
      </c>
      <c r="M752">
        <v>200178</v>
      </c>
      <c r="N752" t="s">
        <v>2190</v>
      </c>
      <c r="O752" t="s">
        <v>25</v>
      </c>
      <c r="P752" t="s">
        <v>26</v>
      </c>
      <c r="Q752" t="s">
        <v>26</v>
      </c>
      <c r="R752" s="105">
        <f>IF(Table__192.168.1.150_Daily_Delinquency_With_Sectors[[#This Row],[Days in Arrears]] &gt; 0, Table__192.168.1.150_Daily_Delinquency_With_Sectors[[#This Row],[Outstanding Balance]],0)</f>
        <v>2252616.69</v>
      </c>
      <c r="S752" s="105">
        <f>IF(Table__192.168.1.150_Daily_Delinquency_With_Sectors[[#This Row],[Days in Arrears]] &gt; 30, Table__192.168.1.150_Daily_Delinquency_With_Sectors[[#This Row],[Outstanding Balance]],0)</f>
        <v>0</v>
      </c>
      <c r="T752" s="105">
        <f>IF(Table__192.168.1.150_Daily_Delinquency_With_Sectors[[#This Row],[Days in Arrears]] &gt; 90, Table__192.168.1.150_Daily_Delinquency_With_Sectors[[#This Row],[Outstanding Balance]],0)</f>
        <v>0</v>
      </c>
      <c r="U752" s="109">
        <f>IF(Table__192.168.1.150_Daily_Delinquency_With_Sectors[[#This Row],[Days in Arrears]] &gt;= 1,1,0)</f>
        <v>1</v>
      </c>
      <c r="V752" s="109">
        <f>IF(Table__192.168.1.150_Daily_Delinquency_With_Sectors[[#This Row],[Days in Arrears]] &gt; 30,1,0)</f>
        <v>0</v>
      </c>
      <c r="W752" s="109">
        <f>IF(Table__192.168.1.150_Daily_Delinquency_With_Sectors[[#This Row],[Days in Arrears]] &gt; 90,1,0)</f>
        <v>0</v>
      </c>
    </row>
    <row r="753" spans="1:23" x14ac:dyDescent="0.25">
      <c r="A753" t="s">
        <v>2207</v>
      </c>
      <c r="B753" t="s">
        <v>1283</v>
      </c>
      <c r="C753">
        <v>-16</v>
      </c>
      <c r="D753" s="105">
        <v>11796162.1</v>
      </c>
      <c r="E753" t="s">
        <v>1191</v>
      </c>
      <c r="F753" s="105">
        <v>170389.01</v>
      </c>
      <c r="G753" s="105">
        <v>13420510.109999999</v>
      </c>
      <c r="H753" s="143">
        <v>42521.676000694446</v>
      </c>
      <c r="I753" s="143">
        <v>43261</v>
      </c>
      <c r="J753" t="s">
        <v>2208</v>
      </c>
      <c r="K753" t="s">
        <v>1280</v>
      </c>
      <c r="L753" t="s">
        <v>2209</v>
      </c>
      <c r="M753">
        <v>200180</v>
      </c>
      <c r="N753" t="s">
        <v>2187</v>
      </c>
      <c r="O753" t="s">
        <v>36</v>
      </c>
      <c r="P753" t="s">
        <v>97</v>
      </c>
      <c r="Q753" t="s">
        <v>1811</v>
      </c>
      <c r="R753" s="105">
        <f>IF(Table__192.168.1.150_Daily_Delinquency_With_Sectors[[#This Row],[Days in Arrears]] &gt; 0, Table__192.168.1.150_Daily_Delinquency_With_Sectors[[#This Row],[Outstanding Balance]],0)</f>
        <v>0</v>
      </c>
      <c r="S753" s="105">
        <f>IF(Table__192.168.1.150_Daily_Delinquency_With_Sectors[[#This Row],[Days in Arrears]] &gt; 30, Table__192.168.1.150_Daily_Delinquency_With_Sectors[[#This Row],[Outstanding Balance]],0)</f>
        <v>0</v>
      </c>
      <c r="T753" s="105">
        <f>IF(Table__192.168.1.150_Daily_Delinquency_With_Sectors[[#This Row],[Days in Arrears]] &gt; 90, Table__192.168.1.150_Daily_Delinquency_With_Sectors[[#This Row],[Outstanding Balance]],0)</f>
        <v>0</v>
      </c>
      <c r="U753" s="109">
        <f>IF(Table__192.168.1.150_Daily_Delinquency_With_Sectors[[#This Row],[Days in Arrears]] &gt;= 1,1,0)</f>
        <v>0</v>
      </c>
      <c r="V753" s="109">
        <f>IF(Table__192.168.1.150_Daily_Delinquency_With_Sectors[[#This Row],[Days in Arrears]] &gt; 30,1,0)</f>
        <v>0</v>
      </c>
      <c r="W753" s="109">
        <f>IF(Table__192.168.1.150_Daily_Delinquency_With_Sectors[[#This Row],[Days in Arrears]] &gt; 90,1,0)</f>
        <v>0</v>
      </c>
    </row>
    <row r="754" spans="1:23" x14ac:dyDescent="0.25">
      <c r="A754" t="s">
        <v>2220</v>
      </c>
      <c r="B754" t="s">
        <v>1279</v>
      </c>
      <c r="C754">
        <v>198</v>
      </c>
      <c r="D754" s="105">
        <v>544003.85</v>
      </c>
      <c r="E754" t="s">
        <v>1925</v>
      </c>
      <c r="F754" s="105">
        <v>13695.15</v>
      </c>
      <c r="G754" s="105">
        <v>558171.25</v>
      </c>
      <c r="H754" s="143">
        <v>42527.615072256944</v>
      </c>
      <c r="I754" s="143">
        <v>42892</v>
      </c>
      <c r="J754" t="s">
        <v>2221</v>
      </c>
      <c r="K754" t="s">
        <v>1280</v>
      </c>
      <c r="L754" t="s">
        <v>1280</v>
      </c>
      <c r="M754">
        <v>200187</v>
      </c>
      <c r="N754" t="s">
        <v>2216</v>
      </c>
      <c r="O754" t="s">
        <v>25</v>
      </c>
      <c r="P754" t="s">
        <v>88</v>
      </c>
      <c r="Q754" t="s">
        <v>26</v>
      </c>
      <c r="R754" s="105">
        <f>IF(Table__192.168.1.150_Daily_Delinquency_With_Sectors[[#This Row],[Days in Arrears]] &gt; 0, Table__192.168.1.150_Daily_Delinquency_With_Sectors[[#This Row],[Outstanding Balance]],0)</f>
        <v>544003.85</v>
      </c>
      <c r="S754" s="105">
        <f>IF(Table__192.168.1.150_Daily_Delinquency_With_Sectors[[#This Row],[Days in Arrears]] &gt; 30, Table__192.168.1.150_Daily_Delinquency_With_Sectors[[#This Row],[Outstanding Balance]],0)</f>
        <v>544003.85</v>
      </c>
      <c r="T754" s="105">
        <f>IF(Table__192.168.1.150_Daily_Delinquency_With_Sectors[[#This Row],[Days in Arrears]] &gt; 90, Table__192.168.1.150_Daily_Delinquency_With_Sectors[[#This Row],[Outstanding Balance]],0)</f>
        <v>544003.85</v>
      </c>
      <c r="U754" s="109">
        <f>IF(Table__192.168.1.150_Daily_Delinquency_With_Sectors[[#This Row],[Days in Arrears]] &gt;= 1,1,0)</f>
        <v>1</v>
      </c>
      <c r="V754" s="109">
        <f>IF(Table__192.168.1.150_Daily_Delinquency_With_Sectors[[#This Row],[Days in Arrears]] &gt; 30,1,0)</f>
        <v>1</v>
      </c>
      <c r="W754" s="109">
        <f>IF(Table__192.168.1.150_Daily_Delinquency_With_Sectors[[#This Row],[Days in Arrears]] &gt; 90,1,0)</f>
        <v>1</v>
      </c>
    </row>
    <row r="755" spans="1:23" x14ac:dyDescent="0.25">
      <c r="A755" t="s">
        <v>2228</v>
      </c>
      <c r="B755" t="s">
        <v>1866</v>
      </c>
      <c r="C755">
        <v>162</v>
      </c>
      <c r="D755" s="105">
        <v>622995.24</v>
      </c>
      <c r="E755" t="s">
        <v>1667</v>
      </c>
      <c r="F755" s="105">
        <v>25958.14</v>
      </c>
      <c r="G755" s="105">
        <v>648953.38</v>
      </c>
      <c r="H755" s="143">
        <v>42529.505429247685</v>
      </c>
      <c r="I755" s="143">
        <v>42898</v>
      </c>
      <c r="J755" t="s">
        <v>2229</v>
      </c>
      <c r="K755" t="s">
        <v>1280</v>
      </c>
      <c r="L755" t="s">
        <v>1280</v>
      </c>
      <c r="M755">
        <v>200189</v>
      </c>
      <c r="N755" t="s">
        <v>2227</v>
      </c>
      <c r="O755" t="s">
        <v>35</v>
      </c>
      <c r="P755" t="s">
        <v>121</v>
      </c>
      <c r="Q755" t="s">
        <v>26</v>
      </c>
      <c r="R755" s="105">
        <f>IF(Table__192.168.1.150_Daily_Delinquency_With_Sectors[[#This Row],[Days in Arrears]] &gt; 0, Table__192.168.1.150_Daily_Delinquency_With_Sectors[[#This Row],[Outstanding Balance]],0)</f>
        <v>622995.24</v>
      </c>
      <c r="S755" s="105">
        <f>IF(Table__192.168.1.150_Daily_Delinquency_With_Sectors[[#This Row],[Days in Arrears]] &gt; 30, Table__192.168.1.150_Daily_Delinquency_With_Sectors[[#This Row],[Outstanding Balance]],0)</f>
        <v>622995.24</v>
      </c>
      <c r="T755" s="105">
        <f>IF(Table__192.168.1.150_Daily_Delinquency_With_Sectors[[#This Row],[Days in Arrears]] &gt; 90, Table__192.168.1.150_Daily_Delinquency_With_Sectors[[#This Row],[Outstanding Balance]],0)</f>
        <v>622995.24</v>
      </c>
      <c r="U755" s="109">
        <f>IF(Table__192.168.1.150_Daily_Delinquency_With_Sectors[[#This Row],[Days in Arrears]] &gt;= 1,1,0)</f>
        <v>1</v>
      </c>
      <c r="V755" s="109">
        <f>IF(Table__192.168.1.150_Daily_Delinquency_With_Sectors[[#This Row],[Days in Arrears]] &gt; 30,1,0)</f>
        <v>1</v>
      </c>
      <c r="W755" s="109">
        <f>IF(Table__192.168.1.150_Daily_Delinquency_With_Sectors[[#This Row],[Days in Arrears]] &gt; 90,1,0)</f>
        <v>1</v>
      </c>
    </row>
    <row r="756" spans="1:23" x14ac:dyDescent="0.25">
      <c r="A756" t="s">
        <v>2230</v>
      </c>
      <c r="B756" t="s">
        <v>1283</v>
      </c>
      <c r="C756">
        <v>-16</v>
      </c>
      <c r="D756" s="105">
        <v>3625835.83</v>
      </c>
      <c r="E756" t="s">
        <v>1925</v>
      </c>
      <c r="F756" s="105">
        <v>52373.18</v>
      </c>
      <c r="G756" s="105">
        <v>3746697.02</v>
      </c>
      <c r="H756" s="143">
        <v>42529.687446875003</v>
      </c>
      <c r="I756" s="143">
        <v>43079</v>
      </c>
      <c r="J756" t="s">
        <v>2231</v>
      </c>
      <c r="K756" t="s">
        <v>1280</v>
      </c>
      <c r="L756" t="s">
        <v>1280</v>
      </c>
      <c r="M756">
        <v>200190</v>
      </c>
      <c r="N756" t="s">
        <v>2226</v>
      </c>
      <c r="O756" t="s">
        <v>25</v>
      </c>
      <c r="P756" t="s">
        <v>88</v>
      </c>
      <c r="Q756" t="s">
        <v>285</v>
      </c>
      <c r="R756" s="105">
        <f>IF(Table__192.168.1.150_Daily_Delinquency_With_Sectors[[#This Row],[Days in Arrears]] &gt; 0, Table__192.168.1.150_Daily_Delinquency_With_Sectors[[#This Row],[Outstanding Balance]],0)</f>
        <v>0</v>
      </c>
      <c r="S756" s="105">
        <f>IF(Table__192.168.1.150_Daily_Delinquency_With_Sectors[[#This Row],[Days in Arrears]] &gt; 30, Table__192.168.1.150_Daily_Delinquency_With_Sectors[[#This Row],[Outstanding Balance]],0)</f>
        <v>0</v>
      </c>
      <c r="T756" s="105">
        <f>IF(Table__192.168.1.150_Daily_Delinquency_With_Sectors[[#This Row],[Days in Arrears]] &gt; 90, Table__192.168.1.150_Daily_Delinquency_With_Sectors[[#This Row],[Outstanding Balance]],0)</f>
        <v>0</v>
      </c>
      <c r="U756" s="109">
        <f>IF(Table__192.168.1.150_Daily_Delinquency_With_Sectors[[#This Row],[Days in Arrears]] &gt;= 1,1,0)</f>
        <v>0</v>
      </c>
      <c r="V756" s="109">
        <f>IF(Table__192.168.1.150_Daily_Delinquency_With_Sectors[[#This Row],[Days in Arrears]] &gt; 30,1,0)</f>
        <v>0</v>
      </c>
      <c r="W756" s="109">
        <f>IF(Table__192.168.1.150_Daily_Delinquency_With_Sectors[[#This Row],[Days in Arrears]] &gt; 90,1,0)</f>
        <v>0</v>
      </c>
    </row>
    <row r="757" spans="1:23" x14ac:dyDescent="0.25">
      <c r="A757" t="s">
        <v>2252</v>
      </c>
      <c r="B757" t="s">
        <v>1283</v>
      </c>
      <c r="C757">
        <v>43</v>
      </c>
      <c r="D757" s="105">
        <v>33044254.620000001</v>
      </c>
      <c r="E757" t="s">
        <v>1925</v>
      </c>
      <c r="F757" s="105">
        <v>2000676.4</v>
      </c>
      <c r="G757" s="105">
        <v>46310461.18</v>
      </c>
      <c r="H757" s="143">
        <v>42532.504003240741</v>
      </c>
      <c r="I757" s="143">
        <v>43627</v>
      </c>
      <c r="J757" t="s">
        <v>2253</v>
      </c>
      <c r="K757" t="s">
        <v>1280</v>
      </c>
      <c r="L757" t="s">
        <v>1280</v>
      </c>
      <c r="M757">
        <v>200194</v>
      </c>
      <c r="N757" t="s">
        <v>2247</v>
      </c>
      <c r="O757" t="s">
        <v>27</v>
      </c>
      <c r="P757" t="s">
        <v>81</v>
      </c>
      <c r="Q757" t="s">
        <v>1685</v>
      </c>
      <c r="R757" s="105">
        <f>IF(Table__192.168.1.150_Daily_Delinquency_With_Sectors[[#This Row],[Days in Arrears]] &gt; 0, Table__192.168.1.150_Daily_Delinquency_With_Sectors[[#This Row],[Outstanding Balance]],0)</f>
        <v>33044254.620000001</v>
      </c>
      <c r="S757" s="105">
        <f>IF(Table__192.168.1.150_Daily_Delinquency_With_Sectors[[#This Row],[Days in Arrears]] &gt; 30, Table__192.168.1.150_Daily_Delinquency_With_Sectors[[#This Row],[Outstanding Balance]],0)</f>
        <v>33044254.620000001</v>
      </c>
      <c r="T757" s="105">
        <f>IF(Table__192.168.1.150_Daily_Delinquency_With_Sectors[[#This Row],[Days in Arrears]] &gt; 90, Table__192.168.1.150_Daily_Delinquency_With_Sectors[[#This Row],[Outstanding Balance]],0)</f>
        <v>0</v>
      </c>
      <c r="U757" s="109">
        <f>IF(Table__192.168.1.150_Daily_Delinquency_With_Sectors[[#This Row],[Days in Arrears]] &gt;= 1,1,0)</f>
        <v>1</v>
      </c>
      <c r="V757" s="109">
        <f>IF(Table__192.168.1.150_Daily_Delinquency_With_Sectors[[#This Row],[Days in Arrears]] &gt; 30,1,0)</f>
        <v>1</v>
      </c>
      <c r="W757" s="109">
        <f>IF(Table__192.168.1.150_Daily_Delinquency_With_Sectors[[#This Row],[Days in Arrears]] &gt; 90,1,0)</f>
        <v>0</v>
      </c>
    </row>
    <row r="758" spans="1:23" x14ac:dyDescent="0.25">
      <c r="A758" t="s">
        <v>2262</v>
      </c>
      <c r="B758" t="s">
        <v>1282</v>
      </c>
      <c r="C758">
        <v>-21</v>
      </c>
      <c r="D758" s="105">
        <v>3252159.47</v>
      </c>
      <c r="E758" t="s">
        <v>1909</v>
      </c>
      <c r="F758" s="105">
        <v>39025.910000000003</v>
      </c>
      <c r="G758" s="105">
        <v>3863273.66</v>
      </c>
      <c r="H758" s="143">
        <v>42536.539414733794</v>
      </c>
      <c r="I758" s="143">
        <v>43266</v>
      </c>
      <c r="J758" t="s">
        <v>2263</v>
      </c>
      <c r="K758" t="s">
        <v>1280</v>
      </c>
      <c r="L758" t="s">
        <v>1280</v>
      </c>
      <c r="M758">
        <v>200199</v>
      </c>
      <c r="N758" t="s">
        <v>2259</v>
      </c>
      <c r="O758" t="s">
        <v>44</v>
      </c>
      <c r="P758" t="s">
        <v>75</v>
      </c>
      <c r="Q758" t="s">
        <v>26</v>
      </c>
      <c r="R758" s="105">
        <f>IF(Table__192.168.1.150_Daily_Delinquency_With_Sectors[[#This Row],[Days in Arrears]] &gt; 0, Table__192.168.1.150_Daily_Delinquency_With_Sectors[[#This Row],[Outstanding Balance]],0)</f>
        <v>0</v>
      </c>
      <c r="S758" s="105">
        <f>IF(Table__192.168.1.150_Daily_Delinquency_With_Sectors[[#This Row],[Days in Arrears]] &gt; 30, Table__192.168.1.150_Daily_Delinquency_With_Sectors[[#This Row],[Outstanding Balance]],0)</f>
        <v>0</v>
      </c>
      <c r="T758" s="105">
        <f>IF(Table__192.168.1.150_Daily_Delinquency_With_Sectors[[#This Row],[Days in Arrears]] &gt; 90, Table__192.168.1.150_Daily_Delinquency_With_Sectors[[#This Row],[Outstanding Balance]],0)</f>
        <v>0</v>
      </c>
      <c r="U758" s="109">
        <f>IF(Table__192.168.1.150_Daily_Delinquency_With_Sectors[[#This Row],[Days in Arrears]] &gt;= 1,1,0)</f>
        <v>0</v>
      </c>
      <c r="V758" s="109">
        <f>IF(Table__192.168.1.150_Daily_Delinquency_With_Sectors[[#This Row],[Days in Arrears]] &gt; 30,1,0)</f>
        <v>0</v>
      </c>
      <c r="W758" s="109">
        <f>IF(Table__192.168.1.150_Daily_Delinquency_With_Sectors[[#This Row],[Days in Arrears]] &gt; 90,1,0)</f>
        <v>0</v>
      </c>
    </row>
    <row r="759" spans="1:23" x14ac:dyDescent="0.25">
      <c r="A759" t="s">
        <v>2264</v>
      </c>
      <c r="B759" t="s">
        <v>1283</v>
      </c>
      <c r="C759">
        <v>39</v>
      </c>
      <c r="D759" s="105">
        <v>21578331.32</v>
      </c>
      <c r="E759" t="s">
        <v>963</v>
      </c>
      <c r="F759" s="105">
        <v>1366304.36</v>
      </c>
      <c r="G759" s="105">
        <v>25331722.579999998</v>
      </c>
      <c r="H759" s="143">
        <v>42536.680900578707</v>
      </c>
      <c r="I759" s="143">
        <v>43266</v>
      </c>
      <c r="J759" t="s">
        <v>2265</v>
      </c>
      <c r="K759" t="s">
        <v>1280</v>
      </c>
      <c r="L759" t="s">
        <v>1280</v>
      </c>
      <c r="M759">
        <v>200201</v>
      </c>
      <c r="N759" t="s">
        <v>2256</v>
      </c>
      <c r="O759" t="s">
        <v>31</v>
      </c>
      <c r="P759" t="s">
        <v>293</v>
      </c>
      <c r="Q759" t="s">
        <v>26</v>
      </c>
      <c r="R759" s="105">
        <f>IF(Table__192.168.1.150_Daily_Delinquency_With_Sectors[[#This Row],[Days in Arrears]] &gt; 0, Table__192.168.1.150_Daily_Delinquency_With_Sectors[[#This Row],[Outstanding Balance]],0)</f>
        <v>21578331.32</v>
      </c>
      <c r="S759" s="105">
        <f>IF(Table__192.168.1.150_Daily_Delinquency_With_Sectors[[#This Row],[Days in Arrears]] &gt; 30, Table__192.168.1.150_Daily_Delinquency_With_Sectors[[#This Row],[Outstanding Balance]],0)</f>
        <v>21578331.32</v>
      </c>
      <c r="T759" s="105">
        <f>IF(Table__192.168.1.150_Daily_Delinquency_With_Sectors[[#This Row],[Days in Arrears]] &gt; 90, Table__192.168.1.150_Daily_Delinquency_With_Sectors[[#This Row],[Outstanding Balance]],0)</f>
        <v>0</v>
      </c>
      <c r="U759" s="109">
        <f>IF(Table__192.168.1.150_Daily_Delinquency_With_Sectors[[#This Row],[Days in Arrears]] &gt;= 1,1,0)</f>
        <v>1</v>
      </c>
      <c r="V759" s="109">
        <f>IF(Table__192.168.1.150_Daily_Delinquency_With_Sectors[[#This Row],[Days in Arrears]] &gt; 30,1,0)</f>
        <v>1</v>
      </c>
      <c r="W759" s="109">
        <f>IF(Table__192.168.1.150_Daily_Delinquency_With_Sectors[[#This Row],[Days in Arrears]] &gt; 90,1,0)</f>
        <v>0</v>
      </c>
    </row>
    <row r="760" spans="1:23" x14ac:dyDescent="0.25">
      <c r="A760" t="s">
        <v>2266</v>
      </c>
      <c r="B760" t="s">
        <v>1281</v>
      </c>
      <c r="C760">
        <v>9</v>
      </c>
      <c r="D760" s="105">
        <v>2249732.4500000002</v>
      </c>
      <c r="E760" t="s">
        <v>1191</v>
      </c>
      <c r="F760" s="105">
        <v>102223.14</v>
      </c>
      <c r="G760" s="105">
        <v>2385598.65</v>
      </c>
      <c r="H760" s="143">
        <v>42536.693507407406</v>
      </c>
      <c r="I760" s="143">
        <v>43084</v>
      </c>
      <c r="J760" t="s">
        <v>2267</v>
      </c>
      <c r="K760" t="s">
        <v>1280</v>
      </c>
      <c r="L760" t="s">
        <v>1280</v>
      </c>
      <c r="M760">
        <v>200202</v>
      </c>
      <c r="N760" t="s">
        <v>2257</v>
      </c>
      <c r="O760" t="s">
        <v>25</v>
      </c>
      <c r="P760" t="s">
        <v>88</v>
      </c>
      <c r="Q760" t="s">
        <v>285</v>
      </c>
      <c r="R760" s="105">
        <f>IF(Table__192.168.1.150_Daily_Delinquency_With_Sectors[[#This Row],[Days in Arrears]] &gt; 0, Table__192.168.1.150_Daily_Delinquency_With_Sectors[[#This Row],[Outstanding Balance]],0)</f>
        <v>2249732.4500000002</v>
      </c>
      <c r="S760" s="105">
        <f>IF(Table__192.168.1.150_Daily_Delinquency_With_Sectors[[#This Row],[Days in Arrears]] &gt; 30, Table__192.168.1.150_Daily_Delinquency_With_Sectors[[#This Row],[Outstanding Balance]],0)</f>
        <v>0</v>
      </c>
      <c r="T760" s="105">
        <f>IF(Table__192.168.1.150_Daily_Delinquency_With_Sectors[[#This Row],[Days in Arrears]] &gt; 90, Table__192.168.1.150_Daily_Delinquency_With_Sectors[[#This Row],[Outstanding Balance]],0)</f>
        <v>0</v>
      </c>
      <c r="U760" s="109">
        <f>IF(Table__192.168.1.150_Daily_Delinquency_With_Sectors[[#This Row],[Days in Arrears]] &gt;= 1,1,0)</f>
        <v>1</v>
      </c>
      <c r="V760" s="109">
        <f>IF(Table__192.168.1.150_Daily_Delinquency_With_Sectors[[#This Row],[Days in Arrears]] &gt; 30,1,0)</f>
        <v>0</v>
      </c>
      <c r="W760" s="109">
        <f>IF(Table__192.168.1.150_Daily_Delinquency_With_Sectors[[#This Row],[Days in Arrears]] &gt; 90,1,0)</f>
        <v>0</v>
      </c>
    </row>
    <row r="761" spans="1:23" x14ac:dyDescent="0.25">
      <c r="A761" t="s">
        <v>2341</v>
      </c>
      <c r="B761" t="s">
        <v>1279</v>
      </c>
      <c r="C761">
        <v>150</v>
      </c>
      <c r="D761" s="105">
        <v>826253.68</v>
      </c>
      <c r="E761" t="s">
        <v>5724</v>
      </c>
      <c r="F761" s="105">
        <v>34427.24</v>
      </c>
      <c r="G761" s="105">
        <v>860680.92</v>
      </c>
      <c r="H761" s="143">
        <v>42545.78184560185</v>
      </c>
      <c r="I761" s="143">
        <v>42910</v>
      </c>
      <c r="J761" t="s">
        <v>2342</v>
      </c>
      <c r="K761" t="s">
        <v>1280</v>
      </c>
      <c r="L761" t="s">
        <v>1280</v>
      </c>
      <c r="M761">
        <v>200223</v>
      </c>
      <c r="N761" t="s">
        <v>2338</v>
      </c>
      <c r="O761" t="s">
        <v>25</v>
      </c>
      <c r="P761" t="s">
        <v>290</v>
      </c>
      <c r="Q761" t="s">
        <v>1824</v>
      </c>
      <c r="R761" s="105">
        <f>IF(Table__192.168.1.150_Daily_Delinquency_With_Sectors[[#This Row],[Days in Arrears]] &gt; 0, Table__192.168.1.150_Daily_Delinquency_With_Sectors[[#This Row],[Outstanding Balance]],0)</f>
        <v>826253.68</v>
      </c>
      <c r="S761" s="105">
        <f>IF(Table__192.168.1.150_Daily_Delinquency_With_Sectors[[#This Row],[Days in Arrears]] &gt; 30, Table__192.168.1.150_Daily_Delinquency_With_Sectors[[#This Row],[Outstanding Balance]],0)</f>
        <v>826253.68</v>
      </c>
      <c r="T761" s="105">
        <f>IF(Table__192.168.1.150_Daily_Delinquency_With_Sectors[[#This Row],[Days in Arrears]] &gt; 90, Table__192.168.1.150_Daily_Delinquency_With_Sectors[[#This Row],[Outstanding Balance]],0)</f>
        <v>826253.68</v>
      </c>
      <c r="U761" s="109">
        <f>IF(Table__192.168.1.150_Daily_Delinquency_With_Sectors[[#This Row],[Days in Arrears]] &gt;= 1,1,0)</f>
        <v>1</v>
      </c>
      <c r="V761" s="109">
        <f>IF(Table__192.168.1.150_Daily_Delinquency_With_Sectors[[#This Row],[Days in Arrears]] &gt; 30,1,0)</f>
        <v>1</v>
      </c>
      <c r="W761" s="109">
        <f>IF(Table__192.168.1.150_Daily_Delinquency_With_Sectors[[#This Row],[Days in Arrears]] &gt; 90,1,0)</f>
        <v>1</v>
      </c>
    </row>
    <row r="762" spans="1:23" x14ac:dyDescent="0.25">
      <c r="A762" t="s">
        <v>2344</v>
      </c>
      <c r="B762" t="s">
        <v>1283</v>
      </c>
      <c r="C762">
        <v>23</v>
      </c>
      <c r="D762" s="105">
        <v>28736718.07</v>
      </c>
      <c r="E762" t="s">
        <v>1925</v>
      </c>
      <c r="F762" s="105">
        <v>683141.02</v>
      </c>
      <c r="G762" s="105">
        <v>39526470.899999999</v>
      </c>
      <c r="H762" s="143">
        <v>42546.556387418983</v>
      </c>
      <c r="I762" s="143">
        <v>43647</v>
      </c>
      <c r="J762" t="s">
        <v>2345</v>
      </c>
      <c r="K762" t="s">
        <v>2346</v>
      </c>
      <c r="L762" t="s">
        <v>1280</v>
      </c>
      <c r="M762">
        <v>200225</v>
      </c>
      <c r="N762" t="s">
        <v>2343</v>
      </c>
      <c r="O762" t="s">
        <v>45</v>
      </c>
      <c r="P762" t="s">
        <v>45</v>
      </c>
      <c r="Q762" t="s">
        <v>89</v>
      </c>
      <c r="R762" s="105">
        <f>IF(Table__192.168.1.150_Daily_Delinquency_With_Sectors[[#This Row],[Days in Arrears]] &gt; 0, Table__192.168.1.150_Daily_Delinquency_With_Sectors[[#This Row],[Outstanding Balance]],0)</f>
        <v>28736718.07</v>
      </c>
      <c r="S762" s="105">
        <f>IF(Table__192.168.1.150_Daily_Delinquency_With_Sectors[[#This Row],[Days in Arrears]] &gt; 30, Table__192.168.1.150_Daily_Delinquency_With_Sectors[[#This Row],[Outstanding Balance]],0)</f>
        <v>0</v>
      </c>
      <c r="T762" s="105">
        <f>IF(Table__192.168.1.150_Daily_Delinquency_With_Sectors[[#This Row],[Days in Arrears]] &gt; 90, Table__192.168.1.150_Daily_Delinquency_With_Sectors[[#This Row],[Outstanding Balance]],0)</f>
        <v>0</v>
      </c>
      <c r="U762" s="109">
        <f>IF(Table__192.168.1.150_Daily_Delinquency_With_Sectors[[#This Row],[Days in Arrears]] &gt;= 1,1,0)</f>
        <v>1</v>
      </c>
      <c r="V762" s="109">
        <f>IF(Table__192.168.1.150_Daily_Delinquency_With_Sectors[[#This Row],[Days in Arrears]] &gt; 30,1,0)</f>
        <v>0</v>
      </c>
      <c r="W762" s="109">
        <f>IF(Table__192.168.1.150_Daily_Delinquency_With_Sectors[[#This Row],[Days in Arrears]] &gt; 90,1,0)</f>
        <v>0</v>
      </c>
    </row>
    <row r="763" spans="1:23" x14ac:dyDescent="0.25">
      <c r="A763" t="s">
        <v>2354</v>
      </c>
      <c r="B763" t="s">
        <v>1283</v>
      </c>
      <c r="C763">
        <v>22</v>
      </c>
      <c r="D763" s="105">
        <v>33221911.890000001</v>
      </c>
      <c r="E763" t="s">
        <v>491</v>
      </c>
      <c r="F763" s="105">
        <v>1572672.49</v>
      </c>
      <c r="G763" s="105">
        <v>46440442.189999998</v>
      </c>
      <c r="H763" s="143">
        <v>42548.554626041667</v>
      </c>
      <c r="I763" s="143">
        <v>43648</v>
      </c>
      <c r="J763" t="s">
        <v>2355</v>
      </c>
      <c r="K763" t="s">
        <v>1280</v>
      </c>
      <c r="L763" t="s">
        <v>2356</v>
      </c>
      <c r="M763">
        <v>200226</v>
      </c>
      <c r="N763" t="s">
        <v>2347</v>
      </c>
      <c r="O763" t="s">
        <v>29</v>
      </c>
      <c r="P763" t="s">
        <v>96</v>
      </c>
      <c r="Q763" t="s">
        <v>96</v>
      </c>
      <c r="R763" s="105">
        <f>IF(Table__192.168.1.150_Daily_Delinquency_With_Sectors[[#This Row],[Days in Arrears]] &gt; 0, Table__192.168.1.150_Daily_Delinquency_With_Sectors[[#This Row],[Outstanding Balance]],0)</f>
        <v>33221911.890000001</v>
      </c>
      <c r="S763" s="105">
        <f>IF(Table__192.168.1.150_Daily_Delinquency_With_Sectors[[#This Row],[Days in Arrears]] &gt; 30, Table__192.168.1.150_Daily_Delinquency_With_Sectors[[#This Row],[Outstanding Balance]],0)</f>
        <v>0</v>
      </c>
      <c r="T763" s="105">
        <f>IF(Table__192.168.1.150_Daily_Delinquency_With_Sectors[[#This Row],[Days in Arrears]] &gt; 90, Table__192.168.1.150_Daily_Delinquency_With_Sectors[[#This Row],[Outstanding Balance]],0)</f>
        <v>0</v>
      </c>
      <c r="U763" s="109">
        <f>IF(Table__192.168.1.150_Daily_Delinquency_With_Sectors[[#This Row],[Days in Arrears]] &gt;= 1,1,0)</f>
        <v>1</v>
      </c>
      <c r="V763" s="109">
        <f>IF(Table__192.168.1.150_Daily_Delinquency_With_Sectors[[#This Row],[Days in Arrears]] &gt; 30,1,0)</f>
        <v>0</v>
      </c>
      <c r="W763" s="109">
        <f>IF(Table__192.168.1.150_Daily_Delinquency_With_Sectors[[#This Row],[Days in Arrears]] &gt; 90,1,0)</f>
        <v>0</v>
      </c>
    </row>
    <row r="764" spans="1:23" x14ac:dyDescent="0.25">
      <c r="A764" t="s">
        <v>2357</v>
      </c>
      <c r="B764" t="s">
        <v>1282</v>
      </c>
      <c r="C764">
        <v>-11</v>
      </c>
      <c r="D764" s="105">
        <v>2336562.5299999998</v>
      </c>
      <c r="E764" t="s">
        <v>90</v>
      </c>
      <c r="F764" s="105">
        <v>63087.19</v>
      </c>
      <c r="G764" s="105">
        <v>2495437.35</v>
      </c>
      <c r="H764" s="143">
        <v>42548.781287534723</v>
      </c>
      <c r="I764" s="143">
        <v>43105</v>
      </c>
      <c r="J764" t="s">
        <v>2358</v>
      </c>
      <c r="K764" t="s">
        <v>1280</v>
      </c>
      <c r="L764" t="s">
        <v>1280</v>
      </c>
      <c r="M764">
        <v>200228</v>
      </c>
      <c r="N764" t="s">
        <v>2348</v>
      </c>
      <c r="O764" t="s">
        <v>37</v>
      </c>
      <c r="P764" t="s">
        <v>288</v>
      </c>
      <c r="Q764" t="s">
        <v>26</v>
      </c>
      <c r="R764" s="105">
        <f>IF(Table__192.168.1.150_Daily_Delinquency_With_Sectors[[#This Row],[Days in Arrears]] &gt; 0, Table__192.168.1.150_Daily_Delinquency_With_Sectors[[#This Row],[Outstanding Balance]],0)</f>
        <v>0</v>
      </c>
      <c r="S764" s="105">
        <f>IF(Table__192.168.1.150_Daily_Delinquency_With_Sectors[[#This Row],[Days in Arrears]] &gt; 30, Table__192.168.1.150_Daily_Delinquency_With_Sectors[[#This Row],[Outstanding Balance]],0)</f>
        <v>0</v>
      </c>
      <c r="T764" s="105">
        <f>IF(Table__192.168.1.150_Daily_Delinquency_With_Sectors[[#This Row],[Days in Arrears]] &gt; 90, Table__192.168.1.150_Daily_Delinquency_With_Sectors[[#This Row],[Outstanding Balance]],0)</f>
        <v>0</v>
      </c>
      <c r="U764" s="109">
        <f>IF(Table__192.168.1.150_Daily_Delinquency_With_Sectors[[#This Row],[Days in Arrears]] &gt;= 1,1,0)</f>
        <v>0</v>
      </c>
      <c r="V764" s="109">
        <f>IF(Table__192.168.1.150_Daily_Delinquency_With_Sectors[[#This Row],[Days in Arrears]] &gt; 30,1,0)</f>
        <v>0</v>
      </c>
      <c r="W764" s="109">
        <f>IF(Table__192.168.1.150_Daily_Delinquency_With_Sectors[[#This Row],[Days in Arrears]] &gt; 90,1,0)</f>
        <v>0</v>
      </c>
    </row>
    <row r="765" spans="1:23" x14ac:dyDescent="0.25">
      <c r="A765" t="s">
        <v>2365</v>
      </c>
      <c r="B765" t="s">
        <v>1283</v>
      </c>
      <c r="C765">
        <v>19</v>
      </c>
      <c r="D765" s="105">
        <v>15076885.18</v>
      </c>
      <c r="E765" t="s">
        <v>1448</v>
      </c>
      <c r="F765" s="105">
        <v>298711.59999999998</v>
      </c>
      <c r="G765" s="105">
        <v>17402826.129999999</v>
      </c>
      <c r="H765" s="143">
        <v>42549.590748263887</v>
      </c>
      <c r="I765" s="143">
        <v>43286</v>
      </c>
      <c r="J765" t="s">
        <v>2366</v>
      </c>
      <c r="K765" t="s">
        <v>1280</v>
      </c>
      <c r="L765" t="s">
        <v>2367</v>
      </c>
      <c r="M765">
        <v>200230</v>
      </c>
      <c r="N765" t="s">
        <v>2360</v>
      </c>
      <c r="O765" t="s">
        <v>37</v>
      </c>
      <c r="P765" t="s">
        <v>38</v>
      </c>
      <c r="Q765" t="s">
        <v>26</v>
      </c>
      <c r="R765" s="105">
        <f>IF(Table__192.168.1.150_Daily_Delinquency_With_Sectors[[#This Row],[Days in Arrears]] &gt; 0, Table__192.168.1.150_Daily_Delinquency_With_Sectors[[#This Row],[Outstanding Balance]],0)</f>
        <v>15076885.18</v>
      </c>
      <c r="S765" s="105">
        <f>IF(Table__192.168.1.150_Daily_Delinquency_With_Sectors[[#This Row],[Days in Arrears]] &gt; 30, Table__192.168.1.150_Daily_Delinquency_With_Sectors[[#This Row],[Outstanding Balance]],0)</f>
        <v>0</v>
      </c>
      <c r="T765" s="105">
        <f>IF(Table__192.168.1.150_Daily_Delinquency_With_Sectors[[#This Row],[Days in Arrears]] &gt; 90, Table__192.168.1.150_Daily_Delinquency_With_Sectors[[#This Row],[Outstanding Balance]],0)</f>
        <v>0</v>
      </c>
      <c r="U765" s="109">
        <f>IF(Table__192.168.1.150_Daily_Delinquency_With_Sectors[[#This Row],[Days in Arrears]] &gt;= 1,1,0)</f>
        <v>1</v>
      </c>
      <c r="V765" s="109">
        <f>IF(Table__192.168.1.150_Daily_Delinquency_With_Sectors[[#This Row],[Days in Arrears]] &gt; 30,1,0)</f>
        <v>0</v>
      </c>
      <c r="W765" s="109">
        <f>IF(Table__192.168.1.150_Daily_Delinquency_With_Sectors[[#This Row],[Days in Arrears]] &gt; 90,1,0)</f>
        <v>0</v>
      </c>
    </row>
    <row r="766" spans="1:23" x14ac:dyDescent="0.25">
      <c r="A766" t="s">
        <v>2403</v>
      </c>
      <c r="B766" t="s">
        <v>1282</v>
      </c>
      <c r="C766">
        <v>-11</v>
      </c>
      <c r="D766" s="105">
        <v>5499556.2400000002</v>
      </c>
      <c r="E766" t="s">
        <v>1447</v>
      </c>
      <c r="F766" s="105">
        <v>148488.01999999999</v>
      </c>
      <c r="G766" s="105">
        <v>6670286.5</v>
      </c>
      <c r="H766" s="143">
        <v>42551.709169907408</v>
      </c>
      <c r="I766" s="143">
        <v>43286</v>
      </c>
      <c r="J766" t="s">
        <v>2404</v>
      </c>
      <c r="K766" t="s">
        <v>1280</v>
      </c>
      <c r="L766" t="s">
        <v>1280</v>
      </c>
      <c r="M766">
        <v>200245</v>
      </c>
      <c r="N766" t="s">
        <v>2388</v>
      </c>
      <c r="O766" t="s">
        <v>25</v>
      </c>
      <c r="P766" t="s">
        <v>290</v>
      </c>
      <c r="Q766" t="s">
        <v>1822</v>
      </c>
      <c r="R766" s="105">
        <f>IF(Table__192.168.1.150_Daily_Delinquency_With_Sectors[[#This Row],[Days in Arrears]] &gt; 0, Table__192.168.1.150_Daily_Delinquency_With_Sectors[[#This Row],[Outstanding Balance]],0)</f>
        <v>0</v>
      </c>
      <c r="S766" s="105">
        <f>IF(Table__192.168.1.150_Daily_Delinquency_With_Sectors[[#This Row],[Days in Arrears]] &gt; 30, Table__192.168.1.150_Daily_Delinquency_With_Sectors[[#This Row],[Outstanding Balance]],0)</f>
        <v>0</v>
      </c>
      <c r="T766" s="105">
        <f>IF(Table__192.168.1.150_Daily_Delinquency_With_Sectors[[#This Row],[Days in Arrears]] &gt; 90, Table__192.168.1.150_Daily_Delinquency_With_Sectors[[#This Row],[Outstanding Balance]],0)</f>
        <v>0</v>
      </c>
      <c r="U766" s="109">
        <f>IF(Table__192.168.1.150_Daily_Delinquency_With_Sectors[[#This Row],[Days in Arrears]] &gt;= 1,1,0)</f>
        <v>0</v>
      </c>
      <c r="V766" s="109">
        <f>IF(Table__192.168.1.150_Daily_Delinquency_With_Sectors[[#This Row],[Days in Arrears]] &gt; 30,1,0)</f>
        <v>0</v>
      </c>
      <c r="W766" s="109">
        <f>IF(Table__192.168.1.150_Daily_Delinquency_With_Sectors[[#This Row],[Days in Arrears]] &gt; 90,1,0)</f>
        <v>0</v>
      </c>
    </row>
    <row r="767" spans="1:23" x14ac:dyDescent="0.25">
      <c r="A767" t="s">
        <v>2405</v>
      </c>
      <c r="B767" t="s">
        <v>1283</v>
      </c>
      <c r="C767">
        <v>23</v>
      </c>
      <c r="D767" s="105">
        <v>14134916.619999999</v>
      </c>
      <c r="E767" t="s">
        <v>2855</v>
      </c>
      <c r="F767" s="105">
        <v>783132.43</v>
      </c>
      <c r="G767" s="105">
        <v>16593580.869999999</v>
      </c>
      <c r="H767" s="143">
        <v>42551.717535648146</v>
      </c>
      <c r="I767" s="143">
        <v>43282</v>
      </c>
      <c r="J767" t="s">
        <v>2406</v>
      </c>
      <c r="K767" t="s">
        <v>1280</v>
      </c>
      <c r="L767" t="s">
        <v>1280</v>
      </c>
      <c r="M767">
        <v>200246</v>
      </c>
      <c r="N767" t="s">
        <v>2384</v>
      </c>
      <c r="O767" t="s">
        <v>25</v>
      </c>
      <c r="P767" t="s">
        <v>88</v>
      </c>
      <c r="Q767" t="s">
        <v>26</v>
      </c>
      <c r="R767" s="105">
        <f>IF(Table__192.168.1.150_Daily_Delinquency_With_Sectors[[#This Row],[Days in Arrears]] &gt; 0, Table__192.168.1.150_Daily_Delinquency_With_Sectors[[#This Row],[Outstanding Balance]],0)</f>
        <v>14134916.619999999</v>
      </c>
      <c r="S767" s="105">
        <f>IF(Table__192.168.1.150_Daily_Delinquency_With_Sectors[[#This Row],[Days in Arrears]] &gt; 30, Table__192.168.1.150_Daily_Delinquency_With_Sectors[[#This Row],[Outstanding Balance]],0)</f>
        <v>0</v>
      </c>
      <c r="T767" s="105">
        <f>IF(Table__192.168.1.150_Daily_Delinquency_With_Sectors[[#This Row],[Days in Arrears]] &gt; 90, Table__192.168.1.150_Daily_Delinquency_With_Sectors[[#This Row],[Outstanding Balance]],0)</f>
        <v>0</v>
      </c>
      <c r="U767" s="109">
        <f>IF(Table__192.168.1.150_Daily_Delinquency_With_Sectors[[#This Row],[Days in Arrears]] &gt;= 1,1,0)</f>
        <v>1</v>
      </c>
      <c r="V767" s="109">
        <f>IF(Table__192.168.1.150_Daily_Delinquency_With_Sectors[[#This Row],[Days in Arrears]] &gt; 30,1,0)</f>
        <v>0</v>
      </c>
      <c r="W767" s="109">
        <f>IF(Table__192.168.1.150_Daily_Delinquency_With_Sectors[[#This Row],[Days in Arrears]] &gt; 90,1,0)</f>
        <v>0</v>
      </c>
    </row>
    <row r="768" spans="1:23" x14ac:dyDescent="0.25">
      <c r="A768" t="s">
        <v>2457</v>
      </c>
      <c r="B768" t="s">
        <v>1284</v>
      </c>
      <c r="C768">
        <v>43</v>
      </c>
      <c r="D768" s="105">
        <v>7697640.4299999997</v>
      </c>
      <c r="E768" t="s">
        <v>2855</v>
      </c>
      <c r="F768" s="105">
        <v>490375.9</v>
      </c>
      <c r="G768" s="105">
        <v>9178160.4000000004</v>
      </c>
      <c r="H768" s="143">
        <v>42562.47607207176</v>
      </c>
      <c r="I768" s="143">
        <v>43292</v>
      </c>
      <c r="J768" t="s">
        <v>2458</v>
      </c>
      <c r="K768" t="s">
        <v>1280</v>
      </c>
      <c r="L768" t="s">
        <v>1280</v>
      </c>
      <c r="M768">
        <v>200261</v>
      </c>
      <c r="N768" t="s">
        <v>2456</v>
      </c>
      <c r="O768" t="s">
        <v>44</v>
      </c>
      <c r="P768" t="s">
        <v>75</v>
      </c>
      <c r="Q768" t="s">
        <v>26</v>
      </c>
      <c r="R768" s="105">
        <f>IF(Table__192.168.1.150_Daily_Delinquency_With_Sectors[[#This Row],[Days in Arrears]] &gt; 0, Table__192.168.1.150_Daily_Delinquency_With_Sectors[[#This Row],[Outstanding Balance]],0)</f>
        <v>7697640.4299999997</v>
      </c>
      <c r="S768" s="105">
        <f>IF(Table__192.168.1.150_Daily_Delinquency_With_Sectors[[#This Row],[Days in Arrears]] &gt; 30, Table__192.168.1.150_Daily_Delinquency_With_Sectors[[#This Row],[Outstanding Balance]],0)</f>
        <v>7697640.4299999997</v>
      </c>
      <c r="T768" s="105">
        <f>IF(Table__192.168.1.150_Daily_Delinquency_With_Sectors[[#This Row],[Days in Arrears]] &gt; 90, Table__192.168.1.150_Daily_Delinquency_With_Sectors[[#This Row],[Outstanding Balance]],0)</f>
        <v>0</v>
      </c>
      <c r="U768" s="109">
        <f>IF(Table__192.168.1.150_Daily_Delinquency_With_Sectors[[#This Row],[Days in Arrears]] &gt;= 1,1,0)</f>
        <v>1</v>
      </c>
      <c r="V768" s="109">
        <f>IF(Table__192.168.1.150_Daily_Delinquency_With_Sectors[[#This Row],[Days in Arrears]] &gt; 30,1,0)</f>
        <v>1</v>
      </c>
      <c r="W768" s="109">
        <f>IF(Table__192.168.1.150_Daily_Delinquency_With_Sectors[[#This Row],[Days in Arrears]] &gt; 90,1,0)</f>
        <v>0</v>
      </c>
    </row>
    <row r="769" spans="1:23" x14ac:dyDescent="0.25">
      <c r="A769" t="s">
        <v>2463</v>
      </c>
      <c r="B769" t="s">
        <v>1281</v>
      </c>
      <c r="C769">
        <v>43</v>
      </c>
      <c r="D769" s="105">
        <v>13409280.34</v>
      </c>
      <c r="E769" t="s">
        <v>2861</v>
      </c>
      <c r="F769" s="105">
        <v>513525.67</v>
      </c>
      <c r="G769" s="105">
        <v>17898761.219999999</v>
      </c>
      <c r="H769" s="143">
        <v>42562.642518287037</v>
      </c>
      <c r="I769" s="143">
        <v>43476</v>
      </c>
      <c r="J769" t="s">
        <v>2464</v>
      </c>
      <c r="K769" t="s">
        <v>1280</v>
      </c>
      <c r="L769" t="s">
        <v>1280</v>
      </c>
      <c r="M769">
        <v>200263</v>
      </c>
      <c r="N769" t="s">
        <v>2462</v>
      </c>
      <c r="O769" t="s">
        <v>25</v>
      </c>
      <c r="P769" t="s">
        <v>295</v>
      </c>
      <c r="Q769" t="s">
        <v>26</v>
      </c>
      <c r="R769" s="105">
        <f>IF(Table__192.168.1.150_Daily_Delinquency_With_Sectors[[#This Row],[Days in Arrears]] &gt; 0, Table__192.168.1.150_Daily_Delinquency_With_Sectors[[#This Row],[Outstanding Balance]],0)</f>
        <v>13409280.34</v>
      </c>
      <c r="S769" s="105">
        <f>IF(Table__192.168.1.150_Daily_Delinquency_With_Sectors[[#This Row],[Days in Arrears]] &gt; 30, Table__192.168.1.150_Daily_Delinquency_With_Sectors[[#This Row],[Outstanding Balance]],0)</f>
        <v>13409280.34</v>
      </c>
      <c r="T769" s="105">
        <f>IF(Table__192.168.1.150_Daily_Delinquency_With_Sectors[[#This Row],[Days in Arrears]] &gt; 90, Table__192.168.1.150_Daily_Delinquency_With_Sectors[[#This Row],[Outstanding Balance]],0)</f>
        <v>0</v>
      </c>
      <c r="U769" s="109">
        <f>IF(Table__192.168.1.150_Daily_Delinquency_With_Sectors[[#This Row],[Days in Arrears]] &gt;= 1,1,0)</f>
        <v>1</v>
      </c>
      <c r="V769" s="109">
        <f>IF(Table__192.168.1.150_Daily_Delinquency_With_Sectors[[#This Row],[Days in Arrears]] &gt; 30,1,0)</f>
        <v>1</v>
      </c>
      <c r="W769" s="109">
        <f>IF(Table__192.168.1.150_Daily_Delinquency_With_Sectors[[#This Row],[Days in Arrears]] &gt; 90,1,0)</f>
        <v>0</v>
      </c>
    </row>
    <row r="770" spans="1:23" x14ac:dyDescent="0.25">
      <c r="A770" t="s">
        <v>2466</v>
      </c>
      <c r="B770" t="s">
        <v>1281</v>
      </c>
      <c r="C770">
        <v>98</v>
      </c>
      <c r="D770" s="105">
        <v>15447617.51</v>
      </c>
      <c r="E770" t="s">
        <v>2861</v>
      </c>
      <c r="F770" s="105">
        <v>1186213.57</v>
      </c>
      <c r="G770" s="105">
        <v>19747703.68</v>
      </c>
      <c r="H770" s="143">
        <v>42564.411534606479</v>
      </c>
      <c r="I770" s="143">
        <v>43297</v>
      </c>
      <c r="J770" t="s">
        <v>2467</v>
      </c>
      <c r="K770" t="s">
        <v>1280</v>
      </c>
      <c r="L770" t="s">
        <v>2468</v>
      </c>
      <c r="M770">
        <v>200266</v>
      </c>
      <c r="N770" t="s">
        <v>2465</v>
      </c>
      <c r="O770" t="s">
        <v>25</v>
      </c>
      <c r="P770" t="s">
        <v>26</v>
      </c>
      <c r="Q770" t="s">
        <v>26</v>
      </c>
      <c r="R770" s="105">
        <f>IF(Table__192.168.1.150_Daily_Delinquency_With_Sectors[[#This Row],[Days in Arrears]] &gt; 0, Table__192.168.1.150_Daily_Delinquency_With_Sectors[[#This Row],[Outstanding Balance]],0)</f>
        <v>15447617.51</v>
      </c>
      <c r="S770" s="105">
        <f>IF(Table__192.168.1.150_Daily_Delinquency_With_Sectors[[#This Row],[Days in Arrears]] &gt; 30, Table__192.168.1.150_Daily_Delinquency_With_Sectors[[#This Row],[Outstanding Balance]],0)</f>
        <v>15447617.51</v>
      </c>
      <c r="T770" s="105">
        <f>IF(Table__192.168.1.150_Daily_Delinquency_With_Sectors[[#This Row],[Days in Arrears]] &gt; 90, Table__192.168.1.150_Daily_Delinquency_With_Sectors[[#This Row],[Outstanding Balance]],0)</f>
        <v>15447617.51</v>
      </c>
      <c r="U770" s="109">
        <f>IF(Table__192.168.1.150_Daily_Delinquency_With_Sectors[[#This Row],[Days in Arrears]] &gt;= 1,1,0)</f>
        <v>1</v>
      </c>
      <c r="V770" s="109">
        <f>IF(Table__192.168.1.150_Daily_Delinquency_With_Sectors[[#This Row],[Days in Arrears]] &gt; 30,1,0)</f>
        <v>1</v>
      </c>
      <c r="W770" s="109">
        <f>IF(Table__192.168.1.150_Daily_Delinquency_With_Sectors[[#This Row],[Days in Arrears]] &gt; 90,1,0)</f>
        <v>1</v>
      </c>
    </row>
    <row r="771" spans="1:23" x14ac:dyDescent="0.25">
      <c r="A771" t="s">
        <v>2478</v>
      </c>
      <c r="B771" t="s">
        <v>1282</v>
      </c>
      <c r="C771">
        <v>70</v>
      </c>
      <c r="D771" s="105">
        <v>4944804.82</v>
      </c>
      <c r="E771" t="s">
        <v>90</v>
      </c>
      <c r="F771" s="105">
        <v>202608.27</v>
      </c>
      <c r="G771" s="105">
        <v>5453613.9400000004</v>
      </c>
      <c r="H771" s="143">
        <v>42565.47078773148</v>
      </c>
      <c r="I771" s="143">
        <v>43114</v>
      </c>
      <c r="J771" t="s">
        <v>2479</v>
      </c>
      <c r="K771" t="s">
        <v>1280</v>
      </c>
      <c r="L771" t="s">
        <v>1280</v>
      </c>
      <c r="M771">
        <v>200271</v>
      </c>
      <c r="N771" t="s">
        <v>2477</v>
      </c>
      <c r="O771" t="s">
        <v>25</v>
      </c>
      <c r="P771" t="s">
        <v>106</v>
      </c>
      <c r="Q771" t="s">
        <v>107</v>
      </c>
      <c r="R771" s="105">
        <f>IF(Table__192.168.1.150_Daily_Delinquency_With_Sectors[[#This Row],[Days in Arrears]] &gt; 0, Table__192.168.1.150_Daily_Delinquency_With_Sectors[[#This Row],[Outstanding Balance]],0)</f>
        <v>4944804.82</v>
      </c>
      <c r="S771" s="105">
        <f>IF(Table__192.168.1.150_Daily_Delinquency_With_Sectors[[#This Row],[Days in Arrears]] &gt; 30, Table__192.168.1.150_Daily_Delinquency_With_Sectors[[#This Row],[Outstanding Balance]],0)</f>
        <v>4944804.82</v>
      </c>
      <c r="T771" s="105">
        <f>IF(Table__192.168.1.150_Daily_Delinquency_With_Sectors[[#This Row],[Days in Arrears]] &gt; 90, Table__192.168.1.150_Daily_Delinquency_With_Sectors[[#This Row],[Outstanding Balance]],0)</f>
        <v>0</v>
      </c>
      <c r="U771" s="109">
        <f>IF(Table__192.168.1.150_Daily_Delinquency_With_Sectors[[#This Row],[Days in Arrears]] &gt;= 1,1,0)</f>
        <v>1</v>
      </c>
      <c r="V771" s="109">
        <f>IF(Table__192.168.1.150_Daily_Delinquency_With_Sectors[[#This Row],[Days in Arrears]] &gt; 30,1,0)</f>
        <v>1</v>
      </c>
      <c r="W771" s="109">
        <f>IF(Table__192.168.1.150_Daily_Delinquency_With_Sectors[[#This Row],[Days in Arrears]] &gt; 90,1,0)</f>
        <v>0</v>
      </c>
    </row>
    <row r="772" spans="1:23" x14ac:dyDescent="0.25">
      <c r="A772" t="s">
        <v>2484</v>
      </c>
      <c r="B772" t="s">
        <v>1285</v>
      </c>
      <c r="C772">
        <v>-27</v>
      </c>
      <c r="D772" s="105">
        <v>1201566.93</v>
      </c>
      <c r="E772" t="s">
        <v>284</v>
      </c>
      <c r="F772" s="105">
        <v>1668.84</v>
      </c>
      <c r="G772" s="105">
        <v>1356919.91</v>
      </c>
      <c r="H772" s="143">
        <v>42567.557909340278</v>
      </c>
      <c r="I772" s="143">
        <v>43394</v>
      </c>
      <c r="J772" t="s">
        <v>2485</v>
      </c>
      <c r="K772" t="s">
        <v>1280</v>
      </c>
      <c r="L772" t="s">
        <v>1280</v>
      </c>
      <c r="M772">
        <v>200276</v>
      </c>
      <c r="N772" t="s">
        <v>2483</v>
      </c>
      <c r="O772" t="s">
        <v>43</v>
      </c>
      <c r="P772" t="s">
        <v>338</v>
      </c>
      <c r="Q772" t="s">
        <v>26</v>
      </c>
      <c r="R772" s="105">
        <f>IF(Table__192.168.1.150_Daily_Delinquency_With_Sectors[[#This Row],[Days in Arrears]] &gt; 0, Table__192.168.1.150_Daily_Delinquency_With_Sectors[[#This Row],[Outstanding Balance]],0)</f>
        <v>0</v>
      </c>
      <c r="S772" s="105">
        <f>IF(Table__192.168.1.150_Daily_Delinquency_With_Sectors[[#This Row],[Days in Arrears]] &gt; 30, Table__192.168.1.150_Daily_Delinquency_With_Sectors[[#This Row],[Outstanding Balance]],0)</f>
        <v>0</v>
      </c>
      <c r="T772" s="105">
        <f>IF(Table__192.168.1.150_Daily_Delinquency_With_Sectors[[#This Row],[Days in Arrears]] &gt; 90, Table__192.168.1.150_Daily_Delinquency_With_Sectors[[#This Row],[Outstanding Balance]],0)</f>
        <v>0</v>
      </c>
      <c r="U772" s="109">
        <f>IF(Table__192.168.1.150_Daily_Delinquency_With_Sectors[[#This Row],[Days in Arrears]] &gt;= 1,1,0)</f>
        <v>0</v>
      </c>
      <c r="V772" s="109">
        <f>IF(Table__192.168.1.150_Daily_Delinquency_With_Sectors[[#This Row],[Days in Arrears]] &gt; 30,1,0)</f>
        <v>0</v>
      </c>
      <c r="W772" s="109">
        <f>IF(Table__192.168.1.150_Daily_Delinquency_With_Sectors[[#This Row],[Days in Arrears]] &gt; 90,1,0)</f>
        <v>0</v>
      </c>
    </row>
    <row r="773" spans="1:23" x14ac:dyDescent="0.25">
      <c r="A773" t="s">
        <v>2499</v>
      </c>
      <c r="B773" t="s">
        <v>1282</v>
      </c>
      <c r="C773">
        <v>5</v>
      </c>
      <c r="D773" s="105">
        <v>1249144.06</v>
      </c>
      <c r="E773" t="s">
        <v>1447</v>
      </c>
      <c r="F773" s="105">
        <v>88775.98</v>
      </c>
      <c r="G773" s="105">
        <v>1332915.3400000001</v>
      </c>
      <c r="H773" s="143">
        <v>42570.665408020832</v>
      </c>
      <c r="I773" s="143">
        <v>43119</v>
      </c>
      <c r="J773" t="s">
        <v>2500</v>
      </c>
      <c r="K773" t="s">
        <v>1280</v>
      </c>
      <c r="L773" t="s">
        <v>1280</v>
      </c>
      <c r="M773">
        <v>200284</v>
      </c>
      <c r="N773" t="s">
        <v>2492</v>
      </c>
      <c r="O773" t="s">
        <v>37</v>
      </c>
      <c r="P773" t="s">
        <v>288</v>
      </c>
      <c r="Q773" t="s">
        <v>1313</v>
      </c>
      <c r="R773" s="105">
        <f>IF(Table__192.168.1.150_Daily_Delinquency_With_Sectors[[#This Row],[Days in Arrears]] &gt; 0, Table__192.168.1.150_Daily_Delinquency_With_Sectors[[#This Row],[Outstanding Balance]],0)</f>
        <v>1249144.06</v>
      </c>
      <c r="S773" s="105">
        <f>IF(Table__192.168.1.150_Daily_Delinquency_With_Sectors[[#This Row],[Days in Arrears]] &gt; 30, Table__192.168.1.150_Daily_Delinquency_With_Sectors[[#This Row],[Outstanding Balance]],0)</f>
        <v>0</v>
      </c>
      <c r="T773" s="105">
        <f>IF(Table__192.168.1.150_Daily_Delinquency_With_Sectors[[#This Row],[Days in Arrears]] &gt; 90, Table__192.168.1.150_Daily_Delinquency_With_Sectors[[#This Row],[Outstanding Balance]],0)</f>
        <v>0</v>
      </c>
      <c r="U773" s="109">
        <f>IF(Table__192.168.1.150_Daily_Delinquency_With_Sectors[[#This Row],[Days in Arrears]] &gt;= 1,1,0)</f>
        <v>1</v>
      </c>
      <c r="V773" s="109">
        <f>IF(Table__192.168.1.150_Daily_Delinquency_With_Sectors[[#This Row],[Days in Arrears]] &gt; 30,1,0)</f>
        <v>0</v>
      </c>
      <c r="W773" s="109">
        <f>IF(Table__192.168.1.150_Daily_Delinquency_With_Sectors[[#This Row],[Days in Arrears]] &gt; 90,1,0)</f>
        <v>0</v>
      </c>
    </row>
    <row r="774" spans="1:23" x14ac:dyDescent="0.25">
      <c r="A774" t="s">
        <v>2519</v>
      </c>
      <c r="B774" t="s">
        <v>1282</v>
      </c>
      <c r="C774">
        <v>-28</v>
      </c>
      <c r="D774" s="105">
        <v>1540023.76</v>
      </c>
      <c r="E774" t="s">
        <v>1667</v>
      </c>
      <c r="F774" s="105">
        <v>2310.04</v>
      </c>
      <c r="G774" s="105">
        <v>1644737.84</v>
      </c>
      <c r="H774" s="143">
        <v>42573.54057109954</v>
      </c>
      <c r="I774" s="143">
        <v>43122</v>
      </c>
      <c r="J774" t="s">
        <v>2520</v>
      </c>
      <c r="K774" t="s">
        <v>1280</v>
      </c>
      <c r="L774" t="s">
        <v>2521</v>
      </c>
      <c r="M774">
        <v>200290</v>
      </c>
      <c r="N774" t="s">
        <v>2518</v>
      </c>
      <c r="O774" t="s">
        <v>37</v>
      </c>
      <c r="P774" t="s">
        <v>38</v>
      </c>
      <c r="Q774" t="s">
        <v>39</v>
      </c>
      <c r="R774" s="105">
        <f>IF(Table__192.168.1.150_Daily_Delinquency_With_Sectors[[#This Row],[Days in Arrears]] &gt; 0, Table__192.168.1.150_Daily_Delinquency_With_Sectors[[#This Row],[Outstanding Balance]],0)</f>
        <v>0</v>
      </c>
      <c r="S774" s="105">
        <f>IF(Table__192.168.1.150_Daily_Delinquency_With_Sectors[[#This Row],[Days in Arrears]] &gt; 30, Table__192.168.1.150_Daily_Delinquency_With_Sectors[[#This Row],[Outstanding Balance]],0)</f>
        <v>0</v>
      </c>
      <c r="T774" s="105">
        <f>IF(Table__192.168.1.150_Daily_Delinquency_With_Sectors[[#This Row],[Days in Arrears]] &gt; 90, Table__192.168.1.150_Daily_Delinquency_With_Sectors[[#This Row],[Outstanding Balance]],0)</f>
        <v>0</v>
      </c>
      <c r="U774" s="109">
        <f>IF(Table__192.168.1.150_Daily_Delinquency_With_Sectors[[#This Row],[Days in Arrears]] &gt;= 1,1,0)</f>
        <v>0</v>
      </c>
      <c r="V774" s="109">
        <f>IF(Table__192.168.1.150_Daily_Delinquency_With_Sectors[[#This Row],[Days in Arrears]] &gt; 30,1,0)</f>
        <v>0</v>
      </c>
      <c r="W774" s="109">
        <f>IF(Table__192.168.1.150_Daily_Delinquency_With_Sectors[[#This Row],[Days in Arrears]] &gt; 90,1,0)</f>
        <v>0</v>
      </c>
    </row>
    <row r="775" spans="1:23" x14ac:dyDescent="0.25">
      <c r="A775" t="s">
        <v>2528</v>
      </c>
      <c r="B775" t="s">
        <v>1282</v>
      </c>
      <c r="C775">
        <v>181</v>
      </c>
      <c r="D775" s="105">
        <v>1265329.6499999999</v>
      </c>
      <c r="E775" t="s">
        <v>2175</v>
      </c>
      <c r="F775" s="105">
        <v>44667.61</v>
      </c>
      <c r="G775" s="105">
        <v>1335149.8700000001</v>
      </c>
      <c r="H775" s="143">
        <v>42574.554366087963</v>
      </c>
      <c r="I775" s="143">
        <v>42939</v>
      </c>
      <c r="J775" t="s">
        <v>2529</v>
      </c>
      <c r="K775" t="s">
        <v>1280</v>
      </c>
      <c r="L775" t="s">
        <v>1280</v>
      </c>
      <c r="M775">
        <v>200295</v>
      </c>
      <c r="N775" t="s">
        <v>2527</v>
      </c>
      <c r="O775" t="s">
        <v>27</v>
      </c>
      <c r="P775" t="s">
        <v>116</v>
      </c>
      <c r="Q775" t="s">
        <v>26</v>
      </c>
      <c r="R775" s="105">
        <f>IF(Table__192.168.1.150_Daily_Delinquency_With_Sectors[[#This Row],[Days in Arrears]] &gt; 0, Table__192.168.1.150_Daily_Delinquency_With_Sectors[[#This Row],[Outstanding Balance]],0)</f>
        <v>1265329.6499999999</v>
      </c>
      <c r="S775" s="105">
        <f>IF(Table__192.168.1.150_Daily_Delinquency_With_Sectors[[#This Row],[Days in Arrears]] &gt; 30, Table__192.168.1.150_Daily_Delinquency_With_Sectors[[#This Row],[Outstanding Balance]],0)</f>
        <v>1265329.6499999999</v>
      </c>
      <c r="T775" s="105">
        <f>IF(Table__192.168.1.150_Daily_Delinquency_With_Sectors[[#This Row],[Days in Arrears]] &gt; 90, Table__192.168.1.150_Daily_Delinquency_With_Sectors[[#This Row],[Outstanding Balance]],0)</f>
        <v>1265329.6499999999</v>
      </c>
      <c r="U775" s="109">
        <f>IF(Table__192.168.1.150_Daily_Delinquency_With_Sectors[[#This Row],[Days in Arrears]] &gt;= 1,1,0)</f>
        <v>1</v>
      </c>
      <c r="V775" s="109">
        <f>IF(Table__192.168.1.150_Daily_Delinquency_With_Sectors[[#This Row],[Days in Arrears]] &gt; 30,1,0)</f>
        <v>1</v>
      </c>
      <c r="W775" s="109">
        <f>IF(Table__192.168.1.150_Daily_Delinquency_With_Sectors[[#This Row],[Days in Arrears]] &gt; 90,1,0)</f>
        <v>1</v>
      </c>
    </row>
    <row r="776" spans="1:23" x14ac:dyDescent="0.25">
      <c r="A776" t="s">
        <v>2548</v>
      </c>
      <c r="B776" t="s">
        <v>1281</v>
      </c>
      <c r="C776">
        <v>23</v>
      </c>
      <c r="D776" s="105">
        <v>8566048</v>
      </c>
      <c r="E776" t="s">
        <v>1667</v>
      </c>
      <c r="F776" s="105">
        <v>572984.07999999996</v>
      </c>
      <c r="G776" s="105">
        <v>10561161.43</v>
      </c>
      <c r="H776" s="143">
        <v>42577.563691782409</v>
      </c>
      <c r="I776" s="143">
        <v>43313</v>
      </c>
      <c r="J776" t="s">
        <v>2549</v>
      </c>
      <c r="K776" t="s">
        <v>1280</v>
      </c>
      <c r="L776" t="s">
        <v>1280</v>
      </c>
      <c r="M776">
        <v>200299</v>
      </c>
      <c r="N776" t="s">
        <v>2541</v>
      </c>
      <c r="O776" t="s">
        <v>44</v>
      </c>
      <c r="P776" t="s">
        <v>75</v>
      </c>
      <c r="Q776" t="s">
        <v>26</v>
      </c>
      <c r="R776" s="105">
        <f>IF(Table__192.168.1.150_Daily_Delinquency_With_Sectors[[#This Row],[Days in Arrears]] &gt; 0, Table__192.168.1.150_Daily_Delinquency_With_Sectors[[#This Row],[Outstanding Balance]],0)</f>
        <v>8566048</v>
      </c>
      <c r="S776" s="105">
        <f>IF(Table__192.168.1.150_Daily_Delinquency_With_Sectors[[#This Row],[Days in Arrears]] &gt; 30, Table__192.168.1.150_Daily_Delinquency_With_Sectors[[#This Row],[Outstanding Balance]],0)</f>
        <v>0</v>
      </c>
      <c r="T776" s="105">
        <f>IF(Table__192.168.1.150_Daily_Delinquency_With_Sectors[[#This Row],[Days in Arrears]] &gt; 90, Table__192.168.1.150_Daily_Delinquency_With_Sectors[[#This Row],[Outstanding Balance]],0)</f>
        <v>0</v>
      </c>
      <c r="U776" s="109">
        <f>IF(Table__192.168.1.150_Daily_Delinquency_With_Sectors[[#This Row],[Days in Arrears]] &gt;= 1,1,0)</f>
        <v>1</v>
      </c>
      <c r="V776" s="109">
        <f>IF(Table__192.168.1.150_Daily_Delinquency_With_Sectors[[#This Row],[Days in Arrears]] &gt; 30,1,0)</f>
        <v>0</v>
      </c>
      <c r="W776" s="109">
        <f>IF(Table__192.168.1.150_Daily_Delinquency_With_Sectors[[#This Row],[Days in Arrears]] &gt; 90,1,0)</f>
        <v>0</v>
      </c>
    </row>
    <row r="777" spans="1:23" x14ac:dyDescent="0.25">
      <c r="A777" t="s">
        <v>2562</v>
      </c>
      <c r="B777" t="s">
        <v>1281</v>
      </c>
      <c r="C777">
        <v>53</v>
      </c>
      <c r="D777" s="105">
        <v>17027218.030000001</v>
      </c>
      <c r="E777" t="s">
        <v>5167</v>
      </c>
      <c r="F777" s="105">
        <v>639853.77</v>
      </c>
      <c r="G777" s="105">
        <v>20763290.43</v>
      </c>
      <c r="H777" s="143">
        <v>42578.591155208334</v>
      </c>
      <c r="I777" s="143">
        <v>43313</v>
      </c>
      <c r="J777" t="s">
        <v>2563</v>
      </c>
      <c r="K777" t="s">
        <v>2564</v>
      </c>
      <c r="L777" t="s">
        <v>1280</v>
      </c>
      <c r="M777">
        <v>200300</v>
      </c>
      <c r="N777" t="s">
        <v>2553</v>
      </c>
      <c r="O777" t="s">
        <v>37</v>
      </c>
      <c r="P777" t="s">
        <v>288</v>
      </c>
      <c r="Q777" t="s">
        <v>26</v>
      </c>
      <c r="R777" s="105">
        <f>IF(Table__192.168.1.150_Daily_Delinquency_With_Sectors[[#This Row],[Days in Arrears]] &gt; 0, Table__192.168.1.150_Daily_Delinquency_With_Sectors[[#This Row],[Outstanding Balance]],0)</f>
        <v>17027218.030000001</v>
      </c>
      <c r="S777" s="105">
        <f>IF(Table__192.168.1.150_Daily_Delinquency_With_Sectors[[#This Row],[Days in Arrears]] &gt; 30, Table__192.168.1.150_Daily_Delinquency_With_Sectors[[#This Row],[Outstanding Balance]],0)</f>
        <v>17027218.030000001</v>
      </c>
      <c r="T777" s="105">
        <f>IF(Table__192.168.1.150_Daily_Delinquency_With_Sectors[[#This Row],[Days in Arrears]] &gt; 90, Table__192.168.1.150_Daily_Delinquency_With_Sectors[[#This Row],[Outstanding Balance]],0)</f>
        <v>0</v>
      </c>
      <c r="U777" s="109">
        <f>IF(Table__192.168.1.150_Daily_Delinquency_With_Sectors[[#This Row],[Days in Arrears]] &gt;= 1,1,0)</f>
        <v>1</v>
      </c>
      <c r="V777" s="109">
        <f>IF(Table__192.168.1.150_Daily_Delinquency_With_Sectors[[#This Row],[Days in Arrears]] &gt; 30,1,0)</f>
        <v>1</v>
      </c>
      <c r="W777" s="109">
        <f>IF(Table__192.168.1.150_Daily_Delinquency_With_Sectors[[#This Row],[Days in Arrears]] &gt; 90,1,0)</f>
        <v>0</v>
      </c>
    </row>
    <row r="778" spans="1:23" x14ac:dyDescent="0.25">
      <c r="A778" t="s">
        <v>2565</v>
      </c>
      <c r="B778" t="s">
        <v>1281</v>
      </c>
      <c r="C778">
        <v>23</v>
      </c>
      <c r="D778" s="105">
        <v>15363874.67</v>
      </c>
      <c r="E778" t="s">
        <v>1448</v>
      </c>
      <c r="F778" s="105">
        <v>445700.42</v>
      </c>
      <c r="G778" s="105">
        <v>22783191.969999999</v>
      </c>
      <c r="H778" s="143">
        <v>42578.467473032404</v>
      </c>
      <c r="I778" s="143">
        <v>43678</v>
      </c>
      <c r="J778" t="s">
        <v>2566</v>
      </c>
      <c r="K778" t="s">
        <v>2567</v>
      </c>
      <c r="L778" t="s">
        <v>1280</v>
      </c>
      <c r="M778">
        <v>200303</v>
      </c>
      <c r="N778" t="s">
        <v>2554</v>
      </c>
      <c r="O778" t="s">
        <v>25</v>
      </c>
      <c r="P778" t="s">
        <v>88</v>
      </c>
      <c r="Q778" t="s">
        <v>285</v>
      </c>
      <c r="R778" s="105">
        <f>IF(Table__192.168.1.150_Daily_Delinquency_With_Sectors[[#This Row],[Days in Arrears]] &gt; 0, Table__192.168.1.150_Daily_Delinquency_With_Sectors[[#This Row],[Outstanding Balance]],0)</f>
        <v>15363874.67</v>
      </c>
      <c r="S778" s="105">
        <f>IF(Table__192.168.1.150_Daily_Delinquency_With_Sectors[[#This Row],[Days in Arrears]] &gt; 30, Table__192.168.1.150_Daily_Delinquency_With_Sectors[[#This Row],[Outstanding Balance]],0)</f>
        <v>0</v>
      </c>
      <c r="T778" s="105">
        <f>IF(Table__192.168.1.150_Daily_Delinquency_With_Sectors[[#This Row],[Days in Arrears]] &gt; 90, Table__192.168.1.150_Daily_Delinquency_With_Sectors[[#This Row],[Outstanding Balance]],0)</f>
        <v>0</v>
      </c>
      <c r="U778" s="109">
        <f>IF(Table__192.168.1.150_Daily_Delinquency_With_Sectors[[#This Row],[Days in Arrears]] &gt;= 1,1,0)</f>
        <v>1</v>
      </c>
      <c r="V778" s="109">
        <f>IF(Table__192.168.1.150_Daily_Delinquency_With_Sectors[[#This Row],[Days in Arrears]] &gt; 30,1,0)</f>
        <v>0</v>
      </c>
      <c r="W778" s="109">
        <f>IF(Table__192.168.1.150_Daily_Delinquency_With_Sectors[[#This Row],[Days in Arrears]] &gt; 90,1,0)</f>
        <v>0</v>
      </c>
    </row>
    <row r="779" spans="1:23" x14ac:dyDescent="0.25">
      <c r="A779" t="s">
        <v>2583</v>
      </c>
      <c r="B779" t="s">
        <v>1281</v>
      </c>
      <c r="C779">
        <v>23</v>
      </c>
      <c r="D779" s="105">
        <v>5756806.8799999999</v>
      </c>
      <c r="E779" t="s">
        <v>2494</v>
      </c>
      <c r="F779" s="105">
        <v>359372.27</v>
      </c>
      <c r="G779" s="105">
        <v>6343771.9699999997</v>
      </c>
      <c r="H779" s="143">
        <v>42579.655403969904</v>
      </c>
      <c r="I779" s="143">
        <v>43132</v>
      </c>
      <c r="J779" t="s">
        <v>2584</v>
      </c>
      <c r="K779" t="s">
        <v>1280</v>
      </c>
      <c r="L779" t="s">
        <v>1280</v>
      </c>
      <c r="M779">
        <v>200309</v>
      </c>
      <c r="N779" t="s">
        <v>2574</v>
      </c>
      <c r="O779" t="s">
        <v>37</v>
      </c>
      <c r="P779" t="s">
        <v>38</v>
      </c>
      <c r="Q779" t="s">
        <v>39</v>
      </c>
      <c r="R779" s="105">
        <f>IF(Table__192.168.1.150_Daily_Delinquency_With_Sectors[[#This Row],[Days in Arrears]] &gt; 0, Table__192.168.1.150_Daily_Delinquency_With_Sectors[[#This Row],[Outstanding Balance]],0)</f>
        <v>5756806.8799999999</v>
      </c>
      <c r="S779" s="105">
        <f>IF(Table__192.168.1.150_Daily_Delinquency_With_Sectors[[#This Row],[Days in Arrears]] &gt; 30, Table__192.168.1.150_Daily_Delinquency_With_Sectors[[#This Row],[Outstanding Balance]],0)</f>
        <v>0</v>
      </c>
      <c r="T779" s="105">
        <f>IF(Table__192.168.1.150_Daily_Delinquency_With_Sectors[[#This Row],[Days in Arrears]] &gt; 90, Table__192.168.1.150_Daily_Delinquency_With_Sectors[[#This Row],[Outstanding Balance]],0)</f>
        <v>0</v>
      </c>
      <c r="U779" s="109">
        <f>IF(Table__192.168.1.150_Daily_Delinquency_With_Sectors[[#This Row],[Days in Arrears]] &gt;= 1,1,0)</f>
        <v>1</v>
      </c>
      <c r="V779" s="109">
        <f>IF(Table__192.168.1.150_Daily_Delinquency_With_Sectors[[#This Row],[Days in Arrears]] &gt; 30,1,0)</f>
        <v>0</v>
      </c>
      <c r="W779" s="109">
        <f>IF(Table__192.168.1.150_Daily_Delinquency_With_Sectors[[#This Row],[Days in Arrears]] &gt; 90,1,0)</f>
        <v>0</v>
      </c>
    </row>
    <row r="780" spans="1:23" x14ac:dyDescent="0.25">
      <c r="A780" t="s">
        <v>2597</v>
      </c>
      <c r="B780" t="s">
        <v>1283</v>
      </c>
      <c r="C780">
        <v>-1</v>
      </c>
      <c r="D780" s="105">
        <v>7323820.7699999996</v>
      </c>
      <c r="E780" t="s">
        <v>1191</v>
      </c>
      <c r="F780" s="105">
        <v>227852.2</v>
      </c>
      <c r="G780" s="105">
        <v>7817411.1399999997</v>
      </c>
      <c r="H780" s="143">
        <v>42580.434455358794</v>
      </c>
      <c r="I780" s="143">
        <v>43125</v>
      </c>
      <c r="J780" t="s">
        <v>2598</v>
      </c>
      <c r="K780" t="s">
        <v>1280</v>
      </c>
      <c r="L780" t="s">
        <v>1280</v>
      </c>
      <c r="M780">
        <v>200310</v>
      </c>
      <c r="N780" t="s">
        <v>2591</v>
      </c>
      <c r="O780" t="s">
        <v>37</v>
      </c>
      <c r="P780" t="s">
        <v>38</v>
      </c>
      <c r="Q780" t="s">
        <v>39</v>
      </c>
      <c r="R780" s="105">
        <f>IF(Table__192.168.1.150_Daily_Delinquency_With_Sectors[[#This Row],[Days in Arrears]] &gt; 0, Table__192.168.1.150_Daily_Delinquency_With_Sectors[[#This Row],[Outstanding Balance]],0)</f>
        <v>0</v>
      </c>
      <c r="S780" s="105">
        <f>IF(Table__192.168.1.150_Daily_Delinquency_With_Sectors[[#This Row],[Days in Arrears]] &gt; 30, Table__192.168.1.150_Daily_Delinquency_With_Sectors[[#This Row],[Outstanding Balance]],0)</f>
        <v>0</v>
      </c>
      <c r="T780" s="105">
        <f>IF(Table__192.168.1.150_Daily_Delinquency_With_Sectors[[#This Row],[Days in Arrears]] &gt; 90, Table__192.168.1.150_Daily_Delinquency_With_Sectors[[#This Row],[Outstanding Balance]],0)</f>
        <v>0</v>
      </c>
      <c r="U780" s="109">
        <f>IF(Table__192.168.1.150_Daily_Delinquency_With_Sectors[[#This Row],[Days in Arrears]] &gt;= 1,1,0)</f>
        <v>0</v>
      </c>
      <c r="V780" s="109">
        <f>IF(Table__192.168.1.150_Daily_Delinquency_With_Sectors[[#This Row],[Days in Arrears]] &gt; 30,1,0)</f>
        <v>0</v>
      </c>
      <c r="W780" s="109">
        <f>IF(Table__192.168.1.150_Daily_Delinquency_With_Sectors[[#This Row],[Days in Arrears]] &gt; 90,1,0)</f>
        <v>0</v>
      </c>
    </row>
    <row r="781" spans="1:23" x14ac:dyDescent="0.25">
      <c r="A781" t="s">
        <v>2601</v>
      </c>
      <c r="B781" t="s">
        <v>1281</v>
      </c>
      <c r="C781">
        <v>50</v>
      </c>
      <c r="D781" s="105">
        <v>14456376.6</v>
      </c>
      <c r="E781" t="s">
        <v>963</v>
      </c>
      <c r="F781" s="105">
        <v>1079999.8799999999</v>
      </c>
      <c r="G781" s="105">
        <v>18119849.739999998</v>
      </c>
      <c r="H781" s="143">
        <v>42580.507581331018</v>
      </c>
      <c r="I781" s="143">
        <v>43316</v>
      </c>
      <c r="J781" t="s">
        <v>2602</v>
      </c>
      <c r="K781" t="s">
        <v>1280</v>
      </c>
      <c r="L781" t="s">
        <v>1280</v>
      </c>
      <c r="M781">
        <v>200313</v>
      </c>
      <c r="N781" t="s">
        <v>2585</v>
      </c>
      <c r="O781" t="s">
        <v>31</v>
      </c>
      <c r="P781" t="s">
        <v>2586</v>
      </c>
      <c r="Q781" t="s">
        <v>1816</v>
      </c>
      <c r="R781" s="105">
        <f>IF(Table__192.168.1.150_Daily_Delinquency_With_Sectors[[#This Row],[Days in Arrears]] &gt; 0, Table__192.168.1.150_Daily_Delinquency_With_Sectors[[#This Row],[Outstanding Balance]],0)</f>
        <v>14456376.6</v>
      </c>
      <c r="S781" s="105">
        <f>IF(Table__192.168.1.150_Daily_Delinquency_With_Sectors[[#This Row],[Days in Arrears]] &gt; 30, Table__192.168.1.150_Daily_Delinquency_With_Sectors[[#This Row],[Outstanding Balance]],0)</f>
        <v>14456376.6</v>
      </c>
      <c r="T781" s="105">
        <f>IF(Table__192.168.1.150_Daily_Delinquency_With_Sectors[[#This Row],[Days in Arrears]] &gt; 90, Table__192.168.1.150_Daily_Delinquency_With_Sectors[[#This Row],[Outstanding Balance]],0)</f>
        <v>0</v>
      </c>
      <c r="U781" s="109">
        <f>IF(Table__192.168.1.150_Daily_Delinquency_With_Sectors[[#This Row],[Days in Arrears]] &gt;= 1,1,0)</f>
        <v>1</v>
      </c>
      <c r="V781" s="109">
        <f>IF(Table__192.168.1.150_Daily_Delinquency_With_Sectors[[#This Row],[Days in Arrears]] &gt; 30,1,0)</f>
        <v>1</v>
      </c>
      <c r="W781" s="109">
        <f>IF(Table__192.168.1.150_Daily_Delinquency_With_Sectors[[#This Row],[Days in Arrears]] &gt; 90,1,0)</f>
        <v>0</v>
      </c>
    </row>
    <row r="782" spans="1:23" x14ac:dyDescent="0.25">
      <c r="A782" t="s">
        <v>2603</v>
      </c>
      <c r="B782" t="s">
        <v>1284</v>
      </c>
      <c r="C782">
        <v>142</v>
      </c>
      <c r="D782" s="105">
        <v>1016516.93</v>
      </c>
      <c r="E782" t="s">
        <v>2175</v>
      </c>
      <c r="F782" s="105">
        <v>24042.41</v>
      </c>
      <c r="G782" s="105">
        <v>1041388.39</v>
      </c>
      <c r="H782" s="143">
        <v>42580.643223148145</v>
      </c>
      <c r="I782" s="143">
        <v>42949</v>
      </c>
      <c r="J782" t="s">
        <v>2604</v>
      </c>
      <c r="K782" t="s">
        <v>1280</v>
      </c>
      <c r="L782" t="s">
        <v>1280</v>
      </c>
      <c r="M782">
        <v>200315</v>
      </c>
      <c r="N782" t="s">
        <v>2590</v>
      </c>
      <c r="O782" t="s">
        <v>27</v>
      </c>
      <c r="P782" t="s">
        <v>116</v>
      </c>
      <c r="Q782" t="s">
        <v>26</v>
      </c>
      <c r="R782" s="105">
        <f>IF(Table__192.168.1.150_Daily_Delinquency_With_Sectors[[#This Row],[Days in Arrears]] &gt; 0, Table__192.168.1.150_Daily_Delinquency_With_Sectors[[#This Row],[Outstanding Balance]],0)</f>
        <v>1016516.93</v>
      </c>
      <c r="S782" s="105">
        <f>IF(Table__192.168.1.150_Daily_Delinquency_With_Sectors[[#This Row],[Days in Arrears]] &gt; 30, Table__192.168.1.150_Daily_Delinquency_With_Sectors[[#This Row],[Outstanding Balance]],0)</f>
        <v>1016516.93</v>
      </c>
      <c r="T782" s="105">
        <f>IF(Table__192.168.1.150_Daily_Delinquency_With_Sectors[[#This Row],[Days in Arrears]] &gt; 90, Table__192.168.1.150_Daily_Delinquency_With_Sectors[[#This Row],[Outstanding Balance]],0)</f>
        <v>1016516.93</v>
      </c>
      <c r="U782" s="109">
        <f>IF(Table__192.168.1.150_Daily_Delinquency_With_Sectors[[#This Row],[Days in Arrears]] &gt;= 1,1,0)</f>
        <v>1</v>
      </c>
      <c r="V782" s="109">
        <f>IF(Table__192.168.1.150_Daily_Delinquency_With_Sectors[[#This Row],[Days in Arrears]] &gt; 30,1,0)</f>
        <v>1</v>
      </c>
      <c r="W782" s="109">
        <f>IF(Table__192.168.1.150_Daily_Delinquency_With_Sectors[[#This Row],[Days in Arrears]] &gt; 90,1,0)</f>
        <v>1</v>
      </c>
    </row>
    <row r="783" spans="1:23" x14ac:dyDescent="0.25">
      <c r="A783" t="s">
        <v>2607</v>
      </c>
      <c r="B783" t="s">
        <v>1281</v>
      </c>
      <c r="C783">
        <v>83</v>
      </c>
      <c r="D783" s="105">
        <v>12342311.060000001</v>
      </c>
      <c r="E783" t="s">
        <v>5725</v>
      </c>
      <c r="F783" s="105">
        <v>967566.19</v>
      </c>
      <c r="G783" s="105">
        <v>15781200.74</v>
      </c>
      <c r="H783" s="143">
        <v>42580.683190312498</v>
      </c>
      <c r="I783" s="143">
        <v>43313</v>
      </c>
      <c r="J783" t="s">
        <v>2608</v>
      </c>
      <c r="K783" t="s">
        <v>1280</v>
      </c>
      <c r="L783" t="s">
        <v>1280</v>
      </c>
      <c r="M783">
        <v>200318</v>
      </c>
      <c r="N783" t="s">
        <v>2589</v>
      </c>
      <c r="O783" t="s">
        <v>27</v>
      </c>
      <c r="P783" t="s">
        <v>116</v>
      </c>
      <c r="Q783" t="s">
        <v>26</v>
      </c>
      <c r="R783" s="105">
        <f>IF(Table__192.168.1.150_Daily_Delinquency_With_Sectors[[#This Row],[Days in Arrears]] &gt; 0, Table__192.168.1.150_Daily_Delinquency_With_Sectors[[#This Row],[Outstanding Balance]],0)</f>
        <v>12342311.060000001</v>
      </c>
      <c r="S783" s="105">
        <f>IF(Table__192.168.1.150_Daily_Delinquency_With_Sectors[[#This Row],[Days in Arrears]] &gt; 30, Table__192.168.1.150_Daily_Delinquency_With_Sectors[[#This Row],[Outstanding Balance]],0)</f>
        <v>12342311.060000001</v>
      </c>
      <c r="T783" s="105">
        <f>IF(Table__192.168.1.150_Daily_Delinquency_With_Sectors[[#This Row],[Days in Arrears]] &gt; 90, Table__192.168.1.150_Daily_Delinquency_With_Sectors[[#This Row],[Outstanding Balance]],0)</f>
        <v>0</v>
      </c>
      <c r="U783" s="109">
        <f>IF(Table__192.168.1.150_Daily_Delinquency_With_Sectors[[#This Row],[Days in Arrears]] &gt;= 1,1,0)</f>
        <v>1</v>
      </c>
      <c r="V783" s="109">
        <f>IF(Table__192.168.1.150_Daily_Delinquency_With_Sectors[[#This Row],[Days in Arrears]] &gt; 30,1,0)</f>
        <v>1</v>
      </c>
      <c r="W783" s="109">
        <f>IF(Table__192.168.1.150_Daily_Delinquency_With_Sectors[[#This Row],[Days in Arrears]] &gt; 90,1,0)</f>
        <v>0</v>
      </c>
    </row>
    <row r="784" spans="1:23" x14ac:dyDescent="0.25">
      <c r="A784" t="s">
        <v>2609</v>
      </c>
      <c r="B784" t="s">
        <v>1281</v>
      </c>
      <c r="C784">
        <v>53</v>
      </c>
      <c r="D784" s="105">
        <v>9116685.1999999993</v>
      </c>
      <c r="E784" t="s">
        <v>2861</v>
      </c>
      <c r="F784" s="105">
        <v>340384.81</v>
      </c>
      <c r="G784" s="105">
        <v>11104174.09</v>
      </c>
      <c r="H784" s="143">
        <v>42580.722208831015</v>
      </c>
      <c r="I784" s="143">
        <v>43313</v>
      </c>
      <c r="J784" t="s">
        <v>2610</v>
      </c>
      <c r="K784" t="s">
        <v>1280</v>
      </c>
      <c r="L784" t="s">
        <v>1280</v>
      </c>
      <c r="M784">
        <v>200319</v>
      </c>
      <c r="N784" t="s">
        <v>2587</v>
      </c>
      <c r="O784" t="s">
        <v>27</v>
      </c>
      <c r="P784" t="s">
        <v>81</v>
      </c>
      <c r="Q784" t="s">
        <v>26</v>
      </c>
      <c r="R784" s="105">
        <f>IF(Table__192.168.1.150_Daily_Delinquency_With_Sectors[[#This Row],[Days in Arrears]] &gt; 0, Table__192.168.1.150_Daily_Delinquency_With_Sectors[[#This Row],[Outstanding Balance]],0)</f>
        <v>9116685.1999999993</v>
      </c>
      <c r="S784" s="105">
        <f>IF(Table__192.168.1.150_Daily_Delinquency_With_Sectors[[#This Row],[Days in Arrears]] &gt; 30, Table__192.168.1.150_Daily_Delinquency_With_Sectors[[#This Row],[Outstanding Balance]],0)</f>
        <v>9116685.1999999993</v>
      </c>
      <c r="T784" s="105">
        <f>IF(Table__192.168.1.150_Daily_Delinquency_With_Sectors[[#This Row],[Days in Arrears]] &gt; 90, Table__192.168.1.150_Daily_Delinquency_With_Sectors[[#This Row],[Outstanding Balance]],0)</f>
        <v>0</v>
      </c>
      <c r="U784" s="109">
        <f>IF(Table__192.168.1.150_Daily_Delinquency_With_Sectors[[#This Row],[Days in Arrears]] &gt;= 1,1,0)</f>
        <v>1</v>
      </c>
      <c r="V784" s="109">
        <f>IF(Table__192.168.1.150_Daily_Delinquency_With_Sectors[[#This Row],[Days in Arrears]] &gt; 30,1,0)</f>
        <v>1</v>
      </c>
      <c r="W784" s="109">
        <f>IF(Table__192.168.1.150_Daily_Delinquency_With_Sectors[[#This Row],[Days in Arrears]] &gt; 90,1,0)</f>
        <v>0</v>
      </c>
    </row>
    <row r="785" spans="1:23" x14ac:dyDescent="0.25">
      <c r="A785" t="s">
        <v>2621</v>
      </c>
      <c r="B785" t="s">
        <v>1281</v>
      </c>
      <c r="C785">
        <v>-7</v>
      </c>
      <c r="D785" s="105">
        <v>3511915.43</v>
      </c>
      <c r="E785" t="s">
        <v>1925</v>
      </c>
      <c r="F785" s="105">
        <v>103016.19</v>
      </c>
      <c r="G785" s="105">
        <v>3796540.79</v>
      </c>
      <c r="H785" s="143">
        <v>42581.528302743056</v>
      </c>
      <c r="I785" s="143">
        <v>43132</v>
      </c>
      <c r="J785" t="s">
        <v>2622</v>
      </c>
      <c r="K785" t="s">
        <v>1280</v>
      </c>
      <c r="L785" t="s">
        <v>1280</v>
      </c>
      <c r="M785">
        <v>200322</v>
      </c>
      <c r="N785" t="s">
        <v>2612</v>
      </c>
      <c r="O785" t="s">
        <v>25</v>
      </c>
      <c r="P785" t="s">
        <v>106</v>
      </c>
      <c r="Q785" t="s">
        <v>26</v>
      </c>
      <c r="R785" s="105">
        <f>IF(Table__192.168.1.150_Daily_Delinquency_With_Sectors[[#This Row],[Days in Arrears]] &gt; 0, Table__192.168.1.150_Daily_Delinquency_With_Sectors[[#This Row],[Outstanding Balance]],0)</f>
        <v>0</v>
      </c>
      <c r="S785" s="105">
        <f>IF(Table__192.168.1.150_Daily_Delinquency_With_Sectors[[#This Row],[Days in Arrears]] &gt; 30, Table__192.168.1.150_Daily_Delinquency_With_Sectors[[#This Row],[Outstanding Balance]],0)</f>
        <v>0</v>
      </c>
      <c r="T785" s="105">
        <f>IF(Table__192.168.1.150_Daily_Delinquency_With_Sectors[[#This Row],[Days in Arrears]] &gt; 90, Table__192.168.1.150_Daily_Delinquency_With_Sectors[[#This Row],[Outstanding Balance]],0)</f>
        <v>0</v>
      </c>
      <c r="U785" s="109">
        <f>IF(Table__192.168.1.150_Daily_Delinquency_With_Sectors[[#This Row],[Days in Arrears]] &gt;= 1,1,0)</f>
        <v>0</v>
      </c>
      <c r="V785" s="109">
        <f>IF(Table__192.168.1.150_Daily_Delinquency_With_Sectors[[#This Row],[Days in Arrears]] &gt; 30,1,0)</f>
        <v>0</v>
      </c>
      <c r="W785" s="109">
        <f>IF(Table__192.168.1.150_Daily_Delinquency_With_Sectors[[#This Row],[Days in Arrears]] &gt; 90,1,0)</f>
        <v>0</v>
      </c>
    </row>
    <row r="786" spans="1:23" x14ac:dyDescent="0.25">
      <c r="A786" t="s">
        <v>2631</v>
      </c>
      <c r="B786" t="s">
        <v>1281</v>
      </c>
      <c r="C786">
        <v>53</v>
      </c>
      <c r="D786" s="105">
        <v>14382713.42</v>
      </c>
      <c r="E786" t="s">
        <v>5725</v>
      </c>
      <c r="F786" s="105">
        <v>1106479.67</v>
      </c>
      <c r="G786" s="105">
        <v>18059502.079999998</v>
      </c>
      <c r="H786" s="143">
        <v>42581.561680173611</v>
      </c>
      <c r="I786" s="143">
        <v>43313</v>
      </c>
      <c r="J786" t="s">
        <v>2632</v>
      </c>
      <c r="K786" t="s">
        <v>1280</v>
      </c>
      <c r="L786" t="s">
        <v>1280</v>
      </c>
      <c r="M786">
        <v>200331</v>
      </c>
      <c r="N786" t="s">
        <v>2611</v>
      </c>
      <c r="O786" t="s">
        <v>36</v>
      </c>
      <c r="P786" t="s">
        <v>97</v>
      </c>
      <c r="Q786" t="s">
        <v>1811</v>
      </c>
      <c r="R786" s="105">
        <f>IF(Table__192.168.1.150_Daily_Delinquency_With_Sectors[[#This Row],[Days in Arrears]] &gt; 0, Table__192.168.1.150_Daily_Delinquency_With_Sectors[[#This Row],[Outstanding Balance]],0)</f>
        <v>14382713.42</v>
      </c>
      <c r="S786" s="105">
        <f>IF(Table__192.168.1.150_Daily_Delinquency_With_Sectors[[#This Row],[Days in Arrears]] &gt; 30, Table__192.168.1.150_Daily_Delinquency_With_Sectors[[#This Row],[Outstanding Balance]],0)</f>
        <v>14382713.42</v>
      </c>
      <c r="T786" s="105">
        <f>IF(Table__192.168.1.150_Daily_Delinquency_With_Sectors[[#This Row],[Days in Arrears]] &gt; 90, Table__192.168.1.150_Daily_Delinquency_With_Sectors[[#This Row],[Outstanding Balance]],0)</f>
        <v>0</v>
      </c>
      <c r="U786" s="109">
        <f>IF(Table__192.168.1.150_Daily_Delinquency_With_Sectors[[#This Row],[Days in Arrears]] &gt;= 1,1,0)</f>
        <v>1</v>
      </c>
      <c r="V786" s="109">
        <f>IF(Table__192.168.1.150_Daily_Delinquency_With_Sectors[[#This Row],[Days in Arrears]] &gt; 30,1,0)</f>
        <v>1</v>
      </c>
      <c r="W786" s="109">
        <f>IF(Table__192.168.1.150_Daily_Delinquency_With_Sectors[[#This Row],[Days in Arrears]] &gt; 90,1,0)</f>
        <v>0</v>
      </c>
    </row>
    <row r="787" spans="1:23" x14ac:dyDescent="0.25">
      <c r="A787" t="s">
        <v>1776</v>
      </c>
      <c r="B787" t="s">
        <v>1281</v>
      </c>
      <c r="C787">
        <v>-15</v>
      </c>
      <c r="D787" s="105">
        <v>4935021.6500000004</v>
      </c>
      <c r="E787" t="s">
        <v>1667</v>
      </c>
      <c r="F787" s="105">
        <v>80605.350000000006</v>
      </c>
      <c r="G787" s="105">
        <v>5284433.72</v>
      </c>
      <c r="H787" s="143">
        <v>42581.669069097225</v>
      </c>
      <c r="I787" s="143">
        <v>43140</v>
      </c>
      <c r="J787" t="s">
        <v>1777</v>
      </c>
      <c r="K787" t="s">
        <v>1280</v>
      </c>
      <c r="L787" t="s">
        <v>1837</v>
      </c>
      <c r="M787">
        <v>200334</v>
      </c>
      <c r="N787" t="s">
        <v>1775</v>
      </c>
      <c r="O787" t="s">
        <v>37</v>
      </c>
      <c r="P787" t="s">
        <v>38</v>
      </c>
      <c r="Q787" t="s">
        <v>39</v>
      </c>
      <c r="R787" s="105">
        <f>IF(Table__192.168.1.150_Daily_Delinquency_With_Sectors[[#This Row],[Days in Arrears]] &gt; 0, Table__192.168.1.150_Daily_Delinquency_With_Sectors[[#This Row],[Outstanding Balance]],0)</f>
        <v>0</v>
      </c>
      <c r="S787" s="105">
        <f>IF(Table__192.168.1.150_Daily_Delinquency_With_Sectors[[#This Row],[Days in Arrears]] &gt; 30, Table__192.168.1.150_Daily_Delinquency_With_Sectors[[#This Row],[Outstanding Balance]],0)</f>
        <v>0</v>
      </c>
      <c r="T787" s="105">
        <f>IF(Table__192.168.1.150_Daily_Delinquency_With_Sectors[[#This Row],[Days in Arrears]] &gt; 90, Table__192.168.1.150_Daily_Delinquency_With_Sectors[[#This Row],[Outstanding Balance]],0)</f>
        <v>0</v>
      </c>
      <c r="U787" s="109">
        <f>IF(Table__192.168.1.150_Daily_Delinquency_With_Sectors[[#This Row],[Days in Arrears]] &gt;= 1,1,0)</f>
        <v>0</v>
      </c>
      <c r="V787" s="109">
        <f>IF(Table__192.168.1.150_Daily_Delinquency_With_Sectors[[#This Row],[Days in Arrears]] &gt; 30,1,0)</f>
        <v>0</v>
      </c>
      <c r="W787" s="109">
        <f>IF(Table__192.168.1.150_Daily_Delinquency_With_Sectors[[#This Row],[Days in Arrears]] &gt; 90,1,0)</f>
        <v>0</v>
      </c>
    </row>
    <row r="788" spans="1:23" x14ac:dyDescent="0.25">
      <c r="A788" t="s">
        <v>2641</v>
      </c>
      <c r="B788" t="s">
        <v>1281</v>
      </c>
      <c r="C788">
        <v>22</v>
      </c>
      <c r="D788" s="105">
        <v>8511487.2599999998</v>
      </c>
      <c r="E788" t="s">
        <v>1925</v>
      </c>
      <c r="F788" s="105">
        <v>556659.73</v>
      </c>
      <c r="G788" s="105">
        <v>10491621.65</v>
      </c>
      <c r="H788" s="143">
        <v>42584.353854085646</v>
      </c>
      <c r="I788" s="143">
        <v>43314</v>
      </c>
      <c r="J788" t="s">
        <v>2642</v>
      </c>
      <c r="K788" t="s">
        <v>1280</v>
      </c>
      <c r="L788" t="s">
        <v>1280</v>
      </c>
      <c r="M788">
        <v>200335</v>
      </c>
      <c r="N788" t="s">
        <v>2633</v>
      </c>
      <c r="O788" t="s">
        <v>29</v>
      </c>
      <c r="P788" t="s">
        <v>30</v>
      </c>
      <c r="Q788" t="s">
        <v>30</v>
      </c>
      <c r="R788" s="105">
        <f>IF(Table__192.168.1.150_Daily_Delinquency_With_Sectors[[#This Row],[Days in Arrears]] &gt; 0, Table__192.168.1.150_Daily_Delinquency_With_Sectors[[#This Row],[Outstanding Balance]],0)</f>
        <v>8511487.2599999998</v>
      </c>
      <c r="S788" s="105">
        <f>IF(Table__192.168.1.150_Daily_Delinquency_With_Sectors[[#This Row],[Days in Arrears]] &gt; 30, Table__192.168.1.150_Daily_Delinquency_With_Sectors[[#This Row],[Outstanding Balance]],0)</f>
        <v>0</v>
      </c>
      <c r="T788" s="105">
        <f>IF(Table__192.168.1.150_Daily_Delinquency_With_Sectors[[#This Row],[Days in Arrears]] &gt; 90, Table__192.168.1.150_Daily_Delinquency_With_Sectors[[#This Row],[Outstanding Balance]],0)</f>
        <v>0</v>
      </c>
      <c r="U788" s="109">
        <f>IF(Table__192.168.1.150_Daily_Delinquency_With_Sectors[[#This Row],[Days in Arrears]] &gt;= 1,1,0)</f>
        <v>1</v>
      </c>
      <c r="V788" s="109">
        <f>IF(Table__192.168.1.150_Daily_Delinquency_With_Sectors[[#This Row],[Days in Arrears]] &gt; 30,1,0)</f>
        <v>0</v>
      </c>
      <c r="W788" s="109">
        <f>IF(Table__192.168.1.150_Daily_Delinquency_With_Sectors[[#This Row],[Days in Arrears]] &gt; 90,1,0)</f>
        <v>0</v>
      </c>
    </row>
    <row r="789" spans="1:23" x14ac:dyDescent="0.25">
      <c r="A789" t="s">
        <v>2628</v>
      </c>
      <c r="B789" t="s">
        <v>1283</v>
      </c>
      <c r="C789">
        <v>-9</v>
      </c>
      <c r="D789" s="105">
        <v>24450276.539999999</v>
      </c>
      <c r="E789" t="s">
        <v>546</v>
      </c>
      <c r="F789" s="105">
        <v>543339.48</v>
      </c>
      <c r="G789" s="105">
        <v>34387583.670000002</v>
      </c>
      <c r="H789" s="143">
        <v>42584.692311574072</v>
      </c>
      <c r="I789" s="143">
        <v>43680</v>
      </c>
      <c r="J789" t="s">
        <v>2629</v>
      </c>
      <c r="K789" t="s">
        <v>1280</v>
      </c>
      <c r="L789" t="s">
        <v>2630</v>
      </c>
      <c r="M789">
        <v>200337</v>
      </c>
      <c r="N789" t="s">
        <v>2614</v>
      </c>
      <c r="O789" t="s">
        <v>44</v>
      </c>
      <c r="P789" t="s">
        <v>75</v>
      </c>
      <c r="Q789" t="s">
        <v>26</v>
      </c>
      <c r="R789" s="105">
        <f>IF(Table__192.168.1.150_Daily_Delinquency_With_Sectors[[#This Row],[Days in Arrears]] &gt; 0, Table__192.168.1.150_Daily_Delinquency_With_Sectors[[#This Row],[Outstanding Balance]],0)</f>
        <v>0</v>
      </c>
      <c r="S789" s="105">
        <f>IF(Table__192.168.1.150_Daily_Delinquency_With_Sectors[[#This Row],[Days in Arrears]] &gt; 30, Table__192.168.1.150_Daily_Delinquency_With_Sectors[[#This Row],[Outstanding Balance]],0)</f>
        <v>0</v>
      </c>
      <c r="T789" s="105">
        <f>IF(Table__192.168.1.150_Daily_Delinquency_With_Sectors[[#This Row],[Days in Arrears]] &gt; 90, Table__192.168.1.150_Daily_Delinquency_With_Sectors[[#This Row],[Outstanding Balance]],0)</f>
        <v>0</v>
      </c>
      <c r="U789" s="109">
        <f>IF(Table__192.168.1.150_Daily_Delinquency_With_Sectors[[#This Row],[Days in Arrears]] &gt;= 1,1,0)</f>
        <v>0</v>
      </c>
      <c r="V789" s="109">
        <f>IF(Table__192.168.1.150_Daily_Delinquency_With_Sectors[[#This Row],[Days in Arrears]] &gt; 30,1,0)</f>
        <v>0</v>
      </c>
      <c r="W789" s="109">
        <f>IF(Table__192.168.1.150_Daily_Delinquency_With_Sectors[[#This Row],[Days in Arrears]] &gt; 90,1,0)</f>
        <v>0</v>
      </c>
    </row>
    <row r="790" spans="1:23" x14ac:dyDescent="0.25">
      <c r="A790" t="s">
        <v>2646</v>
      </c>
      <c r="B790" t="s">
        <v>1866</v>
      </c>
      <c r="C790">
        <v>192</v>
      </c>
      <c r="D790" s="105">
        <v>2361969.35</v>
      </c>
      <c r="E790" t="s">
        <v>2538</v>
      </c>
      <c r="F790" s="105">
        <v>171202.49</v>
      </c>
      <c r="G790" s="105">
        <v>2613027.35</v>
      </c>
      <c r="H790" s="143">
        <v>42585.71644236111</v>
      </c>
      <c r="I790" s="143">
        <v>42959</v>
      </c>
      <c r="J790" t="s">
        <v>2647</v>
      </c>
      <c r="K790" t="s">
        <v>1280</v>
      </c>
      <c r="L790" t="s">
        <v>1280</v>
      </c>
      <c r="M790">
        <v>200339</v>
      </c>
      <c r="N790" t="s">
        <v>2645</v>
      </c>
      <c r="O790" t="s">
        <v>27</v>
      </c>
      <c r="P790" t="s">
        <v>116</v>
      </c>
      <c r="Q790" t="s">
        <v>26</v>
      </c>
      <c r="R790" s="105">
        <f>IF(Table__192.168.1.150_Daily_Delinquency_With_Sectors[[#This Row],[Days in Arrears]] &gt; 0, Table__192.168.1.150_Daily_Delinquency_With_Sectors[[#This Row],[Outstanding Balance]],0)</f>
        <v>2361969.35</v>
      </c>
      <c r="S790" s="105">
        <f>IF(Table__192.168.1.150_Daily_Delinquency_With_Sectors[[#This Row],[Days in Arrears]] &gt; 30, Table__192.168.1.150_Daily_Delinquency_With_Sectors[[#This Row],[Outstanding Balance]],0)</f>
        <v>2361969.35</v>
      </c>
      <c r="T790" s="105">
        <f>IF(Table__192.168.1.150_Daily_Delinquency_With_Sectors[[#This Row],[Days in Arrears]] &gt; 90, Table__192.168.1.150_Daily_Delinquency_With_Sectors[[#This Row],[Outstanding Balance]],0)</f>
        <v>2361969.35</v>
      </c>
      <c r="U790" s="109">
        <f>IF(Table__192.168.1.150_Daily_Delinquency_With_Sectors[[#This Row],[Days in Arrears]] &gt;= 1,1,0)</f>
        <v>1</v>
      </c>
      <c r="V790" s="109">
        <f>IF(Table__192.168.1.150_Daily_Delinquency_With_Sectors[[#This Row],[Days in Arrears]] &gt; 30,1,0)</f>
        <v>1</v>
      </c>
      <c r="W790" s="109">
        <f>IF(Table__192.168.1.150_Daily_Delinquency_With_Sectors[[#This Row],[Days in Arrears]] &gt; 90,1,0)</f>
        <v>1</v>
      </c>
    </row>
    <row r="791" spans="1:23" x14ac:dyDescent="0.25">
      <c r="A791" t="s">
        <v>2511</v>
      </c>
      <c r="B791" t="s">
        <v>1282</v>
      </c>
      <c r="C791">
        <v>44</v>
      </c>
      <c r="D791" s="105">
        <v>4638567.24</v>
      </c>
      <c r="E791" t="s">
        <v>1447</v>
      </c>
      <c r="F791" s="105">
        <v>199009.72</v>
      </c>
      <c r="G791" s="105">
        <v>5151028.08</v>
      </c>
      <c r="H791" s="143">
        <v>42587.656656979168</v>
      </c>
      <c r="I791" s="143">
        <v>43141</v>
      </c>
      <c r="J791" t="s">
        <v>2512</v>
      </c>
      <c r="K791" t="s">
        <v>1280</v>
      </c>
      <c r="L791" t="s">
        <v>1280</v>
      </c>
      <c r="M791">
        <v>200342</v>
      </c>
      <c r="N791" t="s">
        <v>2505</v>
      </c>
      <c r="O791" t="s">
        <v>44</v>
      </c>
      <c r="P791" t="s">
        <v>75</v>
      </c>
      <c r="Q791" t="s">
        <v>26</v>
      </c>
      <c r="R791" s="105">
        <f>IF(Table__192.168.1.150_Daily_Delinquency_With_Sectors[[#This Row],[Days in Arrears]] &gt; 0, Table__192.168.1.150_Daily_Delinquency_With_Sectors[[#This Row],[Outstanding Balance]],0)</f>
        <v>4638567.24</v>
      </c>
      <c r="S791" s="105">
        <f>IF(Table__192.168.1.150_Daily_Delinquency_With_Sectors[[#This Row],[Days in Arrears]] &gt; 30, Table__192.168.1.150_Daily_Delinquency_With_Sectors[[#This Row],[Outstanding Balance]],0)</f>
        <v>4638567.24</v>
      </c>
      <c r="T791" s="105">
        <f>IF(Table__192.168.1.150_Daily_Delinquency_With_Sectors[[#This Row],[Days in Arrears]] &gt; 90, Table__192.168.1.150_Daily_Delinquency_With_Sectors[[#This Row],[Outstanding Balance]],0)</f>
        <v>0</v>
      </c>
      <c r="U791" s="109">
        <f>IF(Table__192.168.1.150_Daily_Delinquency_With_Sectors[[#This Row],[Days in Arrears]] &gt;= 1,1,0)</f>
        <v>1</v>
      </c>
      <c r="V791" s="109">
        <f>IF(Table__192.168.1.150_Daily_Delinquency_With_Sectors[[#This Row],[Days in Arrears]] &gt; 30,1,0)</f>
        <v>1</v>
      </c>
      <c r="W791" s="109">
        <f>IF(Table__192.168.1.150_Daily_Delinquency_With_Sectors[[#This Row],[Days in Arrears]] &gt; 90,1,0)</f>
        <v>0</v>
      </c>
    </row>
    <row r="792" spans="1:23" x14ac:dyDescent="0.25">
      <c r="A792" t="s">
        <v>2656</v>
      </c>
      <c r="B792" t="s">
        <v>1281</v>
      </c>
      <c r="C792">
        <v>138</v>
      </c>
      <c r="D792" s="105">
        <v>14359731.98</v>
      </c>
      <c r="E792" t="s">
        <v>963</v>
      </c>
      <c r="F792" s="105">
        <v>752940.7</v>
      </c>
      <c r="G792" s="105">
        <v>16738234.949999999</v>
      </c>
      <c r="H792" s="143">
        <v>42588.5351872338</v>
      </c>
      <c r="I792" s="143">
        <v>43137</v>
      </c>
      <c r="J792" t="s">
        <v>2657</v>
      </c>
      <c r="K792" t="s">
        <v>2658</v>
      </c>
      <c r="L792" t="s">
        <v>1280</v>
      </c>
      <c r="M792">
        <v>200343</v>
      </c>
      <c r="N792" t="s">
        <v>2655</v>
      </c>
      <c r="O792" t="s">
        <v>44</v>
      </c>
      <c r="P792" t="s">
        <v>75</v>
      </c>
      <c r="Q792" t="s">
        <v>26</v>
      </c>
      <c r="R792" s="105">
        <f>IF(Table__192.168.1.150_Daily_Delinquency_With_Sectors[[#This Row],[Days in Arrears]] &gt; 0, Table__192.168.1.150_Daily_Delinquency_With_Sectors[[#This Row],[Outstanding Balance]],0)</f>
        <v>14359731.98</v>
      </c>
      <c r="S792" s="105">
        <f>IF(Table__192.168.1.150_Daily_Delinquency_With_Sectors[[#This Row],[Days in Arrears]] &gt; 30, Table__192.168.1.150_Daily_Delinquency_With_Sectors[[#This Row],[Outstanding Balance]],0)</f>
        <v>14359731.98</v>
      </c>
      <c r="T792" s="105">
        <f>IF(Table__192.168.1.150_Daily_Delinquency_With_Sectors[[#This Row],[Days in Arrears]] &gt; 90, Table__192.168.1.150_Daily_Delinquency_With_Sectors[[#This Row],[Outstanding Balance]],0)</f>
        <v>14359731.98</v>
      </c>
      <c r="U792" s="109">
        <f>IF(Table__192.168.1.150_Daily_Delinquency_With_Sectors[[#This Row],[Days in Arrears]] &gt;= 1,1,0)</f>
        <v>1</v>
      </c>
      <c r="V792" s="109">
        <f>IF(Table__192.168.1.150_Daily_Delinquency_With_Sectors[[#This Row],[Days in Arrears]] &gt; 30,1,0)</f>
        <v>1</v>
      </c>
      <c r="W792" s="109">
        <f>IF(Table__192.168.1.150_Daily_Delinquency_With_Sectors[[#This Row],[Days in Arrears]] &gt; 90,1,0)</f>
        <v>1</v>
      </c>
    </row>
    <row r="793" spans="1:23" x14ac:dyDescent="0.25">
      <c r="A793" t="s">
        <v>2663</v>
      </c>
      <c r="B793" t="s">
        <v>1284</v>
      </c>
      <c r="C793">
        <v>-25</v>
      </c>
      <c r="D793" s="105">
        <v>18568528.07</v>
      </c>
      <c r="E793" t="s">
        <v>1467</v>
      </c>
      <c r="F793" s="105">
        <v>74274.11</v>
      </c>
      <c r="G793" s="105">
        <v>21463449.129999999</v>
      </c>
      <c r="H793" s="143">
        <v>42591.682169097221</v>
      </c>
      <c r="I793" s="143">
        <v>43331</v>
      </c>
      <c r="J793" t="s">
        <v>2664</v>
      </c>
      <c r="K793" t="s">
        <v>1280</v>
      </c>
      <c r="L793" t="s">
        <v>1280</v>
      </c>
      <c r="M793">
        <v>200345</v>
      </c>
      <c r="N793" t="s">
        <v>2662</v>
      </c>
      <c r="O793" t="s">
        <v>27</v>
      </c>
      <c r="P793" t="s">
        <v>81</v>
      </c>
      <c r="Q793" t="s">
        <v>26</v>
      </c>
      <c r="R793" s="105">
        <f>IF(Table__192.168.1.150_Daily_Delinquency_With_Sectors[[#This Row],[Days in Arrears]] &gt; 0, Table__192.168.1.150_Daily_Delinquency_With_Sectors[[#This Row],[Outstanding Balance]],0)</f>
        <v>0</v>
      </c>
      <c r="S793" s="105">
        <f>IF(Table__192.168.1.150_Daily_Delinquency_With_Sectors[[#This Row],[Days in Arrears]] &gt; 30, Table__192.168.1.150_Daily_Delinquency_With_Sectors[[#This Row],[Outstanding Balance]],0)</f>
        <v>0</v>
      </c>
      <c r="T793" s="105">
        <f>IF(Table__192.168.1.150_Daily_Delinquency_With_Sectors[[#This Row],[Days in Arrears]] &gt; 90, Table__192.168.1.150_Daily_Delinquency_With_Sectors[[#This Row],[Outstanding Balance]],0)</f>
        <v>0</v>
      </c>
      <c r="U793" s="109">
        <f>IF(Table__192.168.1.150_Daily_Delinquency_With_Sectors[[#This Row],[Days in Arrears]] &gt;= 1,1,0)</f>
        <v>0</v>
      </c>
      <c r="V793" s="109">
        <f>IF(Table__192.168.1.150_Daily_Delinquency_With_Sectors[[#This Row],[Days in Arrears]] &gt; 30,1,0)</f>
        <v>0</v>
      </c>
      <c r="W793" s="109">
        <f>IF(Table__192.168.1.150_Daily_Delinquency_With_Sectors[[#This Row],[Days in Arrears]] &gt; 90,1,0)</f>
        <v>0</v>
      </c>
    </row>
    <row r="794" spans="1:23" x14ac:dyDescent="0.25">
      <c r="A794" t="s">
        <v>2670</v>
      </c>
      <c r="B794" t="s">
        <v>1282</v>
      </c>
      <c r="C794">
        <v>-18</v>
      </c>
      <c r="D794" s="105">
        <v>2943080.4</v>
      </c>
      <c r="E794" t="s">
        <v>1447</v>
      </c>
      <c r="F794" s="105">
        <v>48560.83</v>
      </c>
      <c r="G794" s="105">
        <v>3211842.75</v>
      </c>
      <c r="H794" s="143">
        <v>42593.547827812501</v>
      </c>
      <c r="I794" s="143">
        <v>43143</v>
      </c>
      <c r="J794" t="s">
        <v>2671</v>
      </c>
      <c r="K794" t="s">
        <v>1280</v>
      </c>
      <c r="L794" t="s">
        <v>2672</v>
      </c>
      <c r="M794">
        <v>200346</v>
      </c>
      <c r="N794" t="s">
        <v>2665</v>
      </c>
      <c r="O794" t="s">
        <v>25</v>
      </c>
      <c r="P794" t="s">
        <v>106</v>
      </c>
      <c r="Q794" t="s">
        <v>107</v>
      </c>
      <c r="R794" s="105">
        <f>IF(Table__192.168.1.150_Daily_Delinquency_With_Sectors[[#This Row],[Days in Arrears]] &gt; 0, Table__192.168.1.150_Daily_Delinquency_With_Sectors[[#This Row],[Outstanding Balance]],0)</f>
        <v>0</v>
      </c>
      <c r="S794" s="105">
        <f>IF(Table__192.168.1.150_Daily_Delinquency_With_Sectors[[#This Row],[Days in Arrears]] &gt; 30, Table__192.168.1.150_Daily_Delinquency_With_Sectors[[#This Row],[Outstanding Balance]],0)</f>
        <v>0</v>
      </c>
      <c r="T794" s="105">
        <f>IF(Table__192.168.1.150_Daily_Delinquency_With_Sectors[[#This Row],[Days in Arrears]] &gt; 90, Table__192.168.1.150_Daily_Delinquency_With_Sectors[[#This Row],[Outstanding Balance]],0)</f>
        <v>0</v>
      </c>
      <c r="U794" s="109">
        <f>IF(Table__192.168.1.150_Daily_Delinquency_With_Sectors[[#This Row],[Days in Arrears]] &gt;= 1,1,0)</f>
        <v>0</v>
      </c>
      <c r="V794" s="109">
        <f>IF(Table__192.168.1.150_Daily_Delinquency_With_Sectors[[#This Row],[Days in Arrears]] &gt; 30,1,0)</f>
        <v>0</v>
      </c>
      <c r="W794" s="109">
        <f>IF(Table__192.168.1.150_Daily_Delinquency_With_Sectors[[#This Row],[Days in Arrears]] &gt; 90,1,0)</f>
        <v>0</v>
      </c>
    </row>
    <row r="795" spans="1:23" x14ac:dyDescent="0.25">
      <c r="A795" t="s">
        <v>2682</v>
      </c>
      <c r="B795" t="s">
        <v>1282</v>
      </c>
      <c r="C795">
        <v>102</v>
      </c>
      <c r="D795" s="105">
        <v>284904.05</v>
      </c>
      <c r="E795" t="s">
        <v>2175</v>
      </c>
      <c r="F795" s="105">
        <v>0</v>
      </c>
      <c r="G795" s="105">
        <v>284904.05</v>
      </c>
      <c r="H795" s="143">
        <v>42594.579996064815</v>
      </c>
      <c r="I795" s="143">
        <v>42959</v>
      </c>
      <c r="J795" t="s">
        <v>2683</v>
      </c>
      <c r="K795" t="s">
        <v>2684</v>
      </c>
      <c r="L795" t="s">
        <v>1280</v>
      </c>
      <c r="M795">
        <v>200348</v>
      </c>
      <c r="N795" t="s">
        <v>2675</v>
      </c>
      <c r="O795" t="s">
        <v>27</v>
      </c>
      <c r="P795" t="s">
        <v>116</v>
      </c>
      <c r="Q795" t="s">
        <v>26</v>
      </c>
      <c r="R795" s="105">
        <f>IF(Table__192.168.1.150_Daily_Delinquency_With_Sectors[[#This Row],[Days in Arrears]] &gt; 0, Table__192.168.1.150_Daily_Delinquency_With_Sectors[[#This Row],[Outstanding Balance]],0)</f>
        <v>284904.05</v>
      </c>
      <c r="S795" s="105">
        <f>IF(Table__192.168.1.150_Daily_Delinquency_With_Sectors[[#This Row],[Days in Arrears]] &gt; 30, Table__192.168.1.150_Daily_Delinquency_With_Sectors[[#This Row],[Outstanding Balance]],0)</f>
        <v>284904.05</v>
      </c>
      <c r="T795" s="105">
        <f>IF(Table__192.168.1.150_Daily_Delinquency_With_Sectors[[#This Row],[Days in Arrears]] &gt; 90, Table__192.168.1.150_Daily_Delinquency_With_Sectors[[#This Row],[Outstanding Balance]],0)</f>
        <v>284904.05</v>
      </c>
      <c r="U795" s="109">
        <f>IF(Table__192.168.1.150_Daily_Delinquency_With_Sectors[[#This Row],[Days in Arrears]] &gt;= 1,1,0)</f>
        <v>1</v>
      </c>
      <c r="V795" s="109">
        <f>IF(Table__192.168.1.150_Daily_Delinquency_With_Sectors[[#This Row],[Days in Arrears]] &gt; 30,1,0)</f>
        <v>1</v>
      </c>
      <c r="W795" s="109">
        <f>IF(Table__192.168.1.150_Daily_Delinquency_With_Sectors[[#This Row],[Days in Arrears]] &gt; 90,1,0)</f>
        <v>1</v>
      </c>
    </row>
    <row r="796" spans="1:23" x14ac:dyDescent="0.25">
      <c r="A796" t="s">
        <v>2691</v>
      </c>
      <c r="B796" t="s">
        <v>1284</v>
      </c>
      <c r="C796">
        <v>-18</v>
      </c>
      <c r="D796" s="105">
        <v>18294672.07</v>
      </c>
      <c r="E796" t="s">
        <v>491</v>
      </c>
      <c r="F796" s="105">
        <v>223601.55</v>
      </c>
      <c r="G796" s="105">
        <v>21476895.030000001</v>
      </c>
      <c r="H796" s="143">
        <v>42594.713174965276</v>
      </c>
      <c r="I796" s="143">
        <v>43324</v>
      </c>
      <c r="J796" t="s">
        <v>2692</v>
      </c>
      <c r="K796" t="s">
        <v>1280</v>
      </c>
      <c r="L796" t="s">
        <v>1280</v>
      </c>
      <c r="M796">
        <v>200352</v>
      </c>
      <c r="N796" t="s">
        <v>2673</v>
      </c>
      <c r="O796" t="s">
        <v>36</v>
      </c>
      <c r="P796" t="s">
        <v>97</v>
      </c>
      <c r="Q796" t="s">
        <v>1809</v>
      </c>
      <c r="R796" s="105">
        <f>IF(Table__192.168.1.150_Daily_Delinquency_With_Sectors[[#This Row],[Days in Arrears]] &gt; 0, Table__192.168.1.150_Daily_Delinquency_With_Sectors[[#This Row],[Outstanding Balance]],0)</f>
        <v>0</v>
      </c>
      <c r="S796" s="105">
        <f>IF(Table__192.168.1.150_Daily_Delinquency_With_Sectors[[#This Row],[Days in Arrears]] &gt; 30, Table__192.168.1.150_Daily_Delinquency_With_Sectors[[#This Row],[Outstanding Balance]],0)</f>
        <v>0</v>
      </c>
      <c r="T796" s="105">
        <f>IF(Table__192.168.1.150_Daily_Delinquency_With_Sectors[[#This Row],[Days in Arrears]] &gt; 90, Table__192.168.1.150_Daily_Delinquency_With_Sectors[[#This Row],[Outstanding Balance]],0)</f>
        <v>0</v>
      </c>
      <c r="U796" s="109">
        <f>IF(Table__192.168.1.150_Daily_Delinquency_With_Sectors[[#This Row],[Days in Arrears]] &gt;= 1,1,0)</f>
        <v>0</v>
      </c>
      <c r="V796" s="109">
        <f>IF(Table__192.168.1.150_Daily_Delinquency_With_Sectors[[#This Row],[Days in Arrears]] &gt; 30,1,0)</f>
        <v>0</v>
      </c>
      <c r="W796" s="109">
        <f>IF(Table__192.168.1.150_Daily_Delinquency_With_Sectors[[#This Row],[Days in Arrears]] &gt; 90,1,0)</f>
        <v>0</v>
      </c>
    </row>
    <row r="797" spans="1:23" x14ac:dyDescent="0.25">
      <c r="A797" t="s">
        <v>2743</v>
      </c>
      <c r="B797" t="s">
        <v>1281</v>
      </c>
      <c r="C797">
        <v>92</v>
      </c>
      <c r="D797" s="105">
        <v>1956822.75</v>
      </c>
      <c r="E797" t="s">
        <v>1925</v>
      </c>
      <c r="F797" s="105">
        <v>0</v>
      </c>
      <c r="G797" s="105">
        <v>1956822.75</v>
      </c>
      <c r="H797" s="143">
        <v>42604.67937395833</v>
      </c>
      <c r="I797" s="143">
        <v>42969</v>
      </c>
      <c r="J797" t="s">
        <v>2744</v>
      </c>
      <c r="K797" t="s">
        <v>2745</v>
      </c>
      <c r="L797" t="s">
        <v>1280</v>
      </c>
      <c r="M797">
        <v>200374</v>
      </c>
      <c r="N797" t="s">
        <v>2739</v>
      </c>
      <c r="O797" t="s">
        <v>25</v>
      </c>
      <c r="P797" t="s">
        <v>103</v>
      </c>
      <c r="Q797" t="s">
        <v>104</v>
      </c>
      <c r="R797" s="105">
        <f>IF(Table__192.168.1.150_Daily_Delinquency_With_Sectors[[#This Row],[Days in Arrears]] &gt; 0, Table__192.168.1.150_Daily_Delinquency_With_Sectors[[#This Row],[Outstanding Balance]],0)</f>
        <v>1956822.75</v>
      </c>
      <c r="S797" s="105">
        <f>IF(Table__192.168.1.150_Daily_Delinquency_With_Sectors[[#This Row],[Days in Arrears]] &gt; 30, Table__192.168.1.150_Daily_Delinquency_With_Sectors[[#This Row],[Outstanding Balance]],0)</f>
        <v>1956822.75</v>
      </c>
      <c r="T797" s="105">
        <f>IF(Table__192.168.1.150_Daily_Delinquency_With_Sectors[[#This Row],[Days in Arrears]] &gt; 90, Table__192.168.1.150_Daily_Delinquency_With_Sectors[[#This Row],[Outstanding Balance]],0)</f>
        <v>1956822.75</v>
      </c>
      <c r="U797" s="109">
        <f>IF(Table__192.168.1.150_Daily_Delinquency_With_Sectors[[#This Row],[Days in Arrears]] &gt;= 1,1,0)</f>
        <v>1</v>
      </c>
      <c r="V797" s="109">
        <f>IF(Table__192.168.1.150_Daily_Delinquency_With_Sectors[[#This Row],[Days in Arrears]] &gt; 30,1,0)</f>
        <v>1</v>
      </c>
      <c r="W797" s="109">
        <f>IF(Table__192.168.1.150_Daily_Delinquency_With_Sectors[[#This Row],[Days in Arrears]] &gt; 90,1,0)</f>
        <v>1</v>
      </c>
    </row>
    <row r="798" spans="1:23" x14ac:dyDescent="0.25">
      <c r="A798" t="s">
        <v>2766</v>
      </c>
      <c r="B798" t="s">
        <v>1279</v>
      </c>
      <c r="C798">
        <v>180</v>
      </c>
      <c r="D798" s="105">
        <v>1782658.94</v>
      </c>
      <c r="E798" t="s">
        <v>2175</v>
      </c>
      <c r="F798" s="105">
        <v>65569.39</v>
      </c>
      <c r="G798" s="105">
        <v>1920309.56</v>
      </c>
      <c r="H798" s="143">
        <v>42606.538440625001</v>
      </c>
      <c r="I798" s="143">
        <v>42971</v>
      </c>
      <c r="J798" t="s">
        <v>2767</v>
      </c>
      <c r="K798" t="s">
        <v>2768</v>
      </c>
      <c r="L798" t="s">
        <v>1280</v>
      </c>
      <c r="M798">
        <v>200389</v>
      </c>
      <c r="N798" t="s">
        <v>2760</v>
      </c>
      <c r="O798" t="s">
        <v>25</v>
      </c>
      <c r="P798" t="s">
        <v>88</v>
      </c>
      <c r="Q798" t="s">
        <v>285</v>
      </c>
      <c r="R798" s="105">
        <f>IF(Table__192.168.1.150_Daily_Delinquency_With_Sectors[[#This Row],[Days in Arrears]] &gt; 0, Table__192.168.1.150_Daily_Delinquency_With_Sectors[[#This Row],[Outstanding Balance]],0)</f>
        <v>1782658.94</v>
      </c>
      <c r="S798" s="105">
        <f>IF(Table__192.168.1.150_Daily_Delinquency_With_Sectors[[#This Row],[Days in Arrears]] &gt; 30, Table__192.168.1.150_Daily_Delinquency_With_Sectors[[#This Row],[Outstanding Balance]],0)</f>
        <v>1782658.94</v>
      </c>
      <c r="T798" s="105">
        <f>IF(Table__192.168.1.150_Daily_Delinquency_With_Sectors[[#This Row],[Days in Arrears]] &gt; 90, Table__192.168.1.150_Daily_Delinquency_With_Sectors[[#This Row],[Outstanding Balance]],0)</f>
        <v>1782658.94</v>
      </c>
      <c r="U798" s="109">
        <f>IF(Table__192.168.1.150_Daily_Delinquency_With_Sectors[[#This Row],[Days in Arrears]] &gt;= 1,1,0)</f>
        <v>1</v>
      </c>
      <c r="V798" s="109">
        <f>IF(Table__192.168.1.150_Daily_Delinquency_With_Sectors[[#This Row],[Days in Arrears]] &gt; 30,1,0)</f>
        <v>1</v>
      </c>
      <c r="W798" s="109">
        <f>IF(Table__192.168.1.150_Daily_Delinquency_With_Sectors[[#This Row],[Days in Arrears]] &gt; 90,1,0)</f>
        <v>1</v>
      </c>
    </row>
    <row r="799" spans="1:23" x14ac:dyDescent="0.25">
      <c r="A799" t="s">
        <v>2774</v>
      </c>
      <c r="B799" t="s">
        <v>1281</v>
      </c>
      <c r="C799">
        <v>-10</v>
      </c>
      <c r="D799" s="105">
        <v>4640736.29</v>
      </c>
      <c r="E799" t="s">
        <v>1925</v>
      </c>
      <c r="F799" s="105">
        <v>117565.32</v>
      </c>
      <c r="G799" s="105">
        <v>5113906.5999999996</v>
      </c>
      <c r="H799" s="143">
        <v>42607.591887615738</v>
      </c>
      <c r="I799" s="143">
        <v>43163</v>
      </c>
      <c r="J799" t="s">
        <v>2775</v>
      </c>
      <c r="K799" t="s">
        <v>2776</v>
      </c>
      <c r="L799" t="s">
        <v>1280</v>
      </c>
      <c r="M799">
        <v>200390</v>
      </c>
      <c r="N799" t="s">
        <v>2769</v>
      </c>
      <c r="O799" t="s">
        <v>36</v>
      </c>
      <c r="P799" t="s">
        <v>97</v>
      </c>
      <c r="Q799" t="s">
        <v>98</v>
      </c>
      <c r="R799" s="105">
        <f>IF(Table__192.168.1.150_Daily_Delinquency_With_Sectors[[#This Row],[Days in Arrears]] &gt; 0, Table__192.168.1.150_Daily_Delinquency_With_Sectors[[#This Row],[Outstanding Balance]],0)</f>
        <v>0</v>
      </c>
      <c r="S799" s="105">
        <f>IF(Table__192.168.1.150_Daily_Delinquency_With_Sectors[[#This Row],[Days in Arrears]] &gt; 30, Table__192.168.1.150_Daily_Delinquency_With_Sectors[[#This Row],[Outstanding Balance]],0)</f>
        <v>0</v>
      </c>
      <c r="T799" s="105">
        <f>IF(Table__192.168.1.150_Daily_Delinquency_With_Sectors[[#This Row],[Days in Arrears]] &gt; 90, Table__192.168.1.150_Daily_Delinquency_With_Sectors[[#This Row],[Outstanding Balance]],0)</f>
        <v>0</v>
      </c>
      <c r="U799" s="109">
        <f>IF(Table__192.168.1.150_Daily_Delinquency_With_Sectors[[#This Row],[Days in Arrears]] &gt;= 1,1,0)</f>
        <v>0</v>
      </c>
      <c r="V799" s="109">
        <f>IF(Table__192.168.1.150_Daily_Delinquency_With_Sectors[[#This Row],[Days in Arrears]] &gt; 30,1,0)</f>
        <v>0</v>
      </c>
      <c r="W799" s="109">
        <f>IF(Table__192.168.1.150_Daily_Delinquency_With_Sectors[[#This Row],[Days in Arrears]] &gt; 90,1,0)</f>
        <v>0</v>
      </c>
    </row>
    <row r="800" spans="1:23" x14ac:dyDescent="0.25">
      <c r="A800" t="s">
        <v>2783</v>
      </c>
      <c r="B800" t="s">
        <v>1282</v>
      </c>
      <c r="C800">
        <v>-7</v>
      </c>
      <c r="D800" s="105">
        <v>2525727.4500000002</v>
      </c>
      <c r="E800" t="s">
        <v>1447</v>
      </c>
      <c r="F800" s="105">
        <v>83349.009999999995</v>
      </c>
      <c r="G800" s="105">
        <v>2816121.93</v>
      </c>
      <c r="H800" s="143">
        <v>42608.458013113428</v>
      </c>
      <c r="I800" s="143">
        <v>43160</v>
      </c>
      <c r="J800" t="s">
        <v>2784</v>
      </c>
      <c r="K800" t="s">
        <v>1280</v>
      </c>
      <c r="L800" t="s">
        <v>1280</v>
      </c>
      <c r="M800">
        <v>200392</v>
      </c>
      <c r="N800" t="s">
        <v>2779</v>
      </c>
      <c r="O800" t="s">
        <v>37</v>
      </c>
      <c r="P800" t="s">
        <v>38</v>
      </c>
      <c r="Q800" t="s">
        <v>39</v>
      </c>
      <c r="R800" s="105">
        <f>IF(Table__192.168.1.150_Daily_Delinquency_With_Sectors[[#This Row],[Days in Arrears]] &gt; 0, Table__192.168.1.150_Daily_Delinquency_With_Sectors[[#This Row],[Outstanding Balance]],0)</f>
        <v>0</v>
      </c>
      <c r="S800" s="105">
        <f>IF(Table__192.168.1.150_Daily_Delinquency_With_Sectors[[#This Row],[Days in Arrears]] &gt; 30, Table__192.168.1.150_Daily_Delinquency_With_Sectors[[#This Row],[Outstanding Balance]],0)</f>
        <v>0</v>
      </c>
      <c r="T800" s="105">
        <f>IF(Table__192.168.1.150_Daily_Delinquency_With_Sectors[[#This Row],[Days in Arrears]] &gt; 90, Table__192.168.1.150_Daily_Delinquency_With_Sectors[[#This Row],[Outstanding Balance]],0)</f>
        <v>0</v>
      </c>
      <c r="U800" s="109">
        <f>IF(Table__192.168.1.150_Daily_Delinquency_With_Sectors[[#This Row],[Days in Arrears]] &gt;= 1,1,0)</f>
        <v>0</v>
      </c>
      <c r="V800" s="109">
        <f>IF(Table__192.168.1.150_Daily_Delinquency_With_Sectors[[#This Row],[Days in Arrears]] &gt; 30,1,0)</f>
        <v>0</v>
      </c>
      <c r="W800" s="109">
        <f>IF(Table__192.168.1.150_Daily_Delinquency_With_Sectors[[#This Row],[Days in Arrears]] &gt; 90,1,0)</f>
        <v>0</v>
      </c>
    </row>
    <row r="801" spans="1:23" x14ac:dyDescent="0.25">
      <c r="A801" t="s">
        <v>2803</v>
      </c>
      <c r="B801" t="s">
        <v>1866</v>
      </c>
      <c r="C801">
        <v>81</v>
      </c>
      <c r="D801" s="105">
        <v>2480657.65</v>
      </c>
      <c r="E801" t="s">
        <v>963</v>
      </c>
      <c r="F801" s="105">
        <v>140010.87</v>
      </c>
      <c r="G801" s="105">
        <v>2700985.94</v>
      </c>
      <c r="H801" s="143">
        <v>42611.685413923609</v>
      </c>
      <c r="I801" s="143">
        <v>43072</v>
      </c>
      <c r="J801" t="s">
        <v>2804</v>
      </c>
      <c r="K801" t="s">
        <v>1280</v>
      </c>
      <c r="L801" t="s">
        <v>2805</v>
      </c>
      <c r="M801">
        <v>200398</v>
      </c>
      <c r="N801" t="s">
        <v>2802</v>
      </c>
      <c r="O801" t="s">
        <v>25</v>
      </c>
      <c r="P801" t="s">
        <v>289</v>
      </c>
      <c r="Q801" t="s">
        <v>26</v>
      </c>
      <c r="R801" s="105">
        <f>IF(Table__192.168.1.150_Daily_Delinquency_With_Sectors[[#This Row],[Days in Arrears]] &gt; 0, Table__192.168.1.150_Daily_Delinquency_With_Sectors[[#This Row],[Outstanding Balance]],0)</f>
        <v>2480657.65</v>
      </c>
      <c r="S801" s="105">
        <f>IF(Table__192.168.1.150_Daily_Delinquency_With_Sectors[[#This Row],[Days in Arrears]] &gt; 30, Table__192.168.1.150_Daily_Delinquency_With_Sectors[[#This Row],[Outstanding Balance]],0)</f>
        <v>2480657.65</v>
      </c>
      <c r="T801" s="105">
        <f>IF(Table__192.168.1.150_Daily_Delinquency_With_Sectors[[#This Row],[Days in Arrears]] &gt; 90, Table__192.168.1.150_Daily_Delinquency_With_Sectors[[#This Row],[Outstanding Balance]],0)</f>
        <v>0</v>
      </c>
      <c r="U801" s="109">
        <f>IF(Table__192.168.1.150_Daily_Delinquency_With_Sectors[[#This Row],[Days in Arrears]] &gt;= 1,1,0)</f>
        <v>1</v>
      </c>
      <c r="V801" s="109">
        <f>IF(Table__192.168.1.150_Daily_Delinquency_With_Sectors[[#This Row],[Days in Arrears]] &gt; 30,1,0)</f>
        <v>1</v>
      </c>
      <c r="W801" s="109">
        <f>IF(Table__192.168.1.150_Daily_Delinquency_With_Sectors[[#This Row],[Days in Arrears]] &gt; 90,1,0)</f>
        <v>0</v>
      </c>
    </row>
    <row r="802" spans="1:23" x14ac:dyDescent="0.25">
      <c r="A802" t="s">
        <v>2795</v>
      </c>
      <c r="B802" t="s">
        <v>1281</v>
      </c>
      <c r="C802">
        <v>21</v>
      </c>
      <c r="D802" s="105">
        <v>5767749.8499999996</v>
      </c>
      <c r="E802" t="s">
        <v>1447</v>
      </c>
      <c r="F802" s="105">
        <v>153514.85</v>
      </c>
      <c r="G802" s="105">
        <v>6354714.9400000004</v>
      </c>
      <c r="H802" s="143">
        <v>42612.4035883912</v>
      </c>
      <c r="I802" s="143">
        <v>43162</v>
      </c>
      <c r="J802" t="s">
        <v>2796</v>
      </c>
      <c r="K802" t="s">
        <v>1280</v>
      </c>
      <c r="L802" t="s">
        <v>1280</v>
      </c>
      <c r="M802">
        <v>200400</v>
      </c>
      <c r="N802" t="s">
        <v>2786</v>
      </c>
      <c r="O802" t="s">
        <v>25</v>
      </c>
      <c r="P802" t="s">
        <v>290</v>
      </c>
      <c r="Q802" t="s">
        <v>1823</v>
      </c>
      <c r="R802" s="105">
        <f>IF(Table__192.168.1.150_Daily_Delinquency_With_Sectors[[#This Row],[Days in Arrears]] &gt; 0, Table__192.168.1.150_Daily_Delinquency_With_Sectors[[#This Row],[Outstanding Balance]],0)</f>
        <v>5767749.8499999996</v>
      </c>
      <c r="S802" s="105">
        <f>IF(Table__192.168.1.150_Daily_Delinquency_With_Sectors[[#This Row],[Days in Arrears]] &gt; 30, Table__192.168.1.150_Daily_Delinquency_With_Sectors[[#This Row],[Outstanding Balance]],0)</f>
        <v>0</v>
      </c>
      <c r="T802" s="105">
        <f>IF(Table__192.168.1.150_Daily_Delinquency_With_Sectors[[#This Row],[Days in Arrears]] &gt; 90, Table__192.168.1.150_Daily_Delinquency_With_Sectors[[#This Row],[Outstanding Balance]],0)</f>
        <v>0</v>
      </c>
      <c r="U802" s="109">
        <f>IF(Table__192.168.1.150_Daily_Delinquency_With_Sectors[[#This Row],[Days in Arrears]] &gt;= 1,1,0)</f>
        <v>1</v>
      </c>
      <c r="V802" s="109">
        <f>IF(Table__192.168.1.150_Daily_Delinquency_With_Sectors[[#This Row],[Days in Arrears]] &gt; 30,1,0)</f>
        <v>0</v>
      </c>
      <c r="W802" s="109">
        <f>IF(Table__192.168.1.150_Daily_Delinquency_With_Sectors[[#This Row],[Days in Arrears]] &gt; 90,1,0)</f>
        <v>0</v>
      </c>
    </row>
    <row r="803" spans="1:23" x14ac:dyDescent="0.25">
      <c r="A803" t="s">
        <v>2818</v>
      </c>
      <c r="B803" t="s">
        <v>1284</v>
      </c>
      <c r="C803">
        <v>21</v>
      </c>
      <c r="D803" s="105">
        <v>11431392.869999999</v>
      </c>
      <c r="E803" t="s">
        <v>1447</v>
      </c>
      <c r="F803" s="105">
        <v>615580.75</v>
      </c>
      <c r="G803" s="105">
        <v>13842343.619999999</v>
      </c>
      <c r="H803" s="143">
        <v>42612.53626828704</v>
      </c>
      <c r="I803" s="143">
        <v>43346</v>
      </c>
      <c r="J803" t="s">
        <v>2819</v>
      </c>
      <c r="K803" t="s">
        <v>1280</v>
      </c>
      <c r="L803" t="s">
        <v>1280</v>
      </c>
      <c r="M803">
        <v>200401</v>
      </c>
      <c r="N803" t="s">
        <v>2811</v>
      </c>
      <c r="O803" t="s">
        <v>44</v>
      </c>
      <c r="P803" t="s">
        <v>75</v>
      </c>
      <c r="Q803" t="s">
        <v>1442</v>
      </c>
      <c r="R803" s="105">
        <f>IF(Table__192.168.1.150_Daily_Delinquency_With_Sectors[[#This Row],[Days in Arrears]] &gt; 0, Table__192.168.1.150_Daily_Delinquency_With_Sectors[[#This Row],[Outstanding Balance]],0)</f>
        <v>11431392.869999999</v>
      </c>
      <c r="S803" s="105">
        <f>IF(Table__192.168.1.150_Daily_Delinquency_With_Sectors[[#This Row],[Days in Arrears]] &gt; 30, Table__192.168.1.150_Daily_Delinquency_With_Sectors[[#This Row],[Outstanding Balance]],0)</f>
        <v>0</v>
      </c>
      <c r="T803" s="105">
        <f>IF(Table__192.168.1.150_Daily_Delinquency_With_Sectors[[#This Row],[Days in Arrears]] &gt; 90, Table__192.168.1.150_Daily_Delinquency_With_Sectors[[#This Row],[Outstanding Balance]],0)</f>
        <v>0</v>
      </c>
      <c r="U803" s="109">
        <f>IF(Table__192.168.1.150_Daily_Delinquency_With_Sectors[[#This Row],[Days in Arrears]] &gt;= 1,1,0)</f>
        <v>1</v>
      </c>
      <c r="V803" s="109">
        <f>IF(Table__192.168.1.150_Daily_Delinquency_With_Sectors[[#This Row],[Days in Arrears]] &gt; 30,1,0)</f>
        <v>0</v>
      </c>
      <c r="W803" s="109">
        <f>IF(Table__192.168.1.150_Daily_Delinquency_With_Sectors[[#This Row],[Days in Arrears]] &gt; 90,1,0)</f>
        <v>0</v>
      </c>
    </row>
    <row r="804" spans="1:23" x14ac:dyDescent="0.25">
      <c r="A804" t="s">
        <v>2845</v>
      </c>
      <c r="B804" t="s">
        <v>1282</v>
      </c>
      <c r="C804">
        <v>81</v>
      </c>
      <c r="D804" s="105">
        <v>392896.1</v>
      </c>
      <c r="E804" t="s">
        <v>3074</v>
      </c>
      <c r="F804" s="105">
        <v>0</v>
      </c>
      <c r="G804" s="105">
        <v>392896.1</v>
      </c>
      <c r="H804" s="143">
        <v>42613.727876701392</v>
      </c>
      <c r="I804" s="143">
        <v>42981</v>
      </c>
      <c r="J804" t="s">
        <v>2846</v>
      </c>
      <c r="K804" t="s">
        <v>1280</v>
      </c>
      <c r="L804" t="s">
        <v>1280</v>
      </c>
      <c r="M804">
        <v>200408</v>
      </c>
      <c r="N804" t="s">
        <v>2828</v>
      </c>
      <c r="O804" t="s">
        <v>44</v>
      </c>
      <c r="P804" t="s">
        <v>75</v>
      </c>
      <c r="Q804" t="s">
        <v>26</v>
      </c>
      <c r="R804" s="105">
        <f>IF(Table__192.168.1.150_Daily_Delinquency_With_Sectors[[#This Row],[Days in Arrears]] &gt; 0, Table__192.168.1.150_Daily_Delinquency_With_Sectors[[#This Row],[Outstanding Balance]],0)</f>
        <v>392896.1</v>
      </c>
      <c r="S804" s="105">
        <f>IF(Table__192.168.1.150_Daily_Delinquency_With_Sectors[[#This Row],[Days in Arrears]] &gt; 30, Table__192.168.1.150_Daily_Delinquency_With_Sectors[[#This Row],[Outstanding Balance]],0)</f>
        <v>392896.1</v>
      </c>
      <c r="T804" s="105">
        <f>IF(Table__192.168.1.150_Daily_Delinquency_With_Sectors[[#This Row],[Days in Arrears]] &gt; 90, Table__192.168.1.150_Daily_Delinquency_With_Sectors[[#This Row],[Outstanding Balance]],0)</f>
        <v>0</v>
      </c>
      <c r="U804" s="109">
        <f>IF(Table__192.168.1.150_Daily_Delinquency_With_Sectors[[#This Row],[Days in Arrears]] &gt;= 1,1,0)</f>
        <v>1</v>
      </c>
      <c r="V804" s="109">
        <f>IF(Table__192.168.1.150_Daily_Delinquency_With_Sectors[[#This Row],[Days in Arrears]] &gt; 30,1,0)</f>
        <v>1</v>
      </c>
      <c r="W804" s="109">
        <f>IF(Table__192.168.1.150_Daily_Delinquency_With_Sectors[[#This Row],[Days in Arrears]] &gt; 90,1,0)</f>
        <v>0</v>
      </c>
    </row>
    <row r="805" spans="1:23" x14ac:dyDescent="0.25">
      <c r="A805" t="s">
        <v>2850</v>
      </c>
      <c r="B805" t="s">
        <v>1282</v>
      </c>
      <c r="C805">
        <v>171</v>
      </c>
      <c r="D805" s="105">
        <v>1108528.8899999999</v>
      </c>
      <c r="E805" t="s">
        <v>5725</v>
      </c>
      <c r="F805" s="105">
        <v>40873.49</v>
      </c>
      <c r="G805" s="105">
        <v>1191474.8999999999</v>
      </c>
      <c r="H805" s="143">
        <v>42613.80719699074</v>
      </c>
      <c r="I805" s="143">
        <v>42981</v>
      </c>
      <c r="J805" t="s">
        <v>2851</v>
      </c>
      <c r="K805" t="s">
        <v>1280</v>
      </c>
      <c r="L805" t="s">
        <v>1280</v>
      </c>
      <c r="M805">
        <v>200410</v>
      </c>
      <c r="N805" t="s">
        <v>2827</v>
      </c>
      <c r="O805" t="s">
        <v>25</v>
      </c>
      <c r="P805" t="s">
        <v>26</v>
      </c>
      <c r="Q805" t="s">
        <v>26</v>
      </c>
      <c r="R805" s="105">
        <f>IF(Table__192.168.1.150_Daily_Delinquency_With_Sectors[[#This Row],[Days in Arrears]] &gt; 0, Table__192.168.1.150_Daily_Delinquency_With_Sectors[[#This Row],[Outstanding Balance]],0)</f>
        <v>1108528.8899999999</v>
      </c>
      <c r="S805" s="105">
        <f>IF(Table__192.168.1.150_Daily_Delinquency_With_Sectors[[#This Row],[Days in Arrears]] &gt; 30, Table__192.168.1.150_Daily_Delinquency_With_Sectors[[#This Row],[Outstanding Balance]],0)</f>
        <v>1108528.8899999999</v>
      </c>
      <c r="T805" s="105">
        <f>IF(Table__192.168.1.150_Daily_Delinquency_With_Sectors[[#This Row],[Days in Arrears]] &gt; 90, Table__192.168.1.150_Daily_Delinquency_With_Sectors[[#This Row],[Outstanding Balance]],0)</f>
        <v>1108528.8899999999</v>
      </c>
      <c r="U805" s="109">
        <f>IF(Table__192.168.1.150_Daily_Delinquency_With_Sectors[[#This Row],[Days in Arrears]] &gt;= 1,1,0)</f>
        <v>1</v>
      </c>
      <c r="V805" s="109">
        <f>IF(Table__192.168.1.150_Daily_Delinquency_With_Sectors[[#This Row],[Days in Arrears]] &gt; 30,1,0)</f>
        <v>1</v>
      </c>
      <c r="W805" s="109">
        <f>IF(Table__192.168.1.150_Daily_Delinquency_With_Sectors[[#This Row],[Days in Arrears]] &gt; 90,1,0)</f>
        <v>1</v>
      </c>
    </row>
    <row r="806" spans="1:23" x14ac:dyDescent="0.25">
      <c r="A806" t="s">
        <v>2863</v>
      </c>
      <c r="B806" t="s">
        <v>1281</v>
      </c>
      <c r="C806">
        <v>18</v>
      </c>
      <c r="D806" s="105">
        <v>5978292.4400000004</v>
      </c>
      <c r="E806" t="s">
        <v>1448</v>
      </c>
      <c r="F806" s="105">
        <v>280922.98</v>
      </c>
      <c r="G806" s="105">
        <v>6645734.6299999999</v>
      </c>
      <c r="H806" s="143">
        <v>42619.509713310188</v>
      </c>
      <c r="I806" s="143">
        <v>43165</v>
      </c>
      <c r="J806" t="s">
        <v>2864</v>
      </c>
      <c r="K806" t="s">
        <v>2865</v>
      </c>
      <c r="L806" t="s">
        <v>1280</v>
      </c>
      <c r="M806">
        <v>200415</v>
      </c>
      <c r="N806" t="s">
        <v>2862</v>
      </c>
      <c r="O806" t="s">
        <v>25</v>
      </c>
      <c r="P806" t="s">
        <v>295</v>
      </c>
      <c r="Q806" t="s">
        <v>296</v>
      </c>
      <c r="R806" s="105">
        <f>IF(Table__192.168.1.150_Daily_Delinquency_With_Sectors[[#This Row],[Days in Arrears]] &gt; 0, Table__192.168.1.150_Daily_Delinquency_With_Sectors[[#This Row],[Outstanding Balance]],0)</f>
        <v>5978292.4400000004</v>
      </c>
      <c r="S806" s="105">
        <f>IF(Table__192.168.1.150_Daily_Delinquency_With_Sectors[[#This Row],[Days in Arrears]] &gt; 30, Table__192.168.1.150_Daily_Delinquency_With_Sectors[[#This Row],[Outstanding Balance]],0)</f>
        <v>0</v>
      </c>
      <c r="T806" s="105">
        <f>IF(Table__192.168.1.150_Daily_Delinquency_With_Sectors[[#This Row],[Days in Arrears]] &gt; 90, Table__192.168.1.150_Daily_Delinquency_With_Sectors[[#This Row],[Outstanding Balance]],0)</f>
        <v>0</v>
      </c>
      <c r="U806" s="109">
        <f>IF(Table__192.168.1.150_Daily_Delinquency_With_Sectors[[#This Row],[Days in Arrears]] &gt;= 1,1,0)</f>
        <v>1</v>
      </c>
      <c r="V806" s="109">
        <f>IF(Table__192.168.1.150_Daily_Delinquency_With_Sectors[[#This Row],[Days in Arrears]] &gt; 30,1,0)</f>
        <v>0</v>
      </c>
      <c r="W806" s="109">
        <f>IF(Table__192.168.1.150_Daily_Delinquency_With_Sectors[[#This Row],[Days in Arrears]] &gt; 90,1,0)</f>
        <v>0</v>
      </c>
    </row>
    <row r="807" spans="1:23" x14ac:dyDescent="0.25">
      <c r="A807" t="s">
        <v>2870</v>
      </c>
      <c r="B807" t="s">
        <v>1281</v>
      </c>
      <c r="C807">
        <v>39</v>
      </c>
      <c r="D807" s="105">
        <v>3807535.71</v>
      </c>
      <c r="E807" t="s">
        <v>1448</v>
      </c>
      <c r="F807" s="105">
        <v>219992.2</v>
      </c>
      <c r="G807" s="105">
        <v>4081990.05</v>
      </c>
      <c r="H807" s="143">
        <v>42620.741342280089</v>
      </c>
      <c r="I807" s="143">
        <v>43084</v>
      </c>
      <c r="J807" t="s">
        <v>2871</v>
      </c>
      <c r="K807" t="s">
        <v>1280</v>
      </c>
      <c r="L807" t="s">
        <v>1280</v>
      </c>
      <c r="M807">
        <v>200418</v>
      </c>
      <c r="N807" t="s">
        <v>2867</v>
      </c>
      <c r="O807" t="s">
        <v>37</v>
      </c>
      <c r="P807" t="s">
        <v>288</v>
      </c>
      <c r="Q807" t="s">
        <v>1313</v>
      </c>
      <c r="R807" s="105">
        <f>IF(Table__192.168.1.150_Daily_Delinquency_With_Sectors[[#This Row],[Days in Arrears]] &gt; 0, Table__192.168.1.150_Daily_Delinquency_With_Sectors[[#This Row],[Outstanding Balance]],0)</f>
        <v>3807535.71</v>
      </c>
      <c r="S807" s="105">
        <f>IF(Table__192.168.1.150_Daily_Delinquency_With_Sectors[[#This Row],[Days in Arrears]] &gt; 30, Table__192.168.1.150_Daily_Delinquency_With_Sectors[[#This Row],[Outstanding Balance]],0)</f>
        <v>3807535.71</v>
      </c>
      <c r="T807" s="105">
        <f>IF(Table__192.168.1.150_Daily_Delinquency_With_Sectors[[#This Row],[Days in Arrears]] &gt; 90, Table__192.168.1.150_Daily_Delinquency_With_Sectors[[#This Row],[Outstanding Balance]],0)</f>
        <v>0</v>
      </c>
      <c r="U807" s="109">
        <f>IF(Table__192.168.1.150_Daily_Delinquency_With_Sectors[[#This Row],[Days in Arrears]] &gt;= 1,1,0)</f>
        <v>1</v>
      </c>
      <c r="V807" s="109">
        <f>IF(Table__192.168.1.150_Daily_Delinquency_With_Sectors[[#This Row],[Days in Arrears]] &gt; 30,1,0)</f>
        <v>1</v>
      </c>
      <c r="W807" s="109">
        <f>IF(Table__192.168.1.150_Daily_Delinquency_With_Sectors[[#This Row],[Days in Arrears]] &gt; 90,1,0)</f>
        <v>0</v>
      </c>
    </row>
    <row r="808" spans="1:23" x14ac:dyDescent="0.25">
      <c r="A808" t="s">
        <v>2886</v>
      </c>
      <c r="B808" t="s">
        <v>1284</v>
      </c>
      <c r="C808">
        <v>-16</v>
      </c>
      <c r="D808" s="105">
        <v>28186077.59</v>
      </c>
      <c r="E808" t="s">
        <v>1467</v>
      </c>
      <c r="F808" s="105">
        <v>407132.23</v>
      </c>
      <c r="G808" s="105">
        <v>40220086.299999997</v>
      </c>
      <c r="H808" s="143">
        <v>42623.473717824076</v>
      </c>
      <c r="I808" s="143">
        <v>43718</v>
      </c>
      <c r="J808" t="s">
        <v>2887</v>
      </c>
      <c r="K808" t="s">
        <v>1280</v>
      </c>
      <c r="L808" t="s">
        <v>1280</v>
      </c>
      <c r="M808">
        <v>200424</v>
      </c>
      <c r="N808" t="s">
        <v>2885</v>
      </c>
      <c r="O808" t="s">
        <v>29</v>
      </c>
      <c r="P808" t="s">
        <v>30</v>
      </c>
      <c r="Q808" t="s">
        <v>30</v>
      </c>
      <c r="R808" s="105">
        <f>IF(Table__192.168.1.150_Daily_Delinquency_With_Sectors[[#This Row],[Days in Arrears]] &gt; 0, Table__192.168.1.150_Daily_Delinquency_With_Sectors[[#This Row],[Outstanding Balance]],0)</f>
        <v>0</v>
      </c>
      <c r="S808" s="105">
        <f>IF(Table__192.168.1.150_Daily_Delinquency_With_Sectors[[#This Row],[Days in Arrears]] &gt; 30, Table__192.168.1.150_Daily_Delinquency_With_Sectors[[#This Row],[Outstanding Balance]],0)</f>
        <v>0</v>
      </c>
      <c r="T808" s="105">
        <f>IF(Table__192.168.1.150_Daily_Delinquency_With_Sectors[[#This Row],[Days in Arrears]] &gt; 90, Table__192.168.1.150_Daily_Delinquency_With_Sectors[[#This Row],[Outstanding Balance]],0)</f>
        <v>0</v>
      </c>
      <c r="U808" s="109">
        <f>IF(Table__192.168.1.150_Daily_Delinquency_With_Sectors[[#This Row],[Days in Arrears]] &gt;= 1,1,0)</f>
        <v>0</v>
      </c>
      <c r="V808" s="109">
        <f>IF(Table__192.168.1.150_Daily_Delinquency_With_Sectors[[#This Row],[Days in Arrears]] &gt; 30,1,0)</f>
        <v>0</v>
      </c>
      <c r="W808" s="109">
        <f>IF(Table__192.168.1.150_Daily_Delinquency_With_Sectors[[#This Row],[Days in Arrears]] &gt; 90,1,0)</f>
        <v>0</v>
      </c>
    </row>
    <row r="809" spans="1:23" x14ac:dyDescent="0.25">
      <c r="A809" t="s">
        <v>2888</v>
      </c>
      <c r="B809" t="s">
        <v>1284</v>
      </c>
      <c r="C809">
        <v>-16</v>
      </c>
      <c r="D809" s="105">
        <v>9780727.4199999999</v>
      </c>
      <c r="E809" t="s">
        <v>1925</v>
      </c>
      <c r="F809" s="105">
        <v>141277.17000000001</v>
      </c>
      <c r="G809" s="105">
        <v>12778062.49</v>
      </c>
      <c r="H809" s="143">
        <v>42623.58788240741</v>
      </c>
      <c r="I809" s="143">
        <v>43534</v>
      </c>
      <c r="J809" t="s">
        <v>2889</v>
      </c>
      <c r="K809" t="s">
        <v>1280</v>
      </c>
      <c r="L809" t="s">
        <v>1280</v>
      </c>
      <c r="M809">
        <v>200427</v>
      </c>
      <c r="N809" t="s">
        <v>2884</v>
      </c>
      <c r="O809" t="s">
        <v>25</v>
      </c>
      <c r="P809" t="s">
        <v>101</v>
      </c>
      <c r="Q809" t="s">
        <v>26</v>
      </c>
      <c r="R809" s="105">
        <f>IF(Table__192.168.1.150_Daily_Delinquency_With_Sectors[[#This Row],[Days in Arrears]] &gt; 0, Table__192.168.1.150_Daily_Delinquency_With_Sectors[[#This Row],[Outstanding Balance]],0)</f>
        <v>0</v>
      </c>
      <c r="S809" s="105">
        <f>IF(Table__192.168.1.150_Daily_Delinquency_With_Sectors[[#This Row],[Days in Arrears]] &gt; 30, Table__192.168.1.150_Daily_Delinquency_With_Sectors[[#This Row],[Outstanding Balance]],0)</f>
        <v>0</v>
      </c>
      <c r="T809" s="105">
        <f>IF(Table__192.168.1.150_Daily_Delinquency_With_Sectors[[#This Row],[Days in Arrears]] &gt; 90, Table__192.168.1.150_Daily_Delinquency_With_Sectors[[#This Row],[Outstanding Balance]],0)</f>
        <v>0</v>
      </c>
      <c r="U809" s="109">
        <f>IF(Table__192.168.1.150_Daily_Delinquency_With_Sectors[[#This Row],[Days in Arrears]] &gt;= 1,1,0)</f>
        <v>0</v>
      </c>
      <c r="V809" s="109">
        <f>IF(Table__192.168.1.150_Daily_Delinquency_With_Sectors[[#This Row],[Days in Arrears]] &gt; 30,1,0)</f>
        <v>0</v>
      </c>
      <c r="W809" s="109">
        <f>IF(Table__192.168.1.150_Daily_Delinquency_With_Sectors[[#This Row],[Days in Arrears]] &gt; 90,1,0)</f>
        <v>0</v>
      </c>
    </row>
    <row r="810" spans="1:23" x14ac:dyDescent="0.25">
      <c r="A810" t="s">
        <v>2891</v>
      </c>
      <c r="B810" t="s">
        <v>1284</v>
      </c>
      <c r="C810">
        <v>11</v>
      </c>
      <c r="D810" s="105">
        <v>22587078.539999999</v>
      </c>
      <c r="E810" t="s">
        <v>1448</v>
      </c>
      <c r="F810" s="105">
        <v>247246.29</v>
      </c>
      <c r="G810" s="105">
        <v>32087611.550000001</v>
      </c>
      <c r="H810" s="143">
        <v>42626.532485185184</v>
      </c>
      <c r="I810" s="143">
        <v>43721</v>
      </c>
      <c r="J810" t="s">
        <v>2892</v>
      </c>
      <c r="K810" t="s">
        <v>2893</v>
      </c>
      <c r="L810" t="s">
        <v>1280</v>
      </c>
      <c r="M810">
        <v>200428</v>
      </c>
      <c r="N810" t="s">
        <v>2890</v>
      </c>
      <c r="O810" t="s">
        <v>27</v>
      </c>
      <c r="P810" t="s">
        <v>81</v>
      </c>
      <c r="Q810" t="s">
        <v>1706</v>
      </c>
      <c r="R810" s="105">
        <f>IF(Table__192.168.1.150_Daily_Delinquency_With_Sectors[[#This Row],[Days in Arrears]] &gt; 0, Table__192.168.1.150_Daily_Delinquency_With_Sectors[[#This Row],[Outstanding Balance]],0)</f>
        <v>22587078.539999999</v>
      </c>
      <c r="S810" s="105">
        <f>IF(Table__192.168.1.150_Daily_Delinquency_With_Sectors[[#This Row],[Days in Arrears]] &gt; 30, Table__192.168.1.150_Daily_Delinquency_With_Sectors[[#This Row],[Outstanding Balance]],0)</f>
        <v>0</v>
      </c>
      <c r="T810" s="105">
        <f>IF(Table__192.168.1.150_Daily_Delinquency_With_Sectors[[#This Row],[Days in Arrears]] &gt; 90, Table__192.168.1.150_Daily_Delinquency_With_Sectors[[#This Row],[Outstanding Balance]],0)</f>
        <v>0</v>
      </c>
      <c r="U810" s="109">
        <f>IF(Table__192.168.1.150_Daily_Delinquency_With_Sectors[[#This Row],[Days in Arrears]] &gt;= 1,1,0)</f>
        <v>1</v>
      </c>
      <c r="V810" s="109">
        <f>IF(Table__192.168.1.150_Daily_Delinquency_With_Sectors[[#This Row],[Days in Arrears]] &gt; 30,1,0)</f>
        <v>0</v>
      </c>
      <c r="W810" s="109">
        <f>IF(Table__192.168.1.150_Daily_Delinquency_With_Sectors[[#This Row],[Days in Arrears]] &gt; 90,1,0)</f>
        <v>0</v>
      </c>
    </row>
    <row r="811" spans="1:23" x14ac:dyDescent="0.25">
      <c r="A811" t="s">
        <v>2896</v>
      </c>
      <c r="B811" t="s">
        <v>1284</v>
      </c>
      <c r="C811">
        <v>-20</v>
      </c>
      <c r="D811" s="105">
        <v>14093038.710000001</v>
      </c>
      <c r="E811" t="s">
        <v>491</v>
      </c>
      <c r="F811" s="105">
        <v>140930.39000000001</v>
      </c>
      <c r="G811" s="105">
        <v>20110042.940000001</v>
      </c>
      <c r="H811" s="143">
        <v>42627.728360532405</v>
      </c>
      <c r="I811" s="143">
        <v>43722</v>
      </c>
      <c r="J811" t="s">
        <v>2897</v>
      </c>
      <c r="K811" t="s">
        <v>1280</v>
      </c>
      <c r="L811" t="s">
        <v>1280</v>
      </c>
      <c r="M811">
        <v>200430</v>
      </c>
      <c r="N811" t="s">
        <v>2894</v>
      </c>
      <c r="O811" t="s">
        <v>44</v>
      </c>
      <c r="P811" t="s">
        <v>75</v>
      </c>
      <c r="Q811" t="s">
        <v>1442</v>
      </c>
      <c r="R811" s="105">
        <f>IF(Table__192.168.1.150_Daily_Delinquency_With_Sectors[[#This Row],[Days in Arrears]] &gt; 0, Table__192.168.1.150_Daily_Delinquency_With_Sectors[[#This Row],[Outstanding Balance]],0)</f>
        <v>0</v>
      </c>
      <c r="S811" s="105">
        <f>IF(Table__192.168.1.150_Daily_Delinquency_With_Sectors[[#This Row],[Days in Arrears]] &gt; 30, Table__192.168.1.150_Daily_Delinquency_With_Sectors[[#This Row],[Outstanding Balance]],0)</f>
        <v>0</v>
      </c>
      <c r="T811" s="105">
        <f>IF(Table__192.168.1.150_Daily_Delinquency_With_Sectors[[#This Row],[Days in Arrears]] &gt; 90, Table__192.168.1.150_Daily_Delinquency_With_Sectors[[#This Row],[Outstanding Balance]],0)</f>
        <v>0</v>
      </c>
      <c r="U811" s="109">
        <f>IF(Table__192.168.1.150_Daily_Delinquency_With_Sectors[[#This Row],[Days in Arrears]] &gt;= 1,1,0)</f>
        <v>0</v>
      </c>
      <c r="V811" s="109">
        <f>IF(Table__192.168.1.150_Daily_Delinquency_With_Sectors[[#This Row],[Days in Arrears]] &gt; 30,1,0)</f>
        <v>0</v>
      </c>
      <c r="W811" s="109">
        <f>IF(Table__192.168.1.150_Daily_Delinquency_With_Sectors[[#This Row],[Days in Arrears]] &gt; 90,1,0)</f>
        <v>0</v>
      </c>
    </row>
    <row r="812" spans="1:23" x14ac:dyDescent="0.25">
      <c r="A812" t="s">
        <v>2898</v>
      </c>
      <c r="B812" t="s">
        <v>1282</v>
      </c>
      <c r="C812">
        <v>39</v>
      </c>
      <c r="D812" s="105">
        <v>2519867.0299999998</v>
      </c>
      <c r="E812" t="s">
        <v>2538</v>
      </c>
      <c r="F812" s="105">
        <v>219199.85</v>
      </c>
      <c r="G812" s="105">
        <v>3316130.55</v>
      </c>
      <c r="H812" s="143">
        <v>42627.75354853009</v>
      </c>
      <c r="I812" s="143">
        <v>43358</v>
      </c>
      <c r="J812" t="s">
        <v>2899</v>
      </c>
      <c r="K812" t="s">
        <v>1280</v>
      </c>
      <c r="L812" t="s">
        <v>1280</v>
      </c>
      <c r="M812">
        <v>200431</v>
      </c>
      <c r="N812" t="s">
        <v>2895</v>
      </c>
      <c r="O812" t="s">
        <v>44</v>
      </c>
      <c r="P812" t="s">
        <v>75</v>
      </c>
      <c r="Q812" t="s">
        <v>26</v>
      </c>
      <c r="R812" s="105">
        <f>IF(Table__192.168.1.150_Daily_Delinquency_With_Sectors[[#This Row],[Days in Arrears]] &gt; 0, Table__192.168.1.150_Daily_Delinquency_With_Sectors[[#This Row],[Outstanding Balance]],0)</f>
        <v>2519867.0299999998</v>
      </c>
      <c r="S812" s="105">
        <f>IF(Table__192.168.1.150_Daily_Delinquency_With_Sectors[[#This Row],[Days in Arrears]] &gt; 30, Table__192.168.1.150_Daily_Delinquency_With_Sectors[[#This Row],[Outstanding Balance]],0)</f>
        <v>2519867.0299999998</v>
      </c>
      <c r="T812" s="105">
        <f>IF(Table__192.168.1.150_Daily_Delinquency_With_Sectors[[#This Row],[Days in Arrears]] &gt; 90, Table__192.168.1.150_Daily_Delinquency_With_Sectors[[#This Row],[Outstanding Balance]],0)</f>
        <v>0</v>
      </c>
      <c r="U812" s="109">
        <f>IF(Table__192.168.1.150_Daily_Delinquency_With_Sectors[[#This Row],[Days in Arrears]] &gt;= 1,1,0)</f>
        <v>1</v>
      </c>
      <c r="V812" s="109">
        <f>IF(Table__192.168.1.150_Daily_Delinquency_With_Sectors[[#This Row],[Days in Arrears]] &gt; 30,1,0)</f>
        <v>1</v>
      </c>
      <c r="W812" s="109">
        <f>IF(Table__192.168.1.150_Daily_Delinquency_With_Sectors[[#This Row],[Days in Arrears]] &gt; 90,1,0)</f>
        <v>0</v>
      </c>
    </row>
    <row r="813" spans="1:23" x14ac:dyDescent="0.25">
      <c r="A813" t="s">
        <v>2958</v>
      </c>
      <c r="B813" t="s">
        <v>1284</v>
      </c>
      <c r="C813">
        <v>8</v>
      </c>
      <c r="D813" s="105">
        <v>21121764.120000001</v>
      </c>
      <c r="E813" t="s">
        <v>1925</v>
      </c>
      <c r="F813" s="105">
        <v>855508.71</v>
      </c>
      <c r="G813" s="105">
        <v>25576251.32</v>
      </c>
      <c r="H813" s="143">
        <v>42629.342043055556</v>
      </c>
      <c r="I813" s="143">
        <v>43359</v>
      </c>
      <c r="J813" t="s">
        <v>2959</v>
      </c>
      <c r="K813" t="s">
        <v>1280</v>
      </c>
      <c r="L813" t="s">
        <v>1280</v>
      </c>
      <c r="M813">
        <v>200435</v>
      </c>
      <c r="N813" t="s">
        <v>2957</v>
      </c>
      <c r="O813" t="s">
        <v>27</v>
      </c>
      <c r="P813" t="s">
        <v>81</v>
      </c>
      <c r="Q813" t="s">
        <v>26</v>
      </c>
      <c r="R813" s="105">
        <f>IF(Table__192.168.1.150_Daily_Delinquency_With_Sectors[[#This Row],[Days in Arrears]] &gt; 0, Table__192.168.1.150_Daily_Delinquency_With_Sectors[[#This Row],[Outstanding Balance]],0)</f>
        <v>21121764.120000001</v>
      </c>
      <c r="S813" s="105">
        <f>IF(Table__192.168.1.150_Daily_Delinquency_With_Sectors[[#This Row],[Days in Arrears]] &gt; 30, Table__192.168.1.150_Daily_Delinquency_With_Sectors[[#This Row],[Outstanding Balance]],0)</f>
        <v>0</v>
      </c>
      <c r="T813" s="105">
        <f>IF(Table__192.168.1.150_Daily_Delinquency_With_Sectors[[#This Row],[Days in Arrears]] &gt; 90, Table__192.168.1.150_Daily_Delinquency_With_Sectors[[#This Row],[Outstanding Balance]],0)</f>
        <v>0</v>
      </c>
      <c r="U813" s="109">
        <f>IF(Table__192.168.1.150_Daily_Delinquency_With_Sectors[[#This Row],[Days in Arrears]] &gt;= 1,1,0)</f>
        <v>1</v>
      </c>
      <c r="V813" s="109">
        <f>IF(Table__192.168.1.150_Daily_Delinquency_With_Sectors[[#This Row],[Days in Arrears]] &gt; 30,1,0)</f>
        <v>0</v>
      </c>
      <c r="W813" s="109">
        <f>IF(Table__192.168.1.150_Daily_Delinquency_With_Sectors[[#This Row],[Days in Arrears]] &gt; 90,1,0)</f>
        <v>0</v>
      </c>
    </row>
    <row r="814" spans="1:23" x14ac:dyDescent="0.25">
      <c r="A814" t="s">
        <v>2961</v>
      </c>
      <c r="B814" t="s">
        <v>1284</v>
      </c>
      <c r="C814">
        <v>0</v>
      </c>
      <c r="D814" s="105">
        <v>28084094.899999999</v>
      </c>
      <c r="E814" t="s">
        <v>963</v>
      </c>
      <c r="F814" s="105">
        <v>814438.75</v>
      </c>
      <c r="G814" s="105">
        <v>39281778.450000003</v>
      </c>
      <c r="H814" s="143">
        <v>42629.674353240742</v>
      </c>
      <c r="I814" s="143">
        <v>43732</v>
      </c>
      <c r="J814" t="s">
        <v>2962</v>
      </c>
      <c r="K814" t="s">
        <v>2963</v>
      </c>
      <c r="L814" t="s">
        <v>1280</v>
      </c>
      <c r="M814">
        <v>200436</v>
      </c>
      <c r="N814" t="s">
        <v>2960</v>
      </c>
      <c r="O814" t="s">
        <v>41</v>
      </c>
      <c r="P814" t="s">
        <v>1189</v>
      </c>
      <c r="Q814" t="s">
        <v>1817</v>
      </c>
      <c r="R814" s="105">
        <f>IF(Table__192.168.1.150_Daily_Delinquency_With_Sectors[[#This Row],[Days in Arrears]] &gt; 0, Table__192.168.1.150_Daily_Delinquency_With_Sectors[[#This Row],[Outstanding Balance]],0)</f>
        <v>0</v>
      </c>
      <c r="S814" s="105">
        <f>IF(Table__192.168.1.150_Daily_Delinquency_With_Sectors[[#This Row],[Days in Arrears]] &gt; 30, Table__192.168.1.150_Daily_Delinquency_With_Sectors[[#This Row],[Outstanding Balance]],0)</f>
        <v>0</v>
      </c>
      <c r="T814" s="105">
        <f>IF(Table__192.168.1.150_Daily_Delinquency_With_Sectors[[#This Row],[Days in Arrears]] &gt; 90, Table__192.168.1.150_Daily_Delinquency_With_Sectors[[#This Row],[Outstanding Balance]],0)</f>
        <v>0</v>
      </c>
      <c r="U814" s="109">
        <f>IF(Table__192.168.1.150_Daily_Delinquency_With_Sectors[[#This Row],[Days in Arrears]] &gt;= 1,1,0)</f>
        <v>0</v>
      </c>
      <c r="V814" s="109">
        <f>IF(Table__192.168.1.150_Daily_Delinquency_With_Sectors[[#This Row],[Days in Arrears]] &gt; 30,1,0)</f>
        <v>0</v>
      </c>
      <c r="W814" s="109">
        <f>IF(Table__192.168.1.150_Daily_Delinquency_With_Sectors[[#This Row],[Days in Arrears]] &gt; 90,1,0)</f>
        <v>0</v>
      </c>
    </row>
    <row r="815" spans="1:23" x14ac:dyDescent="0.25">
      <c r="A815" t="s">
        <v>2965</v>
      </c>
      <c r="B815" t="s">
        <v>1284</v>
      </c>
      <c r="C815">
        <v>-25</v>
      </c>
      <c r="D815" s="105">
        <v>14834777.609999999</v>
      </c>
      <c r="E815" t="s">
        <v>1448</v>
      </c>
      <c r="F815" s="105">
        <v>65932.34</v>
      </c>
      <c r="G815" s="105">
        <v>21168466.27</v>
      </c>
      <c r="H815" s="143">
        <v>42632.70225991898</v>
      </c>
      <c r="I815" s="143">
        <v>43727</v>
      </c>
      <c r="J815" t="s">
        <v>2966</v>
      </c>
      <c r="K815" t="s">
        <v>2967</v>
      </c>
      <c r="L815" t="s">
        <v>1280</v>
      </c>
      <c r="M815">
        <v>200439</v>
      </c>
      <c r="N815" t="s">
        <v>2964</v>
      </c>
      <c r="O815" t="s">
        <v>44</v>
      </c>
      <c r="P815" t="s">
        <v>75</v>
      </c>
      <c r="Q815" t="s">
        <v>1442</v>
      </c>
      <c r="R815" s="105">
        <f>IF(Table__192.168.1.150_Daily_Delinquency_With_Sectors[[#This Row],[Days in Arrears]] &gt; 0, Table__192.168.1.150_Daily_Delinquency_With_Sectors[[#This Row],[Outstanding Balance]],0)</f>
        <v>0</v>
      </c>
      <c r="S815" s="105">
        <f>IF(Table__192.168.1.150_Daily_Delinquency_With_Sectors[[#This Row],[Days in Arrears]] &gt; 30, Table__192.168.1.150_Daily_Delinquency_With_Sectors[[#This Row],[Outstanding Balance]],0)</f>
        <v>0</v>
      </c>
      <c r="T815" s="105">
        <f>IF(Table__192.168.1.150_Daily_Delinquency_With_Sectors[[#This Row],[Days in Arrears]] &gt; 90, Table__192.168.1.150_Daily_Delinquency_With_Sectors[[#This Row],[Outstanding Balance]],0)</f>
        <v>0</v>
      </c>
      <c r="U815" s="109">
        <f>IF(Table__192.168.1.150_Daily_Delinquency_With_Sectors[[#This Row],[Days in Arrears]] &gt;= 1,1,0)</f>
        <v>0</v>
      </c>
      <c r="V815" s="109">
        <f>IF(Table__192.168.1.150_Daily_Delinquency_With_Sectors[[#This Row],[Days in Arrears]] &gt; 30,1,0)</f>
        <v>0</v>
      </c>
      <c r="W815" s="109">
        <f>IF(Table__192.168.1.150_Daily_Delinquency_With_Sectors[[#This Row],[Days in Arrears]] &gt; 90,1,0)</f>
        <v>0</v>
      </c>
    </row>
    <row r="816" spans="1:23" x14ac:dyDescent="0.25">
      <c r="A816" t="s">
        <v>2975</v>
      </c>
      <c r="B816" t="s">
        <v>1282</v>
      </c>
      <c r="C816">
        <v>122</v>
      </c>
      <c r="D816" s="105">
        <v>1748204.29</v>
      </c>
      <c r="E816" t="s">
        <v>5725</v>
      </c>
      <c r="F816" s="105">
        <v>53601.13</v>
      </c>
      <c r="G816" s="105">
        <v>1831988.55</v>
      </c>
      <c r="H816" s="143">
        <v>42635.476807754632</v>
      </c>
      <c r="I816" s="143">
        <v>43000</v>
      </c>
      <c r="J816" t="s">
        <v>2976</v>
      </c>
      <c r="K816" t="s">
        <v>1280</v>
      </c>
      <c r="L816" t="s">
        <v>1280</v>
      </c>
      <c r="M816">
        <v>200444</v>
      </c>
      <c r="N816" t="s">
        <v>2974</v>
      </c>
      <c r="O816" t="s">
        <v>44</v>
      </c>
      <c r="P816" t="s">
        <v>75</v>
      </c>
      <c r="Q816" t="s">
        <v>1442</v>
      </c>
      <c r="R816" s="105">
        <f>IF(Table__192.168.1.150_Daily_Delinquency_With_Sectors[[#This Row],[Days in Arrears]] &gt; 0, Table__192.168.1.150_Daily_Delinquency_With_Sectors[[#This Row],[Outstanding Balance]],0)</f>
        <v>1748204.29</v>
      </c>
      <c r="S816" s="105">
        <f>IF(Table__192.168.1.150_Daily_Delinquency_With_Sectors[[#This Row],[Days in Arrears]] &gt; 30, Table__192.168.1.150_Daily_Delinquency_With_Sectors[[#This Row],[Outstanding Balance]],0)</f>
        <v>1748204.29</v>
      </c>
      <c r="T816" s="105">
        <f>IF(Table__192.168.1.150_Daily_Delinquency_With_Sectors[[#This Row],[Days in Arrears]] &gt; 90, Table__192.168.1.150_Daily_Delinquency_With_Sectors[[#This Row],[Outstanding Balance]],0)</f>
        <v>1748204.29</v>
      </c>
      <c r="U816" s="109">
        <f>IF(Table__192.168.1.150_Daily_Delinquency_With_Sectors[[#This Row],[Days in Arrears]] &gt;= 1,1,0)</f>
        <v>1</v>
      </c>
      <c r="V816" s="109">
        <f>IF(Table__192.168.1.150_Daily_Delinquency_With_Sectors[[#This Row],[Days in Arrears]] &gt; 30,1,0)</f>
        <v>1</v>
      </c>
      <c r="W816" s="109">
        <f>IF(Table__192.168.1.150_Daily_Delinquency_With_Sectors[[#This Row],[Days in Arrears]] &gt; 90,1,0)</f>
        <v>1</v>
      </c>
    </row>
    <row r="817" spans="1:23" x14ac:dyDescent="0.25">
      <c r="A817" t="s">
        <v>2978</v>
      </c>
      <c r="B817" t="s">
        <v>1279</v>
      </c>
      <c r="C817">
        <v>61</v>
      </c>
      <c r="D817" s="105">
        <v>314831.09999999998</v>
      </c>
      <c r="E817" t="s">
        <v>1925</v>
      </c>
      <c r="F817" s="105">
        <v>14167.4</v>
      </c>
      <c r="G817" s="105">
        <v>328998.5</v>
      </c>
      <c r="H817" s="143">
        <v>42636.700270023146</v>
      </c>
      <c r="I817" s="143">
        <v>43001</v>
      </c>
      <c r="J817" t="s">
        <v>2979</v>
      </c>
      <c r="K817" t="s">
        <v>1280</v>
      </c>
      <c r="L817" t="s">
        <v>1280</v>
      </c>
      <c r="M817">
        <v>200446</v>
      </c>
      <c r="N817" t="s">
        <v>2977</v>
      </c>
      <c r="O817" t="s">
        <v>36</v>
      </c>
      <c r="P817" t="s">
        <v>97</v>
      </c>
      <c r="Q817" t="s">
        <v>98</v>
      </c>
      <c r="R817" s="105">
        <f>IF(Table__192.168.1.150_Daily_Delinquency_With_Sectors[[#This Row],[Days in Arrears]] &gt; 0, Table__192.168.1.150_Daily_Delinquency_With_Sectors[[#This Row],[Outstanding Balance]],0)</f>
        <v>314831.09999999998</v>
      </c>
      <c r="S817" s="105">
        <f>IF(Table__192.168.1.150_Daily_Delinquency_With_Sectors[[#This Row],[Days in Arrears]] &gt; 30, Table__192.168.1.150_Daily_Delinquency_With_Sectors[[#This Row],[Outstanding Balance]],0)</f>
        <v>314831.09999999998</v>
      </c>
      <c r="T817" s="105">
        <f>IF(Table__192.168.1.150_Daily_Delinquency_With_Sectors[[#This Row],[Days in Arrears]] &gt; 90, Table__192.168.1.150_Daily_Delinquency_With_Sectors[[#This Row],[Outstanding Balance]],0)</f>
        <v>0</v>
      </c>
      <c r="U817" s="109">
        <f>IF(Table__192.168.1.150_Daily_Delinquency_With_Sectors[[#This Row],[Days in Arrears]] &gt;= 1,1,0)</f>
        <v>1</v>
      </c>
      <c r="V817" s="109">
        <f>IF(Table__192.168.1.150_Daily_Delinquency_With_Sectors[[#This Row],[Days in Arrears]] &gt; 30,1,0)</f>
        <v>1</v>
      </c>
      <c r="W817" s="109">
        <f>IF(Table__192.168.1.150_Daily_Delinquency_With_Sectors[[#This Row],[Days in Arrears]] &gt; 90,1,0)</f>
        <v>0</v>
      </c>
    </row>
    <row r="818" spans="1:23" x14ac:dyDescent="0.25">
      <c r="A818" t="s">
        <v>2993</v>
      </c>
      <c r="B818" t="s">
        <v>1284</v>
      </c>
      <c r="C818">
        <v>-7</v>
      </c>
      <c r="D818" s="105">
        <v>5588242.6100000003</v>
      </c>
      <c r="E818" t="s">
        <v>2175</v>
      </c>
      <c r="F818" s="105">
        <v>136601.49</v>
      </c>
      <c r="G818" s="105">
        <v>6766837.1699999999</v>
      </c>
      <c r="H818" s="143">
        <v>42639.671695717596</v>
      </c>
      <c r="I818" s="143">
        <v>43374</v>
      </c>
      <c r="J818" t="s">
        <v>2994</v>
      </c>
      <c r="K818" t="s">
        <v>2995</v>
      </c>
      <c r="L818" t="s">
        <v>1280</v>
      </c>
      <c r="M818">
        <v>200453</v>
      </c>
      <c r="N818" t="s">
        <v>2992</v>
      </c>
      <c r="O818" t="s">
        <v>25</v>
      </c>
      <c r="P818" t="s">
        <v>290</v>
      </c>
      <c r="Q818" t="s">
        <v>26</v>
      </c>
      <c r="R818" s="105">
        <f>IF(Table__192.168.1.150_Daily_Delinquency_With_Sectors[[#This Row],[Days in Arrears]] &gt; 0, Table__192.168.1.150_Daily_Delinquency_With_Sectors[[#This Row],[Outstanding Balance]],0)</f>
        <v>0</v>
      </c>
      <c r="S818" s="105">
        <f>IF(Table__192.168.1.150_Daily_Delinquency_With_Sectors[[#This Row],[Days in Arrears]] &gt; 30, Table__192.168.1.150_Daily_Delinquency_With_Sectors[[#This Row],[Outstanding Balance]],0)</f>
        <v>0</v>
      </c>
      <c r="T818" s="105">
        <f>IF(Table__192.168.1.150_Daily_Delinquency_With_Sectors[[#This Row],[Days in Arrears]] &gt; 90, Table__192.168.1.150_Daily_Delinquency_With_Sectors[[#This Row],[Outstanding Balance]],0)</f>
        <v>0</v>
      </c>
      <c r="U818" s="109">
        <f>IF(Table__192.168.1.150_Daily_Delinquency_With_Sectors[[#This Row],[Days in Arrears]] &gt;= 1,1,0)</f>
        <v>0</v>
      </c>
      <c r="V818" s="109">
        <f>IF(Table__192.168.1.150_Daily_Delinquency_With_Sectors[[#This Row],[Days in Arrears]] &gt; 30,1,0)</f>
        <v>0</v>
      </c>
      <c r="W818" s="109">
        <f>IF(Table__192.168.1.150_Daily_Delinquency_With_Sectors[[#This Row],[Days in Arrears]] &gt; 90,1,0)</f>
        <v>0</v>
      </c>
    </row>
    <row r="819" spans="1:23" x14ac:dyDescent="0.25">
      <c r="A819" t="s">
        <v>3029</v>
      </c>
      <c r="B819" t="s">
        <v>1284</v>
      </c>
      <c r="C819">
        <v>-9</v>
      </c>
      <c r="D819" s="105">
        <v>14216871.66</v>
      </c>
      <c r="E819" t="s">
        <v>2557</v>
      </c>
      <c r="F819" s="105">
        <v>315930.48</v>
      </c>
      <c r="G819" s="105">
        <v>20580927.629999999</v>
      </c>
      <c r="H819" s="143">
        <v>42641.552462118052</v>
      </c>
      <c r="I819" s="143">
        <v>43741</v>
      </c>
      <c r="J819" t="s">
        <v>3030</v>
      </c>
      <c r="K819" t="s">
        <v>1280</v>
      </c>
      <c r="L819" t="s">
        <v>1280</v>
      </c>
      <c r="M819">
        <v>200456</v>
      </c>
      <c r="N819" t="s">
        <v>3020</v>
      </c>
      <c r="O819" t="s">
        <v>36</v>
      </c>
      <c r="P819" t="s">
        <v>1023</v>
      </c>
      <c r="Q819" t="s">
        <v>1810</v>
      </c>
      <c r="R819" s="105">
        <f>IF(Table__192.168.1.150_Daily_Delinquency_With_Sectors[[#This Row],[Days in Arrears]] &gt; 0, Table__192.168.1.150_Daily_Delinquency_With_Sectors[[#This Row],[Outstanding Balance]],0)</f>
        <v>0</v>
      </c>
      <c r="S819" s="105">
        <f>IF(Table__192.168.1.150_Daily_Delinquency_With_Sectors[[#This Row],[Days in Arrears]] &gt; 30, Table__192.168.1.150_Daily_Delinquency_With_Sectors[[#This Row],[Outstanding Balance]],0)</f>
        <v>0</v>
      </c>
      <c r="T819" s="105">
        <f>IF(Table__192.168.1.150_Daily_Delinquency_With_Sectors[[#This Row],[Days in Arrears]] &gt; 90, Table__192.168.1.150_Daily_Delinquency_With_Sectors[[#This Row],[Outstanding Balance]],0)</f>
        <v>0</v>
      </c>
      <c r="U819" s="109">
        <f>IF(Table__192.168.1.150_Daily_Delinquency_With_Sectors[[#This Row],[Days in Arrears]] &gt;= 1,1,0)</f>
        <v>0</v>
      </c>
      <c r="V819" s="109">
        <f>IF(Table__192.168.1.150_Daily_Delinquency_With_Sectors[[#This Row],[Days in Arrears]] &gt; 30,1,0)</f>
        <v>0</v>
      </c>
      <c r="W819" s="109">
        <f>IF(Table__192.168.1.150_Daily_Delinquency_With_Sectors[[#This Row],[Days in Arrears]] &gt; 90,1,0)</f>
        <v>0</v>
      </c>
    </row>
    <row r="820" spans="1:23" x14ac:dyDescent="0.25">
      <c r="A820" t="s">
        <v>3041</v>
      </c>
      <c r="B820" t="s">
        <v>1282</v>
      </c>
      <c r="C820">
        <v>143</v>
      </c>
      <c r="D820" s="105">
        <v>916443.16</v>
      </c>
      <c r="E820" t="s">
        <v>5725</v>
      </c>
      <c r="F820" s="105">
        <v>32878.81</v>
      </c>
      <c r="G820" s="105">
        <v>985466.04</v>
      </c>
      <c r="H820" s="143">
        <v>42642.377497800924</v>
      </c>
      <c r="I820" s="143">
        <v>43009</v>
      </c>
      <c r="J820" t="s">
        <v>3042</v>
      </c>
      <c r="K820" t="s">
        <v>1280</v>
      </c>
      <c r="L820" t="s">
        <v>1280</v>
      </c>
      <c r="M820">
        <v>200458</v>
      </c>
      <c r="N820" t="s">
        <v>3037</v>
      </c>
      <c r="O820" t="s">
        <v>44</v>
      </c>
      <c r="P820" t="s">
        <v>75</v>
      </c>
      <c r="Q820" t="s">
        <v>26</v>
      </c>
      <c r="R820" s="105">
        <f>IF(Table__192.168.1.150_Daily_Delinquency_With_Sectors[[#This Row],[Days in Arrears]] &gt; 0, Table__192.168.1.150_Daily_Delinquency_With_Sectors[[#This Row],[Outstanding Balance]],0)</f>
        <v>916443.16</v>
      </c>
      <c r="S820" s="105">
        <f>IF(Table__192.168.1.150_Daily_Delinquency_With_Sectors[[#This Row],[Days in Arrears]] &gt; 30, Table__192.168.1.150_Daily_Delinquency_With_Sectors[[#This Row],[Outstanding Balance]],0)</f>
        <v>916443.16</v>
      </c>
      <c r="T820" s="105">
        <f>IF(Table__192.168.1.150_Daily_Delinquency_With_Sectors[[#This Row],[Days in Arrears]] &gt; 90, Table__192.168.1.150_Daily_Delinquency_With_Sectors[[#This Row],[Outstanding Balance]],0)</f>
        <v>916443.16</v>
      </c>
      <c r="U820" s="109">
        <f>IF(Table__192.168.1.150_Daily_Delinquency_With_Sectors[[#This Row],[Days in Arrears]] &gt;= 1,1,0)</f>
        <v>1</v>
      </c>
      <c r="V820" s="109">
        <f>IF(Table__192.168.1.150_Daily_Delinquency_With_Sectors[[#This Row],[Days in Arrears]] &gt; 30,1,0)</f>
        <v>1</v>
      </c>
      <c r="W820" s="109">
        <f>IF(Table__192.168.1.150_Daily_Delinquency_With_Sectors[[#This Row],[Days in Arrears]] &gt; 90,1,0)</f>
        <v>1</v>
      </c>
    </row>
    <row r="821" spans="1:23" x14ac:dyDescent="0.25">
      <c r="A821" t="s">
        <v>3064</v>
      </c>
      <c r="B821" t="s">
        <v>1282</v>
      </c>
      <c r="C821">
        <v>81</v>
      </c>
      <c r="D821" s="105">
        <v>603008.68000000005</v>
      </c>
      <c r="E821" t="s">
        <v>2557</v>
      </c>
      <c r="F821" s="105">
        <v>18971.21</v>
      </c>
      <c r="G821" s="105">
        <v>621979.89</v>
      </c>
      <c r="H821" s="143">
        <v>42643.727883333333</v>
      </c>
      <c r="I821" s="143">
        <v>43011</v>
      </c>
      <c r="J821" t="s">
        <v>3065</v>
      </c>
      <c r="K821" t="s">
        <v>1280</v>
      </c>
      <c r="L821" t="s">
        <v>1280</v>
      </c>
      <c r="M821">
        <v>200465</v>
      </c>
      <c r="N821" t="s">
        <v>3048</v>
      </c>
      <c r="O821" t="s">
        <v>25</v>
      </c>
      <c r="P821" t="s">
        <v>88</v>
      </c>
      <c r="Q821" t="s">
        <v>26</v>
      </c>
      <c r="R821" s="105">
        <f>IF(Table__192.168.1.150_Daily_Delinquency_With_Sectors[[#This Row],[Days in Arrears]] &gt; 0, Table__192.168.1.150_Daily_Delinquency_With_Sectors[[#This Row],[Outstanding Balance]],0)</f>
        <v>603008.68000000005</v>
      </c>
      <c r="S821" s="105">
        <f>IF(Table__192.168.1.150_Daily_Delinquency_With_Sectors[[#This Row],[Days in Arrears]] &gt; 30, Table__192.168.1.150_Daily_Delinquency_With_Sectors[[#This Row],[Outstanding Balance]],0)</f>
        <v>603008.68000000005</v>
      </c>
      <c r="T821" s="105">
        <f>IF(Table__192.168.1.150_Daily_Delinquency_With_Sectors[[#This Row],[Days in Arrears]] &gt; 90, Table__192.168.1.150_Daily_Delinquency_With_Sectors[[#This Row],[Outstanding Balance]],0)</f>
        <v>0</v>
      </c>
      <c r="U821" s="109">
        <f>IF(Table__192.168.1.150_Daily_Delinquency_With_Sectors[[#This Row],[Days in Arrears]] &gt;= 1,1,0)</f>
        <v>1</v>
      </c>
      <c r="V821" s="109">
        <f>IF(Table__192.168.1.150_Daily_Delinquency_With_Sectors[[#This Row],[Days in Arrears]] &gt; 30,1,0)</f>
        <v>1</v>
      </c>
      <c r="W821" s="109">
        <f>IF(Table__192.168.1.150_Daily_Delinquency_With_Sectors[[#This Row],[Days in Arrears]] &gt; 90,1,0)</f>
        <v>0</v>
      </c>
    </row>
    <row r="822" spans="1:23" x14ac:dyDescent="0.25">
      <c r="A822" t="s">
        <v>3070</v>
      </c>
      <c r="B822" t="s">
        <v>1284</v>
      </c>
      <c r="C822">
        <v>-7</v>
      </c>
      <c r="D822" s="105">
        <v>21144475.760000002</v>
      </c>
      <c r="E822" t="s">
        <v>1467</v>
      </c>
      <c r="F822" s="105">
        <v>516864.96</v>
      </c>
      <c r="G822" s="105">
        <v>25603975.140000001</v>
      </c>
      <c r="H822" s="143">
        <v>42643.531673611113</v>
      </c>
      <c r="I822" s="143">
        <v>43374</v>
      </c>
      <c r="J822" t="s">
        <v>3071</v>
      </c>
      <c r="K822" t="s">
        <v>1280</v>
      </c>
      <c r="L822" t="s">
        <v>1280</v>
      </c>
      <c r="M822">
        <v>200470</v>
      </c>
      <c r="N822" t="s">
        <v>3046</v>
      </c>
      <c r="O822" t="s">
        <v>27</v>
      </c>
      <c r="P822" t="s">
        <v>81</v>
      </c>
      <c r="Q822" t="s">
        <v>26</v>
      </c>
      <c r="R822" s="105">
        <f>IF(Table__192.168.1.150_Daily_Delinquency_With_Sectors[[#This Row],[Days in Arrears]] &gt; 0, Table__192.168.1.150_Daily_Delinquency_With_Sectors[[#This Row],[Outstanding Balance]],0)</f>
        <v>0</v>
      </c>
      <c r="S822" s="105">
        <f>IF(Table__192.168.1.150_Daily_Delinquency_With_Sectors[[#This Row],[Days in Arrears]] &gt; 30, Table__192.168.1.150_Daily_Delinquency_With_Sectors[[#This Row],[Outstanding Balance]],0)</f>
        <v>0</v>
      </c>
      <c r="T822" s="105">
        <f>IF(Table__192.168.1.150_Daily_Delinquency_With_Sectors[[#This Row],[Days in Arrears]] &gt; 90, Table__192.168.1.150_Daily_Delinquency_With_Sectors[[#This Row],[Outstanding Balance]],0)</f>
        <v>0</v>
      </c>
      <c r="U822" s="109">
        <f>IF(Table__192.168.1.150_Daily_Delinquency_With_Sectors[[#This Row],[Days in Arrears]] &gt;= 1,1,0)</f>
        <v>0</v>
      </c>
      <c r="V822" s="109">
        <f>IF(Table__192.168.1.150_Daily_Delinquency_With_Sectors[[#This Row],[Days in Arrears]] &gt; 30,1,0)</f>
        <v>0</v>
      </c>
      <c r="W822" s="109">
        <f>IF(Table__192.168.1.150_Daily_Delinquency_With_Sectors[[#This Row],[Days in Arrears]] &gt; 90,1,0)</f>
        <v>0</v>
      </c>
    </row>
    <row r="823" spans="1:23" x14ac:dyDescent="0.25">
      <c r="A823" t="s">
        <v>3076</v>
      </c>
      <c r="B823" t="s">
        <v>1281</v>
      </c>
      <c r="C823">
        <v>20</v>
      </c>
      <c r="D823" s="105">
        <v>17762757.68</v>
      </c>
      <c r="E823" t="s">
        <v>468</v>
      </c>
      <c r="F823" s="105">
        <v>900761.47</v>
      </c>
      <c r="G823" s="105">
        <v>27711846.82</v>
      </c>
      <c r="H823" s="143">
        <v>42646.655643090278</v>
      </c>
      <c r="I823" s="143">
        <v>43742</v>
      </c>
      <c r="J823" t="s">
        <v>3077</v>
      </c>
      <c r="K823" t="s">
        <v>1280</v>
      </c>
      <c r="L823" t="s">
        <v>3078</v>
      </c>
      <c r="M823">
        <v>200473</v>
      </c>
      <c r="N823" t="s">
        <v>3075</v>
      </c>
      <c r="O823" t="s">
        <v>25</v>
      </c>
      <c r="P823" t="s">
        <v>26</v>
      </c>
      <c r="Q823" t="s">
        <v>26</v>
      </c>
      <c r="R823" s="105">
        <f>IF(Table__192.168.1.150_Daily_Delinquency_With_Sectors[[#This Row],[Days in Arrears]] &gt; 0, Table__192.168.1.150_Daily_Delinquency_With_Sectors[[#This Row],[Outstanding Balance]],0)</f>
        <v>17762757.68</v>
      </c>
      <c r="S823" s="105">
        <f>IF(Table__192.168.1.150_Daily_Delinquency_With_Sectors[[#This Row],[Days in Arrears]] &gt; 30, Table__192.168.1.150_Daily_Delinquency_With_Sectors[[#This Row],[Outstanding Balance]],0)</f>
        <v>0</v>
      </c>
      <c r="T823" s="105">
        <f>IF(Table__192.168.1.150_Daily_Delinquency_With_Sectors[[#This Row],[Days in Arrears]] &gt; 90, Table__192.168.1.150_Daily_Delinquency_With_Sectors[[#This Row],[Outstanding Balance]],0)</f>
        <v>0</v>
      </c>
      <c r="U823" s="109">
        <f>IF(Table__192.168.1.150_Daily_Delinquency_With_Sectors[[#This Row],[Days in Arrears]] &gt;= 1,1,0)</f>
        <v>1</v>
      </c>
      <c r="V823" s="109">
        <f>IF(Table__192.168.1.150_Daily_Delinquency_With_Sectors[[#This Row],[Days in Arrears]] &gt; 30,1,0)</f>
        <v>0</v>
      </c>
      <c r="W823" s="109">
        <f>IF(Table__192.168.1.150_Daily_Delinquency_With_Sectors[[#This Row],[Days in Arrears]] &gt; 90,1,0)</f>
        <v>0</v>
      </c>
    </row>
    <row r="824" spans="1:23" x14ac:dyDescent="0.25">
      <c r="A824" t="s">
        <v>3090</v>
      </c>
      <c r="B824" t="s">
        <v>1283</v>
      </c>
      <c r="C824">
        <v>-11</v>
      </c>
      <c r="D824" s="105">
        <v>21144475.760000002</v>
      </c>
      <c r="E824" t="s">
        <v>2861</v>
      </c>
      <c r="F824" s="105">
        <v>422889.52</v>
      </c>
      <c r="G824" s="105">
        <v>25603975.140000001</v>
      </c>
      <c r="H824" s="143">
        <v>42647.721488310184</v>
      </c>
      <c r="I824" s="143">
        <v>43378</v>
      </c>
      <c r="J824" t="s">
        <v>3091</v>
      </c>
      <c r="K824" t="s">
        <v>1280</v>
      </c>
      <c r="L824" t="s">
        <v>3092</v>
      </c>
      <c r="M824">
        <v>200474</v>
      </c>
      <c r="N824" t="s">
        <v>3089</v>
      </c>
      <c r="O824" t="s">
        <v>27</v>
      </c>
      <c r="P824" t="s">
        <v>81</v>
      </c>
      <c r="Q824" t="s">
        <v>1831</v>
      </c>
      <c r="R824" s="105">
        <f>IF(Table__192.168.1.150_Daily_Delinquency_With_Sectors[[#This Row],[Days in Arrears]] &gt; 0, Table__192.168.1.150_Daily_Delinquency_With_Sectors[[#This Row],[Outstanding Balance]],0)</f>
        <v>0</v>
      </c>
      <c r="S824" s="105">
        <f>IF(Table__192.168.1.150_Daily_Delinquency_With_Sectors[[#This Row],[Days in Arrears]] &gt; 30, Table__192.168.1.150_Daily_Delinquency_With_Sectors[[#This Row],[Outstanding Balance]],0)</f>
        <v>0</v>
      </c>
      <c r="T824" s="105">
        <f>IF(Table__192.168.1.150_Daily_Delinquency_With_Sectors[[#This Row],[Days in Arrears]] &gt; 90, Table__192.168.1.150_Daily_Delinquency_With_Sectors[[#This Row],[Outstanding Balance]],0)</f>
        <v>0</v>
      </c>
      <c r="U824" s="109">
        <f>IF(Table__192.168.1.150_Daily_Delinquency_With_Sectors[[#This Row],[Days in Arrears]] &gt;= 1,1,0)</f>
        <v>0</v>
      </c>
      <c r="V824" s="109">
        <f>IF(Table__192.168.1.150_Daily_Delinquency_With_Sectors[[#This Row],[Days in Arrears]] &gt; 30,1,0)</f>
        <v>0</v>
      </c>
      <c r="W824" s="109">
        <f>IF(Table__192.168.1.150_Daily_Delinquency_With_Sectors[[#This Row],[Days in Arrears]] &gt; 90,1,0)</f>
        <v>0</v>
      </c>
    </row>
    <row r="825" spans="1:23" x14ac:dyDescent="0.25">
      <c r="A825" t="s">
        <v>3094</v>
      </c>
      <c r="B825" t="s">
        <v>1281</v>
      </c>
      <c r="C825">
        <v>48</v>
      </c>
      <c r="D825" s="105">
        <v>9269205.2300000004</v>
      </c>
      <c r="E825" t="s">
        <v>2538</v>
      </c>
      <c r="F825" s="105">
        <v>330032.86</v>
      </c>
      <c r="G825" s="105">
        <v>10468062.91</v>
      </c>
      <c r="H825" s="143">
        <v>42648.621059293982</v>
      </c>
      <c r="I825" s="143">
        <v>43196</v>
      </c>
      <c r="J825" t="s">
        <v>3095</v>
      </c>
      <c r="K825" t="s">
        <v>1280</v>
      </c>
      <c r="L825" t="s">
        <v>1280</v>
      </c>
      <c r="M825">
        <v>200475</v>
      </c>
      <c r="N825" t="s">
        <v>3093</v>
      </c>
      <c r="O825" t="s">
        <v>44</v>
      </c>
      <c r="P825" t="s">
        <v>92</v>
      </c>
      <c r="Q825" t="s">
        <v>26</v>
      </c>
      <c r="R825" s="105">
        <f>IF(Table__192.168.1.150_Daily_Delinquency_With_Sectors[[#This Row],[Days in Arrears]] &gt; 0, Table__192.168.1.150_Daily_Delinquency_With_Sectors[[#This Row],[Outstanding Balance]],0)</f>
        <v>9269205.2300000004</v>
      </c>
      <c r="S825" s="105">
        <f>IF(Table__192.168.1.150_Daily_Delinquency_With_Sectors[[#This Row],[Days in Arrears]] &gt; 30, Table__192.168.1.150_Daily_Delinquency_With_Sectors[[#This Row],[Outstanding Balance]],0)</f>
        <v>9269205.2300000004</v>
      </c>
      <c r="T825" s="105">
        <f>IF(Table__192.168.1.150_Daily_Delinquency_With_Sectors[[#This Row],[Days in Arrears]] &gt; 90, Table__192.168.1.150_Daily_Delinquency_With_Sectors[[#This Row],[Outstanding Balance]],0)</f>
        <v>0</v>
      </c>
      <c r="U825" s="109">
        <f>IF(Table__192.168.1.150_Daily_Delinquency_With_Sectors[[#This Row],[Days in Arrears]] &gt;= 1,1,0)</f>
        <v>1</v>
      </c>
      <c r="V825" s="109">
        <f>IF(Table__192.168.1.150_Daily_Delinquency_With_Sectors[[#This Row],[Days in Arrears]] &gt; 30,1,0)</f>
        <v>1</v>
      </c>
      <c r="W825" s="109">
        <f>IF(Table__192.168.1.150_Daily_Delinquency_With_Sectors[[#This Row],[Days in Arrears]] &gt; 90,1,0)</f>
        <v>0</v>
      </c>
    </row>
    <row r="826" spans="1:23" x14ac:dyDescent="0.25">
      <c r="A826" t="s">
        <v>2881</v>
      </c>
      <c r="B826" t="s">
        <v>1283</v>
      </c>
      <c r="C826">
        <v>-12</v>
      </c>
      <c r="D826" s="105">
        <v>36129333.369999997</v>
      </c>
      <c r="E826" t="s">
        <v>2861</v>
      </c>
      <c r="F826" s="105">
        <v>682442.96</v>
      </c>
      <c r="G826" s="105">
        <v>43749230.869999997</v>
      </c>
      <c r="H826" s="143">
        <v>42649.566965127313</v>
      </c>
      <c r="I826" s="143">
        <v>43379</v>
      </c>
      <c r="J826" t="s">
        <v>2882</v>
      </c>
      <c r="K826" t="s">
        <v>2883</v>
      </c>
      <c r="L826" t="s">
        <v>1280</v>
      </c>
      <c r="M826">
        <v>200477</v>
      </c>
      <c r="N826" t="s">
        <v>2877</v>
      </c>
      <c r="O826" t="s">
        <v>27</v>
      </c>
      <c r="P826" t="s">
        <v>81</v>
      </c>
      <c r="Q826" t="s">
        <v>26</v>
      </c>
      <c r="R826" s="105">
        <f>IF(Table__192.168.1.150_Daily_Delinquency_With_Sectors[[#This Row],[Days in Arrears]] &gt; 0, Table__192.168.1.150_Daily_Delinquency_With_Sectors[[#This Row],[Outstanding Balance]],0)</f>
        <v>0</v>
      </c>
      <c r="S826" s="105">
        <f>IF(Table__192.168.1.150_Daily_Delinquency_With_Sectors[[#This Row],[Days in Arrears]] &gt; 30, Table__192.168.1.150_Daily_Delinquency_With_Sectors[[#This Row],[Outstanding Balance]],0)</f>
        <v>0</v>
      </c>
      <c r="T826" s="105">
        <f>IF(Table__192.168.1.150_Daily_Delinquency_With_Sectors[[#This Row],[Days in Arrears]] &gt; 90, Table__192.168.1.150_Daily_Delinquency_With_Sectors[[#This Row],[Outstanding Balance]],0)</f>
        <v>0</v>
      </c>
      <c r="U826" s="109">
        <f>IF(Table__192.168.1.150_Daily_Delinquency_With_Sectors[[#This Row],[Days in Arrears]] &gt;= 1,1,0)</f>
        <v>0</v>
      </c>
      <c r="V826" s="109">
        <f>IF(Table__192.168.1.150_Daily_Delinquency_With_Sectors[[#This Row],[Days in Arrears]] &gt; 30,1,0)</f>
        <v>0</v>
      </c>
      <c r="W826" s="109">
        <f>IF(Table__192.168.1.150_Daily_Delinquency_With_Sectors[[#This Row],[Days in Arrears]] &gt; 90,1,0)</f>
        <v>0</v>
      </c>
    </row>
    <row r="827" spans="1:23" x14ac:dyDescent="0.25">
      <c r="A827" t="s">
        <v>3100</v>
      </c>
      <c r="B827" t="s">
        <v>1282</v>
      </c>
      <c r="C827">
        <v>-12</v>
      </c>
      <c r="D827" s="105">
        <v>3610180.6</v>
      </c>
      <c r="E827" t="s">
        <v>2557</v>
      </c>
      <c r="F827" s="105">
        <v>92059.61</v>
      </c>
      <c r="G827" s="105">
        <v>4111844.78</v>
      </c>
      <c r="H827" s="143">
        <v>42649.751360069444</v>
      </c>
      <c r="I827" s="143">
        <v>43196</v>
      </c>
      <c r="J827" t="s">
        <v>3101</v>
      </c>
      <c r="K827" t="s">
        <v>1280</v>
      </c>
      <c r="L827" t="s">
        <v>1280</v>
      </c>
      <c r="M827">
        <v>200478</v>
      </c>
      <c r="N827" t="s">
        <v>3096</v>
      </c>
      <c r="O827" t="s">
        <v>25</v>
      </c>
      <c r="P827" t="s">
        <v>88</v>
      </c>
      <c r="Q827" t="s">
        <v>285</v>
      </c>
      <c r="R827" s="105">
        <f>IF(Table__192.168.1.150_Daily_Delinquency_With_Sectors[[#This Row],[Days in Arrears]] &gt; 0, Table__192.168.1.150_Daily_Delinquency_With_Sectors[[#This Row],[Outstanding Balance]],0)</f>
        <v>0</v>
      </c>
      <c r="S827" s="105">
        <f>IF(Table__192.168.1.150_Daily_Delinquency_With_Sectors[[#This Row],[Days in Arrears]] &gt; 30, Table__192.168.1.150_Daily_Delinquency_With_Sectors[[#This Row],[Outstanding Balance]],0)</f>
        <v>0</v>
      </c>
      <c r="T827" s="105">
        <f>IF(Table__192.168.1.150_Daily_Delinquency_With_Sectors[[#This Row],[Days in Arrears]] &gt; 90, Table__192.168.1.150_Daily_Delinquency_With_Sectors[[#This Row],[Outstanding Balance]],0)</f>
        <v>0</v>
      </c>
      <c r="U827" s="109">
        <f>IF(Table__192.168.1.150_Daily_Delinquency_With_Sectors[[#This Row],[Days in Arrears]] &gt;= 1,1,0)</f>
        <v>0</v>
      </c>
      <c r="V827" s="109">
        <f>IF(Table__192.168.1.150_Daily_Delinquency_With_Sectors[[#This Row],[Days in Arrears]] &gt; 30,1,0)</f>
        <v>0</v>
      </c>
      <c r="W827" s="109">
        <f>IF(Table__192.168.1.150_Daily_Delinquency_With_Sectors[[#This Row],[Days in Arrears]] &gt; 90,1,0)</f>
        <v>0</v>
      </c>
    </row>
    <row r="828" spans="1:23" x14ac:dyDescent="0.25">
      <c r="A828" t="s">
        <v>2417</v>
      </c>
      <c r="B828" t="s">
        <v>1283</v>
      </c>
      <c r="C828">
        <v>14</v>
      </c>
      <c r="D828" s="105">
        <v>50421285.609999999</v>
      </c>
      <c r="E828" t="s">
        <v>546</v>
      </c>
      <c r="F828" s="105">
        <v>2149075.38</v>
      </c>
      <c r="G828" s="105">
        <v>70217440.069999993</v>
      </c>
      <c r="H828" s="143">
        <v>42653.598869525464</v>
      </c>
      <c r="I828" s="143">
        <v>43748</v>
      </c>
      <c r="J828" t="s">
        <v>1378</v>
      </c>
      <c r="K828" t="s">
        <v>2418</v>
      </c>
      <c r="L828" t="s">
        <v>1379</v>
      </c>
      <c r="M828">
        <v>200481</v>
      </c>
      <c r="N828" t="s">
        <v>2416</v>
      </c>
      <c r="O828" t="s">
        <v>44</v>
      </c>
      <c r="P828" t="s">
        <v>92</v>
      </c>
      <c r="Q828" t="s">
        <v>92</v>
      </c>
      <c r="R828" s="105">
        <f>IF(Table__192.168.1.150_Daily_Delinquency_With_Sectors[[#This Row],[Days in Arrears]] &gt; 0, Table__192.168.1.150_Daily_Delinquency_With_Sectors[[#This Row],[Outstanding Balance]],0)</f>
        <v>50421285.609999999</v>
      </c>
      <c r="S828" s="105">
        <f>IF(Table__192.168.1.150_Daily_Delinquency_With_Sectors[[#This Row],[Days in Arrears]] &gt; 30, Table__192.168.1.150_Daily_Delinquency_With_Sectors[[#This Row],[Outstanding Balance]],0)</f>
        <v>0</v>
      </c>
      <c r="T828" s="105">
        <f>IF(Table__192.168.1.150_Daily_Delinquency_With_Sectors[[#This Row],[Days in Arrears]] &gt; 90, Table__192.168.1.150_Daily_Delinquency_With_Sectors[[#This Row],[Outstanding Balance]],0)</f>
        <v>0</v>
      </c>
      <c r="U828" s="109">
        <f>IF(Table__192.168.1.150_Daily_Delinquency_With_Sectors[[#This Row],[Days in Arrears]] &gt;= 1,1,0)</f>
        <v>1</v>
      </c>
      <c r="V828" s="109">
        <f>IF(Table__192.168.1.150_Daily_Delinquency_With_Sectors[[#This Row],[Days in Arrears]] &gt; 30,1,0)</f>
        <v>0</v>
      </c>
      <c r="W828" s="109">
        <f>IF(Table__192.168.1.150_Daily_Delinquency_With_Sectors[[#This Row],[Days in Arrears]] &gt; 90,1,0)</f>
        <v>0</v>
      </c>
    </row>
    <row r="829" spans="1:23" x14ac:dyDescent="0.25">
      <c r="A829" t="s">
        <v>3117</v>
      </c>
      <c r="B829" t="s">
        <v>1282</v>
      </c>
      <c r="C829">
        <v>-16</v>
      </c>
      <c r="D829" s="105">
        <v>1083054.24</v>
      </c>
      <c r="E829" t="s">
        <v>1447</v>
      </c>
      <c r="F829" s="105">
        <v>21119.56</v>
      </c>
      <c r="G829" s="105">
        <v>1233553.5</v>
      </c>
      <c r="H829" s="143">
        <v>42653.61320709491</v>
      </c>
      <c r="I829" s="143">
        <v>43200</v>
      </c>
      <c r="J829" t="s">
        <v>3118</v>
      </c>
      <c r="K829" t="s">
        <v>1280</v>
      </c>
      <c r="L829" t="s">
        <v>1280</v>
      </c>
      <c r="M829">
        <v>200482</v>
      </c>
      <c r="N829" t="s">
        <v>3113</v>
      </c>
      <c r="O829" t="s">
        <v>27</v>
      </c>
      <c r="P829" t="s">
        <v>81</v>
      </c>
      <c r="Q829" t="s">
        <v>26</v>
      </c>
      <c r="R829" s="105">
        <f>IF(Table__192.168.1.150_Daily_Delinquency_With_Sectors[[#This Row],[Days in Arrears]] &gt; 0, Table__192.168.1.150_Daily_Delinquency_With_Sectors[[#This Row],[Outstanding Balance]],0)</f>
        <v>0</v>
      </c>
      <c r="S829" s="105">
        <f>IF(Table__192.168.1.150_Daily_Delinquency_With_Sectors[[#This Row],[Days in Arrears]] &gt; 30, Table__192.168.1.150_Daily_Delinquency_With_Sectors[[#This Row],[Outstanding Balance]],0)</f>
        <v>0</v>
      </c>
      <c r="T829" s="105">
        <f>IF(Table__192.168.1.150_Daily_Delinquency_With_Sectors[[#This Row],[Days in Arrears]] &gt; 90, Table__192.168.1.150_Daily_Delinquency_With_Sectors[[#This Row],[Outstanding Balance]],0)</f>
        <v>0</v>
      </c>
      <c r="U829" s="109">
        <f>IF(Table__192.168.1.150_Daily_Delinquency_With_Sectors[[#This Row],[Days in Arrears]] &gt;= 1,1,0)</f>
        <v>0</v>
      </c>
      <c r="V829" s="109">
        <f>IF(Table__192.168.1.150_Daily_Delinquency_With_Sectors[[#This Row],[Days in Arrears]] &gt; 30,1,0)</f>
        <v>0</v>
      </c>
      <c r="W829" s="109">
        <f>IF(Table__192.168.1.150_Daily_Delinquency_With_Sectors[[#This Row],[Days in Arrears]] &gt; 90,1,0)</f>
        <v>0</v>
      </c>
    </row>
    <row r="830" spans="1:23" x14ac:dyDescent="0.25">
      <c r="A830" t="s">
        <v>1782</v>
      </c>
      <c r="B830" t="s">
        <v>1281</v>
      </c>
      <c r="C830">
        <v>-8</v>
      </c>
      <c r="D830" s="105">
        <v>15829658.77</v>
      </c>
      <c r="E830" t="s">
        <v>468</v>
      </c>
      <c r="F830" s="105">
        <v>387826.64</v>
      </c>
      <c r="G830" s="105">
        <v>23308104.09</v>
      </c>
      <c r="H830" s="143">
        <v>42656.495706400463</v>
      </c>
      <c r="I830" s="143">
        <v>43740</v>
      </c>
      <c r="J830" t="s">
        <v>1783</v>
      </c>
      <c r="K830" t="s">
        <v>1280</v>
      </c>
      <c r="L830" t="s">
        <v>1280</v>
      </c>
      <c r="M830">
        <v>200491</v>
      </c>
      <c r="N830" t="s">
        <v>1781</v>
      </c>
      <c r="O830" t="s">
        <v>25</v>
      </c>
      <c r="P830" t="s">
        <v>26</v>
      </c>
      <c r="Q830" t="s">
        <v>26</v>
      </c>
      <c r="R830" s="105">
        <f>IF(Table__192.168.1.150_Daily_Delinquency_With_Sectors[[#This Row],[Days in Arrears]] &gt; 0, Table__192.168.1.150_Daily_Delinquency_With_Sectors[[#This Row],[Outstanding Balance]],0)</f>
        <v>0</v>
      </c>
      <c r="S830" s="105">
        <f>IF(Table__192.168.1.150_Daily_Delinquency_With_Sectors[[#This Row],[Days in Arrears]] &gt; 30, Table__192.168.1.150_Daily_Delinquency_With_Sectors[[#This Row],[Outstanding Balance]],0)</f>
        <v>0</v>
      </c>
      <c r="T830" s="105">
        <f>IF(Table__192.168.1.150_Daily_Delinquency_With_Sectors[[#This Row],[Days in Arrears]] &gt; 90, Table__192.168.1.150_Daily_Delinquency_With_Sectors[[#This Row],[Outstanding Balance]],0)</f>
        <v>0</v>
      </c>
      <c r="U830" s="109">
        <f>IF(Table__192.168.1.150_Daily_Delinquency_With_Sectors[[#This Row],[Days in Arrears]] &gt;= 1,1,0)</f>
        <v>0</v>
      </c>
      <c r="V830" s="109">
        <f>IF(Table__192.168.1.150_Daily_Delinquency_With_Sectors[[#This Row],[Days in Arrears]] &gt; 30,1,0)</f>
        <v>0</v>
      </c>
      <c r="W830" s="109">
        <f>IF(Table__192.168.1.150_Daily_Delinquency_With_Sectors[[#This Row],[Days in Arrears]] &gt; 90,1,0)</f>
        <v>0</v>
      </c>
    </row>
    <row r="831" spans="1:23" x14ac:dyDescent="0.25">
      <c r="A831" t="s">
        <v>3131</v>
      </c>
      <c r="B831" t="s">
        <v>1284</v>
      </c>
      <c r="C831">
        <v>-20</v>
      </c>
      <c r="D831" s="105">
        <v>3890851.26</v>
      </c>
      <c r="E831" t="s">
        <v>491</v>
      </c>
      <c r="F831" s="105">
        <v>38908.51</v>
      </c>
      <c r="G831" s="105">
        <v>4711455.58</v>
      </c>
      <c r="H831" s="143">
        <v>42657.4193065625</v>
      </c>
      <c r="I831" s="143">
        <v>43387</v>
      </c>
      <c r="J831" t="s">
        <v>3132</v>
      </c>
      <c r="K831" t="s">
        <v>3133</v>
      </c>
      <c r="L831" t="s">
        <v>1280</v>
      </c>
      <c r="M831">
        <v>200493</v>
      </c>
      <c r="N831" t="s">
        <v>3130</v>
      </c>
      <c r="O831" t="s">
        <v>44</v>
      </c>
      <c r="P831" t="s">
        <v>75</v>
      </c>
      <c r="Q831" t="s">
        <v>26</v>
      </c>
      <c r="R831" s="105">
        <f>IF(Table__192.168.1.150_Daily_Delinquency_With_Sectors[[#This Row],[Days in Arrears]] &gt; 0, Table__192.168.1.150_Daily_Delinquency_With_Sectors[[#This Row],[Outstanding Balance]],0)</f>
        <v>0</v>
      </c>
      <c r="S831" s="105">
        <f>IF(Table__192.168.1.150_Daily_Delinquency_With_Sectors[[#This Row],[Days in Arrears]] &gt; 30, Table__192.168.1.150_Daily_Delinquency_With_Sectors[[#This Row],[Outstanding Balance]],0)</f>
        <v>0</v>
      </c>
      <c r="T831" s="105">
        <f>IF(Table__192.168.1.150_Daily_Delinquency_With_Sectors[[#This Row],[Days in Arrears]] &gt; 90, Table__192.168.1.150_Daily_Delinquency_With_Sectors[[#This Row],[Outstanding Balance]],0)</f>
        <v>0</v>
      </c>
      <c r="U831" s="109">
        <f>IF(Table__192.168.1.150_Daily_Delinquency_With_Sectors[[#This Row],[Days in Arrears]] &gt;= 1,1,0)</f>
        <v>0</v>
      </c>
      <c r="V831" s="109">
        <f>IF(Table__192.168.1.150_Daily_Delinquency_With_Sectors[[#This Row],[Days in Arrears]] &gt; 30,1,0)</f>
        <v>0</v>
      </c>
      <c r="W831" s="109">
        <f>IF(Table__192.168.1.150_Daily_Delinquency_With_Sectors[[#This Row],[Days in Arrears]] &gt; 90,1,0)</f>
        <v>0</v>
      </c>
    </row>
    <row r="832" spans="1:23" x14ac:dyDescent="0.25">
      <c r="A832" t="s">
        <v>3141</v>
      </c>
      <c r="B832" t="s">
        <v>1282</v>
      </c>
      <c r="C832">
        <v>129</v>
      </c>
      <c r="D832" s="105">
        <v>3875006.66</v>
      </c>
      <c r="E832" t="s">
        <v>2034</v>
      </c>
      <c r="F832" s="105">
        <v>339931.63</v>
      </c>
      <c r="G832" s="105">
        <v>5518962.4199999999</v>
      </c>
      <c r="H832" s="143">
        <v>42658.597886655094</v>
      </c>
      <c r="I832" s="143">
        <v>43388</v>
      </c>
      <c r="J832" t="s">
        <v>3142</v>
      </c>
      <c r="K832" t="s">
        <v>3143</v>
      </c>
      <c r="L832" t="s">
        <v>1280</v>
      </c>
      <c r="M832">
        <v>200496</v>
      </c>
      <c r="N832" t="s">
        <v>3137</v>
      </c>
      <c r="O832" t="s">
        <v>25</v>
      </c>
      <c r="P832" t="s">
        <v>295</v>
      </c>
      <c r="Q832" t="s">
        <v>26</v>
      </c>
      <c r="R832" s="105">
        <f>IF(Table__192.168.1.150_Daily_Delinquency_With_Sectors[[#This Row],[Days in Arrears]] &gt; 0, Table__192.168.1.150_Daily_Delinquency_With_Sectors[[#This Row],[Outstanding Balance]],0)</f>
        <v>3875006.66</v>
      </c>
      <c r="S832" s="105">
        <f>IF(Table__192.168.1.150_Daily_Delinquency_With_Sectors[[#This Row],[Days in Arrears]] &gt; 30, Table__192.168.1.150_Daily_Delinquency_With_Sectors[[#This Row],[Outstanding Balance]],0)</f>
        <v>3875006.66</v>
      </c>
      <c r="T832" s="105">
        <f>IF(Table__192.168.1.150_Daily_Delinquency_With_Sectors[[#This Row],[Days in Arrears]] &gt; 90, Table__192.168.1.150_Daily_Delinquency_With_Sectors[[#This Row],[Outstanding Balance]],0)</f>
        <v>3875006.66</v>
      </c>
      <c r="U832" s="109">
        <f>IF(Table__192.168.1.150_Daily_Delinquency_With_Sectors[[#This Row],[Days in Arrears]] &gt;= 1,1,0)</f>
        <v>1</v>
      </c>
      <c r="V832" s="109">
        <f>IF(Table__192.168.1.150_Daily_Delinquency_With_Sectors[[#This Row],[Days in Arrears]] &gt; 30,1,0)</f>
        <v>1</v>
      </c>
      <c r="W832" s="109">
        <f>IF(Table__192.168.1.150_Daily_Delinquency_With_Sectors[[#This Row],[Days in Arrears]] &gt; 90,1,0)</f>
        <v>1</v>
      </c>
    </row>
    <row r="833" spans="1:23" x14ac:dyDescent="0.25">
      <c r="A833" t="s">
        <v>3144</v>
      </c>
      <c r="B833" t="s">
        <v>1283</v>
      </c>
      <c r="C833">
        <v>-21</v>
      </c>
      <c r="D833" s="105">
        <v>27791794.84</v>
      </c>
      <c r="E833" t="s">
        <v>1448</v>
      </c>
      <c r="F833" s="105">
        <v>247038.18</v>
      </c>
      <c r="G833" s="105">
        <v>33653254.409999996</v>
      </c>
      <c r="H833" s="143">
        <v>42658.590081249997</v>
      </c>
      <c r="I833" s="143">
        <v>43388</v>
      </c>
      <c r="J833" t="s">
        <v>3145</v>
      </c>
      <c r="K833" t="s">
        <v>1280</v>
      </c>
      <c r="L833" t="s">
        <v>1280</v>
      </c>
      <c r="M833">
        <v>200497</v>
      </c>
      <c r="N833" t="s">
        <v>3136</v>
      </c>
      <c r="O833" t="s">
        <v>31</v>
      </c>
      <c r="P833" t="s">
        <v>1815</v>
      </c>
      <c r="Q833" t="s">
        <v>26</v>
      </c>
      <c r="R833" s="105">
        <f>IF(Table__192.168.1.150_Daily_Delinquency_With_Sectors[[#This Row],[Days in Arrears]] &gt; 0, Table__192.168.1.150_Daily_Delinquency_With_Sectors[[#This Row],[Outstanding Balance]],0)</f>
        <v>0</v>
      </c>
      <c r="S833" s="105">
        <f>IF(Table__192.168.1.150_Daily_Delinquency_With_Sectors[[#This Row],[Days in Arrears]] &gt; 30, Table__192.168.1.150_Daily_Delinquency_With_Sectors[[#This Row],[Outstanding Balance]],0)</f>
        <v>0</v>
      </c>
      <c r="T833" s="105">
        <f>IF(Table__192.168.1.150_Daily_Delinquency_With_Sectors[[#This Row],[Days in Arrears]] &gt; 90, Table__192.168.1.150_Daily_Delinquency_With_Sectors[[#This Row],[Outstanding Balance]],0)</f>
        <v>0</v>
      </c>
      <c r="U833" s="109">
        <f>IF(Table__192.168.1.150_Daily_Delinquency_With_Sectors[[#This Row],[Days in Arrears]] &gt;= 1,1,0)</f>
        <v>0</v>
      </c>
      <c r="V833" s="109">
        <f>IF(Table__192.168.1.150_Daily_Delinquency_With_Sectors[[#This Row],[Days in Arrears]] &gt; 30,1,0)</f>
        <v>0</v>
      </c>
      <c r="W833" s="109">
        <f>IF(Table__192.168.1.150_Daily_Delinquency_With_Sectors[[#This Row],[Days in Arrears]] &gt; 90,1,0)</f>
        <v>0</v>
      </c>
    </row>
    <row r="834" spans="1:23" x14ac:dyDescent="0.25">
      <c r="A834" t="s">
        <v>3151</v>
      </c>
      <c r="B834" t="s">
        <v>1282</v>
      </c>
      <c r="C834">
        <v>67</v>
      </c>
      <c r="D834" s="105">
        <v>849961.51</v>
      </c>
      <c r="E834" t="s">
        <v>5725</v>
      </c>
      <c r="F834" s="105">
        <v>23612.34</v>
      </c>
      <c r="G834" s="105">
        <v>873573.85</v>
      </c>
      <c r="H834" s="143">
        <v>42660.71446427083</v>
      </c>
      <c r="I834" s="143">
        <v>43025</v>
      </c>
      <c r="J834" t="s">
        <v>3152</v>
      </c>
      <c r="K834" t="s">
        <v>1280</v>
      </c>
      <c r="L834" t="s">
        <v>1280</v>
      </c>
      <c r="M834">
        <v>200500</v>
      </c>
      <c r="N834" t="s">
        <v>3146</v>
      </c>
      <c r="O834" t="s">
        <v>25</v>
      </c>
      <c r="P834" t="s">
        <v>26</v>
      </c>
      <c r="Q834" t="s">
        <v>26</v>
      </c>
      <c r="R834" s="105">
        <f>IF(Table__192.168.1.150_Daily_Delinquency_With_Sectors[[#This Row],[Days in Arrears]] &gt; 0, Table__192.168.1.150_Daily_Delinquency_With_Sectors[[#This Row],[Outstanding Balance]],0)</f>
        <v>849961.51</v>
      </c>
      <c r="S834" s="105">
        <f>IF(Table__192.168.1.150_Daily_Delinquency_With_Sectors[[#This Row],[Days in Arrears]] &gt; 30, Table__192.168.1.150_Daily_Delinquency_With_Sectors[[#This Row],[Outstanding Balance]],0)</f>
        <v>849961.51</v>
      </c>
      <c r="T834" s="105">
        <f>IF(Table__192.168.1.150_Daily_Delinquency_With_Sectors[[#This Row],[Days in Arrears]] &gt; 90, Table__192.168.1.150_Daily_Delinquency_With_Sectors[[#This Row],[Outstanding Balance]],0)</f>
        <v>0</v>
      </c>
      <c r="U834" s="109">
        <f>IF(Table__192.168.1.150_Daily_Delinquency_With_Sectors[[#This Row],[Days in Arrears]] &gt;= 1,1,0)</f>
        <v>1</v>
      </c>
      <c r="V834" s="109">
        <f>IF(Table__192.168.1.150_Daily_Delinquency_With_Sectors[[#This Row],[Days in Arrears]] &gt; 30,1,0)</f>
        <v>1</v>
      </c>
      <c r="W834" s="109">
        <f>IF(Table__192.168.1.150_Daily_Delinquency_With_Sectors[[#This Row],[Days in Arrears]] &gt; 90,1,0)</f>
        <v>0</v>
      </c>
    </row>
    <row r="835" spans="1:23" x14ac:dyDescent="0.25">
      <c r="A835" t="s">
        <v>3154</v>
      </c>
      <c r="B835" t="s">
        <v>1284</v>
      </c>
      <c r="C835">
        <v>-24</v>
      </c>
      <c r="D835" s="105">
        <v>21121764.120000001</v>
      </c>
      <c r="E835" t="s">
        <v>1447</v>
      </c>
      <c r="F835" s="105">
        <v>117343.13</v>
      </c>
      <c r="G835" s="105">
        <v>25576473.440000001</v>
      </c>
      <c r="H835" s="143">
        <v>42661.501257835647</v>
      </c>
      <c r="I835" s="143">
        <v>43391</v>
      </c>
      <c r="J835" t="s">
        <v>3155</v>
      </c>
      <c r="K835" t="s">
        <v>3156</v>
      </c>
      <c r="L835" t="s">
        <v>1280</v>
      </c>
      <c r="M835">
        <v>200501</v>
      </c>
      <c r="N835" t="s">
        <v>3153</v>
      </c>
      <c r="O835" t="s">
        <v>29</v>
      </c>
      <c r="P835" t="s">
        <v>96</v>
      </c>
      <c r="Q835" t="s">
        <v>96</v>
      </c>
      <c r="R835" s="105">
        <f>IF(Table__192.168.1.150_Daily_Delinquency_With_Sectors[[#This Row],[Days in Arrears]] &gt; 0, Table__192.168.1.150_Daily_Delinquency_With_Sectors[[#This Row],[Outstanding Balance]],0)</f>
        <v>0</v>
      </c>
      <c r="S835" s="105">
        <f>IF(Table__192.168.1.150_Daily_Delinquency_With_Sectors[[#This Row],[Days in Arrears]] &gt; 30, Table__192.168.1.150_Daily_Delinquency_With_Sectors[[#This Row],[Outstanding Balance]],0)</f>
        <v>0</v>
      </c>
      <c r="T835" s="105">
        <f>IF(Table__192.168.1.150_Daily_Delinquency_With_Sectors[[#This Row],[Days in Arrears]] &gt; 90, Table__192.168.1.150_Daily_Delinquency_With_Sectors[[#This Row],[Outstanding Balance]],0)</f>
        <v>0</v>
      </c>
      <c r="U835" s="109">
        <f>IF(Table__192.168.1.150_Daily_Delinquency_With_Sectors[[#This Row],[Days in Arrears]] &gt;= 1,1,0)</f>
        <v>0</v>
      </c>
      <c r="V835" s="109">
        <f>IF(Table__192.168.1.150_Daily_Delinquency_With_Sectors[[#This Row],[Days in Arrears]] &gt; 30,1,0)</f>
        <v>0</v>
      </c>
      <c r="W835" s="109">
        <f>IF(Table__192.168.1.150_Daily_Delinquency_With_Sectors[[#This Row],[Days in Arrears]] &gt; 90,1,0)</f>
        <v>0</v>
      </c>
    </row>
    <row r="836" spans="1:23" x14ac:dyDescent="0.25">
      <c r="A836" t="s">
        <v>2954</v>
      </c>
      <c r="B836" t="s">
        <v>1284</v>
      </c>
      <c r="C836">
        <v>5</v>
      </c>
      <c r="D836" s="105">
        <v>40886099.460000001</v>
      </c>
      <c r="E836" t="s">
        <v>491</v>
      </c>
      <c r="F836" s="105">
        <v>1539524.39</v>
      </c>
      <c r="G836" s="105">
        <v>60041468.060000002</v>
      </c>
      <c r="H836" s="143">
        <v>42662.698448263887</v>
      </c>
      <c r="I836" s="143">
        <v>43757</v>
      </c>
      <c r="J836" t="s">
        <v>2955</v>
      </c>
      <c r="K836" t="s">
        <v>2956</v>
      </c>
      <c r="L836" t="s">
        <v>1280</v>
      </c>
      <c r="M836">
        <v>200502</v>
      </c>
      <c r="N836" t="s">
        <v>2953</v>
      </c>
      <c r="O836" t="s">
        <v>44</v>
      </c>
      <c r="P836" t="s">
        <v>75</v>
      </c>
      <c r="Q836" t="s">
        <v>26</v>
      </c>
      <c r="R836" s="105">
        <f>IF(Table__192.168.1.150_Daily_Delinquency_With_Sectors[[#This Row],[Days in Arrears]] &gt; 0, Table__192.168.1.150_Daily_Delinquency_With_Sectors[[#This Row],[Outstanding Balance]],0)</f>
        <v>40886099.460000001</v>
      </c>
      <c r="S836" s="105">
        <f>IF(Table__192.168.1.150_Daily_Delinquency_With_Sectors[[#This Row],[Days in Arrears]] &gt; 30, Table__192.168.1.150_Daily_Delinquency_With_Sectors[[#This Row],[Outstanding Balance]],0)</f>
        <v>0</v>
      </c>
      <c r="T836" s="105">
        <f>IF(Table__192.168.1.150_Daily_Delinquency_With_Sectors[[#This Row],[Days in Arrears]] &gt; 90, Table__192.168.1.150_Daily_Delinquency_With_Sectors[[#This Row],[Outstanding Balance]],0)</f>
        <v>0</v>
      </c>
      <c r="U836" s="109">
        <f>IF(Table__192.168.1.150_Daily_Delinquency_With_Sectors[[#This Row],[Days in Arrears]] &gt;= 1,1,0)</f>
        <v>1</v>
      </c>
      <c r="V836" s="109">
        <f>IF(Table__192.168.1.150_Daily_Delinquency_With_Sectors[[#This Row],[Days in Arrears]] &gt; 30,1,0)</f>
        <v>0</v>
      </c>
      <c r="W836" s="109">
        <f>IF(Table__192.168.1.150_Daily_Delinquency_With_Sectors[[#This Row],[Days in Arrears]] &gt; 90,1,0)</f>
        <v>0</v>
      </c>
    </row>
    <row r="837" spans="1:23" x14ac:dyDescent="0.25">
      <c r="A837" t="s">
        <v>3165</v>
      </c>
      <c r="B837" t="s">
        <v>1283</v>
      </c>
      <c r="C837">
        <v>-26</v>
      </c>
      <c r="D837" s="105">
        <v>34396651.450000003</v>
      </c>
      <c r="E837" t="s">
        <v>1448</v>
      </c>
      <c r="F837" s="105">
        <v>114655.5</v>
      </c>
      <c r="G837" s="105">
        <v>49794006.090000004</v>
      </c>
      <c r="H837" s="143">
        <v>42663.50077885417</v>
      </c>
      <c r="I837" s="143">
        <v>43758</v>
      </c>
      <c r="J837" t="s">
        <v>3166</v>
      </c>
      <c r="K837" t="s">
        <v>1280</v>
      </c>
      <c r="L837" t="s">
        <v>3167</v>
      </c>
      <c r="M837">
        <v>200503</v>
      </c>
      <c r="N837" t="s">
        <v>3161</v>
      </c>
      <c r="O837" t="s">
        <v>44</v>
      </c>
      <c r="P837" t="s">
        <v>75</v>
      </c>
      <c r="Q837" t="s">
        <v>26</v>
      </c>
      <c r="R837" s="105">
        <f>IF(Table__192.168.1.150_Daily_Delinquency_With_Sectors[[#This Row],[Days in Arrears]] &gt; 0, Table__192.168.1.150_Daily_Delinquency_With_Sectors[[#This Row],[Outstanding Balance]],0)</f>
        <v>0</v>
      </c>
      <c r="S837" s="105">
        <f>IF(Table__192.168.1.150_Daily_Delinquency_With_Sectors[[#This Row],[Days in Arrears]] &gt; 30, Table__192.168.1.150_Daily_Delinquency_With_Sectors[[#This Row],[Outstanding Balance]],0)</f>
        <v>0</v>
      </c>
      <c r="T837" s="105">
        <f>IF(Table__192.168.1.150_Daily_Delinquency_With_Sectors[[#This Row],[Days in Arrears]] &gt; 90, Table__192.168.1.150_Daily_Delinquency_With_Sectors[[#This Row],[Outstanding Balance]],0)</f>
        <v>0</v>
      </c>
      <c r="U837" s="109">
        <f>IF(Table__192.168.1.150_Daily_Delinquency_With_Sectors[[#This Row],[Days in Arrears]] &gt;= 1,1,0)</f>
        <v>0</v>
      </c>
      <c r="V837" s="109">
        <f>IF(Table__192.168.1.150_Daily_Delinquency_With_Sectors[[#This Row],[Days in Arrears]] &gt; 30,1,0)</f>
        <v>0</v>
      </c>
      <c r="W837" s="109">
        <f>IF(Table__192.168.1.150_Daily_Delinquency_With_Sectors[[#This Row],[Days in Arrears]] &gt; 90,1,0)</f>
        <v>0</v>
      </c>
    </row>
    <row r="838" spans="1:23" x14ac:dyDescent="0.25">
      <c r="A838" t="s">
        <v>3170</v>
      </c>
      <c r="B838" t="s">
        <v>1279</v>
      </c>
      <c r="C838">
        <v>63</v>
      </c>
      <c r="D838" s="105">
        <v>450795.7</v>
      </c>
      <c r="E838" t="s">
        <v>2861</v>
      </c>
      <c r="F838" s="105">
        <v>11806.17</v>
      </c>
      <c r="G838" s="105">
        <v>462601.87</v>
      </c>
      <c r="H838" s="143">
        <v>42664.51456369213</v>
      </c>
      <c r="I838" s="143">
        <v>43029</v>
      </c>
      <c r="J838" t="s">
        <v>3171</v>
      </c>
      <c r="K838" t="s">
        <v>1280</v>
      </c>
      <c r="L838" t="s">
        <v>3172</v>
      </c>
      <c r="M838">
        <v>200506</v>
      </c>
      <c r="N838" t="s">
        <v>3168</v>
      </c>
      <c r="O838" t="s">
        <v>25</v>
      </c>
      <c r="P838" t="s">
        <v>88</v>
      </c>
      <c r="Q838" t="s">
        <v>285</v>
      </c>
      <c r="R838" s="105">
        <f>IF(Table__192.168.1.150_Daily_Delinquency_With_Sectors[[#This Row],[Days in Arrears]] &gt; 0, Table__192.168.1.150_Daily_Delinquency_With_Sectors[[#This Row],[Outstanding Balance]],0)</f>
        <v>450795.7</v>
      </c>
      <c r="S838" s="105">
        <f>IF(Table__192.168.1.150_Daily_Delinquency_With_Sectors[[#This Row],[Days in Arrears]] &gt; 30, Table__192.168.1.150_Daily_Delinquency_With_Sectors[[#This Row],[Outstanding Balance]],0)</f>
        <v>450795.7</v>
      </c>
      <c r="T838" s="105">
        <f>IF(Table__192.168.1.150_Daily_Delinquency_With_Sectors[[#This Row],[Days in Arrears]] &gt; 90, Table__192.168.1.150_Daily_Delinquency_With_Sectors[[#This Row],[Outstanding Balance]],0)</f>
        <v>0</v>
      </c>
      <c r="U838" s="109">
        <f>IF(Table__192.168.1.150_Daily_Delinquency_With_Sectors[[#This Row],[Days in Arrears]] &gt;= 1,1,0)</f>
        <v>1</v>
      </c>
      <c r="V838" s="109">
        <f>IF(Table__192.168.1.150_Daily_Delinquency_With_Sectors[[#This Row],[Days in Arrears]] &gt; 30,1,0)</f>
        <v>1</v>
      </c>
      <c r="W838" s="109">
        <f>IF(Table__192.168.1.150_Daily_Delinquency_With_Sectors[[#This Row],[Days in Arrears]] &gt; 90,1,0)</f>
        <v>0</v>
      </c>
    </row>
    <row r="839" spans="1:23" x14ac:dyDescent="0.25">
      <c r="A839" t="s">
        <v>1729</v>
      </c>
      <c r="B839" t="s">
        <v>1284</v>
      </c>
      <c r="C839">
        <v>29</v>
      </c>
      <c r="D839" s="105">
        <v>51893568.420000002</v>
      </c>
      <c r="E839" t="s">
        <v>5725</v>
      </c>
      <c r="F839" s="105">
        <v>2574883.85</v>
      </c>
      <c r="G839" s="105">
        <v>73852909.420000002</v>
      </c>
      <c r="H839" s="143">
        <v>42667.573399224537</v>
      </c>
      <c r="I839" s="143">
        <v>43763</v>
      </c>
      <c r="J839" t="s">
        <v>1730</v>
      </c>
      <c r="K839" t="s">
        <v>1280</v>
      </c>
      <c r="L839" t="s">
        <v>1280</v>
      </c>
      <c r="M839">
        <v>200512</v>
      </c>
      <c r="N839" t="s">
        <v>1728</v>
      </c>
      <c r="O839" t="s">
        <v>44</v>
      </c>
      <c r="P839" t="s">
        <v>92</v>
      </c>
      <c r="Q839" t="s">
        <v>92</v>
      </c>
      <c r="R839" s="105">
        <f>IF(Table__192.168.1.150_Daily_Delinquency_With_Sectors[[#This Row],[Days in Arrears]] &gt; 0, Table__192.168.1.150_Daily_Delinquency_With_Sectors[[#This Row],[Outstanding Balance]],0)</f>
        <v>51893568.420000002</v>
      </c>
      <c r="S839" s="105">
        <f>IF(Table__192.168.1.150_Daily_Delinquency_With_Sectors[[#This Row],[Days in Arrears]] &gt; 30, Table__192.168.1.150_Daily_Delinquency_With_Sectors[[#This Row],[Outstanding Balance]],0)</f>
        <v>0</v>
      </c>
      <c r="T839" s="105">
        <f>IF(Table__192.168.1.150_Daily_Delinquency_With_Sectors[[#This Row],[Days in Arrears]] &gt; 90, Table__192.168.1.150_Daily_Delinquency_With_Sectors[[#This Row],[Outstanding Balance]],0)</f>
        <v>0</v>
      </c>
      <c r="U839" s="109">
        <f>IF(Table__192.168.1.150_Daily_Delinquency_With_Sectors[[#This Row],[Days in Arrears]] &gt;= 1,1,0)</f>
        <v>1</v>
      </c>
      <c r="V839" s="109">
        <f>IF(Table__192.168.1.150_Daily_Delinquency_With_Sectors[[#This Row],[Days in Arrears]] &gt; 30,1,0)</f>
        <v>0</v>
      </c>
      <c r="W839" s="109">
        <f>IF(Table__192.168.1.150_Daily_Delinquency_With_Sectors[[#This Row],[Days in Arrears]] &gt; 90,1,0)</f>
        <v>0</v>
      </c>
    </row>
    <row r="840" spans="1:23" x14ac:dyDescent="0.25">
      <c r="A840" t="s">
        <v>3176</v>
      </c>
      <c r="B840" t="s">
        <v>1279</v>
      </c>
      <c r="C840">
        <v>120</v>
      </c>
      <c r="D840" s="105">
        <v>393430.25</v>
      </c>
      <c r="E840" t="s">
        <v>3074</v>
      </c>
      <c r="F840" s="105">
        <v>30818.240000000002</v>
      </c>
      <c r="G840" s="105">
        <v>438664.73</v>
      </c>
      <c r="H840" s="143">
        <v>42667.644321180553</v>
      </c>
      <c r="I840" s="143">
        <v>43032</v>
      </c>
      <c r="J840" t="s">
        <v>3177</v>
      </c>
      <c r="K840" t="s">
        <v>1280</v>
      </c>
      <c r="L840" t="s">
        <v>3178</v>
      </c>
      <c r="M840">
        <v>200513</v>
      </c>
      <c r="N840" t="s">
        <v>3175</v>
      </c>
      <c r="O840" t="s">
        <v>25</v>
      </c>
      <c r="P840" t="s">
        <v>290</v>
      </c>
      <c r="Q840" t="s">
        <v>1825</v>
      </c>
      <c r="R840" s="105">
        <f>IF(Table__192.168.1.150_Daily_Delinquency_With_Sectors[[#This Row],[Days in Arrears]] &gt; 0, Table__192.168.1.150_Daily_Delinquency_With_Sectors[[#This Row],[Outstanding Balance]],0)</f>
        <v>393430.25</v>
      </c>
      <c r="S840" s="105">
        <f>IF(Table__192.168.1.150_Daily_Delinquency_With_Sectors[[#This Row],[Days in Arrears]] &gt; 30, Table__192.168.1.150_Daily_Delinquency_With_Sectors[[#This Row],[Outstanding Balance]],0)</f>
        <v>393430.25</v>
      </c>
      <c r="T840" s="105">
        <f>IF(Table__192.168.1.150_Daily_Delinquency_With_Sectors[[#This Row],[Days in Arrears]] &gt; 90, Table__192.168.1.150_Daily_Delinquency_With_Sectors[[#This Row],[Outstanding Balance]],0)</f>
        <v>393430.25</v>
      </c>
      <c r="U840" s="109">
        <f>IF(Table__192.168.1.150_Daily_Delinquency_With_Sectors[[#This Row],[Days in Arrears]] &gt;= 1,1,0)</f>
        <v>1</v>
      </c>
      <c r="V840" s="109">
        <f>IF(Table__192.168.1.150_Daily_Delinquency_With_Sectors[[#This Row],[Days in Arrears]] &gt; 30,1,0)</f>
        <v>1</v>
      </c>
      <c r="W840" s="109">
        <f>IF(Table__192.168.1.150_Daily_Delinquency_With_Sectors[[#This Row],[Days in Arrears]] &gt; 90,1,0)</f>
        <v>1</v>
      </c>
    </row>
    <row r="841" spans="1:23" x14ac:dyDescent="0.25">
      <c r="A841" t="s">
        <v>3190</v>
      </c>
      <c r="B841" t="s">
        <v>1284</v>
      </c>
      <c r="C841">
        <v>83</v>
      </c>
      <c r="D841" s="105">
        <v>10754776.17</v>
      </c>
      <c r="E841" t="s">
        <v>1039</v>
      </c>
      <c r="F841" s="105">
        <v>402342.74</v>
      </c>
      <c r="G841" s="105">
        <v>13535418.6</v>
      </c>
      <c r="H841" s="143">
        <v>42669.510123495369</v>
      </c>
      <c r="I841" s="143">
        <v>43405</v>
      </c>
      <c r="J841" t="s">
        <v>3191</v>
      </c>
      <c r="K841" t="s">
        <v>1280</v>
      </c>
      <c r="L841" t="s">
        <v>3192</v>
      </c>
      <c r="M841">
        <v>200521</v>
      </c>
      <c r="N841" t="s">
        <v>3187</v>
      </c>
      <c r="O841" t="s">
        <v>44</v>
      </c>
      <c r="P841" t="s">
        <v>75</v>
      </c>
      <c r="Q841" t="s">
        <v>26</v>
      </c>
      <c r="R841" s="105">
        <f>IF(Table__192.168.1.150_Daily_Delinquency_With_Sectors[[#This Row],[Days in Arrears]] &gt; 0, Table__192.168.1.150_Daily_Delinquency_With_Sectors[[#This Row],[Outstanding Balance]],0)</f>
        <v>10754776.17</v>
      </c>
      <c r="S841" s="105">
        <f>IF(Table__192.168.1.150_Daily_Delinquency_With_Sectors[[#This Row],[Days in Arrears]] &gt; 30, Table__192.168.1.150_Daily_Delinquency_With_Sectors[[#This Row],[Outstanding Balance]],0)</f>
        <v>10754776.17</v>
      </c>
      <c r="T841" s="105">
        <f>IF(Table__192.168.1.150_Daily_Delinquency_With_Sectors[[#This Row],[Days in Arrears]] &gt; 90, Table__192.168.1.150_Daily_Delinquency_With_Sectors[[#This Row],[Outstanding Balance]],0)</f>
        <v>0</v>
      </c>
      <c r="U841" s="109">
        <f>IF(Table__192.168.1.150_Daily_Delinquency_With_Sectors[[#This Row],[Days in Arrears]] &gt;= 1,1,0)</f>
        <v>1</v>
      </c>
      <c r="V841" s="109">
        <f>IF(Table__192.168.1.150_Daily_Delinquency_With_Sectors[[#This Row],[Days in Arrears]] &gt; 30,1,0)</f>
        <v>1</v>
      </c>
      <c r="W841" s="109">
        <f>IF(Table__192.168.1.150_Daily_Delinquency_With_Sectors[[#This Row],[Days in Arrears]] &gt; 90,1,0)</f>
        <v>0</v>
      </c>
    </row>
    <row r="842" spans="1:23" x14ac:dyDescent="0.25">
      <c r="A842" t="s">
        <v>3199</v>
      </c>
      <c r="B842" t="s">
        <v>1866</v>
      </c>
      <c r="C842">
        <v>23</v>
      </c>
      <c r="D842" s="105">
        <v>3361180.19</v>
      </c>
      <c r="E842" t="s">
        <v>4684</v>
      </c>
      <c r="F842" s="105">
        <v>130256.5</v>
      </c>
      <c r="G842" s="105">
        <v>3844655.68</v>
      </c>
      <c r="H842" s="143">
        <v>42670.688696377314</v>
      </c>
      <c r="I842" s="143">
        <v>43221</v>
      </c>
      <c r="J842" t="s">
        <v>3200</v>
      </c>
      <c r="K842" t="s">
        <v>1280</v>
      </c>
      <c r="L842" t="s">
        <v>3201</v>
      </c>
      <c r="M842">
        <v>200527</v>
      </c>
      <c r="N842" t="s">
        <v>3195</v>
      </c>
      <c r="O842" t="s">
        <v>25</v>
      </c>
      <c r="P842" t="s">
        <v>32</v>
      </c>
      <c r="Q842" t="s">
        <v>517</v>
      </c>
      <c r="R842" s="105">
        <f>IF(Table__192.168.1.150_Daily_Delinquency_With_Sectors[[#This Row],[Days in Arrears]] &gt; 0, Table__192.168.1.150_Daily_Delinquency_With_Sectors[[#This Row],[Outstanding Balance]],0)</f>
        <v>3361180.19</v>
      </c>
      <c r="S842" s="105">
        <f>IF(Table__192.168.1.150_Daily_Delinquency_With_Sectors[[#This Row],[Days in Arrears]] &gt; 30, Table__192.168.1.150_Daily_Delinquency_With_Sectors[[#This Row],[Outstanding Balance]],0)</f>
        <v>0</v>
      </c>
      <c r="T842" s="105">
        <f>IF(Table__192.168.1.150_Daily_Delinquency_With_Sectors[[#This Row],[Days in Arrears]] &gt; 90, Table__192.168.1.150_Daily_Delinquency_With_Sectors[[#This Row],[Outstanding Balance]],0)</f>
        <v>0</v>
      </c>
      <c r="U842" s="109">
        <f>IF(Table__192.168.1.150_Daily_Delinquency_With_Sectors[[#This Row],[Days in Arrears]] &gt;= 1,1,0)</f>
        <v>1</v>
      </c>
      <c r="V842" s="109">
        <f>IF(Table__192.168.1.150_Daily_Delinquency_With_Sectors[[#This Row],[Days in Arrears]] &gt; 30,1,0)</f>
        <v>0</v>
      </c>
      <c r="W842" s="109">
        <f>IF(Table__192.168.1.150_Daily_Delinquency_With_Sectors[[#This Row],[Days in Arrears]] &gt; 90,1,0)</f>
        <v>0</v>
      </c>
    </row>
    <row r="843" spans="1:23" x14ac:dyDescent="0.25">
      <c r="A843" t="s">
        <v>3215</v>
      </c>
      <c r="B843" t="s">
        <v>1279</v>
      </c>
      <c r="C843">
        <v>23</v>
      </c>
      <c r="D843" s="105">
        <v>147614.32</v>
      </c>
      <c r="E843" t="s">
        <v>963</v>
      </c>
      <c r="F843" s="105">
        <v>0</v>
      </c>
      <c r="G843" s="105">
        <v>147614.32</v>
      </c>
      <c r="H843" s="143">
        <v>42671.680053935183</v>
      </c>
      <c r="I843" s="143">
        <v>43040</v>
      </c>
      <c r="J843" t="s">
        <v>3216</v>
      </c>
      <c r="K843" t="s">
        <v>1280</v>
      </c>
      <c r="L843" t="s">
        <v>1280</v>
      </c>
      <c r="M843">
        <v>200532</v>
      </c>
      <c r="N843" t="s">
        <v>3205</v>
      </c>
      <c r="O843" t="s">
        <v>44</v>
      </c>
      <c r="P843" t="s">
        <v>75</v>
      </c>
      <c r="Q843" t="s">
        <v>26</v>
      </c>
      <c r="R843" s="105">
        <f>IF(Table__192.168.1.150_Daily_Delinquency_With_Sectors[[#This Row],[Days in Arrears]] &gt; 0, Table__192.168.1.150_Daily_Delinquency_With_Sectors[[#This Row],[Outstanding Balance]],0)</f>
        <v>147614.32</v>
      </c>
      <c r="S843" s="105">
        <f>IF(Table__192.168.1.150_Daily_Delinquency_With_Sectors[[#This Row],[Days in Arrears]] &gt; 30, Table__192.168.1.150_Daily_Delinquency_With_Sectors[[#This Row],[Outstanding Balance]],0)</f>
        <v>0</v>
      </c>
      <c r="T843" s="105">
        <f>IF(Table__192.168.1.150_Daily_Delinquency_With_Sectors[[#This Row],[Days in Arrears]] &gt; 90, Table__192.168.1.150_Daily_Delinquency_With_Sectors[[#This Row],[Outstanding Balance]],0)</f>
        <v>0</v>
      </c>
      <c r="U843" s="109">
        <f>IF(Table__192.168.1.150_Daily_Delinquency_With_Sectors[[#This Row],[Days in Arrears]] &gt;= 1,1,0)</f>
        <v>1</v>
      </c>
      <c r="V843" s="109">
        <f>IF(Table__192.168.1.150_Daily_Delinquency_With_Sectors[[#This Row],[Days in Arrears]] &gt; 30,1,0)</f>
        <v>0</v>
      </c>
      <c r="W843" s="109">
        <f>IF(Table__192.168.1.150_Daily_Delinquency_With_Sectors[[#This Row],[Days in Arrears]] &gt; 90,1,0)</f>
        <v>0</v>
      </c>
    </row>
    <row r="844" spans="1:23" x14ac:dyDescent="0.25">
      <c r="A844" t="s">
        <v>3237</v>
      </c>
      <c r="B844" t="s">
        <v>1282</v>
      </c>
      <c r="C844">
        <v>23</v>
      </c>
      <c r="D844" s="105">
        <v>138423.26</v>
      </c>
      <c r="E844" t="s">
        <v>1447</v>
      </c>
      <c r="F844" s="105">
        <v>0</v>
      </c>
      <c r="G844" s="105">
        <v>138423.26</v>
      </c>
      <c r="H844" s="143">
        <v>42674.474566400466</v>
      </c>
      <c r="I844" s="143">
        <v>43040</v>
      </c>
      <c r="J844" t="s">
        <v>3238</v>
      </c>
      <c r="K844" t="s">
        <v>1280</v>
      </c>
      <c r="L844" t="s">
        <v>3239</v>
      </c>
      <c r="M844">
        <v>200535</v>
      </c>
      <c r="N844" t="s">
        <v>3224</v>
      </c>
      <c r="O844" t="s">
        <v>25</v>
      </c>
      <c r="P844" t="s">
        <v>26</v>
      </c>
      <c r="Q844" t="s">
        <v>26</v>
      </c>
      <c r="R844" s="105">
        <f>IF(Table__192.168.1.150_Daily_Delinquency_With_Sectors[[#This Row],[Days in Arrears]] &gt; 0, Table__192.168.1.150_Daily_Delinquency_With_Sectors[[#This Row],[Outstanding Balance]],0)</f>
        <v>138423.26</v>
      </c>
      <c r="S844" s="105">
        <f>IF(Table__192.168.1.150_Daily_Delinquency_With_Sectors[[#This Row],[Days in Arrears]] &gt; 30, Table__192.168.1.150_Daily_Delinquency_With_Sectors[[#This Row],[Outstanding Balance]],0)</f>
        <v>0</v>
      </c>
      <c r="T844" s="105">
        <f>IF(Table__192.168.1.150_Daily_Delinquency_With_Sectors[[#This Row],[Days in Arrears]] &gt; 90, Table__192.168.1.150_Daily_Delinquency_With_Sectors[[#This Row],[Outstanding Balance]],0)</f>
        <v>0</v>
      </c>
      <c r="U844" s="109">
        <f>IF(Table__192.168.1.150_Daily_Delinquency_With_Sectors[[#This Row],[Days in Arrears]] &gt;= 1,1,0)</f>
        <v>1</v>
      </c>
      <c r="V844" s="109">
        <f>IF(Table__192.168.1.150_Daily_Delinquency_With_Sectors[[#This Row],[Days in Arrears]] &gt; 30,1,0)</f>
        <v>0</v>
      </c>
      <c r="W844" s="109">
        <f>IF(Table__192.168.1.150_Daily_Delinquency_With_Sectors[[#This Row],[Days in Arrears]] &gt; 90,1,0)</f>
        <v>0</v>
      </c>
    </row>
    <row r="845" spans="1:23" x14ac:dyDescent="0.25">
      <c r="A845" t="s">
        <v>3247</v>
      </c>
      <c r="B845" t="s">
        <v>1284</v>
      </c>
      <c r="C845">
        <v>83</v>
      </c>
      <c r="D845" s="105">
        <v>10708766.49</v>
      </c>
      <c r="E845" t="s">
        <v>1467</v>
      </c>
      <c r="F845" s="105">
        <v>699659.36</v>
      </c>
      <c r="G845" s="105">
        <v>13776551.07</v>
      </c>
      <c r="H845" s="143">
        <v>42674.88020378472</v>
      </c>
      <c r="I845" s="143">
        <v>43405</v>
      </c>
      <c r="J845" t="s">
        <v>4108</v>
      </c>
      <c r="K845" t="s">
        <v>1280</v>
      </c>
      <c r="L845" t="s">
        <v>1280</v>
      </c>
      <c r="M845">
        <v>200541</v>
      </c>
      <c r="N845" t="s">
        <v>3232</v>
      </c>
      <c r="O845" t="s">
        <v>44</v>
      </c>
      <c r="P845" t="s">
        <v>75</v>
      </c>
      <c r="Q845" t="s">
        <v>26</v>
      </c>
      <c r="R845" s="105">
        <f>IF(Table__192.168.1.150_Daily_Delinquency_With_Sectors[[#This Row],[Days in Arrears]] &gt; 0, Table__192.168.1.150_Daily_Delinquency_With_Sectors[[#This Row],[Outstanding Balance]],0)</f>
        <v>10708766.49</v>
      </c>
      <c r="S845" s="105">
        <f>IF(Table__192.168.1.150_Daily_Delinquency_With_Sectors[[#This Row],[Days in Arrears]] &gt; 30, Table__192.168.1.150_Daily_Delinquency_With_Sectors[[#This Row],[Outstanding Balance]],0)</f>
        <v>10708766.49</v>
      </c>
      <c r="T845" s="105">
        <f>IF(Table__192.168.1.150_Daily_Delinquency_With_Sectors[[#This Row],[Days in Arrears]] &gt; 90, Table__192.168.1.150_Daily_Delinquency_With_Sectors[[#This Row],[Outstanding Balance]],0)</f>
        <v>0</v>
      </c>
      <c r="U845" s="109">
        <f>IF(Table__192.168.1.150_Daily_Delinquency_With_Sectors[[#This Row],[Days in Arrears]] &gt;= 1,1,0)</f>
        <v>1</v>
      </c>
      <c r="V845" s="109">
        <f>IF(Table__192.168.1.150_Daily_Delinquency_With_Sectors[[#This Row],[Days in Arrears]] &gt; 30,1,0)</f>
        <v>1</v>
      </c>
      <c r="W845" s="109">
        <f>IF(Table__192.168.1.150_Daily_Delinquency_With_Sectors[[#This Row],[Days in Arrears]] &gt; 90,1,0)</f>
        <v>0</v>
      </c>
    </row>
    <row r="846" spans="1:23" x14ac:dyDescent="0.25">
      <c r="A846" t="s">
        <v>3251</v>
      </c>
      <c r="B846" t="s">
        <v>1282</v>
      </c>
      <c r="C846">
        <v>53</v>
      </c>
      <c r="D846" s="105">
        <v>635562.06999999995</v>
      </c>
      <c r="E846" t="s">
        <v>90</v>
      </c>
      <c r="F846" s="105">
        <v>22858.02</v>
      </c>
      <c r="G846" s="105">
        <v>659208.30000000005</v>
      </c>
      <c r="H846" s="143">
        <v>42674.934417789351</v>
      </c>
      <c r="I846" s="143">
        <v>43040</v>
      </c>
      <c r="J846" t="s">
        <v>3252</v>
      </c>
      <c r="K846" t="s">
        <v>1280</v>
      </c>
      <c r="L846" t="s">
        <v>3253</v>
      </c>
      <c r="M846">
        <v>200545</v>
      </c>
      <c r="N846" t="s">
        <v>3229</v>
      </c>
      <c r="O846" t="s">
        <v>44</v>
      </c>
      <c r="P846" t="s">
        <v>75</v>
      </c>
      <c r="Q846" t="s">
        <v>26</v>
      </c>
      <c r="R846" s="105">
        <f>IF(Table__192.168.1.150_Daily_Delinquency_With_Sectors[[#This Row],[Days in Arrears]] &gt; 0, Table__192.168.1.150_Daily_Delinquency_With_Sectors[[#This Row],[Outstanding Balance]],0)</f>
        <v>635562.06999999995</v>
      </c>
      <c r="S846" s="105">
        <f>IF(Table__192.168.1.150_Daily_Delinquency_With_Sectors[[#This Row],[Days in Arrears]] &gt; 30, Table__192.168.1.150_Daily_Delinquency_With_Sectors[[#This Row],[Outstanding Balance]],0)</f>
        <v>635562.06999999995</v>
      </c>
      <c r="T846" s="105">
        <f>IF(Table__192.168.1.150_Daily_Delinquency_With_Sectors[[#This Row],[Days in Arrears]] &gt; 90, Table__192.168.1.150_Daily_Delinquency_With_Sectors[[#This Row],[Outstanding Balance]],0)</f>
        <v>0</v>
      </c>
      <c r="U846" s="109">
        <f>IF(Table__192.168.1.150_Daily_Delinquency_With_Sectors[[#This Row],[Days in Arrears]] &gt;= 1,1,0)</f>
        <v>1</v>
      </c>
      <c r="V846" s="109">
        <f>IF(Table__192.168.1.150_Daily_Delinquency_With_Sectors[[#This Row],[Days in Arrears]] &gt; 30,1,0)</f>
        <v>1</v>
      </c>
      <c r="W846" s="109">
        <f>IF(Table__192.168.1.150_Daily_Delinquency_With_Sectors[[#This Row],[Days in Arrears]] &gt; 90,1,0)</f>
        <v>0</v>
      </c>
    </row>
    <row r="847" spans="1:23" x14ac:dyDescent="0.25">
      <c r="A847" t="s">
        <v>3265</v>
      </c>
      <c r="B847" t="s">
        <v>1282</v>
      </c>
      <c r="C847">
        <v>202</v>
      </c>
      <c r="D847" s="105">
        <v>1250308.6100000001</v>
      </c>
      <c r="E847" t="s">
        <v>3074</v>
      </c>
      <c r="F847" s="105">
        <v>75740.41</v>
      </c>
      <c r="G847" s="105">
        <v>1346912.58</v>
      </c>
      <c r="H847" s="143">
        <v>42676.657568483795</v>
      </c>
      <c r="I847" s="143">
        <v>42918</v>
      </c>
      <c r="J847" t="s">
        <v>3266</v>
      </c>
      <c r="K847" t="s">
        <v>1280</v>
      </c>
      <c r="L847" t="s">
        <v>3267</v>
      </c>
      <c r="M847">
        <v>200551</v>
      </c>
      <c r="N847" t="s">
        <v>3261</v>
      </c>
      <c r="O847" t="s">
        <v>46</v>
      </c>
      <c r="P847" t="s">
        <v>46</v>
      </c>
      <c r="Q847" t="s">
        <v>1812</v>
      </c>
      <c r="R847" s="105">
        <f>IF(Table__192.168.1.150_Daily_Delinquency_With_Sectors[[#This Row],[Days in Arrears]] &gt; 0, Table__192.168.1.150_Daily_Delinquency_With_Sectors[[#This Row],[Outstanding Balance]],0)</f>
        <v>1250308.6100000001</v>
      </c>
      <c r="S847" s="105">
        <f>IF(Table__192.168.1.150_Daily_Delinquency_With_Sectors[[#This Row],[Days in Arrears]] &gt; 30, Table__192.168.1.150_Daily_Delinquency_With_Sectors[[#This Row],[Outstanding Balance]],0)</f>
        <v>1250308.6100000001</v>
      </c>
      <c r="T847" s="105">
        <f>IF(Table__192.168.1.150_Daily_Delinquency_With_Sectors[[#This Row],[Days in Arrears]] &gt; 90, Table__192.168.1.150_Daily_Delinquency_With_Sectors[[#This Row],[Outstanding Balance]],0)</f>
        <v>1250308.6100000001</v>
      </c>
      <c r="U847" s="109">
        <f>IF(Table__192.168.1.150_Daily_Delinquency_With_Sectors[[#This Row],[Days in Arrears]] &gt;= 1,1,0)</f>
        <v>1</v>
      </c>
      <c r="V847" s="109">
        <f>IF(Table__192.168.1.150_Daily_Delinquency_With_Sectors[[#This Row],[Days in Arrears]] &gt; 30,1,0)</f>
        <v>1</v>
      </c>
      <c r="W847" s="109">
        <f>IF(Table__192.168.1.150_Daily_Delinquency_With_Sectors[[#This Row],[Days in Arrears]] &gt; 90,1,0)</f>
        <v>1</v>
      </c>
    </row>
    <row r="848" spans="1:23" x14ac:dyDescent="0.25">
      <c r="A848" t="s">
        <v>3280</v>
      </c>
      <c r="B848" t="s">
        <v>1282</v>
      </c>
      <c r="C848">
        <v>21</v>
      </c>
      <c r="D848" s="105">
        <v>1490362.83</v>
      </c>
      <c r="E848" t="s">
        <v>1448</v>
      </c>
      <c r="F848" s="105">
        <v>0</v>
      </c>
      <c r="G848" s="105">
        <v>1490362.83</v>
      </c>
      <c r="H848" s="143">
        <v>42677.678876076388</v>
      </c>
      <c r="I848" s="143">
        <v>43042</v>
      </c>
      <c r="J848" t="s">
        <v>3281</v>
      </c>
      <c r="K848" t="s">
        <v>1280</v>
      </c>
      <c r="L848" t="s">
        <v>3282</v>
      </c>
      <c r="M848">
        <v>200553</v>
      </c>
      <c r="N848" t="s">
        <v>3269</v>
      </c>
      <c r="O848" t="s">
        <v>25</v>
      </c>
      <c r="P848" t="s">
        <v>289</v>
      </c>
      <c r="Q848" t="s">
        <v>1771</v>
      </c>
      <c r="R848" s="105">
        <f>IF(Table__192.168.1.150_Daily_Delinquency_With_Sectors[[#This Row],[Days in Arrears]] &gt; 0, Table__192.168.1.150_Daily_Delinquency_With_Sectors[[#This Row],[Outstanding Balance]],0)</f>
        <v>1490362.83</v>
      </c>
      <c r="S848" s="105">
        <f>IF(Table__192.168.1.150_Daily_Delinquency_With_Sectors[[#This Row],[Days in Arrears]] &gt; 30, Table__192.168.1.150_Daily_Delinquency_With_Sectors[[#This Row],[Outstanding Balance]],0)</f>
        <v>0</v>
      </c>
      <c r="T848" s="105">
        <f>IF(Table__192.168.1.150_Daily_Delinquency_With_Sectors[[#This Row],[Days in Arrears]] &gt; 90, Table__192.168.1.150_Daily_Delinquency_With_Sectors[[#This Row],[Outstanding Balance]],0)</f>
        <v>0</v>
      </c>
      <c r="U848" s="109">
        <f>IF(Table__192.168.1.150_Daily_Delinquency_With_Sectors[[#This Row],[Days in Arrears]] &gt;= 1,1,0)</f>
        <v>1</v>
      </c>
      <c r="V848" s="109">
        <f>IF(Table__192.168.1.150_Daily_Delinquency_With_Sectors[[#This Row],[Days in Arrears]] &gt; 30,1,0)</f>
        <v>0</v>
      </c>
      <c r="W848" s="109">
        <f>IF(Table__192.168.1.150_Daily_Delinquency_With_Sectors[[#This Row],[Days in Arrears]] &gt; 90,1,0)</f>
        <v>0</v>
      </c>
    </row>
    <row r="849" spans="1:23" x14ac:dyDescent="0.25">
      <c r="A849" t="s">
        <v>3283</v>
      </c>
      <c r="B849" t="s">
        <v>1279</v>
      </c>
      <c r="C849">
        <v>139</v>
      </c>
      <c r="D849" s="105">
        <v>1689849.42</v>
      </c>
      <c r="E849" t="s">
        <v>1467</v>
      </c>
      <c r="F849" s="105">
        <v>136114.94</v>
      </c>
      <c r="G849" s="105">
        <v>1924667.85</v>
      </c>
      <c r="H849" s="143">
        <v>42677.750233449071</v>
      </c>
      <c r="I849" s="143">
        <v>43044</v>
      </c>
      <c r="J849" t="s">
        <v>3284</v>
      </c>
      <c r="K849" t="s">
        <v>1280</v>
      </c>
      <c r="L849" t="s">
        <v>3285</v>
      </c>
      <c r="M849">
        <v>200555</v>
      </c>
      <c r="N849" t="s">
        <v>3271</v>
      </c>
      <c r="O849" t="s">
        <v>44</v>
      </c>
      <c r="P849" t="s">
        <v>75</v>
      </c>
      <c r="Q849" t="s">
        <v>1442</v>
      </c>
      <c r="R849" s="105">
        <f>IF(Table__192.168.1.150_Daily_Delinquency_With_Sectors[[#This Row],[Days in Arrears]] &gt; 0, Table__192.168.1.150_Daily_Delinquency_With_Sectors[[#This Row],[Outstanding Balance]],0)</f>
        <v>1689849.42</v>
      </c>
      <c r="S849" s="105">
        <f>IF(Table__192.168.1.150_Daily_Delinquency_With_Sectors[[#This Row],[Days in Arrears]] &gt; 30, Table__192.168.1.150_Daily_Delinquency_With_Sectors[[#This Row],[Outstanding Balance]],0)</f>
        <v>1689849.42</v>
      </c>
      <c r="T849" s="105">
        <f>IF(Table__192.168.1.150_Daily_Delinquency_With_Sectors[[#This Row],[Days in Arrears]] &gt; 90, Table__192.168.1.150_Daily_Delinquency_With_Sectors[[#This Row],[Outstanding Balance]],0)</f>
        <v>1689849.42</v>
      </c>
      <c r="U849" s="109">
        <f>IF(Table__192.168.1.150_Daily_Delinquency_With_Sectors[[#This Row],[Days in Arrears]] &gt;= 1,1,0)</f>
        <v>1</v>
      </c>
      <c r="V849" s="109">
        <f>IF(Table__192.168.1.150_Daily_Delinquency_With_Sectors[[#This Row],[Days in Arrears]] &gt; 30,1,0)</f>
        <v>1</v>
      </c>
      <c r="W849" s="109">
        <f>IF(Table__192.168.1.150_Daily_Delinquency_With_Sectors[[#This Row],[Days in Arrears]] &gt; 90,1,0)</f>
        <v>1</v>
      </c>
    </row>
    <row r="850" spans="1:23" x14ac:dyDescent="0.25">
      <c r="A850" t="s">
        <v>3291</v>
      </c>
      <c r="B850" t="s">
        <v>1282</v>
      </c>
      <c r="C850">
        <v>139</v>
      </c>
      <c r="D850" s="105">
        <v>1444296.02</v>
      </c>
      <c r="E850" t="s">
        <v>1039</v>
      </c>
      <c r="F850" s="105">
        <v>116335.97</v>
      </c>
      <c r="G850" s="105">
        <v>1644992.78</v>
      </c>
      <c r="H850" s="143">
        <v>42679.429257060183</v>
      </c>
      <c r="I850" s="143">
        <v>43044</v>
      </c>
      <c r="J850" t="s">
        <v>3292</v>
      </c>
      <c r="K850" t="s">
        <v>1280</v>
      </c>
      <c r="L850" t="s">
        <v>1280</v>
      </c>
      <c r="M850">
        <v>200557</v>
      </c>
      <c r="N850" t="s">
        <v>3289</v>
      </c>
      <c r="O850" t="s">
        <v>25</v>
      </c>
      <c r="P850" t="s">
        <v>32</v>
      </c>
      <c r="Q850" t="s">
        <v>517</v>
      </c>
      <c r="R850" s="105">
        <f>IF(Table__192.168.1.150_Daily_Delinquency_With_Sectors[[#This Row],[Days in Arrears]] &gt; 0, Table__192.168.1.150_Daily_Delinquency_With_Sectors[[#This Row],[Outstanding Balance]],0)</f>
        <v>1444296.02</v>
      </c>
      <c r="S850" s="105">
        <f>IF(Table__192.168.1.150_Daily_Delinquency_With_Sectors[[#This Row],[Days in Arrears]] &gt; 30, Table__192.168.1.150_Daily_Delinquency_With_Sectors[[#This Row],[Outstanding Balance]],0)</f>
        <v>1444296.02</v>
      </c>
      <c r="T850" s="105">
        <f>IF(Table__192.168.1.150_Daily_Delinquency_With_Sectors[[#This Row],[Days in Arrears]] &gt; 90, Table__192.168.1.150_Daily_Delinquency_With_Sectors[[#This Row],[Outstanding Balance]],0)</f>
        <v>1444296.02</v>
      </c>
      <c r="U850" s="109">
        <f>IF(Table__192.168.1.150_Daily_Delinquency_With_Sectors[[#This Row],[Days in Arrears]] &gt;= 1,1,0)</f>
        <v>1</v>
      </c>
      <c r="V850" s="109">
        <f>IF(Table__192.168.1.150_Daily_Delinquency_With_Sectors[[#This Row],[Days in Arrears]] &gt; 30,1,0)</f>
        <v>1</v>
      </c>
      <c r="W850" s="109">
        <f>IF(Table__192.168.1.150_Daily_Delinquency_With_Sectors[[#This Row],[Days in Arrears]] &gt; 90,1,0)</f>
        <v>1</v>
      </c>
    </row>
    <row r="851" spans="1:23" x14ac:dyDescent="0.25">
      <c r="A851" t="s">
        <v>3043</v>
      </c>
      <c r="B851" t="s">
        <v>1284</v>
      </c>
      <c r="C851">
        <v>-16</v>
      </c>
      <c r="D851" s="105">
        <v>50421285.609999999</v>
      </c>
      <c r="E851" t="s">
        <v>546</v>
      </c>
      <c r="F851" s="105">
        <v>655476.71</v>
      </c>
      <c r="G851" s="105">
        <v>71453919.040000007</v>
      </c>
      <c r="H851" s="143">
        <v>42684.534706018516</v>
      </c>
      <c r="I851" s="143">
        <v>43779</v>
      </c>
      <c r="J851" t="s">
        <v>3044</v>
      </c>
      <c r="K851" t="s">
        <v>1280</v>
      </c>
      <c r="L851" t="s">
        <v>1280</v>
      </c>
      <c r="M851">
        <v>200563</v>
      </c>
      <c r="N851" t="s">
        <v>3036</v>
      </c>
      <c r="O851" t="s">
        <v>44</v>
      </c>
      <c r="P851" t="s">
        <v>75</v>
      </c>
      <c r="Q851" t="s">
        <v>26</v>
      </c>
      <c r="R851" s="105">
        <f>IF(Table__192.168.1.150_Daily_Delinquency_With_Sectors[[#This Row],[Days in Arrears]] &gt; 0, Table__192.168.1.150_Daily_Delinquency_With_Sectors[[#This Row],[Outstanding Balance]],0)</f>
        <v>0</v>
      </c>
      <c r="S851" s="105">
        <f>IF(Table__192.168.1.150_Daily_Delinquency_With_Sectors[[#This Row],[Days in Arrears]] &gt; 30, Table__192.168.1.150_Daily_Delinquency_With_Sectors[[#This Row],[Outstanding Balance]],0)</f>
        <v>0</v>
      </c>
      <c r="T851" s="105">
        <f>IF(Table__192.168.1.150_Daily_Delinquency_With_Sectors[[#This Row],[Days in Arrears]] &gt; 90, Table__192.168.1.150_Daily_Delinquency_With_Sectors[[#This Row],[Outstanding Balance]],0)</f>
        <v>0</v>
      </c>
      <c r="U851" s="109">
        <f>IF(Table__192.168.1.150_Daily_Delinquency_With_Sectors[[#This Row],[Days in Arrears]] &gt;= 1,1,0)</f>
        <v>0</v>
      </c>
      <c r="V851" s="109">
        <f>IF(Table__192.168.1.150_Daily_Delinquency_With_Sectors[[#This Row],[Days in Arrears]] &gt; 30,1,0)</f>
        <v>0</v>
      </c>
      <c r="W851" s="109">
        <f>IF(Table__192.168.1.150_Daily_Delinquency_With_Sectors[[#This Row],[Days in Arrears]] &gt; 90,1,0)</f>
        <v>0</v>
      </c>
    </row>
    <row r="852" spans="1:23" x14ac:dyDescent="0.25">
      <c r="A852" t="s">
        <v>2091</v>
      </c>
      <c r="B852" t="s">
        <v>1284</v>
      </c>
      <c r="C852">
        <v>-16</v>
      </c>
      <c r="D852" s="105">
        <v>20571537.48</v>
      </c>
      <c r="E852" t="s">
        <v>1667</v>
      </c>
      <c r="F852" s="105">
        <v>267429.99</v>
      </c>
      <c r="G852" s="105">
        <v>24799914.670000002</v>
      </c>
      <c r="H852" s="143">
        <v>42684.633021678237</v>
      </c>
      <c r="I852" s="143">
        <v>43414</v>
      </c>
      <c r="J852" t="s">
        <v>2092</v>
      </c>
      <c r="K852" t="s">
        <v>1280</v>
      </c>
      <c r="L852" t="s">
        <v>1280</v>
      </c>
      <c r="M852">
        <v>200564</v>
      </c>
      <c r="N852" t="s">
        <v>2084</v>
      </c>
      <c r="O852" t="s">
        <v>44</v>
      </c>
      <c r="P852" t="s">
        <v>75</v>
      </c>
      <c r="Q852" t="s">
        <v>26</v>
      </c>
      <c r="R852" s="105">
        <f>IF(Table__192.168.1.150_Daily_Delinquency_With_Sectors[[#This Row],[Days in Arrears]] &gt; 0, Table__192.168.1.150_Daily_Delinquency_With_Sectors[[#This Row],[Outstanding Balance]],0)</f>
        <v>0</v>
      </c>
      <c r="S852" s="105">
        <f>IF(Table__192.168.1.150_Daily_Delinquency_With_Sectors[[#This Row],[Days in Arrears]] &gt; 30, Table__192.168.1.150_Daily_Delinquency_With_Sectors[[#This Row],[Outstanding Balance]],0)</f>
        <v>0</v>
      </c>
      <c r="T852" s="105">
        <f>IF(Table__192.168.1.150_Daily_Delinquency_With_Sectors[[#This Row],[Days in Arrears]] &gt; 90, Table__192.168.1.150_Daily_Delinquency_With_Sectors[[#This Row],[Outstanding Balance]],0)</f>
        <v>0</v>
      </c>
      <c r="U852" s="109">
        <f>IF(Table__192.168.1.150_Daily_Delinquency_With_Sectors[[#This Row],[Days in Arrears]] &gt;= 1,1,0)</f>
        <v>0</v>
      </c>
      <c r="V852" s="109">
        <f>IF(Table__192.168.1.150_Daily_Delinquency_With_Sectors[[#This Row],[Days in Arrears]] &gt; 30,1,0)</f>
        <v>0</v>
      </c>
      <c r="W852" s="109">
        <f>IF(Table__192.168.1.150_Daily_Delinquency_With_Sectors[[#This Row],[Days in Arrears]] &gt; 90,1,0)</f>
        <v>0</v>
      </c>
    </row>
    <row r="853" spans="1:23" x14ac:dyDescent="0.25">
      <c r="A853" t="s">
        <v>3321</v>
      </c>
      <c r="B853" t="s">
        <v>1281</v>
      </c>
      <c r="C853">
        <v>-16</v>
      </c>
      <c r="D853" s="105">
        <v>12422815.15</v>
      </c>
      <c r="E853" t="s">
        <v>468</v>
      </c>
      <c r="F853" s="105">
        <v>215328.8</v>
      </c>
      <c r="G853" s="105">
        <v>14218799.130000001</v>
      </c>
      <c r="H853" s="143">
        <v>42684.672505821756</v>
      </c>
      <c r="I853" s="143">
        <v>43230</v>
      </c>
      <c r="J853" t="s">
        <v>3322</v>
      </c>
      <c r="K853" t="s">
        <v>1280</v>
      </c>
      <c r="L853" t="s">
        <v>3323</v>
      </c>
      <c r="M853">
        <v>200567</v>
      </c>
      <c r="N853" t="s">
        <v>3314</v>
      </c>
      <c r="O853" t="s">
        <v>45</v>
      </c>
      <c r="P853" t="s">
        <v>45</v>
      </c>
      <c r="Q853" t="s">
        <v>89</v>
      </c>
      <c r="R853" s="105">
        <f>IF(Table__192.168.1.150_Daily_Delinquency_With_Sectors[[#This Row],[Days in Arrears]] &gt; 0, Table__192.168.1.150_Daily_Delinquency_With_Sectors[[#This Row],[Outstanding Balance]],0)</f>
        <v>0</v>
      </c>
      <c r="S853" s="105">
        <f>IF(Table__192.168.1.150_Daily_Delinquency_With_Sectors[[#This Row],[Days in Arrears]] &gt; 30, Table__192.168.1.150_Daily_Delinquency_With_Sectors[[#This Row],[Outstanding Balance]],0)</f>
        <v>0</v>
      </c>
      <c r="T853" s="105">
        <f>IF(Table__192.168.1.150_Daily_Delinquency_With_Sectors[[#This Row],[Days in Arrears]] &gt; 90, Table__192.168.1.150_Daily_Delinquency_With_Sectors[[#This Row],[Outstanding Balance]],0)</f>
        <v>0</v>
      </c>
      <c r="U853" s="109">
        <f>IF(Table__192.168.1.150_Daily_Delinquency_With_Sectors[[#This Row],[Days in Arrears]] &gt;= 1,1,0)</f>
        <v>0</v>
      </c>
      <c r="V853" s="109">
        <f>IF(Table__192.168.1.150_Daily_Delinquency_With_Sectors[[#This Row],[Days in Arrears]] &gt; 30,1,0)</f>
        <v>0</v>
      </c>
      <c r="W853" s="109">
        <f>IF(Table__192.168.1.150_Daily_Delinquency_With_Sectors[[#This Row],[Days in Arrears]] &gt; 90,1,0)</f>
        <v>0</v>
      </c>
    </row>
    <row r="854" spans="1:23" x14ac:dyDescent="0.25">
      <c r="A854" t="s">
        <v>3340</v>
      </c>
      <c r="B854" t="s">
        <v>1866</v>
      </c>
      <c r="C854">
        <v>13</v>
      </c>
      <c r="D854" s="105">
        <v>691035.23</v>
      </c>
      <c r="E854" t="s">
        <v>1925</v>
      </c>
      <c r="F854" s="105">
        <v>0</v>
      </c>
      <c r="G854" s="105">
        <v>691035.23</v>
      </c>
      <c r="H854" s="143">
        <v>42685.629395173608</v>
      </c>
      <c r="I854" s="143">
        <v>43050</v>
      </c>
      <c r="J854" t="s">
        <v>3341</v>
      </c>
      <c r="K854" t="s">
        <v>1280</v>
      </c>
      <c r="L854" t="s">
        <v>3342</v>
      </c>
      <c r="M854">
        <v>200570</v>
      </c>
      <c r="N854" t="s">
        <v>3327</v>
      </c>
      <c r="O854" t="s">
        <v>36</v>
      </c>
      <c r="P854" t="s">
        <v>97</v>
      </c>
      <c r="Q854" t="s">
        <v>98</v>
      </c>
      <c r="R854" s="105">
        <f>IF(Table__192.168.1.150_Daily_Delinquency_With_Sectors[[#This Row],[Days in Arrears]] &gt; 0, Table__192.168.1.150_Daily_Delinquency_With_Sectors[[#This Row],[Outstanding Balance]],0)</f>
        <v>691035.23</v>
      </c>
      <c r="S854" s="105">
        <f>IF(Table__192.168.1.150_Daily_Delinquency_With_Sectors[[#This Row],[Days in Arrears]] &gt; 30, Table__192.168.1.150_Daily_Delinquency_With_Sectors[[#This Row],[Outstanding Balance]],0)</f>
        <v>0</v>
      </c>
      <c r="T854" s="105">
        <f>IF(Table__192.168.1.150_Daily_Delinquency_With_Sectors[[#This Row],[Days in Arrears]] &gt; 90, Table__192.168.1.150_Daily_Delinquency_With_Sectors[[#This Row],[Outstanding Balance]],0)</f>
        <v>0</v>
      </c>
      <c r="U854" s="109">
        <f>IF(Table__192.168.1.150_Daily_Delinquency_With_Sectors[[#This Row],[Days in Arrears]] &gt;= 1,1,0)</f>
        <v>1</v>
      </c>
      <c r="V854" s="109">
        <f>IF(Table__192.168.1.150_Daily_Delinquency_With_Sectors[[#This Row],[Days in Arrears]] &gt; 30,1,0)</f>
        <v>0</v>
      </c>
      <c r="W854" s="109">
        <f>IF(Table__192.168.1.150_Daily_Delinquency_With_Sectors[[#This Row],[Days in Arrears]] &gt; 90,1,0)</f>
        <v>0</v>
      </c>
    </row>
    <row r="855" spans="1:23" x14ac:dyDescent="0.25">
      <c r="A855" t="s">
        <v>3355</v>
      </c>
      <c r="B855" t="s">
        <v>1284</v>
      </c>
      <c r="C855">
        <v>162</v>
      </c>
      <c r="D855" s="105">
        <v>6432897.4900000002</v>
      </c>
      <c r="E855" t="s">
        <v>3074</v>
      </c>
      <c r="F855" s="105">
        <v>214481.34</v>
      </c>
      <c r="G855" s="105">
        <v>8479221.2599999998</v>
      </c>
      <c r="H855" s="143">
        <v>42686.51169861111</v>
      </c>
      <c r="I855" s="143">
        <v>43416</v>
      </c>
      <c r="J855" t="s">
        <v>3356</v>
      </c>
      <c r="K855" t="s">
        <v>1280</v>
      </c>
      <c r="L855" t="s">
        <v>3357</v>
      </c>
      <c r="M855">
        <v>200572</v>
      </c>
      <c r="N855" t="s">
        <v>3349</v>
      </c>
      <c r="O855" t="s">
        <v>44</v>
      </c>
      <c r="P855" t="s">
        <v>75</v>
      </c>
      <c r="Q855" t="s">
        <v>1442</v>
      </c>
      <c r="R855" s="105">
        <f>IF(Table__192.168.1.150_Daily_Delinquency_With_Sectors[[#This Row],[Days in Arrears]] &gt; 0, Table__192.168.1.150_Daily_Delinquency_With_Sectors[[#This Row],[Outstanding Balance]],0)</f>
        <v>6432897.4900000002</v>
      </c>
      <c r="S855" s="105">
        <f>IF(Table__192.168.1.150_Daily_Delinquency_With_Sectors[[#This Row],[Days in Arrears]] &gt; 30, Table__192.168.1.150_Daily_Delinquency_With_Sectors[[#This Row],[Outstanding Balance]],0)</f>
        <v>6432897.4900000002</v>
      </c>
      <c r="T855" s="105">
        <f>IF(Table__192.168.1.150_Daily_Delinquency_With_Sectors[[#This Row],[Days in Arrears]] &gt; 90, Table__192.168.1.150_Daily_Delinquency_With_Sectors[[#This Row],[Outstanding Balance]],0)</f>
        <v>6432897.4900000002</v>
      </c>
      <c r="U855" s="109">
        <f>IF(Table__192.168.1.150_Daily_Delinquency_With_Sectors[[#This Row],[Days in Arrears]] &gt;= 1,1,0)</f>
        <v>1</v>
      </c>
      <c r="V855" s="109">
        <f>IF(Table__192.168.1.150_Daily_Delinquency_With_Sectors[[#This Row],[Days in Arrears]] &gt; 30,1,0)</f>
        <v>1</v>
      </c>
      <c r="W855" s="109">
        <f>IF(Table__192.168.1.150_Daily_Delinquency_With_Sectors[[#This Row],[Days in Arrears]] &gt; 90,1,0)</f>
        <v>1</v>
      </c>
    </row>
    <row r="856" spans="1:23" x14ac:dyDescent="0.25">
      <c r="A856" t="s">
        <v>1763</v>
      </c>
      <c r="B856" t="s">
        <v>1281</v>
      </c>
      <c r="C856">
        <v>-18</v>
      </c>
      <c r="D856" s="105">
        <v>6463904.96</v>
      </c>
      <c r="E856" t="s">
        <v>1667</v>
      </c>
      <c r="F856" s="105">
        <v>82953.45</v>
      </c>
      <c r="G856" s="105">
        <v>7278416.7999999998</v>
      </c>
      <c r="H856" s="143">
        <v>42686.532003125001</v>
      </c>
      <c r="I856" s="143">
        <v>43232</v>
      </c>
      <c r="J856" t="s">
        <v>1764</v>
      </c>
      <c r="K856" t="s">
        <v>1836</v>
      </c>
      <c r="L856" t="s">
        <v>1280</v>
      </c>
      <c r="M856">
        <v>200573</v>
      </c>
      <c r="N856" t="s">
        <v>1762</v>
      </c>
      <c r="O856" t="s">
        <v>25</v>
      </c>
      <c r="P856" t="s">
        <v>26</v>
      </c>
      <c r="Q856" t="s">
        <v>26</v>
      </c>
      <c r="R856" s="105">
        <f>IF(Table__192.168.1.150_Daily_Delinquency_With_Sectors[[#This Row],[Days in Arrears]] &gt; 0, Table__192.168.1.150_Daily_Delinquency_With_Sectors[[#This Row],[Outstanding Balance]],0)</f>
        <v>0</v>
      </c>
      <c r="S856" s="105">
        <f>IF(Table__192.168.1.150_Daily_Delinquency_With_Sectors[[#This Row],[Days in Arrears]] &gt; 30, Table__192.168.1.150_Daily_Delinquency_With_Sectors[[#This Row],[Outstanding Balance]],0)</f>
        <v>0</v>
      </c>
      <c r="T856" s="105">
        <f>IF(Table__192.168.1.150_Daily_Delinquency_With_Sectors[[#This Row],[Days in Arrears]] &gt; 90, Table__192.168.1.150_Daily_Delinquency_With_Sectors[[#This Row],[Outstanding Balance]],0)</f>
        <v>0</v>
      </c>
      <c r="U856" s="109">
        <f>IF(Table__192.168.1.150_Daily_Delinquency_With_Sectors[[#This Row],[Days in Arrears]] &gt;= 1,1,0)</f>
        <v>0</v>
      </c>
      <c r="V856" s="109">
        <f>IF(Table__192.168.1.150_Daily_Delinquency_With_Sectors[[#This Row],[Days in Arrears]] &gt; 30,1,0)</f>
        <v>0</v>
      </c>
      <c r="W856" s="109">
        <f>IF(Table__192.168.1.150_Daily_Delinquency_With_Sectors[[#This Row],[Days in Arrears]] &gt; 90,1,0)</f>
        <v>0</v>
      </c>
    </row>
    <row r="857" spans="1:23" x14ac:dyDescent="0.25">
      <c r="A857" t="s">
        <v>3358</v>
      </c>
      <c r="B857" t="s">
        <v>1284</v>
      </c>
      <c r="C857">
        <v>-18</v>
      </c>
      <c r="D857" s="105">
        <v>5696369.46</v>
      </c>
      <c r="E857" t="s">
        <v>2175</v>
      </c>
      <c r="F857" s="105">
        <v>69622.289999999994</v>
      </c>
      <c r="G857" s="105">
        <v>7666837.6299999999</v>
      </c>
      <c r="H857" s="143">
        <v>42686.558729282406</v>
      </c>
      <c r="I857" s="143">
        <v>43597</v>
      </c>
      <c r="J857" t="s">
        <v>3359</v>
      </c>
      <c r="K857" t="s">
        <v>1280</v>
      </c>
      <c r="L857" t="s">
        <v>3360</v>
      </c>
      <c r="M857">
        <v>200574</v>
      </c>
      <c r="N857" t="s">
        <v>3348</v>
      </c>
      <c r="O857" t="s">
        <v>44</v>
      </c>
      <c r="P857" t="s">
        <v>75</v>
      </c>
      <c r="Q857" t="s">
        <v>1442</v>
      </c>
      <c r="R857" s="105">
        <f>IF(Table__192.168.1.150_Daily_Delinquency_With_Sectors[[#This Row],[Days in Arrears]] &gt; 0, Table__192.168.1.150_Daily_Delinquency_With_Sectors[[#This Row],[Outstanding Balance]],0)</f>
        <v>0</v>
      </c>
      <c r="S857" s="105">
        <f>IF(Table__192.168.1.150_Daily_Delinquency_With_Sectors[[#This Row],[Days in Arrears]] &gt; 30, Table__192.168.1.150_Daily_Delinquency_With_Sectors[[#This Row],[Outstanding Balance]],0)</f>
        <v>0</v>
      </c>
      <c r="T857" s="105">
        <f>IF(Table__192.168.1.150_Daily_Delinquency_With_Sectors[[#This Row],[Days in Arrears]] &gt; 90, Table__192.168.1.150_Daily_Delinquency_With_Sectors[[#This Row],[Outstanding Balance]],0)</f>
        <v>0</v>
      </c>
      <c r="U857" s="109">
        <f>IF(Table__192.168.1.150_Daily_Delinquency_With_Sectors[[#This Row],[Days in Arrears]] &gt;= 1,1,0)</f>
        <v>0</v>
      </c>
      <c r="V857" s="109">
        <f>IF(Table__192.168.1.150_Daily_Delinquency_With_Sectors[[#This Row],[Days in Arrears]] &gt; 30,1,0)</f>
        <v>0</v>
      </c>
      <c r="W857" s="109">
        <f>IF(Table__192.168.1.150_Daily_Delinquency_With_Sectors[[#This Row],[Days in Arrears]] &gt; 90,1,0)</f>
        <v>0</v>
      </c>
    </row>
    <row r="858" spans="1:23" x14ac:dyDescent="0.25">
      <c r="A858" t="s">
        <v>3361</v>
      </c>
      <c r="B858" t="s">
        <v>1279</v>
      </c>
      <c r="C858">
        <v>42</v>
      </c>
      <c r="D858" s="105">
        <v>591415.88</v>
      </c>
      <c r="E858" t="s">
        <v>2861</v>
      </c>
      <c r="F858" s="105">
        <v>22825.26</v>
      </c>
      <c r="G858" s="105">
        <v>615028.22</v>
      </c>
      <c r="H858" s="143">
        <v>42686.587221296293</v>
      </c>
      <c r="I858" s="143">
        <v>43051</v>
      </c>
      <c r="J858" t="s">
        <v>3362</v>
      </c>
      <c r="K858" t="s">
        <v>1280</v>
      </c>
      <c r="L858" t="s">
        <v>3363</v>
      </c>
      <c r="M858">
        <v>200576</v>
      </c>
      <c r="N858" t="s">
        <v>3346</v>
      </c>
      <c r="O858" t="s">
        <v>25</v>
      </c>
      <c r="P858" t="s">
        <v>26</v>
      </c>
      <c r="Q858" t="s">
        <v>26</v>
      </c>
      <c r="R858" s="105">
        <f>IF(Table__192.168.1.150_Daily_Delinquency_With_Sectors[[#This Row],[Days in Arrears]] &gt; 0, Table__192.168.1.150_Daily_Delinquency_With_Sectors[[#This Row],[Outstanding Balance]],0)</f>
        <v>591415.88</v>
      </c>
      <c r="S858" s="105">
        <f>IF(Table__192.168.1.150_Daily_Delinquency_With_Sectors[[#This Row],[Days in Arrears]] &gt; 30, Table__192.168.1.150_Daily_Delinquency_With_Sectors[[#This Row],[Outstanding Balance]],0)</f>
        <v>591415.88</v>
      </c>
      <c r="T858" s="105">
        <f>IF(Table__192.168.1.150_Daily_Delinquency_With_Sectors[[#This Row],[Days in Arrears]] &gt; 90, Table__192.168.1.150_Daily_Delinquency_With_Sectors[[#This Row],[Outstanding Balance]],0)</f>
        <v>0</v>
      </c>
      <c r="U858" s="109">
        <f>IF(Table__192.168.1.150_Daily_Delinquency_With_Sectors[[#This Row],[Days in Arrears]] &gt;= 1,1,0)</f>
        <v>1</v>
      </c>
      <c r="V858" s="109">
        <f>IF(Table__192.168.1.150_Daily_Delinquency_With_Sectors[[#This Row],[Days in Arrears]] &gt; 30,1,0)</f>
        <v>1</v>
      </c>
      <c r="W858" s="109">
        <f>IF(Table__192.168.1.150_Daily_Delinquency_With_Sectors[[#This Row],[Days in Arrears]] &gt; 90,1,0)</f>
        <v>0</v>
      </c>
    </row>
    <row r="859" spans="1:23" x14ac:dyDescent="0.25">
      <c r="A859" t="s">
        <v>3409</v>
      </c>
      <c r="B859" t="s">
        <v>1284</v>
      </c>
      <c r="C859">
        <v>7</v>
      </c>
      <c r="D859" s="105">
        <v>52485275.039999999</v>
      </c>
      <c r="E859" t="s">
        <v>4684</v>
      </c>
      <c r="F859" s="105">
        <v>2090226.67</v>
      </c>
      <c r="G859" s="105">
        <v>78178995.060000002</v>
      </c>
      <c r="H859" s="143">
        <v>42691.642452662039</v>
      </c>
      <c r="I859" s="143">
        <v>43786</v>
      </c>
      <c r="J859" t="s">
        <v>3410</v>
      </c>
      <c r="K859" t="s">
        <v>1280</v>
      </c>
      <c r="L859" t="s">
        <v>3411</v>
      </c>
      <c r="M859">
        <v>200584</v>
      </c>
      <c r="N859" t="s">
        <v>3394</v>
      </c>
      <c r="O859" t="s">
        <v>31</v>
      </c>
      <c r="P859" t="s">
        <v>416</v>
      </c>
      <c r="Q859" t="s">
        <v>518</v>
      </c>
      <c r="R859" s="105">
        <f>IF(Table__192.168.1.150_Daily_Delinquency_With_Sectors[[#This Row],[Days in Arrears]] &gt; 0, Table__192.168.1.150_Daily_Delinquency_With_Sectors[[#This Row],[Outstanding Balance]],0)</f>
        <v>52485275.039999999</v>
      </c>
      <c r="S859" s="105">
        <f>IF(Table__192.168.1.150_Daily_Delinquency_With_Sectors[[#This Row],[Days in Arrears]] &gt; 30, Table__192.168.1.150_Daily_Delinquency_With_Sectors[[#This Row],[Outstanding Balance]],0)</f>
        <v>0</v>
      </c>
      <c r="T859" s="105">
        <f>IF(Table__192.168.1.150_Daily_Delinquency_With_Sectors[[#This Row],[Days in Arrears]] &gt; 90, Table__192.168.1.150_Daily_Delinquency_With_Sectors[[#This Row],[Outstanding Balance]],0)</f>
        <v>0</v>
      </c>
      <c r="U859" s="109">
        <f>IF(Table__192.168.1.150_Daily_Delinquency_With_Sectors[[#This Row],[Days in Arrears]] &gt;= 1,1,0)</f>
        <v>1</v>
      </c>
      <c r="V859" s="109">
        <f>IF(Table__192.168.1.150_Daily_Delinquency_With_Sectors[[#This Row],[Days in Arrears]] &gt; 30,1,0)</f>
        <v>0</v>
      </c>
      <c r="W859" s="109">
        <f>IF(Table__192.168.1.150_Daily_Delinquency_With_Sectors[[#This Row],[Days in Arrears]] &gt; 90,1,0)</f>
        <v>0</v>
      </c>
    </row>
    <row r="860" spans="1:23" x14ac:dyDescent="0.25">
      <c r="A860" t="s">
        <v>3412</v>
      </c>
      <c r="B860" t="s">
        <v>1279</v>
      </c>
      <c r="C860">
        <v>187</v>
      </c>
      <c r="D860" s="105">
        <v>391007.09</v>
      </c>
      <c r="E860" t="s">
        <v>963</v>
      </c>
      <c r="F860" s="105">
        <v>12350.28</v>
      </c>
      <c r="G860" s="105">
        <v>410311.89</v>
      </c>
      <c r="H860" s="143">
        <v>42691.705971793985</v>
      </c>
      <c r="I860" s="143">
        <v>42933</v>
      </c>
      <c r="J860" t="s">
        <v>3413</v>
      </c>
      <c r="K860" t="s">
        <v>1280</v>
      </c>
      <c r="L860" t="s">
        <v>1280</v>
      </c>
      <c r="M860">
        <v>200585</v>
      </c>
      <c r="N860" t="s">
        <v>3396</v>
      </c>
      <c r="O860" t="s">
        <v>25</v>
      </c>
      <c r="P860" t="s">
        <v>88</v>
      </c>
      <c r="Q860" t="s">
        <v>285</v>
      </c>
      <c r="R860" s="105">
        <f>IF(Table__192.168.1.150_Daily_Delinquency_With_Sectors[[#This Row],[Days in Arrears]] &gt; 0, Table__192.168.1.150_Daily_Delinquency_With_Sectors[[#This Row],[Outstanding Balance]],0)</f>
        <v>391007.09</v>
      </c>
      <c r="S860" s="105">
        <f>IF(Table__192.168.1.150_Daily_Delinquency_With_Sectors[[#This Row],[Days in Arrears]] &gt; 30, Table__192.168.1.150_Daily_Delinquency_With_Sectors[[#This Row],[Outstanding Balance]],0)</f>
        <v>391007.09</v>
      </c>
      <c r="T860" s="105">
        <f>IF(Table__192.168.1.150_Daily_Delinquency_With_Sectors[[#This Row],[Days in Arrears]] &gt; 90, Table__192.168.1.150_Daily_Delinquency_With_Sectors[[#This Row],[Outstanding Balance]],0)</f>
        <v>391007.09</v>
      </c>
      <c r="U860" s="109">
        <f>IF(Table__192.168.1.150_Daily_Delinquency_With_Sectors[[#This Row],[Days in Arrears]] &gt;= 1,1,0)</f>
        <v>1</v>
      </c>
      <c r="V860" s="109">
        <f>IF(Table__192.168.1.150_Daily_Delinquency_With_Sectors[[#This Row],[Days in Arrears]] &gt; 30,1,0)</f>
        <v>1</v>
      </c>
      <c r="W860" s="109">
        <f>IF(Table__192.168.1.150_Daily_Delinquency_With_Sectors[[#This Row],[Days in Arrears]] &gt; 90,1,0)</f>
        <v>1</v>
      </c>
    </row>
    <row r="861" spans="1:23" x14ac:dyDescent="0.25">
      <c r="A861" t="s">
        <v>3421</v>
      </c>
      <c r="B861" t="s">
        <v>1282</v>
      </c>
      <c r="C861">
        <v>7</v>
      </c>
      <c r="D861" s="105">
        <v>629662.35</v>
      </c>
      <c r="E861" t="s">
        <v>2861</v>
      </c>
      <c r="F861" s="105">
        <v>6184.81</v>
      </c>
      <c r="G861" s="105">
        <v>635847.16</v>
      </c>
      <c r="H861" s="143">
        <v>42691.700877280091</v>
      </c>
      <c r="I861" s="143">
        <v>43056</v>
      </c>
      <c r="J861" t="s">
        <v>3422</v>
      </c>
      <c r="K861" t="s">
        <v>1280</v>
      </c>
      <c r="L861" t="s">
        <v>1280</v>
      </c>
      <c r="M861">
        <v>200589</v>
      </c>
      <c r="N861" t="s">
        <v>3402</v>
      </c>
      <c r="O861" t="s">
        <v>46</v>
      </c>
      <c r="P861" t="s">
        <v>46</v>
      </c>
      <c r="Q861" t="s">
        <v>844</v>
      </c>
      <c r="R861" s="105">
        <f>IF(Table__192.168.1.150_Daily_Delinquency_With_Sectors[[#This Row],[Days in Arrears]] &gt; 0, Table__192.168.1.150_Daily_Delinquency_With_Sectors[[#This Row],[Outstanding Balance]],0)</f>
        <v>629662.35</v>
      </c>
      <c r="S861" s="105">
        <f>IF(Table__192.168.1.150_Daily_Delinquency_With_Sectors[[#This Row],[Days in Arrears]] &gt; 30, Table__192.168.1.150_Daily_Delinquency_With_Sectors[[#This Row],[Outstanding Balance]],0)</f>
        <v>0</v>
      </c>
      <c r="T861" s="105">
        <f>IF(Table__192.168.1.150_Daily_Delinquency_With_Sectors[[#This Row],[Days in Arrears]] &gt; 90, Table__192.168.1.150_Daily_Delinquency_With_Sectors[[#This Row],[Outstanding Balance]],0)</f>
        <v>0</v>
      </c>
      <c r="U861" s="109">
        <f>IF(Table__192.168.1.150_Daily_Delinquency_With_Sectors[[#This Row],[Days in Arrears]] &gt;= 1,1,0)</f>
        <v>1</v>
      </c>
      <c r="V861" s="109">
        <f>IF(Table__192.168.1.150_Daily_Delinquency_With_Sectors[[#This Row],[Days in Arrears]] &gt; 30,1,0)</f>
        <v>0</v>
      </c>
      <c r="W861" s="109">
        <f>IF(Table__192.168.1.150_Daily_Delinquency_With_Sectors[[#This Row],[Days in Arrears]] &gt; 90,1,0)</f>
        <v>0</v>
      </c>
    </row>
    <row r="862" spans="1:23" x14ac:dyDescent="0.25">
      <c r="A862" t="s">
        <v>3430</v>
      </c>
      <c r="B862" t="s">
        <v>1281</v>
      </c>
      <c r="C862">
        <v>-24</v>
      </c>
      <c r="D862" s="105">
        <v>9848596</v>
      </c>
      <c r="E862" t="s">
        <v>2538</v>
      </c>
      <c r="F862" s="105">
        <v>65657.31</v>
      </c>
      <c r="G862" s="105">
        <v>12592671.619999999</v>
      </c>
      <c r="H862" s="143">
        <v>42692.404183483799</v>
      </c>
      <c r="I862" s="143">
        <v>43422</v>
      </c>
      <c r="J862" t="s">
        <v>3431</v>
      </c>
      <c r="K862" t="s">
        <v>1280</v>
      </c>
      <c r="L862" t="s">
        <v>1280</v>
      </c>
      <c r="M862">
        <v>200593</v>
      </c>
      <c r="N862" t="s">
        <v>3425</v>
      </c>
      <c r="O862" t="s">
        <v>36</v>
      </c>
      <c r="P862" t="s">
        <v>26</v>
      </c>
      <c r="Q862" t="s">
        <v>26</v>
      </c>
      <c r="R862" s="105">
        <f>IF(Table__192.168.1.150_Daily_Delinquency_With_Sectors[[#This Row],[Days in Arrears]] &gt; 0, Table__192.168.1.150_Daily_Delinquency_With_Sectors[[#This Row],[Outstanding Balance]],0)</f>
        <v>0</v>
      </c>
      <c r="S862" s="105">
        <f>IF(Table__192.168.1.150_Daily_Delinquency_With_Sectors[[#This Row],[Days in Arrears]] &gt; 30, Table__192.168.1.150_Daily_Delinquency_With_Sectors[[#This Row],[Outstanding Balance]],0)</f>
        <v>0</v>
      </c>
      <c r="T862" s="105">
        <f>IF(Table__192.168.1.150_Daily_Delinquency_With_Sectors[[#This Row],[Days in Arrears]] &gt; 90, Table__192.168.1.150_Daily_Delinquency_With_Sectors[[#This Row],[Outstanding Balance]],0)</f>
        <v>0</v>
      </c>
      <c r="U862" s="109">
        <f>IF(Table__192.168.1.150_Daily_Delinquency_With_Sectors[[#This Row],[Days in Arrears]] &gt;= 1,1,0)</f>
        <v>0</v>
      </c>
      <c r="V862" s="109">
        <f>IF(Table__192.168.1.150_Daily_Delinquency_With_Sectors[[#This Row],[Days in Arrears]] &gt; 30,1,0)</f>
        <v>0</v>
      </c>
      <c r="W862" s="109">
        <f>IF(Table__192.168.1.150_Daily_Delinquency_With_Sectors[[#This Row],[Days in Arrears]] &gt; 90,1,0)</f>
        <v>0</v>
      </c>
    </row>
    <row r="863" spans="1:23" x14ac:dyDescent="0.25">
      <c r="A863" t="s">
        <v>3438</v>
      </c>
      <c r="B863" t="s">
        <v>1283</v>
      </c>
      <c r="C863">
        <v>-25</v>
      </c>
      <c r="D863" s="105">
        <v>35827178.759999998</v>
      </c>
      <c r="E863" t="s">
        <v>1448</v>
      </c>
      <c r="F863" s="105">
        <v>159231.91</v>
      </c>
      <c r="G863" s="105">
        <v>44055169.630000003</v>
      </c>
      <c r="H863" s="143">
        <v>42693.53923159722</v>
      </c>
      <c r="I863" s="143">
        <v>43423</v>
      </c>
      <c r="J863" t="s">
        <v>3439</v>
      </c>
      <c r="K863" t="s">
        <v>1280</v>
      </c>
      <c r="L863" t="s">
        <v>3440</v>
      </c>
      <c r="M863">
        <v>200598</v>
      </c>
      <c r="N863" t="s">
        <v>3428</v>
      </c>
      <c r="O863" t="s">
        <v>44</v>
      </c>
      <c r="P863" t="s">
        <v>75</v>
      </c>
      <c r="Q863" t="s">
        <v>1442</v>
      </c>
      <c r="R863" s="105">
        <f>IF(Table__192.168.1.150_Daily_Delinquency_With_Sectors[[#This Row],[Days in Arrears]] &gt; 0, Table__192.168.1.150_Daily_Delinquency_With_Sectors[[#This Row],[Outstanding Balance]],0)</f>
        <v>0</v>
      </c>
      <c r="S863" s="105">
        <f>IF(Table__192.168.1.150_Daily_Delinquency_With_Sectors[[#This Row],[Days in Arrears]] &gt; 30, Table__192.168.1.150_Daily_Delinquency_With_Sectors[[#This Row],[Outstanding Balance]],0)</f>
        <v>0</v>
      </c>
      <c r="T863" s="105">
        <f>IF(Table__192.168.1.150_Daily_Delinquency_With_Sectors[[#This Row],[Days in Arrears]] &gt; 90, Table__192.168.1.150_Daily_Delinquency_With_Sectors[[#This Row],[Outstanding Balance]],0)</f>
        <v>0</v>
      </c>
      <c r="U863" s="109">
        <f>IF(Table__192.168.1.150_Daily_Delinquency_With_Sectors[[#This Row],[Days in Arrears]] &gt;= 1,1,0)</f>
        <v>0</v>
      </c>
      <c r="V863" s="109">
        <f>IF(Table__192.168.1.150_Daily_Delinquency_With_Sectors[[#This Row],[Days in Arrears]] &gt; 30,1,0)</f>
        <v>0</v>
      </c>
      <c r="W863" s="109">
        <f>IF(Table__192.168.1.150_Daily_Delinquency_With_Sectors[[#This Row],[Days in Arrears]] &gt; 90,1,0)</f>
        <v>0</v>
      </c>
    </row>
    <row r="864" spans="1:23" x14ac:dyDescent="0.25">
      <c r="A864" t="s">
        <v>2008</v>
      </c>
      <c r="B864" t="s">
        <v>1866</v>
      </c>
      <c r="C864">
        <v>3</v>
      </c>
      <c r="D864" s="105">
        <v>653787.15</v>
      </c>
      <c r="E864" t="s">
        <v>1667</v>
      </c>
      <c r="F864" s="105">
        <v>0</v>
      </c>
      <c r="G864" s="105">
        <v>653787.15</v>
      </c>
      <c r="H864" s="143">
        <v>42695.688144560183</v>
      </c>
      <c r="I864" s="143">
        <v>43060</v>
      </c>
      <c r="J864" t="s">
        <v>2009</v>
      </c>
      <c r="K864" t="s">
        <v>1280</v>
      </c>
      <c r="L864" t="s">
        <v>1280</v>
      </c>
      <c r="M864">
        <v>200601</v>
      </c>
      <c r="N864" t="s">
        <v>2007</v>
      </c>
      <c r="O864" t="s">
        <v>44</v>
      </c>
      <c r="P864" t="s">
        <v>75</v>
      </c>
      <c r="Q864" t="s">
        <v>26</v>
      </c>
      <c r="R864" s="105">
        <f>IF(Table__192.168.1.150_Daily_Delinquency_With_Sectors[[#This Row],[Days in Arrears]] &gt; 0, Table__192.168.1.150_Daily_Delinquency_With_Sectors[[#This Row],[Outstanding Balance]],0)</f>
        <v>653787.15</v>
      </c>
      <c r="S864" s="105">
        <f>IF(Table__192.168.1.150_Daily_Delinquency_With_Sectors[[#This Row],[Days in Arrears]] &gt; 30, Table__192.168.1.150_Daily_Delinquency_With_Sectors[[#This Row],[Outstanding Balance]],0)</f>
        <v>0</v>
      </c>
      <c r="T864" s="105">
        <f>IF(Table__192.168.1.150_Daily_Delinquency_With_Sectors[[#This Row],[Days in Arrears]] &gt; 90, Table__192.168.1.150_Daily_Delinquency_With_Sectors[[#This Row],[Outstanding Balance]],0)</f>
        <v>0</v>
      </c>
      <c r="U864" s="109">
        <f>IF(Table__192.168.1.150_Daily_Delinquency_With_Sectors[[#This Row],[Days in Arrears]] &gt;= 1,1,0)</f>
        <v>1</v>
      </c>
      <c r="V864" s="109">
        <f>IF(Table__192.168.1.150_Daily_Delinquency_With_Sectors[[#This Row],[Days in Arrears]] &gt; 30,1,0)</f>
        <v>0</v>
      </c>
      <c r="W864" s="109">
        <f>IF(Table__192.168.1.150_Daily_Delinquency_With_Sectors[[#This Row],[Days in Arrears]] &gt; 90,1,0)</f>
        <v>0</v>
      </c>
    </row>
    <row r="865" spans="1:23" x14ac:dyDescent="0.25">
      <c r="A865" t="s">
        <v>3453</v>
      </c>
      <c r="B865" t="s">
        <v>1282</v>
      </c>
      <c r="C865">
        <v>181</v>
      </c>
      <c r="D865" s="105">
        <v>3231150.28</v>
      </c>
      <c r="E865" t="s">
        <v>1467</v>
      </c>
      <c r="F865" s="105">
        <v>264404.07</v>
      </c>
      <c r="G865" s="105">
        <v>3833504.23</v>
      </c>
      <c r="H865" s="143">
        <v>42697.471511377313</v>
      </c>
      <c r="I865" s="143">
        <v>43062</v>
      </c>
      <c r="J865" t="s">
        <v>3454</v>
      </c>
      <c r="K865" t="s">
        <v>1280</v>
      </c>
      <c r="L865" t="s">
        <v>1280</v>
      </c>
      <c r="M865">
        <v>200603</v>
      </c>
      <c r="N865" t="s">
        <v>3451</v>
      </c>
      <c r="O865" t="s">
        <v>44</v>
      </c>
      <c r="P865" t="s">
        <v>75</v>
      </c>
      <c r="Q865" t="s">
        <v>1442</v>
      </c>
      <c r="R865" s="105">
        <f>IF(Table__192.168.1.150_Daily_Delinquency_With_Sectors[[#This Row],[Days in Arrears]] &gt; 0, Table__192.168.1.150_Daily_Delinquency_With_Sectors[[#This Row],[Outstanding Balance]],0)</f>
        <v>3231150.28</v>
      </c>
      <c r="S865" s="105">
        <f>IF(Table__192.168.1.150_Daily_Delinquency_With_Sectors[[#This Row],[Days in Arrears]] &gt; 30, Table__192.168.1.150_Daily_Delinquency_With_Sectors[[#This Row],[Outstanding Balance]],0)</f>
        <v>3231150.28</v>
      </c>
      <c r="T865" s="105">
        <f>IF(Table__192.168.1.150_Daily_Delinquency_With_Sectors[[#This Row],[Days in Arrears]] &gt; 90, Table__192.168.1.150_Daily_Delinquency_With_Sectors[[#This Row],[Outstanding Balance]],0)</f>
        <v>3231150.28</v>
      </c>
      <c r="U865" s="109">
        <f>IF(Table__192.168.1.150_Daily_Delinquency_With_Sectors[[#This Row],[Days in Arrears]] &gt;= 1,1,0)</f>
        <v>1</v>
      </c>
      <c r="V865" s="109">
        <f>IF(Table__192.168.1.150_Daily_Delinquency_With_Sectors[[#This Row],[Days in Arrears]] &gt; 30,1,0)</f>
        <v>1</v>
      </c>
      <c r="W865" s="109">
        <f>IF(Table__192.168.1.150_Daily_Delinquency_With_Sectors[[#This Row],[Days in Arrears]] &gt; 90,1,0)</f>
        <v>1</v>
      </c>
    </row>
    <row r="866" spans="1:23" x14ac:dyDescent="0.25">
      <c r="A866" t="s">
        <v>3458</v>
      </c>
      <c r="B866" t="s">
        <v>1279</v>
      </c>
      <c r="C866">
        <v>-1</v>
      </c>
      <c r="D866" s="105">
        <v>263112.48</v>
      </c>
      <c r="E866" t="s">
        <v>2034</v>
      </c>
      <c r="F866" s="105">
        <v>11050.72</v>
      </c>
      <c r="G866" s="105">
        <v>274952.53999999998</v>
      </c>
      <c r="H866" s="143">
        <v>42697.708770254627</v>
      </c>
      <c r="I866" s="143">
        <v>43064</v>
      </c>
      <c r="J866" t="s">
        <v>3459</v>
      </c>
      <c r="K866" t="s">
        <v>1280</v>
      </c>
      <c r="L866" t="s">
        <v>1280</v>
      </c>
      <c r="M866">
        <v>200607</v>
      </c>
      <c r="N866" t="s">
        <v>3450</v>
      </c>
      <c r="O866" t="s">
        <v>25</v>
      </c>
      <c r="P866" t="s">
        <v>290</v>
      </c>
      <c r="Q866" t="s">
        <v>26</v>
      </c>
      <c r="R866" s="105">
        <f>IF(Table__192.168.1.150_Daily_Delinquency_With_Sectors[[#This Row],[Days in Arrears]] &gt; 0, Table__192.168.1.150_Daily_Delinquency_With_Sectors[[#This Row],[Outstanding Balance]],0)</f>
        <v>0</v>
      </c>
      <c r="S866" s="105">
        <f>IF(Table__192.168.1.150_Daily_Delinquency_With_Sectors[[#This Row],[Days in Arrears]] &gt; 30, Table__192.168.1.150_Daily_Delinquency_With_Sectors[[#This Row],[Outstanding Balance]],0)</f>
        <v>0</v>
      </c>
      <c r="T866" s="105">
        <f>IF(Table__192.168.1.150_Daily_Delinquency_With_Sectors[[#This Row],[Days in Arrears]] &gt; 90, Table__192.168.1.150_Daily_Delinquency_With_Sectors[[#This Row],[Outstanding Balance]],0)</f>
        <v>0</v>
      </c>
      <c r="U866" s="109">
        <f>IF(Table__192.168.1.150_Daily_Delinquency_With_Sectors[[#This Row],[Days in Arrears]] &gt;= 1,1,0)</f>
        <v>0</v>
      </c>
      <c r="V866" s="109">
        <f>IF(Table__192.168.1.150_Daily_Delinquency_With_Sectors[[#This Row],[Days in Arrears]] &gt; 30,1,0)</f>
        <v>0</v>
      </c>
      <c r="W866" s="109">
        <f>IF(Table__192.168.1.150_Daily_Delinquency_With_Sectors[[#This Row],[Days in Arrears]] &gt; 90,1,0)</f>
        <v>0</v>
      </c>
    </row>
    <row r="867" spans="1:23" x14ac:dyDescent="0.25">
      <c r="A867" t="s">
        <v>3469</v>
      </c>
      <c r="B867" t="s">
        <v>1279</v>
      </c>
      <c r="C867">
        <v>0</v>
      </c>
      <c r="D867" s="105">
        <v>314831.09999999998</v>
      </c>
      <c r="E867" t="s">
        <v>2861</v>
      </c>
      <c r="F867" s="105">
        <v>13695.15</v>
      </c>
      <c r="G867" s="105">
        <v>328998.5</v>
      </c>
      <c r="H867" s="143">
        <v>42698.678439814816</v>
      </c>
      <c r="I867" s="143">
        <v>43063</v>
      </c>
      <c r="J867" t="s">
        <v>3470</v>
      </c>
      <c r="K867" t="s">
        <v>1280</v>
      </c>
      <c r="L867" t="s">
        <v>3471</v>
      </c>
      <c r="M867">
        <v>200611</v>
      </c>
      <c r="N867" t="s">
        <v>3467</v>
      </c>
      <c r="O867" t="s">
        <v>44</v>
      </c>
      <c r="P867" t="s">
        <v>75</v>
      </c>
      <c r="Q867" t="s">
        <v>26</v>
      </c>
      <c r="R867" s="105">
        <f>IF(Table__192.168.1.150_Daily_Delinquency_With_Sectors[[#This Row],[Days in Arrears]] &gt; 0, Table__192.168.1.150_Daily_Delinquency_With_Sectors[[#This Row],[Outstanding Balance]],0)</f>
        <v>0</v>
      </c>
      <c r="S867" s="105">
        <f>IF(Table__192.168.1.150_Daily_Delinquency_With_Sectors[[#This Row],[Days in Arrears]] &gt; 30, Table__192.168.1.150_Daily_Delinquency_With_Sectors[[#This Row],[Outstanding Balance]],0)</f>
        <v>0</v>
      </c>
      <c r="T867" s="105">
        <f>IF(Table__192.168.1.150_Daily_Delinquency_With_Sectors[[#This Row],[Days in Arrears]] &gt; 90, Table__192.168.1.150_Daily_Delinquency_With_Sectors[[#This Row],[Outstanding Balance]],0)</f>
        <v>0</v>
      </c>
      <c r="U867" s="109">
        <f>IF(Table__192.168.1.150_Daily_Delinquency_With_Sectors[[#This Row],[Days in Arrears]] &gt;= 1,1,0)</f>
        <v>0</v>
      </c>
      <c r="V867" s="109">
        <f>IF(Table__192.168.1.150_Daily_Delinquency_With_Sectors[[#This Row],[Days in Arrears]] &gt; 30,1,0)</f>
        <v>0</v>
      </c>
      <c r="W867" s="109">
        <f>IF(Table__192.168.1.150_Daily_Delinquency_With_Sectors[[#This Row],[Days in Arrears]] &gt; 90,1,0)</f>
        <v>0</v>
      </c>
    </row>
    <row r="868" spans="1:23" x14ac:dyDescent="0.25">
      <c r="A868" t="s">
        <v>1069</v>
      </c>
      <c r="B868" t="s">
        <v>1285</v>
      </c>
      <c r="C868">
        <v>-27</v>
      </c>
      <c r="D868" s="105">
        <v>31593451.030000001</v>
      </c>
      <c r="E868" t="s">
        <v>284</v>
      </c>
      <c r="F868" s="105">
        <v>43879.79</v>
      </c>
      <c r="G868" s="105">
        <v>45157077.799999997</v>
      </c>
      <c r="H868" s="143">
        <v>42698.689469363424</v>
      </c>
      <c r="I868" s="143">
        <v>44156</v>
      </c>
      <c r="J868" t="s">
        <v>1070</v>
      </c>
      <c r="K868" t="s">
        <v>1280</v>
      </c>
      <c r="L868" t="s">
        <v>1280</v>
      </c>
      <c r="M868">
        <v>200612</v>
      </c>
      <c r="N868" t="s">
        <v>1655</v>
      </c>
      <c r="O868" t="s">
        <v>43</v>
      </c>
      <c r="P868" t="s">
        <v>338</v>
      </c>
      <c r="Q868" t="s">
        <v>339</v>
      </c>
      <c r="R868" s="105">
        <f>IF(Table__192.168.1.150_Daily_Delinquency_With_Sectors[[#This Row],[Days in Arrears]] &gt; 0, Table__192.168.1.150_Daily_Delinquency_With_Sectors[[#This Row],[Outstanding Balance]],0)</f>
        <v>0</v>
      </c>
      <c r="S868" s="105">
        <f>IF(Table__192.168.1.150_Daily_Delinquency_With_Sectors[[#This Row],[Days in Arrears]] &gt; 30, Table__192.168.1.150_Daily_Delinquency_With_Sectors[[#This Row],[Outstanding Balance]],0)</f>
        <v>0</v>
      </c>
      <c r="T868" s="105">
        <f>IF(Table__192.168.1.150_Daily_Delinquency_With_Sectors[[#This Row],[Days in Arrears]] &gt; 90, Table__192.168.1.150_Daily_Delinquency_With_Sectors[[#This Row],[Outstanding Balance]],0)</f>
        <v>0</v>
      </c>
      <c r="U868" s="109">
        <f>IF(Table__192.168.1.150_Daily_Delinquency_With_Sectors[[#This Row],[Days in Arrears]] &gt;= 1,1,0)</f>
        <v>0</v>
      </c>
      <c r="V868" s="109">
        <f>IF(Table__192.168.1.150_Daily_Delinquency_With_Sectors[[#This Row],[Days in Arrears]] &gt; 30,1,0)</f>
        <v>0</v>
      </c>
      <c r="W868" s="109">
        <f>IF(Table__192.168.1.150_Daily_Delinquency_With_Sectors[[#This Row],[Days in Arrears]] &gt; 90,1,0)</f>
        <v>0</v>
      </c>
    </row>
    <row r="869" spans="1:23" x14ac:dyDescent="0.25">
      <c r="A869" t="s">
        <v>3472</v>
      </c>
      <c r="B869" t="s">
        <v>1282</v>
      </c>
      <c r="C869">
        <v>-1</v>
      </c>
      <c r="D869" s="105">
        <v>525471.80000000005</v>
      </c>
      <c r="E869" t="s">
        <v>2034</v>
      </c>
      <c r="F869" s="105">
        <v>22069.82</v>
      </c>
      <c r="G869" s="105">
        <v>549118.03</v>
      </c>
      <c r="H869" s="143">
        <v>42698.514199421297</v>
      </c>
      <c r="I869" s="143">
        <v>43064</v>
      </c>
      <c r="J869" t="s">
        <v>3473</v>
      </c>
      <c r="K869" t="s">
        <v>1280</v>
      </c>
      <c r="L869" t="s">
        <v>1280</v>
      </c>
      <c r="M869">
        <v>200613</v>
      </c>
      <c r="N869" t="s">
        <v>3468</v>
      </c>
      <c r="O869" t="s">
        <v>45</v>
      </c>
      <c r="P869" t="s">
        <v>45</v>
      </c>
      <c r="Q869" t="s">
        <v>89</v>
      </c>
      <c r="R869" s="105">
        <f>IF(Table__192.168.1.150_Daily_Delinquency_With_Sectors[[#This Row],[Days in Arrears]] &gt; 0, Table__192.168.1.150_Daily_Delinquency_With_Sectors[[#This Row],[Outstanding Balance]],0)</f>
        <v>0</v>
      </c>
      <c r="S869" s="105">
        <f>IF(Table__192.168.1.150_Daily_Delinquency_With_Sectors[[#This Row],[Days in Arrears]] &gt; 30, Table__192.168.1.150_Daily_Delinquency_With_Sectors[[#This Row],[Outstanding Balance]],0)</f>
        <v>0</v>
      </c>
      <c r="T869" s="105">
        <f>IF(Table__192.168.1.150_Daily_Delinquency_With_Sectors[[#This Row],[Days in Arrears]] &gt; 90, Table__192.168.1.150_Daily_Delinquency_With_Sectors[[#This Row],[Outstanding Balance]],0)</f>
        <v>0</v>
      </c>
      <c r="U869" s="109">
        <f>IF(Table__192.168.1.150_Daily_Delinquency_With_Sectors[[#This Row],[Days in Arrears]] &gt;= 1,1,0)</f>
        <v>0</v>
      </c>
      <c r="V869" s="109">
        <f>IF(Table__192.168.1.150_Daily_Delinquency_With_Sectors[[#This Row],[Days in Arrears]] &gt; 30,1,0)</f>
        <v>0</v>
      </c>
      <c r="W869" s="109">
        <f>IF(Table__192.168.1.150_Daily_Delinquency_With_Sectors[[#This Row],[Days in Arrears]] &gt; 90,1,0)</f>
        <v>0</v>
      </c>
    </row>
    <row r="870" spans="1:23" x14ac:dyDescent="0.25">
      <c r="A870" t="s">
        <v>3477</v>
      </c>
      <c r="B870" t="s">
        <v>1282</v>
      </c>
      <c r="C870">
        <v>53</v>
      </c>
      <c r="D870" s="105">
        <v>3411565.76</v>
      </c>
      <c r="E870" t="s">
        <v>1039</v>
      </c>
      <c r="F870" s="105">
        <v>110187.39</v>
      </c>
      <c r="G870" s="105">
        <v>3580817.98</v>
      </c>
      <c r="H870" s="143">
        <v>42698.689138923612</v>
      </c>
      <c r="I870" s="143">
        <v>43070</v>
      </c>
      <c r="J870" t="s">
        <v>3478</v>
      </c>
      <c r="K870" t="s">
        <v>1280</v>
      </c>
      <c r="L870" t="s">
        <v>3479</v>
      </c>
      <c r="M870">
        <v>200616</v>
      </c>
      <c r="N870" t="s">
        <v>3460</v>
      </c>
      <c r="O870" t="s">
        <v>36</v>
      </c>
      <c r="P870" t="s">
        <v>97</v>
      </c>
      <c r="Q870" t="s">
        <v>98</v>
      </c>
      <c r="R870" s="105">
        <f>IF(Table__192.168.1.150_Daily_Delinquency_With_Sectors[[#This Row],[Days in Arrears]] &gt; 0, Table__192.168.1.150_Daily_Delinquency_With_Sectors[[#This Row],[Outstanding Balance]],0)</f>
        <v>3411565.76</v>
      </c>
      <c r="S870" s="105">
        <f>IF(Table__192.168.1.150_Daily_Delinquency_With_Sectors[[#This Row],[Days in Arrears]] &gt; 30, Table__192.168.1.150_Daily_Delinquency_With_Sectors[[#This Row],[Outstanding Balance]],0)</f>
        <v>3411565.76</v>
      </c>
      <c r="T870" s="105">
        <f>IF(Table__192.168.1.150_Daily_Delinquency_With_Sectors[[#This Row],[Days in Arrears]] &gt; 90, Table__192.168.1.150_Daily_Delinquency_With_Sectors[[#This Row],[Outstanding Balance]],0)</f>
        <v>0</v>
      </c>
      <c r="U870" s="109">
        <f>IF(Table__192.168.1.150_Daily_Delinquency_With_Sectors[[#This Row],[Days in Arrears]] &gt;= 1,1,0)</f>
        <v>1</v>
      </c>
      <c r="V870" s="109">
        <f>IF(Table__192.168.1.150_Daily_Delinquency_With_Sectors[[#This Row],[Days in Arrears]] &gt; 30,1,0)</f>
        <v>1</v>
      </c>
      <c r="W870" s="109">
        <f>IF(Table__192.168.1.150_Daily_Delinquency_With_Sectors[[#This Row],[Days in Arrears]] &gt; 90,1,0)</f>
        <v>0</v>
      </c>
    </row>
    <row r="871" spans="1:23" x14ac:dyDescent="0.25">
      <c r="A871" t="s">
        <v>3482</v>
      </c>
      <c r="B871" t="s">
        <v>1284</v>
      </c>
      <c r="C871">
        <v>-7</v>
      </c>
      <c r="D871" s="105">
        <v>1498685.47</v>
      </c>
      <c r="E871" t="s">
        <v>2034</v>
      </c>
      <c r="F871" s="105">
        <v>36634.53</v>
      </c>
      <c r="G871" s="105">
        <v>1548641.65</v>
      </c>
      <c r="H871" s="143">
        <v>42698.749268321757</v>
      </c>
      <c r="I871" s="143">
        <v>43070</v>
      </c>
      <c r="J871" t="s">
        <v>3483</v>
      </c>
      <c r="K871" t="s">
        <v>1280</v>
      </c>
      <c r="L871" t="s">
        <v>3484</v>
      </c>
      <c r="M871">
        <v>200618</v>
      </c>
      <c r="N871" t="s">
        <v>3465</v>
      </c>
      <c r="O871" t="s">
        <v>37</v>
      </c>
      <c r="P871" t="s">
        <v>38</v>
      </c>
      <c r="Q871" t="s">
        <v>1681</v>
      </c>
      <c r="R871" s="105">
        <f>IF(Table__192.168.1.150_Daily_Delinquency_With_Sectors[[#This Row],[Days in Arrears]] &gt; 0, Table__192.168.1.150_Daily_Delinquency_With_Sectors[[#This Row],[Outstanding Balance]],0)</f>
        <v>0</v>
      </c>
      <c r="S871" s="105">
        <f>IF(Table__192.168.1.150_Daily_Delinquency_With_Sectors[[#This Row],[Days in Arrears]] &gt; 30, Table__192.168.1.150_Daily_Delinquency_With_Sectors[[#This Row],[Outstanding Balance]],0)</f>
        <v>0</v>
      </c>
      <c r="T871" s="105">
        <f>IF(Table__192.168.1.150_Daily_Delinquency_With_Sectors[[#This Row],[Days in Arrears]] &gt; 90, Table__192.168.1.150_Daily_Delinquency_With_Sectors[[#This Row],[Outstanding Balance]],0)</f>
        <v>0</v>
      </c>
      <c r="U871" s="109">
        <f>IF(Table__192.168.1.150_Daily_Delinquency_With_Sectors[[#This Row],[Days in Arrears]] &gt;= 1,1,0)</f>
        <v>0</v>
      </c>
      <c r="V871" s="109">
        <f>IF(Table__192.168.1.150_Daily_Delinquency_With_Sectors[[#This Row],[Days in Arrears]] &gt; 30,1,0)</f>
        <v>0</v>
      </c>
      <c r="W871" s="109">
        <f>IF(Table__192.168.1.150_Daily_Delinquency_With_Sectors[[#This Row],[Days in Arrears]] &gt; 90,1,0)</f>
        <v>0</v>
      </c>
    </row>
    <row r="872" spans="1:23" x14ac:dyDescent="0.25">
      <c r="A872" t="s">
        <v>3499</v>
      </c>
      <c r="B872" t="s">
        <v>1284</v>
      </c>
      <c r="C872">
        <v>20</v>
      </c>
      <c r="D872" s="105">
        <v>17056856.73</v>
      </c>
      <c r="E872" t="s">
        <v>1925</v>
      </c>
      <c r="F872" s="105">
        <v>819048.02</v>
      </c>
      <c r="G872" s="105">
        <v>21533956.289999999</v>
      </c>
      <c r="H872" s="143">
        <v>42699.717979398149</v>
      </c>
      <c r="I872" s="143">
        <v>43438</v>
      </c>
      <c r="J872" t="s">
        <v>3500</v>
      </c>
      <c r="K872" t="s">
        <v>1280</v>
      </c>
      <c r="L872" t="s">
        <v>3501</v>
      </c>
      <c r="M872">
        <v>200624</v>
      </c>
      <c r="N872" t="s">
        <v>3489</v>
      </c>
      <c r="O872" t="s">
        <v>44</v>
      </c>
      <c r="P872" t="s">
        <v>75</v>
      </c>
      <c r="Q872" t="s">
        <v>1442</v>
      </c>
      <c r="R872" s="105">
        <f>IF(Table__192.168.1.150_Daily_Delinquency_With_Sectors[[#This Row],[Days in Arrears]] &gt; 0, Table__192.168.1.150_Daily_Delinquency_With_Sectors[[#This Row],[Outstanding Balance]],0)</f>
        <v>17056856.73</v>
      </c>
      <c r="S872" s="105">
        <f>IF(Table__192.168.1.150_Daily_Delinquency_With_Sectors[[#This Row],[Days in Arrears]] &gt; 30, Table__192.168.1.150_Daily_Delinquency_With_Sectors[[#This Row],[Outstanding Balance]],0)</f>
        <v>0</v>
      </c>
      <c r="T872" s="105">
        <f>IF(Table__192.168.1.150_Daily_Delinquency_With_Sectors[[#This Row],[Days in Arrears]] &gt; 90, Table__192.168.1.150_Daily_Delinquency_With_Sectors[[#This Row],[Outstanding Balance]],0)</f>
        <v>0</v>
      </c>
      <c r="U872" s="109">
        <f>IF(Table__192.168.1.150_Daily_Delinquency_With_Sectors[[#This Row],[Days in Arrears]] &gt;= 1,1,0)</f>
        <v>1</v>
      </c>
      <c r="V872" s="109">
        <f>IF(Table__192.168.1.150_Daily_Delinquency_With_Sectors[[#This Row],[Days in Arrears]] &gt; 30,1,0)</f>
        <v>0</v>
      </c>
      <c r="W872" s="109">
        <f>IF(Table__192.168.1.150_Daily_Delinquency_With_Sectors[[#This Row],[Days in Arrears]] &gt; 90,1,0)</f>
        <v>0</v>
      </c>
    </row>
    <row r="873" spans="1:23" x14ac:dyDescent="0.25">
      <c r="A873" t="s">
        <v>3504</v>
      </c>
      <c r="B873" t="s">
        <v>1284</v>
      </c>
      <c r="C873">
        <v>52</v>
      </c>
      <c r="D873" s="105">
        <v>1069238.57</v>
      </c>
      <c r="E873" t="s">
        <v>2538</v>
      </c>
      <c r="F873" s="105">
        <v>32195.4</v>
      </c>
      <c r="G873" s="105">
        <v>1118604.8500000001</v>
      </c>
      <c r="H873" s="143">
        <v>42700.540309756943</v>
      </c>
      <c r="I873" s="143">
        <v>43071</v>
      </c>
      <c r="J873" t="s">
        <v>3505</v>
      </c>
      <c r="K873" t="s">
        <v>1280</v>
      </c>
      <c r="L873" t="s">
        <v>3506</v>
      </c>
      <c r="M873">
        <v>200625</v>
      </c>
      <c r="N873" t="s">
        <v>3503</v>
      </c>
      <c r="O873" t="s">
        <v>44</v>
      </c>
      <c r="P873" t="s">
        <v>75</v>
      </c>
      <c r="Q873" t="s">
        <v>26</v>
      </c>
      <c r="R873" s="105">
        <f>IF(Table__192.168.1.150_Daily_Delinquency_With_Sectors[[#This Row],[Days in Arrears]] &gt; 0, Table__192.168.1.150_Daily_Delinquency_With_Sectors[[#This Row],[Outstanding Balance]],0)</f>
        <v>1069238.57</v>
      </c>
      <c r="S873" s="105">
        <f>IF(Table__192.168.1.150_Daily_Delinquency_With_Sectors[[#This Row],[Days in Arrears]] &gt; 30, Table__192.168.1.150_Daily_Delinquency_With_Sectors[[#This Row],[Outstanding Balance]],0)</f>
        <v>1069238.57</v>
      </c>
      <c r="T873" s="105">
        <f>IF(Table__192.168.1.150_Daily_Delinquency_With_Sectors[[#This Row],[Days in Arrears]] &gt; 90, Table__192.168.1.150_Daily_Delinquency_With_Sectors[[#This Row],[Outstanding Balance]],0)</f>
        <v>0</v>
      </c>
      <c r="U873" s="109">
        <f>IF(Table__192.168.1.150_Daily_Delinquency_With_Sectors[[#This Row],[Days in Arrears]] &gt;= 1,1,0)</f>
        <v>1</v>
      </c>
      <c r="V873" s="109">
        <f>IF(Table__192.168.1.150_Daily_Delinquency_With_Sectors[[#This Row],[Days in Arrears]] &gt; 30,1,0)</f>
        <v>1</v>
      </c>
      <c r="W873" s="109">
        <f>IF(Table__192.168.1.150_Daily_Delinquency_With_Sectors[[#This Row],[Days in Arrears]] &gt; 90,1,0)</f>
        <v>0</v>
      </c>
    </row>
    <row r="874" spans="1:23" x14ac:dyDescent="0.25">
      <c r="A874" t="s">
        <v>3507</v>
      </c>
      <c r="B874" t="s">
        <v>1282</v>
      </c>
      <c r="C874">
        <v>173</v>
      </c>
      <c r="D874" s="105">
        <v>3254340.35</v>
      </c>
      <c r="E874" t="s">
        <v>1039</v>
      </c>
      <c r="F874" s="105">
        <v>275421.42</v>
      </c>
      <c r="G874" s="105">
        <v>3865864.36</v>
      </c>
      <c r="H874" s="143">
        <v>42700.50767673611</v>
      </c>
      <c r="I874" s="143">
        <v>43070</v>
      </c>
      <c r="J874" t="s">
        <v>3508</v>
      </c>
      <c r="K874" t="s">
        <v>1280</v>
      </c>
      <c r="L874" t="s">
        <v>3509</v>
      </c>
      <c r="M874">
        <v>200627</v>
      </c>
      <c r="N874" t="s">
        <v>3502</v>
      </c>
      <c r="O874" t="s">
        <v>44</v>
      </c>
      <c r="P874" t="s">
        <v>75</v>
      </c>
      <c r="Q874" t="s">
        <v>1442</v>
      </c>
      <c r="R874" s="105">
        <f>IF(Table__192.168.1.150_Daily_Delinquency_With_Sectors[[#This Row],[Days in Arrears]] &gt; 0, Table__192.168.1.150_Daily_Delinquency_With_Sectors[[#This Row],[Outstanding Balance]],0)</f>
        <v>3254340.35</v>
      </c>
      <c r="S874" s="105">
        <f>IF(Table__192.168.1.150_Daily_Delinquency_With_Sectors[[#This Row],[Days in Arrears]] &gt; 30, Table__192.168.1.150_Daily_Delinquency_With_Sectors[[#This Row],[Outstanding Balance]],0)</f>
        <v>3254340.35</v>
      </c>
      <c r="T874" s="105">
        <f>IF(Table__192.168.1.150_Daily_Delinquency_With_Sectors[[#This Row],[Days in Arrears]] &gt; 90, Table__192.168.1.150_Daily_Delinquency_With_Sectors[[#This Row],[Outstanding Balance]],0)</f>
        <v>3254340.35</v>
      </c>
      <c r="U874" s="109">
        <f>IF(Table__192.168.1.150_Daily_Delinquency_With_Sectors[[#This Row],[Days in Arrears]] &gt;= 1,1,0)</f>
        <v>1</v>
      </c>
      <c r="V874" s="109">
        <f>IF(Table__192.168.1.150_Daily_Delinquency_With_Sectors[[#This Row],[Days in Arrears]] &gt; 30,1,0)</f>
        <v>1</v>
      </c>
      <c r="W874" s="109">
        <f>IF(Table__192.168.1.150_Daily_Delinquency_With_Sectors[[#This Row],[Days in Arrears]] &gt; 90,1,0)</f>
        <v>1</v>
      </c>
    </row>
    <row r="875" spans="1:23" x14ac:dyDescent="0.25">
      <c r="A875" t="s">
        <v>3519</v>
      </c>
      <c r="B875" t="s">
        <v>1284</v>
      </c>
      <c r="C875">
        <v>-8</v>
      </c>
      <c r="D875" s="105">
        <v>16218774.91</v>
      </c>
      <c r="E875" t="s">
        <v>4684</v>
      </c>
      <c r="F875" s="105">
        <v>378438.08</v>
      </c>
      <c r="G875" s="105">
        <v>24158538.390000001</v>
      </c>
      <c r="H875" s="143">
        <v>42702.629713541668</v>
      </c>
      <c r="I875" s="143">
        <v>43801</v>
      </c>
      <c r="J875" t="s">
        <v>3520</v>
      </c>
      <c r="K875" t="s">
        <v>1280</v>
      </c>
      <c r="L875" t="s">
        <v>1280</v>
      </c>
      <c r="M875">
        <v>200630</v>
      </c>
      <c r="N875" t="s">
        <v>3513</v>
      </c>
      <c r="O875" t="s">
        <v>44</v>
      </c>
      <c r="P875" t="s">
        <v>75</v>
      </c>
      <c r="Q875" t="s">
        <v>26</v>
      </c>
      <c r="R875" s="105">
        <f>IF(Table__192.168.1.150_Daily_Delinquency_With_Sectors[[#This Row],[Days in Arrears]] &gt; 0, Table__192.168.1.150_Daily_Delinquency_With_Sectors[[#This Row],[Outstanding Balance]],0)</f>
        <v>0</v>
      </c>
      <c r="S875" s="105">
        <f>IF(Table__192.168.1.150_Daily_Delinquency_With_Sectors[[#This Row],[Days in Arrears]] &gt; 30, Table__192.168.1.150_Daily_Delinquency_With_Sectors[[#This Row],[Outstanding Balance]],0)</f>
        <v>0</v>
      </c>
      <c r="T875" s="105">
        <f>IF(Table__192.168.1.150_Daily_Delinquency_With_Sectors[[#This Row],[Days in Arrears]] &gt; 90, Table__192.168.1.150_Daily_Delinquency_With_Sectors[[#This Row],[Outstanding Balance]],0)</f>
        <v>0</v>
      </c>
      <c r="U875" s="109">
        <f>IF(Table__192.168.1.150_Daily_Delinquency_With_Sectors[[#This Row],[Days in Arrears]] &gt;= 1,1,0)</f>
        <v>0</v>
      </c>
      <c r="V875" s="109">
        <f>IF(Table__192.168.1.150_Daily_Delinquency_With_Sectors[[#This Row],[Days in Arrears]] &gt; 30,1,0)</f>
        <v>0</v>
      </c>
      <c r="W875" s="109">
        <f>IF(Table__192.168.1.150_Daily_Delinquency_With_Sectors[[#This Row],[Days in Arrears]] &gt; 90,1,0)</f>
        <v>0</v>
      </c>
    </row>
    <row r="876" spans="1:23" x14ac:dyDescent="0.25">
      <c r="A876" t="s">
        <v>1741</v>
      </c>
      <c r="B876" t="s">
        <v>1282</v>
      </c>
      <c r="C876">
        <v>-7</v>
      </c>
      <c r="D876" s="105">
        <v>514240.38</v>
      </c>
      <c r="E876" t="s">
        <v>1667</v>
      </c>
      <c r="F876" s="105">
        <v>15084.38</v>
      </c>
      <c r="G876" s="105">
        <v>534810</v>
      </c>
      <c r="H876" s="143">
        <v>42702.681502002313</v>
      </c>
      <c r="I876" s="143">
        <v>43070</v>
      </c>
      <c r="J876" t="s">
        <v>1742</v>
      </c>
      <c r="K876" t="s">
        <v>1840</v>
      </c>
      <c r="L876" t="s">
        <v>1280</v>
      </c>
      <c r="M876">
        <v>200633</v>
      </c>
      <c r="N876" t="s">
        <v>1740</v>
      </c>
      <c r="O876" t="s">
        <v>35</v>
      </c>
      <c r="P876" t="s">
        <v>26</v>
      </c>
      <c r="Q876" t="s">
        <v>26</v>
      </c>
      <c r="R876" s="105">
        <f>IF(Table__192.168.1.150_Daily_Delinquency_With_Sectors[[#This Row],[Days in Arrears]] &gt; 0, Table__192.168.1.150_Daily_Delinquency_With_Sectors[[#This Row],[Outstanding Balance]],0)</f>
        <v>0</v>
      </c>
      <c r="S876" s="105">
        <f>IF(Table__192.168.1.150_Daily_Delinquency_With_Sectors[[#This Row],[Days in Arrears]] &gt; 30, Table__192.168.1.150_Daily_Delinquency_With_Sectors[[#This Row],[Outstanding Balance]],0)</f>
        <v>0</v>
      </c>
      <c r="T876" s="105">
        <f>IF(Table__192.168.1.150_Daily_Delinquency_With_Sectors[[#This Row],[Days in Arrears]] &gt; 90, Table__192.168.1.150_Daily_Delinquency_With_Sectors[[#This Row],[Outstanding Balance]],0)</f>
        <v>0</v>
      </c>
      <c r="U876" s="109">
        <f>IF(Table__192.168.1.150_Daily_Delinquency_With_Sectors[[#This Row],[Days in Arrears]] &gt;= 1,1,0)</f>
        <v>0</v>
      </c>
      <c r="V876" s="109">
        <f>IF(Table__192.168.1.150_Daily_Delinquency_With_Sectors[[#This Row],[Days in Arrears]] &gt; 30,1,0)</f>
        <v>0</v>
      </c>
      <c r="W876" s="109">
        <f>IF(Table__192.168.1.150_Daily_Delinquency_With_Sectors[[#This Row],[Days in Arrears]] &gt; 90,1,0)</f>
        <v>0</v>
      </c>
    </row>
    <row r="877" spans="1:23" x14ac:dyDescent="0.25">
      <c r="A877" t="s">
        <v>3535</v>
      </c>
      <c r="B877" t="s">
        <v>1866</v>
      </c>
      <c r="C877">
        <v>142</v>
      </c>
      <c r="D877" s="105">
        <v>2927238.19</v>
      </c>
      <c r="E877" t="s">
        <v>2175</v>
      </c>
      <c r="F877" s="105">
        <v>116531.22</v>
      </c>
      <c r="G877" s="105">
        <v>3295967.16</v>
      </c>
      <c r="H877" s="143">
        <v>42703.705507673614</v>
      </c>
      <c r="I877" s="143">
        <v>43071</v>
      </c>
      <c r="J877" t="s">
        <v>3536</v>
      </c>
      <c r="K877" t="s">
        <v>1280</v>
      </c>
      <c r="L877" t="s">
        <v>1280</v>
      </c>
      <c r="M877">
        <v>200635</v>
      </c>
      <c r="N877" t="s">
        <v>3527</v>
      </c>
      <c r="O877" t="s">
        <v>25</v>
      </c>
      <c r="P877" t="s">
        <v>88</v>
      </c>
      <c r="Q877" t="s">
        <v>26</v>
      </c>
      <c r="R877" s="105">
        <f>IF(Table__192.168.1.150_Daily_Delinquency_With_Sectors[[#This Row],[Days in Arrears]] &gt; 0, Table__192.168.1.150_Daily_Delinquency_With_Sectors[[#This Row],[Outstanding Balance]],0)</f>
        <v>2927238.19</v>
      </c>
      <c r="S877" s="105">
        <f>IF(Table__192.168.1.150_Daily_Delinquency_With_Sectors[[#This Row],[Days in Arrears]] &gt; 30, Table__192.168.1.150_Daily_Delinquency_With_Sectors[[#This Row],[Outstanding Balance]],0)</f>
        <v>2927238.19</v>
      </c>
      <c r="T877" s="105">
        <f>IF(Table__192.168.1.150_Daily_Delinquency_With_Sectors[[#This Row],[Days in Arrears]] &gt; 90, Table__192.168.1.150_Daily_Delinquency_With_Sectors[[#This Row],[Outstanding Balance]],0)</f>
        <v>2927238.19</v>
      </c>
      <c r="U877" s="109">
        <f>IF(Table__192.168.1.150_Daily_Delinquency_With_Sectors[[#This Row],[Days in Arrears]] &gt;= 1,1,0)</f>
        <v>1</v>
      </c>
      <c r="V877" s="109">
        <f>IF(Table__192.168.1.150_Daily_Delinquency_With_Sectors[[#This Row],[Days in Arrears]] &gt; 30,1,0)</f>
        <v>1</v>
      </c>
      <c r="W877" s="109">
        <f>IF(Table__192.168.1.150_Daily_Delinquency_With_Sectors[[#This Row],[Days in Arrears]] &gt; 90,1,0)</f>
        <v>1</v>
      </c>
    </row>
    <row r="878" spans="1:23" x14ac:dyDescent="0.25">
      <c r="A878" t="s">
        <v>3537</v>
      </c>
      <c r="B878" t="s">
        <v>1283</v>
      </c>
      <c r="C878">
        <v>-8</v>
      </c>
      <c r="D878" s="105">
        <v>27802012.670000002</v>
      </c>
      <c r="E878" t="s">
        <v>1191</v>
      </c>
      <c r="F878" s="105">
        <v>648713.63</v>
      </c>
      <c r="G878" s="105">
        <v>34713282.649999999</v>
      </c>
      <c r="H878" s="143">
        <v>42703.623028935188</v>
      </c>
      <c r="I878" s="143">
        <v>43436</v>
      </c>
      <c r="J878" t="s">
        <v>3538</v>
      </c>
      <c r="K878" t="s">
        <v>1280</v>
      </c>
      <c r="L878" t="s">
        <v>3539</v>
      </c>
      <c r="M878">
        <v>200636</v>
      </c>
      <c r="N878" t="s">
        <v>3528</v>
      </c>
      <c r="O878" t="s">
        <v>44</v>
      </c>
      <c r="P878" t="s">
        <v>75</v>
      </c>
      <c r="Q878" t="s">
        <v>26</v>
      </c>
      <c r="R878" s="105">
        <f>IF(Table__192.168.1.150_Daily_Delinquency_With_Sectors[[#This Row],[Days in Arrears]] &gt; 0, Table__192.168.1.150_Daily_Delinquency_With_Sectors[[#This Row],[Outstanding Balance]],0)</f>
        <v>0</v>
      </c>
      <c r="S878" s="105">
        <f>IF(Table__192.168.1.150_Daily_Delinquency_With_Sectors[[#This Row],[Days in Arrears]] &gt; 30, Table__192.168.1.150_Daily_Delinquency_With_Sectors[[#This Row],[Outstanding Balance]],0)</f>
        <v>0</v>
      </c>
      <c r="T878" s="105">
        <f>IF(Table__192.168.1.150_Daily_Delinquency_With_Sectors[[#This Row],[Days in Arrears]] &gt; 90, Table__192.168.1.150_Daily_Delinquency_With_Sectors[[#This Row],[Outstanding Balance]],0)</f>
        <v>0</v>
      </c>
      <c r="U878" s="109">
        <f>IF(Table__192.168.1.150_Daily_Delinquency_With_Sectors[[#This Row],[Days in Arrears]] &gt;= 1,1,0)</f>
        <v>0</v>
      </c>
      <c r="V878" s="109">
        <f>IF(Table__192.168.1.150_Daily_Delinquency_With_Sectors[[#This Row],[Days in Arrears]] &gt; 30,1,0)</f>
        <v>0</v>
      </c>
      <c r="W878" s="109">
        <f>IF(Table__192.168.1.150_Daily_Delinquency_With_Sectors[[#This Row],[Days in Arrears]] &gt; 90,1,0)</f>
        <v>0</v>
      </c>
    </row>
    <row r="879" spans="1:23" x14ac:dyDescent="0.25">
      <c r="A879" t="s">
        <v>3543</v>
      </c>
      <c r="B879" t="s">
        <v>1283</v>
      </c>
      <c r="C879">
        <v>-8</v>
      </c>
      <c r="D879" s="105">
        <v>41543237.329999998</v>
      </c>
      <c r="E879" t="s">
        <v>2538</v>
      </c>
      <c r="F879" s="105">
        <v>969342.2</v>
      </c>
      <c r="G879" s="105">
        <v>51870422.369999997</v>
      </c>
      <c r="H879" s="143">
        <v>42703.767264085647</v>
      </c>
      <c r="I879" s="143">
        <v>43436</v>
      </c>
      <c r="J879" t="s">
        <v>3544</v>
      </c>
      <c r="K879" t="s">
        <v>1280</v>
      </c>
      <c r="L879" t="s">
        <v>3545</v>
      </c>
      <c r="M879">
        <v>200638</v>
      </c>
      <c r="N879" t="s">
        <v>3524</v>
      </c>
      <c r="O879" t="s">
        <v>36</v>
      </c>
      <c r="P879" t="s">
        <v>97</v>
      </c>
      <c r="Q879" t="s">
        <v>98</v>
      </c>
      <c r="R879" s="105">
        <f>IF(Table__192.168.1.150_Daily_Delinquency_With_Sectors[[#This Row],[Days in Arrears]] &gt; 0, Table__192.168.1.150_Daily_Delinquency_With_Sectors[[#This Row],[Outstanding Balance]],0)</f>
        <v>0</v>
      </c>
      <c r="S879" s="105">
        <f>IF(Table__192.168.1.150_Daily_Delinquency_With_Sectors[[#This Row],[Days in Arrears]] &gt; 30, Table__192.168.1.150_Daily_Delinquency_With_Sectors[[#This Row],[Outstanding Balance]],0)</f>
        <v>0</v>
      </c>
      <c r="T879" s="105">
        <f>IF(Table__192.168.1.150_Daily_Delinquency_With_Sectors[[#This Row],[Days in Arrears]] &gt; 90, Table__192.168.1.150_Daily_Delinquency_With_Sectors[[#This Row],[Outstanding Balance]],0)</f>
        <v>0</v>
      </c>
      <c r="U879" s="109">
        <f>IF(Table__192.168.1.150_Daily_Delinquency_With_Sectors[[#This Row],[Days in Arrears]] &gt;= 1,1,0)</f>
        <v>0</v>
      </c>
      <c r="V879" s="109">
        <f>IF(Table__192.168.1.150_Daily_Delinquency_With_Sectors[[#This Row],[Days in Arrears]] &gt; 30,1,0)</f>
        <v>0</v>
      </c>
      <c r="W879" s="109">
        <f>IF(Table__192.168.1.150_Daily_Delinquency_With_Sectors[[#This Row],[Days in Arrears]] &gt; 90,1,0)</f>
        <v>0</v>
      </c>
    </row>
    <row r="880" spans="1:23" x14ac:dyDescent="0.25">
      <c r="A880" t="s">
        <v>3592</v>
      </c>
      <c r="B880" t="s">
        <v>1282</v>
      </c>
      <c r="C880">
        <v>-8</v>
      </c>
      <c r="D880" s="105">
        <v>263112.48</v>
      </c>
      <c r="E880" t="s">
        <v>1447</v>
      </c>
      <c r="F880" s="105">
        <v>8288.0400000000009</v>
      </c>
      <c r="G880" s="105">
        <v>274952.53999999998</v>
      </c>
      <c r="H880" s="143">
        <v>42704.536556863422</v>
      </c>
      <c r="I880" s="143">
        <v>43071</v>
      </c>
      <c r="J880" t="s">
        <v>3593</v>
      </c>
      <c r="K880" t="s">
        <v>1280</v>
      </c>
      <c r="L880" t="s">
        <v>3594</v>
      </c>
      <c r="M880">
        <v>200640</v>
      </c>
      <c r="N880" t="s">
        <v>3551</v>
      </c>
      <c r="O880" t="s">
        <v>25</v>
      </c>
      <c r="P880" t="s">
        <v>88</v>
      </c>
      <c r="Q880" t="s">
        <v>285</v>
      </c>
      <c r="R880" s="105">
        <f>IF(Table__192.168.1.150_Daily_Delinquency_With_Sectors[[#This Row],[Days in Arrears]] &gt; 0, Table__192.168.1.150_Daily_Delinquency_With_Sectors[[#This Row],[Outstanding Balance]],0)</f>
        <v>0</v>
      </c>
      <c r="S880" s="105">
        <f>IF(Table__192.168.1.150_Daily_Delinquency_With_Sectors[[#This Row],[Days in Arrears]] &gt; 30, Table__192.168.1.150_Daily_Delinquency_With_Sectors[[#This Row],[Outstanding Balance]],0)</f>
        <v>0</v>
      </c>
      <c r="T880" s="105">
        <f>IF(Table__192.168.1.150_Daily_Delinquency_With_Sectors[[#This Row],[Days in Arrears]] &gt; 90, Table__192.168.1.150_Daily_Delinquency_With_Sectors[[#This Row],[Outstanding Balance]],0)</f>
        <v>0</v>
      </c>
      <c r="U880" s="109">
        <f>IF(Table__192.168.1.150_Daily_Delinquency_With_Sectors[[#This Row],[Days in Arrears]] &gt;= 1,1,0)</f>
        <v>0</v>
      </c>
      <c r="V880" s="109">
        <f>IF(Table__192.168.1.150_Daily_Delinquency_With_Sectors[[#This Row],[Days in Arrears]] &gt; 30,1,0)</f>
        <v>0</v>
      </c>
      <c r="W880" s="109">
        <f>IF(Table__192.168.1.150_Daily_Delinquency_With_Sectors[[#This Row],[Days in Arrears]] &gt; 90,1,0)</f>
        <v>0</v>
      </c>
    </row>
    <row r="881" spans="1:23" x14ac:dyDescent="0.25">
      <c r="A881" t="s">
        <v>1887</v>
      </c>
      <c r="B881" t="s">
        <v>1283</v>
      </c>
      <c r="C881">
        <v>-29</v>
      </c>
      <c r="D881" s="105">
        <v>37944643.210000001</v>
      </c>
      <c r="E881" t="s">
        <v>90</v>
      </c>
      <c r="F881" s="105">
        <v>1216212.8500000001</v>
      </c>
      <c r="G881" s="105">
        <v>45743975.899999999</v>
      </c>
      <c r="H881" s="143">
        <v>42704.649020405093</v>
      </c>
      <c r="I881" s="143">
        <v>43427</v>
      </c>
      <c r="J881" t="s">
        <v>1888</v>
      </c>
      <c r="K881" t="s">
        <v>1280</v>
      </c>
      <c r="L881" t="s">
        <v>1280</v>
      </c>
      <c r="M881">
        <v>200641</v>
      </c>
      <c r="N881" t="s">
        <v>1885</v>
      </c>
      <c r="O881" t="s">
        <v>27</v>
      </c>
      <c r="P881" t="s">
        <v>81</v>
      </c>
      <c r="Q881" t="s">
        <v>26</v>
      </c>
      <c r="R881" s="105">
        <f>IF(Table__192.168.1.150_Daily_Delinquency_With_Sectors[[#This Row],[Days in Arrears]] &gt; 0, Table__192.168.1.150_Daily_Delinquency_With_Sectors[[#This Row],[Outstanding Balance]],0)</f>
        <v>0</v>
      </c>
      <c r="S881" s="105">
        <f>IF(Table__192.168.1.150_Daily_Delinquency_With_Sectors[[#This Row],[Days in Arrears]] &gt; 30, Table__192.168.1.150_Daily_Delinquency_With_Sectors[[#This Row],[Outstanding Balance]],0)</f>
        <v>0</v>
      </c>
      <c r="T881" s="105">
        <f>IF(Table__192.168.1.150_Daily_Delinquency_With_Sectors[[#This Row],[Days in Arrears]] &gt; 90, Table__192.168.1.150_Daily_Delinquency_With_Sectors[[#This Row],[Outstanding Balance]],0)</f>
        <v>0</v>
      </c>
      <c r="U881" s="109">
        <f>IF(Table__192.168.1.150_Daily_Delinquency_With_Sectors[[#This Row],[Days in Arrears]] &gt;= 1,1,0)</f>
        <v>0</v>
      </c>
      <c r="V881" s="109">
        <f>IF(Table__192.168.1.150_Daily_Delinquency_With_Sectors[[#This Row],[Days in Arrears]] &gt; 30,1,0)</f>
        <v>0</v>
      </c>
      <c r="W881" s="109">
        <f>IF(Table__192.168.1.150_Daily_Delinquency_With_Sectors[[#This Row],[Days in Arrears]] &gt; 90,1,0)</f>
        <v>0</v>
      </c>
    </row>
    <row r="882" spans="1:23" x14ac:dyDescent="0.25">
      <c r="A882" t="s">
        <v>3597</v>
      </c>
      <c r="B882" t="s">
        <v>1279</v>
      </c>
      <c r="C882">
        <v>-8</v>
      </c>
      <c r="D882" s="105">
        <v>526224.96</v>
      </c>
      <c r="E882" t="s">
        <v>2861</v>
      </c>
      <c r="F882" s="105">
        <v>16576.09</v>
      </c>
      <c r="G882" s="105">
        <v>549905.07999999996</v>
      </c>
      <c r="H882" s="143">
        <v>42704.782254594909</v>
      </c>
      <c r="I882" s="143">
        <v>43071</v>
      </c>
      <c r="J882" t="s">
        <v>3598</v>
      </c>
      <c r="K882" t="s">
        <v>1280</v>
      </c>
      <c r="L882" t="s">
        <v>1280</v>
      </c>
      <c r="M882">
        <v>200644</v>
      </c>
      <c r="N882" t="s">
        <v>3546</v>
      </c>
      <c r="O882" t="s">
        <v>27</v>
      </c>
      <c r="P882" t="s">
        <v>26</v>
      </c>
      <c r="Q882" t="s">
        <v>26</v>
      </c>
      <c r="R882" s="105">
        <f>IF(Table__192.168.1.150_Daily_Delinquency_With_Sectors[[#This Row],[Days in Arrears]] &gt; 0, Table__192.168.1.150_Daily_Delinquency_With_Sectors[[#This Row],[Outstanding Balance]],0)</f>
        <v>0</v>
      </c>
      <c r="S882" s="105">
        <f>IF(Table__192.168.1.150_Daily_Delinquency_With_Sectors[[#This Row],[Days in Arrears]] &gt; 30, Table__192.168.1.150_Daily_Delinquency_With_Sectors[[#This Row],[Outstanding Balance]],0)</f>
        <v>0</v>
      </c>
      <c r="T882" s="105">
        <f>IF(Table__192.168.1.150_Daily_Delinquency_With_Sectors[[#This Row],[Days in Arrears]] &gt; 90, Table__192.168.1.150_Daily_Delinquency_With_Sectors[[#This Row],[Outstanding Balance]],0)</f>
        <v>0</v>
      </c>
      <c r="U882" s="109">
        <f>IF(Table__192.168.1.150_Daily_Delinquency_With_Sectors[[#This Row],[Days in Arrears]] &gt;= 1,1,0)</f>
        <v>0</v>
      </c>
      <c r="V882" s="109">
        <f>IF(Table__192.168.1.150_Daily_Delinquency_With_Sectors[[#This Row],[Days in Arrears]] &gt; 30,1,0)</f>
        <v>0</v>
      </c>
      <c r="W882" s="109">
        <f>IF(Table__192.168.1.150_Daily_Delinquency_With_Sectors[[#This Row],[Days in Arrears]] &gt; 90,1,0)</f>
        <v>0</v>
      </c>
    </row>
    <row r="883" spans="1:23" x14ac:dyDescent="0.25">
      <c r="A883" t="s">
        <v>3599</v>
      </c>
      <c r="B883" t="s">
        <v>1284</v>
      </c>
      <c r="C883">
        <v>52</v>
      </c>
      <c r="D883" s="105">
        <v>10720268.91</v>
      </c>
      <c r="E883" t="s">
        <v>1467</v>
      </c>
      <c r="F883" s="105">
        <v>695290.58</v>
      </c>
      <c r="G883" s="105">
        <v>13796847.49</v>
      </c>
      <c r="H883" s="143">
        <v>42704.812343321762</v>
      </c>
      <c r="I883" s="143">
        <v>43436</v>
      </c>
      <c r="J883" t="s">
        <v>3600</v>
      </c>
      <c r="K883" t="s">
        <v>1280</v>
      </c>
      <c r="L883" t="s">
        <v>3601</v>
      </c>
      <c r="M883">
        <v>200645</v>
      </c>
      <c r="N883" t="s">
        <v>3556</v>
      </c>
      <c r="O883" t="s">
        <v>44</v>
      </c>
      <c r="P883" t="s">
        <v>75</v>
      </c>
      <c r="Q883" t="s">
        <v>1442</v>
      </c>
      <c r="R883" s="105">
        <f>IF(Table__192.168.1.150_Daily_Delinquency_With_Sectors[[#This Row],[Days in Arrears]] &gt; 0, Table__192.168.1.150_Daily_Delinquency_With_Sectors[[#This Row],[Outstanding Balance]],0)</f>
        <v>10720268.91</v>
      </c>
      <c r="S883" s="105">
        <f>IF(Table__192.168.1.150_Daily_Delinquency_With_Sectors[[#This Row],[Days in Arrears]] &gt; 30, Table__192.168.1.150_Daily_Delinquency_With_Sectors[[#This Row],[Outstanding Balance]],0)</f>
        <v>10720268.91</v>
      </c>
      <c r="T883" s="105">
        <f>IF(Table__192.168.1.150_Daily_Delinquency_With_Sectors[[#This Row],[Days in Arrears]] &gt; 90, Table__192.168.1.150_Daily_Delinquency_With_Sectors[[#This Row],[Outstanding Balance]],0)</f>
        <v>0</v>
      </c>
      <c r="U883" s="109">
        <f>IF(Table__192.168.1.150_Daily_Delinquency_With_Sectors[[#This Row],[Days in Arrears]] &gt;= 1,1,0)</f>
        <v>1</v>
      </c>
      <c r="V883" s="109">
        <f>IF(Table__192.168.1.150_Daily_Delinquency_With_Sectors[[#This Row],[Days in Arrears]] &gt; 30,1,0)</f>
        <v>1</v>
      </c>
      <c r="W883" s="109">
        <f>IF(Table__192.168.1.150_Daily_Delinquency_With_Sectors[[#This Row],[Days in Arrears]] &gt; 90,1,0)</f>
        <v>0</v>
      </c>
    </row>
    <row r="884" spans="1:23" x14ac:dyDescent="0.25">
      <c r="A884" t="s">
        <v>3602</v>
      </c>
      <c r="B884" t="s">
        <v>1281</v>
      </c>
      <c r="C884">
        <v>-15</v>
      </c>
      <c r="D884" s="105">
        <v>13912160.91</v>
      </c>
      <c r="E884" t="s">
        <v>1925</v>
      </c>
      <c r="F884" s="105">
        <v>259693.67</v>
      </c>
      <c r="G884" s="105">
        <v>18111803.539999999</v>
      </c>
      <c r="H884" s="143">
        <v>42704.839833414349</v>
      </c>
      <c r="I884" s="143">
        <v>43443</v>
      </c>
      <c r="J884" t="s">
        <v>3603</v>
      </c>
      <c r="K884" t="s">
        <v>1280</v>
      </c>
      <c r="L884" t="s">
        <v>1280</v>
      </c>
      <c r="M884">
        <v>200646</v>
      </c>
      <c r="N884" t="s">
        <v>3552</v>
      </c>
      <c r="O884" t="s">
        <v>25</v>
      </c>
      <c r="P884" t="s">
        <v>88</v>
      </c>
      <c r="Q884" t="s">
        <v>285</v>
      </c>
      <c r="R884" s="105">
        <f>IF(Table__192.168.1.150_Daily_Delinquency_With_Sectors[[#This Row],[Days in Arrears]] &gt; 0, Table__192.168.1.150_Daily_Delinquency_With_Sectors[[#This Row],[Outstanding Balance]],0)</f>
        <v>0</v>
      </c>
      <c r="S884" s="105">
        <f>IF(Table__192.168.1.150_Daily_Delinquency_With_Sectors[[#This Row],[Days in Arrears]] &gt; 30, Table__192.168.1.150_Daily_Delinquency_With_Sectors[[#This Row],[Outstanding Balance]],0)</f>
        <v>0</v>
      </c>
      <c r="T884" s="105">
        <f>IF(Table__192.168.1.150_Daily_Delinquency_With_Sectors[[#This Row],[Days in Arrears]] &gt; 90, Table__192.168.1.150_Daily_Delinquency_With_Sectors[[#This Row],[Outstanding Balance]],0)</f>
        <v>0</v>
      </c>
      <c r="U884" s="109">
        <f>IF(Table__192.168.1.150_Daily_Delinquency_With_Sectors[[#This Row],[Days in Arrears]] &gt;= 1,1,0)</f>
        <v>0</v>
      </c>
      <c r="V884" s="109">
        <f>IF(Table__192.168.1.150_Daily_Delinquency_With_Sectors[[#This Row],[Days in Arrears]] &gt; 30,1,0)</f>
        <v>0</v>
      </c>
      <c r="W884" s="109">
        <f>IF(Table__192.168.1.150_Daily_Delinquency_With_Sectors[[#This Row],[Days in Arrears]] &gt; 90,1,0)</f>
        <v>0</v>
      </c>
    </row>
    <row r="885" spans="1:23" x14ac:dyDescent="0.25">
      <c r="A885" t="s">
        <v>3604</v>
      </c>
      <c r="B885" t="s">
        <v>1284</v>
      </c>
      <c r="C885">
        <v>19</v>
      </c>
      <c r="D885" s="105">
        <v>54107832.090000004</v>
      </c>
      <c r="E885" t="s">
        <v>90</v>
      </c>
      <c r="F885" s="105">
        <v>2858943.48</v>
      </c>
      <c r="G885" s="105">
        <v>81743284.939999998</v>
      </c>
      <c r="H885" s="143">
        <v>42704.835258217594</v>
      </c>
      <c r="I885" s="143">
        <v>43804</v>
      </c>
      <c r="J885" t="s">
        <v>3605</v>
      </c>
      <c r="K885" t="s">
        <v>1280</v>
      </c>
      <c r="L885" t="s">
        <v>1280</v>
      </c>
      <c r="M885">
        <v>200647</v>
      </c>
      <c r="N885" t="s">
        <v>3555</v>
      </c>
      <c r="O885" t="s">
        <v>44</v>
      </c>
      <c r="P885" t="s">
        <v>75</v>
      </c>
      <c r="Q885" t="s">
        <v>1442</v>
      </c>
      <c r="R885" s="105">
        <f>IF(Table__192.168.1.150_Daily_Delinquency_With_Sectors[[#This Row],[Days in Arrears]] &gt; 0, Table__192.168.1.150_Daily_Delinquency_With_Sectors[[#This Row],[Outstanding Balance]],0)</f>
        <v>54107832.090000004</v>
      </c>
      <c r="S885" s="105">
        <f>IF(Table__192.168.1.150_Daily_Delinquency_With_Sectors[[#This Row],[Days in Arrears]] &gt; 30, Table__192.168.1.150_Daily_Delinquency_With_Sectors[[#This Row],[Outstanding Balance]],0)</f>
        <v>0</v>
      </c>
      <c r="T885" s="105">
        <f>IF(Table__192.168.1.150_Daily_Delinquency_With_Sectors[[#This Row],[Days in Arrears]] &gt; 90, Table__192.168.1.150_Daily_Delinquency_With_Sectors[[#This Row],[Outstanding Balance]],0)</f>
        <v>0</v>
      </c>
      <c r="U885" s="109">
        <f>IF(Table__192.168.1.150_Daily_Delinquency_With_Sectors[[#This Row],[Days in Arrears]] &gt;= 1,1,0)</f>
        <v>1</v>
      </c>
      <c r="V885" s="109">
        <f>IF(Table__192.168.1.150_Daily_Delinquency_With_Sectors[[#This Row],[Days in Arrears]] &gt; 30,1,0)</f>
        <v>0</v>
      </c>
      <c r="W885" s="109">
        <f>IF(Table__192.168.1.150_Daily_Delinquency_With_Sectors[[#This Row],[Days in Arrears]] &gt; 90,1,0)</f>
        <v>0</v>
      </c>
    </row>
    <row r="886" spans="1:23" x14ac:dyDescent="0.25">
      <c r="A886" t="s">
        <v>3606</v>
      </c>
      <c r="B886" t="s">
        <v>1283</v>
      </c>
      <c r="C886">
        <v>-8</v>
      </c>
      <c r="D886" s="105">
        <v>48242615.479999997</v>
      </c>
      <c r="E886" t="s">
        <v>90</v>
      </c>
      <c r="F886" s="105">
        <v>1125661.03</v>
      </c>
      <c r="G886" s="105">
        <v>65895186.659999996</v>
      </c>
      <c r="H886" s="143">
        <v>42704.907638888886</v>
      </c>
      <c r="I886" s="143">
        <v>43618</v>
      </c>
      <c r="J886" t="s">
        <v>3607</v>
      </c>
      <c r="K886" t="s">
        <v>1280</v>
      </c>
      <c r="L886" t="s">
        <v>1280</v>
      </c>
      <c r="M886">
        <v>200648</v>
      </c>
      <c r="N886" t="s">
        <v>3560</v>
      </c>
      <c r="O886" t="s">
        <v>45</v>
      </c>
      <c r="P886" t="s">
        <v>45</v>
      </c>
      <c r="Q886" t="s">
        <v>89</v>
      </c>
      <c r="R886" s="105">
        <f>IF(Table__192.168.1.150_Daily_Delinquency_With_Sectors[[#This Row],[Days in Arrears]] &gt; 0, Table__192.168.1.150_Daily_Delinquency_With_Sectors[[#This Row],[Outstanding Balance]],0)</f>
        <v>0</v>
      </c>
      <c r="S886" s="105">
        <f>IF(Table__192.168.1.150_Daily_Delinquency_With_Sectors[[#This Row],[Days in Arrears]] &gt; 30, Table__192.168.1.150_Daily_Delinquency_With_Sectors[[#This Row],[Outstanding Balance]],0)</f>
        <v>0</v>
      </c>
      <c r="T886" s="105">
        <f>IF(Table__192.168.1.150_Daily_Delinquency_With_Sectors[[#This Row],[Days in Arrears]] &gt; 90, Table__192.168.1.150_Daily_Delinquency_With_Sectors[[#This Row],[Outstanding Balance]],0)</f>
        <v>0</v>
      </c>
      <c r="U886" s="109">
        <f>IF(Table__192.168.1.150_Daily_Delinquency_With_Sectors[[#This Row],[Days in Arrears]] &gt;= 1,1,0)</f>
        <v>0</v>
      </c>
      <c r="V886" s="109">
        <f>IF(Table__192.168.1.150_Daily_Delinquency_With_Sectors[[#This Row],[Days in Arrears]] &gt; 30,1,0)</f>
        <v>0</v>
      </c>
      <c r="W886" s="109">
        <f>IF(Table__192.168.1.150_Daily_Delinquency_With_Sectors[[#This Row],[Days in Arrears]] &gt; 90,1,0)</f>
        <v>0</v>
      </c>
    </row>
    <row r="887" spans="1:23" x14ac:dyDescent="0.25">
      <c r="A887" t="s">
        <v>2643</v>
      </c>
      <c r="B887" t="s">
        <v>1284</v>
      </c>
      <c r="C887">
        <v>-8</v>
      </c>
      <c r="D887" s="105">
        <v>51943901.670000002</v>
      </c>
      <c r="E887" t="s">
        <v>491</v>
      </c>
      <c r="F887" s="105">
        <v>1090821.94</v>
      </c>
      <c r="G887" s="105">
        <v>74575692.25</v>
      </c>
      <c r="H887" s="143">
        <v>42704.924095486109</v>
      </c>
      <c r="I887" s="143">
        <v>43801</v>
      </c>
      <c r="J887" t="s">
        <v>2644</v>
      </c>
      <c r="K887" t="s">
        <v>1280</v>
      </c>
      <c r="L887" t="s">
        <v>1280</v>
      </c>
      <c r="M887">
        <v>200650</v>
      </c>
      <c r="N887" t="s">
        <v>2635</v>
      </c>
      <c r="O887" t="s">
        <v>44</v>
      </c>
      <c r="P887" t="s">
        <v>75</v>
      </c>
      <c r="Q887" t="s">
        <v>1442</v>
      </c>
      <c r="R887" s="105">
        <f>IF(Table__192.168.1.150_Daily_Delinquency_With_Sectors[[#This Row],[Days in Arrears]] &gt; 0, Table__192.168.1.150_Daily_Delinquency_With_Sectors[[#This Row],[Outstanding Balance]],0)</f>
        <v>0</v>
      </c>
      <c r="S887" s="105">
        <f>IF(Table__192.168.1.150_Daily_Delinquency_With_Sectors[[#This Row],[Days in Arrears]] &gt; 30, Table__192.168.1.150_Daily_Delinquency_With_Sectors[[#This Row],[Outstanding Balance]],0)</f>
        <v>0</v>
      </c>
      <c r="T887" s="105">
        <f>IF(Table__192.168.1.150_Daily_Delinquency_With_Sectors[[#This Row],[Days in Arrears]] &gt; 90, Table__192.168.1.150_Daily_Delinquency_With_Sectors[[#This Row],[Outstanding Balance]],0)</f>
        <v>0</v>
      </c>
      <c r="U887" s="109">
        <f>IF(Table__192.168.1.150_Daily_Delinquency_With_Sectors[[#This Row],[Days in Arrears]] &gt;= 1,1,0)</f>
        <v>0</v>
      </c>
      <c r="V887" s="109">
        <f>IF(Table__192.168.1.150_Daily_Delinquency_With_Sectors[[#This Row],[Days in Arrears]] &gt; 30,1,0)</f>
        <v>0</v>
      </c>
      <c r="W887" s="109">
        <f>IF(Table__192.168.1.150_Daily_Delinquency_With_Sectors[[#This Row],[Days in Arrears]] &gt; 90,1,0)</f>
        <v>0</v>
      </c>
    </row>
    <row r="888" spans="1:23" x14ac:dyDescent="0.25">
      <c r="A888" t="s">
        <v>3193</v>
      </c>
      <c r="B888" t="s">
        <v>1281</v>
      </c>
      <c r="C888">
        <v>79</v>
      </c>
      <c r="D888" s="105">
        <v>23015295.629999999</v>
      </c>
      <c r="E888" t="s">
        <v>1447</v>
      </c>
      <c r="F888" s="105">
        <v>1825339.06</v>
      </c>
      <c r="G888" s="105">
        <v>31602762.460000001</v>
      </c>
      <c r="H888" s="143">
        <v>42706.578693634263</v>
      </c>
      <c r="I888" s="143">
        <v>43439</v>
      </c>
      <c r="J888" t="s">
        <v>3194</v>
      </c>
      <c r="K888" t="s">
        <v>1280</v>
      </c>
      <c r="L888" t="s">
        <v>1280</v>
      </c>
      <c r="M888">
        <v>200653</v>
      </c>
      <c r="N888" t="s">
        <v>3186</v>
      </c>
      <c r="O888" t="s">
        <v>37</v>
      </c>
      <c r="P888" t="s">
        <v>38</v>
      </c>
      <c r="Q888" t="s">
        <v>26</v>
      </c>
      <c r="R888" s="105">
        <f>IF(Table__192.168.1.150_Daily_Delinquency_With_Sectors[[#This Row],[Days in Arrears]] &gt; 0, Table__192.168.1.150_Daily_Delinquency_With_Sectors[[#This Row],[Outstanding Balance]],0)</f>
        <v>23015295.629999999</v>
      </c>
      <c r="S888" s="105">
        <f>IF(Table__192.168.1.150_Daily_Delinquency_With_Sectors[[#This Row],[Days in Arrears]] &gt; 30, Table__192.168.1.150_Daily_Delinquency_With_Sectors[[#This Row],[Outstanding Balance]],0)</f>
        <v>23015295.629999999</v>
      </c>
      <c r="T888" s="105">
        <f>IF(Table__192.168.1.150_Daily_Delinquency_With_Sectors[[#This Row],[Days in Arrears]] &gt; 90, Table__192.168.1.150_Daily_Delinquency_With_Sectors[[#This Row],[Outstanding Balance]],0)</f>
        <v>0</v>
      </c>
      <c r="U888" s="109">
        <f>IF(Table__192.168.1.150_Daily_Delinquency_With_Sectors[[#This Row],[Days in Arrears]] &gt;= 1,1,0)</f>
        <v>1</v>
      </c>
      <c r="V888" s="109">
        <f>IF(Table__192.168.1.150_Daily_Delinquency_With_Sectors[[#This Row],[Days in Arrears]] &gt; 30,1,0)</f>
        <v>1</v>
      </c>
      <c r="W888" s="109">
        <f>IF(Table__192.168.1.150_Daily_Delinquency_With_Sectors[[#This Row],[Days in Arrears]] &gt; 90,1,0)</f>
        <v>0</v>
      </c>
    </row>
    <row r="889" spans="1:23" x14ac:dyDescent="0.25">
      <c r="A889" t="s">
        <v>3629</v>
      </c>
      <c r="B889" t="s">
        <v>1282</v>
      </c>
      <c r="C889">
        <v>19</v>
      </c>
      <c r="D889" s="105">
        <v>797363.29</v>
      </c>
      <c r="E889" t="s">
        <v>1667</v>
      </c>
      <c r="F889" s="105">
        <v>14167.4</v>
      </c>
      <c r="G889" s="105">
        <v>820975.63</v>
      </c>
      <c r="H889" s="143">
        <v>42709.63500130787</v>
      </c>
      <c r="I889" s="143">
        <v>43074</v>
      </c>
      <c r="J889" t="s">
        <v>3630</v>
      </c>
      <c r="K889" t="s">
        <v>1280</v>
      </c>
      <c r="L889" t="s">
        <v>3631</v>
      </c>
      <c r="M889">
        <v>200654</v>
      </c>
      <c r="N889" t="s">
        <v>3620</v>
      </c>
      <c r="O889" t="s">
        <v>25</v>
      </c>
      <c r="P889" t="s">
        <v>106</v>
      </c>
      <c r="Q889" t="s">
        <v>704</v>
      </c>
      <c r="R889" s="105">
        <f>IF(Table__192.168.1.150_Daily_Delinquency_With_Sectors[[#This Row],[Days in Arrears]] &gt; 0, Table__192.168.1.150_Daily_Delinquency_With_Sectors[[#This Row],[Outstanding Balance]],0)</f>
        <v>797363.29</v>
      </c>
      <c r="S889" s="105">
        <f>IF(Table__192.168.1.150_Daily_Delinquency_With_Sectors[[#This Row],[Days in Arrears]] &gt; 30, Table__192.168.1.150_Daily_Delinquency_With_Sectors[[#This Row],[Outstanding Balance]],0)</f>
        <v>0</v>
      </c>
      <c r="T889" s="105">
        <f>IF(Table__192.168.1.150_Daily_Delinquency_With_Sectors[[#This Row],[Days in Arrears]] &gt; 90, Table__192.168.1.150_Daily_Delinquency_With_Sectors[[#This Row],[Outstanding Balance]],0)</f>
        <v>0</v>
      </c>
      <c r="U889" s="109">
        <f>IF(Table__192.168.1.150_Daily_Delinquency_With_Sectors[[#This Row],[Days in Arrears]] &gt;= 1,1,0)</f>
        <v>1</v>
      </c>
      <c r="V889" s="109">
        <f>IF(Table__192.168.1.150_Daily_Delinquency_With_Sectors[[#This Row],[Days in Arrears]] &gt; 30,1,0)</f>
        <v>0</v>
      </c>
      <c r="W889" s="109">
        <f>IF(Table__192.168.1.150_Daily_Delinquency_With_Sectors[[#This Row],[Days in Arrears]] &gt; 90,1,0)</f>
        <v>0</v>
      </c>
    </row>
    <row r="890" spans="1:23" x14ac:dyDescent="0.25">
      <c r="A890" t="s">
        <v>2704</v>
      </c>
      <c r="B890" t="s">
        <v>1283</v>
      </c>
      <c r="C890">
        <v>-11</v>
      </c>
      <c r="D890" s="105">
        <v>40817830.979999997</v>
      </c>
      <c r="E890" t="s">
        <v>1925</v>
      </c>
      <c r="F890" s="105">
        <v>734720.96</v>
      </c>
      <c r="G890" s="105">
        <v>49895066.399999999</v>
      </c>
      <c r="H890" s="143">
        <v>42709.701757407405</v>
      </c>
      <c r="I890" s="143">
        <v>43439</v>
      </c>
      <c r="J890" t="s">
        <v>2705</v>
      </c>
      <c r="K890" t="s">
        <v>2706</v>
      </c>
      <c r="L890" t="s">
        <v>1280</v>
      </c>
      <c r="M890">
        <v>200655</v>
      </c>
      <c r="N890" t="s">
        <v>2699</v>
      </c>
      <c r="O890" t="s">
        <v>27</v>
      </c>
      <c r="P890" t="s">
        <v>116</v>
      </c>
      <c r="Q890" t="s">
        <v>26</v>
      </c>
      <c r="R890" s="105">
        <f>IF(Table__192.168.1.150_Daily_Delinquency_With_Sectors[[#This Row],[Days in Arrears]] &gt; 0, Table__192.168.1.150_Daily_Delinquency_With_Sectors[[#This Row],[Outstanding Balance]],0)</f>
        <v>0</v>
      </c>
      <c r="S890" s="105">
        <f>IF(Table__192.168.1.150_Daily_Delinquency_With_Sectors[[#This Row],[Days in Arrears]] &gt; 30, Table__192.168.1.150_Daily_Delinquency_With_Sectors[[#This Row],[Outstanding Balance]],0)</f>
        <v>0</v>
      </c>
      <c r="T890" s="105">
        <f>IF(Table__192.168.1.150_Daily_Delinquency_With_Sectors[[#This Row],[Days in Arrears]] &gt; 90, Table__192.168.1.150_Daily_Delinquency_With_Sectors[[#This Row],[Outstanding Balance]],0)</f>
        <v>0</v>
      </c>
      <c r="U890" s="109">
        <f>IF(Table__192.168.1.150_Daily_Delinquency_With_Sectors[[#This Row],[Days in Arrears]] &gt;= 1,1,0)</f>
        <v>0</v>
      </c>
      <c r="V890" s="109">
        <f>IF(Table__192.168.1.150_Daily_Delinquency_With_Sectors[[#This Row],[Days in Arrears]] &gt; 30,1,0)</f>
        <v>0</v>
      </c>
      <c r="W890" s="109">
        <f>IF(Table__192.168.1.150_Daily_Delinquency_With_Sectors[[#This Row],[Days in Arrears]] &gt; 90,1,0)</f>
        <v>0</v>
      </c>
    </row>
    <row r="891" spans="1:23" x14ac:dyDescent="0.25">
      <c r="A891" t="s">
        <v>3634</v>
      </c>
      <c r="B891" t="s">
        <v>1282</v>
      </c>
      <c r="C891">
        <v>138</v>
      </c>
      <c r="D891" s="105">
        <v>2262576.9</v>
      </c>
      <c r="E891" t="s">
        <v>2034</v>
      </c>
      <c r="F891" s="105">
        <v>144809.96</v>
      </c>
      <c r="G891" s="105">
        <v>2590583.73</v>
      </c>
      <c r="H891" s="143">
        <v>42710.542109606482</v>
      </c>
      <c r="I891" s="143">
        <v>43075</v>
      </c>
      <c r="J891" t="s">
        <v>3635</v>
      </c>
      <c r="K891" t="s">
        <v>1280</v>
      </c>
      <c r="L891" t="s">
        <v>3636</v>
      </c>
      <c r="M891">
        <v>200659</v>
      </c>
      <c r="N891" t="s">
        <v>3632</v>
      </c>
      <c r="O891" t="s">
        <v>36</v>
      </c>
      <c r="P891" t="s">
        <v>97</v>
      </c>
      <c r="Q891" t="s">
        <v>98</v>
      </c>
      <c r="R891" s="105">
        <f>IF(Table__192.168.1.150_Daily_Delinquency_With_Sectors[[#This Row],[Days in Arrears]] &gt; 0, Table__192.168.1.150_Daily_Delinquency_With_Sectors[[#This Row],[Outstanding Balance]],0)</f>
        <v>2262576.9</v>
      </c>
      <c r="S891" s="105">
        <f>IF(Table__192.168.1.150_Daily_Delinquency_With_Sectors[[#This Row],[Days in Arrears]] &gt; 30, Table__192.168.1.150_Daily_Delinquency_With_Sectors[[#This Row],[Outstanding Balance]],0)</f>
        <v>2262576.9</v>
      </c>
      <c r="T891" s="105">
        <f>IF(Table__192.168.1.150_Daily_Delinquency_With_Sectors[[#This Row],[Days in Arrears]] &gt; 90, Table__192.168.1.150_Daily_Delinquency_With_Sectors[[#This Row],[Outstanding Balance]],0)</f>
        <v>2262576.9</v>
      </c>
      <c r="U891" s="109">
        <f>IF(Table__192.168.1.150_Daily_Delinquency_With_Sectors[[#This Row],[Days in Arrears]] &gt;= 1,1,0)</f>
        <v>1</v>
      </c>
      <c r="V891" s="109">
        <f>IF(Table__192.168.1.150_Daily_Delinquency_With_Sectors[[#This Row],[Days in Arrears]] &gt; 30,1,0)</f>
        <v>1</v>
      </c>
      <c r="W891" s="109">
        <f>IF(Table__192.168.1.150_Daily_Delinquency_With_Sectors[[#This Row],[Days in Arrears]] &gt; 90,1,0)</f>
        <v>1</v>
      </c>
    </row>
    <row r="892" spans="1:23" x14ac:dyDescent="0.25">
      <c r="A892" t="s">
        <v>3637</v>
      </c>
      <c r="B892" t="s">
        <v>1282</v>
      </c>
      <c r="C892">
        <v>-12</v>
      </c>
      <c r="D892" s="105">
        <v>419774.94</v>
      </c>
      <c r="E892" t="s">
        <v>2034</v>
      </c>
      <c r="F892" s="105">
        <v>10704.26</v>
      </c>
      <c r="G892" s="105">
        <v>438664.81</v>
      </c>
      <c r="H892" s="143">
        <v>42710.572149733795</v>
      </c>
      <c r="I892" s="143">
        <v>43075</v>
      </c>
      <c r="J892" t="s">
        <v>3638</v>
      </c>
      <c r="K892" t="s">
        <v>1280</v>
      </c>
      <c r="L892" t="s">
        <v>1280</v>
      </c>
      <c r="M892">
        <v>200660</v>
      </c>
      <c r="N892" t="s">
        <v>3633</v>
      </c>
      <c r="O892" t="s">
        <v>44</v>
      </c>
      <c r="P892" t="s">
        <v>75</v>
      </c>
      <c r="Q892" t="s">
        <v>1442</v>
      </c>
      <c r="R892" s="105">
        <f>IF(Table__192.168.1.150_Daily_Delinquency_With_Sectors[[#This Row],[Days in Arrears]] &gt; 0, Table__192.168.1.150_Daily_Delinquency_With_Sectors[[#This Row],[Outstanding Balance]],0)</f>
        <v>0</v>
      </c>
      <c r="S892" s="105">
        <f>IF(Table__192.168.1.150_Daily_Delinquency_With_Sectors[[#This Row],[Days in Arrears]] &gt; 30, Table__192.168.1.150_Daily_Delinquency_With_Sectors[[#This Row],[Outstanding Balance]],0)</f>
        <v>0</v>
      </c>
      <c r="T892" s="105">
        <f>IF(Table__192.168.1.150_Daily_Delinquency_With_Sectors[[#This Row],[Days in Arrears]] &gt; 90, Table__192.168.1.150_Daily_Delinquency_With_Sectors[[#This Row],[Outstanding Balance]],0)</f>
        <v>0</v>
      </c>
      <c r="U892" s="109">
        <f>IF(Table__192.168.1.150_Daily_Delinquency_With_Sectors[[#This Row],[Days in Arrears]] &gt;= 1,1,0)</f>
        <v>0</v>
      </c>
      <c r="V892" s="109">
        <f>IF(Table__192.168.1.150_Daily_Delinquency_With_Sectors[[#This Row],[Days in Arrears]] &gt; 30,1,0)</f>
        <v>0</v>
      </c>
      <c r="W892" s="109">
        <f>IF(Table__192.168.1.150_Daily_Delinquency_With_Sectors[[#This Row],[Days in Arrears]] &gt; 90,1,0)</f>
        <v>0</v>
      </c>
    </row>
    <row r="893" spans="1:23" x14ac:dyDescent="0.25">
      <c r="A893" t="s">
        <v>212</v>
      </c>
      <c r="B893" t="s">
        <v>1279</v>
      </c>
      <c r="C893">
        <v>46</v>
      </c>
      <c r="D893" s="105">
        <v>1229239.23</v>
      </c>
      <c r="E893" t="s">
        <v>2861</v>
      </c>
      <c r="F893" s="105">
        <v>45519.94</v>
      </c>
      <c r="G893" s="105">
        <v>1299159.6599999999</v>
      </c>
      <c r="H893" s="143">
        <v>42711.700587037034</v>
      </c>
      <c r="I893" s="143">
        <v>43077</v>
      </c>
      <c r="J893" t="s">
        <v>3640</v>
      </c>
      <c r="K893" t="s">
        <v>1280</v>
      </c>
      <c r="L893" t="s">
        <v>1280</v>
      </c>
      <c r="M893">
        <v>200663</v>
      </c>
      <c r="N893" t="s">
        <v>3639</v>
      </c>
      <c r="O893" t="s">
        <v>25</v>
      </c>
      <c r="P893" t="s">
        <v>289</v>
      </c>
      <c r="Q893" t="s">
        <v>26</v>
      </c>
      <c r="R893" s="105">
        <f>IF(Table__192.168.1.150_Daily_Delinquency_With_Sectors[[#This Row],[Days in Arrears]] &gt; 0, Table__192.168.1.150_Daily_Delinquency_With_Sectors[[#This Row],[Outstanding Balance]],0)</f>
        <v>1229239.23</v>
      </c>
      <c r="S893" s="105">
        <f>IF(Table__192.168.1.150_Daily_Delinquency_With_Sectors[[#This Row],[Days in Arrears]] &gt; 30, Table__192.168.1.150_Daily_Delinquency_With_Sectors[[#This Row],[Outstanding Balance]],0)</f>
        <v>1229239.23</v>
      </c>
      <c r="T893" s="105">
        <f>IF(Table__192.168.1.150_Daily_Delinquency_With_Sectors[[#This Row],[Days in Arrears]] &gt; 90, Table__192.168.1.150_Daily_Delinquency_With_Sectors[[#This Row],[Outstanding Balance]],0)</f>
        <v>0</v>
      </c>
      <c r="U893" s="109">
        <f>IF(Table__192.168.1.150_Daily_Delinquency_With_Sectors[[#This Row],[Days in Arrears]] &gt;= 1,1,0)</f>
        <v>1</v>
      </c>
      <c r="V893" s="109">
        <f>IF(Table__192.168.1.150_Daily_Delinquency_With_Sectors[[#This Row],[Days in Arrears]] &gt; 30,1,0)</f>
        <v>1</v>
      </c>
      <c r="W893" s="109">
        <f>IF(Table__192.168.1.150_Daily_Delinquency_With_Sectors[[#This Row],[Days in Arrears]] &gt; 90,1,0)</f>
        <v>0</v>
      </c>
    </row>
    <row r="894" spans="1:23" x14ac:dyDescent="0.25">
      <c r="A894" t="s">
        <v>3655</v>
      </c>
      <c r="B894" t="s">
        <v>1281</v>
      </c>
      <c r="C894">
        <v>-15</v>
      </c>
      <c r="D894" s="105">
        <v>9482445.5199999996</v>
      </c>
      <c r="E894" t="s">
        <v>1447</v>
      </c>
      <c r="F894" s="105">
        <v>177005.65</v>
      </c>
      <c r="G894" s="105">
        <v>11059065.99</v>
      </c>
      <c r="H894" s="143">
        <v>42713.68491311343</v>
      </c>
      <c r="I894" s="143">
        <v>43260</v>
      </c>
      <c r="J894" t="s">
        <v>3656</v>
      </c>
      <c r="K894" t="s">
        <v>1280</v>
      </c>
      <c r="L894" t="s">
        <v>3657</v>
      </c>
      <c r="M894">
        <v>200665</v>
      </c>
      <c r="N894" t="s">
        <v>3650</v>
      </c>
      <c r="O894" t="s">
        <v>42</v>
      </c>
      <c r="P894" t="s">
        <v>1244</v>
      </c>
      <c r="Q894" t="s">
        <v>26</v>
      </c>
      <c r="R894" s="105">
        <f>IF(Table__192.168.1.150_Daily_Delinquency_With_Sectors[[#This Row],[Days in Arrears]] &gt; 0, Table__192.168.1.150_Daily_Delinquency_With_Sectors[[#This Row],[Outstanding Balance]],0)</f>
        <v>0</v>
      </c>
      <c r="S894" s="105">
        <f>IF(Table__192.168.1.150_Daily_Delinquency_With_Sectors[[#This Row],[Days in Arrears]] &gt; 30, Table__192.168.1.150_Daily_Delinquency_With_Sectors[[#This Row],[Outstanding Balance]],0)</f>
        <v>0</v>
      </c>
      <c r="T894" s="105">
        <f>IF(Table__192.168.1.150_Daily_Delinquency_With_Sectors[[#This Row],[Days in Arrears]] &gt; 90, Table__192.168.1.150_Daily_Delinquency_With_Sectors[[#This Row],[Outstanding Balance]],0)</f>
        <v>0</v>
      </c>
      <c r="U894" s="109">
        <f>IF(Table__192.168.1.150_Daily_Delinquency_With_Sectors[[#This Row],[Days in Arrears]] &gt;= 1,1,0)</f>
        <v>0</v>
      </c>
      <c r="V894" s="109">
        <f>IF(Table__192.168.1.150_Daily_Delinquency_With_Sectors[[#This Row],[Days in Arrears]] &gt; 30,1,0)</f>
        <v>0</v>
      </c>
      <c r="W894" s="109">
        <f>IF(Table__192.168.1.150_Daily_Delinquency_With_Sectors[[#This Row],[Days in Arrears]] &gt; 90,1,0)</f>
        <v>0</v>
      </c>
    </row>
    <row r="895" spans="1:23" x14ac:dyDescent="0.25">
      <c r="A895" t="s">
        <v>3658</v>
      </c>
      <c r="B895" t="s">
        <v>1281</v>
      </c>
      <c r="C895">
        <v>-15</v>
      </c>
      <c r="D895" s="105">
        <v>9482445.5199999996</v>
      </c>
      <c r="E895" t="s">
        <v>1447</v>
      </c>
      <c r="F895" s="105">
        <v>177005.65</v>
      </c>
      <c r="G895" s="105">
        <v>11059065.99</v>
      </c>
      <c r="H895" s="143">
        <v>42713.640433912034</v>
      </c>
      <c r="I895" s="143">
        <v>43260</v>
      </c>
      <c r="J895" t="s">
        <v>3659</v>
      </c>
      <c r="K895" t="s">
        <v>1280</v>
      </c>
      <c r="L895" t="s">
        <v>3660</v>
      </c>
      <c r="M895">
        <v>200666</v>
      </c>
      <c r="N895" t="s">
        <v>3645</v>
      </c>
      <c r="O895" t="s">
        <v>25</v>
      </c>
      <c r="P895" t="s">
        <v>103</v>
      </c>
      <c r="Q895" t="s">
        <v>104</v>
      </c>
      <c r="R895" s="105">
        <f>IF(Table__192.168.1.150_Daily_Delinquency_With_Sectors[[#This Row],[Days in Arrears]] &gt; 0, Table__192.168.1.150_Daily_Delinquency_With_Sectors[[#This Row],[Outstanding Balance]],0)</f>
        <v>0</v>
      </c>
      <c r="S895" s="105">
        <f>IF(Table__192.168.1.150_Daily_Delinquency_With_Sectors[[#This Row],[Days in Arrears]] &gt; 30, Table__192.168.1.150_Daily_Delinquency_With_Sectors[[#This Row],[Outstanding Balance]],0)</f>
        <v>0</v>
      </c>
      <c r="T895" s="105">
        <f>IF(Table__192.168.1.150_Daily_Delinquency_With_Sectors[[#This Row],[Days in Arrears]] &gt; 90, Table__192.168.1.150_Daily_Delinquency_With_Sectors[[#This Row],[Outstanding Balance]],0)</f>
        <v>0</v>
      </c>
      <c r="U895" s="109">
        <f>IF(Table__192.168.1.150_Daily_Delinquency_With_Sectors[[#This Row],[Days in Arrears]] &gt;= 1,1,0)</f>
        <v>0</v>
      </c>
      <c r="V895" s="109">
        <f>IF(Table__192.168.1.150_Daily_Delinquency_With_Sectors[[#This Row],[Days in Arrears]] &gt; 30,1,0)</f>
        <v>0</v>
      </c>
      <c r="W895" s="109">
        <f>IF(Table__192.168.1.150_Daily_Delinquency_With_Sectors[[#This Row],[Days in Arrears]] &gt; 90,1,0)</f>
        <v>0</v>
      </c>
    </row>
    <row r="896" spans="1:23" x14ac:dyDescent="0.25">
      <c r="A896" t="s">
        <v>3661</v>
      </c>
      <c r="B896" t="s">
        <v>1279</v>
      </c>
      <c r="C896">
        <v>-16</v>
      </c>
      <c r="D896" s="105">
        <v>262359.31</v>
      </c>
      <c r="E896" t="s">
        <v>3074</v>
      </c>
      <c r="F896" s="105">
        <v>5116.01</v>
      </c>
      <c r="G896" s="105">
        <v>274165.48</v>
      </c>
      <c r="H896" s="143">
        <v>42714.481875775462</v>
      </c>
      <c r="I896" s="143">
        <v>43079</v>
      </c>
      <c r="J896" t="s">
        <v>3662</v>
      </c>
      <c r="K896" t="s">
        <v>1280</v>
      </c>
      <c r="L896" t="s">
        <v>3663</v>
      </c>
      <c r="M896">
        <v>200668</v>
      </c>
      <c r="N896" t="s">
        <v>3648</v>
      </c>
      <c r="O896" t="s">
        <v>25</v>
      </c>
      <c r="P896" t="s">
        <v>88</v>
      </c>
      <c r="Q896" t="s">
        <v>285</v>
      </c>
      <c r="R896" s="105">
        <f>IF(Table__192.168.1.150_Daily_Delinquency_With_Sectors[[#This Row],[Days in Arrears]] &gt; 0, Table__192.168.1.150_Daily_Delinquency_With_Sectors[[#This Row],[Outstanding Balance]],0)</f>
        <v>0</v>
      </c>
      <c r="S896" s="105">
        <f>IF(Table__192.168.1.150_Daily_Delinquency_With_Sectors[[#This Row],[Days in Arrears]] &gt; 30, Table__192.168.1.150_Daily_Delinquency_With_Sectors[[#This Row],[Outstanding Balance]],0)</f>
        <v>0</v>
      </c>
      <c r="T896" s="105">
        <f>IF(Table__192.168.1.150_Daily_Delinquency_With_Sectors[[#This Row],[Days in Arrears]] &gt; 90, Table__192.168.1.150_Daily_Delinquency_With_Sectors[[#This Row],[Outstanding Balance]],0)</f>
        <v>0</v>
      </c>
      <c r="U896" s="109">
        <f>IF(Table__192.168.1.150_Daily_Delinquency_With_Sectors[[#This Row],[Days in Arrears]] &gt;= 1,1,0)</f>
        <v>0</v>
      </c>
      <c r="V896" s="109">
        <f>IF(Table__192.168.1.150_Daily_Delinquency_With_Sectors[[#This Row],[Days in Arrears]] &gt; 30,1,0)</f>
        <v>0</v>
      </c>
      <c r="W896" s="109">
        <f>IF(Table__192.168.1.150_Daily_Delinquency_With_Sectors[[#This Row],[Days in Arrears]] &gt; 90,1,0)</f>
        <v>0</v>
      </c>
    </row>
    <row r="897" spans="1:23" x14ac:dyDescent="0.25">
      <c r="A897" t="s">
        <v>3664</v>
      </c>
      <c r="B897" t="s">
        <v>1281</v>
      </c>
      <c r="C897">
        <v>14</v>
      </c>
      <c r="D897" s="105">
        <v>10636838.539999999</v>
      </c>
      <c r="E897" t="s">
        <v>1448</v>
      </c>
      <c r="F897" s="105">
        <v>589835.93000000005</v>
      </c>
      <c r="G897" s="105">
        <v>12638932.550000001</v>
      </c>
      <c r="H897" s="143">
        <v>42714.545201967594</v>
      </c>
      <c r="I897" s="143">
        <v>43261</v>
      </c>
      <c r="J897" t="s">
        <v>3665</v>
      </c>
      <c r="K897" t="s">
        <v>1280</v>
      </c>
      <c r="L897" t="s">
        <v>3666</v>
      </c>
      <c r="M897">
        <v>200669</v>
      </c>
      <c r="N897" t="s">
        <v>3649</v>
      </c>
      <c r="O897" t="s">
        <v>25</v>
      </c>
      <c r="P897" t="s">
        <v>88</v>
      </c>
      <c r="Q897" t="s">
        <v>26</v>
      </c>
      <c r="R897" s="105">
        <f>IF(Table__192.168.1.150_Daily_Delinquency_With_Sectors[[#This Row],[Days in Arrears]] &gt; 0, Table__192.168.1.150_Daily_Delinquency_With_Sectors[[#This Row],[Outstanding Balance]],0)</f>
        <v>10636838.539999999</v>
      </c>
      <c r="S897" s="105">
        <f>IF(Table__192.168.1.150_Daily_Delinquency_With_Sectors[[#This Row],[Days in Arrears]] &gt; 30, Table__192.168.1.150_Daily_Delinquency_With_Sectors[[#This Row],[Outstanding Balance]],0)</f>
        <v>0</v>
      </c>
      <c r="T897" s="105">
        <f>IF(Table__192.168.1.150_Daily_Delinquency_With_Sectors[[#This Row],[Days in Arrears]] &gt; 90, Table__192.168.1.150_Daily_Delinquency_With_Sectors[[#This Row],[Outstanding Balance]],0)</f>
        <v>0</v>
      </c>
      <c r="U897" s="109">
        <f>IF(Table__192.168.1.150_Daily_Delinquency_With_Sectors[[#This Row],[Days in Arrears]] &gt;= 1,1,0)</f>
        <v>1</v>
      </c>
      <c r="V897" s="109">
        <f>IF(Table__192.168.1.150_Daily_Delinquency_With_Sectors[[#This Row],[Days in Arrears]] &gt; 30,1,0)</f>
        <v>0</v>
      </c>
      <c r="W897" s="109">
        <f>IF(Table__192.168.1.150_Daily_Delinquency_With_Sectors[[#This Row],[Days in Arrears]] &gt; 90,1,0)</f>
        <v>0</v>
      </c>
    </row>
    <row r="898" spans="1:23" x14ac:dyDescent="0.25">
      <c r="A898" t="s">
        <v>3730</v>
      </c>
      <c r="B898" t="s">
        <v>1282</v>
      </c>
      <c r="C898">
        <v>98</v>
      </c>
      <c r="D898" s="105">
        <v>2166444.0699999998</v>
      </c>
      <c r="E898" t="s">
        <v>1467</v>
      </c>
      <c r="F898" s="105">
        <v>175212.32</v>
      </c>
      <c r="G898" s="105">
        <v>2467489.23</v>
      </c>
      <c r="H898" s="143">
        <v>42720.639203356484</v>
      </c>
      <c r="I898" s="143">
        <v>43085</v>
      </c>
      <c r="J898" t="s">
        <v>3731</v>
      </c>
      <c r="K898" t="s">
        <v>1280</v>
      </c>
      <c r="L898" t="s">
        <v>1280</v>
      </c>
      <c r="M898">
        <v>200671</v>
      </c>
      <c r="N898" t="s">
        <v>3729</v>
      </c>
      <c r="O898" t="s">
        <v>44</v>
      </c>
      <c r="P898" t="s">
        <v>75</v>
      </c>
      <c r="Q898" t="s">
        <v>26</v>
      </c>
      <c r="R898" s="105">
        <f>IF(Table__192.168.1.150_Daily_Delinquency_With_Sectors[[#This Row],[Days in Arrears]] &gt; 0, Table__192.168.1.150_Daily_Delinquency_With_Sectors[[#This Row],[Outstanding Balance]],0)</f>
        <v>2166444.0699999998</v>
      </c>
      <c r="S898" s="105">
        <f>IF(Table__192.168.1.150_Daily_Delinquency_With_Sectors[[#This Row],[Days in Arrears]] &gt; 30, Table__192.168.1.150_Daily_Delinquency_With_Sectors[[#This Row],[Outstanding Balance]],0)</f>
        <v>2166444.0699999998</v>
      </c>
      <c r="T898" s="105">
        <f>IF(Table__192.168.1.150_Daily_Delinquency_With_Sectors[[#This Row],[Days in Arrears]] &gt; 90, Table__192.168.1.150_Daily_Delinquency_With_Sectors[[#This Row],[Outstanding Balance]],0)</f>
        <v>2166444.0699999998</v>
      </c>
      <c r="U898" s="109">
        <f>IF(Table__192.168.1.150_Daily_Delinquency_With_Sectors[[#This Row],[Days in Arrears]] &gt;= 1,1,0)</f>
        <v>1</v>
      </c>
      <c r="V898" s="109">
        <f>IF(Table__192.168.1.150_Daily_Delinquency_With_Sectors[[#This Row],[Days in Arrears]] &gt; 30,1,0)</f>
        <v>1</v>
      </c>
      <c r="W898" s="109">
        <f>IF(Table__192.168.1.150_Daily_Delinquency_With_Sectors[[#This Row],[Days in Arrears]] &gt; 90,1,0)</f>
        <v>1</v>
      </c>
    </row>
    <row r="899" spans="1:23" x14ac:dyDescent="0.25">
      <c r="A899" t="s">
        <v>3676</v>
      </c>
      <c r="B899" t="s">
        <v>1866</v>
      </c>
      <c r="C899">
        <v>42</v>
      </c>
      <c r="D899" s="105">
        <v>1433967.43</v>
      </c>
      <c r="E899" t="s">
        <v>963</v>
      </c>
      <c r="F899" s="105">
        <v>49781.79</v>
      </c>
      <c r="G899" s="105">
        <v>1510395.9</v>
      </c>
      <c r="H899" s="143">
        <v>42716.489123576386</v>
      </c>
      <c r="I899" s="143">
        <v>43081</v>
      </c>
      <c r="J899" t="s">
        <v>3677</v>
      </c>
      <c r="K899" t="s">
        <v>1280</v>
      </c>
      <c r="L899" t="s">
        <v>1280</v>
      </c>
      <c r="M899">
        <v>200672</v>
      </c>
      <c r="N899" t="s">
        <v>3670</v>
      </c>
      <c r="O899" t="s">
        <v>29</v>
      </c>
      <c r="P899" t="s">
        <v>30</v>
      </c>
      <c r="Q899" t="s">
        <v>437</v>
      </c>
      <c r="R899" s="105">
        <f>IF(Table__192.168.1.150_Daily_Delinquency_With_Sectors[[#This Row],[Days in Arrears]] &gt; 0, Table__192.168.1.150_Daily_Delinquency_With_Sectors[[#This Row],[Outstanding Balance]],0)</f>
        <v>1433967.43</v>
      </c>
      <c r="S899" s="105">
        <f>IF(Table__192.168.1.150_Daily_Delinquency_With_Sectors[[#This Row],[Days in Arrears]] &gt; 30, Table__192.168.1.150_Daily_Delinquency_With_Sectors[[#This Row],[Outstanding Balance]],0)</f>
        <v>1433967.43</v>
      </c>
      <c r="T899" s="105">
        <f>IF(Table__192.168.1.150_Daily_Delinquency_With_Sectors[[#This Row],[Days in Arrears]] &gt; 90, Table__192.168.1.150_Daily_Delinquency_With_Sectors[[#This Row],[Outstanding Balance]],0)</f>
        <v>0</v>
      </c>
      <c r="U899" s="109">
        <f>IF(Table__192.168.1.150_Daily_Delinquency_With_Sectors[[#This Row],[Days in Arrears]] &gt;= 1,1,0)</f>
        <v>1</v>
      </c>
      <c r="V899" s="109">
        <f>IF(Table__192.168.1.150_Daily_Delinquency_With_Sectors[[#This Row],[Days in Arrears]] &gt; 30,1,0)</f>
        <v>1</v>
      </c>
      <c r="W899" s="109">
        <f>IF(Table__192.168.1.150_Daily_Delinquency_With_Sectors[[#This Row],[Days in Arrears]] &gt; 90,1,0)</f>
        <v>0</v>
      </c>
    </row>
    <row r="900" spans="1:23" x14ac:dyDescent="0.25">
      <c r="A900" t="s">
        <v>3678</v>
      </c>
      <c r="B900" t="s">
        <v>1279</v>
      </c>
      <c r="C900">
        <v>192</v>
      </c>
      <c r="D900" s="105">
        <v>363069.79</v>
      </c>
      <c r="E900" t="s">
        <v>2855</v>
      </c>
      <c r="F900" s="105">
        <v>24408.67</v>
      </c>
      <c r="G900" s="105">
        <v>387756.76</v>
      </c>
      <c r="H900" s="143">
        <v>42716.516254942129</v>
      </c>
      <c r="I900" s="143">
        <v>42898</v>
      </c>
      <c r="J900" t="s">
        <v>3679</v>
      </c>
      <c r="K900" t="s">
        <v>1280</v>
      </c>
      <c r="L900" t="s">
        <v>3680</v>
      </c>
      <c r="M900">
        <v>200673</v>
      </c>
      <c r="N900" t="s">
        <v>3669</v>
      </c>
      <c r="O900" t="s">
        <v>44</v>
      </c>
      <c r="P900" t="s">
        <v>75</v>
      </c>
      <c r="Q900" t="s">
        <v>26</v>
      </c>
      <c r="R900" s="105">
        <f>IF(Table__192.168.1.150_Daily_Delinquency_With_Sectors[[#This Row],[Days in Arrears]] &gt; 0, Table__192.168.1.150_Daily_Delinquency_With_Sectors[[#This Row],[Outstanding Balance]],0)</f>
        <v>363069.79</v>
      </c>
      <c r="S900" s="105">
        <f>IF(Table__192.168.1.150_Daily_Delinquency_With_Sectors[[#This Row],[Days in Arrears]] &gt; 30, Table__192.168.1.150_Daily_Delinquency_With_Sectors[[#This Row],[Outstanding Balance]],0)</f>
        <v>363069.79</v>
      </c>
      <c r="T900" s="105">
        <f>IF(Table__192.168.1.150_Daily_Delinquency_With_Sectors[[#This Row],[Days in Arrears]] &gt; 90, Table__192.168.1.150_Daily_Delinquency_With_Sectors[[#This Row],[Outstanding Balance]],0)</f>
        <v>363069.79</v>
      </c>
      <c r="U900" s="109">
        <f>IF(Table__192.168.1.150_Daily_Delinquency_With_Sectors[[#This Row],[Days in Arrears]] &gt;= 1,1,0)</f>
        <v>1</v>
      </c>
      <c r="V900" s="109">
        <f>IF(Table__192.168.1.150_Daily_Delinquency_With_Sectors[[#This Row],[Days in Arrears]] &gt; 30,1,0)</f>
        <v>1</v>
      </c>
      <c r="W900" s="109">
        <f>IF(Table__192.168.1.150_Daily_Delinquency_With_Sectors[[#This Row],[Days in Arrears]] &gt; 90,1,0)</f>
        <v>1</v>
      </c>
    </row>
    <row r="901" spans="1:23" x14ac:dyDescent="0.25">
      <c r="A901" t="s">
        <v>3688</v>
      </c>
      <c r="B901" t="s">
        <v>1866</v>
      </c>
      <c r="C901">
        <v>-19</v>
      </c>
      <c r="D901" s="105">
        <v>3289996.94</v>
      </c>
      <c r="E901" t="s">
        <v>1467</v>
      </c>
      <c r="F901" s="105">
        <v>45694.400000000001</v>
      </c>
      <c r="G901" s="105">
        <v>3639696.68</v>
      </c>
      <c r="H901" s="143">
        <v>42717.589245914351</v>
      </c>
      <c r="I901" s="143">
        <v>43172</v>
      </c>
      <c r="J901" t="s">
        <v>3689</v>
      </c>
      <c r="K901" t="s">
        <v>1280</v>
      </c>
      <c r="L901" t="s">
        <v>1280</v>
      </c>
      <c r="M901">
        <v>200675</v>
      </c>
      <c r="N901" t="s">
        <v>3683</v>
      </c>
      <c r="O901" t="s">
        <v>29</v>
      </c>
      <c r="P901" t="s">
        <v>30</v>
      </c>
      <c r="Q901" t="s">
        <v>30</v>
      </c>
      <c r="R901" s="105">
        <f>IF(Table__192.168.1.150_Daily_Delinquency_With_Sectors[[#This Row],[Days in Arrears]] &gt; 0, Table__192.168.1.150_Daily_Delinquency_With_Sectors[[#This Row],[Outstanding Balance]],0)</f>
        <v>0</v>
      </c>
      <c r="S901" s="105">
        <f>IF(Table__192.168.1.150_Daily_Delinquency_With_Sectors[[#This Row],[Days in Arrears]] &gt; 30, Table__192.168.1.150_Daily_Delinquency_With_Sectors[[#This Row],[Outstanding Balance]],0)</f>
        <v>0</v>
      </c>
      <c r="T901" s="105">
        <f>IF(Table__192.168.1.150_Daily_Delinquency_With_Sectors[[#This Row],[Days in Arrears]] &gt; 90, Table__192.168.1.150_Daily_Delinquency_With_Sectors[[#This Row],[Outstanding Balance]],0)</f>
        <v>0</v>
      </c>
      <c r="U901" s="109">
        <f>IF(Table__192.168.1.150_Daily_Delinquency_With_Sectors[[#This Row],[Days in Arrears]] &gt;= 1,1,0)</f>
        <v>0</v>
      </c>
      <c r="V901" s="109">
        <f>IF(Table__192.168.1.150_Daily_Delinquency_With_Sectors[[#This Row],[Days in Arrears]] &gt; 30,1,0)</f>
        <v>0</v>
      </c>
      <c r="W901" s="109">
        <f>IF(Table__192.168.1.150_Daily_Delinquency_With_Sectors[[#This Row],[Days in Arrears]] &gt; 90,1,0)</f>
        <v>0</v>
      </c>
    </row>
    <row r="902" spans="1:23" x14ac:dyDescent="0.25">
      <c r="A902" t="s">
        <v>2304</v>
      </c>
      <c r="B902" t="s">
        <v>1284</v>
      </c>
      <c r="C902">
        <v>8</v>
      </c>
      <c r="D902" s="105">
        <v>26680157.149999999</v>
      </c>
      <c r="E902" t="s">
        <v>2175</v>
      </c>
      <c r="F902" s="105">
        <v>909164.56</v>
      </c>
      <c r="G902" s="105">
        <v>32999482.09</v>
      </c>
      <c r="H902" s="143">
        <v>42720.740306678243</v>
      </c>
      <c r="I902" s="143">
        <v>43450</v>
      </c>
      <c r="J902" t="s">
        <v>2305</v>
      </c>
      <c r="K902" t="s">
        <v>1280</v>
      </c>
      <c r="L902" t="s">
        <v>2306</v>
      </c>
      <c r="M902">
        <v>200676</v>
      </c>
      <c r="N902" t="s">
        <v>2292</v>
      </c>
      <c r="O902" t="s">
        <v>25</v>
      </c>
      <c r="P902" t="s">
        <v>103</v>
      </c>
      <c r="Q902" t="s">
        <v>104</v>
      </c>
      <c r="R902" s="105">
        <f>IF(Table__192.168.1.150_Daily_Delinquency_With_Sectors[[#This Row],[Days in Arrears]] &gt; 0, Table__192.168.1.150_Daily_Delinquency_With_Sectors[[#This Row],[Outstanding Balance]],0)</f>
        <v>26680157.149999999</v>
      </c>
      <c r="S902" s="105">
        <f>IF(Table__192.168.1.150_Daily_Delinquency_With_Sectors[[#This Row],[Days in Arrears]] &gt; 30, Table__192.168.1.150_Daily_Delinquency_With_Sectors[[#This Row],[Outstanding Balance]],0)</f>
        <v>0</v>
      </c>
      <c r="T902" s="105">
        <f>IF(Table__192.168.1.150_Daily_Delinquency_With_Sectors[[#This Row],[Days in Arrears]] &gt; 90, Table__192.168.1.150_Daily_Delinquency_With_Sectors[[#This Row],[Outstanding Balance]],0)</f>
        <v>0</v>
      </c>
      <c r="U902" s="109">
        <f>IF(Table__192.168.1.150_Daily_Delinquency_With_Sectors[[#This Row],[Days in Arrears]] &gt;= 1,1,0)</f>
        <v>1</v>
      </c>
      <c r="V902" s="109">
        <f>IF(Table__192.168.1.150_Daily_Delinquency_With_Sectors[[#This Row],[Days in Arrears]] &gt; 30,1,0)</f>
        <v>0</v>
      </c>
      <c r="W902" s="109">
        <f>IF(Table__192.168.1.150_Daily_Delinquency_With_Sectors[[#This Row],[Days in Arrears]] &gt; 90,1,0)</f>
        <v>0</v>
      </c>
    </row>
    <row r="903" spans="1:23" x14ac:dyDescent="0.25">
      <c r="A903" t="s">
        <v>3699</v>
      </c>
      <c r="B903" t="s">
        <v>1284</v>
      </c>
      <c r="C903">
        <v>-20</v>
      </c>
      <c r="D903" s="105">
        <v>41409657.829999998</v>
      </c>
      <c r="E903" t="s">
        <v>491</v>
      </c>
      <c r="F903" s="105">
        <v>414096.58</v>
      </c>
      <c r="G903" s="105">
        <v>51703636.490000002</v>
      </c>
      <c r="H903" s="143">
        <v>42718.605861145836</v>
      </c>
      <c r="I903" s="143">
        <v>43448</v>
      </c>
      <c r="J903" t="s">
        <v>3700</v>
      </c>
      <c r="K903" t="s">
        <v>1280</v>
      </c>
      <c r="L903" t="s">
        <v>3701</v>
      </c>
      <c r="M903">
        <v>200681</v>
      </c>
      <c r="N903" t="s">
        <v>3696</v>
      </c>
      <c r="O903" t="s">
        <v>44</v>
      </c>
      <c r="P903" t="s">
        <v>75</v>
      </c>
      <c r="Q903" t="s">
        <v>1442</v>
      </c>
      <c r="R903" s="105">
        <f>IF(Table__192.168.1.150_Daily_Delinquency_With_Sectors[[#This Row],[Days in Arrears]] &gt; 0, Table__192.168.1.150_Daily_Delinquency_With_Sectors[[#This Row],[Outstanding Balance]],0)</f>
        <v>0</v>
      </c>
      <c r="S903" s="105">
        <f>IF(Table__192.168.1.150_Daily_Delinquency_With_Sectors[[#This Row],[Days in Arrears]] &gt; 30, Table__192.168.1.150_Daily_Delinquency_With_Sectors[[#This Row],[Outstanding Balance]],0)</f>
        <v>0</v>
      </c>
      <c r="T903" s="105">
        <f>IF(Table__192.168.1.150_Daily_Delinquency_With_Sectors[[#This Row],[Days in Arrears]] &gt; 90, Table__192.168.1.150_Daily_Delinquency_With_Sectors[[#This Row],[Outstanding Balance]],0)</f>
        <v>0</v>
      </c>
      <c r="U903" s="109">
        <f>IF(Table__192.168.1.150_Daily_Delinquency_With_Sectors[[#This Row],[Days in Arrears]] &gt;= 1,1,0)</f>
        <v>0</v>
      </c>
      <c r="V903" s="109">
        <f>IF(Table__192.168.1.150_Daily_Delinquency_With_Sectors[[#This Row],[Days in Arrears]] &gt; 30,1,0)</f>
        <v>0</v>
      </c>
      <c r="W903" s="109">
        <f>IF(Table__192.168.1.150_Daily_Delinquency_With_Sectors[[#This Row],[Days in Arrears]] &gt; 90,1,0)</f>
        <v>0</v>
      </c>
    </row>
    <row r="904" spans="1:23" x14ac:dyDescent="0.25">
      <c r="A904" t="s">
        <v>1694</v>
      </c>
      <c r="B904" t="s">
        <v>1281</v>
      </c>
      <c r="C904">
        <v>99</v>
      </c>
      <c r="D904" s="105">
        <v>23635006.18</v>
      </c>
      <c r="E904" t="s">
        <v>5724</v>
      </c>
      <c r="F904" s="105">
        <v>1614112.45</v>
      </c>
      <c r="G904" s="105">
        <v>31759143.420000002</v>
      </c>
      <c r="H904" s="143">
        <v>42719.7642991088</v>
      </c>
      <c r="I904" s="143">
        <v>43449</v>
      </c>
      <c r="J904" t="s">
        <v>1695</v>
      </c>
      <c r="K904" t="s">
        <v>1280</v>
      </c>
      <c r="L904" t="s">
        <v>1696</v>
      </c>
      <c r="M904">
        <v>200689</v>
      </c>
      <c r="N904" t="s">
        <v>1687</v>
      </c>
      <c r="O904" t="s">
        <v>25</v>
      </c>
      <c r="P904" t="s">
        <v>106</v>
      </c>
      <c r="Q904" t="s">
        <v>26</v>
      </c>
      <c r="R904" s="105">
        <f>IF(Table__192.168.1.150_Daily_Delinquency_With_Sectors[[#This Row],[Days in Arrears]] &gt; 0, Table__192.168.1.150_Daily_Delinquency_With_Sectors[[#This Row],[Outstanding Balance]],0)</f>
        <v>23635006.18</v>
      </c>
      <c r="S904" s="105">
        <f>IF(Table__192.168.1.150_Daily_Delinquency_With_Sectors[[#This Row],[Days in Arrears]] &gt; 30, Table__192.168.1.150_Daily_Delinquency_With_Sectors[[#This Row],[Outstanding Balance]],0)</f>
        <v>23635006.18</v>
      </c>
      <c r="T904" s="105">
        <f>IF(Table__192.168.1.150_Daily_Delinquency_With_Sectors[[#This Row],[Days in Arrears]] &gt; 90, Table__192.168.1.150_Daily_Delinquency_With_Sectors[[#This Row],[Outstanding Balance]],0)</f>
        <v>23635006.18</v>
      </c>
      <c r="U904" s="109">
        <f>IF(Table__192.168.1.150_Daily_Delinquency_With_Sectors[[#This Row],[Days in Arrears]] &gt;= 1,1,0)</f>
        <v>1</v>
      </c>
      <c r="V904" s="109">
        <f>IF(Table__192.168.1.150_Daily_Delinquency_With_Sectors[[#This Row],[Days in Arrears]] &gt; 30,1,0)</f>
        <v>1</v>
      </c>
      <c r="W904" s="109">
        <f>IF(Table__192.168.1.150_Daily_Delinquency_With_Sectors[[#This Row],[Days in Arrears]] &gt; 90,1,0)</f>
        <v>1</v>
      </c>
    </row>
    <row r="905" spans="1:23" x14ac:dyDescent="0.25">
      <c r="A905" t="s">
        <v>3735</v>
      </c>
      <c r="B905" t="s">
        <v>1282</v>
      </c>
      <c r="C905">
        <v>-22</v>
      </c>
      <c r="D905" s="105">
        <v>524718.64</v>
      </c>
      <c r="E905" t="s">
        <v>2557</v>
      </c>
      <c r="F905" s="105">
        <v>5509.55</v>
      </c>
      <c r="G905" s="105">
        <v>548330.98</v>
      </c>
      <c r="H905" s="143">
        <v>42720.726447488429</v>
      </c>
      <c r="I905" s="143">
        <v>43085</v>
      </c>
      <c r="J905" t="s">
        <v>3736</v>
      </c>
      <c r="K905" t="s">
        <v>1280</v>
      </c>
      <c r="L905" t="s">
        <v>1280</v>
      </c>
      <c r="M905">
        <v>200692</v>
      </c>
      <c r="N905" t="s">
        <v>3728</v>
      </c>
      <c r="O905" t="s">
        <v>44</v>
      </c>
      <c r="P905" t="s">
        <v>75</v>
      </c>
      <c r="Q905" t="s">
        <v>1442</v>
      </c>
      <c r="R905" s="105">
        <f>IF(Table__192.168.1.150_Daily_Delinquency_With_Sectors[[#This Row],[Days in Arrears]] &gt; 0, Table__192.168.1.150_Daily_Delinquency_With_Sectors[[#This Row],[Outstanding Balance]],0)</f>
        <v>0</v>
      </c>
      <c r="S905" s="105">
        <f>IF(Table__192.168.1.150_Daily_Delinquency_With_Sectors[[#This Row],[Days in Arrears]] &gt; 30, Table__192.168.1.150_Daily_Delinquency_With_Sectors[[#This Row],[Outstanding Balance]],0)</f>
        <v>0</v>
      </c>
      <c r="T905" s="105">
        <f>IF(Table__192.168.1.150_Daily_Delinquency_With_Sectors[[#This Row],[Days in Arrears]] &gt; 90, Table__192.168.1.150_Daily_Delinquency_With_Sectors[[#This Row],[Outstanding Balance]],0)</f>
        <v>0</v>
      </c>
      <c r="U905" s="109">
        <f>IF(Table__192.168.1.150_Daily_Delinquency_With_Sectors[[#This Row],[Days in Arrears]] &gt;= 1,1,0)</f>
        <v>0</v>
      </c>
      <c r="V905" s="109">
        <f>IF(Table__192.168.1.150_Daily_Delinquency_With_Sectors[[#This Row],[Days in Arrears]] &gt; 30,1,0)</f>
        <v>0</v>
      </c>
      <c r="W905" s="109">
        <f>IF(Table__192.168.1.150_Daily_Delinquency_With_Sectors[[#This Row],[Days in Arrears]] &gt; 90,1,0)</f>
        <v>0</v>
      </c>
    </row>
    <row r="906" spans="1:23" x14ac:dyDescent="0.25">
      <c r="A906" t="s">
        <v>3737</v>
      </c>
      <c r="B906" t="s">
        <v>1282</v>
      </c>
      <c r="C906">
        <v>8</v>
      </c>
      <c r="D906" s="105">
        <v>1086520.73</v>
      </c>
      <c r="E906" t="s">
        <v>1448</v>
      </c>
      <c r="F906" s="105">
        <v>8264.32</v>
      </c>
      <c r="G906" s="105">
        <v>1121939.24</v>
      </c>
      <c r="H906" s="143">
        <v>42720.640963078702</v>
      </c>
      <c r="I906" s="143">
        <v>43085</v>
      </c>
      <c r="J906" t="s">
        <v>3738</v>
      </c>
      <c r="K906" t="s">
        <v>1280</v>
      </c>
      <c r="L906" t="s">
        <v>3739</v>
      </c>
      <c r="M906">
        <v>200694</v>
      </c>
      <c r="N906" t="s">
        <v>3725</v>
      </c>
      <c r="O906" t="s">
        <v>25</v>
      </c>
      <c r="P906" t="s">
        <v>290</v>
      </c>
      <c r="Q906" t="s">
        <v>1824</v>
      </c>
      <c r="R906" s="105">
        <f>IF(Table__192.168.1.150_Daily_Delinquency_With_Sectors[[#This Row],[Days in Arrears]] &gt; 0, Table__192.168.1.150_Daily_Delinquency_With_Sectors[[#This Row],[Outstanding Balance]],0)</f>
        <v>1086520.73</v>
      </c>
      <c r="S906" s="105">
        <f>IF(Table__192.168.1.150_Daily_Delinquency_With_Sectors[[#This Row],[Days in Arrears]] &gt; 30, Table__192.168.1.150_Daily_Delinquency_With_Sectors[[#This Row],[Outstanding Balance]],0)</f>
        <v>0</v>
      </c>
      <c r="T906" s="105">
        <f>IF(Table__192.168.1.150_Daily_Delinquency_With_Sectors[[#This Row],[Days in Arrears]] &gt; 90, Table__192.168.1.150_Daily_Delinquency_With_Sectors[[#This Row],[Outstanding Balance]],0)</f>
        <v>0</v>
      </c>
      <c r="U906" s="109">
        <f>IF(Table__192.168.1.150_Daily_Delinquency_With_Sectors[[#This Row],[Days in Arrears]] &gt;= 1,1,0)</f>
        <v>1</v>
      </c>
      <c r="V906" s="109">
        <f>IF(Table__192.168.1.150_Daily_Delinquency_With_Sectors[[#This Row],[Days in Arrears]] &gt; 30,1,0)</f>
        <v>0</v>
      </c>
      <c r="W906" s="109">
        <f>IF(Table__192.168.1.150_Daily_Delinquency_With_Sectors[[#This Row],[Days in Arrears]] &gt; 90,1,0)</f>
        <v>0</v>
      </c>
    </row>
    <row r="907" spans="1:23" x14ac:dyDescent="0.25">
      <c r="A907" t="s">
        <v>3740</v>
      </c>
      <c r="B907" t="s">
        <v>1282</v>
      </c>
      <c r="C907">
        <v>4</v>
      </c>
      <c r="D907" s="105">
        <v>1032737.48</v>
      </c>
      <c r="E907" t="s">
        <v>963</v>
      </c>
      <c r="F907" s="105">
        <v>45827.23</v>
      </c>
      <c r="G907" s="105">
        <v>1099937.83</v>
      </c>
      <c r="H907" s="143">
        <v>42720.736038773146</v>
      </c>
      <c r="I907" s="143">
        <v>43089</v>
      </c>
      <c r="J907" t="s">
        <v>3741</v>
      </c>
      <c r="K907" t="s">
        <v>1280</v>
      </c>
      <c r="L907" t="s">
        <v>3742</v>
      </c>
      <c r="M907">
        <v>200695</v>
      </c>
      <c r="N907" t="s">
        <v>3727</v>
      </c>
      <c r="O907" t="s">
        <v>25</v>
      </c>
      <c r="P907" t="s">
        <v>289</v>
      </c>
      <c r="Q907" t="s">
        <v>1771</v>
      </c>
      <c r="R907" s="105">
        <f>IF(Table__192.168.1.150_Daily_Delinquency_With_Sectors[[#This Row],[Days in Arrears]] &gt; 0, Table__192.168.1.150_Daily_Delinquency_With_Sectors[[#This Row],[Outstanding Balance]],0)</f>
        <v>1032737.48</v>
      </c>
      <c r="S907" s="105">
        <f>IF(Table__192.168.1.150_Daily_Delinquency_With_Sectors[[#This Row],[Days in Arrears]] &gt; 30, Table__192.168.1.150_Daily_Delinquency_With_Sectors[[#This Row],[Outstanding Balance]],0)</f>
        <v>0</v>
      </c>
      <c r="T907" s="105">
        <f>IF(Table__192.168.1.150_Daily_Delinquency_With_Sectors[[#This Row],[Days in Arrears]] &gt; 90, Table__192.168.1.150_Daily_Delinquency_With_Sectors[[#This Row],[Outstanding Balance]],0)</f>
        <v>0</v>
      </c>
      <c r="U907" s="109">
        <f>IF(Table__192.168.1.150_Daily_Delinquency_With_Sectors[[#This Row],[Days in Arrears]] &gt;= 1,1,0)</f>
        <v>1</v>
      </c>
      <c r="V907" s="109">
        <f>IF(Table__192.168.1.150_Daily_Delinquency_With_Sectors[[#This Row],[Days in Arrears]] &gt; 30,1,0)</f>
        <v>0</v>
      </c>
      <c r="W907" s="109">
        <f>IF(Table__192.168.1.150_Daily_Delinquency_With_Sectors[[#This Row],[Days in Arrears]] &gt; 90,1,0)</f>
        <v>0</v>
      </c>
    </row>
    <row r="908" spans="1:23" x14ac:dyDescent="0.25">
      <c r="A908" t="s">
        <v>3744</v>
      </c>
      <c r="B908" t="s">
        <v>1281</v>
      </c>
      <c r="C908">
        <v>5</v>
      </c>
      <c r="D908" s="105">
        <v>2342643.98</v>
      </c>
      <c r="E908" t="s">
        <v>963</v>
      </c>
      <c r="F908" s="105">
        <v>12021.27</v>
      </c>
      <c r="G908" s="105">
        <v>2432803.5099999998</v>
      </c>
      <c r="H908" s="143">
        <v>42723.661676504627</v>
      </c>
      <c r="I908" s="143">
        <v>43088</v>
      </c>
      <c r="J908" t="s">
        <v>3745</v>
      </c>
      <c r="K908" t="s">
        <v>1280</v>
      </c>
      <c r="L908" t="s">
        <v>3746</v>
      </c>
      <c r="M908">
        <v>200698</v>
      </c>
      <c r="N908" t="s">
        <v>3743</v>
      </c>
      <c r="O908" t="s">
        <v>46</v>
      </c>
      <c r="P908" t="s">
        <v>46</v>
      </c>
      <c r="Q908" t="s">
        <v>112</v>
      </c>
      <c r="R908" s="105">
        <f>IF(Table__192.168.1.150_Daily_Delinquency_With_Sectors[[#This Row],[Days in Arrears]] &gt; 0, Table__192.168.1.150_Daily_Delinquency_With_Sectors[[#This Row],[Outstanding Balance]],0)</f>
        <v>2342643.98</v>
      </c>
      <c r="S908" s="105">
        <f>IF(Table__192.168.1.150_Daily_Delinquency_With_Sectors[[#This Row],[Days in Arrears]] &gt; 30, Table__192.168.1.150_Daily_Delinquency_With_Sectors[[#This Row],[Outstanding Balance]],0)</f>
        <v>0</v>
      </c>
      <c r="T908" s="105">
        <f>IF(Table__192.168.1.150_Daily_Delinquency_With_Sectors[[#This Row],[Days in Arrears]] &gt; 90, Table__192.168.1.150_Daily_Delinquency_With_Sectors[[#This Row],[Outstanding Balance]],0)</f>
        <v>0</v>
      </c>
      <c r="U908" s="109">
        <f>IF(Table__192.168.1.150_Daily_Delinquency_With_Sectors[[#This Row],[Days in Arrears]] &gt;= 1,1,0)</f>
        <v>1</v>
      </c>
      <c r="V908" s="109">
        <f>IF(Table__192.168.1.150_Daily_Delinquency_With_Sectors[[#This Row],[Days in Arrears]] &gt; 30,1,0)</f>
        <v>0</v>
      </c>
      <c r="W908" s="109">
        <f>IF(Table__192.168.1.150_Daily_Delinquency_With_Sectors[[#This Row],[Days in Arrears]] &gt; 90,1,0)</f>
        <v>0</v>
      </c>
    </row>
    <row r="909" spans="1:23" x14ac:dyDescent="0.25">
      <c r="A909" t="s">
        <v>3748</v>
      </c>
      <c r="B909" t="s">
        <v>1283</v>
      </c>
      <c r="C909">
        <v>4</v>
      </c>
      <c r="D909" s="105">
        <v>27029395.91</v>
      </c>
      <c r="E909" t="s">
        <v>2861</v>
      </c>
      <c r="F909" s="105">
        <v>985922.75</v>
      </c>
      <c r="G909" s="105">
        <v>34265131.899999999</v>
      </c>
      <c r="H909" s="143">
        <v>42724.647730590281</v>
      </c>
      <c r="I909" s="143">
        <v>43454</v>
      </c>
      <c r="J909" t="s">
        <v>3749</v>
      </c>
      <c r="K909" t="s">
        <v>1280</v>
      </c>
      <c r="L909" t="s">
        <v>3750</v>
      </c>
      <c r="M909">
        <v>200701</v>
      </c>
      <c r="N909" t="s">
        <v>3747</v>
      </c>
      <c r="O909" t="s">
        <v>25</v>
      </c>
      <c r="P909" t="s">
        <v>103</v>
      </c>
      <c r="Q909" t="s">
        <v>104</v>
      </c>
      <c r="R909" s="105">
        <f>IF(Table__192.168.1.150_Daily_Delinquency_With_Sectors[[#This Row],[Days in Arrears]] &gt; 0, Table__192.168.1.150_Daily_Delinquency_With_Sectors[[#This Row],[Outstanding Balance]],0)</f>
        <v>27029395.91</v>
      </c>
      <c r="S909" s="105">
        <f>IF(Table__192.168.1.150_Daily_Delinquency_With_Sectors[[#This Row],[Days in Arrears]] &gt; 30, Table__192.168.1.150_Daily_Delinquency_With_Sectors[[#This Row],[Outstanding Balance]],0)</f>
        <v>0</v>
      </c>
      <c r="T909" s="105">
        <f>IF(Table__192.168.1.150_Daily_Delinquency_With_Sectors[[#This Row],[Days in Arrears]] &gt; 90, Table__192.168.1.150_Daily_Delinquency_With_Sectors[[#This Row],[Outstanding Balance]],0)</f>
        <v>0</v>
      </c>
      <c r="U909" s="109">
        <f>IF(Table__192.168.1.150_Daily_Delinquency_With_Sectors[[#This Row],[Days in Arrears]] &gt;= 1,1,0)</f>
        <v>1</v>
      </c>
      <c r="V909" s="109">
        <f>IF(Table__192.168.1.150_Daily_Delinquency_With_Sectors[[#This Row],[Days in Arrears]] &gt; 30,1,0)</f>
        <v>0</v>
      </c>
      <c r="W909" s="109">
        <f>IF(Table__192.168.1.150_Daily_Delinquency_With_Sectors[[#This Row],[Days in Arrears]] &gt; 90,1,0)</f>
        <v>0</v>
      </c>
    </row>
    <row r="910" spans="1:23" x14ac:dyDescent="0.25">
      <c r="A910" t="s">
        <v>3761</v>
      </c>
      <c r="B910" t="s">
        <v>1284</v>
      </c>
      <c r="C910">
        <v>-27</v>
      </c>
      <c r="D910" s="105">
        <v>6327958.2699999996</v>
      </c>
      <c r="E910" t="s">
        <v>2538</v>
      </c>
      <c r="F910" s="105">
        <v>14062.13</v>
      </c>
      <c r="G910" s="105">
        <v>6863931.0099999998</v>
      </c>
      <c r="H910" s="143">
        <v>42725.698631446758</v>
      </c>
      <c r="I910" s="143">
        <v>43180</v>
      </c>
      <c r="J910" t="s">
        <v>3762</v>
      </c>
      <c r="K910" t="s">
        <v>1280</v>
      </c>
      <c r="L910" t="s">
        <v>3763</v>
      </c>
      <c r="M910">
        <v>200706</v>
      </c>
      <c r="N910" t="s">
        <v>3757</v>
      </c>
      <c r="O910" t="s">
        <v>29</v>
      </c>
      <c r="P910" t="s">
        <v>30</v>
      </c>
      <c r="Q910" t="s">
        <v>30</v>
      </c>
      <c r="R910" s="105">
        <f>IF(Table__192.168.1.150_Daily_Delinquency_With_Sectors[[#This Row],[Days in Arrears]] &gt; 0, Table__192.168.1.150_Daily_Delinquency_With_Sectors[[#This Row],[Outstanding Balance]],0)</f>
        <v>0</v>
      </c>
      <c r="S910" s="105">
        <f>IF(Table__192.168.1.150_Daily_Delinquency_With_Sectors[[#This Row],[Days in Arrears]] &gt; 30, Table__192.168.1.150_Daily_Delinquency_With_Sectors[[#This Row],[Outstanding Balance]],0)</f>
        <v>0</v>
      </c>
      <c r="T910" s="105">
        <f>IF(Table__192.168.1.150_Daily_Delinquency_With_Sectors[[#This Row],[Days in Arrears]] &gt; 90, Table__192.168.1.150_Daily_Delinquency_With_Sectors[[#This Row],[Outstanding Balance]],0)</f>
        <v>0</v>
      </c>
      <c r="U910" s="109">
        <f>IF(Table__192.168.1.150_Daily_Delinquency_With_Sectors[[#This Row],[Days in Arrears]] &gt;= 1,1,0)</f>
        <v>0</v>
      </c>
      <c r="V910" s="109">
        <f>IF(Table__192.168.1.150_Daily_Delinquency_With_Sectors[[#This Row],[Days in Arrears]] &gt; 30,1,0)</f>
        <v>0</v>
      </c>
      <c r="W910" s="109">
        <f>IF(Table__192.168.1.150_Daily_Delinquency_With_Sectors[[#This Row],[Days in Arrears]] &gt; 90,1,0)</f>
        <v>0</v>
      </c>
    </row>
    <row r="911" spans="1:23" x14ac:dyDescent="0.25">
      <c r="A911" t="s">
        <v>2550</v>
      </c>
      <c r="B911" t="s">
        <v>1283</v>
      </c>
      <c r="C911">
        <v>-27</v>
      </c>
      <c r="D911" s="105">
        <v>31398331.530000001</v>
      </c>
      <c r="E911" t="s">
        <v>2538</v>
      </c>
      <c r="F911" s="105">
        <v>62796.66</v>
      </c>
      <c r="G911" s="105">
        <v>38380820.329999998</v>
      </c>
      <c r="H911" s="143">
        <v>42725.658498414348</v>
      </c>
      <c r="I911" s="143">
        <v>43455</v>
      </c>
      <c r="J911" t="s">
        <v>2551</v>
      </c>
      <c r="K911" t="s">
        <v>2552</v>
      </c>
      <c r="L911" t="s">
        <v>1280</v>
      </c>
      <c r="M911">
        <v>200708</v>
      </c>
      <c r="N911" t="s">
        <v>2537</v>
      </c>
      <c r="O911" t="s">
        <v>35</v>
      </c>
      <c r="P911" t="s">
        <v>121</v>
      </c>
      <c r="Q911" t="s">
        <v>122</v>
      </c>
      <c r="R911" s="105">
        <f>IF(Table__192.168.1.150_Daily_Delinquency_With_Sectors[[#This Row],[Days in Arrears]] &gt; 0, Table__192.168.1.150_Daily_Delinquency_With_Sectors[[#This Row],[Outstanding Balance]],0)</f>
        <v>0</v>
      </c>
      <c r="S911" s="105">
        <f>IF(Table__192.168.1.150_Daily_Delinquency_With_Sectors[[#This Row],[Days in Arrears]] &gt; 30, Table__192.168.1.150_Daily_Delinquency_With_Sectors[[#This Row],[Outstanding Balance]],0)</f>
        <v>0</v>
      </c>
      <c r="T911" s="105">
        <f>IF(Table__192.168.1.150_Daily_Delinquency_With_Sectors[[#This Row],[Days in Arrears]] &gt; 90, Table__192.168.1.150_Daily_Delinquency_With_Sectors[[#This Row],[Outstanding Balance]],0)</f>
        <v>0</v>
      </c>
      <c r="U911" s="109">
        <f>IF(Table__192.168.1.150_Daily_Delinquency_With_Sectors[[#This Row],[Days in Arrears]] &gt;= 1,1,0)</f>
        <v>0</v>
      </c>
      <c r="V911" s="109">
        <f>IF(Table__192.168.1.150_Daily_Delinquency_With_Sectors[[#This Row],[Days in Arrears]] &gt; 30,1,0)</f>
        <v>0</v>
      </c>
      <c r="W911" s="109">
        <f>IF(Table__192.168.1.150_Daily_Delinquency_With_Sectors[[#This Row],[Days in Arrears]] &gt; 90,1,0)</f>
        <v>0</v>
      </c>
    </row>
    <row r="912" spans="1:23" x14ac:dyDescent="0.25">
      <c r="A912" t="s">
        <v>3764</v>
      </c>
      <c r="B912" t="s">
        <v>1284</v>
      </c>
      <c r="C912">
        <v>3</v>
      </c>
      <c r="D912" s="105">
        <v>3902659.98</v>
      </c>
      <c r="E912" t="s">
        <v>1467</v>
      </c>
      <c r="F912" s="105">
        <v>134496.04999999999</v>
      </c>
      <c r="G912" s="105">
        <v>4098859.28</v>
      </c>
      <c r="H912" s="143">
        <v>42725.689662731478</v>
      </c>
      <c r="I912" s="143">
        <v>43090</v>
      </c>
      <c r="J912" t="s">
        <v>3765</v>
      </c>
      <c r="K912" t="s">
        <v>1280</v>
      </c>
      <c r="L912" t="s">
        <v>3766</v>
      </c>
      <c r="M912">
        <v>200711</v>
      </c>
      <c r="N912" t="s">
        <v>3752</v>
      </c>
      <c r="O912" t="s">
        <v>27</v>
      </c>
      <c r="P912" t="s">
        <v>116</v>
      </c>
      <c r="Q912" t="s">
        <v>26</v>
      </c>
      <c r="R912" s="105">
        <f>IF(Table__192.168.1.150_Daily_Delinquency_With_Sectors[[#This Row],[Days in Arrears]] &gt; 0, Table__192.168.1.150_Daily_Delinquency_With_Sectors[[#This Row],[Outstanding Balance]],0)</f>
        <v>3902659.98</v>
      </c>
      <c r="S912" s="105">
        <f>IF(Table__192.168.1.150_Daily_Delinquency_With_Sectors[[#This Row],[Days in Arrears]] &gt; 30, Table__192.168.1.150_Daily_Delinquency_With_Sectors[[#This Row],[Outstanding Balance]],0)</f>
        <v>0</v>
      </c>
      <c r="T912" s="105">
        <f>IF(Table__192.168.1.150_Daily_Delinquency_With_Sectors[[#This Row],[Days in Arrears]] &gt; 90, Table__192.168.1.150_Daily_Delinquency_With_Sectors[[#This Row],[Outstanding Balance]],0)</f>
        <v>0</v>
      </c>
      <c r="U912" s="109">
        <f>IF(Table__192.168.1.150_Daily_Delinquency_With_Sectors[[#This Row],[Days in Arrears]] &gt;= 1,1,0)</f>
        <v>1</v>
      </c>
      <c r="V912" s="109">
        <f>IF(Table__192.168.1.150_Daily_Delinquency_With_Sectors[[#This Row],[Days in Arrears]] &gt; 30,1,0)</f>
        <v>0</v>
      </c>
      <c r="W912" s="109">
        <f>IF(Table__192.168.1.150_Daily_Delinquency_With_Sectors[[#This Row],[Days in Arrears]] &gt; 90,1,0)</f>
        <v>0</v>
      </c>
    </row>
    <row r="913" spans="1:23" x14ac:dyDescent="0.25">
      <c r="A913" t="s">
        <v>3767</v>
      </c>
      <c r="B913" t="s">
        <v>1279</v>
      </c>
      <c r="C913">
        <v>123</v>
      </c>
      <c r="D913" s="105">
        <v>1130901.96</v>
      </c>
      <c r="E913" t="s">
        <v>2538</v>
      </c>
      <c r="F913" s="105">
        <v>31555.119999999999</v>
      </c>
      <c r="G913" s="105">
        <v>1163545.19</v>
      </c>
      <c r="H913" s="143">
        <v>42725.702797951388</v>
      </c>
      <c r="I913" s="143">
        <v>42968</v>
      </c>
      <c r="J913" t="s">
        <v>3768</v>
      </c>
      <c r="K913" t="s">
        <v>1280</v>
      </c>
      <c r="L913" t="s">
        <v>1280</v>
      </c>
      <c r="M913">
        <v>200712</v>
      </c>
      <c r="N913" t="s">
        <v>3753</v>
      </c>
      <c r="O913" t="s">
        <v>25</v>
      </c>
      <c r="P913" t="s">
        <v>94</v>
      </c>
      <c r="Q913" t="s">
        <v>26</v>
      </c>
      <c r="R913" s="105">
        <f>IF(Table__192.168.1.150_Daily_Delinquency_With_Sectors[[#This Row],[Days in Arrears]] &gt; 0, Table__192.168.1.150_Daily_Delinquency_With_Sectors[[#This Row],[Outstanding Balance]],0)</f>
        <v>1130901.96</v>
      </c>
      <c r="S913" s="105">
        <f>IF(Table__192.168.1.150_Daily_Delinquency_With_Sectors[[#This Row],[Days in Arrears]] &gt; 30, Table__192.168.1.150_Daily_Delinquency_With_Sectors[[#This Row],[Outstanding Balance]],0)</f>
        <v>1130901.96</v>
      </c>
      <c r="T913" s="105">
        <f>IF(Table__192.168.1.150_Daily_Delinquency_With_Sectors[[#This Row],[Days in Arrears]] &gt; 90, Table__192.168.1.150_Daily_Delinquency_With_Sectors[[#This Row],[Outstanding Balance]],0)</f>
        <v>1130901.96</v>
      </c>
      <c r="U913" s="109">
        <f>IF(Table__192.168.1.150_Daily_Delinquency_With_Sectors[[#This Row],[Days in Arrears]] &gt;= 1,1,0)</f>
        <v>1</v>
      </c>
      <c r="V913" s="109">
        <f>IF(Table__192.168.1.150_Daily_Delinquency_With_Sectors[[#This Row],[Days in Arrears]] &gt; 30,1,0)</f>
        <v>1</v>
      </c>
      <c r="W913" s="109">
        <f>IF(Table__192.168.1.150_Daily_Delinquency_With_Sectors[[#This Row],[Days in Arrears]] &gt; 90,1,0)</f>
        <v>1</v>
      </c>
    </row>
    <row r="914" spans="1:23" x14ac:dyDescent="0.25">
      <c r="A914" t="s">
        <v>3772</v>
      </c>
      <c r="B914" t="s">
        <v>1281</v>
      </c>
      <c r="C914">
        <v>123</v>
      </c>
      <c r="D914" s="105">
        <v>13374838.109999999</v>
      </c>
      <c r="E914" t="s">
        <v>2034</v>
      </c>
      <c r="F914" s="105">
        <v>1011991.93</v>
      </c>
      <c r="G914" s="105">
        <v>16189398.01</v>
      </c>
      <c r="H914" s="143">
        <v>42725.761977974536</v>
      </c>
      <c r="I914" s="143">
        <v>43180</v>
      </c>
      <c r="J914" t="s">
        <v>3773</v>
      </c>
      <c r="K914" t="s">
        <v>1280</v>
      </c>
      <c r="L914" t="s">
        <v>1280</v>
      </c>
      <c r="M914">
        <v>200715</v>
      </c>
      <c r="N914" t="s">
        <v>3754</v>
      </c>
      <c r="O914" t="s">
        <v>37</v>
      </c>
      <c r="P914" t="s">
        <v>38</v>
      </c>
      <c r="Q914" t="s">
        <v>26</v>
      </c>
      <c r="R914" s="105">
        <f>IF(Table__192.168.1.150_Daily_Delinquency_With_Sectors[[#This Row],[Days in Arrears]] &gt; 0, Table__192.168.1.150_Daily_Delinquency_With_Sectors[[#This Row],[Outstanding Balance]],0)</f>
        <v>13374838.109999999</v>
      </c>
      <c r="S914" s="105">
        <f>IF(Table__192.168.1.150_Daily_Delinquency_With_Sectors[[#This Row],[Days in Arrears]] &gt; 30, Table__192.168.1.150_Daily_Delinquency_With_Sectors[[#This Row],[Outstanding Balance]],0)</f>
        <v>13374838.109999999</v>
      </c>
      <c r="T914" s="105">
        <f>IF(Table__192.168.1.150_Daily_Delinquency_With_Sectors[[#This Row],[Days in Arrears]] &gt; 90, Table__192.168.1.150_Daily_Delinquency_With_Sectors[[#This Row],[Outstanding Balance]],0)</f>
        <v>13374838.109999999</v>
      </c>
      <c r="U914" s="109">
        <f>IF(Table__192.168.1.150_Daily_Delinquency_With_Sectors[[#This Row],[Days in Arrears]] &gt;= 1,1,0)</f>
        <v>1</v>
      </c>
      <c r="V914" s="109">
        <f>IF(Table__192.168.1.150_Daily_Delinquency_With_Sectors[[#This Row],[Days in Arrears]] &gt; 30,1,0)</f>
        <v>1</v>
      </c>
      <c r="W914" s="109">
        <f>IF(Table__192.168.1.150_Daily_Delinquency_With_Sectors[[#This Row],[Days in Arrears]] &gt; 90,1,0)</f>
        <v>1</v>
      </c>
    </row>
    <row r="915" spans="1:23" x14ac:dyDescent="0.25">
      <c r="A915" t="s">
        <v>3774</v>
      </c>
      <c r="B915" t="s">
        <v>1282</v>
      </c>
      <c r="C915">
        <v>32</v>
      </c>
      <c r="D915" s="105">
        <v>2701112.61</v>
      </c>
      <c r="E915" t="s">
        <v>1448</v>
      </c>
      <c r="F915" s="105">
        <v>272274.48</v>
      </c>
      <c r="G915" s="105">
        <v>2868921.65</v>
      </c>
      <c r="H915" s="143">
        <v>42725.767250266203</v>
      </c>
      <c r="I915" s="143">
        <v>43091</v>
      </c>
      <c r="J915" t="s">
        <v>3775</v>
      </c>
      <c r="K915" t="s">
        <v>1280</v>
      </c>
      <c r="L915" t="s">
        <v>3776</v>
      </c>
      <c r="M915">
        <v>200716</v>
      </c>
      <c r="N915" t="s">
        <v>3751</v>
      </c>
      <c r="O915" t="s">
        <v>36</v>
      </c>
      <c r="P915" t="s">
        <v>97</v>
      </c>
      <c r="Q915" t="s">
        <v>1811</v>
      </c>
      <c r="R915" s="105">
        <f>IF(Table__192.168.1.150_Daily_Delinquency_With_Sectors[[#This Row],[Days in Arrears]] &gt; 0, Table__192.168.1.150_Daily_Delinquency_With_Sectors[[#This Row],[Outstanding Balance]],0)</f>
        <v>2701112.61</v>
      </c>
      <c r="S915" s="105">
        <f>IF(Table__192.168.1.150_Daily_Delinquency_With_Sectors[[#This Row],[Days in Arrears]] &gt; 30, Table__192.168.1.150_Daily_Delinquency_With_Sectors[[#This Row],[Outstanding Balance]],0)</f>
        <v>2701112.61</v>
      </c>
      <c r="T915" s="105">
        <f>IF(Table__192.168.1.150_Daily_Delinquency_With_Sectors[[#This Row],[Days in Arrears]] &gt; 90, Table__192.168.1.150_Daily_Delinquency_With_Sectors[[#This Row],[Outstanding Balance]],0)</f>
        <v>0</v>
      </c>
      <c r="U915" s="109">
        <f>IF(Table__192.168.1.150_Daily_Delinquency_With_Sectors[[#This Row],[Days in Arrears]] &gt;= 1,1,0)</f>
        <v>1</v>
      </c>
      <c r="V915" s="109">
        <f>IF(Table__192.168.1.150_Daily_Delinquency_With_Sectors[[#This Row],[Days in Arrears]] &gt; 30,1,0)</f>
        <v>1</v>
      </c>
      <c r="W915" s="109">
        <f>IF(Table__192.168.1.150_Daily_Delinquency_With_Sectors[[#This Row],[Days in Arrears]] &gt; 90,1,0)</f>
        <v>0</v>
      </c>
    </row>
    <row r="916" spans="1:23" x14ac:dyDescent="0.25">
      <c r="A916" t="s">
        <v>1766</v>
      </c>
      <c r="B916" t="s">
        <v>1284</v>
      </c>
      <c r="C916">
        <v>0</v>
      </c>
      <c r="D916" s="105">
        <v>13353030.109999999</v>
      </c>
      <c r="E916" t="s">
        <v>2861</v>
      </c>
      <c r="F916" s="105">
        <v>387237.87</v>
      </c>
      <c r="G916" s="105">
        <v>16549328.17</v>
      </c>
      <c r="H916" s="143">
        <v>42727.67158440972</v>
      </c>
      <c r="I916" s="143">
        <v>43458</v>
      </c>
      <c r="J916" t="s">
        <v>1767</v>
      </c>
      <c r="K916" t="s">
        <v>1280</v>
      </c>
      <c r="L916" t="s">
        <v>1839</v>
      </c>
      <c r="M916">
        <v>200719</v>
      </c>
      <c r="N916" t="s">
        <v>1765</v>
      </c>
      <c r="O916" t="s">
        <v>25</v>
      </c>
      <c r="P916" t="s">
        <v>295</v>
      </c>
      <c r="Q916" t="s">
        <v>3613</v>
      </c>
      <c r="R916" s="105">
        <f>IF(Table__192.168.1.150_Daily_Delinquency_With_Sectors[[#This Row],[Days in Arrears]] &gt; 0, Table__192.168.1.150_Daily_Delinquency_With_Sectors[[#This Row],[Outstanding Balance]],0)</f>
        <v>0</v>
      </c>
      <c r="S916" s="105">
        <f>IF(Table__192.168.1.150_Daily_Delinquency_With_Sectors[[#This Row],[Days in Arrears]] &gt; 30, Table__192.168.1.150_Daily_Delinquency_With_Sectors[[#This Row],[Outstanding Balance]],0)</f>
        <v>0</v>
      </c>
      <c r="T916" s="105">
        <f>IF(Table__192.168.1.150_Daily_Delinquency_With_Sectors[[#This Row],[Days in Arrears]] &gt; 90, Table__192.168.1.150_Daily_Delinquency_With_Sectors[[#This Row],[Outstanding Balance]],0)</f>
        <v>0</v>
      </c>
      <c r="U916" s="109">
        <f>IF(Table__192.168.1.150_Daily_Delinquency_With_Sectors[[#This Row],[Days in Arrears]] &gt;= 1,1,0)</f>
        <v>0</v>
      </c>
      <c r="V916" s="109">
        <f>IF(Table__192.168.1.150_Daily_Delinquency_With_Sectors[[#This Row],[Days in Arrears]] &gt; 30,1,0)</f>
        <v>0</v>
      </c>
      <c r="W916" s="109">
        <f>IF(Table__192.168.1.150_Daily_Delinquency_With_Sectors[[#This Row],[Days in Arrears]] &gt; 90,1,0)</f>
        <v>0</v>
      </c>
    </row>
    <row r="917" spans="1:23" x14ac:dyDescent="0.25">
      <c r="A917" t="s">
        <v>3792</v>
      </c>
      <c r="B917" t="s">
        <v>1284</v>
      </c>
      <c r="C917">
        <v>0</v>
      </c>
      <c r="D917" s="105">
        <v>16893372.43</v>
      </c>
      <c r="E917" t="s">
        <v>491</v>
      </c>
      <c r="F917" s="105">
        <v>544342</v>
      </c>
      <c r="G917" s="105">
        <v>21415707.390000001</v>
      </c>
      <c r="H917" s="143">
        <v>42728.502432094909</v>
      </c>
      <c r="I917" s="143">
        <v>43458</v>
      </c>
      <c r="J917" t="s">
        <v>3793</v>
      </c>
      <c r="K917" t="s">
        <v>1280</v>
      </c>
      <c r="L917" t="s">
        <v>3794</v>
      </c>
      <c r="M917">
        <v>200721</v>
      </c>
      <c r="N917" t="s">
        <v>3783</v>
      </c>
      <c r="O917" t="s">
        <v>45</v>
      </c>
      <c r="P917" t="s">
        <v>45</v>
      </c>
      <c r="Q917" t="s">
        <v>89</v>
      </c>
      <c r="R917" s="105">
        <f>IF(Table__192.168.1.150_Daily_Delinquency_With_Sectors[[#This Row],[Days in Arrears]] &gt; 0, Table__192.168.1.150_Daily_Delinquency_With_Sectors[[#This Row],[Outstanding Balance]],0)</f>
        <v>0</v>
      </c>
      <c r="S917" s="105">
        <f>IF(Table__192.168.1.150_Daily_Delinquency_With_Sectors[[#This Row],[Days in Arrears]] &gt; 30, Table__192.168.1.150_Daily_Delinquency_With_Sectors[[#This Row],[Outstanding Balance]],0)</f>
        <v>0</v>
      </c>
      <c r="T917" s="105">
        <f>IF(Table__192.168.1.150_Daily_Delinquency_With_Sectors[[#This Row],[Days in Arrears]] &gt; 90, Table__192.168.1.150_Daily_Delinquency_With_Sectors[[#This Row],[Outstanding Balance]],0)</f>
        <v>0</v>
      </c>
      <c r="U917" s="109">
        <f>IF(Table__192.168.1.150_Daily_Delinquency_With_Sectors[[#This Row],[Days in Arrears]] &gt;= 1,1,0)</f>
        <v>0</v>
      </c>
      <c r="V917" s="109">
        <f>IF(Table__192.168.1.150_Daily_Delinquency_With_Sectors[[#This Row],[Days in Arrears]] &gt; 30,1,0)</f>
        <v>0</v>
      </c>
      <c r="W917" s="109">
        <f>IF(Table__192.168.1.150_Daily_Delinquency_With_Sectors[[#This Row],[Days in Arrears]] &gt; 90,1,0)</f>
        <v>0</v>
      </c>
    </row>
    <row r="918" spans="1:23" x14ac:dyDescent="0.25">
      <c r="A918" t="s">
        <v>3795</v>
      </c>
      <c r="B918" t="s">
        <v>1282</v>
      </c>
      <c r="C918">
        <v>30</v>
      </c>
      <c r="D918" s="105">
        <v>709552.93</v>
      </c>
      <c r="E918" t="s">
        <v>1039</v>
      </c>
      <c r="F918" s="105">
        <v>22333.81</v>
      </c>
      <c r="G918" s="105">
        <v>744463.04</v>
      </c>
      <c r="H918" s="143">
        <v>42728.535110034725</v>
      </c>
      <c r="I918" s="143">
        <v>43093</v>
      </c>
      <c r="J918" t="s">
        <v>3796</v>
      </c>
      <c r="K918" t="s">
        <v>1280</v>
      </c>
      <c r="L918" t="s">
        <v>1280</v>
      </c>
      <c r="M918">
        <v>200722</v>
      </c>
      <c r="N918" t="s">
        <v>3779</v>
      </c>
      <c r="O918" t="s">
        <v>25</v>
      </c>
      <c r="P918" t="s">
        <v>26</v>
      </c>
      <c r="Q918" t="s">
        <v>26</v>
      </c>
      <c r="R918" s="105">
        <f>IF(Table__192.168.1.150_Daily_Delinquency_With_Sectors[[#This Row],[Days in Arrears]] &gt; 0, Table__192.168.1.150_Daily_Delinquency_With_Sectors[[#This Row],[Outstanding Balance]],0)</f>
        <v>709552.93</v>
      </c>
      <c r="S918" s="105">
        <f>IF(Table__192.168.1.150_Daily_Delinquency_With_Sectors[[#This Row],[Days in Arrears]] &gt; 30, Table__192.168.1.150_Daily_Delinquency_With_Sectors[[#This Row],[Outstanding Balance]],0)</f>
        <v>0</v>
      </c>
      <c r="T918" s="105">
        <f>IF(Table__192.168.1.150_Daily_Delinquency_With_Sectors[[#This Row],[Days in Arrears]] &gt; 90, Table__192.168.1.150_Daily_Delinquency_With_Sectors[[#This Row],[Outstanding Balance]],0)</f>
        <v>0</v>
      </c>
      <c r="U918" s="109">
        <f>IF(Table__192.168.1.150_Daily_Delinquency_With_Sectors[[#This Row],[Days in Arrears]] &gt;= 1,1,0)</f>
        <v>1</v>
      </c>
      <c r="V918" s="109">
        <f>IF(Table__192.168.1.150_Daily_Delinquency_With_Sectors[[#This Row],[Days in Arrears]] &gt; 30,1,0)</f>
        <v>0</v>
      </c>
      <c r="W918" s="109">
        <f>IF(Table__192.168.1.150_Daily_Delinquency_With_Sectors[[#This Row],[Days in Arrears]] &gt; 90,1,0)</f>
        <v>0</v>
      </c>
    </row>
    <row r="919" spans="1:23" x14ac:dyDescent="0.25">
      <c r="A919" t="s">
        <v>3797</v>
      </c>
      <c r="B919" t="s">
        <v>1282</v>
      </c>
      <c r="C919">
        <v>0</v>
      </c>
      <c r="D919" s="105">
        <v>1642946.68</v>
      </c>
      <c r="E919" t="s">
        <v>1448</v>
      </c>
      <c r="F919" s="105">
        <v>71468.179999999993</v>
      </c>
      <c r="G919" s="105">
        <v>1754659.02</v>
      </c>
      <c r="H919" s="143">
        <v>42728.548674571757</v>
      </c>
      <c r="I919" s="143">
        <v>43093</v>
      </c>
      <c r="J919" t="s">
        <v>3798</v>
      </c>
      <c r="K919" t="s">
        <v>1280</v>
      </c>
      <c r="L919" t="s">
        <v>3799</v>
      </c>
      <c r="M919">
        <v>200723</v>
      </c>
      <c r="N919" t="s">
        <v>3780</v>
      </c>
      <c r="O919" t="s">
        <v>25</v>
      </c>
      <c r="P919" t="s">
        <v>26</v>
      </c>
      <c r="Q919" t="s">
        <v>26</v>
      </c>
      <c r="R919" s="105">
        <f>IF(Table__192.168.1.150_Daily_Delinquency_With_Sectors[[#This Row],[Days in Arrears]] &gt; 0, Table__192.168.1.150_Daily_Delinquency_With_Sectors[[#This Row],[Outstanding Balance]],0)</f>
        <v>0</v>
      </c>
      <c r="S919" s="105">
        <f>IF(Table__192.168.1.150_Daily_Delinquency_With_Sectors[[#This Row],[Days in Arrears]] &gt; 30, Table__192.168.1.150_Daily_Delinquency_With_Sectors[[#This Row],[Outstanding Balance]],0)</f>
        <v>0</v>
      </c>
      <c r="T919" s="105">
        <f>IF(Table__192.168.1.150_Daily_Delinquency_With_Sectors[[#This Row],[Days in Arrears]] &gt; 90, Table__192.168.1.150_Daily_Delinquency_With_Sectors[[#This Row],[Outstanding Balance]],0)</f>
        <v>0</v>
      </c>
      <c r="U919" s="109">
        <f>IF(Table__192.168.1.150_Daily_Delinquency_With_Sectors[[#This Row],[Days in Arrears]] &gt;= 1,1,0)</f>
        <v>0</v>
      </c>
      <c r="V919" s="109">
        <f>IF(Table__192.168.1.150_Daily_Delinquency_With_Sectors[[#This Row],[Days in Arrears]] &gt; 30,1,0)</f>
        <v>0</v>
      </c>
      <c r="W919" s="109">
        <f>IF(Table__192.168.1.150_Daily_Delinquency_With_Sectors[[#This Row],[Days in Arrears]] &gt; 90,1,0)</f>
        <v>0</v>
      </c>
    </row>
    <row r="920" spans="1:23" x14ac:dyDescent="0.25">
      <c r="A920" t="s">
        <v>3802</v>
      </c>
      <c r="B920" t="s">
        <v>1281</v>
      </c>
      <c r="C920">
        <v>112</v>
      </c>
      <c r="D920" s="105">
        <v>9970307.7200000007</v>
      </c>
      <c r="E920" t="s">
        <v>2855</v>
      </c>
      <c r="F920" s="105">
        <v>638937.1</v>
      </c>
      <c r="G920" s="105">
        <v>11226658.74</v>
      </c>
      <c r="H920" s="143">
        <v>42732.658465509259</v>
      </c>
      <c r="I920" s="143">
        <v>43102</v>
      </c>
      <c r="J920" t="s">
        <v>3803</v>
      </c>
      <c r="K920" t="s">
        <v>1280</v>
      </c>
      <c r="L920" t="s">
        <v>3804</v>
      </c>
      <c r="M920">
        <v>200724</v>
      </c>
      <c r="N920" t="s">
        <v>3801</v>
      </c>
      <c r="O920" t="s">
        <v>44</v>
      </c>
      <c r="P920" t="s">
        <v>92</v>
      </c>
      <c r="Q920" t="s">
        <v>26</v>
      </c>
      <c r="R920" s="105">
        <f>IF(Table__192.168.1.150_Daily_Delinquency_With_Sectors[[#This Row],[Days in Arrears]] &gt; 0, Table__192.168.1.150_Daily_Delinquency_With_Sectors[[#This Row],[Outstanding Balance]],0)</f>
        <v>9970307.7200000007</v>
      </c>
      <c r="S920" s="105">
        <f>IF(Table__192.168.1.150_Daily_Delinquency_With_Sectors[[#This Row],[Days in Arrears]] &gt; 30, Table__192.168.1.150_Daily_Delinquency_With_Sectors[[#This Row],[Outstanding Balance]],0)</f>
        <v>9970307.7200000007</v>
      </c>
      <c r="T920" s="105">
        <f>IF(Table__192.168.1.150_Daily_Delinquency_With_Sectors[[#This Row],[Days in Arrears]] &gt; 90, Table__192.168.1.150_Daily_Delinquency_With_Sectors[[#This Row],[Outstanding Balance]],0)</f>
        <v>9970307.7200000007</v>
      </c>
      <c r="U920" s="109">
        <f>IF(Table__192.168.1.150_Daily_Delinquency_With_Sectors[[#This Row],[Days in Arrears]] &gt;= 1,1,0)</f>
        <v>1</v>
      </c>
      <c r="V920" s="109">
        <f>IF(Table__192.168.1.150_Daily_Delinquency_With_Sectors[[#This Row],[Days in Arrears]] &gt; 30,1,0)</f>
        <v>1</v>
      </c>
      <c r="W920" s="109">
        <f>IF(Table__192.168.1.150_Daily_Delinquency_With_Sectors[[#This Row],[Days in Arrears]] &gt; 90,1,0)</f>
        <v>1</v>
      </c>
    </row>
    <row r="921" spans="1:23" x14ac:dyDescent="0.25">
      <c r="A921" t="s">
        <v>3805</v>
      </c>
      <c r="B921" t="s">
        <v>1282</v>
      </c>
      <c r="C921">
        <v>-7</v>
      </c>
      <c r="D921" s="105">
        <v>2268779.64</v>
      </c>
      <c r="E921" t="s">
        <v>2861</v>
      </c>
      <c r="F921" s="105">
        <v>74869.73</v>
      </c>
      <c r="G921" s="105">
        <v>2423045.56</v>
      </c>
      <c r="H921" s="143">
        <v>42732.696451076386</v>
      </c>
      <c r="I921" s="143">
        <v>43101</v>
      </c>
      <c r="J921" t="s">
        <v>3806</v>
      </c>
      <c r="K921" t="s">
        <v>1280</v>
      </c>
      <c r="L921" t="s">
        <v>1280</v>
      </c>
      <c r="M921">
        <v>200725</v>
      </c>
      <c r="N921" t="s">
        <v>3800</v>
      </c>
      <c r="O921" t="s">
        <v>37</v>
      </c>
      <c r="P921" t="s">
        <v>38</v>
      </c>
      <c r="Q921" t="s">
        <v>39</v>
      </c>
      <c r="R921" s="105">
        <f>IF(Table__192.168.1.150_Daily_Delinquency_With_Sectors[[#This Row],[Days in Arrears]] &gt; 0, Table__192.168.1.150_Daily_Delinquency_With_Sectors[[#This Row],[Outstanding Balance]],0)</f>
        <v>0</v>
      </c>
      <c r="S921" s="105">
        <f>IF(Table__192.168.1.150_Daily_Delinquency_With_Sectors[[#This Row],[Days in Arrears]] &gt; 30, Table__192.168.1.150_Daily_Delinquency_With_Sectors[[#This Row],[Outstanding Balance]],0)</f>
        <v>0</v>
      </c>
      <c r="T921" s="105">
        <f>IF(Table__192.168.1.150_Daily_Delinquency_With_Sectors[[#This Row],[Days in Arrears]] &gt; 90, Table__192.168.1.150_Daily_Delinquency_With_Sectors[[#This Row],[Outstanding Balance]],0)</f>
        <v>0</v>
      </c>
      <c r="U921" s="109">
        <f>IF(Table__192.168.1.150_Daily_Delinquency_With_Sectors[[#This Row],[Days in Arrears]] &gt;= 1,1,0)</f>
        <v>0</v>
      </c>
      <c r="V921" s="109">
        <f>IF(Table__192.168.1.150_Daily_Delinquency_With_Sectors[[#This Row],[Days in Arrears]] &gt; 30,1,0)</f>
        <v>0</v>
      </c>
      <c r="W921" s="109">
        <f>IF(Table__192.168.1.150_Daily_Delinquency_With_Sectors[[#This Row],[Days in Arrears]] &gt; 90,1,0)</f>
        <v>0</v>
      </c>
    </row>
    <row r="922" spans="1:23" x14ac:dyDescent="0.25">
      <c r="A922" t="s">
        <v>3819</v>
      </c>
      <c r="B922" t="s">
        <v>1284</v>
      </c>
      <c r="C922">
        <v>-8</v>
      </c>
      <c r="D922" s="105">
        <v>13558293.689999999</v>
      </c>
      <c r="E922" t="s">
        <v>1448</v>
      </c>
      <c r="F922" s="105">
        <v>316360.19</v>
      </c>
      <c r="G922" s="105">
        <v>17187832.16</v>
      </c>
      <c r="H922" s="143">
        <v>42733.700722256945</v>
      </c>
      <c r="I922" s="143">
        <v>43467</v>
      </c>
      <c r="J922" t="s">
        <v>3820</v>
      </c>
      <c r="K922" t="s">
        <v>1280</v>
      </c>
      <c r="L922" t="s">
        <v>3821</v>
      </c>
      <c r="M922">
        <v>200729</v>
      </c>
      <c r="N922" t="s">
        <v>3809</v>
      </c>
      <c r="O922" t="s">
        <v>25</v>
      </c>
      <c r="P922" t="s">
        <v>26</v>
      </c>
      <c r="Q922" t="s">
        <v>26</v>
      </c>
      <c r="R922" s="105">
        <f>IF(Table__192.168.1.150_Daily_Delinquency_With_Sectors[[#This Row],[Days in Arrears]] &gt; 0, Table__192.168.1.150_Daily_Delinquency_With_Sectors[[#This Row],[Outstanding Balance]],0)</f>
        <v>0</v>
      </c>
      <c r="S922" s="105">
        <f>IF(Table__192.168.1.150_Daily_Delinquency_With_Sectors[[#This Row],[Days in Arrears]] &gt; 30, Table__192.168.1.150_Daily_Delinquency_With_Sectors[[#This Row],[Outstanding Balance]],0)</f>
        <v>0</v>
      </c>
      <c r="T922" s="105">
        <f>IF(Table__192.168.1.150_Daily_Delinquency_With_Sectors[[#This Row],[Days in Arrears]] &gt; 90, Table__192.168.1.150_Daily_Delinquency_With_Sectors[[#This Row],[Outstanding Balance]],0)</f>
        <v>0</v>
      </c>
      <c r="U922" s="109">
        <f>IF(Table__192.168.1.150_Daily_Delinquency_With_Sectors[[#This Row],[Days in Arrears]] &gt;= 1,1,0)</f>
        <v>0</v>
      </c>
      <c r="V922" s="109">
        <f>IF(Table__192.168.1.150_Daily_Delinquency_With_Sectors[[#This Row],[Days in Arrears]] &gt; 30,1,0)</f>
        <v>0</v>
      </c>
      <c r="W922" s="109">
        <f>IF(Table__192.168.1.150_Daily_Delinquency_With_Sectors[[#This Row],[Days in Arrears]] &gt; 90,1,0)</f>
        <v>0</v>
      </c>
    </row>
    <row r="923" spans="1:23" x14ac:dyDescent="0.25">
      <c r="A923" t="s">
        <v>1847</v>
      </c>
      <c r="B923" t="s">
        <v>1284</v>
      </c>
      <c r="C923">
        <v>19</v>
      </c>
      <c r="D923" s="105">
        <v>9670721.5199999996</v>
      </c>
      <c r="E923" t="s">
        <v>491</v>
      </c>
      <c r="F923" s="105">
        <v>446034.78</v>
      </c>
      <c r="G923" s="105">
        <v>11177407.42</v>
      </c>
      <c r="H923" s="206">
        <v>42735.554605787038</v>
      </c>
      <c r="I923" s="206">
        <v>43286</v>
      </c>
      <c r="J923" t="s">
        <v>1848</v>
      </c>
      <c r="K923" t="s">
        <v>1849</v>
      </c>
      <c r="L923" t="s">
        <v>1280</v>
      </c>
      <c r="M923">
        <v>200731</v>
      </c>
      <c r="N923" t="s">
        <v>1846</v>
      </c>
      <c r="O923" t="s">
        <v>42</v>
      </c>
      <c r="P923" t="s">
        <v>26</v>
      </c>
      <c r="Q923" t="s">
        <v>26</v>
      </c>
      <c r="R923" s="105">
        <f>IF(Table__192.168.1.150_Daily_Delinquency_With_Sectors[[#This Row],[Days in Arrears]] &gt; 0, Table__192.168.1.150_Daily_Delinquency_With_Sectors[[#This Row],[Outstanding Balance]],0)</f>
        <v>9670721.5199999996</v>
      </c>
      <c r="S923" s="105">
        <f>IF(Table__192.168.1.150_Daily_Delinquency_With_Sectors[[#This Row],[Days in Arrears]] &gt; 30, Table__192.168.1.150_Daily_Delinquency_With_Sectors[[#This Row],[Outstanding Balance]],0)</f>
        <v>0</v>
      </c>
      <c r="T923" s="105">
        <f>IF(Table__192.168.1.150_Daily_Delinquency_With_Sectors[[#This Row],[Days in Arrears]] &gt; 90, Table__192.168.1.150_Daily_Delinquency_With_Sectors[[#This Row],[Outstanding Balance]],0)</f>
        <v>0</v>
      </c>
      <c r="U923" s="109">
        <f>IF(Table__192.168.1.150_Daily_Delinquency_With_Sectors[[#This Row],[Days in Arrears]] &gt;= 1,1,0)</f>
        <v>1</v>
      </c>
      <c r="V923" s="109">
        <f>IF(Table__192.168.1.150_Daily_Delinquency_With_Sectors[[#This Row],[Days in Arrears]] &gt; 30,1,0)</f>
        <v>0</v>
      </c>
      <c r="W923" s="109">
        <f>IF(Table__192.168.1.150_Daily_Delinquency_With_Sectors[[#This Row],[Days in Arrears]] &gt; 90,1,0)</f>
        <v>0</v>
      </c>
    </row>
    <row r="924" spans="1:23" x14ac:dyDescent="0.25">
      <c r="A924" t="s">
        <v>3830</v>
      </c>
      <c r="B924" t="s">
        <v>1281</v>
      </c>
      <c r="C924">
        <v>23</v>
      </c>
      <c r="D924" s="105">
        <v>8289990.04</v>
      </c>
      <c r="E924" t="s">
        <v>2175</v>
      </c>
      <c r="F924" s="105">
        <v>441060.24</v>
      </c>
      <c r="G924" s="105">
        <v>8906045.1300000008</v>
      </c>
      <c r="H924" s="206">
        <v>42735.665573611113</v>
      </c>
      <c r="I924" s="206">
        <v>43101</v>
      </c>
      <c r="J924" t="s">
        <v>3831</v>
      </c>
      <c r="K924" t="s">
        <v>1280</v>
      </c>
      <c r="L924" t="s">
        <v>1280</v>
      </c>
      <c r="M924">
        <v>200733</v>
      </c>
      <c r="N924" t="s">
        <v>3829</v>
      </c>
      <c r="O924" t="s">
        <v>37</v>
      </c>
      <c r="P924" t="s">
        <v>288</v>
      </c>
      <c r="Q924" t="s">
        <v>1829</v>
      </c>
      <c r="R924" s="105">
        <f>IF(Table__192.168.1.150_Daily_Delinquency_With_Sectors[[#This Row],[Days in Arrears]] &gt; 0, Table__192.168.1.150_Daily_Delinquency_With_Sectors[[#This Row],[Outstanding Balance]],0)</f>
        <v>8289990.04</v>
      </c>
      <c r="S924" s="105">
        <f>IF(Table__192.168.1.150_Daily_Delinquency_With_Sectors[[#This Row],[Days in Arrears]] &gt; 30, Table__192.168.1.150_Daily_Delinquency_With_Sectors[[#This Row],[Outstanding Balance]],0)</f>
        <v>0</v>
      </c>
      <c r="T924" s="105">
        <f>IF(Table__192.168.1.150_Daily_Delinquency_With_Sectors[[#This Row],[Days in Arrears]] &gt; 90, Table__192.168.1.150_Daily_Delinquency_With_Sectors[[#This Row],[Outstanding Balance]],0)</f>
        <v>0</v>
      </c>
      <c r="U924" s="109">
        <f>IF(Table__192.168.1.150_Daily_Delinquency_With_Sectors[[#This Row],[Days in Arrears]] &gt;= 1,1,0)</f>
        <v>1</v>
      </c>
      <c r="V924" s="109">
        <f>IF(Table__192.168.1.150_Daily_Delinquency_With_Sectors[[#This Row],[Days in Arrears]] &gt; 30,1,0)</f>
        <v>0</v>
      </c>
      <c r="W924" s="109">
        <f>IF(Table__192.168.1.150_Daily_Delinquency_With_Sectors[[#This Row],[Days in Arrears]] &gt; 90,1,0)</f>
        <v>0</v>
      </c>
    </row>
    <row r="925" spans="1:23" x14ac:dyDescent="0.25">
      <c r="A925" t="s">
        <v>3837</v>
      </c>
      <c r="B925" t="s">
        <v>1282</v>
      </c>
      <c r="C925">
        <v>-11</v>
      </c>
      <c r="D925" s="105">
        <v>3102634.04</v>
      </c>
      <c r="E925" t="s">
        <v>1909</v>
      </c>
      <c r="F925" s="105">
        <v>83771.12</v>
      </c>
      <c r="G925" s="105">
        <v>3313597.98</v>
      </c>
      <c r="H925" s="206">
        <v>42735.522011805559</v>
      </c>
      <c r="I925" s="206">
        <v>43105</v>
      </c>
      <c r="J925" t="s">
        <v>3838</v>
      </c>
      <c r="K925" t="s">
        <v>1280</v>
      </c>
      <c r="L925" t="s">
        <v>3839</v>
      </c>
      <c r="M925">
        <v>200736</v>
      </c>
      <c r="N925" t="s">
        <v>3836</v>
      </c>
      <c r="O925" t="s">
        <v>46</v>
      </c>
      <c r="P925" t="s">
        <v>46</v>
      </c>
      <c r="Q925" t="s">
        <v>3840</v>
      </c>
      <c r="R925" s="105">
        <f>IF(Table__192.168.1.150_Daily_Delinquency_With_Sectors[[#This Row],[Days in Arrears]] &gt; 0, Table__192.168.1.150_Daily_Delinquency_With_Sectors[[#This Row],[Outstanding Balance]],0)</f>
        <v>0</v>
      </c>
      <c r="S925" s="105">
        <f>IF(Table__192.168.1.150_Daily_Delinquency_With_Sectors[[#This Row],[Days in Arrears]] &gt; 30, Table__192.168.1.150_Daily_Delinquency_With_Sectors[[#This Row],[Outstanding Balance]],0)</f>
        <v>0</v>
      </c>
      <c r="T925" s="105">
        <f>IF(Table__192.168.1.150_Daily_Delinquency_With_Sectors[[#This Row],[Days in Arrears]] &gt; 90, Table__192.168.1.150_Daily_Delinquency_With_Sectors[[#This Row],[Outstanding Balance]],0)</f>
        <v>0</v>
      </c>
      <c r="U925" s="109">
        <f>IF(Table__192.168.1.150_Daily_Delinquency_With_Sectors[[#This Row],[Days in Arrears]] &gt;= 1,1,0)</f>
        <v>0</v>
      </c>
      <c r="V925" s="109">
        <f>IF(Table__192.168.1.150_Daily_Delinquency_With_Sectors[[#This Row],[Days in Arrears]] &gt; 30,1,0)</f>
        <v>0</v>
      </c>
      <c r="W925" s="109">
        <f>IF(Table__192.168.1.150_Daily_Delinquency_With_Sectors[[#This Row],[Days in Arrears]] &gt; 90,1,0)</f>
        <v>0</v>
      </c>
    </row>
    <row r="926" spans="1:23" x14ac:dyDescent="0.25">
      <c r="A926" t="s">
        <v>2501</v>
      </c>
      <c r="B926" t="s">
        <v>1283</v>
      </c>
      <c r="C926">
        <v>23</v>
      </c>
      <c r="D926" s="105">
        <v>33610502.960000001</v>
      </c>
      <c r="E926" t="s">
        <v>1447</v>
      </c>
      <c r="F926" s="105">
        <v>886281.37</v>
      </c>
      <c r="G926" s="105">
        <v>48672823.560000002</v>
      </c>
      <c r="H926" s="206">
        <v>42735.812771412035</v>
      </c>
      <c r="I926" s="206">
        <v>43831</v>
      </c>
      <c r="J926" t="s">
        <v>2502</v>
      </c>
      <c r="K926" t="s">
        <v>2503</v>
      </c>
      <c r="L926" t="s">
        <v>1280</v>
      </c>
      <c r="M926">
        <v>200738</v>
      </c>
      <c r="N926" t="s">
        <v>2495</v>
      </c>
      <c r="O926" t="s">
        <v>44</v>
      </c>
      <c r="P926" t="s">
        <v>75</v>
      </c>
      <c r="Q926" t="s">
        <v>1442</v>
      </c>
      <c r="R926" s="105">
        <f>IF(Table__192.168.1.150_Daily_Delinquency_With_Sectors[[#This Row],[Days in Arrears]] &gt; 0, Table__192.168.1.150_Daily_Delinquency_With_Sectors[[#This Row],[Outstanding Balance]],0)</f>
        <v>33610502.960000001</v>
      </c>
      <c r="S926" s="105">
        <f>IF(Table__192.168.1.150_Daily_Delinquency_With_Sectors[[#This Row],[Days in Arrears]] &gt; 30, Table__192.168.1.150_Daily_Delinquency_With_Sectors[[#This Row],[Outstanding Balance]],0)</f>
        <v>0</v>
      </c>
      <c r="T926" s="105">
        <f>IF(Table__192.168.1.150_Daily_Delinquency_With_Sectors[[#This Row],[Days in Arrears]] &gt; 90, Table__192.168.1.150_Daily_Delinquency_With_Sectors[[#This Row],[Outstanding Balance]],0)</f>
        <v>0</v>
      </c>
      <c r="U926" s="109">
        <f>IF(Table__192.168.1.150_Daily_Delinquency_With_Sectors[[#This Row],[Days in Arrears]] &gt;= 1,1,0)</f>
        <v>1</v>
      </c>
      <c r="V926" s="109">
        <f>IF(Table__192.168.1.150_Daily_Delinquency_With_Sectors[[#This Row],[Days in Arrears]] &gt; 30,1,0)</f>
        <v>0</v>
      </c>
      <c r="W926" s="109">
        <f>IF(Table__192.168.1.150_Daily_Delinquency_With_Sectors[[#This Row],[Days in Arrears]] &gt; 90,1,0)</f>
        <v>0</v>
      </c>
    </row>
    <row r="927" spans="1:23" x14ac:dyDescent="0.25">
      <c r="A927" t="s">
        <v>3843</v>
      </c>
      <c r="B927" t="s">
        <v>1284</v>
      </c>
      <c r="C927">
        <v>50</v>
      </c>
      <c r="D927" s="105">
        <v>13005524.529999999</v>
      </c>
      <c r="E927" t="s">
        <v>1667</v>
      </c>
      <c r="F927" s="105">
        <v>857099.65</v>
      </c>
      <c r="G927" s="105">
        <v>20206263.440000001</v>
      </c>
      <c r="H927" s="206">
        <v>42739.603332094906</v>
      </c>
      <c r="I927" s="206">
        <v>43834</v>
      </c>
      <c r="J927" t="s">
        <v>3844</v>
      </c>
      <c r="K927" t="s">
        <v>1280</v>
      </c>
      <c r="L927" t="s">
        <v>1280</v>
      </c>
      <c r="M927">
        <v>200739</v>
      </c>
      <c r="N927" t="s">
        <v>3842</v>
      </c>
      <c r="O927" t="s">
        <v>44</v>
      </c>
      <c r="P927" t="s">
        <v>75</v>
      </c>
      <c r="Q927" t="s">
        <v>1442</v>
      </c>
      <c r="R927" s="105">
        <f>IF(Table__192.168.1.150_Daily_Delinquency_With_Sectors[[#This Row],[Days in Arrears]] &gt; 0, Table__192.168.1.150_Daily_Delinquency_With_Sectors[[#This Row],[Outstanding Balance]],0)</f>
        <v>13005524.529999999</v>
      </c>
      <c r="S927" s="105">
        <f>IF(Table__192.168.1.150_Daily_Delinquency_With_Sectors[[#This Row],[Days in Arrears]] &gt; 30, Table__192.168.1.150_Daily_Delinquency_With_Sectors[[#This Row],[Outstanding Balance]],0)</f>
        <v>13005524.529999999</v>
      </c>
      <c r="T927" s="105">
        <f>IF(Table__192.168.1.150_Daily_Delinquency_With_Sectors[[#This Row],[Days in Arrears]] &gt; 90, Table__192.168.1.150_Daily_Delinquency_With_Sectors[[#This Row],[Outstanding Balance]],0)</f>
        <v>0</v>
      </c>
      <c r="U927" s="109">
        <f>IF(Table__192.168.1.150_Daily_Delinquency_With_Sectors[[#This Row],[Days in Arrears]] &gt;= 1,1,0)</f>
        <v>1</v>
      </c>
      <c r="V927" s="109">
        <f>IF(Table__192.168.1.150_Daily_Delinquency_With_Sectors[[#This Row],[Days in Arrears]] &gt; 30,1,0)</f>
        <v>1</v>
      </c>
      <c r="W927" s="109">
        <f>IF(Table__192.168.1.150_Daily_Delinquency_With_Sectors[[#This Row],[Days in Arrears]] &gt; 90,1,0)</f>
        <v>0</v>
      </c>
    </row>
    <row r="928" spans="1:23" x14ac:dyDescent="0.25">
      <c r="A928" t="s">
        <v>3845</v>
      </c>
      <c r="B928" t="s">
        <v>1282</v>
      </c>
      <c r="C928">
        <v>50</v>
      </c>
      <c r="D928" s="105">
        <v>2360581.64</v>
      </c>
      <c r="E928" t="s">
        <v>90</v>
      </c>
      <c r="F928" s="105">
        <v>146457.32</v>
      </c>
      <c r="G928" s="105">
        <v>2591688.12</v>
      </c>
      <c r="H928" s="206">
        <v>42739.676790081015</v>
      </c>
      <c r="I928" s="206">
        <v>43104</v>
      </c>
      <c r="J928" t="s">
        <v>3846</v>
      </c>
      <c r="K928" t="s">
        <v>1280</v>
      </c>
      <c r="L928" t="s">
        <v>3847</v>
      </c>
      <c r="M928">
        <v>200740</v>
      </c>
      <c r="N928" t="s">
        <v>3841</v>
      </c>
      <c r="O928" t="s">
        <v>31</v>
      </c>
      <c r="P928" t="s">
        <v>509</v>
      </c>
      <c r="Q928" t="s">
        <v>26</v>
      </c>
      <c r="R928" s="105">
        <f>IF(Table__192.168.1.150_Daily_Delinquency_With_Sectors[[#This Row],[Days in Arrears]] &gt; 0, Table__192.168.1.150_Daily_Delinquency_With_Sectors[[#This Row],[Outstanding Balance]],0)</f>
        <v>2360581.64</v>
      </c>
      <c r="S928" s="105">
        <f>IF(Table__192.168.1.150_Daily_Delinquency_With_Sectors[[#This Row],[Days in Arrears]] &gt; 30, Table__192.168.1.150_Daily_Delinquency_With_Sectors[[#This Row],[Outstanding Balance]],0)</f>
        <v>2360581.64</v>
      </c>
      <c r="T928" s="105">
        <f>IF(Table__192.168.1.150_Daily_Delinquency_With_Sectors[[#This Row],[Days in Arrears]] &gt; 90, Table__192.168.1.150_Daily_Delinquency_With_Sectors[[#This Row],[Outstanding Balance]],0)</f>
        <v>0</v>
      </c>
      <c r="U928" s="109">
        <f>IF(Table__192.168.1.150_Daily_Delinquency_With_Sectors[[#This Row],[Days in Arrears]] &gt;= 1,1,0)</f>
        <v>1</v>
      </c>
      <c r="V928" s="109">
        <f>IF(Table__192.168.1.150_Daily_Delinquency_With_Sectors[[#This Row],[Days in Arrears]] &gt; 30,1,0)</f>
        <v>1</v>
      </c>
      <c r="W928" s="109">
        <f>IF(Table__192.168.1.150_Daily_Delinquency_With_Sectors[[#This Row],[Days in Arrears]] &gt; 90,1,0)</f>
        <v>0</v>
      </c>
    </row>
    <row r="929" spans="1:23" x14ac:dyDescent="0.25">
      <c r="A929" t="s">
        <v>2154</v>
      </c>
      <c r="B929" t="s">
        <v>1282</v>
      </c>
      <c r="C929">
        <v>-12</v>
      </c>
      <c r="D929" s="105">
        <v>1607739.89</v>
      </c>
      <c r="E929" t="s">
        <v>1925</v>
      </c>
      <c r="F929" s="105">
        <v>36442.1</v>
      </c>
      <c r="G929" s="105">
        <v>1704834.77</v>
      </c>
      <c r="H929" s="206">
        <v>42741.718298032407</v>
      </c>
      <c r="I929" s="206">
        <v>43106</v>
      </c>
      <c r="J929" t="s">
        <v>2155</v>
      </c>
      <c r="K929" t="s">
        <v>1280</v>
      </c>
      <c r="L929" t="s">
        <v>1280</v>
      </c>
      <c r="M929">
        <v>200742</v>
      </c>
      <c r="N929" t="s">
        <v>2136</v>
      </c>
      <c r="O929" t="s">
        <v>44</v>
      </c>
      <c r="P929" t="s">
        <v>75</v>
      </c>
      <c r="Q929" t="s">
        <v>1442</v>
      </c>
      <c r="R929" s="105">
        <f>IF(Table__192.168.1.150_Daily_Delinquency_With_Sectors[[#This Row],[Days in Arrears]] &gt; 0, Table__192.168.1.150_Daily_Delinquency_With_Sectors[[#This Row],[Outstanding Balance]],0)</f>
        <v>0</v>
      </c>
      <c r="S929" s="105">
        <f>IF(Table__192.168.1.150_Daily_Delinquency_With_Sectors[[#This Row],[Days in Arrears]] &gt; 30, Table__192.168.1.150_Daily_Delinquency_With_Sectors[[#This Row],[Outstanding Balance]],0)</f>
        <v>0</v>
      </c>
      <c r="T929" s="105">
        <f>IF(Table__192.168.1.150_Daily_Delinquency_With_Sectors[[#This Row],[Days in Arrears]] &gt; 90, Table__192.168.1.150_Daily_Delinquency_With_Sectors[[#This Row],[Outstanding Balance]],0)</f>
        <v>0</v>
      </c>
      <c r="U929" s="109">
        <f>IF(Table__192.168.1.150_Daily_Delinquency_With_Sectors[[#This Row],[Days in Arrears]] &gt;= 1,1,0)</f>
        <v>0</v>
      </c>
      <c r="V929" s="109">
        <f>IF(Table__192.168.1.150_Daily_Delinquency_With_Sectors[[#This Row],[Days in Arrears]] &gt; 30,1,0)</f>
        <v>0</v>
      </c>
      <c r="W929" s="109">
        <f>IF(Table__192.168.1.150_Daily_Delinquency_With_Sectors[[#This Row],[Days in Arrears]] &gt; 90,1,0)</f>
        <v>0</v>
      </c>
    </row>
    <row r="930" spans="1:23" x14ac:dyDescent="0.25">
      <c r="A930" t="s">
        <v>1653</v>
      </c>
      <c r="B930" t="s">
        <v>1284</v>
      </c>
      <c r="C930">
        <v>14</v>
      </c>
      <c r="D930" s="105">
        <v>16478968.02</v>
      </c>
      <c r="E930" t="s">
        <v>963</v>
      </c>
      <c r="F930" s="105">
        <v>213515.16</v>
      </c>
      <c r="G930" s="105">
        <v>23942070.760000002</v>
      </c>
      <c r="H930" s="206">
        <v>42742.522071180552</v>
      </c>
      <c r="I930" s="206">
        <v>43840</v>
      </c>
      <c r="J930" t="s">
        <v>1654</v>
      </c>
      <c r="K930" t="s">
        <v>1280</v>
      </c>
      <c r="L930" t="s">
        <v>1280</v>
      </c>
      <c r="M930">
        <v>200744</v>
      </c>
      <c r="N930" t="s">
        <v>1649</v>
      </c>
      <c r="O930" t="s">
        <v>45</v>
      </c>
      <c r="P930" t="s">
        <v>45</v>
      </c>
      <c r="Q930" t="s">
        <v>89</v>
      </c>
      <c r="R930" s="105">
        <f>IF(Table__192.168.1.150_Daily_Delinquency_With_Sectors[[#This Row],[Days in Arrears]] &gt; 0, Table__192.168.1.150_Daily_Delinquency_With_Sectors[[#This Row],[Outstanding Balance]],0)</f>
        <v>16478968.02</v>
      </c>
      <c r="S930" s="105">
        <f>IF(Table__192.168.1.150_Daily_Delinquency_With_Sectors[[#This Row],[Days in Arrears]] &gt; 30, Table__192.168.1.150_Daily_Delinquency_With_Sectors[[#This Row],[Outstanding Balance]],0)</f>
        <v>0</v>
      </c>
      <c r="T930" s="105">
        <f>IF(Table__192.168.1.150_Daily_Delinquency_With_Sectors[[#This Row],[Days in Arrears]] &gt; 90, Table__192.168.1.150_Daily_Delinquency_With_Sectors[[#This Row],[Outstanding Balance]],0)</f>
        <v>0</v>
      </c>
      <c r="U930" s="109">
        <f>IF(Table__192.168.1.150_Daily_Delinquency_With_Sectors[[#This Row],[Days in Arrears]] &gt;= 1,1,0)</f>
        <v>1</v>
      </c>
      <c r="V930" s="109">
        <f>IF(Table__192.168.1.150_Daily_Delinquency_With_Sectors[[#This Row],[Days in Arrears]] &gt; 30,1,0)</f>
        <v>0</v>
      </c>
      <c r="W930" s="109">
        <f>IF(Table__192.168.1.150_Daily_Delinquency_With_Sectors[[#This Row],[Days in Arrears]] &gt; 90,1,0)</f>
        <v>0</v>
      </c>
    </row>
    <row r="931" spans="1:23" x14ac:dyDescent="0.25">
      <c r="A931" t="s">
        <v>3855</v>
      </c>
      <c r="B931" t="s">
        <v>1284</v>
      </c>
      <c r="C931">
        <v>9</v>
      </c>
      <c r="D931" s="105">
        <v>36567289.109999999</v>
      </c>
      <c r="E931" t="s">
        <v>1191</v>
      </c>
      <c r="F931" s="105">
        <v>1539772.68</v>
      </c>
      <c r="G931" s="105">
        <v>65875164.060000002</v>
      </c>
      <c r="H931" s="206">
        <v>42746.49197476852</v>
      </c>
      <c r="I931" s="206">
        <v>44211</v>
      </c>
      <c r="J931" t="s">
        <v>3856</v>
      </c>
      <c r="K931" t="s">
        <v>1280</v>
      </c>
      <c r="L931" t="s">
        <v>1280</v>
      </c>
      <c r="M931">
        <v>200745</v>
      </c>
      <c r="N931" t="s">
        <v>3850</v>
      </c>
      <c r="O931" t="s">
        <v>44</v>
      </c>
      <c r="P931" t="s">
        <v>75</v>
      </c>
      <c r="Q931" t="s">
        <v>26</v>
      </c>
      <c r="R931" s="105">
        <f>IF(Table__192.168.1.150_Daily_Delinquency_With_Sectors[[#This Row],[Days in Arrears]] &gt; 0, Table__192.168.1.150_Daily_Delinquency_With_Sectors[[#This Row],[Outstanding Balance]],0)</f>
        <v>36567289.109999999</v>
      </c>
      <c r="S931" s="105">
        <f>IF(Table__192.168.1.150_Daily_Delinquency_With_Sectors[[#This Row],[Days in Arrears]] &gt; 30, Table__192.168.1.150_Daily_Delinquency_With_Sectors[[#This Row],[Outstanding Balance]],0)</f>
        <v>0</v>
      </c>
      <c r="T931" s="105">
        <f>IF(Table__192.168.1.150_Daily_Delinquency_With_Sectors[[#This Row],[Days in Arrears]] &gt; 90, Table__192.168.1.150_Daily_Delinquency_With_Sectors[[#This Row],[Outstanding Balance]],0)</f>
        <v>0</v>
      </c>
      <c r="U931" s="109">
        <f>IF(Table__192.168.1.150_Daily_Delinquency_With_Sectors[[#This Row],[Days in Arrears]] &gt;= 1,1,0)</f>
        <v>1</v>
      </c>
      <c r="V931" s="109">
        <f>IF(Table__192.168.1.150_Daily_Delinquency_With_Sectors[[#This Row],[Days in Arrears]] &gt; 30,1,0)</f>
        <v>0</v>
      </c>
      <c r="W931" s="109">
        <f>IF(Table__192.168.1.150_Daily_Delinquency_With_Sectors[[#This Row],[Days in Arrears]] &gt; 90,1,0)</f>
        <v>0</v>
      </c>
    </row>
    <row r="932" spans="1:23" x14ac:dyDescent="0.25">
      <c r="A932" t="s">
        <v>3857</v>
      </c>
      <c r="B932" t="s">
        <v>1866</v>
      </c>
      <c r="C932">
        <v>-17</v>
      </c>
      <c r="D932" s="105">
        <v>2024321.56</v>
      </c>
      <c r="E932" t="s">
        <v>1467</v>
      </c>
      <c r="F932" s="105">
        <v>33738.69</v>
      </c>
      <c r="G932" s="105">
        <v>2151702.34</v>
      </c>
      <c r="H932" s="206">
        <v>42746.558083877317</v>
      </c>
      <c r="I932" s="206">
        <v>43111</v>
      </c>
      <c r="J932" t="s">
        <v>3858</v>
      </c>
      <c r="K932" t="s">
        <v>1280</v>
      </c>
      <c r="L932" t="s">
        <v>1280</v>
      </c>
      <c r="M932">
        <v>200746</v>
      </c>
      <c r="N932" t="s">
        <v>3851</v>
      </c>
      <c r="O932" t="s">
        <v>25</v>
      </c>
      <c r="P932" t="s">
        <v>88</v>
      </c>
      <c r="Q932" t="s">
        <v>285</v>
      </c>
      <c r="R932" s="105">
        <f>IF(Table__192.168.1.150_Daily_Delinquency_With_Sectors[[#This Row],[Days in Arrears]] &gt; 0, Table__192.168.1.150_Daily_Delinquency_With_Sectors[[#This Row],[Outstanding Balance]],0)</f>
        <v>0</v>
      </c>
      <c r="S932" s="105">
        <f>IF(Table__192.168.1.150_Daily_Delinquency_With_Sectors[[#This Row],[Days in Arrears]] &gt; 30, Table__192.168.1.150_Daily_Delinquency_With_Sectors[[#This Row],[Outstanding Balance]],0)</f>
        <v>0</v>
      </c>
      <c r="T932" s="105">
        <f>IF(Table__192.168.1.150_Daily_Delinquency_With_Sectors[[#This Row],[Days in Arrears]] &gt; 90, Table__192.168.1.150_Daily_Delinquency_With_Sectors[[#This Row],[Outstanding Balance]],0)</f>
        <v>0</v>
      </c>
      <c r="U932" s="109">
        <f>IF(Table__192.168.1.150_Daily_Delinquency_With_Sectors[[#This Row],[Days in Arrears]] &gt;= 1,1,0)</f>
        <v>0</v>
      </c>
      <c r="V932" s="109">
        <f>IF(Table__192.168.1.150_Daily_Delinquency_With_Sectors[[#This Row],[Days in Arrears]] &gt; 30,1,0)</f>
        <v>0</v>
      </c>
      <c r="W932" s="109">
        <f>IF(Table__192.168.1.150_Daily_Delinquency_With_Sectors[[#This Row],[Days in Arrears]] &gt; 90,1,0)</f>
        <v>0</v>
      </c>
    </row>
    <row r="933" spans="1:23" x14ac:dyDescent="0.25">
      <c r="A933" t="s">
        <v>3859</v>
      </c>
      <c r="B933" t="s">
        <v>1282</v>
      </c>
      <c r="C933">
        <v>-17</v>
      </c>
      <c r="D933" s="105">
        <v>1232210.03</v>
      </c>
      <c r="E933" t="s">
        <v>2861</v>
      </c>
      <c r="F933" s="105">
        <v>22179.78</v>
      </c>
      <c r="G933" s="105">
        <v>1315994.29</v>
      </c>
      <c r="H933" s="206">
        <v>42746.725331678237</v>
      </c>
      <c r="I933" s="206">
        <v>43111</v>
      </c>
      <c r="J933" t="s">
        <v>3860</v>
      </c>
      <c r="K933" t="s">
        <v>1280</v>
      </c>
      <c r="L933" t="s">
        <v>1280</v>
      </c>
      <c r="M933">
        <v>200748</v>
      </c>
      <c r="N933" t="s">
        <v>3848</v>
      </c>
      <c r="O933" t="s">
        <v>25</v>
      </c>
      <c r="P933" t="s">
        <v>26</v>
      </c>
      <c r="Q933" t="s">
        <v>26</v>
      </c>
      <c r="R933" s="105">
        <f>IF(Table__192.168.1.150_Daily_Delinquency_With_Sectors[[#This Row],[Days in Arrears]] &gt; 0, Table__192.168.1.150_Daily_Delinquency_With_Sectors[[#This Row],[Outstanding Balance]],0)</f>
        <v>0</v>
      </c>
      <c r="S933" s="105">
        <f>IF(Table__192.168.1.150_Daily_Delinquency_With_Sectors[[#This Row],[Days in Arrears]] &gt; 30, Table__192.168.1.150_Daily_Delinquency_With_Sectors[[#This Row],[Outstanding Balance]],0)</f>
        <v>0</v>
      </c>
      <c r="T933" s="105">
        <f>IF(Table__192.168.1.150_Daily_Delinquency_With_Sectors[[#This Row],[Days in Arrears]] &gt; 90, Table__192.168.1.150_Daily_Delinquency_With_Sectors[[#This Row],[Outstanding Balance]],0)</f>
        <v>0</v>
      </c>
      <c r="U933" s="109">
        <f>IF(Table__192.168.1.150_Daily_Delinquency_With_Sectors[[#This Row],[Days in Arrears]] &gt;= 1,1,0)</f>
        <v>0</v>
      </c>
      <c r="V933" s="109">
        <f>IF(Table__192.168.1.150_Daily_Delinquency_With_Sectors[[#This Row],[Days in Arrears]] &gt; 30,1,0)</f>
        <v>0</v>
      </c>
      <c r="W933" s="109">
        <f>IF(Table__192.168.1.150_Daily_Delinquency_With_Sectors[[#This Row],[Days in Arrears]] &gt; 90,1,0)</f>
        <v>0</v>
      </c>
    </row>
    <row r="934" spans="1:23" x14ac:dyDescent="0.25">
      <c r="A934" t="s">
        <v>1752</v>
      </c>
      <c r="B934" t="s">
        <v>1284</v>
      </c>
      <c r="C934">
        <v>19</v>
      </c>
      <c r="D934" s="105">
        <v>35005680.399999999</v>
      </c>
      <c r="E934" t="s">
        <v>1667</v>
      </c>
      <c r="F934" s="105">
        <v>1646394.21</v>
      </c>
      <c r="G934" s="105">
        <v>43984592.189999998</v>
      </c>
      <c r="H934" s="206">
        <v>42747.690769907407</v>
      </c>
      <c r="I934" s="206">
        <v>43470</v>
      </c>
      <c r="J934" t="s">
        <v>1753</v>
      </c>
      <c r="K934" t="s">
        <v>1280</v>
      </c>
      <c r="L934" t="s">
        <v>1280</v>
      </c>
      <c r="M934">
        <v>200750</v>
      </c>
      <c r="N934" t="s">
        <v>1751</v>
      </c>
      <c r="O934" t="s">
        <v>44</v>
      </c>
      <c r="P934" t="s">
        <v>75</v>
      </c>
      <c r="Q934" t="s">
        <v>1442</v>
      </c>
      <c r="R934" s="105">
        <f>IF(Table__192.168.1.150_Daily_Delinquency_With_Sectors[[#This Row],[Days in Arrears]] &gt; 0, Table__192.168.1.150_Daily_Delinquency_With_Sectors[[#This Row],[Outstanding Balance]],0)</f>
        <v>35005680.399999999</v>
      </c>
      <c r="S934" s="105">
        <f>IF(Table__192.168.1.150_Daily_Delinquency_With_Sectors[[#This Row],[Days in Arrears]] &gt; 30, Table__192.168.1.150_Daily_Delinquency_With_Sectors[[#This Row],[Outstanding Balance]],0)</f>
        <v>0</v>
      </c>
      <c r="T934" s="105">
        <f>IF(Table__192.168.1.150_Daily_Delinquency_With_Sectors[[#This Row],[Days in Arrears]] &gt; 90, Table__192.168.1.150_Daily_Delinquency_With_Sectors[[#This Row],[Outstanding Balance]],0)</f>
        <v>0</v>
      </c>
      <c r="U934" s="109">
        <f>IF(Table__192.168.1.150_Daily_Delinquency_With_Sectors[[#This Row],[Days in Arrears]] &gt;= 1,1,0)</f>
        <v>1</v>
      </c>
      <c r="V934" s="109">
        <f>IF(Table__192.168.1.150_Daily_Delinquency_With_Sectors[[#This Row],[Days in Arrears]] &gt; 30,1,0)</f>
        <v>0</v>
      </c>
      <c r="W934" s="109">
        <f>IF(Table__192.168.1.150_Daily_Delinquency_With_Sectors[[#This Row],[Days in Arrears]] &gt; 90,1,0)</f>
        <v>0</v>
      </c>
    </row>
    <row r="935" spans="1:23" x14ac:dyDescent="0.25">
      <c r="A935" t="s">
        <v>3874</v>
      </c>
      <c r="B935" t="s">
        <v>1281</v>
      </c>
      <c r="C935">
        <v>39</v>
      </c>
      <c r="D935" s="105">
        <v>12690609.689999999</v>
      </c>
      <c r="E935" t="s">
        <v>2861</v>
      </c>
      <c r="F935" s="105">
        <v>905683.52</v>
      </c>
      <c r="G935" s="105">
        <v>15168915.35</v>
      </c>
      <c r="H935" s="206">
        <v>42748.658324918979</v>
      </c>
      <c r="I935" s="206">
        <v>43296</v>
      </c>
      <c r="J935" t="s">
        <v>3875</v>
      </c>
      <c r="K935" t="s">
        <v>1280</v>
      </c>
      <c r="L935" t="s">
        <v>3876</v>
      </c>
      <c r="M935">
        <v>200751</v>
      </c>
      <c r="N935" t="s">
        <v>3865</v>
      </c>
      <c r="O935" t="s">
        <v>44</v>
      </c>
      <c r="P935" t="s">
        <v>92</v>
      </c>
      <c r="Q935" t="s">
        <v>26</v>
      </c>
      <c r="R935" s="105">
        <f>IF(Table__192.168.1.150_Daily_Delinquency_With_Sectors[[#This Row],[Days in Arrears]] &gt; 0, Table__192.168.1.150_Daily_Delinquency_With_Sectors[[#This Row],[Outstanding Balance]],0)</f>
        <v>12690609.689999999</v>
      </c>
      <c r="S935" s="105">
        <f>IF(Table__192.168.1.150_Daily_Delinquency_With_Sectors[[#This Row],[Days in Arrears]] &gt; 30, Table__192.168.1.150_Daily_Delinquency_With_Sectors[[#This Row],[Outstanding Balance]],0)</f>
        <v>12690609.689999999</v>
      </c>
      <c r="T935" s="105">
        <f>IF(Table__192.168.1.150_Daily_Delinquency_With_Sectors[[#This Row],[Days in Arrears]] &gt; 90, Table__192.168.1.150_Daily_Delinquency_With_Sectors[[#This Row],[Outstanding Balance]],0)</f>
        <v>0</v>
      </c>
      <c r="U935" s="109">
        <f>IF(Table__192.168.1.150_Daily_Delinquency_With_Sectors[[#This Row],[Days in Arrears]] &gt;= 1,1,0)</f>
        <v>1</v>
      </c>
      <c r="V935" s="109">
        <f>IF(Table__192.168.1.150_Daily_Delinquency_With_Sectors[[#This Row],[Days in Arrears]] &gt; 30,1,0)</f>
        <v>1</v>
      </c>
      <c r="W935" s="109">
        <f>IF(Table__192.168.1.150_Daily_Delinquency_With_Sectors[[#This Row],[Days in Arrears]] &gt; 90,1,0)</f>
        <v>0</v>
      </c>
    </row>
    <row r="936" spans="1:23" x14ac:dyDescent="0.25">
      <c r="A936" t="s">
        <v>3894</v>
      </c>
      <c r="B936" t="s">
        <v>1282</v>
      </c>
      <c r="C936">
        <v>-22</v>
      </c>
      <c r="D936" s="105">
        <v>1232210.03</v>
      </c>
      <c r="E936" t="s">
        <v>1039</v>
      </c>
      <c r="F936" s="105">
        <v>12938.21</v>
      </c>
      <c r="G936" s="105">
        <v>1315994.29</v>
      </c>
      <c r="H936" s="206">
        <v>42751.542047488423</v>
      </c>
      <c r="I936" s="206">
        <v>43116</v>
      </c>
      <c r="J936" t="s">
        <v>3895</v>
      </c>
      <c r="K936" t="s">
        <v>1280</v>
      </c>
      <c r="L936" t="s">
        <v>3896</v>
      </c>
      <c r="M936">
        <v>200754</v>
      </c>
      <c r="N936" t="s">
        <v>3886</v>
      </c>
      <c r="O936" t="s">
        <v>36</v>
      </c>
      <c r="P936" t="s">
        <v>118</v>
      </c>
      <c r="Q936" t="s">
        <v>119</v>
      </c>
      <c r="R936" s="105">
        <f>IF(Table__192.168.1.150_Daily_Delinquency_With_Sectors[[#This Row],[Days in Arrears]] &gt; 0, Table__192.168.1.150_Daily_Delinquency_With_Sectors[[#This Row],[Outstanding Balance]],0)</f>
        <v>0</v>
      </c>
      <c r="S936" s="105">
        <f>IF(Table__192.168.1.150_Daily_Delinquency_With_Sectors[[#This Row],[Days in Arrears]] &gt; 30, Table__192.168.1.150_Daily_Delinquency_With_Sectors[[#This Row],[Outstanding Balance]],0)</f>
        <v>0</v>
      </c>
      <c r="T936" s="105">
        <f>IF(Table__192.168.1.150_Daily_Delinquency_With_Sectors[[#This Row],[Days in Arrears]] &gt; 90, Table__192.168.1.150_Daily_Delinquency_With_Sectors[[#This Row],[Outstanding Balance]],0)</f>
        <v>0</v>
      </c>
      <c r="U936" s="109">
        <f>IF(Table__192.168.1.150_Daily_Delinquency_With_Sectors[[#This Row],[Days in Arrears]] &gt;= 1,1,0)</f>
        <v>0</v>
      </c>
      <c r="V936" s="109">
        <f>IF(Table__192.168.1.150_Daily_Delinquency_With_Sectors[[#This Row],[Days in Arrears]] &gt; 30,1,0)</f>
        <v>0</v>
      </c>
      <c r="W936" s="109">
        <f>IF(Table__192.168.1.150_Daily_Delinquency_With_Sectors[[#This Row],[Days in Arrears]] &gt; 90,1,0)</f>
        <v>0</v>
      </c>
    </row>
    <row r="937" spans="1:23" x14ac:dyDescent="0.25">
      <c r="A937" t="s">
        <v>1855</v>
      </c>
      <c r="B937" t="s">
        <v>1285</v>
      </c>
      <c r="C937">
        <v>-27</v>
      </c>
      <c r="D937" s="105">
        <v>38596808.380000003</v>
      </c>
      <c r="E937" t="s">
        <v>284</v>
      </c>
      <c r="F937" s="105">
        <v>47173.88</v>
      </c>
      <c r="G937" s="105">
        <v>59281817.25</v>
      </c>
      <c r="H937" s="206">
        <v>42751.716267129632</v>
      </c>
      <c r="I937" s="206">
        <v>44582</v>
      </c>
      <c r="J937" t="s">
        <v>1856</v>
      </c>
      <c r="K937" t="s">
        <v>1280</v>
      </c>
      <c r="L937" t="s">
        <v>1280</v>
      </c>
      <c r="M937">
        <v>200755</v>
      </c>
      <c r="N937" t="s">
        <v>1854</v>
      </c>
      <c r="O937" t="s">
        <v>43</v>
      </c>
      <c r="P937" t="s">
        <v>338</v>
      </c>
      <c r="Q937" t="s">
        <v>339</v>
      </c>
      <c r="R937" s="105">
        <f>IF(Table__192.168.1.150_Daily_Delinquency_With_Sectors[[#This Row],[Days in Arrears]] &gt; 0, Table__192.168.1.150_Daily_Delinquency_With_Sectors[[#This Row],[Outstanding Balance]],0)</f>
        <v>0</v>
      </c>
      <c r="S937" s="105">
        <f>IF(Table__192.168.1.150_Daily_Delinquency_With_Sectors[[#This Row],[Days in Arrears]] &gt; 30, Table__192.168.1.150_Daily_Delinquency_With_Sectors[[#This Row],[Outstanding Balance]],0)</f>
        <v>0</v>
      </c>
      <c r="T937" s="105">
        <f>IF(Table__192.168.1.150_Daily_Delinquency_With_Sectors[[#This Row],[Days in Arrears]] &gt; 90, Table__192.168.1.150_Daily_Delinquency_With_Sectors[[#This Row],[Outstanding Balance]],0)</f>
        <v>0</v>
      </c>
      <c r="U937" s="109">
        <f>IF(Table__192.168.1.150_Daily_Delinquency_With_Sectors[[#This Row],[Days in Arrears]] &gt;= 1,1,0)</f>
        <v>0</v>
      </c>
      <c r="V937" s="109">
        <f>IF(Table__192.168.1.150_Daily_Delinquency_With_Sectors[[#This Row],[Days in Arrears]] &gt; 30,1,0)</f>
        <v>0</v>
      </c>
      <c r="W937" s="109">
        <f>IF(Table__192.168.1.150_Daily_Delinquency_With_Sectors[[#This Row],[Days in Arrears]] &gt; 90,1,0)</f>
        <v>0</v>
      </c>
    </row>
    <row r="938" spans="1:23" x14ac:dyDescent="0.25">
      <c r="A938" t="s">
        <v>3909</v>
      </c>
      <c r="B938" t="s">
        <v>1867</v>
      </c>
      <c r="C938">
        <v>-23</v>
      </c>
      <c r="D938" s="105">
        <v>3014512.29</v>
      </c>
      <c r="E938" t="s">
        <v>2557</v>
      </c>
      <c r="F938" s="105">
        <v>24116.1</v>
      </c>
      <c r="G938" s="105">
        <v>3196565.19</v>
      </c>
      <c r="H938" s="206">
        <v>42752.563019675923</v>
      </c>
      <c r="I938" s="206">
        <v>43117</v>
      </c>
      <c r="J938" t="s">
        <v>3910</v>
      </c>
      <c r="K938" t="s">
        <v>1280</v>
      </c>
      <c r="L938" t="s">
        <v>1280</v>
      </c>
      <c r="M938">
        <v>200757</v>
      </c>
      <c r="N938" t="s">
        <v>3902</v>
      </c>
      <c r="O938" t="s">
        <v>45</v>
      </c>
      <c r="P938" t="s">
        <v>45</v>
      </c>
      <c r="Q938" t="s">
        <v>89</v>
      </c>
      <c r="R938" s="105">
        <f>IF(Table__192.168.1.150_Daily_Delinquency_With_Sectors[[#This Row],[Days in Arrears]] &gt; 0, Table__192.168.1.150_Daily_Delinquency_With_Sectors[[#This Row],[Outstanding Balance]],0)</f>
        <v>0</v>
      </c>
      <c r="S938" s="105">
        <f>IF(Table__192.168.1.150_Daily_Delinquency_With_Sectors[[#This Row],[Days in Arrears]] &gt; 30, Table__192.168.1.150_Daily_Delinquency_With_Sectors[[#This Row],[Outstanding Balance]],0)</f>
        <v>0</v>
      </c>
      <c r="T938" s="105">
        <f>IF(Table__192.168.1.150_Daily_Delinquency_With_Sectors[[#This Row],[Days in Arrears]] &gt; 90, Table__192.168.1.150_Daily_Delinquency_With_Sectors[[#This Row],[Outstanding Balance]],0)</f>
        <v>0</v>
      </c>
      <c r="U938" s="109">
        <f>IF(Table__192.168.1.150_Daily_Delinquency_With_Sectors[[#This Row],[Days in Arrears]] &gt;= 1,1,0)</f>
        <v>0</v>
      </c>
      <c r="V938" s="109">
        <f>IF(Table__192.168.1.150_Daily_Delinquency_With_Sectors[[#This Row],[Days in Arrears]] &gt; 30,1,0)</f>
        <v>0</v>
      </c>
      <c r="W938" s="109">
        <f>IF(Table__192.168.1.150_Daily_Delinquency_With_Sectors[[#This Row],[Days in Arrears]] &gt; 90,1,0)</f>
        <v>0</v>
      </c>
    </row>
    <row r="939" spans="1:23" x14ac:dyDescent="0.25">
      <c r="A939" t="s">
        <v>3911</v>
      </c>
      <c r="B939" t="s">
        <v>1281</v>
      </c>
      <c r="C939">
        <v>-23</v>
      </c>
      <c r="D939" s="105">
        <v>20784052.870000001</v>
      </c>
      <c r="E939" t="s">
        <v>2855</v>
      </c>
      <c r="F939" s="105">
        <v>166272.42000000001</v>
      </c>
      <c r="G939" s="105">
        <v>27546469.16</v>
      </c>
      <c r="H939" s="206">
        <v>42752.565499884258</v>
      </c>
      <c r="I939" s="206">
        <v>43482</v>
      </c>
      <c r="J939" t="s">
        <v>3912</v>
      </c>
      <c r="K939" t="s">
        <v>1280</v>
      </c>
      <c r="L939" t="s">
        <v>3913</v>
      </c>
      <c r="M939">
        <v>200758</v>
      </c>
      <c r="N939" t="s">
        <v>3901</v>
      </c>
      <c r="O939" t="s">
        <v>45</v>
      </c>
      <c r="P939" t="s">
        <v>45</v>
      </c>
      <c r="Q939" t="s">
        <v>89</v>
      </c>
      <c r="R939" s="105">
        <f>IF(Table__192.168.1.150_Daily_Delinquency_With_Sectors[[#This Row],[Days in Arrears]] &gt; 0, Table__192.168.1.150_Daily_Delinquency_With_Sectors[[#This Row],[Outstanding Balance]],0)</f>
        <v>0</v>
      </c>
      <c r="S939" s="105">
        <f>IF(Table__192.168.1.150_Daily_Delinquency_With_Sectors[[#This Row],[Days in Arrears]] &gt; 30, Table__192.168.1.150_Daily_Delinquency_With_Sectors[[#This Row],[Outstanding Balance]],0)</f>
        <v>0</v>
      </c>
      <c r="T939" s="105">
        <f>IF(Table__192.168.1.150_Daily_Delinquency_With_Sectors[[#This Row],[Days in Arrears]] &gt; 90, Table__192.168.1.150_Daily_Delinquency_With_Sectors[[#This Row],[Outstanding Balance]],0)</f>
        <v>0</v>
      </c>
      <c r="U939" s="109">
        <f>IF(Table__192.168.1.150_Daily_Delinquency_With_Sectors[[#This Row],[Days in Arrears]] &gt;= 1,1,0)</f>
        <v>0</v>
      </c>
      <c r="V939" s="109">
        <f>IF(Table__192.168.1.150_Daily_Delinquency_With_Sectors[[#This Row],[Days in Arrears]] &gt; 30,1,0)</f>
        <v>0</v>
      </c>
      <c r="W939" s="109">
        <f>IF(Table__192.168.1.150_Daily_Delinquency_With_Sectors[[#This Row],[Days in Arrears]] &gt; 90,1,0)</f>
        <v>0</v>
      </c>
    </row>
    <row r="940" spans="1:23" x14ac:dyDescent="0.25">
      <c r="A940" t="s">
        <v>1677</v>
      </c>
      <c r="B940" t="s">
        <v>1284</v>
      </c>
      <c r="C940">
        <v>-23</v>
      </c>
      <c r="D940" s="105">
        <v>49337453.549999997</v>
      </c>
      <c r="E940" t="s">
        <v>491</v>
      </c>
      <c r="F940" s="105">
        <v>296024.71999999997</v>
      </c>
      <c r="G940" s="105">
        <v>66325036.969999999</v>
      </c>
      <c r="H940" s="206">
        <v>42752.62497271991</v>
      </c>
      <c r="I940" s="206">
        <v>43663</v>
      </c>
      <c r="J940" t="s">
        <v>1678</v>
      </c>
      <c r="K940" t="s">
        <v>1679</v>
      </c>
      <c r="L940" t="s">
        <v>1280</v>
      </c>
      <c r="M940">
        <v>200759</v>
      </c>
      <c r="N940" t="s">
        <v>1669</v>
      </c>
      <c r="O940" t="s">
        <v>44</v>
      </c>
      <c r="P940" t="s">
        <v>75</v>
      </c>
      <c r="Q940" t="s">
        <v>1442</v>
      </c>
      <c r="R940" s="105">
        <f>IF(Table__192.168.1.150_Daily_Delinquency_With_Sectors[[#This Row],[Days in Arrears]] &gt; 0, Table__192.168.1.150_Daily_Delinquency_With_Sectors[[#This Row],[Outstanding Balance]],0)</f>
        <v>0</v>
      </c>
      <c r="S940" s="105">
        <f>IF(Table__192.168.1.150_Daily_Delinquency_With_Sectors[[#This Row],[Days in Arrears]] &gt; 30, Table__192.168.1.150_Daily_Delinquency_With_Sectors[[#This Row],[Outstanding Balance]],0)</f>
        <v>0</v>
      </c>
      <c r="T940" s="105">
        <f>IF(Table__192.168.1.150_Daily_Delinquency_With_Sectors[[#This Row],[Days in Arrears]] &gt; 90, Table__192.168.1.150_Daily_Delinquency_With_Sectors[[#This Row],[Outstanding Balance]],0)</f>
        <v>0</v>
      </c>
      <c r="U940" s="109">
        <f>IF(Table__192.168.1.150_Daily_Delinquency_With_Sectors[[#This Row],[Days in Arrears]] &gt;= 1,1,0)</f>
        <v>0</v>
      </c>
      <c r="V940" s="109">
        <f>IF(Table__192.168.1.150_Daily_Delinquency_With_Sectors[[#This Row],[Days in Arrears]] &gt; 30,1,0)</f>
        <v>0</v>
      </c>
      <c r="W940" s="109">
        <f>IF(Table__192.168.1.150_Daily_Delinquency_With_Sectors[[#This Row],[Days in Arrears]] &gt; 90,1,0)</f>
        <v>0</v>
      </c>
    </row>
    <row r="941" spans="1:23" x14ac:dyDescent="0.25">
      <c r="A941" t="s">
        <v>3914</v>
      </c>
      <c r="B941" t="s">
        <v>1284</v>
      </c>
      <c r="C941">
        <v>-26</v>
      </c>
      <c r="D941" s="105">
        <v>13558293.689999999</v>
      </c>
      <c r="E941" t="s">
        <v>2855</v>
      </c>
      <c r="F941" s="105">
        <v>45194.31</v>
      </c>
      <c r="G941" s="105">
        <v>17187832.16</v>
      </c>
      <c r="H941" s="206">
        <v>42752.656163159721</v>
      </c>
      <c r="I941" s="206">
        <v>43485</v>
      </c>
      <c r="J941" t="s">
        <v>3915</v>
      </c>
      <c r="K941" t="s">
        <v>1280</v>
      </c>
      <c r="L941" t="s">
        <v>3916</v>
      </c>
      <c r="M941">
        <v>200760</v>
      </c>
      <c r="N941" t="s">
        <v>3899</v>
      </c>
      <c r="O941" t="s">
        <v>44</v>
      </c>
      <c r="P941" t="s">
        <v>92</v>
      </c>
      <c r="Q941" t="s">
        <v>26</v>
      </c>
      <c r="R941" s="105">
        <f>IF(Table__192.168.1.150_Daily_Delinquency_With_Sectors[[#This Row],[Days in Arrears]] &gt; 0, Table__192.168.1.150_Daily_Delinquency_With_Sectors[[#This Row],[Outstanding Balance]],0)</f>
        <v>0</v>
      </c>
      <c r="S941" s="105">
        <f>IF(Table__192.168.1.150_Daily_Delinquency_With_Sectors[[#This Row],[Days in Arrears]] &gt; 30, Table__192.168.1.150_Daily_Delinquency_With_Sectors[[#This Row],[Outstanding Balance]],0)</f>
        <v>0</v>
      </c>
      <c r="T941" s="105">
        <f>IF(Table__192.168.1.150_Daily_Delinquency_With_Sectors[[#This Row],[Days in Arrears]] &gt; 90, Table__192.168.1.150_Daily_Delinquency_With_Sectors[[#This Row],[Outstanding Balance]],0)</f>
        <v>0</v>
      </c>
      <c r="U941" s="109">
        <f>IF(Table__192.168.1.150_Daily_Delinquency_With_Sectors[[#This Row],[Days in Arrears]] &gt;= 1,1,0)</f>
        <v>0</v>
      </c>
      <c r="V941" s="109">
        <f>IF(Table__192.168.1.150_Daily_Delinquency_With_Sectors[[#This Row],[Days in Arrears]] &gt; 30,1,0)</f>
        <v>0</v>
      </c>
      <c r="W941" s="109">
        <f>IF(Table__192.168.1.150_Daily_Delinquency_With_Sectors[[#This Row],[Days in Arrears]] &gt; 90,1,0)</f>
        <v>0</v>
      </c>
    </row>
    <row r="942" spans="1:23" x14ac:dyDescent="0.25">
      <c r="A942" t="s">
        <v>3917</v>
      </c>
      <c r="B942" t="s">
        <v>1282</v>
      </c>
      <c r="C942">
        <v>67</v>
      </c>
      <c r="D942" s="105">
        <v>6329044.9100000001</v>
      </c>
      <c r="E942" t="s">
        <v>1467</v>
      </c>
      <c r="F942" s="105">
        <v>270186.21999999997</v>
      </c>
      <c r="G942" s="105">
        <v>7007562.1799999997</v>
      </c>
      <c r="H942" s="206">
        <v>42752.731632210649</v>
      </c>
      <c r="I942" s="206">
        <v>43117</v>
      </c>
      <c r="J942" t="s">
        <v>3918</v>
      </c>
      <c r="K942" t="s">
        <v>1280</v>
      </c>
      <c r="L942" t="s">
        <v>3919</v>
      </c>
      <c r="M942">
        <v>200761</v>
      </c>
      <c r="N942" t="s">
        <v>3898</v>
      </c>
      <c r="O942" t="s">
        <v>25</v>
      </c>
      <c r="P942" t="s">
        <v>290</v>
      </c>
      <c r="Q942" t="s">
        <v>297</v>
      </c>
      <c r="R942" s="105">
        <f>IF(Table__192.168.1.150_Daily_Delinquency_With_Sectors[[#This Row],[Days in Arrears]] &gt; 0, Table__192.168.1.150_Daily_Delinquency_With_Sectors[[#This Row],[Outstanding Balance]],0)</f>
        <v>6329044.9100000001</v>
      </c>
      <c r="S942" s="105">
        <f>IF(Table__192.168.1.150_Daily_Delinquency_With_Sectors[[#This Row],[Days in Arrears]] &gt; 30, Table__192.168.1.150_Daily_Delinquency_With_Sectors[[#This Row],[Outstanding Balance]],0)</f>
        <v>6329044.9100000001</v>
      </c>
      <c r="T942" s="105">
        <f>IF(Table__192.168.1.150_Daily_Delinquency_With_Sectors[[#This Row],[Days in Arrears]] &gt; 90, Table__192.168.1.150_Daily_Delinquency_With_Sectors[[#This Row],[Outstanding Balance]],0)</f>
        <v>0</v>
      </c>
      <c r="U942" s="109">
        <f>IF(Table__192.168.1.150_Daily_Delinquency_With_Sectors[[#This Row],[Days in Arrears]] &gt;= 1,1,0)</f>
        <v>1</v>
      </c>
      <c r="V942" s="109">
        <f>IF(Table__192.168.1.150_Daily_Delinquency_With_Sectors[[#This Row],[Days in Arrears]] &gt; 30,1,0)</f>
        <v>1</v>
      </c>
      <c r="W942" s="109">
        <f>IF(Table__192.168.1.150_Daily_Delinquency_With_Sectors[[#This Row],[Days in Arrears]] &gt; 90,1,0)</f>
        <v>0</v>
      </c>
    </row>
    <row r="943" spans="1:23" x14ac:dyDescent="0.25">
      <c r="A943" t="s">
        <v>3933</v>
      </c>
      <c r="B943" t="s">
        <v>1284</v>
      </c>
      <c r="C943">
        <v>-24</v>
      </c>
      <c r="D943" s="105">
        <v>24839300.879999999</v>
      </c>
      <c r="E943" t="s">
        <v>1448</v>
      </c>
      <c r="F943" s="105">
        <v>137996.12</v>
      </c>
      <c r="G943" s="105">
        <v>37525917.530000001</v>
      </c>
      <c r="H943" s="206">
        <v>42753.702417743058</v>
      </c>
      <c r="I943" s="206">
        <v>43848</v>
      </c>
      <c r="J943" t="s">
        <v>3934</v>
      </c>
      <c r="K943" t="s">
        <v>1280</v>
      </c>
      <c r="L943" t="s">
        <v>1280</v>
      </c>
      <c r="M943">
        <v>200762</v>
      </c>
      <c r="N943" t="s">
        <v>3922</v>
      </c>
      <c r="O943" t="s">
        <v>25</v>
      </c>
      <c r="P943" t="s">
        <v>3923</v>
      </c>
      <c r="Q943" t="s">
        <v>3924</v>
      </c>
      <c r="R943" s="105">
        <f>IF(Table__192.168.1.150_Daily_Delinquency_With_Sectors[[#This Row],[Days in Arrears]] &gt; 0, Table__192.168.1.150_Daily_Delinquency_With_Sectors[[#This Row],[Outstanding Balance]],0)</f>
        <v>0</v>
      </c>
      <c r="S943" s="105">
        <f>IF(Table__192.168.1.150_Daily_Delinquency_With_Sectors[[#This Row],[Days in Arrears]] &gt; 30, Table__192.168.1.150_Daily_Delinquency_With_Sectors[[#This Row],[Outstanding Balance]],0)</f>
        <v>0</v>
      </c>
      <c r="T943" s="105">
        <f>IF(Table__192.168.1.150_Daily_Delinquency_With_Sectors[[#This Row],[Days in Arrears]] &gt; 90, Table__192.168.1.150_Daily_Delinquency_With_Sectors[[#This Row],[Outstanding Balance]],0)</f>
        <v>0</v>
      </c>
      <c r="U943" s="109">
        <f>IF(Table__192.168.1.150_Daily_Delinquency_With_Sectors[[#This Row],[Days in Arrears]] &gt;= 1,1,0)</f>
        <v>0</v>
      </c>
      <c r="V943" s="109">
        <f>IF(Table__192.168.1.150_Daily_Delinquency_With_Sectors[[#This Row],[Days in Arrears]] &gt; 30,1,0)</f>
        <v>0</v>
      </c>
      <c r="W943" s="109">
        <f>IF(Table__192.168.1.150_Daily_Delinquency_With_Sectors[[#This Row],[Days in Arrears]] &gt; 90,1,0)</f>
        <v>0</v>
      </c>
    </row>
    <row r="944" spans="1:23" x14ac:dyDescent="0.25">
      <c r="A944" t="s">
        <v>3936</v>
      </c>
      <c r="B944" t="s">
        <v>1282</v>
      </c>
      <c r="C944">
        <v>35</v>
      </c>
      <c r="D944" s="105">
        <v>1967151.37</v>
      </c>
      <c r="E944" t="s">
        <v>2034</v>
      </c>
      <c r="F944" s="105">
        <v>84674.81</v>
      </c>
      <c r="G944" s="105">
        <v>2122367.15</v>
      </c>
      <c r="H944" s="206">
        <v>42754.707278506947</v>
      </c>
      <c r="I944" s="206">
        <v>43119</v>
      </c>
      <c r="J944" t="s">
        <v>3937</v>
      </c>
      <c r="K944" t="s">
        <v>1280</v>
      </c>
      <c r="L944" t="s">
        <v>3938</v>
      </c>
      <c r="M944">
        <v>200763</v>
      </c>
      <c r="N944" t="s">
        <v>3935</v>
      </c>
      <c r="O944" t="s">
        <v>46</v>
      </c>
      <c r="P944" t="s">
        <v>46</v>
      </c>
      <c r="Q944" t="s">
        <v>26</v>
      </c>
      <c r="R944" s="105">
        <f>IF(Table__192.168.1.150_Daily_Delinquency_With_Sectors[[#This Row],[Days in Arrears]] &gt; 0, Table__192.168.1.150_Daily_Delinquency_With_Sectors[[#This Row],[Outstanding Balance]],0)</f>
        <v>1967151.37</v>
      </c>
      <c r="S944" s="105">
        <f>IF(Table__192.168.1.150_Daily_Delinquency_With_Sectors[[#This Row],[Days in Arrears]] &gt; 30, Table__192.168.1.150_Daily_Delinquency_With_Sectors[[#This Row],[Outstanding Balance]],0)</f>
        <v>1967151.37</v>
      </c>
      <c r="T944" s="105">
        <f>IF(Table__192.168.1.150_Daily_Delinquency_With_Sectors[[#This Row],[Days in Arrears]] &gt; 90, Table__192.168.1.150_Daily_Delinquency_With_Sectors[[#This Row],[Outstanding Balance]],0)</f>
        <v>0</v>
      </c>
      <c r="U944" s="109">
        <f>IF(Table__192.168.1.150_Daily_Delinquency_With_Sectors[[#This Row],[Days in Arrears]] &gt;= 1,1,0)</f>
        <v>1</v>
      </c>
      <c r="V944" s="109">
        <f>IF(Table__192.168.1.150_Daily_Delinquency_With_Sectors[[#This Row],[Days in Arrears]] &gt; 30,1,0)</f>
        <v>1</v>
      </c>
      <c r="W944" s="109">
        <f>IF(Table__192.168.1.150_Daily_Delinquency_With_Sectors[[#This Row],[Days in Arrears]] &gt; 90,1,0)</f>
        <v>0</v>
      </c>
    </row>
    <row r="945" spans="1:23" x14ac:dyDescent="0.25">
      <c r="A945" t="s">
        <v>3950</v>
      </c>
      <c r="B945" t="s">
        <v>1282</v>
      </c>
      <c r="C945">
        <v>34</v>
      </c>
      <c r="D945" s="105">
        <v>2360581.64</v>
      </c>
      <c r="E945" t="s">
        <v>468</v>
      </c>
      <c r="F945" s="105">
        <v>167741.06</v>
      </c>
      <c r="G945" s="105">
        <v>2612971.86</v>
      </c>
      <c r="H945" s="355">
        <v>42755.601103009256</v>
      </c>
      <c r="I945" s="355">
        <v>43120</v>
      </c>
      <c r="J945" t="s">
        <v>3951</v>
      </c>
      <c r="K945" t="s">
        <v>1280</v>
      </c>
      <c r="L945" t="s">
        <v>3952</v>
      </c>
      <c r="M945">
        <v>200765</v>
      </c>
      <c r="N945" t="s">
        <v>3942</v>
      </c>
      <c r="O945" t="s">
        <v>25</v>
      </c>
      <c r="P945" t="s">
        <v>295</v>
      </c>
      <c r="Q945" t="s">
        <v>26</v>
      </c>
      <c r="R945" s="105">
        <f>IF(Table__192.168.1.150_Daily_Delinquency_With_Sectors[[#This Row],[Days in Arrears]] &gt; 0, Table__192.168.1.150_Daily_Delinquency_With_Sectors[[#This Row],[Outstanding Balance]],0)</f>
        <v>2360581.64</v>
      </c>
      <c r="S945" s="105">
        <f>IF(Table__192.168.1.150_Daily_Delinquency_With_Sectors[[#This Row],[Days in Arrears]] &gt; 30, Table__192.168.1.150_Daily_Delinquency_With_Sectors[[#This Row],[Outstanding Balance]],0)</f>
        <v>2360581.64</v>
      </c>
      <c r="T945" s="105">
        <f>IF(Table__192.168.1.150_Daily_Delinquency_With_Sectors[[#This Row],[Days in Arrears]] &gt; 90, Table__192.168.1.150_Daily_Delinquency_With_Sectors[[#This Row],[Outstanding Balance]],0)</f>
        <v>0</v>
      </c>
      <c r="U945" s="109">
        <f>IF(Table__192.168.1.150_Daily_Delinquency_With_Sectors[[#This Row],[Days in Arrears]] &gt;= 1,1,0)</f>
        <v>1</v>
      </c>
      <c r="V945" s="109">
        <f>IF(Table__192.168.1.150_Daily_Delinquency_With_Sectors[[#This Row],[Days in Arrears]] &gt; 30,1,0)</f>
        <v>1</v>
      </c>
      <c r="W945" s="109">
        <f>IF(Table__192.168.1.150_Daily_Delinquency_With_Sectors[[#This Row],[Days in Arrears]] &gt; 90,1,0)</f>
        <v>0</v>
      </c>
    </row>
    <row r="946" spans="1:23" x14ac:dyDescent="0.25">
      <c r="A946" t="s">
        <v>3953</v>
      </c>
      <c r="B946" t="s">
        <v>1284</v>
      </c>
      <c r="C946">
        <v>-26</v>
      </c>
      <c r="D946" s="105">
        <v>8281301.7999999998</v>
      </c>
      <c r="E946" t="s">
        <v>2861</v>
      </c>
      <c r="F946" s="105">
        <v>27604.34</v>
      </c>
      <c r="G946" s="105">
        <v>9570961.7300000004</v>
      </c>
      <c r="H946" s="363">
        <v>42755.603499571756</v>
      </c>
      <c r="I946" s="363">
        <v>43301</v>
      </c>
      <c r="J946" t="s">
        <v>3954</v>
      </c>
      <c r="K946" t="s">
        <v>1280</v>
      </c>
      <c r="L946" t="s">
        <v>1280</v>
      </c>
      <c r="M946">
        <v>200767</v>
      </c>
      <c r="N946" t="s">
        <v>3944</v>
      </c>
      <c r="O946" t="s">
        <v>44</v>
      </c>
      <c r="P946" t="s">
        <v>75</v>
      </c>
      <c r="Q946" t="s">
        <v>1442</v>
      </c>
      <c r="R946" s="105">
        <f>IF(Table__192.168.1.150_Daily_Delinquency_With_Sectors[[#This Row],[Days in Arrears]] &gt; 0, Table__192.168.1.150_Daily_Delinquency_With_Sectors[[#This Row],[Outstanding Balance]],0)</f>
        <v>0</v>
      </c>
      <c r="S946" s="105">
        <f>IF(Table__192.168.1.150_Daily_Delinquency_With_Sectors[[#This Row],[Days in Arrears]] &gt; 30, Table__192.168.1.150_Daily_Delinquency_With_Sectors[[#This Row],[Outstanding Balance]],0)</f>
        <v>0</v>
      </c>
      <c r="T946" s="105">
        <f>IF(Table__192.168.1.150_Daily_Delinquency_With_Sectors[[#This Row],[Days in Arrears]] &gt; 90, Table__192.168.1.150_Daily_Delinquency_With_Sectors[[#This Row],[Outstanding Balance]],0)</f>
        <v>0</v>
      </c>
      <c r="U946" s="109">
        <f>IF(Table__192.168.1.150_Daily_Delinquency_With_Sectors[[#This Row],[Days in Arrears]] &gt;= 1,1,0)</f>
        <v>0</v>
      </c>
      <c r="V946" s="109">
        <f>IF(Table__192.168.1.150_Daily_Delinquency_With_Sectors[[#This Row],[Days in Arrears]] &gt; 30,1,0)</f>
        <v>0</v>
      </c>
      <c r="W946" s="109">
        <f>IF(Table__192.168.1.150_Daily_Delinquency_With_Sectors[[#This Row],[Days in Arrears]] &gt; 90,1,0)</f>
        <v>0</v>
      </c>
    </row>
    <row r="947" spans="1:23" x14ac:dyDescent="0.25">
      <c r="A947" t="s">
        <v>3955</v>
      </c>
      <c r="B947" t="s">
        <v>1282</v>
      </c>
      <c r="C947">
        <v>-26</v>
      </c>
      <c r="D947" s="105">
        <v>1232210.03</v>
      </c>
      <c r="E947" t="s">
        <v>2034</v>
      </c>
      <c r="F947" s="105">
        <v>5544.95</v>
      </c>
      <c r="G947" s="105">
        <v>1315994.29</v>
      </c>
      <c r="H947" s="363">
        <v>42755.624337847221</v>
      </c>
      <c r="I947" s="363">
        <v>43120</v>
      </c>
      <c r="J947" t="s">
        <v>3956</v>
      </c>
      <c r="K947" t="s">
        <v>1280</v>
      </c>
      <c r="L947" t="s">
        <v>3957</v>
      </c>
      <c r="M947">
        <v>200768</v>
      </c>
      <c r="N947" t="s">
        <v>3943</v>
      </c>
      <c r="O947" t="s">
        <v>25</v>
      </c>
      <c r="P947" t="s">
        <v>94</v>
      </c>
      <c r="Q947" t="s">
        <v>1828</v>
      </c>
      <c r="R947" s="105">
        <f>IF(Table__192.168.1.150_Daily_Delinquency_With_Sectors[[#This Row],[Days in Arrears]] &gt; 0, Table__192.168.1.150_Daily_Delinquency_With_Sectors[[#This Row],[Outstanding Balance]],0)</f>
        <v>0</v>
      </c>
      <c r="S947" s="105">
        <f>IF(Table__192.168.1.150_Daily_Delinquency_With_Sectors[[#This Row],[Days in Arrears]] &gt; 30, Table__192.168.1.150_Daily_Delinquency_With_Sectors[[#This Row],[Outstanding Balance]],0)</f>
        <v>0</v>
      </c>
      <c r="T947" s="105">
        <f>IF(Table__192.168.1.150_Daily_Delinquency_With_Sectors[[#This Row],[Days in Arrears]] &gt; 90, Table__192.168.1.150_Daily_Delinquency_With_Sectors[[#This Row],[Outstanding Balance]],0)</f>
        <v>0</v>
      </c>
      <c r="U947" s="109">
        <f>IF(Table__192.168.1.150_Daily_Delinquency_With_Sectors[[#This Row],[Days in Arrears]] &gt;= 1,1,0)</f>
        <v>0</v>
      </c>
      <c r="V947" s="109">
        <f>IF(Table__192.168.1.150_Daily_Delinquency_With_Sectors[[#This Row],[Days in Arrears]] &gt; 30,1,0)</f>
        <v>0</v>
      </c>
      <c r="W947" s="109">
        <f>IF(Table__192.168.1.150_Daily_Delinquency_With_Sectors[[#This Row],[Days in Arrears]] &gt; 90,1,0)</f>
        <v>0</v>
      </c>
    </row>
    <row r="948" spans="1:23" x14ac:dyDescent="0.25">
      <c r="A948" t="s">
        <v>1755</v>
      </c>
      <c r="B948" t="s">
        <v>1283</v>
      </c>
      <c r="C948">
        <v>-16</v>
      </c>
      <c r="D948" s="105">
        <v>39476271.409999996</v>
      </c>
      <c r="E948" t="s">
        <v>1191</v>
      </c>
      <c r="F948" s="105">
        <v>513191.53</v>
      </c>
      <c r="G948" s="105">
        <v>48925657</v>
      </c>
      <c r="H948" s="363">
        <v>42759.51062734954</v>
      </c>
      <c r="I948" s="363">
        <v>43475</v>
      </c>
      <c r="J948" t="s">
        <v>1756</v>
      </c>
      <c r="K948" t="s">
        <v>1838</v>
      </c>
      <c r="L948" t="s">
        <v>1280</v>
      </c>
      <c r="M948">
        <v>200770</v>
      </c>
      <c r="N948" t="s">
        <v>1754</v>
      </c>
      <c r="O948" t="s">
        <v>25</v>
      </c>
      <c r="P948" t="s">
        <v>88</v>
      </c>
      <c r="Q948" t="s">
        <v>26</v>
      </c>
      <c r="R948" s="105">
        <f>IF(Table__192.168.1.150_Daily_Delinquency_With_Sectors[[#This Row],[Days in Arrears]] &gt; 0, Table__192.168.1.150_Daily_Delinquency_With_Sectors[[#This Row],[Outstanding Balance]],0)</f>
        <v>0</v>
      </c>
      <c r="S948" s="105">
        <f>IF(Table__192.168.1.150_Daily_Delinquency_With_Sectors[[#This Row],[Days in Arrears]] &gt; 30, Table__192.168.1.150_Daily_Delinquency_With_Sectors[[#This Row],[Outstanding Balance]],0)</f>
        <v>0</v>
      </c>
      <c r="T948" s="105">
        <f>IF(Table__192.168.1.150_Daily_Delinquency_With_Sectors[[#This Row],[Days in Arrears]] &gt; 90, Table__192.168.1.150_Daily_Delinquency_With_Sectors[[#This Row],[Outstanding Balance]],0)</f>
        <v>0</v>
      </c>
      <c r="U948" s="109">
        <f>IF(Table__192.168.1.150_Daily_Delinquency_With_Sectors[[#This Row],[Days in Arrears]] &gt;= 1,1,0)</f>
        <v>0</v>
      </c>
      <c r="V948" s="109">
        <f>IF(Table__192.168.1.150_Daily_Delinquency_With_Sectors[[#This Row],[Days in Arrears]] &gt; 30,1,0)</f>
        <v>0</v>
      </c>
      <c r="W948" s="109">
        <f>IF(Table__192.168.1.150_Daily_Delinquency_With_Sectors[[#This Row],[Days in Arrears]] &gt; 90,1,0)</f>
        <v>0</v>
      </c>
    </row>
    <row r="949" spans="1:23" x14ac:dyDescent="0.25">
      <c r="A949" t="s">
        <v>3962</v>
      </c>
      <c r="B949" t="s">
        <v>1866</v>
      </c>
      <c r="C949">
        <v>-27</v>
      </c>
      <c r="D949" s="105">
        <v>1214592.97</v>
      </c>
      <c r="E949" t="s">
        <v>1447</v>
      </c>
      <c r="F949" s="105">
        <v>3373.87</v>
      </c>
      <c r="G949" s="105">
        <v>1291021.44</v>
      </c>
      <c r="H949" s="363">
        <v>42756.515501504633</v>
      </c>
      <c r="I949" s="363">
        <v>43121</v>
      </c>
      <c r="J949" t="s">
        <v>3963</v>
      </c>
      <c r="K949" t="s">
        <v>1280</v>
      </c>
      <c r="L949" t="s">
        <v>1280</v>
      </c>
      <c r="M949">
        <v>200772</v>
      </c>
      <c r="N949" t="s">
        <v>3960</v>
      </c>
      <c r="O949" t="s">
        <v>36</v>
      </c>
      <c r="P949" t="s">
        <v>97</v>
      </c>
      <c r="Q949" t="s">
        <v>3961</v>
      </c>
      <c r="R949" s="105">
        <f>IF(Table__192.168.1.150_Daily_Delinquency_With_Sectors[[#This Row],[Days in Arrears]] &gt; 0, Table__192.168.1.150_Daily_Delinquency_With_Sectors[[#This Row],[Outstanding Balance]],0)</f>
        <v>0</v>
      </c>
      <c r="S949" s="105">
        <f>IF(Table__192.168.1.150_Daily_Delinquency_With_Sectors[[#This Row],[Days in Arrears]] &gt; 30, Table__192.168.1.150_Daily_Delinquency_With_Sectors[[#This Row],[Outstanding Balance]],0)</f>
        <v>0</v>
      </c>
      <c r="T949" s="105">
        <f>IF(Table__192.168.1.150_Daily_Delinquency_With_Sectors[[#This Row],[Days in Arrears]] &gt; 90, Table__192.168.1.150_Daily_Delinquency_With_Sectors[[#This Row],[Outstanding Balance]],0)</f>
        <v>0</v>
      </c>
      <c r="U949" s="109">
        <f>IF(Table__192.168.1.150_Daily_Delinquency_With_Sectors[[#This Row],[Days in Arrears]] &gt;= 1,1,0)</f>
        <v>0</v>
      </c>
      <c r="V949" s="109">
        <f>IF(Table__192.168.1.150_Daily_Delinquency_With_Sectors[[#This Row],[Days in Arrears]] &gt; 30,1,0)</f>
        <v>0</v>
      </c>
      <c r="W949" s="109">
        <f>IF(Table__192.168.1.150_Daily_Delinquency_With_Sectors[[#This Row],[Days in Arrears]] &gt; 90,1,0)</f>
        <v>0</v>
      </c>
    </row>
    <row r="950" spans="1:23" x14ac:dyDescent="0.25">
      <c r="A950" t="s">
        <v>3979</v>
      </c>
      <c r="B950" t="s">
        <v>1282</v>
      </c>
      <c r="C950">
        <v>-7</v>
      </c>
      <c r="D950" s="106">
        <v>1522487.75</v>
      </c>
      <c r="E950" t="s">
        <v>1448</v>
      </c>
      <c r="F950" s="106">
        <v>50242.1</v>
      </c>
      <c r="G950" s="106">
        <v>1661521.45</v>
      </c>
      <c r="H950" s="363">
        <v>42759.545042939812</v>
      </c>
      <c r="I950" s="363">
        <v>43132</v>
      </c>
      <c r="J950" t="s">
        <v>3980</v>
      </c>
      <c r="K950" t="s">
        <v>1280</v>
      </c>
      <c r="L950" t="s">
        <v>3981</v>
      </c>
      <c r="M950">
        <v>200778</v>
      </c>
      <c r="N950" t="s">
        <v>3978</v>
      </c>
      <c r="O950" t="s">
        <v>36</v>
      </c>
      <c r="P950" t="s">
        <v>97</v>
      </c>
      <c r="Q950" t="s">
        <v>98</v>
      </c>
      <c r="R950" s="106">
        <f>IF(Table__192.168.1.150_Daily_Delinquency_With_Sectors[[#This Row],[Days in Arrears]] &gt; 0, Table__192.168.1.150_Daily_Delinquency_With_Sectors[[#This Row],[Outstanding Balance]],0)</f>
        <v>0</v>
      </c>
      <c r="S950" s="106">
        <f>IF(Table__192.168.1.150_Daily_Delinquency_With_Sectors[[#This Row],[Days in Arrears]] &gt; 30, Table__192.168.1.150_Daily_Delinquency_With_Sectors[[#This Row],[Outstanding Balance]],0)</f>
        <v>0</v>
      </c>
      <c r="T950" s="106">
        <f>IF(Table__192.168.1.150_Daily_Delinquency_With_Sectors[[#This Row],[Days in Arrears]] &gt; 90, Table__192.168.1.150_Daily_Delinquency_With_Sectors[[#This Row],[Outstanding Balance]],0)</f>
        <v>0</v>
      </c>
      <c r="U950" s="380">
        <f>IF(Table__192.168.1.150_Daily_Delinquency_With_Sectors[[#This Row],[Days in Arrears]] &gt;= 1,1,0)</f>
        <v>0</v>
      </c>
      <c r="V950" s="380">
        <f>IF(Table__192.168.1.150_Daily_Delinquency_With_Sectors[[#This Row],[Days in Arrears]] &gt; 30,1,0)</f>
        <v>0</v>
      </c>
      <c r="W950" s="380">
        <f>IF(Table__192.168.1.150_Daily_Delinquency_With_Sectors[[#This Row],[Days in Arrears]] &gt; 90,1,0)</f>
        <v>0</v>
      </c>
    </row>
    <row r="951" spans="1:23" x14ac:dyDescent="0.25">
      <c r="A951" t="s">
        <v>2470</v>
      </c>
      <c r="B951" t="s">
        <v>1282</v>
      </c>
      <c r="C951">
        <v>-1</v>
      </c>
      <c r="D951" s="106">
        <v>1182767.92</v>
      </c>
      <c r="E951" t="s">
        <v>1925</v>
      </c>
      <c r="F951" s="106">
        <v>44156.67</v>
      </c>
      <c r="G951" s="106">
        <v>1278626.08</v>
      </c>
      <c r="H951" s="363">
        <v>42760.657270717595</v>
      </c>
      <c r="I951" s="363">
        <v>43125</v>
      </c>
      <c r="J951" t="s">
        <v>2471</v>
      </c>
      <c r="K951" t="s">
        <v>2472</v>
      </c>
      <c r="L951" t="s">
        <v>1280</v>
      </c>
      <c r="M951">
        <v>200779</v>
      </c>
      <c r="N951" t="s">
        <v>2469</v>
      </c>
      <c r="O951" t="s">
        <v>44</v>
      </c>
      <c r="P951" t="s">
        <v>75</v>
      </c>
      <c r="Q951" t="s">
        <v>26</v>
      </c>
      <c r="R951" s="106">
        <f>IF(Table__192.168.1.150_Daily_Delinquency_With_Sectors[[#This Row],[Days in Arrears]] &gt; 0, Table__192.168.1.150_Daily_Delinquency_With_Sectors[[#This Row],[Outstanding Balance]],0)</f>
        <v>0</v>
      </c>
      <c r="S951" s="106">
        <f>IF(Table__192.168.1.150_Daily_Delinquency_With_Sectors[[#This Row],[Days in Arrears]] &gt; 30, Table__192.168.1.150_Daily_Delinquency_With_Sectors[[#This Row],[Outstanding Balance]],0)</f>
        <v>0</v>
      </c>
      <c r="T951" s="106">
        <f>IF(Table__192.168.1.150_Daily_Delinquency_With_Sectors[[#This Row],[Days in Arrears]] &gt; 90, Table__192.168.1.150_Daily_Delinquency_With_Sectors[[#This Row],[Outstanding Balance]],0)</f>
        <v>0</v>
      </c>
      <c r="U951" s="380">
        <f>IF(Table__192.168.1.150_Daily_Delinquency_With_Sectors[[#This Row],[Days in Arrears]] &gt;= 1,1,0)</f>
        <v>0</v>
      </c>
      <c r="V951" s="380">
        <f>IF(Table__192.168.1.150_Daily_Delinquency_With_Sectors[[#This Row],[Days in Arrears]] &gt; 30,1,0)</f>
        <v>0</v>
      </c>
      <c r="W951" s="380">
        <f>IF(Table__192.168.1.150_Daily_Delinquency_With_Sectors[[#This Row],[Days in Arrears]] &gt; 90,1,0)</f>
        <v>0</v>
      </c>
    </row>
    <row r="952" spans="1:23" x14ac:dyDescent="0.25">
      <c r="A952" t="s">
        <v>3983</v>
      </c>
      <c r="B952" t="s">
        <v>1279</v>
      </c>
      <c r="C952">
        <v>59</v>
      </c>
      <c r="D952" s="106">
        <v>290162</v>
      </c>
      <c r="E952" t="s">
        <v>2861</v>
      </c>
      <c r="F952" s="106">
        <v>13057.29</v>
      </c>
      <c r="G952" s="106">
        <v>303219.28999999998</v>
      </c>
      <c r="H952" s="363">
        <v>42760.690128553244</v>
      </c>
      <c r="I952" s="363">
        <v>43003</v>
      </c>
      <c r="J952" t="s">
        <v>3984</v>
      </c>
      <c r="K952" t="s">
        <v>1280</v>
      </c>
      <c r="L952" t="s">
        <v>3985</v>
      </c>
      <c r="M952">
        <v>200780</v>
      </c>
      <c r="N952" t="s">
        <v>3982</v>
      </c>
      <c r="O952" t="s">
        <v>37</v>
      </c>
      <c r="P952" t="s">
        <v>38</v>
      </c>
      <c r="Q952" t="s">
        <v>39</v>
      </c>
      <c r="R952" s="106">
        <f>IF(Table__192.168.1.150_Daily_Delinquency_With_Sectors[[#This Row],[Days in Arrears]] &gt; 0, Table__192.168.1.150_Daily_Delinquency_With_Sectors[[#This Row],[Outstanding Balance]],0)</f>
        <v>290162</v>
      </c>
      <c r="S952" s="106">
        <f>IF(Table__192.168.1.150_Daily_Delinquency_With_Sectors[[#This Row],[Days in Arrears]] &gt; 30, Table__192.168.1.150_Daily_Delinquency_With_Sectors[[#This Row],[Outstanding Balance]],0)</f>
        <v>290162</v>
      </c>
      <c r="T952" s="106">
        <f>IF(Table__192.168.1.150_Daily_Delinquency_With_Sectors[[#This Row],[Days in Arrears]] &gt; 90, Table__192.168.1.150_Daily_Delinquency_With_Sectors[[#This Row],[Outstanding Balance]],0)</f>
        <v>0</v>
      </c>
      <c r="U952" s="380">
        <f>IF(Table__192.168.1.150_Daily_Delinquency_With_Sectors[[#This Row],[Days in Arrears]] &gt;= 1,1,0)</f>
        <v>1</v>
      </c>
      <c r="V952" s="380">
        <f>IF(Table__192.168.1.150_Daily_Delinquency_With_Sectors[[#This Row],[Days in Arrears]] &gt; 30,1,0)</f>
        <v>1</v>
      </c>
      <c r="W952" s="380">
        <f>IF(Table__192.168.1.150_Daily_Delinquency_With_Sectors[[#This Row],[Days in Arrears]] &gt; 90,1,0)</f>
        <v>0</v>
      </c>
    </row>
    <row r="953" spans="1:23" x14ac:dyDescent="0.25">
      <c r="A953" t="s">
        <v>3994</v>
      </c>
      <c r="B953" t="s">
        <v>1283</v>
      </c>
      <c r="C953">
        <v>23</v>
      </c>
      <c r="D953" s="106">
        <v>20712135.02</v>
      </c>
      <c r="E953" t="s">
        <v>1039</v>
      </c>
      <c r="F953" s="106">
        <v>492026.13</v>
      </c>
      <c r="G953" s="106">
        <v>24216134.41</v>
      </c>
      <c r="H953" s="363">
        <v>42763.586794560186</v>
      </c>
      <c r="I953" s="363">
        <v>43314</v>
      </c>
      <c r="J953" t="s">
        <v>3995</v>
      </c>
      <c r="K953" t="s">
        <v>1280</v>
      </c>
      <c r="L953" t="s">
        <v>3996</v>
      </c>
      <c r="M953">
        <v>200782</v>
      </c>
      <c r="N953" t="s">
        <v>3991</v>
      </c>
      <c r="O953" t="s">
        <v>37</v>
      </c>
      <c r="P953" t="s">
        <v>288</v>
      </c>
      <c r="Q953" t="s">
        <v>26</v>
      </c>
      <c r="R953" s="106">
        <f>IF(Table__192.168.1.150_Daily_Delinquency_With_Sectors[[#This Row],[Days in Arrears]] &gt; 0, Table__192.168.1.150_Daily_Delinquency_With_Sectors[[#This Row],[Outstanding Balance]],0)</f>
        <v>20712135.02</v>
      </c>
      <c r="S953" s="106">
        <f>IF(Table__192.168.1.150_Daily_Delinquency_With_Sectors[[#This Row],[Days in Arrears]] &gt; 30, Table__192.168.1.150_Daily_Delinquency_With_Sectors[[#This Row],[Outstanding Balance]],0)</f>
        <v>0</v>
      </c>
      <c r="T953" s="106">
        <f>IF(Table__192.168.1.150_Daily_Delinquency_With_Sectors[[#This Row],[Days in Arrears]] &gt; 90, Table__192.168.1.150_Daily_Delinquency_With_Sectors[[#This Row],[Outstanding Balance]],0)</f>
        <v>0</v>
      </c>
      <c r="U953" s="380">
        <f>IF(Table__192.168.1.150_Daily_Delinquency_With_Sectors[[#This Row],[Days in Arrears]] &gt;= 1,1,0)</f>
        <v>1</v>
      </c>
      <c r="V953" s="380">
        <f>IF(Table__192.168.1.150_Daily_Delinquency_With_Sectors[[#This Row],[Days in Arrears]] &gt; 30,1,0)</f>
        <v>0</v>
      </c>
      <c r="W953" s="380">
        <f>IF(Table__192.168.1.150_Daily_Delinquency_With_Sectors[[#This Row],[Days in Arrears]] &gt; 90,1,0)</f>
        <v>0</v>
      </c>
    </row>
    <row r="954" spans="1:23" x14ac:dyDescent="0.25">
      <c r="A954" t="s">
        <v>4006</v>
      </c>
      <c r="B954" t="s">
        <v>1282</v>
      </c>
      <c r="C954">
        <v>-9</v>
      </c>
      <c r="D954" s="105">
        <v>8519345.1799999997</v>
      </c>
      <c r="E954" t="s">
        <v>491</v>
      </c>
      <c r="F954" s="105">
        <v>227182.54</v>
      </c>
      <c r="G954" s="105">
        <v>9755166.0600000005</v>
      </c>
      <c r="H954" s="363">
        <v>42765.5072147338</v>
      </c>
      <c r="I954" s="363">
        <v>43225</v>
      </c>
      <c r="J954" t="s">
        <v>4007</v>
      </c>
      <c r="K954" t="s">
        <v>1280</v>
      </c>
      <c r="L954" t="s">
        <v>4008</v>
      </c>
      <c r="M954">
        <v>200783</v>
      </c>
      <c r="N954" t="s">
        <v>3999</v>
      </c>
      <c r="O954" t="s">
        <v>37</v>
      </c>
      <c r="P954" t="s">
        <v>38</v>
      </c>
      <c r="Q954" t="s">
        <v>26</v>
      </c>
      <c r="R954" s="105">
        <f>IF(Table__192.168.1.150_Daily_Delinquency_With_Sectors[[#This Row],[Days in Arrears]] &gt; 0, Table__192.168.1.150_Daily_Delinquency_With_Sectors[[#This Row],[Outstanding Balance]],0)</f>
        <v>0</v>
      </c>
      <c r="S954" s="105">
        <f>IF(Table__192.168.1.150_Daily_Delinquency_With_Sectors[[#This Row],[Days in Arrears]] &gt; 30, Table__192.168.1.150_Daily_Delinquency_With_Sectors[[#This Row],[Outstanding Balance]],0)</f>
        <v>0</v>
      </c>
      <c r="T954" s="105">
        <f>IF(Table__192.168.1.150_Daily_Delinquency_With_Sectors[[#This Row],[Days in Arrears]] &gt; 90, Table__192.168.1.150_Daily_Delinquency_With_Sectors[[#This Row],[Outstanding Balance]],0)</f>
        <v>0</v>
      </c>
      <c r="U954" s="109">
        <f>IF(Table__192.168.1.150_Daily_Delinquency_With_Sectors[[#This Row],[Days in Arrears]] &gt;= 1,1,0)</f>
        <v>0</v>
      </c>
      <c r="V954" s="109">
        <f>IF(Table__192.168.1.150_Daily_Delinquency_With_Sectors[[#This Row],[Days in Arrears]] &gt; 30,1,0)</f>
        <v>0</v>
      </c>
      <c r="W954" s="109">
        <f>IF(Table__192.168.1.150_Daily_Delinquency_With_Sectors[[#This Row],[Days in Arrears]] &gt; 90,1,0)</f>
        <v>0</v>
      </c>
    </row>
    <row r="955" spans="1:23" x14ac:dyDescent="0.25">
      <c r="A955" t="s">
        <v>2868</v>
      </c>
      <c r="B955" t="s">
        <v>1282</v>
      </c>
      <c r="C955">
        <v>23</v>
      </c>
      <c r="D955" s="105">
        <v>3153912.72</v>
      </c>
      <c r="E955" t="s">
        <v>2538</v>
      </c>
      <c r="F955" s="105">
        <v>87069.91</v>
      </c>
      <c r="G955" s="105">
        <v>3395851.12</v>
      </c>
      <c r="H955" s="363">
        <v>42763.526987581019</v>
      </c>
      <c r="I955" s="363">
        <v>43133</v>
      </c>
      <c r="J955" t="s">
        <v>2869</v>
      </c>
      <c r="K955" t="s">
        <v>1280</v>
      </c>
      <c r="L955" t="s">
        <v>1280</v>
      </c>
      <c r="M955">
        <v>200784</v>
      </c>
      <c r="N955" t="s">
        <v>2866</v>
      </c>
      <c r="O955" t="s">
        <v>25</v>
      </c>
      <c r="P955" t="s">
        <v>32</v>
      </c>
      <c r="Q955" t="s">
        <v>26</v>
      </c>
      <c r="R955" s="105">
        <f>IF(Table__192.168.1.150_Daily_Delinquency_With_Sectors[[#This Row],[Days in Arrears]] &gt; 0, Table__192.168.1.150_Daily_Delinquency_With_Sectors[[#This Row],[Outstanding Balance]],0)</f>
        <v>3153912.72</v>
      </c>
      <c r="S955" s="105">
        <f>IF(Table__192.168.1.150_Daily_Delinquency_With_Sectors[[#This Row],[Days in Arrears]] &gt; 30, Table__192.168.1.150_Daily_Delinquency_With_Sectors[[#This Row],[Outstanding Balance]],0)</f>
        <v>0</v>
      </c>
      <c r="T955" s="105">
        <f>IF(Table__192.168.1.150_Daily_Delinquency_With_Sectors[[#This Row],[Days in Arrears]] &gt; 90, Table__192.168.1.150_Daily_Delinquency_With_Sectors[[#This Row],[Outstanding Balance]],0)</f>
        <v>0</v>
      </c>
      <c r="U955" s="109">
        <f>IF(Table__192.168.1.150_Daily_Delinquency_With_Sectors[[#This Row],[Days in Arrears]] &gt;= 1,1,0)</f>
        <v>1</v>
      </c>
      <c r="V955" s="109">
        <f>IF(Table__192.168.1.150_Daily_Delinquency_With_Sectors[[#This Row],[Days in Arrears]] &gt; 30,1,0)</f>
        <v>0</v>
      </c>
      <c r="W955" s="109">
        <f>IF(Table__192.168.1.150_Daily_Delinquency_With_Sectors[[#This Row],[Days in Arrears]] &gt; 90,1,0)</f>
        <v>0</v>
      </c>
    </row>
    <row r="956" spans="1:23" x14ac:dyDescent="0.25">
      <c r="A956" t="s">
        <v>2375</v>
      </c>
      <c r="B956" t="s">
        <v>1283</v>
      </c>
      <c r="C956">
        <v>14</v>
      </c>
      <c r="D956" s="105">
        <v>24881055.620000001</v>
      </c>
      <c r="E956" t="s">
        <v>2175</v>
      </c>
      <c r="F956" s="105">
        <v>1041670.36</v>
      </c>
      <c r="G956" s="105">
        <v>29168187.579999998</v>
      </c>
      <c r="H956" s="363">
        <v>42773.688587928242</v>
      </c>
      <c r="I956" s="363">
        <v>43322</v>
      </c>
      <c r="J956" t="s">
        <v>2376</v>
      </c>
      <c r="K956" t="s">
        <v>1280</v>
      </c>
      <c r="L956" t="s">
        <v>1280</v>
      </c>
      <c r="M956">
        <v>200785</v>
      </c>
      <c r="N956" t="s">
        <v>2371</v>
      </c>
      <c r="O956" t="s">
        <v>27</v>
      </c>
      <c r="P956" t="s">
        <v>26</v>
      </c>
      <c r="Q956" t="s">
        <v>26</v>
      </c>
      <c r="R956" s="105">
        <f>IF(Table__192.168.1.150_Daily_Delinquency_With_Sectors[[#This Row],[Days in Arrears]] &gt; 0, Table__192.168.1.150_Daily_Delinquency_With_Sectors[[#This Row],[Outstanding Balance]],0)</f>
        <v>24881055.620000001</v>
      </c>
      <c r="S956" s="105">
        <f>IF(Table__192.168.1.150_Daily_Delinquency_With_Sectors[[#This Row],[Days in Arrears]] &gt; 30, Table__192.168.1.150_Daily_Delinquency_With_Sectors[[#This Row],[Outstanding Balance]],0)</f>
        <v>0</v>
      </c>
      <c r="T956" s="105">
        <f>IF(Table__192.168.1.150_Daily_Delinquency_With_Sectors[[#This Row],[Days in Arrears]] &gt; 90, Table__192.168.1.150_Daily_Delinquency_With_Sectors[[#This Row],[Outstanding Balance]],0)</f>
        <v>0</v>
      </c>
      <c r="U956" s="109">
        <f>IF(Table__192.168.1.150_Daily_Delinquency_With_Sectors[[#This Row],[Days in Arrears]] &gt;= 1,1,0)</f>
        <v>1</v>
      </c>
      <c r="V956" s="109">
        <f>IF(Table__192.168.1.150_Daily_Delinquency_With_Sectors[[#This Row],[Days in Arrears]] &gt; 30,1,0)</f>
        <v>0</v>
      </c>
      <c r="W956" s="109">
        <f>IF(Table__192.168.1.150_Daily_Delinquency_With_Sectors[[#This Row],[Days in Arrears]] &gt; 90,1,0)</f>
        <v>0</v>
      </c>
    </row>
    <row r="957" spans="1:23" x14ac:dyDescent="0.25">
      <c r="A957" t="s">
        <v>4073</v>
      </c>
      <c r="B957" t="s">
        <v>1283</v>
      </c>
      <c r="C957">
        <v>-16</v>
      </c>
      <c r="D957" s="105">
        <v>18720282</v>
      </c>
      <c r="E957" t="s">
        <v>1909</v>
      </c>
      <c r="F957" s="105">
        <v>270404.07</v>
      </c>
      <c r="G957" s="105">
        <v>19981939.129999999</v>
      </c>
      <c r="H957" s="363">
        <v>42776.583435995373</v>
      </c>
      <c r="I957" s="363">
        <v>43141</v>
      </c>
      <c r="J957" t="s">
        <v>4074</v>
      </c>
      <c r="K957" t="s">
        <v>1280</v>
      </c>
      <c r="L957" t="s">
        <v>4075</v>
      </c>
      <c r="M957">
        <v>200790</v>
      </c>
      <c r="N957" t="s">
        <v>4070</v>
      </c>
      <c r="O957" t="s">
        <v>27</v>
      </c>
      <c r="P957" t="s">
        <v>26</v>
      </c>
      <c r="Q957" t="s">
        <v>26</v>
      </c>
      <c r="R957" s="105">
        <f>IF(Table__192.168.1.150_Daily_Delinquency_With_Sectors[[#This Row],[Days in Arrears]] &gt; 0, Table__192.168.1.150_Daily_Delinquency_With_Sectors[[#This Row],[Outstanding Balance]],0)</f>
        <v>0</v>
      </c>
      <c r="S957" s="105">
        <f>IF(Table__192.168.1.150_Daily_Delinquency_With_Sectors[[#This Row],[Days in Arrears]] &gt; 30, Table__192.168.1.150_Daily_Delinquency_With_Sectors[[#This Row],[Outstanding Balance]],0)</f>
        <v>0</v>
      </c>
      <c r="T957" s="105">
        <f>IF(Table__192.168.1.150_Daily_Delinquency_With_Sectors[[#This Row],[Days in Arrears]] &gt; 90, Table__192.168.1.150_Daily_Delinquency_With_Sectors[[#This Row],[Outstanding Balance]],0)</f>
        <v>0</v>
      </c>
      <c r="U957" s="109">
        <f>IF(Table__192.168.1.150_Daily_Delinquency_With_Sectors[[#This Row],[Days in Arrears]] &gt;= 1,1,0)</f>
        <v>0</v>
      </c>
      <c r="V957" s="109">
        <f>IF(Table__192.168.1.150_Daily_Delinquency_With_Sectors[[#This Row],[Days in Arrears]] &gt; 30,1,0)</f>
        <v>0</v>
      </c>
      <c r="W957" s="109">
        <f>IF(Table__192.168.1.150_Daily_Delinquency_With_Sectors[[#This Row],[Days in Arrears]] &gt; 90,1,0)</f>
        <v>0</v>
      </c>
    </row>
    <row r="958" spans="1:23" x14ac:dyDescent="0.25">
      <c r="A958" t="s">
        <v>4025</v>
      </c>
      <c r="B958" t="s">
        <v>1282</v>
      </c>
      <c r="C958">
        <v>23</v>
      </c>
      <c r="D958" s="105">
        <v>2363969.98</v>
      </c>
      <c r="E958" t="s">
        <v>1447</v>
      </c>
      <c r="F958" s="105">
        <v>166155.07999999999</v>
      </c>
      <c r="G958" s="105">
        <v>2637658.16</v>
      </c>
      <c r="H958" s="363">
        <v>42766.752147569445</v>
      </c>
      <c r="I958" s="363">
        <v>43134</v>
      </c>
      <c r="J958" t="s">
        <v>4026</v>
      </c>
      <c r="K958" t="s">
        <v>1280</v>
      </c>
      <c r="L958" t="s">
        <v>1280</v>
      </c>
      <c r="M958">
        <v>200793</v>
      </c>
      <c r="N958" t="s">
        <v>4009</v>
      </c>
      <c r="O958" t="s">
        <v>36</v>
      </c>
      <c r="P958" t="s">
        <v>97</v>
      </c>
      <c r="Q958" t="s">
        <v>98</v>
      </c>
      <c r="R958" s="105">
        <f>IF(Table__192.168.1.150_Daily_Delinquency_With_Sectors[[#This Row],[Days in Arrears]] &gt; 0, Table__192.168.1.150_Daily_Delinquency_With_Sectors[[#This Row],[Outstanding Balance]],0)</f>
        <v>2363969.98</v>
      </c>
      <c r="S958" s="105">
        <f>IF(Table__192.168.1.150_Daily_Delinquency_With_Sectors[[#This Row],[Days in Arrears]] &gt; 30, Table__192.168.1.150_Daily_Delinquency_With_Sectors[[#This Row],[Outstanding Balance]],0)</f>
        <v>0</v>
      </c>
      <c r="T958" s="105">
        <f>IF(Table__192.168.1.150_Daily_Delinquency_With_Sectors[[#This Row],[Days in Arrears]] &gt; 90, Table__192.168.1.150_Daily_Delinquency_With_Sectors[[#This Row],[Outstanding Balance]],0)</f>
        <v>0</v>
      </c>
      <c r="U958" s="109">
        <f>IF(Table__192.168.1.150_Daily_Delinquency_With_Sectors[[#This Row],[Days in Arrears]] &gt;= 1,1,0)</f>
        <v>1</v>
      </c>
      <c r="V958" s="109">
        <f>IF(Table__192.168.1.150_Daily_Delinquency_With_Sectors[[#This Row],[Days in Arrears]] &gt; 30,1,0)</f>
        <v>0</v>
      </c>
      <c r="W958" s="109">
        <f>IF(Table__192.168.1.150_Daily_Delinquency_With_Sectors[[#This Row],[Days in Arrears]] &gt; 90,1,0)</f>
        <v>0</v>
      </c>
    </row>
    <row r="959" spans="1:23" x14ac:dyDescent="0.25">
      <c r="A959" t="s">
        <v>2695</v>
      </c>
      <c r="B959" t="s">
        <v>1282</v>
      </c>
      <c r="C959">
        <v>-7</v>
      </c>
      <c r="D959" s="105">
        <v>4441066.08</v>
      </c>
      <c r="E959" t="s">
        <v>2538</v>
      </c>
      <c r="F959" s="105">
        <v>130271.27</v>
      </c>
      <c r="G959" s="105">
        <v>4805098.43</v>
      </c>
      <c r="H959" s="363">
        <v>42766.618874108797</v>
      </c>
      <c r="I959" s="363">
        <v>43134</v>
      </c>
      <c r="J959" t="s">
        <v>2696</v>
      </c>
      <c r="K959" t="s">
        <v>1280</v>
      </c>
      <c r="L959" t="s">
        <v>2697</v>
      </c>
      <c r="M959">
        <v>200795</v>
      </c>
      <c r="N959" t="s">
        <v>2676</v>
      </c>
      <c r="O959" t="s">
        <v>27</v>
      </c>
      <c r="P959" t="s">
        <v>116</v>
      </c>
      <c r="Q959" t="s">
        <v>26</v>
      </c>
      <c r="R959" s="105">
        <f>IF(Table__192.168.1.150_Daily_Delinquency_With_Sectors[[#This Row],[Days in Arrears]] &gt; 0, Table__192.168.1.150_Daily_Delinquency_With_Sectors[[#This Row],[Outstanding Balance]],0)</f>
        <v>0</v>
      </c>
      <c r="S959" s="105">
        <f>IF(Table__192.168.1.150_Daily_Delinquency_With_Sectors[[#This Row],[Days in Arrears]] &gt; 30, Table__192.168.1.150_Daily_Delinquency_With_Sectors[[#This Row],[Outstanding Balance]],0)</f>
        <v>0</v>
      </c>
      <c r="T959" s="105">
        <f>IF(Table__192.168.1.150_Daily_Delinquency_With_Sectors[[#This Row],[Days in Arrears]] &gt; 90, Table__192.168.1.150_Daily_Delinquency_With_Sectors[[#This Row],[Outstanding Balance]],0)</f>
        <v>0</v>
      </c>
      <c r="U959" s="109">
        <f>IF(Table__192.168.1.150_Daily_Delinquency_With_Sectors[[#This Row],[Days in Arrears]] &gt;= 1,1,0)</f>
        <v>0</v>
      </c>
      <c r="V959" s="109">
        <f>IF(Table__192.168.1.150_Daily_Delinquency_With_Sectors[[#This Row],[Days in Arrears]] &gt; 30,1,0)</f>
        <v>0</v>
      </c>
      <c r="W959" s="109">
        <f>IF(Table__192.168.1.150_Daily_Delinquency_With_Sectors[[#This Row],[Days in Arrears]] &gt; 90,1,0)</f>
        <v>0</v>
      </c>
    </row>
    <row r="960" spans="1:23" x14ac:dyDescent="0.25">
      <c r="A960" t="s">
        <v>4027</v>
      </c>
      <c r="B960" t="s">
        <v>1279</v>
      </c>
      <c r="C960">
        <v>23</v>
      </c>
      <c r="D960" s="105">
        <v>1194903.3799999999</v>
      </c>
      <c r="E960" t="s">
        <v>2175</v>
      </c>
      <c r="F960" s="105">
        <v>34869.589999999997</v>
      </c>
      <c r="G960" s="105">
        <v>1292500.6100000001</v>
      </c>
      <c r="H960" s="363">
        <v>42766.718846215277</v>
      </c>
      <c r="I960" s="363">
        <v>43134</v>
      </c>
      <c r="J960" t="s">
        <v>4028</v>
      </c>
      <c r="K960" t="s">
        <v>1280</v>
      </c>
      <c r="L960" t="s">
        <v>4029</v>
      </c>
      <c r="M960">
        <v>200796</v>
      </c>
      <c r="N960" t="s">
        <v>4013</v>
      </c>
      <c r="O960" t="s">
        <v>25</v>
      </c>
      <c r="P960" t="s">
        <v>26</v>
      </c>
      <c r="Q960" t="s">
        <v>26</v>
      </c>
      <c r="R960" s="105">
        <f>IF(Table__192.168.1.150_Daily_Delinquency_With_Sectors[[#This Row],[Days in Arrears]] &gt; 0, Table__192.168.1.150_Daily_Delinquency_With_Sectors[[#This Row],[Outstanding Balance]],0)</f>
        <v>1194903.3799999999</v>
      </c>
      <c r="S960" s="105">
        <f>IF(Table__192.168.1.150_Daily_Delinquency_With_Sectors[[#This Row],[Days in Arrears]] &gt; 30, Table__192.168.1.150_Daily_Delinquency_With_Sectors[[#This Row],[Outstanding Balance]],0)</f>
        <v>0</v>
      </c>
      <c r="T960" s="105">
        <f>IF(Table__192.168.1.150_Daily_Delinquency_With_Sectors[[#This Row],[Days in Arrears]] &gt; 90, Table__192.168.1.150_Daily_Delinquency_With_Sectors[[#This Row],[Outstanding Balance]],0)</f>
        <v>0</v>
      </c>
      <c r="U960" s="109">
        <f>IF(Table__192.168.1.150_Daily_Delinquency_With_Sectors[[#This Row],[Days in Arrears]] &gt;= 1,1,0)</f>
        <v>1</v>
      </c>
      <c r="V960" s="109">
        <f>IF(Table__192.168.1.150_Daily_Delinquency_With_Sectors[[#This Row],[Days in Arrears]] &gt; 30,1,0)</f>
        <v>0</v>
      </c>
      <c r="W960" s="109">
        <f>IF(Table__192.168.1.150_Daily_Delinquency_With_Sectors[[#This Row],[Days in Arrears]] &gt; 90,1,0)</f>
        <v>0</v>
      </c>
    </row>
    <row r="961" spans="1:23" x14ac:dyDescent="0.25">
      <c r="A961" t="s">
        <v>4032</v>
      </c>
      <c r="B961" t="s">
        <v>1281</v>
      </c>
      <c r="C961">
        <v>23</v>
      </c>
      <c r="D961" s="105">
        <v>16038201.77</v>
      </c>
      <c r="E961" t="s">
        <v>5725</v>
      </c>
      <c r="F961" s="105">
        <v>1019743.04</v>
      </c>
      <c r="G961" s="105">
        <v>19725666.18</v>
      </c>
      <c r="H961" s="363">
        <v>42766.855295868052</v>
      </c>
      <c r="I961" s="363">
        <v>43315</v>
      </c>
      <c r="J961" t="s">
        <v>4033</v>
      </c>
      <c r="K961" t="s">
        <v>1280</v>
      </c>
      <c r="L961" t="s">
        <v>1280</v>
      </c>
      <c r="M961">
        <v>200798</v>
      </c>
      <c r="N961" t="s">
        <v>4014</v>
      </c>
      <c r="O961" t="s">
        <v>37</v>
      </c>
      <c r="P961" t="s">
        <v>38</v>
      </c>
      <c r="Q961" t="s">
        <v>26</v>
      </c>
      <c r="R961" s="105">
        <f>IF(Table__192.168.1.150_Daily_Delinquency_With_Sectors[[#This Row],[Days in Arrears]] &gt; 0, Table__192.168.1.150_Daily_Delinquency_With_Sectors[[#This Row],[Outstanding Balance]],0)</f>
        <v>16038201.77</v>
      </c>
      <c r="S961" s="105">
        <f>IF(Table__192.168.1.150_Daily_Delinquency_With_Sectors[[#This Row],[Days in Arrears]] &gt; 30, Table__192.168.1.150_Daily_Delinquency_With_Sectors[[#This Row],[Outstanding Balance]],0)</f>
        <v>0</v>
      </c>
      <c r="T961" s="105">
        <f>IF(Table__192.168.1.150_Daily_Delinquency_With_Sectors[[#This Row],[Days in Arrears]] &gt; 90, Table__192.168.1.150_Daily_Delinquency_With_Sectors[[#This Row],[Outstanding Balance]],0)</f>
        <v>0</v>
      </c>
      <c r="U961" s="109">
        <f>IF(Table__192.168.1.150_Daily_Delinquency_With_Sectors[[#This Row],[Days in Arrears]] &gt;= 1,1,0)</f>
        <v>1</v>
      </c>
      <c r="V961" s="109">
        <f>IF(Table__192.168.1.150_Daily_Delinquency_With_Sectors[[#This Row],[Days in Arrears]] &gt; 30,1,0)</f>
        <v>0</v>
      </c>
      <c r="W961" s="109">
        <f>IF(Table__192.168.1.150_Daily_Delinquency_With_Sectors[[#This Row],[Days in Arrears]] &gt; 90,1,0)</f>
        <v>0</v>
      </c>
    </row>
    <row r="962" spans="1:23" x14ac:dyDescent="0.25">
      <c r="A962" t="s">
        <v>2401</v>
      </c>
      <c r="B962" t="s">
        <v>1866</v>
      </c>
      <c r="C962">
        <v>23</v>
      </c>
      <c r="D962" s="105">
        <v>1776573.94</v>
      </c>
      <c r="E962" t="s">
        <v>2034</v>
      </c>
      <c r="F962" s="105">
        <v>47139.97</v>
      </c>
      <c r="G962" s="105">
        <v>1908160.6</v>
      </c>
      <c r="H962" s="363">
        <v>42766.881417557874</v>
      </c>
      <c r="I962" s="363">
        <v>43134</v>
      </c>
      <c r="J962" t="s">
        <v>2402</v>
      </c>
      <c r="K962" t="s">
        <v>1280</v>
      </c>
      <c r="L962" t="s">
        <v>1280</v>
      </c>
      <c r="M962">
        <v>200800</v>
      </c>
      <c r="N962" t="s">
        <v>2387</v>
      </c>
      <c r="O962" t="s">
        <v>29</v>
      </c>
      <c r="P962" t="s">
        <v>30</v>
      </c>
      <c r="Q962" t="s">
        <v>26</v>
      </c>
      <c r="R962" s="105">
        <f>IF(Table__192.168.1.150_Daily_Delinquency_With_Sectors[[#This Row],[Days in Arrears]] &gt; 0, Table__192.168.1.150_Daily_Delinquency_With_Sectors[[#This Row],[Outstanding Balance]],0)</f>
        <v>1776573.94</v>
      </c>
      <c r="S962" s="105">
        <f>IF(Table__192.168.1.150_Daily_Delinquency_With_Sectors[[#This Row],[Days in Arrears]] &gt; 30, Table__192.168.1.150_Daily_Delinquency_With_Sectors[[#This Row],[Outstanding Balance]],0)</f>
        <v>0</v>
      </c>
      <c r="T962" s="105">
        <f>IF(Table__192.168.1.150_Daily_Delinquency_With_Sectors[[#This Row],[Days in Arrears]] &gt; 90, Table__192.168.1.150_Daily_Delinquency_With_Sectors[[#This Row],[Outstanding Balance]],0)</f>
        <v>0</v>
      </c>
      <c r="U962" s="109">
        <f>IF(Table__192.168.1.150_Daily_Delinquency_With_Sectors[[#This Row],[Days in Arrears]] &gt;= 1,1,0)</f>
        <v>1</v>
      </c>
      <c r="V962" s="109">
        <f>IF(Table__192.168.1.150_Daily_Delinquency_With_Sectors[[#This Row],[Days in Arrears]] &gt; 30,1,0)</f>
        <v>0</v>
      </c>
      <c r="W962" s="109">
        <f>IF(Table__192.168.1.150_Daily_Delinquency_With_Sectors[[#This Row],[Days in Arrears]] &gt; 90,1,0)</f>
        <v>0</v>
      </c>
    </row>
    <row r="963" spans="1:23" x14ac:dyDescent="0.25">
      <c r="A963" t="s">
        <v>3210</v>
      </c>
      <c r="B963" t="s">
        <v>1284</v>
      </c>
      <c r="C963">
        <v>-7</v>
      </c>
      <c r="D963" s="105">
        <v>35279429.539999999</v>
      </c>
      <c r="E963" t="s">
        <v>2538</v>
      </c>
      <c r="F963" s="105">
        <v>776147.45</v>
      </c>
      <c r="G963" s="105">
        <v>44334295.899999999</v>
      </c>
      <c r="H963" s="363">
        <v>42766.913834259256</v>
      </c>
      <c r="I963" s="363">
        <v>43499</v>
      </c>
      <c r="J963" t="s">
        <v>3211</v>
      </c>
      <c r="K963" t="s">
        <v>1280</v>
      </c>
      <c r="L963" t="s">
        <v>3212</v>
      </c>
      <c r="M963">
        <v>200802</v>
      </c>
      <c r="N963" t="s">
        <v>3203</v>
      </c>
      <c r="O963" t="s">
        <v>44</v>
      </c>
      <c r="P963" t="s">
        <v>75</v>
      </c>
      <c r="Q963" t="s">
        <v>1442</v>
      </c>
      <c r="R963" s="105">
        <f>IF(Table__192.168.1.150_Daily_Delinquency_With_Sectors[[#This Row],[Days in Arrears]] &gt; 0, Table__192.168.1.150_Daily_Delinquency_With_Sectors[[#This Row],[Outstanding Balance]],0)</f>
        <v>0</v>
      </c>
      <c r="S963" s="105">
        <f>IF(Table__192.168.1.150_Daily_Delinquency_With_Sectors[[#This Row],[Days in Arrears]] &gt; 30, Table__192.168.1.150_Daily_Delinquency_With_Sectors[[#This Row],[Outstanding Balance]],0)</f>
        <v>0</v>
      </c>
      <c r="T963" s="105">
        <f>IF(Table__192.168.1.150_Daily_Delinquency_With_Sectors[[#This Row],[Days in Arrears]] &gt; 90, Table__192.168.1.150_Daily_Delinquency_With_Sectors[[#This Row],[Outstanding Balance]],0)</f>
        <v>0</v>
      </c>
      <c r="U963" s="109">
        <f>IF(Table__192.168.1.150_Daily_Delinquency_With_Sectors[[#This Row],[Days in Arrears]] &gt;= 1,1,0)</f>
        <v>0</v>
      </c>
      <c r="V963" s="109">
        <f>IF(Table__192.168.1.150_Daily_Delinquency_With_Sectors[[#This Row],[Days in Arrears]] &gt; 30,1,0)</f>
        <v>0</v>
      </c>
      <c r="W963" s="109">
        <f>IF(Table__192.168.1.150_Daily_Delinquency_With_Sectors[[#This Row],[Days in Arrears]] &gt; 90,1,0)</f>
        <v>0</v>
      </c>
    </row>
    <row r="964" spans="1:23" x14ac:dyDescent="0.25">
      <c r="A964" t="s">
        <v>4037</v>
      </c>
      <c r="B964" t="s">
        <v>1282</v>
      </c>
      <c r="C964">
        <v>23</v>
      </c>
      <c r="D964" s="105">
        <v>899790.91</v>
      </c>
      <c r="E964" t="s">
        <v>2538</v>
      </c>
      <c r="F964" s="105">
        <v>24871.15</v>
      </c>
      <c r="G964" s="105">
        <v>968616.22</v>
      </c>
      <c r="H964" s="363">
        <v>42767.695371643516</v>
      </c>
      <c r="I964" s="363">
        <v>43132</v>
      </c>
      <c r="J964" t="s">
        <v>4038</v>
      </c>
      <c r="K964" t="s">
        <v>1280</v>
      </c>
      <c r="L964" t="s">
        <v>4039</v>
      </c>
      <c r="M964">
        <v>200803</v>
      </c>
      <c r="N964" t="s">
        <v>4036</v>
      </c>
      <c r="O964" t="s">
        <v>25</v>
      </c>
      <c r="P964" t="s">
        <v>26</v>
      </c>
      <c r="Q964" t="s">
        <v>26</v>
      </c>
      <c r="R964" s="105">
        <f>IF(Table__192.168.1.150_Daily_Delinquency_With_Sectors[[#This Row],[Days in Arrears]] &gt; 0, Table__192.168.1.150_Daily_Delinquency_With_Sectors[[#This Row],[Outstanding Balance]],0)</f>
        <v>899790.91</v>
      </c>
      <c r="S964" s="105">
        <f>IF(Table__192.168.1.150_Daily_Delinquency_With_Sectors[[#This Row],[Days in Arrears]] &gt; 30, Table__192.168.1.150_Daily_Delinquency_With_Sectors[[#This Row],[Outstanding Balance]],0)</f>
        <v>0</v>
      </c>
      <c r="T964" s="105">
        <f>IF(Table__192.168.1.150_Daily_Delinquency_With_Sectors[[#This Row],[Days in Arrears]] &gt; 90, Table__192.168.1.150_Daily_Delinquency_With_Sectors[[#This Row],[Outstanding Balance]],0)</f>
        <v>0</v>
      </c>
      <c r="U964" s="109">
        <f>IF(Table__192.168.1.150_Daily_Delinquency_With_Sectors[[#This Row],[Days in Arrears]] &gt;= 1,1,0)</f>
        <v>1</v>
      </c>
      <c r="V964" s="109">
        <f>IF(Table__192.168.1.150_Daily_Delinquency_With_Sectors[[#This Row],[Days in Arrears]] &gt; 30,1,0)</f>
        <v>0</v>
      </c>
      <c r="W964" s="109">
        <f>IF(Table__192.168.1.150_Daily_Delinquency_With_Sectors[[#This Row],[Days in Arrears]] &gt; 90,1,0)</f>
        <v>0</v>
      </c>
    </row>
    <row r="965" spans="1:23" x14ac:dyDescent="0.25">
      <c r="A965" t="s">
        <v>2117</v>
      </c>
      <c r="B965" t="s">
        <v>1282</v>
      </c>
      <c r="C965">
        <v>-8</v>
      </c>
      <c r="D965" s="105">
        <v>2365535.84</v>
      </c>
      <c r="E965" t="s">
        <v>1909</v>
      </c>
      <c r="F965" s="105">
        <v>66235</v>
      </c>
      <c r="G965" s="105">
        <v>2557252.15</v>
      </c>
      <c r="H965" s="363">
        <v>42768.616484571758</v>
      </c>
      <c r="I965" s="363">
        <v>43133</v>
      </c>
      <c r="J965" t="s">
        <v>2118</v>
      </c>
      <c r="K965" t="s">
        <v>1280</v>
      </c>
      <c r="L965" t="s">
        <v>2119</v>
      </c>
      <c r="M965">
        <v>200804</v>
      </c>
      <c r="N965" t="s">
        <v>2099</v>
      </c>
      <c r="O965" t="s">
        <v>36</v>
      </c>
      <c r="P965" t="s">
        <v>1023</v>
      </c>
      <c r="Q965" t="s">
        <v>4042</v>
      </c>
      <c r="R965" s="105">
        <f>IF(Table__192.168.1.150_Daily_Delinquency_With_Sectors[[#This Row],[Days in Arrears]] &gt; 0, Table__192.168.1.150_Daily_Delinquency_With_Sectors[[#This Row],[Outstanding Balance]],0)</f>
        <v>0</v>
      </c>
      <c r="S965" s="105">
        <f>IF(Table__192.168.1.150_Daily_Delinquency_With_Sectors[[#This Row],[Days in Arrears]] &gt; 30, Table__192.168.1.150_Daily_Delinquency_With_Sectors[[#This Row],[Outstanding Balance]],0)</f>
        <v>0</v>
      </c>
      <c r="T965" s="105">
        <f>IF(Table__192.168.1.150_Daily_Delinquency_With_Sectors[[#This Row],[Days in Arrears]] &gt; 90, Table__192.168.1.150_Daily_Delinquency_With_Sectors[[#This Row],[Outstanding Balance]],0)</f>
        <v>0</v>
      </c>
      <c r="U965" s="109">
        <f>IF(Table__192.168.1.150_Daily_Delinquency_With_Sectors[[#This Row],[Days in Arrears]] &gt;= 1,1,0)</f>
        <v>0</v>
      </c>
      <c r="V965" s="109">
        <f>IF(Table__192.168.1.150_Daily_Delinquency_With_Sectors[[#This Row],[Days in Arrears]] &gt; 30,1,0)</f>
        <v>0</v>
      </c>
      <c r="W965" s="109">
        <f>IF(Table__192.168.1.150_Daily_Delinquency_With_Sectors[[#This Row],[Days in Arrears]] &gt; 90,1,0)</f>
        <v>0</v>
      </c>
    </row>
    <row r="966" spans="1:23" x14ac:dyDescent="0.25">
      <c r="A966" t="s">
        <v>2741</v>
      </c>
      <c r="B966" t="s">
        <v>1281</v>
      </c>
      <c r="C966">
        <v>21</v>
      </c>
      <c r="D966" s="105">
        <v>22594046.489999998</v>
      </c>
      <c r="E966" t="s">
        <v>86</v>
      </c>
      <c r="F966" s="105">
        <v>1135879.1299999999</v>
      </c>
      <c r="G966" s="105">
        <v>29733990.77</v>
      </c>
      <c r="H966" s="363">
        <v>42769.738868981483</v>
      </c>
      <c r="I966" s="363">
        <v>43499</v>
      </c>
      <c r="J966" t="s">
        <v>2742</v>
      </c>
      <c r="K966" t="s">
        <v>1280</v>
      </c>
      <c r="L966" t="s">
        <v>1280</v>
      </c>
      <c r="M966">
        <v>200805</v>
      </c>
      <c r="N966" t="s">
        <v>2740</v>
      </c>
      <c r="O966" t="s">
        <v>29</v>
      </c>
      <c r="P966" t="s">
        <v>30</v>
      </c>
      <c r="Q966" t="s">
        <v>26</v>
      </c>
      <c r="R966" s="105">
        <f>IF(Table__192.168.1.150_Daily_Delinquency_With_Sectors[[#This Row],[Days in Arrears]] &gt; 0, Table__192.168.1.150_Daily_Delinquency_With_Sectors[[#This Row],[Outstanding Balance]],0)</f>
        <v>22594046.489999998</v>
      </c>
      <c r="S966" s="105">
        <f>IF(Table__192.168.1.150_Daily_Delinquency_With_Sectors[[#This Row],[Days in Arrears]] &gt; 30, Table__192.168.1.150_Daily_Delinquency_With_Sectors[[#This Row],[Outstanding Balance]],0)</f>
        <v>0</v>
      </c>
      <c r="T966" s="105">
        <f>IF(Table__192.168.1.150_Daily_Delinquency_With_Sectors[[#This Row],[Days in Arrears]] &gt; 90, Table__192.168.1.150_Daily_Delinquency_With_Sectors[[#This Row],[Outstanding Balance]],0)</f>
        <v>0</v>
      </c>
      <c r="U966" s="109">
        <f>IF(Table__192.168.1.150_Daily_Delinquency_With_Sectors[[#This Row],[Days in Arrears]] &gt;= 1,1,0)</f>
        <v>1</v>
      </c>
      <c r="V966" s="109">
        <f>IF(Table__192.168.1.150_Daily_Delinquency_With_Sectors[[#This Row],[Days in Arrears]] &gt; 30,1,0)</f>
        <v>0</v>
      </c>
      <c r="W966" s="109">
        <f>IF(Table__192.168.1.150_Daily_Delinquency_With_Sectors[[#This Row],[Days in Arrears]] &gt; 90,1,0)</f>
        <v>0</v>
      </c>
    </row>
    <row r="967" spans="1:23" x14ac:dyDescent="0.25">
      <c r="A967" t="s">
        <v>4053</v>
      </c>
      <c r="B967" t="s">
        <v>1284</v>
      </c>
      <c r="C967">
        <v>-12</v>
      </c>
      <c r="D967" s="105">
        <v>4596987.9800000004</v>
      </c>
      <c r="E967" t="s">
        <v>1467</v>
      </c>
      <c r="F967" s="105">
        <v>86832</v>
      </c>
      <c r="G967" s="105">
        <v>5147948.26</v>
      </c>
      <c r="H967" s="363">
        <v>42772.666294062503</v>
      </c>
      <c r="I967" s="363">
        <v>43226</v>
      </c>
      <c r="J967" t="s">
        <v>4054</v>
      </c>
      <c r="K967" t="s">
        <v>4055</v>
      </c>
      <c r="L967" t="s">
        <v>1280</v>
      </c>
      <c r="M967">
        <v>200808</v>
      </c>
      <c r="N967" t="s">
        <v>4052</v>
      </c>
      <c r="O967" t="s">
        <v>44</v>
      </c>
      <c r="P967" t="s">
        <v>92</v>
      </c>
      <c r="Q967" t="s">
        <v>26</v>
      </c>
      <c r="R967" s="105">
        <f>IF(Table__192.168.1.150_Daily_Delinquency_With_Sectors[[#This Row],[Days in Arrears]] &gt; 0, Table__192.168.1.150_Daily_Delinquency_With_Sectors[[#This Row],[Outstanding Balance]],0)</f>
        <v>0</v>
      </c>
      <c r="S967" s="105">
        <f>IF(Table__192.168.1.150_Daily_Delinquency_With_Sectors[[#This Row],[Days in Arrears]] &gt; 30, Table__192.168.1.150_Daily_Delinquency_With_Sectors[[#This Row],[Outstanding Balance]],0)</f>
        <v>0</v>
      </c>
      <c r="T967" s="105">
        <f>IF(Table__192.168.1.150_Daily_Delinquency_With_Sectors[[#This Row],[Days in Arrears]] &gt; 90, Table__192.168.1.150_Daily_Delinquency_With_Sectors[[#This Row],[Outstanding Balance]],0)</f>
        <v>0</v>
      </c>
      <c r="U967" s="109">
        <f>IF(Table__192.168.1.150_Daily_Delinquency_With_Sectors[[#This Row],[Days in Arrears]] &gt;= 1,1,0)</f>
        <v>0</v>
      </c>
      <c r="V967" s="109">
        <f>IF(Table__192.168.1.150_Daily_Delinquency_With_Sectors[[#This Row],[Days in Arrears]] &gt; 30,1,0)</f>
        <v>0</v>
      </c>
      <c r="W967" s="109">
        <f>IF(Table__192.168.1.150_Daily_Delinquency_With_Sectors[[#This Row],[Days in Arrears]] &gt; 90,1,0)</f>
        <v>0</v>
      </c>
    </row>
    <row r="968" spans="1:23" x14ac:dyDescent="0.25">
      <c r="A968" t="s">
        <v>2490</v>
      </c>
      <c r="B968" t="s">
        <v>1279</v>
      </c>
      <c r="C968">
        <v>-16</v>
      </c>
      <c r="D968" s="105">
        <v>739229.96</v>
      </c>
      <c r="E968" t="s">
        <v>1909</v>
      </c>
      <c r="F968" s="105">
        <v>12813.32</v>
      </c>
      <c r="G968" s="105">
        <v>799141.31</v>
      </c>
      <c r="H968" s="363">
        <v>42776.513805324073</v>
      </c>
      <c r="I968" s="363">
        <v>43141</v>
      </c>
      <c r="J968" t="s">
        <v>2491</v>
      </c>
      <c r="K968" t="s">
        <v>1280</v>
      </c>
      <c r="L968" t="s">
        <v>1280</v>
      </c>
      <c r="M968">
        <v>200815</v>
      </c>
      <c r="N968" t="s">
        <v>2489</v>
      </c>
      <c r="O968" t="s">
        <v>25</v>
      </c>
      <c r="P968" t="s">
        <v>88</v>
      </c>
      <c r="Q968" t="s">
        <v>26</v>
      </c>
      <c r="R968" s="105">
        <f>IF(Table__192.168.1.150_Daily_Delinquency_With_Sectors[[#This Row],[Days in Arrears]] &gt; 0, Table__192.168.1.150_Daily_Delinquency_With_Sectors[[#This Row],[Outstanding Balance]],0)</f>
        <v>0</v>
      </c>
      <c r="S968" s="105">
        <f>IF(Table__192.168.1.150_Daily_Delinquency_With_Sectors[[#This Row],[Days in Arrears]] &gt; 30, Table__192.168.1.150_Daily_Delinquency_With_Sectors[[#This Row],[Outstanding Balance]],0)</f>
        <v>0</v>
      </c>
      <c r="T968" s="105">
        <f>IF(Table__192.168.1.150_Daily_Delinquency_With_Sectors[[#This Row],[Days in Arrears]] &gt; 90, Table__192.168.1.150_Daily_Delinquency_With_Sectors[[#This Row],[Outstanding Balance]],0)</f>
        <v>0</v>
      </c>
      <c r="U968" s="109">
        <f>IF(Table__192.168.1.150_Daily_Delinquency_With_Sectors[[#This Row],[Days in Arrears]] &gt;= 1,1,0)</f>
        <v>0</v>
      </c>
      <c r="V968" s="109">
        <f>IF(Table__192.168.1.150_Daily_Delinquency_With_Sectors[[#This Row],[Days in Arrears]] &gt; 30,1,0)</f>
        <v>0</v>
      </c>
      <c r="W968" s="109">
        <f>IF(Table__192.168.1.150_Daily_Delinquency_With_Sectors[[#This Row],[Days in Arrears]] &gt; 90,1,0)</f>
        <v>0</v>
      </c>
    </row>
    <row r="969" spans="1:23" x14ac:dyDescent="0.25">
      <c r="A969" t="s">
        <v>4076</v>
      </c>
      <c r="B969" t="s">
        <v>1866</v>
      </c>
      <c r="C969">
        <v>14</v>
      </c>
      <c r="D969" s="105">
        <v>2149518.33</v>
      </c>
      <c r="E969" t="s">
        <v>468</v>
      </c>
      <c r="F969" s="105">
        <v>32241.8</v>
      </c>
      <c r="G969" s="105">
        <v>2300350.9500000002</v>
      </c>
      <c r="H969" s="363">
        <v>42776.606118483796</v>
      </c>
      <c r="I969" s="363">
        <v>43141</v>
      </c>
      <c r="J969" t="s">
        <v>4077</v>
      </c>
      <c r="K969" t="s">
        <v>1280</v>
      </c>
      <c r="L969" t="s">
        <v>4078</v>
      </c>
      <c r="M969">
        <v>200816</v>
      </c>
      <c r="N969" t="s">
        <v>4071</v>
      </c>
      <c r="O969" t="s">
        <v>25</v>
      </c>
      <c r="P969" t="s">
        <v>26</v>
      </c>
      <c r="Q969" t="s">
        <v>26</v>
      </c>
      <c r="R969" s="105">
        <f>IF(Table__192.168.1.150_Daily_Delinquency_With_Sectors[[#This Row],[Days in Arrears]] &gt; 0, Table__192.168.1.150_Daily_Delinquency_With_Sectors[[#This Row],[Outstanding Balance]],0)</f>
        <v>2149518.33</v>
      </c>
      <c r="S969" s="105">
        <f>IF(Table__192.168.1.150_Daily_Delinquency_With_Sectors[[#This Row],[Days in Arrears]] &gt; 30, Table__192.168.1.150_Daily_Delinquency_With_Sectors[[#This Row],[Outstanding Balance]],0)</f>
        <v>0</v>
      </c>
      <c r="T969" s="105">
        <f>IF(Table__192.168.1.150_Daily_Delinquency_With_Sectors[[#This Row],[Days in Arrears]] &gt; 90, Table__192.168.1.150_Daily_Delinquency_With_Sectors[[#This Row],[Outstanding Balance]],0)</f>
        <v>0</v>
      </c>
      <c r="U969" s="109">
        <f>IF(Table__192.168.1.150_Daily_Delinquency_With_Sectors[[#This Row],[Days in Arrears]] &gt;= 1,1,0)</f>
        <v>1</v>
      </c>
      <c r="V969" s="109">
        <f>IF(Table__192.168.1.150_Daily_Delinquency_With_Sectors[[#This Row],[Days in Arrears]] &gt; 30,1,0)</f>
        <v>0</v>
      </c>
      <c r="W969" s="109">
        <f>IF(Table__192.168.1.150_Daily_Delinquency_With_Sectors[[#This Row],[Days in Arrears]] &gt; 90,1,0)</f>
        <v>0</v>
      </c>
    </row>
    <row r="970" spans="1:23" x14ac:dyDescent="0.25">
      <c r="A970" t="s">
        <v>4079</v>
      </c>
      <c r="B970" t="s">
        <v>1866</v>
      </c>
      <c r="C970">
        <v>14</v>
      </c>
      <c r="D970" s="105">
        <v>1787720.95</v>
      </c>
      <c r="E970" t="s">
        <v>1191</v>
      </c>
      <c r="F970" s="105">
        <v>32241.8</v>
      </c>
      <c r="G970" s="105">
        <v>1938553.57</v>
      </c>
      <c r="H970" s="363">
        <v>42776.699919293984</v>
      </c>
      <c r="I970" s="363">
        <v>43141</v>
      </c>
      <c r="J970" t="s">
        <v>4080</v>
      </c>
      <c r="K970" t="s">
        <v>1280</v>
      </c>
      <c r="L970" t="s">
        <v>4081</v>
      </c>
      <c r="M970">
        <v>200817</v>
      </c>
      <c r="N970" t="s">
        <v>4072</v>
      </c>
      <c r="O970" t="s">
        <v>44</v>
      </c>
      <c r="P970" t="s">
        <v>75</v>
      </c>
      <c r="Q970" t="s">
        <v>26</v>
      </c>
      <c r="R970" s="105">
        <f>IF(Table__192.168.1.150_Daily_Delinquency_With_Sectors[[#This Row],[Days in Arrears]] &gt; 0, Table__192.168.1.150_Daily_Delinquency_With_Sectors[[#This Row],[Outstanding Balance]],0)</f>
        <v>1787720.95</v>
      </c>
      <c r="S970" s="105">
        <f>IF(Table__192.168.1.150_Daily_Delinquency_With_Sectors[[#This Row],[Days in Arrears]] &gt; 30, Table__192.168.1.150_Daily_Delinquency_With_Sectors[[#This Row],[Outstanding Balance]],0)</f>
        <v>0</v>
      </c>
      <c r="T970" s="105">
        <f>IF(Table__192.168.1.150_Daily_Delinquency_With_Sectors[[#This Row],[Days in Arrears]] &gt; 90, Table__192.168.1.150_Daily_Delinquency_With_Sectors[[#This Row],[Outstanding Balance]],0)</f>
        <v>0</v>
      </c>
      <c r="U970" s="109">
        <f>IF(Table__192.168.1.150_Daily_Delinquency_With_Sectors[[#This Row],[Days in Arrears]] &gt;= 1,1,0)</f>
        <v>1</v>
      </c>
      <c r="V970" s="109">
        <f>IF(Table__192.168.1.150_Daily_Delinquency_With_Sectors[[#This Row],[Days in Arrears]] &gt; 30,1,0)</f>
        <v>0</v>
      </c>
      <c r="W970" s="109">
        <f>IF(Table__192.168.1.150_Daily_Delinquency_With_Sectors[[#This Row],[Days in Arrears]] &gt; 90,1,0)</f>
        <v>0</v>
      </c>
    </row>
    <row r="971" spans="1:23" x14ac:dyDescent="0.25">
      <c r="A971" t="s">
        <v>4088</v>
      </c>
      <c r="B971" t="s">
        <v>1282</v>
      </c>
      <c r="C971">
        <v>13</v>
      </c>
      <c r="D971" s="105">
        <v>3019008.18</v>
      </c>
      <c r="E971" t="s">
        <v>1447</v>
      </c>
      <c r="F971" s="105">
        <v>54264.32</v>
      </c>
      <c r="G971" s="105">
        <v>3294309.4</v>
      </c>
      <c r="H971" s="363">
        <v>42777.574609918978</v>
      </c>
      <c r="I971" s="363">
        <v>43142</v>
      </c>
      <c r="J971" t="s">
        <v>4089</v>
      </c>
      <c r="K971" t="s">
        <v>1280</v>
      </c>
      <c r="L971" t="s">
        <v>4090</v>
      </c>
      <c r="M971">
        <v>200818</v>
      </c>
      <c r="N971" t="s">
        <v>4082</v>
      </c>
      <c r="O971" t="s">
        <v>27</v>
      </c>
      <c r="P971" t="s">
        <v>81</v>
      </c>
      <c r="Q971" t="s">
        <v>26</v>
      </c>
      <c r="R971" s="105">
        <f>IF(Table__192.168.1.150_Daily_Delinquency_With_Sectors[[#This Row],[Days in Arrears]] &gt; 0, Table__192.168.1.150_Daily_Delinquency_With_Sectors[[#This Row],[Outstanding Balance]],0)</f>
        <v>3019008.18</v>
      </c>
      <c r="S971" s="105">
        <f>IF(Table__192.168.1.150_Daily_Delinquency_With_Sectors[[#This Row],[Days in Arrears]] &gt; 30, Table__192.168.1.150_Daily_Delinquency_With_Sectors[[#This Row],[Outstanding Balance]],0)</f>
        <v>0</v>
      </c>
      <c r="T971" s="105">
        <f>IF(Table__192.168.1.150_Daily_Delinquency_With_Sectors[[#This Row],[Days in Arrears]] &gt; 90, Table__192.168.1.150_Daily_Delinquency_With_Sectors[[#This Row],[Outstanding Balance]],0)</f>
        <v>0</v>
      </c>
      <c r="U971" s="109">
        <f>IF(Table__192.168.1.150_Daily_Delinquency_With_Sectors[[#This Row],[Days in Arrears]] &gt;= 1,1,0)</f>
        <v>1</v>
      </c>
      <c r="V971" s="109">
        <f>IF(Table__192.168.1.150_Daily_Delinquency_With_Sectors[[#This Row],[Days in Arrears]] &gt; 30,1,0)</f>
        <v>0</v>
      </c>
      <c r="W971" s="109">
        <f>IF(Table__192.168.1.150_Daily_Delinquency_With_Sectors[[#This Row],[Days in Arrears]] &gt; 90,1,0)</f>
        <v>0</v>
      </c>
    </row>
    <row r="972" spans="1:23" x14ac:dyDescent="0.25">
      <c r="A972" t="s">
        <v>3068</v>
      </c>
      <c r="B972" t="s">
        <v>1282</v>
      </c>
      <c r="C972">
        <v>-19</v>
      </c>
      <c r="D972" s="105">
        <v>1774151.84</v>
      </c>
      <c r="E972" t="s">
        <v>2861</v>
      </c>
      <c r="F972" s="105">
        <v>23655.360000000001</v>
      </c>
      <c r="G972" s="105">
        <v>1917939.06</v>
      </c>
      <c r="H972" s="363">
        <v>42779.543588622684</v>
      </c>
      <c r="I972" s="363">
        <v>43144</v>
      </c>
      <c r="J972" t="s">
        <v>3069</v>
      </c>
      <c r="K972" t="s">
        <v>1280</v>
      </c>
      <c r="L972" t="s">
        <v>1280</v>
      </c>
      <c r="M972">
        <v>200820</v>
      </c>
      <c r="N972" t="s">
        <v>3045</v>
      </c>
      <c r="O972" t="s">
        <v>36</v>
      </c>
      <c r="P972" t="s">
        <v>97</v>
      </c>
      <c r="Q972" t="s">
        <v>98</v>
      </c>
      <c r="R972" s="105">
        <f>IF(Table__192.168.1.150_Daily_Delinquency_With_Sectors[[#This Row],[Days in Arrears]] &gt; 0, Table__192.168.1.150_Daily_Delinquency_With_Sectors[[#This Row],[Outstanding Balance]],0)</f>
        <v>0</v>
      </c>
      <c r="S972" s="105">
        <f>IF(Table__192.168.1.150_Daily_Delinquency_With_Sectors[[#This Row],[Days in Arrears]] &gt; 30, Table__192.168.1.150_Daily_Delinquency_With_Sectors[[#This Row],[Outstanding Balance]],0)</f>
        <v>0</v>
      </c>
      <c r="T972" s="105">
        <f>IF(Table__192.168.1.150_Daily_Delinquency_With_Sectors[[#This Row],[Days in Arrears]] &gt; 90, Table__192.168.1.150_Daily_Delinquency_With_Sectors[[#This Row],[Outstanding Balance]],0)</f>
        <v>0</v>
      </c>
      <c r="U972" s="109">
        <f>IF(Table__192.168.1.150_Daily_Delinquency_With_Sectors[[#This Row],[Days in Arrears]] &gt;= 1,1,0)</f>
        <v>0</v>
      </c>
      <c r="V972" s="109">
        <f>IF(Table__192.168.1.150_Daily_Delinquency_With_Sectors[[#This Row],[Days in Arrears]] &gt; 30,1,0)</f>
        <v>0</v>
      </c>
      <c r="W972" s="109">
        <f>IF(Table__192.168.1.150_Daily_Delinquency_With_Sectors[[#This Row],[Days in Arrears]] &gt; 90,1,0)</f>
        <v>0</v>
      </c>
    </row>
    <row r="973" spans="1:23" x14ac:dyDescent="0.25">
      <c r="A973" t="s">
        <v>4099</v>
      </c>
      <c r="B973" t="s">
        <v>1282</v>
      </c>
      <c r="C973">
        <v>11</v>
      </c>
      <c r="D973" s="105">
        <v>1819804.94</v>
      </c>
      <c r="E973" t="s">
        <v>2861</v>
      </c>
      <c r="F973" s="105">
        <v>27132.16</v>
      </c>
      <c r="G973" s="105">
        <v>1984985.68</v>
      </c>
      <c r="H973" s="363">
        <v>42779.711102233799</v>
      </c>
      <c r="I973" s="363">
        <v>43144</v>
      </c>
      <c r="J973" t="s">
        <v>4100</v>
      </c>
      <c r="K973" t="s">
        <v>1280</v>
      </c>
      <c r="L973" t="s">
        <v>4101</v>
      </c>
      <c r="M973">
        <v>200823</v>
      </c>
      <c r="N973" t="s">
        <v>4093</v>
      </c>
      <c r="O973" t="s">
        <v>36</v>
      </c>
      <c r="P973" t="s">
        <v>1023</v>
      </c>
      <c r="Q973" t="s">
        <v>26</v>
      </c>
      <c r="R973" s="105">
        <f>IF(Table__192.168.1.150_Daily_Delinquency_With_Sectors[[#This Row],[Days in Arrears]] &gt; 0, Table__192.168.1.150_Daily_Delinquency_With_Sectors[[#This Row],[Outstanding Balance]],0)</f>
        <v>1819804.94</v>
      </c>
      <c r="S973" s="105">
        <f>IF(Table__192.168.1.150_Daily_Delinquency_With_Sectors[[#This Row],[Days in Arrears]] &gt; 30, Table__192.168.1.150_Daily_Delinquency_With_Sectors[[#This Row],[Outstanding Balance]],0)</f>
        <v>0</v>
      </c>
      <c r="T973" s="105">
        <f>IF(Table__192.168.1.150_Daily_Delinquency_With_Sectors[[#This Row],[Days in Arrears]] &gt; 90, Table__192.168.1.150_Daily_Delinquency_With_Sectors[[#This Row],[Outstanding Balance]],0)</f>
        <v>0</v>
      </c>
      <c r="U973" s="109">
        <f>IF(Table__192.168.1.150_Daily_Delinquency_With_Sectors[[#This Row],[Days in Arrears]] &gt;= 1,1,0)</f>
        <v>1</v>
      </c>
      <c r="V973" s="109">
        <f>IF(Table__192.168.1.150_Daily_Delinquency_With_Sectors[[#This Row],[Days in Arrears]] &gt; 30,1,0)</f>
        <v>0</v>
      </c>
      <c r="W973" s="109">
        <f>IF(Table__192.168.1.150_Daily_Delinquency_With_Sectors[[#This Row],[Days in Arrears]] &gt; 90,1,0)</f>
        <v>0</v>
      </c>
    </row>
    <row r="974" spans="1:23" x14ac:dyDescent="0.25">
      <c r="A974" t="s">
        <v>2581</v>
      </c>
      <c r="B974" t="s">
        <v>1282</v>
      </c>
      <c r="C974">
        <v>11</v>
      </c>
      <c r="D974" s="105">
        <v>1772220.8</v>
      </c>
      <c r="E974" t="s">
        <v>1925</v>
      </c>
      <c r="F974" s="105">
        <v>19712.8</v>
      </c>
      <c r="G974" s="105">
        <v>1892043.5</v>
      </c>
      <c r="H974" s="363">
        <v>42779.721087928243</v>
      </c>
      <c r="I974" s="363">
        <v>43144</v>
      </c>
      <c r="J974" t="s">
        <v>2582</v>
      </c>
      <c r="K974" t="s">
        <v>3628</v>
      </c>
      <c r="L974" t="s">
        <v>1280</v>
      </c>
      <c r="M974">
        <v>200824</v>
      </c>
      <c r="N974" t="s">
        <v>2572</v>
      </c>
      <c r="O974" t="s">
        <v>25</v>
      </c>
      <c r="P974" t="s">
        <v>88</v>
      </c>
      <c r="Q974" t="s">
        <v>285</v>
      </c>
      <c r="R974" s="105">
        <f>IF(Table__192.168.1.150_Daily_Delinquency_With_Sectors[[#This Row],[Days in Arrears]] &gt; 0, Table__192.168.1.150_Daily_Delinquency_With_Sectors[[#This Row],[Outstanding Balance]],0)</f>
        <v>1772220.8</v>
      </c>
      <c r="S974" s="105">
        <f>IF(Table__192.168.1.150_Daily_Delinquency_With_Sectors[[#This Row],[Days in Arrears]] &gt; 30, Table__192.168.1.150_Daily_Delinquency_With_Sectors[[#This Row],[Outstanding Balance]],0)</f>
        <v>0</v>
      </c>
      <c r="T974" s="105">
        <f>IF(Table__192.168.1.150_Daily_Delinquency_With_Sectors[[#This Row],[Days in Arrears]] &gt; 90, Table__192.168.1.150_Daily_Delinquency_With_Sectors[[#This Row],[Outstanding Balance]],0)</f>
        <v>0</v>
      </c>
      <c r="U974" s="109">
        <f>IF(Table__192.168.1.150_Daily_Delinquency_With_Sectors[[#This Row],[Days in Arrears]] &gt;= 1,1,0)</f>
        <v>1</v>
      </c>
      <c r="V974" s="109">
        <f>IF(Table__192.168.1.150_Daily_Delinquency_With_Sectors[[#This Row],[Days in Arrears]] &gt; 30,1,0)</f>
        <v>0</v>
      </c>
      <c r="W974" s="109">
        <f>IF(Table__192.168.1.150_Daily_Delinquency_With_Sectors[[#This Row],[Days in Arrears]] &gt; 90,1,0)</f>
        <v>0</v>
      </c>
    </row>
    <row r="975" spans="1:23" x14ac:dyDescent="0.25">
      <c r="A975" t="s">
        <v>2823</v>
      </c>
      <c r="B975" t="s">
        <v>1281</v>
      </c>
      <c r="C975">
        <v>-21</v>
      </c>
      <c r="D975" s="105">
        <v>4493829.1500000004</v>
      </c>
      <c r="E975" t="s">
        <v>2557</v>
      </c>
      <c r="F975" s="105">
        <v>41942.410000000003</v>
      </c>
      <c r="G975" s="105">
        <v>4812003.68</v>
      </c>
      <c r="H975" s="363">
        <v>42781.578117245372</v>
      </c>
      <c r="I975" s="363">
        <v>43146</v>
      </c>
      <c r="J975" t="s">
        <v>2824</v>
      </c>
      <c r="K975" t="s">
        <v>1280</v>
      </c>
      <c r="L975" t="s">
        <v>1280</v>
      </c>
      <c r="M975">
        <v>200827</v>
      </c>
      <c r="N975" t="s">
        <v>2810</v>
      </c>
      <c r="O975" t="s">
        <v>44</v>
      </c>
      <c r="P975" t="s">
        <v>75</v>
      </c>
      <c r="Q975" t="s">
        <v>1442</v>
      </c>
      <c r="R975" s="105">
        <f>IF(Table__192.168.1.150_Daily_Delinquency_With_Sectors[[#This Row],[Days in Arrears]] &gt; 0, Table__192.168.1.150_Daily_Delinquency_With_Sectors[[#This Row],[Outstanding Balance]],0)</f>
        <v>0</v>
      </c>
      <c r="S975" s="105">
        <f>IF(Table__192.168.1.150_Daily_Delinquency_With_Sectors[[#This Row],[Days in Arrears]] &gt; 30, Table__192.168.1.150_Daily_Delinquency_With_Sectors[[#This Row],[Outstanding Balance]],0)</f>
        <v>0</v>
      </c>
      <c r="T975" s="105">
        <f>IF(Table__192.168.1.150_Daily_Delinquency_With_Sectors[[#This Row],[Days in Arrears]] &gt; 90, Table__192.168.1.150_Daily_Delinquency_With_Sectors[[#This Row],[Outstanding Balance]],0)</f>
        <v>0</v>
      </c>
      <c r="U975" s="109">
        <f>IF(Table__192.168.1.150_Daily_Delinquency_With_Sectors[[#This Row],[Days in Arrears]] &gt;= 1,1,0)</f>
        <v>0</v>
      </c>
      <c r="V975" s="109">
        <f>IF(Table__192.168.1.150_Daily_Delinquency_With_Sectors[[#This Row],[Days in Arrears]] &gt; 30,1,0)</f>
        <v>0</v>
      </c>
      <c r="W975" s="109">
        <f>IF(Table__192.168.1.150_Daily_Delinquency_With_Sectors[[#This Row],[Days in Arrears]] &gt; 90,1,0)</f>
        <v>0</v>
      </c>
    </row>
    <row r="976" spans="1:23" x14ac:dyDescent="0.25">
      <c r="A976" t="s">
        <v>4115</v>
      </c>
      <c r="B976" t="s">
        <v>1279</v>
      </c>
      <c r="C976">
        <v>39</v>
      </c>
      <c r="D976" s="105">
        <v>2441763.02</v>
      </c>
      <c r="E976" t="s">
        <v>1039</v>
      </c>
      <c r="F976" s="105">
        <v>96486.94</v>
      </c>
      <c r="G976" s="105">
        <v>2689844.05</v>
      </c>
      <c r="H976" s="363">
        <v>42781.639749224538</v>
      </c>
      <c r="I976" s="363">
        <v>43146</v>
      </c>
      <c r="J976" t="s">
        <v>4116</v>
      </c>
      <c r="K976" t="s">
        <v>1280</v>
      </c>
      <c r="L976" t="s">
        <v>4117</v>
      </c>
      <c r="M976">
        <v>200828</v>
      </c>
      <c r="N976" t="s">
        <v>4111</v>
      </c>
      <c r="O976" t="s">
        <v>46</v>
      </c>
      <c r="P976" t="s">
        <v>46</v>
      </c>
      <c r="Q976" t="s">
        <v>26</v>
      </c>
      <c r="R976" s="105">
        <f>IF(Table__192.168.1.150_Daily_Delinquency_With_Sectors[[#This Row],[Days in Arrears]] &gt; 0, Table__192.168.1.150_Daily_Delinquency_With_Sectors[[#This Row],[Outstanding Balance]],0)</f>
        <v>2441763.02</v>
      </c>
      <c r="S976" s="105">
        <f>IF(Table__192.168.1.150_Daily_Delinquency_With_Sectors[[#This Row],[Days in Arrears]] &gt; 30, Table__192.168.1.150_Daily_Delinquency_With_Sectors[[#This Row],[Outstanding Balance]],0)</f>
        <v>2441763.02</v>
      </c>
      <c r="T976" s="105">
        <f>IF(Table__192.168.1.150_Daily_Delinquency_With_Sectors[[#This Row],[Days in Arrears]] &gt; 90, Table__192.168.1.150_Daily_Delinquency_With_Sectors[[#This Row],[Outstanding Balance]],0)</f>
        <v>0</v>
      </c>
      <c r="U976" s="109">
        <f>IF(Table__192.168.1.150_Daily_Delinquency_With_Sectors[[#This Row],[Days in Arrears]] &gt;= 1,1,0)</f>
        <v>1</v>
      </c>
      <c r="V976" s="109">
        <f>IF(Table__192.168.1.150_Daily_Delinquency_With_Sectors[[#This Row],[Days in Arrears]] &gt; 30,1,0)</f>
        <v>1</v>
      </c>
      <c r="W976" s="109">
        <f>IF(Table__192.168.1.150_Daily_Delinquency_With_Sectors[[#This Row],[Days in Arrears]] &gt; 90,1,0)</f>
        <v>0</v>
      </c>
    </row>
    <row r="977" spans="1:23" x14ac:dyDescent="0.25">
      <c r="A977" t="s">
        <v>4118</v>
      </c>
      <c r="B977" t="s">
        <v>1282</v>
      </c>
      <c r="C977">
        <v>39</v>
      </c>
      <c r="D977" s="105">
        <v>8601773.2799999993</v>
      </c>
      <c r="E977" t="s">
        <v>1467</v>
      </c>
      <c r="F977" s="105">
        <v>379637.06</v>
      </c>
      <c r="G977" s="105">
        <v>10833243.789999999</v>
      </c>
      <c r="H977" s="363">
        <v>42781.678935416669</v>
      </c>
      <c r="I977" s="363">
        <v>43327</v>
      </c>
      <c r="J977" t="s">
        <v>4119</v>
      </c>
      <c r="K977" t="s">
        <v>1280</v>
      </c>
      <c r="L977" t="s">
        <v>4120</v>
      </c>
      <c r="M977">
        <v>200829</v>
      </c>
      <c r="N977" t="s">
        <v>4109</v>
      </c>
      <c r="O977" t="s">
        <v>37</v>
      </c>
      <c r="P977" t="s">
        <v>38</v>
      </c>
      <c r="Q977" t="s">
        <v>39</v>
      </c>
      <c r="R977" s="105">
        <f>IF(Table__192.168.1.150_Daily_Delinquency_With_Sectors[[#This Row],[Days in Arrears]] &gt; 0, Table__192.168.1.150_Daily_Delinquency_With_Sectors[[#This Row],[Outstanding Balance]],0)</f>
        <v>8601773.2799999993</v>
      </c>
      <c r="S977" s="105">
        <f>IF(Table__192.168.1.150_Daily_Delinquency_With_Sectors[[#This Row],[Days in Arrears]] &gt; 30, Table__192.168.1.150_Daily_Delinquency_With_Sectors[[#This Row],[Outstanding Balance]],0)</f>
        <v>8601773.2799999993</v>
      </c>
      <c r="T977" s="105">
        <f>IF(Table__192.168.1.150_Daily_Delinquency_With_Sectors[[#This Row],[Days in Arrears]] &gt; 90, Table__192.168.1.150_Daily_Delinquency_With_Sectors[[#This Row],[Outstanding Balance]],0)</f>
        <v>0</v>
      </c>
      <c r="U977" s="109">
        <f>IF(Table__192.168.1.150_Daily_Delinquency_With_Sectors[[#This Row],[Days in Arrears]] &gt;= 1,1,0)</f>
        <v>1</v>
      </c>
      <c r="V977" s="109">
        <f>IF(Table__192.168.1.150_Daily_Delinquency_With_Sectors[[#This Row],[Days in Arrears]] &gt; 30,1,0)</f>
        <v>1</v>
      </c>
      <c r="W977" s="109">
        <f>IF(Table__192.168.1.150_Daily_Delinquency_With_Sectors[[#This Row],[Days in Arrears]] &gt; 90,1,0)</f>
        <v>0</v>
      </c>
    </row>
    <row r="978" spans="1:23" x14ac:dyDescent="0.25">
      <c r="A978" t="s">
        <v>4144</v>
      </c>
      <c r="B978" t="s">
        <v>1282</v>
      </c>
      <c r="C978">
        <v>6</v>
      </c>
      <c r="D978" s="105">
        <v>983575.67</v>
      </c>
      <c r="E978" t="s">
        <v>1925</v>
      </c>
      <c r="F978" s="105">
        <v>49913.440000000002</v>
      </c>
      <c r="G978" s="105">
        <v>1096661.8899999999</v>
      </c>
      <c r="H978" s="363">
        <v>42784.470498495371</v>
      </c>
      <c r="I978" s="363">
        <v>43149</v>
      </c>
      <c r="J978" t="s">
        <v>4145</v>
      </c>
      <c r="K978" t="s">
        <v>1280</v>
      </c>
      <c r="L978" t="s">
        <v>4146</v>
      </c>
      <c r="M978">
        <v>200833</v>
      </c>
      <c r="N978" t="s">
        <v>4127</v>
      </c>
      <c r="O978" t="s">
        <v>44</v>
      </c>
      <c r="P978" t="s">
        <v>75</v>
      </c>
      <c r="Q978" t="s">
        <v>26</v>
      </c>
      <c r="R978" s="105">
        <f>IF(Table__192.168.1.150_Daily_Delinquency_With_Sectors[[#This Row],[Days in Arrears]] &gt; 0, Table__192.168.1.150_Daily_Delinquency_With_Sectors[[#This Row],[Outstanding Balance]],0)</f>
        <v>983575.67</v>
      </c>
      <c r="S978" s="105">
        <f>IF(Table__192.168.1.150_Daily_Delinquency_With_Sectors[[#This Row],[Days in Arrears]] &gt; 30, Table__192.168.1.150_Daily_Delinquency_With_Sectors[[#This Row],[Outstanding Balance]],0)</f>
        <v>0</v>
      </c>
      <c r="T978" s="105">
        <f>IF(Table__192.168.1.150_Daily_Delinquency_With_Sectors[[#This Row],[Days in Arrears]] &gt; 90, Table__192.168.1.150_Daily_Delinquency_With_Sectors[[#This Row],[Outstanding Balance]],0)</f>
        <v>0</v>
      </c>
      <c r="U978" s="109">
        <f>IF(Table__192.168.1.150_Daily_Delinquency_With_Sectors[[#This Row],[Days in Arrears]] &gt;= 1,1,0)</f>
        <v>1</v>
      </c>
      <c r="V978" s="109">
        <f>IF(Table__192.168.1.150_Daily_Delinquency_With_Sectors[[#This Row],[Days in Arrears]] &gt; 30,1,0)</f>
        <v>0</v>
      </c>
      <c r="W978" s="109">
        <f>IF(Table__192.168.1.150_Daily_Delinquency_With_Sectors[[#This Row],[Days in Arrears]] &gt; 90,1,0)</f>
        <v>0</v>
      </c>
    </row>
    <row r="979" spans="1:23" x14ac:dyDescent="0.25">
      <c r="A979" t="s">
        <v>4147</v>
      </c>
      <c r="B979" t="s">
        <v>1279</v>
      </c>
      <c r="C979">
        <v>126</v>
      </c>
      <c r="D979" s="105">
        <v>1303691.71</v>
      </c>
      <c r="E979" t="s">
        <v>3074</v>
      </c>
      <c r="F979" s="105">
        <v>107296.55</v>
      </c>
      <c r="G979" s="105">
        <v>1516545.89</v>
      </c>
      <c r="H979" s="363">
        <v>42784.481672488429</v>
      </c>
      <c r="I979" s="363">
        <v>43087</v>
      </c>
      <c r="J979" t="s">
        <v>4148</v>
      </c>
      <c r="K979" t="s">
        <v>1280</v>
      </c>
      <c r="L979" t="s">
        <v>1280</v>
      </c>
      <c r="M979">
        <v>200834</v>
      </c>
      <c r="N979" t="s">
        <v>4129</v>
      </c>
      <c r="O979" t="s">
        <v>44</v>
      </c>
      <c r="P979" t="s">
        <v>75</v>
      </c>
      <c r="Q979" t="s">
        <v>26</v>
      </c>
      <c r="R979" s="105">
        <f>IF(Table__192.168.1.150_Daily_Delinquency_With_Sectors[[#This Row],[Days in Arrears]] &gt; 0, Table__192.168.1.150_Daily_Delinquency_With_Sectors[[#This Row],[Outstanding Balance]],0)</f>
        <v>1303691.71</v>
      </c>
      <c r="S979" s="105">
        <f>IF(Table__192.168.1.150_Daily_Delinquency_With_Sectors[[#This Row],[Days in Arrears]] &gt; 30, Table__192.168.1.150_Daily_Delinquency_With_Sectors[[#This Row],[Outstanding Balance]],0)</f>
        <v>1303691.71</v>
      </c>
      <c r="T979" s="105">
        <f>IF(Table__192.168.1.150_Daily_Delinquency_With_Sectors[[#This Row],[Days in Arrears]] &gt; 90, Table__192.168.1.150_Daily_Delinquency_With_Sectors[[#This Row],[Outstanding Balance]],0)</f>
        <v>1303691.71</v>
      </c>
      <c r="U979" s="109">
        <f>IF(Table__192.168.1.150_Daily_Delinquency_With_Sectors[[#This Row],[Days in Arrears]] &gt;= 1,1,0)</f>
        <v>1</v>
      </c>
      <c r="V979" s="109">
        <f>IF(Table__192.168.1.150_Daily_Delinquency_With_Sectors[[#This Row],[Days in Arrears]] &gt; 30,1,0)</f>
        <v>1</v>
      </c>
      <c r="W979" s="109">
        <f>IF(Table__192.168.1.150_Daily_Delinquency_With_Sectors[[#This Row],[Days in Arrears]] &gt; 90,1,0)</f>
        <v>1</v>
      </c>
    </row>
    <row r="980" spans="1:23" x14ac:dyDescent="0.25">
      <c r="A980" t="s">
        <v>2097</v>
      </c>
      <c r="B980" t="s">
        <v>1281</v>
      </c>
      <c r="C980">
        <v>-24</v>
      </c>
      <c r="D980" s="105">
        <v>5798489.1399999997</v>
      </c>
      <c r="E980" t="s">
        <v>1909</v>
      </c>
      <c r="F980" s="105">
        <v>33824.519999999997</v>
      </c>
      <c r="G980" s="105">
        <v>6209036.9000000004</v>
      </c>
      <c r="H980" s="363">
        <v>42784.520356793983</v>
      </c>
      <c r="I980" s="363">
        <v>43149</v>
      </c>
      <c r="J980" t="s">
        <v>2098</v>
      </c>
      <c r="K980" t="s">
        <v>1280</v>
      </c>
      <c r="L980" t="s">
        <v>1280</v>
      </c>
      <c r="M980">
        <v>200835</v>
      </c>
      <c r="N980" t="s">
        <v>2085</v>
      </c>
      <c r="O980" t="s">
        <v>25</v>
      </c>
      <c r="P980" t="s">
        <v>94</v>
      </c>
      <c r="Q980" t="s">
        <v>95</v>
      </c>
      <c r="R980" s="105">
        <f>IF(Table__192.168.1.150_Daily_Delinquency_With_Sectors[[#This Row],[Days in Arrears]] &gt; 0, Table__192.168.1.150_Daily_Delinquency_With_Sectors[[#This Row],[Outstanding Balance]],0)</f>
        <v>0</v>
      </c>
      <c r="S980" s="105">
        <f>IF(Table__192.168.1.150_Daily_Delinquency_With_Sectors[[#This Row],[Days in Arrears]] &gt; 30, Table__192.168.1.150_Daily_Delinquency_With_Sectors[[#This Row],[Outstanding Balance]],0)</f>
        <v>0</v>
      </c>
      <c r="T980" s="105">
        <f>IF(Table__192.168.1.150_Daily_Delinquency_With_Sectors[[#This Row],[Days in Arrears]] &gt; 90, Table__192.168.1.150_Daily_Delinquency_With_Sectors[[#This Row],[Outstanding Balance]],0)</f>
        <v>0</v>
      </c>
      <c r="U980" s="109">
        <f>IF(Table__192.168.1.150_Daily_Delinquency_With_Sectors[[#This Row],[Days in Arrears]] &gt;= 1,1,0)</f>
        <v>0</v>
      </c>
      <c r="V980" s="109">
        <f>IF(Table__192.168.1.150_Daily_Delinquency_With_Sectors[[#This Row],[Days in Arrears]] &gt; 30,1,0)</f>
        <v>0</v>
      </c>
      <c r="W980" s="109">
        <f>IF(Table__192.168.1.150_Daily_Delinquency_With_Sectors[[#This Row],[Days in Arrears]] &gt; 90,1,0)</f>
        <v>0</v>
      </c>
    </row>
    <row r="981" spans="1:23" x14ac:dyDescent="0.25">
      <c r="A981" t="s">
        <v>4149</v>
      </c>
      <c r="B981" t="s">
        <v>1866</v>
      </c>
      <c r="C981">
        <v>-24</v>
      </c>
      <c r="D981" s="105">
        <v>1785699.53</v>
      </c>
      <c r="E981" t="s">
        <v>2175</v>
      </c>
      <c r="F981" s="105">
        <v>12400.69</v>
      </c>
      <c r="G981" s="105">
        <v>1936532.15</v>
      </c>
      <c r="H981" s="363">
        <v>42784.547488391203</v>
      </c>
      <c r="I981" s="363">
        <v>43149</v>
      </c>
      <c r="J981" t="s">
        <v>4150</v>
      </c>
      <c r="K981" t="s">
        <v>1280</v>
      </c>
      <c r="L981" t="s">
        <v>4151</v>
      </c>
      <c r="M981">
        <v>200836</v>
      </c>
      <c r="N981" t="s">
        <v>4130</v>
      </c>
      <c r="O981" t="s">
        <v>45</v>
      </c>
      <c r="P981" t="s">
        <v>45</v>
      </c>
      <c r="Q981" t="s">
        <v>89</v>
      </c>
      <c r="R981" s="105">
        <f>IF(Table__192.168.1.150_Daily_Delinquency_With_Sectors[[#This Row],[Days in Arrears]] &gt; 0, Table__192.168.1.150_Daily_Delinquency_With_Sectors[[#This Row],[Outstanding Balance]],0)</f>
        <v>0</v>
      </c>
      <c r="S981" s="105">
        <f>IF(Table__192.168.1.150_Daily_Delinquency_With_Sectors[[#This Row],[Days in Arrears]] &gt; 30, Table__192.168.1.150_Daily_Delinquency_With_Sectors[[#This Row],[Outstanding Balance]],0)</f>
        <v>0</v>
      </c>
      <c r="T981" s="105">
        <f>IF(Table__192.168.1.150_Daily_Delinquency_With_Sectors[[#This Row],[Days in Arrears]] &gt; 90, Table__192.168.1.150_Daily_Delinquency_With_Sectors[[#This Row],[Outstanding Balance]],0)</f>
        <v>0</v>
      </c>
      <c r="U981" s="109">
        <f>IF(Table__192.168.1.150_Daily_Delinquency_With_Sectors[[#This Row],[Days in Arrears]] &gt;= 1,1,0)</f>
        <v>0</v>
      </c>
      <c r="V981" s="109">
        <f>IF(Table__192.168.1.150_Daily_Delinquency_With_Sectors[[#This Row],[Days in Arrears]] &gt; 30,1,0)</f>
        <v>0</v>
      </c>
      <c r="W981" s="109">
        <f>IF(Table__192.168.1.150_Daily_Delinquency_With_Sectors[[#This Row],[Days in Arrears]] &gt; 90,1,0)</f>
        <v>0</v>
      </c>
    </row>
    <row r="982" spans="1:23" x14ac:dyDescent="0.25">
      <c r="A982" t="s">
        <v>4152</v>
      </c>
      <c r="B982" t="s">
        <v>1282</v>
      </c>
      <c r="C982">
        <v>4</v>
      </c>
      <c r="D982" s="105">
        <v>1967151.37</v>
      </c>
      <c r="E982" t="s">
        <v>1448</v>
      </c>
      <c r="F982" s="105">
        <v>95304.85</v>
      </c>
      <c r="G982" s="105">
        <v>2193323.7999999998</v>
      </c>
      <c r="H982" s="363">
        <v>42786.587887384259</v>
      </c>
      <c r="I982" s="363">
        <v>43151</v>
      </c>
      <c r="J982" t="s">
        <v>4153</v>
      </c>
      <c r="K982" t="s">
        <v>1280</v>
      </c>
      <c r="L982" t="s">
        <v>4154</v>
      </c>
      <c r="M982">
        <v>200838</v>
      </c>
      <c r="N982" t="s">
        <v>4124</v>
      </c>
      <c r="O982" t="s">
        <v>44</v>
      </c>
      <c r="P982" t="s">
        <v>75</v>
      </c>
      <c r="Q982" t="s">
        <v>1442</v>
      </c>
      <c r="R982" s="105">
        <f>IF(Table__192.168.1.150_Daily_Delinquency_With_Sectors[[#This Row],[Days in Arrears]] &gt; 0, Table__192.168.1.150_Daily_Delinquency_With_Sectors[[#This Row],[Outstanding Balance]],0)</f>
        <v>1967151.37</v>
      </c>
      <c r="S982" s="105">
        <f>IF(Table__192.168.1.150_Daily_Delinquency_With_Sectors[[#This Row],[Days in Arrears]] &gt; 30, Table__192.168.1.150_Daily_Delinquency_With_Sectors[[#This Row],[Outstanding Balance]],0)</f>
        <v>0</v>
      </c>
      <c r="T982" s="105">
        <f>IF(Table__192.168.1.150_Daily_Delinquency_With_Sectors[[#This Row],[Days in Arrears]] &gt; 90, Table__192.168.1.150_Daily_Delinquency_With_Sectors[[#This Row],[Outstanding Balance]],0)</f>
        <v>0</v>
      </c>
      <c r="U982" s="109">
        <f>IF(Table__192.168.1.150_Daily_Delinquency_With_Sectors[[#This Row],[Days in Arrears]] &gt;= 1,1,0)</f>
        <v>1</v>
      </c>
      <c r="V982" s="109">
        <f>IF(Table__192.168.1.150_Daily_Delinquency_With_Sectors[[#This Row],[Days in Arrears]] &gt; 30,1,0)</f>
        <v>0</v>
      </c>
      <c r="W982" s="109">
        <f>IF(Table__192.168.1.150_Daily_Delinquency_With_Sectors[[#This Row],[Days in Arrears]] &gt; 90,1,0)</f>
        <v>0</v>
      </c>
    </row>
    <row r="983" spans="1:23" x14ac:dyDescent="0.25">
      <c r="A983" t="s">
        <v>4155</v>
      </c>
      <c r="B983" t="s">
        <v>1284</v>
      </c>
      <c r="C983">
        <v>34</v>
      </c>
      <c r="D983" s="105">
        <v>23532031.129999999</v>
      </c>
      <c r="E983" t="s">
        <v>546</v>
      </c>
      <c r="F983" s="105">
        <v>1512967.84</v>
      </c>
      <c r="G983" s="105">
        <v>31186158.82</v>
      </c>
      <c r="H983" s="363">
        <v>42786.606222569448</v>
      </c>
      <c r="I983" s="363">
        <v>43516</v>
      </c>
      <c r="J983" t="s">
        <v>4156</v>
      </c>
      <c r="K983" t="s">
        <v>1280</v>
      </c>
      <c r="L983" t="s">
        <v>4157</v>
      </c>
      <c r="M983">
        <v>200839</v>
      </c>
      <c r="N983" t="s">
        <v>4125</v>
      </c>
      <c r="O983" t="s">
        <v>44</v>
      </c>
      <c r="P983" t="s">
        <v>75</v>
      </c>
      <c r="Q983" t="s">
        <v>1442</v>
      </c>
      <c r="R983" s="105">
        <f>IF(Table__192.168.1.150_Daily_Delinquency_With_Sectors[[#This Row],[Days in Arrears]] &gt; 0, Table__192.168.1.150_Daily_Delinquency_With_Sectors[[#This Row],[Outstanding Balance]],0)</f>
        <v>23532031.129999999</v>
      </c>
      <c r="S983" s="105">
        <f>IF(Table__192.168.1.150_Daily_Delinquency_With_Sectors[[#This Row],[Days in Arrears]] &gt; 30, Table__192.168.1.150_Daily_Delinquency_With_Sectors[[#This Row],[Outstanding Balance]],0)</f>
        <v>23532031.129999999</v>
      </c>
      <c r="T983" s="105">
        <f>IF(Table__192.168.1.150_Daily_Delinquency_With_Sectors[[#This Row],[Days in Arrears]] &gt; 90, Table__192.168.1.150_Daily_Delinquency_With_Sectors[[#This Row],[Outstanding Balance]],0)</f>
        <v>0</v>
      </c>
      <c r="U983" s="109">
        <f>IF(Table__192.168.1.150_Daily_Delinquency_With_Sectors[[#This Row],[Days in Arrears]] &gt;= 1,1,0)</f>
        <v>1</v>
      </c>
      <c r="V983" s="109">
        <f>IF(Table__192.168.1.150_Daily_Delinquency_With_Sectors[[#This Row],[Days in Arrears]] &gt; 30,1,0)</f>
        <v>1</v>
      </c>
      <c r="W983" s="109">
        <f>IF(Table__192.168.1.150_Daily_Delinquency_With_Sectors[[#This Row],[Days in Arrears]] &gt; 90,1,0)</f>
        <v>0</v>
      </c>
    </row>
    <row r="984" spans="1:23" x14ac:dyDescent="0.25">
      <c r="A984" t="s">
        <v>2287</v>
      </c>
      <c r="B984" t="s">
        <v>1282</v>
      </c>
      <c r="C984">
        <v>4</v>
      </c>
      <c r="D984" s="105">
        <v>1449145.01</v>
      </c>
      <c r="E984" t="s">
        <v>2538</v>
      </c>
      <c r="F984" s="105">
        <v>4731.07</v>
      </c>
      <c r="G984" s="105">
        <v>1545003.17</v>
      </c>
      <c r="H984" s="363">
        <v>42786.738933101849</v>
      </c>
      <c r="I984" s="363">
        <v>43151</v>
      </c>
      <c r="J984" t="s">
        <v>2288</v>
      </c>
      <c r="K984" t="s">
        <v>1280</v>
      </c>
      <c r="L984" t="s">
        <v>1280</v>
      </c>
      <c r="M984">
        <v>200840</v>
      </c>
      <c r="N984" t="s">
        <v>2278</v>
      </c>
      <c r="O984" t="s">
        <v>25</v>
      </c>
      <c r="P984" t="s">
        <v>26</v>
      </c>
      <c r="Q984" t="s">
        <v>26</v>
      </c>
      <c r="R984" s="105">
        <f>IF(Table__192.168.1.150_Daily_Delinquency_With_Sectors[[#This Row],[Days in Arrears]] &gt; 0, Table__192.168.1.150_Daily_Delinquency_With_Sectors[[#This Row],[Outstanding Balance]],0)</f>
        <v>1449145.01</v>
      </c>
      <c r="S984" s="105">
        <f>IF(Table__192.168.1.150_Daily_Delinquency_With_Sectors[[#This Row],[Days in Arrears]] &gt; 30, Table__192.168.1.150_Daily_Delinquency_With_Sectors[[#This Row],[Outstanding Balance]],0)</f>
        <v>0</v>
      </c>
      <c r="T984" s="105">
        <f>IF(Table__192.168.1.150_Daily_Delinquency_With_Sectors[[#This Row],[Days in Arrears]] &gt; 90, Table__192.168.1.150_Daily_Delinquency_With_Sectors[[#This Row],[Outstanding Balance]],0)</f>
        <v>0</v>
      </c>
      <c r="U984" s="109">
        <f>IF(Table__192.168.1.150_Daily_Delinquency_With_Sectors[[#This Row],[Days in Arrears]] &gt;= 1,1,0)</f>
        <v>1</v>
      </c>
      <c r="V984" s="109">
        <f>IF(Table__192.168.1.150_Daily_Delinquency_With_Sectors[[#This Row],[Days in Arrears]] &gt; 30,1,0)</f>
        <v>0</v>
      </c>
      <c r="W984" s="109">
        <f>IF(Table__192.168.1.150_Daily_Delinquency_With_Sectors[[#This Row],[Days in Arrears]] &gt; 90,1,0)</f>
        <v>0</v>
      </c>
    </row>
    <row r="985" spans="1:23" x14ac:dyDescent="0.25">
      <c r="A985" t="s">
        <v>4164</v>
      </c>
      <c r="B985" t="s">
        <v>1282</v>
      </c>
      <c r="C985">
        <v>33</v>
      </c>
      <c r="D985" s="105">
        <v>4192131.1</v>
      </c>
      <c r="E985" t="s">
        <v>2538</v>
      </c>
      <c r="F985" s="105">
        <v>175664.19</v>
      </c>
      <c r="G985" s="105">
        <v>4644475.9400000004</v>
      </c>
      <c r="H985" s="363">
        <v>42787.757573113427</v>
      </c>
      <c r="I985" s="363">
        <v>43152</v>
      </c>
      <c r="J985" t="s">
        <v>4165</v>
      </c>
      <c r="K985" t="s">
        <v>1280</v>
      </c>
      <c r="L985" t="s">
        <v>4166</v>
      </c>
      <c r="M985">
        <v>200842</v>
      </c>
      <c r="N985" t="s">
        <v>4159</v>
      </c>
      <c r="O985" t="s">
        <v>25</v>
      </c>
      <c r="P985" t="s">
        <v>88</v>
      </c>
      <c r="Q985" t="s">
        <v>26</v>
      </c>
      <c r="R985" s="105">
        <f>IF(Table__192.168.1.150_Daily_Delinquency_With_Sectors[[#This Row],[Days in Arrears]] &gt; 0, Table__192.168.1.150_Daily_Delinquency_With_Sectors[[#This Row],[Outstanding Balance]],0)</f>
        <v>4192131.1</v>
      </c>
      <c r="S985" s="105">
        <f>IF(Table__192.168.1.150_Daily_Delinquency_With_Sectors[[#This Row],[Days in Arrears]] &gt; 30, Table__192.168.1.150_Daily_Delinquency_With_Sectors[[#This Row],[Outstanding Balance]],0)</f>
        <v>4192131.1</v>
      </c>
      <c r="T985" s="105">
        <f>IF(Table__192.168.1.150_Daily_Delinquency_With_Sectors[[#This Row],[Days in Arrears]] &gt; 90, Table__192.168.1.150_Daily_Delinquency_With_Sectors[[#This Row],[Outstanding Balance]],0)</f>
        <v>0</v>
      </c>
      <c r="U985" s="109">
        <f>IF(Table__192.168.1.150_Daily_Delinquency_With_Sectors[[#This Row],[Days in Arrears]] &gt;= 1,1,0)</f>
        <v>1</v>
      </c>
      <c r="V985" s="109">
        <f>IF(Table__192.168.1.150_Daily_Delinquency_With_Sectors[[#This Row],[Days in Arrears]] &gt; 30,1,0)</f>
        <v>1</v>
      </c>
      <c r="W985" s="109">
        <f>IF(Table__192.168.1.150_Daily_Delinquency_With_Sectors[[#This Row],[Days in Arrears]] &gt; 90,1,0)</f>
        <v>0</v>
      </c>
    </row>
    <row r="986" spans="1:23" x14ac:dyDescent="0.25">
      <c r="A986" t="s">
        <v>4169</v>
      </c>
      <c r="B986" t="s">
        <v>1282</v>
      </c>
      <c r="C986">
        <v>-27</v>
      </c>
      <c r="D986" s="105">
        <v>3014684.4</v>
      </c>
      <c r="E986" t="s">
        <v>2175</v>
      </c>
      <c r="F986" s="105">
        <v>9044.0499999999993</v>
      </c>
      <c r="G986" s="105">
        <v>3289985.62</v>
      </c>
      <c r="H986" s="363">
        <v>42787.770598414354</v>
      </c>
      <c r="I986" s="363">
        <v>43152</v>
      </c>
      <c r="J986" t="s">
        <v>4170</v>
      </c>
      <c r="K986" t="s">
        <v>1280</v>
      </c>
      <c r="L986" t="s">
        <v>1280</v>
      </c>
      <c r="M986">
        <v>200846</v>
      </c>
      <c r="N986" t="s">
        <v>4160</v>
      </c>
      <c r="O986" t="s">
        <v>25</v>
      </c>
      <c r="P986" t="s">
        <v>26</v>
      </c>
      <c r="Q986" t="s">
        <v>26</v>
      </c>
      <c r="R986" s="105">
        <f>IF(Table__192.168.1.150_Daily_Delinquency_With_Sectors[[#This Row],[Days in Arrears]] &gt; 0, Table__192.168.1.150_Daily_Delinquency_With_Sectors[[#This Row],[Outstanding Balance]],0)</f>
        <v>0</v>
      </c>
      <c r="S986" s="105">
        <f>IF(Table__192.168.1.150_Daily_Delinquency_With_Sectors[[#This Row],[Days in Arrears]] &gt; 30, Table__192.168.1.150_Daily_Delinquency_With_Sectors[[#This Row],[Outstanding Balance]],0)</f>
        <v>0</v>
      </c>
      <c r="T986" s="105">
        <f>IF(Table__192.168.1.150_Daily_Delinquency_With_Sectors[[#This Row],[Days in Arrears]] &gt; 90, Table__192.168.1.150_Daily_Delinquency_With_Sectors[[#This Row],[Outstanding Balance]],0)</f>
        <v>0</v>
      </c>
      <c r="U986" s="109">
        <f>IF(Table__192.168.1.150_Daily_Delinquency_With_Sectors[[#This Row],[Days in Arrears]] &gt;= 1,1,0)</f>
        <v>0</v>
      </c>
      <c r="V986" s="109">
        <f>IF(Table__192.168.1.150_Daily_Delinquency_With_Sectors[[#This Row],[Days in Arrears]] &gt; 30,1,0)</f>
        <v>0</v>
      </c>
      <c r="W986" s="109">
        <f>IF(Table__192.168.1.150_Daily_Delinquency_With_Sectors[[#This Row],[Days in Arrears]] &gt; 90,1,0)</f>
        <v>0</v>
      </c>
    </row>
    <row r="987" spans="1:23" x14ac:dyDescent="0.25">
      <c r="A987" t="s">
        <v>4172</v>
      </c>
      <c r="B987" t="s">
        <v>1282</v>
      </c>
      <c r="C987">
        <v>2</v>
      </c>
      <c r="D987" s="105">
        <v>1573721.12</v>
      </c>
      <c r="E987" t="s">
        <v>491</v>
      </c>
      <c r="F987" s="105">
        <v>72626.259999999995</v>
      </c>
      <c r="G987" s="105">
        <v>1754659.06</v>
      </c>
      <c r="H987" s="363">
        <v>42788.666958182868</v>
      </c>
      <c r="I987" s="363">
        <v>43153</v>
      </c>
      <c r="J987" t="s">
        <v>4173</v>
      </c>
      <c r="K987" t="s">
        <v>1280</v>
      </c>
      <c r="L987" t="s">
        <v>1280</v>
      </c>
      <c r="M987">
        <v>200847</v>
      </c>
      <c r="N987" t="s">
        <v>4171</v>
      </c>
      <c r="O987" t="s">
        <v>44</v>
      </c>
      <c r="P987" t="s">
        <v>75</v>
      </c>
      <c r="Q987" t="s">
        <v>26</v>
      </c>
      <c r="R987" s="105">
        <f>IF(Table__192.168.1.150_Daily_Delinquency_With_Sectors[[#This Row],[Days in Arrears]] &gt; 0, Table__192.168.1.150_Daily_Delinquency_With_Sectors[[#This Row],[Outstanding Balance]],0)</f>
        <v>1573721.12</v>
      </c>
      <c r="S987" s="105">
        <f>IF(Table__192.168.1.150_Daily_Delinquency_With_Sectors[[#This Row],[Days in Arrears]] &gt; 30, Table__192.168.1.150_Daily_Delinquency_With_Sectors[[#This Row],[Outstanding Balance]],0)</f>
        <v>0</v>
      </c>
      <c r="T987" s="105">
        <f>IF(Table__192.168.1.150_Daily_Delinquency_With_Sectors[[#This Row],[Days in Arrears]] &gt; 90, Table__192.168.1.150_Daily_Delinquency_With_Sectors[[#This Row],[Outstanding Balance]],0)</f>
        <v>0</v>
      </c>
      <c r="U987" s="109">
        <f>IF(Table__192.168.1.150_Daily_Delinquency_With_Sectors[[#This Row],[Days in Arrears]] &gt;= 1,1,0)</f>
        <v>1</v>
      </c>
      <c r="V987" s="109">
        <f>IF(Table__192.168.1.150_Daily_Delinquency_With_Sectors[[#This Row],[Days in Arrears]] &gt; 30,1,0)</f>
        <v>0</v>
      </c>
      <c r="W987" s="109">
        <f>IF(Table__192.168.1.150_Daily_Delinquency_With_Sectors[[#This Row],[Days in Arrears]] &gt; 90,1,0)</f>
        <v>0</v>
      </c>
    </row>
    <row r="988" spans="1:23" x14ac:dyDescent="0.25">
      <c r="A988" t="s">
        <v>2212</v>
      </c>
      <c r="B988" t="s">
        <v>1283</v>
      </c>
      <c r="C988">
        <v>2</v>
      </c>
      <c r="D988" s="105">
        <v>40001249.369999997</v>
      </c>
      <c r="E988" t="s">
        <v>1448</v>
      </c>
      <c r="F988" s="105">
        <v>38769.730000000003</v>
      </c>
      <c r="G988" s="105">
        <v>49945635.490000002</v>
      </c>
      <c r="H988" s="363">
        <v>42788.647240393519</v>
      </c>
      <c r="I988" s="363">
        <v>43518</v>
      </c>
      <c r="J988" t="s">
        <v>2213</v>
      </c>
      <c r="K988" t="s">
        <v>1280</v>
      </c>
      <c r="L988" t="s">
        <v>1280</v>
      </c>
      <c r="M988">
        <v>200849</v>
      </c>
      <c r="N988" t="s">
        <v>2191</v>
      </c>
      <c r="O988" t="s">
        <v>37</v>
      </c>
      <c r="P988" t="s">
        <v>38</v>
      </c>
      <c r="Q988" t="s">
        <v>1681</v>
      </c>
      <c r="R988" s="105">
        <f>IF(Table__192.168.1.150_Daily_Delinquency_With_Sectors[[#This Row],[Days in Arrears]] &gt; 0, Table__192.168.1.150_Daily_Delinquency_With_Sectors[[#This Row],[Outstanding Balance]],0)</f>
        <v>40001249.369999997</v>
      </c>
      <c r="S988" s="105">
        <f>IF(Table__192.168.1.150_Daily_Delinquency_With_Sectors[[#This Row],[Days in Arrears]] &gt; 30, Table__192.168.1.150_Daily_Delinquency_With_Sectors[[#This Row],[Outstanding Balance]],0)</f>
        <v>0</v>
      </c>
      <c r="T988" s="105">
        <f>IF(Table__192.168.1.150_Daily_Delinquency_With_Sectors[[#This Row],[Days in Arrears]] &gt; 90, Table__192.168.1.150_Daily_Delinquency_With_Sectors[[#This Row],[Outstanding Balance]],0)</f>
        <v>0</v>
      </c>
      <c r="U988" s="109">
        <f>IF(Table__192.168.1.150_Daily_Delinquency_With_Sectors[[#This Row],[Days in Arrears]] &gt;= 1,1,0)</f>
        <v>1</v>
      </c>
      <c r="V988" s="109">
        <f>IF(Table__192.168.1.150_Daily_Delinquency_With_Sectors[[#This Row],[Days in Arrears]] &gt; 30,1,0)</f>
        <v>0</v>
      </c>
      <c r="W988" s="109">
        <f>IF(Table__192.168.1.150_Daily_Delinquency_With_Sectors[[#This Row],[Days in Arrears]] &gt; 90,1,0)</f>
        <v>0</v>
      </c>
    </row>
    <row r="989" spans="1:23" x14ac:dyDescent="0.25">
      <c r="A989" t="s">
        <v>1944</v>
      </c>
      <c r="B989" t="s">
        <v>1283</v>
      </c>
      <c r="C989">
        <v>2</v>
      </c>
      <c r="D989" s="105">
        <v>31010996.25</v>
      </c>
      <c r="E989" t="s">
        <v>1925</v>
      </c>
      <c r="F989" s="105">
        <v>958635.78</v>
      </c>
      <c r="G989" s="105">
        <v>36354348.030000001</v>
      </c>
      <c r="H989" s="363">
        <v>42788.646414814815</v>
      </c>
      <c r="I989" s="363">
        <v>43334</v>
      </c>
      <c r="J989" t="s">
        <v>1945</v>
      </c>
      <c r="K989" t="s">
        <v>1280</v>
      </c>
      <c r="L989" t="s">
        <v>1946</v>
      </c>
      <c r="M989">
        <v>200850</v>
      </c>
      <c r="N989" t="s">
        <v>1937</v>
      </c>
      <c r="O989" t="s">
        <v>25</v>
      </c>
      <c r="P989" t="s">
        <v>103</v>
      </c>
      <c r="Q989" t="s">
        <v>104</v>
      </c>
      <c r="R989" s="105">
        <f>IF(Table__192.168.1.150_Daily_Delinquency_With_Sectors[[#This Row],[Days in Arrears]] &gt; 0, Table__192.168.1.150_Daily_Delinquency_With_Sectors[[#This Row],[Outstanding Balance]],0)</f>
        <v>31010996.25</v>
      </c>
      <c r="S989" s="105">
        <f>IF(Table__192.168.1.150_Daily_Delinquency_With_Sectors[[#This Row],[Days in Arrears]] &gt; 30, Table__192.168.1.150_Daily_Delinquency_With_Sectors[[#This Row],[Outstanding Balance]],0)</f>
        <v>0</v>
      </c>
      <c r="T989" s="105">
        <f>IF(Table__192.168.1.150_Daily_Delinquency_With_Sectors[[#This Row],[Days in Arrears]] &gt; 90, Table__192.168.1.150_Daily_Delinquency_With_Sectors[[#This Row],[Outstanding Balance]],0)</f>
        <v>0</v>
      </c>
      <c r="U989" s="109">
        <f>IF(Table__192.168.1.150_Daily_Delinquency_With_Sectors[[#This Row],[Days in Arrears]] &gt;= 1,1,0)</f>
        <v>1</v>
      </c>
      <c r="V989" s="109">
        <f>IF(Table__192.168.1.150_Daily_Delinquency_With_Sectors[[#This Row],[Days in Arrears]] &gt; 30,1,0)</f>
        <v>0</v>
      </c>
      <c r="W989" s="109">
        <f>IF(Table__192.168.1.150_Daily_Delinquency_With_Sectors[[#This Row],[Days in Arrears]] &gt; 90,1,0)</f>
        <v>0</v>
      </c>
    </row>
    <row r="990" spans="1:23" x14ac:dyDescent="0.25">
      <c r="A990" t="s">
        <v>4176</v>
      </c>
      <c r="B990" t="s">
        <v>1283</v>
      </c>
      <c r="C990">
        <v>23</v>
      </c>
      <c r="D990" s="105">
        <v>27690200.07</v>
      </c>
      <c r="E990" t="s">
        <v>2034</v>
      </c>
      <c r="F990" s="105">
        <v>1458782.65</v>
      </c>
      <c r="G990" s="105">
        <v>36609020.359999999</v>
      </c>
      <c r="H990" s="363">
        <v>42789.440038194443</v>
      </c>
      <c r="I990" s="363">
        <v>43525</v>
      </c>
      <c r="J990" t="s">
        <v>4177</v>
      </c>
      <c r="K990" t="s">
        <v>1280</v>
      </c>
      <c r="L990" t="s">
        <v>4178</v>
      </c>
      <c r="M990">
        <v>200851</v>
      </c>
      <c r="N990" t="s">
        <v>4174</v>
      </c>
      <c r="O990" t="s">
        <v>36</v>
      </c>
      <c r="P990" t="s">
        <v>26</v>
      </c>
      <c r="Q990" t="s">
        <v>26</v>
      </c>
      <c r="R990" s="105">
        <f>IF(Table__192.168.1.150_Daily_Delinquency_With_Sectors[[#This Row],[Days in Arrears]] &gt; 0, Table__192.168.1.150_Daily_Delinquency_With_Sectors[[#This Row],[Outstanding Balance]],0)</f>
        <v>27690200.07</v>
      </c>
      <c r="S990" s="105">
        <f>IF(Table__192.168.1.150_Daily_Delinquency_With_Sectors[[#This Row],[Days in Arrears]] &gt; 30, Table__192.168.1.150_Daily_Delinquency_With_Sectors[[#This Row],[Outstanding Balance]],0)</f>
        <v>0</v>
      </c>
      <c r="T990" s="105">
        <f>IF(Table__192.168.1.150_Daily_Delinquency_With_Sectors[[#This Row],[Days in Arrears]] &gt; 90, Table__192.168.1.150_Daily_Delinquency_With_Sectors[[#This Row],[Outstanding Balance]],0)</f>
        <v>0</v>
      </c>
      <c r="U990" s="109">
        <f>IF(Table__192.168.1.150_Daily_Delinquency_With_Sectors[[#This Row],[Days in Arrears]] &gt;= 1,1,0)</f>
        <v>1</v>
      </c>
      <c r="V990" s="109">
        <f>IF(Table__192.168.1.150_Daily_Delinquency_With_Sectors[[#This Row],[Days in Arrears]] &gt; 30,1,0)</f>
        <v>0</v>
      </c>
      <c r="W990" s="109">
        <f>IF(Table__192.168.1.150_Daily_Delinquency_With_Sectors[[#This Row],[Days in Arrears]] &gt; 90,1,0)</f>
        <v>0</v>
      </c>
    </row>
    <row r="991" spans="1:23" x14ac:dyDescent="0.25">
      <c r="A991" t="s">
        <v>4233</v>
      </c>
      <c r="B991" t="s">
        <v>1279</v>
      </c>
      <c r="C991">
        <v>18</v>
      </c>
      <c r="D991" s="105">
        <v>1977321.52</v>
      </c>
      <c r="E991" t="s">
        <v>2861</v>
      </c>
      <c r="F991" s="105">
        <v>50162.36</v>
      </c>
      <c r="G991" s="105">
        <v>2203493.9500000002</v>
      </c>
      <c r="H991" s="363">
        <v>42800.46648703704</v>
      </c>
      <c r="I991" s="363">
        <v>43165</v>
      </c>
      <c r="J991" t="s">
        <v>4234</v>
      </c>
      <c r="K991" t="s">
        <v>1280</v>
      </c>
      <c r="L991" t="s">
        <v>4235</v>
      </c>
      <c r="M991">
        <v>200853</v>
      </c>
      <c r="N991" t="s">
        <v>4232</v>
      </c>
      <c r="O991" t="s">
        <v>25</v>
      </c>
      <c r="P991" t="s">
        <v>88</v>
      </c>
      <c r="Q991" t="s">
        <v>26</v>
      </c>
      <c r="R991" s="105">
        <f>IF(Table__192.168.1.150_Daily_Delinquency_With_Sectors[[#This Row],[Days in Arrears]] &gt; 0, Table__192.168.1.150_Daily_Delinquency_With_Sectors[[#This Row],[Outstanding Balance]],0)</f>
        <v>1977321.52</v>
      </c>
      <c r="S991" s="105">
        <f>IF(Table__192.168.1.150_Daily_Delinquency_With_Sectors[[#This Row],[Days in Arrears]] &gt; 30, Table__192.168.1.150_Daily_Delinquency_With_Sectors[[#This Row],[Outstanding Balance]],0)</f>
        <v>0</v>
      </c>
      <c r="T991" s="105">
        <f>IF(Table__192.168.1.150_Daily_Delinquency_With_Sectors[[#This Row],[Days in Arrears]] &gt; 90, Table__192.168.1.150_Daily_Delinquency_With_Sectors[[#This Row],[Outstanding Balance]],0)</f>
        <v>0</v>
      </c>
      <c r="U991" s="109">
        <f>IF(Table__192.168.1.150_Daily_Delinquency_With_Sectors[[#This Row],[Days in Arrears]] &gt;= 1,1,0)</f>
        <v>1</v>
      </c>
      <c r="V991" s="109">
        <f>IF(Table__192.168.1.150_Daily_Delinquency_With_Sectors[[#This Row],[Days in Arrears]] &gt; 30,1,0)</f>
        <v>0</v>
      </c>
      <c r="W991" s="109">
        <f>IF(Table__192.168.1.150_Daily_Delinquency_With_Sectors[[#This Row],[Days in Arrears]] &gt; 90,1,0)</f>
        <v>0</v>
      </c>
    </row>
    <row r="992" spans="1:23" x14ac:dyDescent="0.25">
      <c r="A992" t="s">
        <v>4179</v>
      </c>
      <c r="B992" t="s">
        <v>1282</v>
      </c>
      <c r="C992">
        <v>1</v>
      </c>
      <c r="D992" s="105">
        <v>1180290.77</v>
      </c>
      <c r="E992" t="s">
        <v>1039</v>
      </c>
      <c r="F992" s="105">
        <v>53113.08</v>
      </c>
      <c r="G992" s="105">
        <v>1313017.67</v>
      </c>
      <c r="H992" s="363">
        <v>42789.672435567132</v>
      </c>
      <c r="I992" s="363">
        <v>43154</v>
      </c>
      <c r="J992" t="s">
        <v>4180</v>
      </c>
      <c r="K992" t="s">
        <v>1280</v>
      </c>
      <c r="L992" t="s">
        <v>4181</v>
      </c>
      <c r="M992">
        <v>200854</v>
      </c>
      <c r="N992" t="s">
        <v>4175</v>
      </c>
      <c r="O992" t="s">
        <v>44</v>
      </c>
      <c r="P992" t="s">
        <v>75</v>
      </c>
      <c r="Q992" t="s">
        <v>1442</v>
      </c>
      <c r="R992" s="105">
        <f>IF(Table__192.168.1.150_Daily_Delinquency_With_Sectors[[#This Row],[Days in Arrears]] &gt; 0, Table__192.168.1.150_Daily_Delinquency_With_Sectors[[#This Row],[Outstanding Balance]],0)</f>
        <v>1180290.77</v>
      </c>
      <c r="S992" s="105">
        <f>IF(Table__192.168.1.150_Daily_Delinquency_With_Sectors[[#This Row],[Days in Arrears]] &gt; 30, Table__192.168.1.150_Daily_Delinquency_With_Sectors[[#This Row],[Outstanding Balance]],0)</f>
        <v>0</v>
      </c>
      <c r="T992" s="105">
        <f>IF(Table__192.168.1.150_Daily_Delinquency_With_Sectors[[#This Row],[Days in Arrears]] &gt; 90, Table__192.168.1.150_Daily_Delinquency_With_Sectors[[#This Row],[Outstanding Balance]],0)</f>
        <v>0</v>
      </c>
      <c r="U992" s="109">
        <f>IF(Table__192.168.1.150_Daily_Delinquency_With_Sectors[[#This Row],[Days in Arrears]] &gt;= 1,1,0)</f>
        <v>1</v>
      </c>
      <c r="V992" s="109">
        <f>IF(Table__192.168.1.150_Daily_Delinquency_With_Sectors[[#This Row],[Days in Arrears]] &gt; 30,1,0)</f>
        <v>0</v>
      </c>
      <c r="W992" s="109">
        <f>IF(Table__192.168.1.150_Daily_Delinquency_With_Sectors[[#This Row],[Days in Arrears]] &gt; 90,1,0)</f>
        <v>0</v>
      </c>
    </row>
    <row r="993" spans="1:23" x14ac:dyDescent="0.25">
      <c r="A993" t="s">
        <v>2335</v>
      </c>
      <c r="B993" t="s">
        <v>1282</v>
      </c>
      <c r="C993">
        <v>1</v>
      </c>
      <c r="D993" s="105">
        <v>3867732.21</v>
      </c>
      <c r="E993" t="s">
        <v>1667</v>
      </c>
      <c r="F993" s="105">
        <v>154709.29</v>
      </c>
      <c r="G993" s="105">
        <v>4262086.88</v>
      </c>
      <c r="H993" s="363">
        <v>42789.675475694443</v>
      </c>
      <c r="I993" s="363">
        <v>43154</v>
      </c>
      <c r="J993" t="s">
        <v>2336</v>
      </c>
      <c r="K993" t="s">
        <v>1280</v>
      </c>
      <c r="L993" t="s">
        <v>1280</v>
      </c>
      <c r="M993">
        <v>200855</v>
      </c>
      <c r="N993" t="s">
        <v>2327</v>
      </c>
      <c r="O993" t="s">
        <v>44</v>
      </c>
      <c r="P993" t="s">
        <v>75</v>
      </c>
      <c r="Q993" t="s">
        <v>1442</v>
      </c>
      <c r="R993" s="105">
        <f>IF(Table__192.168.1.150_Daily_Delinquency_With_Sectors[[#This Row],[Days in Arrears]] &gt; 0, Table__192.168.1.150_Daily_Delinquency_With_Sectors[[#This Row],[Outstanding Balance]],0)</f>
        <v>3867732.21</v>
      </c>
      <c r="S993" s="105">
        <f>IF(Table__192.168.1.150_Daily_Delinquency_With_Sectors[[#This Row],[Days in Arrears]] &gt; 30, Table__192.168.1.150_Daily_Delinquency_With_Sectors[[#This Row],[Outstanding Balance]],0)</f>
        <v>0</v>
      </c>
      <c r="T993" s="105">
        <f>IF(Table__192.168.1.150_Daily_Delinquency_With_Sectors[[#This Row],[Days in Arrears]] &gt; 90, Table__192.168.1.150_Daily_Delinquency_With_Sectors[[#This Row],[Outstanding Balance]],0)</f>
        <v>0</v>
      </c>
      <c r="U993" s="109">
        <f>IF(Table__192.168.1.150_Daily_Delinquency_With_Sectors[[#This Row],[Days in Arrears]] &gt;= 1,1,0)</f>
        <v>1</v>
      </c>
      <c r="V993" s="109">
        <f>IF(Table__192.168.1.150_Daily_Delinquency_With_Sectors[[#This Row],[Days in Arrears]] &gt; 30,1,0)</f>
        <v>0</v>
      </c>
      <c r="W993" s="109">
        <f>IF(Table__192.168.1.150_Daily_Delinquency_With_Sectors[[#This Row],[Days in Arrears]] &gt; 90,1,0)</f>
        <v>0</v>
      </c>
    </row>
    <row r="994" spans="1:23" x14ac:dyDescent="0.25">
      <c r="A994" t="s">
        <v>4189</v>
      </c>
      <c r="B994" t="s">
        <v>1282</v>
      </c>
      <c r="C994">
        <v>60</v>
      </c>
      <c r="D994" s="105">
        <v>709786.29</v>
      </c>
      <c r="E994" t="s">
        <v>546</v>
      </c>
      <c r="F994" s="105">
        <v>48261.99</v>
      </c>
      <c r="G994" s="105">
        <v>758048.28</v>
      </c>
      <c r="H994" s="363">
        <v>42790.634258680555</v>
      </c>
      <c r="I994" s="363">
        <v>43032</v>
      </c>
      <c r="J994" t="s">
        <v>4190</v>
      </c>
      <c r="K994" t="s">
        <v>1280</v>
      </c>
      <c r="L994" t="s">
        <v>1280</v>
      </c>
      <c r="M994">
        <v>200857</v>
      </c>
      <c r="N994" t="s">
        <v>4184</v>
      </c>
      <c r="O994" t="s">
        <v>25</v>
      </c>
      <c r="P994" t="s">
        <v>88</v>
      </c>
      <c r="Q994" t="s">
        <v>285</v>
      </c>
      <c r="R994" s="105">
        <f>IF(Table__192.168.1.150_Daily_Delinquency_With_Sectors[[#This Row],[Days in Arrears]] &gt; 0, Table__192.168.1.150_Daily_Delinquency_With_Sectors[[#This Row],[Outstanding Balance]],0)</f>
        <v>709786.29</v>
      </c>
      <c r="S994" s="105">
        <f>IF(Table__192.168.1.150_Daily_Delinquency_With_Sectors[[#This Row],[Days in Arrears]] &gt; 30, Table__192.168.1.150_Daily_Delinquency_With_Sectors[[#This Row],[Outstanding Balance]],0)</f>
        <v>709786.29</v>
      </c>
      <c r="T994" s="105">
        <f>IF(Table__192.168.1.150_Daily_Delinquency_With_Sectors[[#This Row],[Days in Arrears]] &gt; 90, Table__192.168.1.150_Daily_Delinquency_With_Sectors[[#This Row],[Outstanding Balance]],0)</f>
        <v>0</v>
      </c>
      <c r="U994" s="109">
        <f>IF(Table__192.168.1.150_Daily_Delinquency_With_Sectors[[#This Row],[Days in Arrears]] &gt;= 1,1,0)</f>
        <v>1</v>
      </c>
      <c r="V994" s="109">
        <f>IF(Table__192.168.1.150_Daily_Delinquency_With_Sectors[[#This Row],[Days in Arrears]] &gt; 30,1,0)</f>
        <v>1</v>
      </c>
      <c r="W994" s="109">
        <f>IF(Table__192.168.1.150_Daily_Delinquency_With_Sectors[[#This Row],[Days in Arrears]] &gt; 90,1,0)</f>
        <v>0</v>
      </c>
    </row>
    <row r="995" spans="1:23" x14ac:dyDescent="0.25">
      <c r="A995" t="s">
        <v>2284</v>
      </c>
      <c r="B995" t="s">
        <v>1282</v>
      </c>
      <c r="C995">
        <v>-7</v>
      </c>
      <c r="D995" s="105">
        <v>2338490.4</v>
      </c>
      <c r="E995" t="s">
        <v>4684</v>
      </c>
      <c r="F995" s="105">
        <v>68595.72</v>
      </c>
      <c r="G995" s="105">
        <v>2576923.31</v>
      </c>
      <c r="H995" s="363">
        <v>42791.547885219908</v>
      </c>
      <c r="I995" s="363">
        <v>43160</v>
      </c>
      <c r="J995" t="s">
        <v>2285</v>
      </c>
      <c r="K995" t="s">
        <v>1280</v>
      </c>
      <c r="L995" t="s">
        <v>2286</v>
      </c>
      <c r="M995">
        <v>200859</v>
      </c>
      <c r="N995" t="s">
        <v>2279</v>
      </c>
      <c r="O995" t="s">
        <v>25</v>
      </c>
      <c r="P995" t="s">
        <v>290</v>
      </c>
      <c r="Q995" t="s">
        <v>3778</v>
      </c>
      <c r="R995" s="105">
        <f>IF(Table__192.168.1.150_Daily_Delinquency_With_Sectors[[#This Row],[Days in Arrears]] &gt; 0, Table__192.168.1.150_Daily_Delinquency_With_Sectors[[#This Row],[Outstanding Balance]],0)</f>
        <v>0</v>
      </c>
      <c r="S995" s="105">
        <f>IF(Table__192.168.1.150_Daily_Delinquency_With_Sectors[[#This Row],[Days in Arrears]] &gt; 30, Table__192.168.1.150_Daily_Delinquency_With_Sectors[[#This Row],[Outstanding Balance]],0)</f>
        <v>0</v>
      </c>
      <c r="T995" s="105">
        <f>IF(Table__192.168.1.150_Daily_Delinquency_With_Sectors[[#This Row],[Days in Arrears]] &gt; 90, Table__192.168.1.150_Daily_Delinquency_With_Sectors[[#This Row],[Outstanding Balance]],0)</f>
        <v>0</v>
      </c>
      <c r="U995" s="109">
        <f>IF(Table__192.168.1.150_Daily_Delinquency_With_Sectors[[#This Row],[Days in Arrears]] &gt;= 1,1,0)</f>
        <v>0</v>
      </c>
      <c r="V995" s="109">
        <f>IF(Table__192.168.1.150_Daily_Delinquency_With_Sectors[[#This Row],[Days in Arrears]] &gt; 30,1,0)</f>
        <v>0</v>
      </c>
      <c r="W995" s="109">
        <f>IF(Table__192.168.1.150_Daily_Delinquency_With_Sectors[[#This Row],[Days in Arrears]] &gt; 90,1,0)</f>
        <v>0</v>
      </c>
    </row>
    <row r="996" spans="1:23" x14ac:dyDescent="0.25">
      <c r="A996" t="s">
        <v>4195</v>
      </c>
      <c r="B996" t="s">
        <v>1282</v>
      </c>
      <c r="C996">
        <v>-7</v>
      </c>
      <c r="D996" s="105">
        <v>992046.62</v>
      </c>
      <c r="E996" t="s">
        <v>2538</v>
      </c>
      <c r="F996" s="105">
        <v>32737.54</v>
      </c>
      <c r="G996" s="105">
        <v>1106106.78</v>
      </c>
      <c r="H996" s="363">
        <v>42791.544452974536</v>
      </c>
      <c r="I996" s="363">
        <v>43160</v>
      </c>
      <c r="J996" t="s">
        <v>4196</v>
      </c>
      <c r="K996" t="s">
        <v>1280</v>
      </c>
      <c r="L996" t="s">
        <v>4197</v>
      </c>
      <c r="M996">
        <v>200861</v>
      </c>
      <c r="N996" t="s">
        <v>4191</v>
      </c>
      <c r="O996" t="s">
        <v>44</v>
      </c>
      <c r="P996" t="s">
        <v>75</v>
      </c>
      <c r="Q996" t="s">
        <v>1442</v>
      </c>
      <c r="R996" s="105">
        <f>IF(Table__192.168.1.150_Daily_Delinquency_With_Sectors[[#This Row],[Days in Arrears]] &gt; 0, Table__192.168.1.150_Daily_Delinquency_With_Sectors[[#This Row],[Outstanding Balance]],0)</f>
        <v>0</v>
      </c>
      <c r="S996" s="105">
        <f>IF(Table__192.168.1.150_Daily_Delinquency_With_Sectors[[#This Row],[Days in Arrears]] &gt; 30, Table__192.168.1.150_Daily_Delinquency_With_Sectors[[#This Row],[Outstanding Balance]],0)</f>
        <v>0</v>
      </c>
      <c r="T996" s="105">
        <f>IF(Table__192.168.1.150_Daily_Delinquency_With_Sectors[[#This Row],[Days in Arrears]] &gt; 90, Table__192.168.1.150_Daily_Delinquency_With_Sectors[[#This Row],[Outstanding Balance]],0)</f>
        <v>0</v>
      </c>
      <c r="U996" s="109">
        <f>IF(Table__192.168.1.150_Daily_Delinquency_With_Sectors[[#This Row],[Days in Arrears]] &gt;= 1,1,0)</f>
        <v>0</v>
      </c>
      <c r="V996" s="109">
        <f>IF(Table__192.168.1.150_Daily_Delinquency_With_Sectors[[#This Row],[Days in Arrears]] &gt; 30,1,0)</f>
        <v>0</v>
      </c>
      <c r="W996" s="109">
        <f>IF(Table__192.168.1.150_Daily_Delinquency_With_Sectors[[#This Row],[Days in Arrears]] &gt; 90,1,0)</f>
        <v>0</v>
      </c>
    </row>
    <row r="997" spans="1:23" x14ac:dyDescent="0.25">
      <c r="A997" t="s">
        <v>2368</v>
      </c>
      <c r="B997" t="s">
        <v>1282</v>
      </c>
      <c r="C997">
        <v>143</v>
      </c>
      <c r="D997" s="105">
        <v>4462763.1399999997</v>
      </c>
      <c r="E997" t="s">
        <v>2538</v>
      </c>
      <c r="F997" s="105">
        <v>264135.77</v>
      </c>
      <c r="G997" s="105">
        <v>5137817.6399999997</v>
      </c>
      <c r="H997" s="363">
        <v>42793.702722534719</v>
      </c>
      <c r="I997" s="363">
        <v>43101</v>
      </c>
      <c r="J997" t="s">
        <v>2369</v>
      </c>
      <c r="K997" t="s">
        <v>1280</v>
      </c>
      <c r="L997" t="s">
        <v>1280</v>
      </c>
      <c r="M997">
        <v>200863</v>
      </c>
      <c r="N997" t="s">
        <v>2361</v>
      </c>
      <c r="O997" t="s">
        <v>27</v>
      </c>
      <c r="P997" t="s">
        <v>26</v>
      </c>
      <c r="Q997" t="s">
        <v>26</v>
      </c>
      <c r="R997" s="105">
        <f>IF(Table__192.168.1.150_Daily_Delinquency_With_Sectors[[#This Row],[Days in Arrears]] &gt; 0, Table__192.168.1.150_Daily_Delinquency_With_Sectors[[#This Row],[Outstanding Balance]],0)</f>
        <v>4462763.1399999997</v>
      </c>
      <c r="S997" s="105">
        <f>IF(Table__192.168.1.150_Daily_Delinquency_With_Sectors[[#This Row],[Days in Arrears]] &gt; 30, Table__192.168.1.150_Daily_Delinquency_With_Sectors[[#This Row],[Outstanding Balance]],0)</f>
        <v>4462763.1399999997</v>
      </c>
      <c r="T997" s="105">
        <f>IF(Table__192.168.1.150_Daily_Delinquency_With_Sectors[[#This Row],[Days in Arrears]] &gt; 90, Table__192.168.1.150_Daily_Delinquency_With_Sectors[[#This Row],[Outstanding Balance]],0)</f>
        <v>4462763.1399999997</v>
      </c>
      <c r="U997" s="109">
        <f>IF(Table__192.168.1.150_Daily_Delinquency_With_Sectors[[#This Row],[Days in Arrears]] &gt;= 1,1,0)</f>
        <v>1</v>
      </c>
      <c r="V997" s="109">
        <f>IF(Table__192.168.1.150_Daily_Delinquency_With_Sectors[[#This Row],[Days in Arrears]] &gt; 30,1,0)</f>
        <v>1</v>
      </c>
      <c r="W997" s="109">
        <f>IF(Table__192.168.1.150_Daily_Delinquency_With_Sectors[[#This Row],[Days in Arrears]] &gt; 90,1,0)</f>
        <v>1</v>
      </c>
    </row>
    <row r="998" spans="1:23" x14ac:dyDescent="0.25">
      <c r="A998" t="s">
        <v>4203</v>
      </c>
      <c r="B998" t="s">
        <v>1282</v>
      </c>
      <c r="C998">
        <v>23</v>
      </c>
      <c r="D998" s="105">
        <v>3967809.01</v>
      </c>
      <c r="E998" t="s">
        <v>1447</v>
      </c>
      <c r="F998" s="105">
        <v>130577.44</v>
      </c>
      <c r="G998" s="105">
        <v>4422751.05</v>
      </c>
      <c r="H998" s="363">
        <v>42793.760730439812</v>
      </c>
      <c r="I998" s="363">
        <v>43160</v>
      </c>
      <c r="J998" t="s">
        <v>4204</v>
      </c>
      <c r="K998" t="s">
        <v>1280</v>
      </c>
      <c r="L998" t="s">
        <v>4205</v>
      </c>
      <c r="M998">
        <v>200864</v>
      </c>
      <c r="N998" t="s">
        <v>4199</v>
      </c>
      <c r="O998" t="s">
        <v>44</v>
      </c>
      <c r="P998" t="s">
        <v>75</v>
      </c>
      <c r="Q998" t="s">
        <v>1442</v>
      </c>
      <c r="R998" s="105">
        <f>IF(Table__192.168.1.150_Daily_Delinquency_With_Sectors[[#This Row],[Days in Arrears]] &gt; 0, Table__192.168.1.150_Daily_Delinquency_With_Sectors[[#This Row],[Outstanding Balance]],0)</f>
        <v>3967809.01</v>
      </c>
      <c r="S998" s="105">
        <f>IF(Table__192.168.1.150_Daily_Delinquency_With_Sectors[[#This Row],[Days in Arrears]] &gt; 30, Table__192.168.1.150_Daily_Delinquency_With_Sectors[[#This Row],[Outstanding Balance]],0)</f>
        <v>0</v>
      </c>
      <c r="T998" s="105">
        <f>IF(Table__192.168.1.150_Daily_Delinquency_With_Sectors[[#This Row],[Days in Arrears]] &gt; 90, Table__192.168.1.150_Daily_Delinquency_With_Sectors[[#This Row],[Outstanding Balance]],0)</f>
        <v>0</v>
      </c>
      <c r="U998" s="109">
        <f>IF(Table__192.168.1.150_Daily_Delinquency_With_Sectors[[#This Row],[Days in Arrears]] &gt;= 1,1,0)</f>
        <v>1</v>
      </c>
      <c r="V998" s="109">
        <f>IF(Table__192.168.1.150_Daily_Delinquency_With_Sectors[[#This Row],[Days in Arrears]] &gt; 30,1,0)</f>
        <v>0</v>
      </c>
      <c r="W998" s="109">
        <f>IF(Table__192.168.1.150_Daily_Delinquency_With_Sectors[[#This Row],[Days in Arrears]] &gt; 90,1,0)</f>
        <v>0</v>
      </c>
    </row>
    <row r="999" spans="1:23" x14ac:dyDescent="0.25">
      <c r="A999" t="s">
        <v>4215</v>
      </c>
      <c r="B999" t="s">
        <v>1282</v>
      </c>
      <c r="C999">
        <v>-7</v>
      </c>
      <c r="D999" s="105">
        <v>1185373.3700000001</v>
      </c>
      <c r="E999" t="s">
        <v>1925</v>
      </c>
      <c r="F999" s="105">
        <v>39117.32</v>
      </c>
      <c r="G999" s="105">
        <v>1321661.18</v>
      </c>
      <c r="H999" s="363">
        <v>42794.632678125003</v>
      </c>
      <c r="I999" s="363">
        <v>43160</v>
      </c>
      <c r="J999" t="s">
        <v>4216</v>
      </c>
      <c r="K999" t="s">
        <v>1280</v>
      </c>
      <c r="L999" t="s">
        <v>4217</v>
      </c>
      <c r="M999">
        <v>200867</v>
      </c>
      <c r="N999" t="s">
        <v>4214</v>
      </c>
      <c r="O999" t="s">
        <v>44</v>
      </c>
      <c r="P999" t="s">
        <v>75</v>
      </c>
      <c r="Q999" t="s">
        <v>26</v>
      </c>
      <c r="R999" s="105">
        <f>IF(Table__192.168.1.150_Daily_Delinquency_With_Sectors[[#This Row],[Days in Arrears]] &gt; 0, Table__192.168.1.150_Daily_Delinquency_With_Sectors[[#This Row],[Outstanding Balance]],0)</f>
        <v>0</v>
      </c>
      <c r="S999" s="105">
        <f>IF(Table__192.168.1.150_Daily_Delinquency_With_Sectors[[#This Row],[Days in Arrears]] &gt; 30, Table__192.168.1.150_Daily_Delinquency_With_Sectors[[#This Row],[Outstanding Balance]],0)</f>
        <v>0</v>
      </c>
      <c r="T999" s="105">
        <f>IF(Table__192.168.1.150_Daily_Delinquency_With_Sectors[[#This Row],[Days in Arrears]] &gt; 90, Table__192.168.1.150_Daily_Delinquency_With_Sectors[[#This Row],[Outstanding Balance]],0)</f>
        <v>0</v>
      </c>
      <c r="U999" s="109">
        <f>IF(Table__192.168.1.150_Daily_Delinquency_With_Sectors[[#This Row],[Days in Arrears]] &gt;= 1,1,0)</f>
        <v>0</v>
      </c>
      <c r="V999" s="109">
        <f>IF(Table__192.168.1.150_Daily_Delinquency_With_Sectors[[#This Row],[Days in Arrears]] &gt; 30,1,0)</f>
        <v>0</v>
      </c>
      <c r="W999" s="109">
        <f>IF(Table__192.168.1.150_Daily_Delinquency_With_Sectors[[#This Row],[Days in Arrears]] &gt; 90,1,0)</f>
        <v>0</v>
      </c>
    </row>
    <row r="1000" spans="1:23" x14ac:dyDescent="0.25">
      <c r="A1000" t="s">
        <v>4219</v>
      </c>
      <c r="B1000" t="s">
        <v>1282</v>
      </c>
      <c r="C1000">
        <v>-7</v>
      </c>
      <c r="D1000" s="105">
        <v>2765871.25</v>
      </c>
      <c r="E1000" t="s">
        <v>3074</v>
      </c>
      <c r="F1000" s="105">
        <v>91273.75</v>
      </c>
      <c r="G1000" s="105">
        <v>3083876.17</v>
      </c>
      <c r="H1000" s="363">
        <v>42794.750202118055</v>
      </c>
      <c r="I1000" s="363">
        <v>43160</v>
      </c>
      <c r="J1000" t="s">
        <v>4220</v>
      </c>
      <c r="K1000" t="s">
        <v>1280</v>
      </c>
      <c r="L1000" t="s">
        <v>4221</v>
      </c>
      <c r="M1000">
        <v>200868</v>
      </c>
      <c r="N1000" t="s">
        <v>4218</v>
      </c>
      <c r="O1000" t="s">
        <v>44</v>
      </c>
      <c r="P1000" t="s">
        <v>75</v>
      </c>
      <c r="Q1000" t="s">
        <v>26</v>
      </c>
      <c r="R1000" s="105">
        <f>IF(Table__192.168.1.150_Daily_Delinquency_With_Sectors[[#This Row],[Days in Arrears]] &gt; 0, Table__192.168.1.150_Daily_Delinquency_With_Sectors[[#This Row],[Outstanding Balance]],0)</f>
        <v>0</v>
      </c>
      <c r="S1000" s="105">
        <f>IF(Table__192.168.1.150_Daily_Delinquency_With_Sectors[[#This Row],[Days in Arrears]] &gt; 30, Table__192.168.1.150_Daily_Delinquency_With_Sectors[[#This Row],[Outstanding Balance]],0)</f>
        <v>0</v>
      </c>
      <c r="T1000" s="105">
        <f>IF(Table__192.168.1.150_Daily_Delinquency_With_Sectors[[#This Row],[Days in Arrears]] &gt; 90, Table__192.168.1.150_Daily_Delinquency_With_Sectors[[#This Row],[Outstanding Balance]],0)</f>
        <v>0</v>
      </c>
      <c r="U1000" s="109">
        <f>IF(Table__192.168.1.150_Daily_Delinquency_With_Sectors[[#This Row],[Days in Arrears]] &gt;= 1,1,0)</f>
        <v>0</v>
      </c>
      <c r="V1000" s="109">
        <f>IF(Table__192.168.1.150_Daily_Delinquency_With_Sectors[[#This Row],[Days in Arrears]] &gt; 30,1,0)</f>
        <v>0</v>
      </c>
      <c r="W1000" s="109">
        <f>IF(Table__192.168.1.150_Daily_Delinquency_With_Sectors[[#This Row],[Days in Arrears]] &gt; 90,1,0)</f>
        <v>0</v>
      </c>
    </row>
    <row r="1001" spans="1:23" x14ac:dyDescent="0.25">
      <c r="A1001" t="s">
        <v>2201</v>
      </c>
      <c r="B1001" t="s">
        <v>1283</v>
      </c>
      <c r="C1001">
        <v>-8</v>
      </c>
      <c r="D1001" s="105">
        <v>14995106.439999999</v>
      </c>
      <c r="E1001" t="s">
        <v>1448</v>
      </c>
      <c r="F1001" s="105">
        <v>314897.24</v>
      </c>
      <c r="G1001" s="105">
        <v>16136356.699999999</v>
      </c>
      <c r="H1001" s="363">
        <v>42794.796723761574</v>
      </c>
      <c r="I1001" s="363">
        <v>43161</v>
      </c>
      <c r="J1001" t="s">
        <v>2202</v>
      </c>
      <c r="K1001" t="s">
        <v>1280</v>
      </c>
      <c r="L1001" t="s">
        <v>1280</v>
      </c>
      <c r="M1001">
        <v>200870</v>
      </c>
      <c r="N1001" t="s">
        <v>2193</v>
      </c>
      <c r="O1001" t="s">
        <v>25</v>
      </c>
      <c r="P1001" t="s">
        <v>26</v>
      </c>
      <c r="Q1001" t="s">
        <v>26</v>
      </c>
      <c r="R1001" s="105">
        <f>IF(Table__192.168.1.150_Daily_Delinquency_With_Sectors[[#This Row],[Days in Arrears]] &gt; 0, Table__192.168.1.150_Daily_Delinquency_With_Sectors[[#This Row],[Outstanding Balance]],0)</f>
        <v>0</v>
      </c>
      <c r="S1001" s="105">
        <f>IF(Table__192.168.1.150_Daily_Delinquency_With_Sectors[[#This Row],[Days in Arrears]] &gt; 30, Table__192.168.1.150_Daily_Delinquency_With_Sectors[[#This Row],[Outstanding Balance]],0)</f>
        <v>0</v>
      </c>
      <c r="T1001" s="105">
        <f>IF(Table__192.168.1.150_Daily_Delinquency_With_Sectors[[#This Row],[Days in Arrears]] &gt; 90, Table__192.168.1.150_Daily_Delinquency_With_Sectors[[#This Row],[Outstanding Balance]],0)</f>
        <v>0</v>
      </c>
      <c r="U1001" s="109">
        <f>IF(Table__192.168.1.150_Daily_Delinquency_With_Sectors[[#This Row],[Days in Arrears]] &gt;= 1,1,0)</f>
        <v>0</v>
      </c>
      <c r="V1001" s="109">
        <f>IF(Table__192.168.1.150_Daily_Delinquency_With_Sectors[[#This Row],[Days in Arrears]] &gt; 30,1,0)</f>
        <v>0</v>
      </c>
      <c r="W1001" s="109">
        <f>IF(Table__192.168.1.150_Daily_Delinquency_With_Sectors[[#This Row],[Days in Arrears]] &gt; 90,1,0)</f>
        <v>0</v>
      </c>
    </row>
    <row r="1002" spans="1:23" x14ac:dyDescent="0.25">
      <c r="A1002" t="s">
        <v>2522</v>
      </c>
      <c r="B1002" t="s">
        <v>1282</v>
      </c>
      <c r="C1002">
        <v>-7</v>
      </c>
      <c r="D1002" s="105">
        <v>1358912.85</v>
      </c>
      <c r="E1002" t="s">
        <v>1909</v>
      </c>
      <c r="F1002" s="105">
        <v>39861.440000000002</v>
      </c>
      <c r="G1002" s="105">
        <v>1497467.85</v>
      </c>
      <c r="H1002" s="363">
        <v>42794.869916053241</v>
      </c>
      <c r="I1002" s="363">
        <v>43160</v>
      </c>
      <c r="J1002" t="s">
        <v>2523</v>
      </c>
      <c r="K1002" t="s">
        <v>2524</v>
      </c>
      <c r="L1002" t="s">
        <v>1280</v>
      </c>
      <c r="M1002">
        <v>200871</v>
      </c>
      <c r="N1002" t="s">
        <v>2517</v>
      </c>
      <c r="O1002" t="s">
        <v>35</v>
      </c>
      <c r="P1002" t="s">
        <v>121</v>
      </c>
      <c r="Q1002" t="s">
        <v>26</v>
      </c>
      <c r="R1002" s="105">
        <f>IF(Table__192.168.1.150_Daily_Delinquency_With_Sectors[[#This Row],[Days in Arrears]] &gt; 0, Table__192.168.1.150_Daily_Delinquency_With_Sectors[[#This Row],[Outstanding Balance]],0)</f>
        <v>0</v>
      </c>
      <c r="S1002" s="105">
        <f>IF(Table__192.168.1.150_Daily_Delinquency_With_Sectors[[#This Row],[Days in Arrears]] &gt; 30, Table__192.168.1.150_Daily_Delinquency_With_Sectors[[#This Row],[Outstanding Balance]],0)</f>
        <v>0</v>
      </c>
      <c r="T1002" s="105">
        <f>IF(Table__192.168.1.150_Daily_Delinquency_With_Sectors[[#This Row],[Days in Arrears]] &gt; 90, Table__192.168.1.150_Daily_Delinquency_With_Sectors[[#This Row],[Outstanding Balance]],0)</f>
        <v>0</v>
      </c>
      <c r="U1002" s="109">
        <f>IF(Table__192.168.1.150_Daily_Delinquency_With_Sectors[[#This Row],[Days in Arrears]] &gt;= 1,1,0)</f>
        <v>0</v>
      </c>
      <c r="V1002" s="109">
        <f>IF(Table__192.168.1.150_Daily_Delinquency_With_Sectors[[#This Row],[Days in Arrears]] &gt; 30,1,0)</f>
        <v>0</v>
      </c>
      <c r="W1002" s="109">
        <f>IF(Table__192.168.1.150_Daily_Delinquency_With_Sectors[[#This Row],[Days in Arrears]] &gt; 90,1,0)</f>
        <v>0</v>
      </c>
    </row>
    <row r="1003" spans="1:23" x14ac:dyDescent="0.25">
      <c r="A1003" t="s">
        <v>4223</v>
      </c>
      <c r="B1003" t="s">
        <v>1283</v>
      </c>
      <c r="C1003">
        <v>-7</v>
      </c>
      <c r="D1003" s="105">
        <v>26312205.27</v>
      </c>
      <c r="E1003" t="s">
        <v>2034</v>
      </c>
      <c r="F1003" s="105">
        <v>643187.24</v>
      </c>
      <c r="G1003" s="105">
        <v>34375664.490000002</v>
      </c>
      <c r="H1003" s="363">
        <v>42794.843159108794</v>
      </c>
      <c r="I1003" s="363">
        <v>43525</v>
      </c>
      <c r="J1003" t="s">
        <v>4224</v>
      </c>
      <c r="K1003" t="s">
        <v>1280</v>
      </c>
      <c r="L1003" t="s">
        <v>4225</v>
      </c>
      <c r="M1003">
        <v>200872</v>
      </c>
      <c r="N1003" t="s">
        <v>4222</v>
      </c>
      <c r="O1003" t="s">
        <v>44</v>
      </c>
      <c r="P1003" t="s">
        <v>75</v>
      </c>
      <c r="Q1003" t="s">
        <v>26</v>
      </c>
      <c r="R1003" s="105">
        <f>IF(Table__192.168.1.150_Daily_Delinquency_With_Sectors[[#This Row],[Days in Arrears]] &gt; 0, Table__192.168.1.150_Daily_Delinquency_With_Sectors[[#This Row],[Outstanding Balance]],0)</f>
        <v>0</v>
      </c>
      <c r="S1003" s="105">
        <f>IF(Table__192.168.1.150_Daily_Delinquency_With_Sectors[[#This Row],[Days in Arrears]] &gt; 30, Table__192.168.1.150_Daily_Delinquency_With_Sectors[[#This Row],[Outstanding Balance]],0)</f>
        <v>0</v>
      </c>
      <c r="T1003" s="105">
        <f>IF(Table__192.168.1.150_Daily_Delinquency_With_Sectors[[#This Row],[Days in Arrears]] &gt; 90, Table__192.168.1.150_Daily_Delinquency_With_Sectors[[#This Row],[Outstanding Balance]],0)</f>
        <v>0</v>
      </c>
      <c r="U1003" s="109">
        <f>IF(Table__192.168.1.150_Daily_Delinquency_With_Sectors[[#This Row],[Days in Arrears]] &gt;= 1,1,0)</f>
        <v>0</v>
      </c>
      <c r="V1003" s="109">
        <f>IF(Table__192.168.1.150_Daily_Delinquency_With_Sectors[[#This Row],[Days in Arrears]] &gt; 30,1,0)</f>
        <v>0</v>
      </c>
      <c r="W1003" s="109">
        <f>IF(Table__192.168.1.150_Daily_Delinquency_With_Sectors[[#This Row],[Days in Arrears]] &gt; 90,1,0)</f>
        <v>0</v>
      </c>
    </row>
    <row r="1004" spans="1:23" x14ac:dyDescent="0.25">
      <c r="A1004" t="s">
        <v>4229</v>
      </c>
      <c r="B1004" t="s">
        <v>1281</v>
      </c>
      <c r="C1004">
        <v>-8</v>
      </c>
      <c r="D1004" s="105">
        <v>10796627.99</v>
      </c>
      <c r="E1004" t="s">
        <v>2538</v>
      </c>
      <c r="F1004" s="105">
        <v>302305.58</v>
      </c>
      <c r="G1004" s="105">
        <v>12591753.99</v>
      </c>
      <c r="H1004" s="384">
        <v>42796.665665277775</v>
      </c>
      <c r="I1004" s="384">
        <v>43253</v>
      </c>
      <c r="J1004" t="s">
        <v>4230</v>
      </c>
      <c r="K1004" t="s">
        <v>1280</v>
      </c>
      <c r="L1004" t="s">
        <v>4231</v>
      </c>
      <c r="M1004">
        <v>200875</v>
      </c>
      <c r="N1004" t="s">
        <v>4208</v>
      </c>
      <c r="O1004" t="s">
        <v>27</v>
      </c>
      <c r="P1004" t="s">
        <v>81</v>
      </c>
      <c r="Q1004" t="s">
        <v>26</v>
      </c>
      <c r="R1004" s="105">
        <f>IF(Table__192.168.1.150_Daily_Delinquency_With_Sectors[[#This Row],[Days in Arrears]] &gt; 0, Table__192.168.1.150_Daily_Delinquency_With_Sectors[[#This Row],[Outstanding Balance]],0)</f>
        <v>0</v>
      </c>
      <c r="S1004" s="105">
        <f>IF(Table__192.168.1.150_Daily_Delinquency_With_Sectors[[#This Row],[Days in Arrears]] &gt; 30, Table__192.168.1.150_Daily_Delinquency_With_Sectors[[#This Row],[Outstanding Balance]],0)</f>
        <v>0</v>
      </c>
      <c r="T1004" s="105">
        <f>IF(Table__192.168.1.150_Daily_Delinquency_With_Sectors[[#This Row],[Days in Arrears]] &gt; 90, Table__192.168.1.150_Daily_Delinquency_With_Sectors[[#This Row],[Outstanding Balance]],0)</f>
        <v>0</v>
      </c>
      <c r="U1004" s="109">
        <f>IF(Table__192.168.1.150_Daily_Delinquency_With_Sectors[[#This Row],[Days in Arrears]] &gt;= 1,1,0)</f>
        <v>0</v>
      </c>
      <c r="V1004" s="109">
        <f>IF(Table__192.168.1.150_Daily_Delinquency_With_Sectors[[#This Row],[Days in Arrears]] &gt; 30,1,0)</f>
        <v>0</v>
      </c>
      <c r="W1004" s="109">
        <f>IF(Table__192.168.1.150_Daily_Delinquency_With_Sectors[[#This Row],[Days in Arrears]] &gt; 90,1,0)</f>
        <v>0</v>
      </c>
    </row>
    <row r="1005" spans="1:23" x14ac:dyDescent="0.25">
      <c r="A1005" t="s">
        <v>4237</v>
      </c>
      <c r="B1005" t="s">
        <v>1281</v>
      </c>
      <c r="C1005">
        <v>17</v>
      </c>
      <c r="D1005" s="105">
        <v>7589621.4900000002</v>
      </c>
      <c r="E1005" t="s">
        <v>1447</v>
      </c>
      <c r="F1005" s="105">
        <v>146843.25</v>
      </c>
      <c r="G1005" s="105">
        <v>8235413.6399999997</v>
      </c>
      <c r="H1005" s="384">
        <v>42801.530226932868</v>
      </c>
      <c r="I1005" s="384">
        <v>43166</v>
      </c>
      <c r="J1005" t="s">
        <v>4238</v>
      </c>
      <c r="K1005" t="s">
        <v>1280</v>
      </c>
      <c r="L1005" t="s">
        <v>4239</v>
      </c>
      <c r="M1005">
        <v>200878</v>
      </c>
      <c r="N1005" t="s">
        <v>4236</v>
      </c>
      <c r="O1005" t="s">
        <v>45</v>
      </c>
      <c r="P1005" t="s">
        <v>45</v>
      </c>
      <c r="Q1005" t="s">
        <v>26</v>
      </c>
      <c r="R1005" s="105">
        <f>IF(Table__192.168.1.150_Daily_Delinquency_With_Sectors[[#This Row],[Days in Arrears]] &gt; 0, Table__192.168.1.150_Daily_Delinquency_With_Sectors[[#This Row],[Outstanding Balance]],0)</f>
        <v>7589621.4900000002</v>
      </c>
      <c r="S1005" s="105">
        <f>IF(Table__192.168.1.150_Daily_Delinquency_With_Sectors[[#This Row],[Days in Arrears]] &gt; 30, Table__192.168.1.150_Daily_Delinquency_With_Sectors[[#This Row],[Outstanding Balance]],0)</f>
        <v>0</v>
      </c>
      <c r="T1005" s="105">
        <f>IF(Table__192.168.1.150_Daily_Delinquency_With_Sectors[[#This Row],[Days in Arrears]] &gt; 90, Table__192.168.1.150_Daily_Delinquency_With_Sectors[[#This Row],[Outstanding Balance]],0)</f>
        <v>0</v>
      </c>
      <c r="U1005" s="109">
        <f>IF(Table__192.168.1.150_Daily_Delinquency_With_Sectors[[#This Row],[Days in Arrears]] &gt;= 1,1,0)</f>
        <v>1</v>
      </c>
      <c r="V1005" s="109">
        <f>IF(Table__192.168.1.150_Daily_Delinquency_With_Sectors[[#This Row],[Days in Arrears]] &gt; 30,1,0)</f>
        <v>0</v>
      </c>
      <c r="W1005" s="109">
        <f>IF(Table__192.168.1.150_Daily_Delinquency_With_Sectors[[#This Row],[Days in Arrears]] &gt; 90,1,0)</f>
        <v>0</v>
      </c>
    </row>
    <row r="1006" spans="1:23" x14ac:dyDescent="0.25">
      <c r="A1006" t="s">
        <v>2450</v>
      </c>
      <c r="B1006" t="s">
        <v>1866</v>
      </c>
      <c r="C1006">
        <v>17</v>
      </c>
      <c r="D1006" s="105">
        <v>3065182.74</v>
      </c>
      <c r="E1006" t="s">
        <v>1925</v>
      </c>
      <c r="F1006" s="105">
        <v>59813.2</v>
      </c>
      <c r="G1006" s="105">
        <v>3350603.44</v>
      </c>
      <c r="H1006" s="384">
        <v>42801.65197885417</v>
      </c>
      <c r="I1006" s="384">
        <v>43166</v>
      </c>
      <c r="J1006" t="s">
        <v>2451</v>
      </c>
      <c r="K1006" t="s">
        <v>1280</v>
      </c>
      <c r="L1006" t="s">
        <v>1280</v>
      </c>
      <c r="M1006">
        <v>200879</v>
      </c>
      <c r="N1006" t="s">
        <v>2449</v>
      </c>
      <c r="O1006" t="s">
        <v>25</v>
      </c>
      <c r="P1006" t="s">
        <v>32</v>
      </c>
      <c r="Q1006" t="s">
        <v>26</v>
      </c>
      <c r="R1006" s="105">
        <f>IF(Table__192.168.1.150_Daily_Delinquency_With_Sectors[[#This Row],[Days in Arrears]] &gt; 0, Table__192.168.1.150_Daily_Delinquency_With_Sectors[[#This Row],[Outstanding Balance]],0)</f>
        <v>3065182.74</v>
      </c>
      <c r="S1006" s="105">
        <f>IF(Table__192.168.1.150_Daily_Delinquency_With_Sectors[[#This Row],[Days in Arrears]] &gt; 30, Table__192.168.1.150_Daily_Delinquency_With_Sectors[[#This Row],[Outstanding Balance]],0)</f>
        <v>0</v>
      </c>
      <c r="T1006" s="105">
        <f>IF(Table__192.168.1.150_Daily_Delinquency_With_Sectors[[#This Row],[Days in Arrears]] &gt; 90, Table__192.168.1.150_Daily_Delinquency_With_Sectors[[#This Row],[Outstanding Balance]],0)</f>
        <v>0</v>
      </c>
      <c r="U1006" s="109">
        <f>IF(Table__192.168.1.150_Daily_Delinquency_With_Sectors[[#This Row],[Days in Arrears]] &gt;= 1,1,0)</f>
        <v>1</v>
      </c>
      <c r="V1006" s="109">
        <f>IF(Table__192.168.1.150_Daily_Delinquency_With_Sectors[[#This Row],[Days in Arrears]] &gt; 30,1,0)</f>
        <v>0</v>
      </c>
      <c r="W1006" s="109">
        <f>IF(Table__192.168.1.150_Daily_Delinquency_With_Sectors[[#This Row],[Days in Arrears]] &gt; 90,1,0)</f>
        <v>0</v>
      </c>
    </row>
    <row r="1007" spans="1:23" x14ac:dyDescent="0.25">
      <c r="A1007" t="s">
        <v>4244</v>
      </c>
      <c r="B1007" t="s">
        <v>1282</v>
      </c>
      <c r="C1007">
        <v>9</v>
      </c>
      <c r="D1007" s="105">
        <v>1027270.28</v>
      </c>
      <c r="E1007" t="s">
        <v>1447</v>
      </c>
      <c r="F1007" s="105">
        <v>11802.91</v>
      </c>
      <c r="G1007" s="105">
        <v>1140356.5</v>
      </c>
      <c r="H1007" s="384">
        <v>42809.655407835649</v>
      </c>
      <c r="I1007" s="384">
        <v>43174</v>
      </c>
      <c r="J1007" t="s">
        <v>4245</v>
      </c>
      <c r="K1007" t="s">
        <v>1280</v>
      </c>
      <c r="L1007" t="s">
        <v>4246</v>
      </c>
      <c r="M1007">
        <v>200883</v>
      </c>
      <c r="N1007" t="s">
        <v>4243</v>
      </c>
      <c r="O1007" t="s">
        <v>44</v>
      </c>
      <c r="P1007" t="s">
        <v>75</v>
      </c>
      <c r="Q1007" t="s">
        <v>1442</v>
      </c>
      <c r="R1007" s="105">
        <f>IF(Table__192.168.1.150_Daily_Delinquency_With_Sectors[[#This Row],[Days in Arrears]] &gt; 0, Table__192.168.1.150_Daily_Delinquency_With_Sectors[[#This Row],[Outstanding Balance]],0)</f>
        <v>1027270.28</v>
      </c>
      <c r="S1007" s="105">
        <f>IF(Table__192.168.1.150_Daily_Delinquency_With_Sectors[[#This Row],[Days in Arrears]] &gt; 30, Table__192.168.1.150_Daily_Delinquency_With_Sectors[[#This Row],[Outstanding Balance]],0)</f>
        <v>0</v>
      </c>
      <c r="T1007" s="105">
        <f>IF(Table__192.168.1.150_Daily_Delinquency_With_Sectors[[#This Row],[Days in Arrears]] &gt; 90, Table__192.168.1.150_Daily_Delinquency_With_Sectors[[#This Row],[Outstanding Balance]],0)</f>
        <v>0</v>
      </c>
      <c r="U1007" s="109">
        <f>IF(Table__192.168.1.150_Daily_Delinquency_With_Sectors[[#This Row],[Days in Arrears]] &gt;= 1,1,0)</f>
        <v>1</v>
      </c>
      <c r="V1007" s="109">
        <f>IF(Table__192.168.1.150_Daily_Delinquency_With_Sectors[[#This Row],[Days in Arrears]] &gt; 30,1,0)</f>
        <v>0</v>
      </c>
      <c r="W1007" s="109">
        <f>IF(Table__192.168.1.150_Daily_Delinquency_With_Sectors[[#This Row],[Days in Arrears]] &gt; 90,1,0)</f>
        <v>0</v>
      </c>
    </row>
    <row r="1008" spans="1:23" x14ac:dyDescent="0.25">
      <c r="A1008" t="s">
        <v>4249</v>
      </c>
      <c r="B1008" t="s">
        <v>1284</v>
      </c>
      <c r="C1008">
        <v>-22</v>
      </c>
      <c r="D1008" s="105">
        <v>13225793.949999999</v>
      </c>
      <c r="E1008" t="s">
        <v>1448</v>
      </c>
      <c r="F1008" s="105">
        <v>102867.29</v>
      </c>
      <c r="G1008" s="105">
        <v>14346007.59</v>
      </c>
      <c r="H1008" s="384">
        <v>42810.64776403935</v>
      </c>
      <c r="I1008" s="384">
        <v>43175</v>
      </c>
      <c r="J1008" t="s">
        <v>4250</v>
      </c>
      <c r="K1008" t="s">
        <v>1280</v>
      </c>
      <c r="L1008" t="s">
        <v>4251</v>
      </c>
      <c r="M1008">
        <v>200884</v>
      </c>
      <c r="N1008" t="s">
        <v>4248</v>
      </c>
      <c r="O1008" t="s">
        <v>25</v>
      </c>
      <c r="P1008" t="s">
        <v>88</v>
      </c>
      <c r="Q1008" t="s">
        <v>285</v>
      </c>
      <c r="R1008" s="105">
        <f>IF(Table__192.168.1.150_Daily_Delinquency_With_Sectors[[#This Row],[Days in Arrears]] &gt; 0, Table__192.168.1.150_Daily_Delinquency_With_Sectors[[#This Row],[Outstanding Balance]],0)</f>
        <v>0</v>
      </c>
      <c r="S1008" s="105">
        <f>IF(Table__192.168.1.150_Daily_Delinquency_With_Sectors[[#This Row],[Days in Arrears]] &gt; 30, Table__192.168.1.150_Daily_Delinquency_With_Sectors[[#This Row],[Outstanding Balance]],0)</f>
        <v>0</v>
      </c>
      <c r="T1008" s="105">
        <f>IF(Table__192.168.1.150_Daily_Delinquency_With_Sectors[[#This Row],[Days in Arrears]] &gt; 90, Table__192.168.1.150_Daily_Delinquency_With_Sectors[[#This Row],[Outstanding Balance]],0)</f>
        <v>0</v>
      </c>
      <c r="U1008" s="109">
        <f>IF(Table__192.168.1.150_Daily_Delinquency_With_Sectors[[#This Row],[Days in Arrears]] &gt;= 1,1,0)</f>
        <v>0</v>
      </c>
      <c r="V1008" s="109">
        <f>IF(Table__192.168.1.150_Daily_Delinquency_With_Sectors[[#This Row],[Days in Arrears]] &gt; 30,1,0)</f>
        <v>0</v>
      </c>
      <c r="W1008" s="109">
        <f>IF(Table__192.168.1.150_Daily_Delinquency_With_Sectors[[#This Row],[Days in Arrears]] &gt; 90,1,0)</f>
        <v>0</v>
      </c>
    </row>
    <row r="1009" spans="1:23" x14ac:dyDescent="0.25">
      <c r="A1009" t="s">
        <v>2198</v>
      </c>
      <c r="B1009" t="s">
        <v>1282</v>
      </c>
      <c r="C1009">
        <v>-22</v>
      </c>
      <c r="D1009" s="105">
        <v>3867732.21</v>
      </c>
      <c r="E1009" t="s">
        <v>1909</v>
      </c>
      <c r="F1009" s="105">
        <v>36098.83</v>
      </c>
      <c r="G1009" s="105">
        <v>4262086.88</v>
      </c>
      <c r="H1009" s="384">
        <v>42810.74490528935</v>
      </c>
      <c r="I1009" s="384">
        <v>43175</v>
      </c>
      <c r="J1009" t="s">
        <v>2199</v>
      </c>
      <c r="K1009" t="s">
        <v>1280</v>
      </c>
      <c r="L1009" t="s">
        <v>2200</v>
      </c>
      <c r="M1009">
        <v>200886</v>
      </c>
      <c r="N1009" t="s">
        <v>2195</v>
      </c>
      <c r="O1009" t="s">
        <v>45</v>
      </c>
      <c r="P1009" t="s">
        <v>45</v>
      </c>
      <c r="Q1009" t="s">
        <v>89</v>
      </c>
      <c r="R1009" s="105">
        <f>IF(Table__192.168.1.150_Daily_Delinquency_With_Sectors[[#This Row],[Days in Arrears]] &gt; 0, Table__192.168.1.150_Daily_Delinquency_With_Sectors[[#This Row],[Outstanding Balance]],0)</f>
        <v>0</v>
      </c>
      <c r="S1009" s="105">
        <f>IF(Table__192.168.1.150_Daily_Delinquency_With_Sectors[[#This Row],[Days in Arrears]] &gt; 30, Table__192.168.1.150_Daily_Delinquency_With_Sectors[[#This Row],[Outstanding Balance]],0)</f>
        <v>0</v>
      </c>
      <c r="T1009" s="105">
        <f>IF(Table__192.168.1.150_Daily_Delinquency_With_Sectors[[#This Row],[Days in Arrears]] &gt; 90, Table__192.168.1.150_Daily_Delinquency_With_Sectors[[#This Row],[Outstanding Balance]],0)</f>
        <v>0</v>
      </c>
      <c r="U1009" s="109">
        <f>IF(Table__192.168.1.150_Daily_Delinquency_With_Sectors[[#This Row],[Days in Arrears]] &gt;= 1,1,0)</f>
        <v>0</v>
      </c>
      <c r="V1009" s="109">
        <f>IF(Table__192.168.1.150_Daily_Delinquency_With_Sectors[[#This Row],[Days in Arrears]] &gt; 30,1,0)</f>
        <v>0</v>
      </c>
      <c r="W1009" s="109">
        <f>IF(Table__192.168.1.150_Daily_Delinquency_With_Sectors[[#This Row],[Days in Arrears]] &gt; 90,1,0)</f>
        <v>0</v>
      </c>
    </row>
    <row r="1010" spans="1:23" x14ac:dyDescent="0.25">
      <c r="A1010" t="s">
        <v>4257</v>
      </c>
      <c r="B1010" t="s">
        <v>1282</v>
      </c>
      <c r="C1010">
        <v>7</v>
      </c>
      <c r="D1010" s="105">
        <v>4936424.45</v>
      </c>
      <c r="E1010" t="s">
        <v>4684</v>
      </c>
      <c r="F1010" s="105">
        <v>37130.230000000003</v>
      </c>
      <c r="G1010" s="105">
        <v>5409650.0700000003</v>
      </c>
      <c r="H1010" s="384">
        <v>42811.448582094905</v>
      </c>
      <c r="I1010" s="384">
        <v>43176</v>
      </c>
      <c r="J1010" t="s">
        <v>4258</v>
      </c>
      <c r="K1010" t="s">
        <v>4259</v>
      </c>
      <c r="L1010" t="s">
        <v>1280</v>
      </c>
      <c r="M1010">
        <v>200887</v>
      </c>
      <c r="N1010" t="s">
        <v>4255</v>
      </c>
      <c r="O1010" t="s">
        <v>44</v>
      </c>
      <c r="P1010" t="s">
        <v>75</v>
      </c>
      <c r="Q1010" t="s">
        <v>1442</v>
      </c>
      <c r="R1010" s="105">
        <f>IF(Table__192.168.1.150_Daily_Delinquency_With_Sectors[[#This Row],[Days in Arrears]] &gt; 0, Table__192.168.1.150_Daily_Delinquency_With_Sectors[[#This Row],[Outstanding Balance]],0)</f>
        <v>4936424.45</v>
      </c>
      <c r="S1010" s="105">
        <f>IF(Table__192.168.1.150_Daily_Delinquency_With_Sectors[[#This Row],[Days in Arrears]] &gt; 30, Table__192.168.1.150_Daily_Delinquency_With_Sectors[[#This Row],[Outstanding Balance]],0)</f>
        <v>0</v>
      </c>
      <c r="T1010" s="105">
        <f>IF(Table__192.168.1.150_Daily_Delinquency_With_Sectors[[#This Row],[Days in Arrears]] &gt; 90, Table__192.168.1.150_Daily_Delinquency_With_Sectors[[#This Row],[Outstanding Balance]],0)</f>
        <v>0</v>
      </c>
      <c r="U1010" s="109">
        <f>IF(Table__192.168.1.150_Daily_Delinquency_With_Sectors[[#This Row],[Days in Arrears]] &gt;= 1,1,0)</f>
        <v>1</v>
      </c>
      <c r="V1010" s="109">
        <f>IF(Table__192.168.1.150_Daily_Delinquency_With_Sectors[[#This Row],[Days in Arrears]] &gt; 30,1,0)</f>
        <v>0</v>
      </c>
      <c r="W1010" s="109">
        <f>IF(Table__192.168.1.150_Daily_Delinquency_With_Sectors[[#This Row],[Days in Arrears]] &gt; 90,1,0)</f>
        <v>0</v>
      </c>
    </row>
    <row r="1011" spans="1:23" x14ac:dyDescent="0.25">
      <c r="A1011" t="s">
        <v>2064</v>
      </c>
      <c r="B1011" t="s">
        <v>1282</v>
      </c>
      <c r="C1011">
        <v>-23</v>
      </c>
      <c r="D1011" s="105">
        <v>1933866.15</v>
      </c>
      <c r="E1011" t="s">
        <v>1448</v>
      </c>
      <c r="F1011" s="105">
        <v>15470.93</v>
      </c>
      <c r="G1011" s="105">
        <v>2131043.5</v>
      </c>
      <c r="H1011" s="384">
        <v>42811.544827858794</v>
      </c>
      <c r="I1011" s="384">
        <v>43176</v>
      </c>
      <c r="J1011" t="s">
        <v>2065</v>
      </c>
      <c r="K1011" t="s">
        <v>1280</v>
      </c>
      <c r="L1011" t="s">
        <v>1280</v>
      </c>
      <c r="M1011">
        <v>200888</v>
      </c>
      <c r="N1011" t="s">
        <v>2061</v>
      </c>
      <c r="O1011" t="s">
        <v>44</v>
      </c>
      <c r="P1011" t="s">
        <v>75</v>
      </c>
      <c r="Q1011" t="s">
        <v>1442</v>
      </c>
      <c r="R1011" s="105">
        <f>IF(Table__192.168.1.150_Daily_Delinquency_With_Sectors[[#This Row],[Days in Arrears]] &gt; 0, Table__192.168.1.150_Daily_Delinquency_With_Sectors[[#This Row],[Outstanding Balance]],0)</f>
        <v>0</v>
      </c>
      <c r="S1011" s="105">
        <f>IF(Table__192.168.1.150_Daily_Delinquency_With_Sectors[[#This Row],[Days in Arrears]] &gt; 30, Table__192.168.1.150_Daily_Delinquency_With_Sectors[[#This Row],[Outstanding Balance]],0)</f>
        <v>0</v>
      </c>
      <c r="T1011" s="105">
        <f>IF(Table__192.168.1.150_Daily_Delinquency_With_Sectors[[#This Row],[Days in Arrears]] &gt; 90, Table__192.168.1.150_Daily_Delinquency_With_Sectors[[#This Row],[Outstanding Balance]],0)</f>
        <v>0</v>
      </c>
      <c r="U1011" s="109">
        <f>IF(Table__192.168.1.150_Daily_Delinquency_With_Sectors[[#This Row],[Days in Arrears]] &gt;= 1,1,0)</f>
        <v>0</v>
      </c>
      <c r="V1011" s="109">
        <f>IF(Table__192.168.1.150_Daily_Delinquency_With_Sectors[[#This Row],[Days in Arrears]] &gt; 30,1,0)</f>
        <v>0</v>
      </c>
      <c r="W1011" s="109">
        <f>IF(Table__192.168.1.150_Daily_Delinquency_With_Sectors[[#This Row],[Days in Arrears]] &gt; 90,1,0)</f>
        <v>0</v>
      </c>
    </row>
    <row r="1012" spans="1:23" x14ac:dyDescent="0.25">
      <c r="A1012" t="s">
        <v>3124</v>
      </c>
      <c r="B1012" t="s">
        <v>1282</v>
      </c>
      <c r="C1012">
        <v>7</v>
      </c>
      <c r="D1012" s="105">
        <v>2134581.0099999998</v>
      </c>
      <c r="E1012" t="s">
        <v>1909</v>
      </c>
      <c r="F1012" s="105">
        <v>99307.08</v>
      </c>
      <c r="G1012" s="105">
        <v>2397423.85</v>
      </c>
      <c r="H1012" s="384">
        <v>42811.654107326387</v>
      </c>
      <c r="I1012" s="384">
        <v>43176</v>
      </c>
      <c r="J1012" t="s">
        <v>3125</v>
      </c>
      <c r="K1012" t="s">
        <v>1280</v>
      </c>
      <c r="L1012" t="s">
        <v>1280</v>
      </c>
      <c r="M1012">
        <v>200889</v>
      </c>
      <c r="N1012" t="s">
        <v>3123</v>
      </c>
      <c r="O1012" t="s">
        <v>25</v>
      </c>
      <c r="P1012" t="s">
        <v>88</v>
      </c>
      <c r="Q1012" t="s">
        <v>26</v>
      </c>
      <c r="R1012" s="105">
        <f>IF(Table__192.168.1.150_Daily_Delinquency_With_Sectors[[#This Row],[Days in Arrears]] &gt; 0, Table__192.168.1.150_Daily_Delinquency_With_Sectors[[#This Row],[Outstanding Balance]],0)</f>
        <v>2134581.0099999998</v>
      </c>
      <c r="S1012" s="105">
        <f>IF(Table__192.168.1.150_Daily_Delinquency_With_Sectors[[#This Row],[Days in Arrears]] &gt; 30, Table__192.168.1.150_Daily_Delinquency_With_Sectors[[#This Row],[Outstanding Balance]],0)</f>
        <v>0</v>
      </c>
      <c r="T1012" s="105">
        <f>IF(Table__192.168.1.150_Daily_Delinquency_With_Sectors[[#This Row],[Days in Arrears]] &gt; 90, Table__192.168.1.150_Daily_Delinquency_With_Sectors[[#This Row],[Outstanding Balance]],0)</f>
        <v>0</v>
      </c>
      <c r="U1012" s="109">
        <f>IF(Table__192.168.1.150_Daily_Delinquency_With_Sectors[[#This Row],[Days in Arrears]] &gt;= 1,1,0)</f>
        <v>1</v>
      </c>
      <c r="V1012" s="109">
        <f>IF(Table__192.168.1.150_Daily_Delinquency_With_Sectors[[#This Row],[Days in Arrears]] &gt; 30,1,0)</f>
        <v>0</v>
      </c>
      <c r="W1012" s="109">
        <f>IF(Table__192.168.1.150_Daily_Delinquency_With_Sectors[[#This Row],[Days in Arrears]] &gt; 90,1,0)</f>
        <v>0</v>
      </c>
    </row>
    <row r="1013" spans="1:23" x14ac:dyDescent="0.25">
      <c r="A1013" t="s">
        <v>4260</v>
      </c>
      <c r="B1013" t="s">
        <v>1284</v>
      </c>
      <c r="C1013">
        <v>7</v>
      </c>
      <c r="D1013" s="105">
        <v>7957020.1600000001</v>
      </c>
      <c r="E1013" t="s">
        <v>2855</v>
      </c>
      <c r="F1013" s="105">
        <v>52790.12</v>
      </c>
      <c r="G1013" s="105">
        <v>9047411.2200000007</v>
      </c>
      <c r="H1013" s="384">
        <v>42811.759254363424</v>
      </c>
      <c r="I1013" s="384">
        <v>43268</v>
      </c>
      <c r="J1013" t="s">
        <v>4261</v>
      </c>
      <c r="K1013" t="s">
        <v>1280</v>
      </c>
      <c r="L1013" t="s">
        <v>4262</v>
      </c>
      <c r="M1013">
        <v>200891</v>
      </c>
      <c r="N1013" t="s">
        <v>4256</v>
      </c>
      <c r="O1013" t="s">
        <v>44</v>
      </c>
      <c r="P1013" t="s">
        <v>75</v>
      </c>
      <c r="Q1013" t="s">
        <v>1442</v>
      </c>
      <c r="R1013" s="105">
        <f>IF(Table__192.168.1.150_Daily_Delinquency_With_Sectors[[#This Row],[Days in Arrears]] &gt; 0, Table__192.168.1.150_Daily_Delinquency_With_Sectors[[#This Row],[Outstanding Balance]],0)</f>
        <v>7957020.1600000001</v>
      </c>
      <c r="S1013" s="105">
        <f>IF(Table__192.168.1.150_Daily_Delinquency_With_Sectors[[#This Row],[Days in Arrears]] &gt; 30, Table__192.168.1.150_Daily_Delinquency_With_Sectors[[#This Row],[Outstanding Balance]],0)</f>
        <v>0</v>
      </c>
      <c r="T1013" s="105">
        <f>IF(Table__192.168.1.150_Daily_Delinquency_With_Sectors[[#This Row],[Days in Arrears]] &gt; 90, Table__192.168.1.150_Daily_Delinquency_With_Sectors[[#This Row],[Outstanding Balance]],0)</f>
        <v>0</v>
      </c>
      <c r="U1013" s="109">
        <f>IF(Table__192.168.1.150_Daily_Delinquency_With_Sectors[[#This Row],[Days in Arrears]] &gt;= 1,1,0)</f>
        <v>1</v>
      </c>
      <c r="V1013" s="109">
        <f>IF(Table__192.168.1.150_Daily_Delinquency_With_Sectors[[#This Row],[Days in Arrears]] &gt; 30,1,0)</f>
        <v>0</v>
      </c>
      <c r="W1013" s="109">
        <f>IF(Table__192.168.1.150_Daily_Delinquency_With_Sectors[[#This Row],[Days in Arrears]] &gt; 90,1,0)</f>
        <v>0</v>
      </c>
    </row>
    <row r="1014" spans="1:23" x14ac:dyDescent="0.25">
      <c r="A1014" t="s">
        <v>2726</v>
      </c>
      <c r="B1014" t="s">
        <v>1279</v>
      </c>
      <c r="C1014">
        <v>6</v>
      </c>
      <c r="D1014" s="105">
        <v>2134581.0099999998</v>
      </c>
      <c r="E1014" t="s">
        <v>2494</v>
      </c>
      <c r="F1014" s="105">
        <v>36121.78</v>
      </c>
      <c r="G1014" s="105">
        <v>2336559.19</v>
      </c>
      <c r="H1014" s="384">
        <v>42812.444238888886</v>
      </c>
      <c r="I1014" s="384">
        <v>43177</v>
      </c>
      <c r="J1014" t="s">
        <v>2727</v>
      </c>
      <c r="K1014" t="s">
        <v>2728</v>
      </c>
      <c r="L1014" t="s">
        <v>1280</v>
      </c>
      <c r="M1014">
        <v>200892</v>
      </c>
      <c r="N1014" t="s">
        <v>2714</v>
      </c>
      <c r="O1014" t="s">
        <v>25</v>
      </c>
      <c r="P1014" t="s">
        <v>26</v>
      </c>
      <c r="Q1014" t="s">
        <v>26</v>
      </c>
      <c r="R1014" s="105">
        <f>IF(Table__192.168.1.150_Daily_Delinquency_With_Sectors[[#This Row],[Days in Arrears]] &gt; 0, Table__192.168.1.150_Daily_Delinquency_With_Sectors[[#This Row],[Outstanding Balance]],0)</f>
        <v>2134581.0099999998</v>
      </c>
      <c r="S1014" s="105">
        <f>IF(Table__192.168.1.150_Daily_Delinquency_With_Sectors[[#This Row],[Days in Arrears]] &gt; 30, Table__192.168.1.150_Daily_Delinquency_With_Sectors[[#This Row],[Outstanding Balance]],0)</f>
        <v>0</v>
      </c>
      <c r="T1014" s="105">
        <f>IF(Table__192.168.1.150_Daily_Delinquency_With_Sectors[[#This Row],[Days in Arrears]] &gt; 90, Table__192.168.1.150_Daily_Delinquency_With_Sectors[[#This Row],[Outstanding Balance]],0)</f>
        <v>0</v>
      </c>
      <c r="U1014" s="109">
        <f>IF(Table__192.168.1.150_Daily_Delinquency_With_Sectors[[#This Row],[Days in Arrears]] &gt;= 1,1,0)</f>
        <v>1</v>
      </c>
      <c r="V1014" s="109">
        <f>IF(Table__192.168.1.150_Daily_Delinquency_With_Sectors[[#This Row],[Days in Arrears]] &gt; 30,1,0)</f>
        <v>0</v>
      </c>
      <c r="W1014" s="109">
        <f>IF(Table__192.168.1.150_Daily_Delinquency_With_Sectors[[#This Row],[Days in Arrears]] &gt; 90,1,0)</f>
        <v>0</v>
      </c>
    </row>
    <row r="1015" spans="1:23" x14ac:dyDescent="0.25">
      <c r="A1015" t="s">
        <v>4268</v>
      </c>
      <c r="B1015" t="s">
        <v>1279</v>
      </c>
      <c r="C1015">
        <v>-24</v>
      </c>
      <c r="D1015" s="105">
        <v>1180290.77</v>
      </c>
      <c r="E1015" t="s">
        <v>2557</v>
      </c>
      <c r="F1015" s="105">
        <v>8852.18</v>
      </c>
      <c r="G1015" s="105">
        <v>1315994.21</v>
      </c>
      <c r="H1015" s="384">
        <v>42812.532050729169</v>
      </c>
      <c r="I1015" s="384">
        <v>43177</v>
      </c>
      <c r="J1015" t="s">
        <v>4269</v>
      </c>
      <c r="K1015" t="s">
        <v>1280</v>
      </c>
      <c r="L1015" t="s">
        <v>1280</v>
      </c>
      <c r="M1015">
        <v>200893</v>
      </c>
      <c r="N1015" t="s">
        <v>4264</v>
      </c>
      <c r="O1015" t="s">
        <v>25</v>
      </c>
      <c r="P1015" t="s">
        <v>88</v>
      </c>
      <c r="Q1015" t="s">
        <v>26</v>
      </c>
      <c r="R1015" s="105">
        <f>IF(Table__192.168.1.150_Daily_Delinquency_With_Sectors[[#This Row],[Days in Arrears]] &gt; 0, Table__192.168.1.150_Daily_Delinquency_With_Sectors[[#This Row],[Outstanding Balance]],0)</f>
        <v>0</v>
      </c>
      <c r="S1015" s="105">
        <f>IF(Table__192.168.1.150_Daily_Delinquency_With_Sectors[[#This Row],[Days in Arrears]] &gt; 30, Table__192.168.1.150_Daily_Delinquency_With_Sectors[[#This Row],[Outstanding Balance]],0)</f>
        <v>0</v>
      </c>
      <c r="T1015" s="105">
        <f>IF(Table__192.168.1.150_Daily_Delinquency_With_Sectors[[#This Row],[Days in Arrears]] &gt; 90, Table__192.168.1.150_Daily_Delinquency_With_Sectors[[#This Row],[Outstanding Balance]],0)</f>
        <v>0</v>
      </c>
      <c r="U1015" s="109">
        <f>IF(Table__192.168.1.150_Daily_Delinquency_With_Sectors[[#This Row],[Days in Arrears]] &gt;= 1,1,0)</f>
        <v>0</v>
      </c>
      <c r="V1015" s="109">
        <f>IF(Table__192.168.1.150_Daily_Delinquency_With_Sectors[[#This Row],[Days in Arrears]] &gt; 30,1,0)</f>
        <v>0</v>
      </c>
      <c r="W1015" s="109">
        <f>IF(Table__192.168.1.150_Daily_Delinquency_With_Sectors[[#This Row],[Days in Arrears]] &gt; 90,1,0)</f>
        <v>0</v>
      </c>
    </row>
    <row r="1016" spans="1:23" x14ac:dyDescent="0.25">
      <c r="A1016" t="s">
        <v>2377</v>
      </c>
      <c r="B1016" t="s">
        <v>1282</v>
      </c>
      <c r="C1016">
        <v>0</v>
      </c>
      <c r="D1016" s="105">
        <v>2846108.03</v>
      </c>
      <c r="E1016" t="s">
        <v>2861</v>
      </c>
      <c r="F1016" s="105">
        <v>110049.51</v>
      </c>
      <c r="G1016" s="105">
        <v>3196565.14</v>
      </c>
      <c r="H1016" s="384">
        <v>42818.463421956018</v>
      </c>
      <c r="I1016" s="384">
        <v>43183</v>
      </c>
      <c r="J1016" t="s">
        <v>2378</v>
      </c>
      <c r="K1016" t="s">
        <v>1280</v>
      </c>
      <c r="L1016" t="s">
        <v>1280</v>
      </c>
      <c r="M1016">
        <v>200894</v>
      </c>
      <c r="N1016" t="s">
        <v>2372</v>
      </c>
      <c r="O1016" t="s">
        <v>25</v>
      </c>
      <c r="P1016" t="s">
        <v>88</v>
      </c>
      <c r="Q1016" t="s">
        <v>285</v>
      </c>
      <c r="R1016" s="105">
        <f>IF(Table__192.168.1.150_Daily_Delinquency_With_Sectors[[#This Row],[Days in Arrears]] &gt; 0, Table__192.168.1.150_Daily_Delinquency_With_Sectors[[#This Row],[Outstanding Balance]],0)</f>
        <v>0</v>
      </c>
      <c r="S1016" s="105">
        <f>IF(Table__192.168.1.150_Daily_Delinquency_With_Sectors[[#This Row],[Days in Arrears]] &gt; 30, Table__192.168.1.150_Daily_Delinquency_With_Sectors[[#This Row],[Outstanding Balance]],0)</f>
        <v>0</v>
      </c>
      <c r="T1016" s="105">
        <f>IF(Table__192.168.1.150_Daily_Delinquency_With_Sectors[[#This Row],[Days in Arrears]] &gt; 90, Table__192.168.1.150_Daily_Delinquency_With_Sectors[[#This Row],[Outstanding Balance]],0)</f>
        <v>0</v>
      </c>
      <c r="U1016" s="109">
        <f>IF(Table__192.168.1.150_Daily_Delinquency_With_Sectors[[#This Row],[Days in Arrears]] &gt;= 1,1,0)</f>
        <v>0</v>
      </c>
      <c r="V1016" s="109">
        <f>IF(Table__192.168.1.150_Daily_Delinquency_With_Sectors[[#This Row],[Days in Arrears]] &gt; 30,1,0)</f>
        <v>0</v>
      </c>
      <c r="W1016" s="109">
        <f>IF(Table__192.168.1.150_Daily_Delinquency_With_Sectors[[#This Row],[Days in Arrears]] &gt; 90,1,0)</f>
        <v>0</v>
      </c>
    </row>
    <row r="1017" spans="1:23" x14ac:dyDescent="0.25">
      <c r="A1017" t="s">
        <v>4290</v>
      </c>
      <c r="B1017" t="s">
        <v>1282</v>
      </c>
      <c r="C1017">
        <v>123</v>
      </c>
      <c r="D1017" s="105">
        <v>3723563.01</v>
      </c>
      <c r="E1017" t="s">
        <v>2034</v>
      </c>
      <c r="F1017" s="105">
        <v>175716.22</v>
      </c>
      <c r="G1017" s="105">
        <v>4287863.2</v>
      </c>
      <c r="H1017" s="384">
        <v>42815.688522685188</v>
      </c>
      <c r="I1017" s="384">
        <v>43121</v>
      </c>
      <c r="J1017" t="s">
        <v>4291</v>
      </c>
      <c r="K1017" t="s">
        <v>1280</v>
      </c>
      <c r="L1017" t="s">
        <v>1280</v>
      </c>
      <c r="M1017">
        <v>200896</v>
      </c>
      <c r="N1017" t="s">
        <v>4283</v>
      </c>
      <c r="O1017" t="s">
        <v>25</v>
      </c>
      <c r="P1017" t="s">
        <v>26</v>
      </c>
      <c r="Q1017" t="s">
        <v>26</v>
      </c>
      <c r="R1017" s="105">
        <f>IF(Table__192.168.1.150_Daily_Delinquency_With_Sectors[[#This Row],[Days in Arrears]] &gt; 0, Table__192.168.1.150_Daily_Delinquency_With_Sectors[[#This Row],[Outstanding Balance]],0)</f>
        <v>3723563.01</v>
      </c>
      <c r="S1017" s="105">
        <f>IF(Table__192.168.1.150_Daily_Delinquency_With_Sectors[[#This Row],[Days in Arrears]] &gt; 30, Table__192.168.1.150_Daily_Delinquency_With_Sectors[[#This Row],[Outstanding Balance]],0)</f>
        <v>3723563.01</v>
      </c>
      <c r="T1017" s="105">
        <f>IF(Table__192.168.1.150_Daily_Delinquency_With_Sectors[[#This Row],[Days in Arrears]] &gt; 90, Table__192.168.1.150_Daily_Delinquency_With_Sectors[[#This Row],[Outstanding Balance]],0)</f>
        <v>3723563.01</v>
      </c>
      <c r="U1017" s="109">
        <f>IF(Table__192.168.1.150_Daily_Delinquency_With_Sectors[[#This Row],[Days in Arrears]] &gt;= 1,1,0)</f>
        <v>1</v>
      </c>
      <c r="V1017" s="109">
        <f>IF(Table__192.168.1.150_Daily_Delinquency_With_Sectors[[#This Row],[Days in Arrears]] &gt; 30,1,0)</f>
        <v>1</v>
      </c>
      <c r="W1017" s="109">
        <f>IF(Table__192.168.1.150_Daily_Delinquency_With_Sectors[[#This Row],[Days in Arrears]] &gt; 90,1,0)</f>
        <v>1</v>
      </c>
    </row>
    <row r="1018" spans="1:23" x14ac:dyDescent="0.25">
      <c r="A1018" t="s">
        <v>4292</v>
      </c>
      <c r="B1018" t="s">
        <v>1282</v>
      </c>
      <c r="C1018">
        <v>3</v>
      </c>
      <c r="D1018" s="105">
        <v>1586437.27</v>
      </c>
      <c r="E1018" t="s">
        <v>963</v>
      </c>
      <c r="F1018" s="105">
        <v>91378.92</v>
      </c>
      <c r="G1018" s="105">
        <v>1767375.21</v>
      </c>
      <c r="H1018" s="384">
        <v>42815.578442905091</v>
      </c>
      <c r="I1018" s="384">
        <v>43180</v>
      </c>
      <c r="J1018" t="s">
        <v>4293</v>
      </c>
      <c r="K1018" t="s">
        <v>1280</v>
      </c>
      <c r="L1018" t="s">
        <v>4294</v>
      </c>
      <c r="M1018">
        <v>200897</v>
      </c>
      <c r="N1018" t="s">
        <v>4280</v>
      </c>
      <c r="O1018" t="s">
        <v>25</v>
      </c>
      <c r="P1018" t="s">
        <v>32</v>
      </c>
      <c r="Q1018" t="s">
        <v>3369</v>
      </c>
      <c r="R1018" s="105">
        <f>IF(Table__192.168.1.150_Daily_Delinquency_With_Sectors[[#This Row],[Days in Arrears]] &gt; 0, Table__192.168.1.150_Daily_Delinquency_With_Sectors[[#This Row],[Outstanding Balance]],0)</f>
        <v>1586437.27</v>
      </c>
      <c r="S1018" s="105">
        <f>IF(Table__192.168.1.150_Daily_Delinquency_With_Sectors[[#This Row],[Days in Arrears]] &gt; 30, Table__192.168.1.150_Daily_Delinquency_With_Sectors[[#This Row],[Outstanding Balance]],0)</f>
        <v>0</v>
      </c>
      <c r="T1018" s="105">
        <f>IF(Table__192.168.1.150_Daily_Delinquency_With_Sectors[[#This Row],[Days in Arrears]] &gt; 90, Table__192.168.1.150_Daily_Delinquency_With_Sectors[[#This Row],[Outstanding Balance]],0)</f>
        <v>0</v>
      </c>
      <c r="U1018" s="109">
        <f>IF(Table__192.168.1.150_Daily_Delinquency_With_Sectors[[#This Row],[Days in Arrears]] &gt;= 1,1,0)</f>
        <v>1</v>
      </c>
      <c r="V1018" s="109">
        <f>IF(Table__192.168.1.150_Daily_Delinquency_With_Sectors[[#This Row],[Days in Arrears]] &gt; 30,1,0)</f>
        <v>0</v>
      </c>
      <c r="W1018" s="109">
        <f>IF(Table__192.168.1.150_Daily_Delinquency_With_Sectors[[#This Row],[Days in Arrears]] &gt; 90,1,0)</f>
        <v>0</v>
      </c>
    </row>
    <row r="1019" spans="1:23" x14ac:dyDescent="0.25">
      <c r="A1019" t="s">
        <v>4298</v>
      </c>
      <c r="B1019" t="s">
        <v>1283</v>
      </c>
      <c r="C1019">
        <v>3</v>
      </c>
      <c r="D1019" s="105">
        <v>37358593.020000003</v>
      </c>
      <c r="E1019" t="s">
        <v>491</v>
      </c>
      <c r="F1019" s="105">
        <v>1321933.8899999999</v>
      </c>
      <c r="G1019" s="105">
        <v>45237748.920000002</v>
      </c>
      <c r="H1019" s="384">
        <v>42815.615635185182</v>
      </c>
      <c r="I1019" s="384">
        <v>43364</v>
      </c>
      <c r="J1019" t="s">
        <v>4299</v>
      </c>
      <c r="K1019" t="s">
        <v>1280</v>
      </c>
      <c r="L1019" t="s">
        <v>4300</v>
      </c>
      <c r="M1019">
        <v>200899</v>
      </c>
      <c r="N1019" t="s">
        <v>4277</v>
      </c>
      <c r="O1019" t="s">
        <v>36</v>
      </c>
      <c r="P1019" t="s">
        <v>1023</v>
      </c>
      <c r="Q1019" t="s">
        <v>4042</v>
      </c>
      <c r="R1019" s="105">
        <f>IF(Table__192.168.1.150_Daily_Delinquency_With_Sectors[[#This Row],[Days in Arrears]] &gt; 0, Table__192.168.1.150_Daily_Delinquency_With_Sectors[[#This Row],[Outstanding Balance]],0)</f>
        <v>37358593.020000003</v>
      </c>
      <c r="S1019" s="105">
        <f>IF(Table__192.168.1.150_Daily_Delinquency_With_Sectors[[#This Row],[Days in Arrears]] &gt; 30, Table__192.168.1.150_Daily_Delinquency_With_Sectors[[#This Row],[Outstanding Balance]],0)</f>
        <v>0</v>
      </c>
      <c r="T1019" s="105">
        <f>IF(Table__192.168.1.150_Daily_Delinquency_With_Sectors[[#This Row],[Days in Arrears]] &gt; 90, Table__192.168.1.150_Daily_Delinquency_With_Sectors[[#This Row],[Outstanding Balance]],0)</f>
        <v>0</v>
      </c>
      <c r="U1019" s="109">
        <f>IF(Table__192.168.1.150_Daily_Delinquency_With_Sectors[[#This Row],[Days in Arrears]] &gt;= 1,1,0)</f>
        <v>1</v>
      </c>
      <c r="V1019" s="109">
        <f>IF(Table__192.168.1.150_Daily_Delinquency_With_Sectors[[#This Row],[Days in Arrears]] &gt; 30,1,0)</f>
        <v>0</v>
      </c>
      <c r="W1019" s="109">
        <f>IF(Table__192.168.1.150_Daily_Delinquency_With_Sectors[[#This Row],[Days in Arrears]] &gt; 90,1,0)</f>
        <v>0</v>
      </c>
    </row>
    <row r="1020" spans="1:23" x14ac:dyDescent="0.25">
      <c r="A1020" t="s">
        <v>4303</v>
      </c>
      <c r="B1020" t="s">
        <v>1279</v>
      </c>
      <c r="C1020">
        <v>93</v>
      </c>
      <c r="D1020" s="105">
        <v>982297.53</v>
      </c>
      <c r="E1020" t="s">
        <v>3074</v>
      </c>
      <c r="F1020" s="105">
        <v>36258.949999999997</v>
      </c>
      <c r="G1020" s="105">
        <v>1058416.3899999999</v>
      </c>
      <c r="H1020" s="384">
        <v>42815.728533912035</v>
      </c>
      <c r="I1020" s="384">
        <v>43060</v>
      </c>
      <c r="J1020" t="s">
        <v>4304</v>
      </c>
      <c r="K1020" t="s">
        <v>1280</v>
      </c>
      <c r="L1020" t="s">
        <v>1280</v>
      </c>
      <c r="M1020">
        <v>200901</v>
      </c>
      <c r="N1020" t="s">
        <v>4279</v>
      </c>
      <c r="O1020" t="s">
        <v>36</v>
      </c>
      <c r="P1020" t="s">
        <v>97</v>
      </c>
      <c r="Q1020" t="s">
        <v>98</v>
      </c>
      <c r="R1020" s="105">
        <f>IF(Table__192.168.1.150_Daily_Delinquency_With_Sectors[[#This Row],[Days in Arrears]] &gt; 0, Table__192.168.1.150_Daily_Delinquency_With_Sectors[[#This Row],[Outstanding Balance]],0)</f>
        <v>982297.53</v>
      </c>
      <c r="S1020" s="105">
        <f>IF(Table__192.168.1.150_Daily_Delinquency_With_Sectors[[#This Row],[Days in Arrears]] &gt; 30, Table__192.168.1.150_Daily_Delinquency_With_Sectors[[#This Row],[Outstanding Balance]],0)</f>
        <v>982297.53</v>
      </c>
      <c r="T1020" s="105">
        <f>IF(Table__192.168.1.150_Daily_Delinquency_With_Sectors[[#This Row],[Days in Arrears]] &gt; 90, Table__192.168.1.150_Daily_Delinquency_With_Sectors[[#This Row],[Outstanding Balance]],0)</f>
        <v>982297.53</v>
      </c>
      <c r="U1020" s="109">
        <f>IF(Table__192.168.1.150_Daily_Delinquency_With_Sectors[[#This Row],[Days in Arrears]] &gt;= 1,1,0)</f>
        <v>1</v>
      </c>
      <c r="V1020" s="109">
        <f>IF(Table__192.168.1.150_Daily_Delinquency_With_Sectors[[#This Row],[Days in Arrears]] &gt; 30,1,0)</f>
        <v>1</v>
      </c>
      <c r="W1020" s="109">
        <f>IF(Table__192.168.1.150_Daily_Delinquency_With_Sectors[[#This Row],[Days in Arrears]] &gt; 90,1,0)</f>
        <v>1</v>
      </c>
    </row>
    <row r="1021" spans="1:23" x14ac:dyDescent="0.25">
      <c r="A1021" t="s">
        <v>4314</v>
      </c>
      <c r="B1021" t="s">
        <v>1282</v>
      </c>
      <c r="C1021">
        <v>2</v>
      </c>
      <c r="D1021" s="105">
        <v>2407160.11</v>
      </c>
      <c r="E1021" t="s">
        <v>1447</v>
      </c>
      <c r="F1021" s="105">
        <v>111272.93</v>
      </c>
      <c r="G1021" s="105">
        <v>2741654.74</v>
      </c>
      <c r="H1021" s="384">
        <v>42816.495054513885</v>
      </c>
      <c r="I1021" s="384">
        <v>43181</v>
      </c>
      <c r="J1021" t="s">
        <v>4315</v>
      </c>
      <c r="K1021" t="s">
        <v>1280</v>
      </c>
      <c r="L1021" t="s">
        <v>4316</v>
      </c>
      <c r="M1021">
        <v>200902</v>
      </c>
      <c r="N1021" t="s">
        <v>4308</v>
      </c>
      <c r="O1021" t="s">
        <v>44</v>
      </c>
      <c r="P1021" t="s">
        <v>75</v>
      </c>
      <c r="Q1021" t="s">
        <v>1442</v>
      </c>
      <c r="R1021" s="105">
        <f>IF(Table__192.168.1.150_Daily_Delinquency_With_Sectors[[#This Row],[Days in Arrears]] &gt; 0, Table__192.168.1.150_Daily_Delinquency_With_Sectors[[#This Row],[Outstanding Balance]],0)</f>
        <v>2407160.11</v>
      </c>
      <c r="S1021" s="105">
        <f>IF(Table__192.168.1.150_Daily_Delinquency_With_Sectors[[#This Row],[Days in Arrears]] &gt; 30, Table__192.168.1.150_Daily_Delinquency_With_Sectors[[#This Row],[Outstanding Balance]],0)</f>
        <v>0</v>
      </c>
      <c r="T1021" s="105">
        <f>IF(Table__192.168.1.150_Daily_Delinquency_With_Sectors[[#This Row],[Days in Arrears]] &gt; 90, Table__192.168.1.150_Daily_Delinquency_With_Sectors[[#This Row],[Outstanding Balance]],0)</f>
        <v>0</v>
      </c>
      <c r="U1021" s="109">
        <f>IF(Table__192.168.1.150_Daily_Delinquency_With_Sectors[[#This Row],[Days in Arrears]] &gt;= 1,1,0)</f>
        <v>1</v>
      </c>
      <c r="V1021" s="109">
        <f>IF(Table__192.168.1.150_Daily_Delinquency_With_Sectors[[#This Row],[Days in Arrears]] &gt; 30,1,0)</f>
        <v>0</v>
      </c>
      <c r="W1021" s="109">
        <f>IF(Table__192.168.1.150_Daily_Delinquency_With_Sectors[[#This Row],[Days in Arrears]] &gt; 90,1,0)</f>
        <v>0</v>
      </c>
    </row>
    <row r="1022" spans="1:23" x14ac:dyDescent="0.25">
      <c r="A1022" t="s">
        <v>4320</v>
      </c>
      <c r="B1022" t="s">
        <v>1282</v>
      </c>
      <c r="C1022">
        <v>2</v>
      </c>
      <c r="D1022" s="105">
        <v>2888592.12</v>
      </c>
      <c r="E1022" t="s">
        <v>1447</v>
      </c>
      <c r="F1022" s="105">
        <v>133527.51999999999</v>
      </c>
      <c r="G1022" s="105">
        <v>3289985.68</v>
      </c>
      <c r="H1022" s="384">
        <v>42816.696472187497</v>
      </c>
      <c r="I1022" s="384">
        <v>43181</v>
      </c>
      <c r="J1022" t="s">
        <v>4321</v>
      </c>
      <c r="K1022" t="s">
        <v>1280</v>
      </c>
      <c r="L1022" t="s">
        <v>4322</v>
      </c>
      <c r="M1022">
        <v>200905</v>
      </c>
      <c r="N1022" t="s">
        <v>4306</v>
      </c>
      <c r="O1022" t="s">
        <v>25</v>
      </c>
      <c r="P1022" t="s">
        <v>26</v>
      </c>
      <c r="Q1022" t="s">
        <v>26</v>
      </c>
      <c r="R1022" s="105">
        <f>IF(Table__192.168.1.150_Daily_Delinquency_With_Sectors[[#This Row],[Days in Arrears]] &gt; 0, Table__192.168.1.150_Daily_Delinquency_With_Sectors[[#This Row],[Outstanding Balance]],0)</f>
        <v>2888592.12</v>
      </c>
      <c r="S1022" s="105">
        <f>IF(Table__192.168.1.150_Daily_Delinquency_With_Sectors[[#This Row],[Days in Arrears]] &gt; 30, Table__192.168.1.150_Daily_Delinquency_With_Sectors[[#This Row],[Outstanding Balance]],0)</f>
        <v>0</v>
      </c>
      <c r="T1022" s="105">
        <f>IF(Table__192.168.1.150_Daily_Delinquency_With_Sectors[[#This Row],[Days in Arrears]] &gt; 90, Table__192.168.1.150_Daily_Delinquency_With_Sectors[[#This Row],[Outstanding Balance]],0)</f>
        <v>0</v>
      </c>
      <c r="U1022" s="109">
        <f>IF(Table__192.168.1.150_Daily_Delinquency_With_Sectors[[#This Row],[Days in Arrears]] &gt;= 1,1,0)</f>
        <v>1</v>
      </c>
      <c r="V1022" s="109">
        <f>IF(Table__192.168.1.150_Daily_Delinquency_With_Sectors[[#This Row],[Days in Arrears]] &gt; 30,1,0)</f>
        <v>0</v>
      </c>
      <c r="W1022" s="109">
        <f>IF(Table__192.168.1.150_Daily_Delinquency_With_Sectors[[#This Row],[Days in Arrears]] &gt; 90,1,0)</f>
        <v>0</v>
      </c>
    </row>
    <row r="1023" spans="1:23" x14ac:dyDescent="0.25">
      <c r="A1023" t="s">
        <v>2243</v>
      </c>
      <c r="B1023" t="s">
        <v>1282</v>
      </c>
      <c r="C1023">
        <v>1</v>
      </c>
      <c r="D1023" s="105">
        <v>2846108.03</v>
      </c>
      <c r="E1023" t="s">
        <v>1467</v>
      </c>
      <c r="F1023" s="105">
        <v>113844.32</v>
      </c>
      <c r="G1023" s="105">
        <v>3196565.14</v>
      </c>
      <c r="H1023" s="384">
        <v>42817.435043900463</v>
      </c>
      <c r="I1023" s="384">
        <v>43182</v>
      </c>
      <c r="J1023" t="s">
        <v>2244</v>
      </c>
      <c r="K1023" t="s">
        <v>1280</v>
      </c>
      <c r="L1023" t="s">
        <v>1280</v>
      </c>
      <c r="M1023">
        <v>200906</v>
      </c>
      <c r="N1023" t="s">
        <v>2235</v>
      </c>
      <c r="O1023" t="s">
        <v>44</v>
      </c>
      <c r="P1023" t="s">
        <v>75</v>
      </c>
      <c r="Q1023" t="s">
        <v>26</v>
      </c>
      <c r="R1023" s="105">
        <f>IF(Table__192.168.1.150_Daily_Delinquency_With_Sectors[[#This Row],[Days in Arrears]] &gt; 0, Table__192.168.1.150_Daily_Delinquency_With_Sectors[[#This Row],[Outstanding Balance]],0)</f>
        <v>2846108.03</v>
      </c>
      <c r="S1023" s="105">
        <f>IF(Table__192.168.1.150_Daily_Delinquency_With_Sectors[[#This Row],[Days in Arrears]] &gt; 30, Table__192.168.1.150_Daily_Delinquency_With_Sectors[[#This Row],[Outstanding Balance]],0)</f>
        <v>0</v>
      </c>
      <c r="T1023" s="105">
        <f>IF(Table__192.168.1.150_Daily_Delinquency_With_Sectors[[#This Row],[Days in Arrears]] &gt; 90, Table__192.168.1.150_Daily_Delinquency_With_Sectors[[#This Row],[Outstanding Balance]],0)</f>
        <v>0</v>
      </c>
      <c r="U1023" s="109">
        <f>IF(Table__192.168.1.150_Daily_Delinquency_With_Sectors[[#This Row],[Days in Arrears]] &gt;= 1,1,0)</f>
        <v>1</v>
      </c>
      <c r="V1023" s="109">
        <f>IF(Table__192.168.1.150_Daily_Delinquency_With_Sectors[[#This Row],[Days in Arrears]] &gt; 30,1,0)</f>
        <v>0</v>
      </c>
      <c r="W1023" s="109">
        <f>IF(Table__192.168.1.150_Daily_Delinquency_With_Sectors[[#This Row],[Days in Arrears]] &gt; 90,1,0)</f>
        <v>0</v>
      </c>
    </row>
    <row r="1024" spans="1:23" x14ac:dyDescent="0.25">
      <c r="A1024" t="s">
        <v>2680</v>
      </c>
      <c r="B1024" t="s">
        <v>1282</v>
      </c>
      <c r="C1024">
        <v>0</v>
      </c>
      <c r="D1024" s="105">
        <v>4743513.4000000004</v>
      </c>
      <c r="E1024" t="s">
        <v>2538</v>
      </c>
      <c r="F1024" s="105">
        <v>183415.85</v>
      </c>
      <c r="G1024" s="105">
        <v>5327608.6100000003</v>
      </c>
      <c r="H1024" s="384">
        <v>42818.709434606484</v>
      </c>
      <c r="I1024" s="384">
        <v>43183</v>
      </c>
      <c r="J1024" t="s">
        <v>2681</v>
      </c>
      <c r="K1024" t="s">
        <v>1280</v>
      </c>
      <c r="L1024" t="s">
        <v>1280</v>
      </c>
      <c r="M1024">
        <v>200910</v>
      </c>
      <c r="N1024" t="s">
        <v>2674</v>
      </c>
      <c r="O1024" t="s">
        <v>31</v>
      </c>
      <c r="P1024" t="s">
        <v>298</v>
      </c>
      <c r="Q1024" t="s">
        <v>26</v>
      </c>
      <c r="R1024" s="105">
        <f>IF(Table__192.168.1.150_Daily_Delinquency_With_Sectors[[#This Row],[Days in Arrears]] &gt; 0, Table__192.168.1.150_Daily_Delinquency_With_Sectors[[#This Row],[Outstanding Balance]],0)</f>
        <v>0</v>
      </c>
      <c r="S1024" s="105">
        <f>IF(Table__192.168.1.150_Daily_Delinquency_With_Sectors[[#This Row],[Days in Arrears]] &gt; 30, Table__192.168.1.150_Daily_Delinquency_With_Sectors[[#This Row],[Outstanding Balance]],0)</f>
        <v>0</v>
      </c>
      <c r="T1024" s="105">
        <f>IF(Table__192.168.1.150_Daily_Delinquency_With_Sectors[[#This Row],[Days in Arrears]] &gt; 90, Table__192.168.1.150_Daily_Delinquency_With_Sectors[[#This Row],[Outstanding Balance]],0)</f>
        <v>0</v>
      </c>
      <c r="U1024" s="109">
        <f>IF(Table__192.168.1.150_Daily_Delinquency_With_Sectors[[#This Row],[Days in Arrears]] &gt;= 1,1,0)</f>
        <v>0</v>
      </c>
      <c r="V1024" s="109">
        <f>IF(Table__192.168.1.150_Daily_Delinquency_With_Sectors[[#This Row],[Days in Arrears]] &gt; 30,1,0)</f>
        <v>0</v>
      </c>
      <c r="W1024" s="109">
        <f>IF(Table__192.168.1.150_Daily_Delinquency_With_Sectors[[#This Row],[Days in Arrears]] &gt; 90,1,0)</f>
        <v>0</v>
      </c>
    </row>
    <row r="1025" spans="1:23" x14ac:dyDescent="0.25">
      <c r="A1025" t="s">
        <v>4346</v>
      </c>
      <c r="B1025" t="s">
        <v>1866</v>
      </c>
      <c r="C1025">
        <v>0</v>
      </c>
      <c r="D1025" s="105">
        <v>2063399.01</v>
      </c>
      <c r="E1025" t="s">
        <v>2855</v>
      </c>
      <c r="F1025" s="105">
        <v>83109.13</v>
      </c>
      <c r="G1025" s="105">
        <v>2237688.06</v>
      </c>
      <c r="H1025" s="384">
        <v>42818.746776736109</v>
      </c>
      <c r="I1025" s="384">
        <v>43124</v>
      </c>
      <c r="J1025" t="s">
        <v>4347</v>
      </c>
      <c r="K1025" t="s">
        <v>1280</v>
      </c>
      <c r="L1025" t="s">
        <v>4348</v>
      </c>
      <c r="M1025">
        <v>200913</v>
      </c>
      <c r="N1025" t="s">
        <v>4332</v>
      </c>
      <c r="O1025" t="s">
        <v>45</v>
      </c>
      <c r="P1025" t="s">
        <v>45</v>
      </c>
      <c r="Q1025" t="s">
        <v>26</v>
      </c>
      <c r="R1025" s="105">
        <f>IF(Table__192.168.1.150_Daily_Delinquency_With_Sectors[[#This Row],[Days in Arrears]] &gt; 0, Table__192.168.1.150_Daily_Delinquency_With_Sectors[[#This Row],[Outstanding Balance]],0)</f>
        <v>0</v>
      </c>
      <c r="S1025" s="105">
        <f>IF(Table__192.168.1.150_Daily_Delinquency_With_Sectors[[#This Row],[Days in Arrears]] &gt; 30, Table__192.168.1.150_Daily_Delinquency_With_Sectors[[#This Row],[Outstanding Balance]],0)</f>
        <v>0</v>
      </c>
      <c r="T1025" s="105">
        <f>IF(Table__192.168.1.150_Daily_Delinquency_With_Sectors[[#This Row],[Days in Arrears]] &gt; 90, Table__192.168.1.150_Daily_Delinquency_With_Sectors[[#This Row],[Outstanding Balance]],0)</f>
        <v>0</v>
      </c>
      <c r="U1025" s="109">
        <f>IF(Table__192.168.1.150_Daily_Delinquency_With_Sectors[[#This Row],[Days in Arrears]] &gt;= 1,1,0)</f>
        <v>0</v>
      </c>
      <c r="V1025" s="109">
        <f>IF(Table__192.168.1.150_Daily_Delinquency_With_Sectors[[#This Row],[Days in Arrears]] &gt; 30,1,0)</f>
        <v>0</v>
      </c>
      <c r="W1025" s="109">
        <f>IF(Table__192.168.1.150_Daily_Delinquency_With_Sectors[[#This Row],[Days in Arrears]] &gt; 90,1,0)</f>
        <v>0</v>
      </c>
    </row>
    <row r="1026" spans="1:23" x14ac:dyDescent="0.25">
      <c r="A1026" t="s">
        <v>4349</v>
      </c>
      <c r="B1026" t="s">
        <v>1282</v>
      </c>
      <c r="C1026">
        <v>90</v>
      </c>
      <c r="D1026" s="105">
        <v>5063419.8</v>
      </c>
      <c r="E1026" t="s">
        <v>2034</v>
      </c>
      <c r="F1026" s="105">
        <v>429685.98</v>
      </c>
      <c r="G1026" s="105">
        <v>6141306.5800000001</v>
      </c>
      <c r="H1026" s="384">
        <v>42818.801787881945</v>
      </c>
      <c r="I1026" s="384">
        <v>43183</v>
      </c>
      <c r="J1026" t="s">
        <v>4350</v>
      </c>
      <c r="K1026" t="s">
        <v>1280</v>
      </c>
      <c r="L1026" t="s">
        <v>4351</v>
      </c>
      <c r="M1026">
        <v>200916</v>
      </c>
      <c r="N1026" t="s">
        <v>4329</v>
      </c>
      <c r="O1026" t="s">
        <v>25</v>
      </c>
      <c r="P1026" t="s">
        <v>88</v>
      </c>
      <c r="Q1026" t="s">
        <v>26</v>
      </c>
      <c r="R1026" s="105">
        <f>IF(Table__192.168.1.150_Daily_Delinquency_With_Sectors[[#This Row],[Days in Arrears]] &gt; 0, Table__192.168.1.150_Daily_Delinquency_With_Sectors[[#This Row],[Outstanding Balance]],0)</f>
        <v>5063419.8</v>
      </c>
      <c r="S1026" s="105">
        <f>IF(Table__192.168.1.150_Daily_Delinquency_With_Sectors[[#This Row],[Days in Arrears]] &gt; 30, Table__192.168.1.150_Daily_Delinquency_With_Sectors[[#This Row],[Outstanding Balance]],0)</f>
        <v>5063419.8</v>
      </c>
      <c r="T1026" s="105">
        <f>IF(Table__192.168.1.150_Daily_Delinquency_With_Sectors[[#This Row],[Days in Arrears]] &gt; 90, Table__192.168.1.150_Daily_Delinquency_With_Sectors[[#This Row],[Outstanding Balance]],0)</f>
        <v>0</v>
      </c>
      <c r="U1026" s="109">
        <f>IF(Table__192.168.1.150_Daily_Delinquency_With_Sectors[[#This Row],[Days in Arrears]] &gt;= 1,1,0)</f>
        <v>1</v>
      </c>
      <c r="V1026" s="109">
        <f>IF(Table__192.168.1.150_Daily_Delinquency_With_Sectors[[#This Row],[Days in Arrears]] &gt; 30,1,0)</f>
        <v>1</v>
      </c>
      <c r="W1026" s="109">
        <f>IF(Table__192.168.1.150_Daily_Delinquency_With_Sectors[[#This Row],[Days in Arrears]] &gt; 90,1,0)</f>
        <v>0</v>
      </c>
    </row>
    <row r="1027" spans="1:23" x14ac:dyDescent="0.25">
      <c r="A1027" t="s">
        <v>2318</v>
      </c>
      <c r="B1027" t="s">
        <v>1282</v>
      </c>
      <c r="C1027">
        <v>29</v>
      </c>
      <c r="D1027" s="105">
        <v>2143629.7200000002</v>
      </c>
      <c r="E1027" t="s">
        <v>1448</v>
      </c>
      <c r="F1027" s="105">
        <v>79691.02</v>
      </c>
      <c r="G1027" s="105">
        <v>2406472.56</v>
      </c>
      <c r="H1027" s="384">
        <v>42819.541967210651</v>
      </c>
      <c r="I1027" s="384">
        <v>43184</v>
      </c>
      <c r="J1027" t="s">
        <v>2319</v>
      </c>
      <c r="K1027" t="s">
        <v>1280</v>
      </c>
      <c r="L1027" t="s">
        <v>2320</v>
      </c>
      <c r="M1027">
        <v>200921</v>
      </c>
      <c r="N1027" t="s">
        <v>2310</v>
      </c>
      <c r="O1027" t="s">
        <v>25</v>
      </c>
      <c r="P1027" t="s">
        <v>26</v>
      </c>
      <c r="Q1027" t="s">
        <v>26</v>
      </c>
      <c r="R1027" s="105">
        <f>IF(Table__192.168.1.150_Daily_Delinquency_With_Sectors[[#This Row],[Days in Arrears]] &gt; 0, Table__192.168.1.150_Daily_Delinquency_With_Sectors[[#This Row],[Outstanding Balance]],0)</f>
        <v>2143629.7200000002</v>
      </c>
      <c r="S1027" s="105">
        <f>IF(Table__192.168.1.150_Daily_Delinquency_With_Sectors[[#This Row],[Days in Arrears]] &gt; 30, Table__192.168.1.150_Daily_Delinquency_With_Sectors[[#This Row],[Outstanding Balance]],0)</f>
        <v>0</v>
      </c>
      <c r="T1027" s="105">
        <f>IF(Table__192.168.1.150_Daily_Delinquency_With_Sectors[[#This Row],[Days in Arrears]] &gt; 90, Table__192.168.1.150_Daily_Delinquency_With_Sectors[[#This Row],[Outstanding Balance]],0)</f>
        <v>0</v>
      </c>
      <c r="U1027" s="109">
        <f>IF(Table__192.168.1.150_Daily_Delinquency_With_Sectors[[#This Row],[Days in Arrears]] &gt;= 1,1,0)</f>
        <v>1</v>
      </c>
      <c r="V1027" s="109">
        <f>IF(Table__192.168.1.150_Daily_Delinquency_With_Sectors[[#This Row],[Days in Arrears]] &gt; 30,1,0)</f>
        <v>0</v>
      </c>
      <c r="W1027" s="109">
        <f>IF(Table__192.168.1.150_Daily_Delinquency_With_Sectors[[#This Row],[Days in Arrears]] &gt; 90,1,0)</f>
        <v>0</v>
      </c>
    </row>
    <row r="1028" spans="1:23" x14ac:dyDescent="0.25">
      <c r="A1028" t="s">
        <v>4368</v>
      </c>
      <c r="B1028" t="s">
        <v>1282</v>
      </c>
      <c r="C1028">
        <v>-7</v>
      </c>
      <c r="D1028" s="105">
        <v>1936784.93</v>
      </c>
      <c r="E1028" t="s">
        <v>2175</v>
      </c>
      <c r="F1028" s="105">
        <v>63913.9</v>
      </c>
      <c r="G1028" s="105">
        <v>2205917.08</v>
      </c>
      <c r="H1028" s="384">
        <v>42821.721101736111</v>
      </c>
      <c r="I1028" s="384">
        <v>43191</v>
      </c>
      <c r="J1028" t="s">
        <v>4369</v>
      </c>
      <c r="K1028" t="s">
        <v>1280</v>
      </c>
      <c r="L1028" t="s">
        <v>4370</v>
      </c>
      <c r="M1028">
        <v>200924</v>
      </c>
      <c r="N1028" t="s">
        <v>4359</v>
      </c>
      <c r="O1028" t="s">
        <v>25</v>
      </c>
      <c r="P1028" t="s">
        <v>26</v>
      </c>
      <c r="Q1028" t="s">
        <v>26</v>
      </c>
      <c r="R1028" s="105">
        <f>IF(Table__192.168.1.150_Daily_Delinquency_With_Sectors[[#This Row],[Days in Arrears]] &gt; 0, Table__192.168.1.150_Daily_Delinquency_With_Sectors[[#This Row],[Outstanding Balance]],0)</f>
        <v>0</v>
      </c>
      <c r="S1028" s="105">
        <f>IF(Table__192.168.1.150_Daily_Delinquency_With_Sectors[[#This Row],[Days in Arrears]] &gt; 30, Table__192.168.1.150_Daily_Delinquency_With_Sectors[[#This Row],[Outstanding Balance]],0)</f>
        <v>0</v>
      </c>
      <c r="T1028" s="105">
        <f>IF(Table__192.168.1.150_Daily_Delinquency_With_Sectors[[#This Row],[Days in Arrears]] &gt; 90, Table__192.168.1.150_Daily_Delinquency_With_Sectors[[#This Row],[Outstanding Balance]],0)</f>
        <v>0</v>
      </c>
      <c r="U1028" s="109">
        <f>IF(Table__192.168.1.150_Daily_Delinquency_With_Sectors[[#This Row],[Days in Arrears]] &gt;= 1,1,0)</f>
        <v>0</v>
      </c>
      <c r="V1028" s="109">
        <f>IF(Table__192.168.1.150_Daily_Delinquency_With_Sectors[[#This Row],[Days in Arrears]] &gt; 30,1,0)</f>
        <v>0</v>
      </c>
      <c r="W1028" s="109">
        <f>IF(Table__192.168.1.150_Daily_Delinquency_With_Sectors[[#This Row],[Days in Arrears]] &gt; 90,1,0)</f>
        <v>0</v>
      </c>
    </row>
    <row r="1029" spans="1:23" x14ac:dyDescent="0.25">
      <c r="A1029" t="s">
        <v>2095</v>
      </c>
      <c r="B1029" t="s">
        <v>1282</v>
      </c>
      <c r="C1029">
        <v>-7</v>
      </c>
      <c r="D1029" s="105">
        <v>4767839.12</v>
      </c>
      <c r="E1029" t="s">
        <v>1925</v>
      </c>
      <c r="F1029" s="105">
        <v>139856.60999999999</v>
      </c>
      <c r="G1029" s="105">
        <v>5354929.6900000004</v>
      </c>
      <c r="H1029" s="384">
        <v>42821.704418634261</v>
      </c>
      <c r="I1029" s="384">
        <v>43191</v>
      </c>
      <c r="J1029" t="s">
        <v>2096</v>
      </c>
      <c r="K1029" t="s">
        <v>1280</v>
      </c>
      <c r="L1029" t="s">
        <v>1280</v>
      </c>
      <c r="M1029">
        <v>200925</v>
      </c>
      <c r="N1029" t="s">
        <v>2081</v>
      </c>
      <c r="O1029" t="s">
        <v>27</v>
      </c>
      <c r="P1029" t="s">
        <v>81</v>
      </c>
      <c r="Q1029" t="s">
        <v>26</v>
      </c>
      <c r="R1029" s="105">
        <f>IF(Table__192.168.1.150_Daily_Delinquency_With_Sectors[[#This Row],[Days in Arrears]] &gt; 0, Table__192.168.1.150_Daily_Delinquency_With_Sectors[[#This Row],[Outstanding Balance]],0)</f>
        <v>0</v>
      </c>
      <c r="S1029" s="105">
        <f>IF(Table__192.168.1.150_Daily_Delinquency_With_Sectors[[#This Row],[Days in Arrears]] &gt; 30, Table__192.168.1.150_Daily_Delinquency_With_Sectors[[#This Row],[Outstanding Balance]],0)</f>
        <v>0</v>
      </c>
      <c r="T1029" s="105">
        <f>IF(Table__192.168.1.150_Daily_Delinquency_With_Sectors[[#This Row],[Days in Arrears]] &gt; 90, Table__192.168.1.150_Daily_Delinquency_With_Sectors[[#This Row],[Outstanding Balance]],0)</f>
        <v>0</v>
      </c>
      <c r="U1029" s="109">
        <f>IF(Table__192.168.1.150_Daily_Delinquency_With_Sectors[[#This Row],[Days in Arrears]] &gt;= 1,1,0)</f>
        <v>0</v>
      </c>
      <c r="V1029" s="109">
        <f>IF(Table__192.168.1.150_Daily_Delinquency_With_Sectors[[#This Row],[Days in Arrears]] &gt; 30,1,0)</f>
        <v>0</v>
      </c>
      <c r="W1029" s="109">
        <f>IF(Table__192.168.1.150_Daily_Delinquency_With_Sectors[[#This Row],[Days in Arrears]] &gt; 90,1,0)</f>
        <v>0</v>
      </c>
    </row>
    <row r="1030" spans="1:23" x14ac:dyDescent="0.25">
      <c r="A1030" t="s">
        <v>1711</v>
      </c>
      <c r="B1030" t="s">
        <v>1282</v>
      </c>
      <c r="C1030">
        <v>19</v>
      </c>
      <c r="D1030" s="105">
        <v>3795487.41</v>
      </c>
      <c r="E1030" t="s">
        <v>3074</v>
      </c>
      <c r="F1030" s="105">
        <v>91075.46</v>
      </c>
      <c r="G1030" s="105">
        <v>4262763.58</v>
      </c>
      <c r="H1030" s="384">
        <v>42830.416092280095</v>
      </c>
      <c r="I1030" s="384">
        <v>43195</v>
      </c>
      <c r="J1030" t="s">
        <v>2653</v>
      </c>
      <c r="K1030" t="s">
        <v>2654</v>
      </c>
      <c r="L1030" t="s">
        <v>1280</v>
      </c>
      <c r="M1030">
        <v>200932</v>
      </c>
      <c r="N1030" t="s">
        <v>2652</v>
      </c>
      <c r="O1030" t="s">
        <v>25</v>
      </c>
      <c r="P1030" t="s">
        <v>32</v>
      </c>
      <c r="Q1030" t="s">
        <v>3369</v>
      </c>
      <c r="R1030" s="105">
        <f>IF(Table__192.168.1.150_Daily_Delinquency_With_Sectors[[#This Row],[Days in Arrears]] &gt; 0, Table__192.168.1.150_Daily_Delinquency_With_Sectors[[#This Row],[Outstanding Balance]],0)</f>
        <v>3795487.41</v>
      </c>
      <c r="S1030" s="105">
        <f>IF(Table__192.168.1.150_Daily_Delinquency_With_Sectors[[#This Row],[Days in Arrears]] &gt; 30, Table__192.168.1.150_Daily_Delinquency_With_Sectors[[#This Row],[Outstanding Balance]],0)</f>
        <v>0</v>
      </c>
      <c r="T1030" s="105">
        <f>IF(Table__192.168.1.150_Daily_Delinquency_With_Sectors[[#This Row],[Days in Arrears]] &gt; 90, Table__192.168.1.150_Daily_Delinquency_With_Sectors[[#This Row],[Outstanding Balance]],0)</f>
        <v>0</v>
      </c>
      <c r="U1030" s="109">
        <f>IF(Table__192.168.1.150_Daily_Delinquency_With_Sectors[[#This Row],[Days in Arrears]] &gt;= 1,1,0)</f>
        <v>1</v>
      </c>
      <c r="V1030" s="109">
        <f>IF(Table__192.168.1.150_Daily_Delinquency_With_Sectors[[#This Row],[Days in Arrears]] &gt; 30,1,0)</f>
        <v>0</v>
      </c>
      <c r="W1030" s="109">
        <f>IF(Table__192.168.1.150_Daily_Delinquency_With_Sectors[[#This Row],[Days in Arrears]] &gt; 90,1,0)</f>
        <v>0</v>
      </c>
    </row>
    <row r="1031" spans="1:23" x14ac:dyDescent="0.25">
      <c r="A1031" t="s">
        <v>4391</v>
      </c>
      <c r="B1031" t="s">
        <v>1282</v>
      </c>
      <c r="C1031">
        <v>-7</v>
      </c>
      <c r="D1031" s="105">
        <v>2414070.58</v>
      </c>
      <c r="E1031" t="s">
        <v>2557</v>
      </c>
      <c r="F1031" s="105">
        <v>79664.33</v>
      </c>
      <c r="G1031" s="105">
        <v>2749525.48</v>
      </c>
      <c r="H1031" s="384">
        <v>42823.681535451389</v>
      </c>
      <c r="I1031" s="384">
        <v>43191</v>
      </c>
      <c r="J1031" t="s">
        <v>4392</v>
      </c>
      <c r="K1031" t="s">
        <v>1280</v>
      </c>
      <c r="L1031" t="s">
        <v>4393</v>
      </c>
      <c r="M1031">
        <v>200933</v>
      </c>
      <c r="N1031" t="s">
        <v>4389</v>
      </c>
      <c r="O1031" t="s">
        <v>25</v>
      </c>
      <c r="P1031" t="s">
        <v>32</v>
      </c>
      <c r="Q1031" t="s">
        <v>1827</v>
      </c>
      <c r="R1031" s="105">
        <f>IF(Table__192.168.1.150_Daily_Delinquency_With_Sectors[[#This Row],[Days in Arrears]] &gt; 0, Table__192.168.1.150_Daily_Delinquency_With_Sectors[[#This Row],[Outstanding Balance]],0)</f>
        <v>0</v>
      </c>
      <c r="S1031" s="105">
        <f>IF(Table__192.168.1.150_Daily_Delinquency_With_Sectors[[#This Row],[Days in Arrears]] &gt; 30, Table__192.168.1.150_Daily_Delinquency_With_Sectors[[#This Row],[Outstanding Balance]],0)</f>
        <v>0</v>
      </c>
      <c r="T1031" s="105">
        <f>IF(Table__192.168.1.150_Daily_Delinquency_With_Sectors[[#This Row],[Days in Arrears]] &gt; 90, Table__192.168.1.150_Daily_Delinquency_With_Sectors[[#This Row],[Outstanding Balance]],0)</f>
        <v>0</v>
      </c>
      <c r="U1031" s="109">
        <f>IF(Table__192.168.1.150_Daily_Delinquency_With_Sectors[[#This Row],[Days in Arrears]] &gt;= 1,1,0)</f>
        <v>0</v>
      </c>
      <c r="V1031" s="109">
        <f>IF(Table__192.168.1.150_Daily_Delinquency_With_Sectors[[#This Row],[Days in Arrears]] &gt; 30,1,0)</f>
        <v>0</v>
      </c>
      <c r="W1031" s="109">
        <f>IF(Table__192.168.1.150_Daily_Delinquency_With_Sectors[[#This Row],[Days in Arrears]] &gt; 90,1,0)</f>
        <v>0</v>
      </c>
    </row>
    <row r="1032" spans="1:23" x14ac:dyDescent="0.25">
      <c r="A1032" t="s">
        <v>3134</v>
      </c>
      <c r="B1032" t="s">
        <v>1866</v>
      </c>
      <c r="C1032">
        <v>-7</v>
      </c>
      <c r="D1032" s="105">
        <v>4707185.05</v>
      </c>
      <c r="E1032" t="s">
        <v>2861</v>
      </c>
      <c r="F1032" s="105">
        <v>126570.98</v>
      </c>
      <c r="G1032" s="105">
        <v>5237399</v>
      </c>
      <c r="H1032" s="384">
        <v>42823.775273877312</v>
      </c>
      <c r="I1032" s="384">
        <v>43191</v>
      </c>
      <c r="J1032" t="s">
        <v>3135</v>
      </c>
      <c r="K1032" t="s">
        <v>1280</v>
      </c>
      <c r="L1032" t="s">
        <v>1280</v>
      </c>
      <c r="M1032">
        <v>200934</v>
      </c>
      <c r="N1032" t="s">
        <v>3129</v>
      </c>
      <c r="O1032" t="s">
        <v>25</v>
      </c>
      <c r="P1032" t="s">
        <v>94</v>
      </c>
      <c r="Q1032" t="s">
        <v>95</v>
      </c>
      <c r="R1032" s="105">
        <f>IF(Table__192.168.1.150_Daily_Delinquency_With_Sectors[[#This Row],[Days in Arrears]] &gt; 0, Table__192.168.1.150_Daily_Delinquency_With_Sectors[[#This Row],[Outstanding Balance]],0)</f>
        <v>0</v>
      </c>
      <c r="S1032" s="105">
        <f>IF(Table__192.168.1.150_Daily_Delinquency_With_Sectors[[#This Row],[Days in Arrears]] &gt; 30, Table__192.168.1.150_Daily_Delinquency_With_Sectors[[#This Row],[Outstanding Balance]],0)</f>
        <v>0</v>
      </c>
      <c r="T1032" s="105">
        <f>IF(Table__192.168.1.150_Daily_Delinquency_With_Sectors[[#This Row],[Days in Arrears]] &gt; 90, Table__192.168.1.150_Daily_Delinquency_With_Sectors[[#This Row],[Outstanding Balance]],0)</f>
        <v>0</v>
      </c>
      <c r="U1032" s="109">
        <f>IF(Table__192.168.1.150_Daily_Delinquency_With_Sectors[[#This Row],[Days in Arrears]] &gt;= 1,1,0)</f>
        <v>0</v>
      </c>
      <c r="V1032" s="109">
        <f>IF(Table__192.168.1.150_Daily_Delinquency_With_Sectors[[#This Row],[Days in Arrears]] &gt; 30,1,0)</f>
        <v>0</v>
      </c>
      <c r="W1032" s="109">
        <f>IF(Table__192.168.1.150_Daily_Delinquency_With_Sectors[[#This Row],[Days in Arrears]] &gt; 90,1,0)</f>
        <v>0</v>
      </c>
    </row>
    <row r="1033" spans="1:23" x14ac:dyDescent="0.25">
      <c r="A1033" t="s">
        <v>4394</v>
      </c>
      <c r="B1033" t="s">
        <v>1279</v>
      </c>
      <c r="C1033">
        <v>-7</v>
      </c>
      <c r="D1033" s="105">
        <v>1393632.9</v>
      </c>
      <c r="E1033" t="s">
        <v>2538</v>
      </c>
      <c r="F1033" s="105">
        <v>45989.89</v>
      </c>
      <c r="G1033" s="105">
        <v>1520899.56</v>
      </c>
      <c r="H1033" s="384">
        <v>42823.669070601849</v>
      </c>
      <c r="I1033" s="384">
        <v>43132</v>
      </c>
      <c r="J1033" t="s">
        <v>4395</v>
      </c>
      <c r="K1033" t="s">
        <v>1280</v>
      </c>
      <c r="L1033" t="s">
        <v>4396</v>
      </c>
      <c r="M1033">
        <v>200936</v>
      </c>
      <c r="N1033" t="s">
        <v>4390</v>
      </c>
      <c r="O1033" t="s">
        <v>44</v>
      </c>
      <c r="P1033" t="s">
        <v>75</v>
      </c>
      <c r="Q1033" t="s">
        <v>1442</v>
      </c>
      <c r="R1033" s="105">
        <f>IF(Table__192.168.1.150_Daily_Delinquency_With_Sectors[[#This Row],[Days in Arrears]] &gt; 0, Table__192.168.1.150_Daily_Delinquency_With_Sectors[[#This Row],[Outstanding Balance]],0)</f>
        <v>0</v>
      </c>
      <c r="S1033" s="105">
        <f>IF(Table__192.168.1.150_Daily_Delinquency_With_Sectors[[#This Row],[Days in Arrears]] &gt; 30, Table__192.168.1.150_Daily_Delinquency_With_Sectors[[#This Row],[Outstanding Balance]],0)</f>
        <v>0</v>
      </c>
      <c r="T1033" s="105">
        <f>IF(Table__192.168.1.150_Daily_Delinquency_With_Sectors[[#This Row],[Days in Arrears]] &gt; 90, Table__192.168.1.150_Daily_Delinquency_With_Sectors[[#This Row],[Outstanding Balance]],0)</f>
        <v>0</v>
      </c>
      <c r="U1033" s="109">
        <f>IF(Table__192.168.1.150_Daily_Delinquency_With_Sectors[[#This Row],[Days in Arrears]] &gt;= 1,1,0)</f>
        <v>0</v>
      </c>
      <c r="V1033" s="109">
        <f>IF(Table__192.168.1.150_Daily_Delinquency_With_Sectors[[#This Row],[Days in Arrears]] &gt; 30,1,0)</f>
        <v>0</v>
      </c>
      <c r="W1033" s="109">
        <f>IF(Table__192.168.1.150_Daily_Delinquency_With_Sectors[[#This Row],[Days in Arrears]] &gt; 90,1,0)</f>
        <v>0</v>
      </c>
    </row>
    <row r="1034" spans="1:23" x14ac:dyDescent="0.25">
      <c r="A1034" t="s">
        <v>2951</v>
      </c>
      <c r="B1034" t="s">
        <v>1282</v>
      </c>
      <c r="C1034">
        <v>-7</v>
      </c>
      <c r="D1034" s="105">
        <v>3091189.58</v>
      </c>
      <c r="E1034" t="s">
        <v>1667</v>
      </c>
      <c r="F1034" s="105">
        <v>90674.89</v>
      </c>
      <c r="G1034" s="105">
        <v>3471824.96</v>
      </c>
      <c r="H1034" s="384">
        <v>42823.716414351853</v>
      </c>
      <c r="I1034" s="384">
        <v>43191</v>
      </c>
      <c r="J1034" t="s">
        <v>2952</v>
      </c>
      <c r="K1034" t="s">
        <v>1280</v>
      </c>
      <c r="L1034" t="s">
        <v>1280</v>
      </c>
      <c r="M1034">
        <v>200937</v>
      </c>
      <c r="N1034" t="s">
        <v>2950</v>
      </c>
      <c r="O1034" t="s">
        <v>44</v>
      </c>
      <c r="P1034" t="s">
        <v>75</v>
      </c>
      <c r="Q1034" t="s">
        <v>1442</v>
      </c>
      <c r="R1034" s="105">
        <f>IF(Table__192.168.1.150_Daily_Delinquency_With_Sectors[[#This Row],[Days in Arrears]] &gt; 0, Table__192.168.1.150_Daily_Delinquency_With_Sectors[[#This Row],[Outstanding Balance]],0)</f>
        <v>0</v>
      </c>
      <c r="S1034" s="105">
        <f>IF(Table__192.168.1.150_Daily_Delinquency_With_Sectors[[#This Row],[Days in Arrears]] &gt; 30, Table__192.168.1.150_Daily_Delinquency_With_Sectors[[#This Row],[Outstanding Balance]],0)</f>
        <v>0</v>
      </c>
      <c r="T1034" s="105">
        <f>IF(Table__192.168.1.150_Daily_Delinquency_With_Sectors[[#This Row],[Days in Arrears]] &gt; 90, Table__192.168.1.150_Daily_Delinquency_With_Sectors[[#This Row],[Outstanding Balance]],0)</f>
        <v>0</v>
      </c>
      <c r="U1034" s="109">
        <f>IF(Table__192.168.1.150_Daily_Delinquency_With_Sectors[[#This Row],[Days in Arrears]] &gt;= 1,1,0)</f>
        <v>0</v>
      </c>
      <c r="V1034" s="109">
        <f>IF(Table__192.168.1.150_Daily_Delinquency_With_Sectors[[#This Row],[Days in Arrears]] &gt; 30,1,0)</f>
        <v>0</v>
      </c>
      <c r="W1034" s="109">
        <f>IF(Table__192.168.1.150_Daily_Delinquency_With_Sectors[[#This Row],[Days in Arrears]] &gt; 90,1,0)</f>
        <v>0</v>
      </c>
    </row>
    <row r="1035" spans="1:23" x14ac:dyDescent="0.25">
      <c r="A1035" t="s">
        <v>4404</v>
      </c>
      <c r="B1035" t="s">
        <v>1282</v>
      </c>
      <c r="C1035">
        <v>83</v>
      </c>
      <c r="D1035" s="105">
        <v>908977.4</v>
      </c>
      <c r="E1035" t="s">
        <v>2557</v>
      </c>
      <c r="F1035" s="105">
        <v>61806.02</v>
      </c>
      <c r="G1035" s="105">
        <v>970783.42</v>
      </c>
      <c r="H1035" s="384">
        <v>42824.432637303238</v>
      </c>
      <c r="I1035" s="384">
        <v>43009</v>
      </c>
      <c r="J1035" t="s">
        <v>4405</v>
      </c>
      <c r="K1035" t="s">
        <v>1280</v>
      </c>
      <c r="L1035" t="s">
        <v>4406</v>
      </c>
      <c r="M1035">
        <v>200938</v>
      </c>
      <c r="N1035" t="s">
        <v>4398</v>
      </c>
      <c r="O1035" t="s">
        <v>25</v>
      </c>
      <c r="P1035" t="s">
        <v>26</v>
      </c>
      <c r="Q1035" t="s">
        <v>26</v>
      </c>
      <c r="R1035" s="105">
        <f>IF(Table__192.168.1.150_Daily_Delinquency_With_Sectors[[#This Row],[Days in Arrears]] &gt; 0, Table__192.168.1.150_Daily_Delinquency_With_Sectors[[#This Row],[Outstanding Balance]],0)</f>
        <v>908977.4</v>
      </c>
      <c r="S1035" s="105">
        <f>IF(Table__192.168.1.150_Daily_Delinquency_With_Sectors[[#This Row],[Days in Arrears]] &gt; 30, Table__192.168.1.150_Daily_Delinquency_With_Sectors[[#This Row],[Outstanding Balance]],0)</f>
        <v>908977.4</v>
      </c>
      <c r="T1035" s="105">
        <f>IF(Table__192.168.1.150_Daily_Delinquency_With_Sectors[[#This Row],[Days in Arrears]] &gt; 90, Table__192.168.1.150_Daily_Delinquency_With_Sectors[[#This Row],[Outstanding Balance]],0)</f>
        <v>0</v>
      </c>
      <c r="U1035" s="109">
        <f>IF(Table__192.168.1.150_Daily_Delinquency_With_Sectors[[#This Row],[Days in Arrears]] &gt;= 1,1,0)</f>
        <v>1</v>
      </c>
      <c r="V1035" s="109">
        <f>IF(Table__192.168.1.150_Daily_Delinquency_With_Sectors[[#This Row],[Days in Arrears]] &gt; 30,1,0)</f>
        <v>1</v>
      </c>
      <c r="W1035" s="109">
        <f>IF(Table__192.168.1.150_Daily_Delinquency_With_Sectors[[#This Row],[Days in Arrears]] &gt; 90,1,0)</f>
        <v>0</v>
      </c>
    </row>
    <row r="1036" spans="1:23" x14ac:dyDescent="0.25">
      <c r="A1036" t="s">
        <v>4407</v>
      </c>
      <c r="B1036" t="s">
        <v>1866</v>
      </c>
      <c r="C1036">
        <v>23</v>
      </c>
      <c r="D1036" s="105">
        <v>2454623.6</v>
      </c>
      <c r="E1036" t="s">
        <v>1447</v>
      </c>
      <c r="F1036" s="105">
        <v>73654.429999999993</v>
      </c>
      <c r="G1036" s="105">
        <v>2658231.94</v>
      </c>
      <c r="H1036" s="384">
        <v>42824.447417013886</v>
      </c>
      <c r="I1036" s="384">
        <v>43132</v>
      </c>
      <c r="J1036" t="s">
        <v>4408</v>
      </c>
      <c r="K1036" t="s">
        <v>1280</v>
      </c>
      <c r="L1036" t="s">
        <v>4409</v>
      </c>
      <c r="M1036">
        <v>200939</v>
      </c>
      <c r="N1036" t="s">
        <v>4397</v>
      </c>
      <c r="O1036" t="s">
        <v>25</v>
      </c>
      <c r="P1036" t="s">
        <v>88</v>
      </c>
      <c r="Q1036" t="s">
        <v>285</v>
      </c>
      <c r="R1036" s="105">
        <f>IF(Table__192.168.1.150_Daily_Delinquency_With_Sectors[[#This Row],[Days in Arrears]] &gt; 0, Table__192.168.1.150_Daily_Delinquency_With_Sectors[[#This Row],[Outstanding Balance]],0)</f>
        <v>2454623.6</v>
      </c>
      <c r="S1036" s="105">
        <f>IF(Table__192.168.1.150_Daily_Delinquency_With_Sectors[[#This Row],[Days in Arrears]] &gt; 30, Table__192.168.1.150_Daily_Delinquency_With_Sectors[[#This Row],[Outstanding Balance]],0)</f>
        <v>0</v>
      </c>
      <c r="T1036" s="105">
        <f>IF(Table__192.168.1.150_Daily_Delinquency_With_Sectors[[#This Row],[Days in Arrears]] &gt; 90, Table__192.168.1.150_Daily_Delinquency_With_Sectors[[#This Row],[Outstanding Balance]],0)</f>
        <v>0</v>
      </c>
      <c r="U1036" s="109">
        <f>IF(Table__192.168.1.150_Daily_Delinquency_With_Sectors[[#This Row],[Days in Arrears]] &gt;= 1,1,0)</f>
        <v>1</v>
      </c>
      <c r="V1036" s="109">
        <f>IF(Table__192.168.1.150_Daily_Delinquency_With_Sectors[[#This Row],[Days in Arrears]] &gt; 30,1,0)</f>
        <v>0</v>
      </c>
      <c r="W1036" s="109">
        <f>IF(Table__192.168.1.150_Daily_Delinquency_With_Sectors[[#This Row],[Days in Arrears]] &gt; 90,1,0)</f>
        <v>0</v>
      </c>
    </row>
    <row r="1037" spans="1:23" x14ac:dyDescent="0.25">
      <c r="A1037" t="s">
        <v>4412</v>
      </c>
      <c r="B1037" t="s">
        <v>1282</v>
      </c>
      <c r="C1037">
        <v>-7</v>
      </c>
      <c r="D1037" s="105">
        <v>2783276.43</v>
      </c>
      <c r="E1037" t="s">
        <v>1909</v>
      </c>
      <c r="F1037" s="105">
        <v>91848.12</v>
      </c>
      <c r="G1037" s="105">
        <v>3037445.46</v>
      </c>
      <c r="H1037" s="384">
        <v>42824.665698460645</v>
      </c>
      <c r="I1037" s="384">
        <v>43132</v>
      </c>
      <c r="J1037" t="s">
        <v>4413</v>
      </c>
      <c r="K1037" t="s">
        <v>1280</v>
      </c>
      <c r="L1037" t="s">
        <v>4414</v>
      </c>
      <c r="M1037">
        <v>200941</v>
      </c>
      <c r="N1037" t="s">
        <v>4399</v>
      </c>
      <c r="O1037" t="s">
        <v>25</v>
      </c>
      <c r="P1037" t="s">
        <v>26</v>
      </c>
      <c r="Q1037" t="s">
        <v>26</v>
      </c>
      <c r="R1037" s="105">
        <f>IF(Table__192.168.1.150_Daily_Delinquency_With_Sectors[[#This Row],[Days in Arrears]] &gt; 0, Table__192.168.1.150_Daily_Delinquency_With_Sectors[[#This Row],[Outstanding Balance]],0)</f>
        <v>0</v>
      </c>
      <c r="S1037" s="105">
        <f>IF(Table__192.168.1.150_Daily_Delinquency_With_Sectors[[#This Row],[Days in Arrears]] &gt; 30, Table__192.168.1.150_Daily_Delinquency_With_Sectors[[#This Row],[Outstanding Balance]],0)</f>
        <v>0</v>
      </c>
      <c r="T1037" s="105">
        <f>IF(Table__192.168.1.150_Daily_Delinquency_With_Sectors[[#This Row],[Days in Arrears]] &gt; 90, Table__192.168.1.150_Daily_Delinquency_With_Sectors[[#This Row],[Outstanding Balance]],0)</f>
        <v>0</v>
      </c>
      <c r="U1037" s="109">
        <f>IF(Table__192.168.1.150_Daily_Delinquency_With_Sectors[[#This Row],[Days in Arrears]] &gt;= 1,1,0)</f>
        <v>0</v>
      </c>
      <c r="V1037" s="109">
        <f>IF(Table__192.168.1.150_Daily_Delinquency_With_Sectors[[#This Row],[Days in Arrears]] &gt; 30,1,0)</f>
        <v>0</v>
      </c>
      <c r="W1037" s="109">
        <f>IF(Table__192.168.1.150_Daily_Delinquency_With_Sectors[[#This Row],[Days in Arrears]] &gt; 90,1,0)</f>
        <v>0</v>
      </c>
    </row>
    <row r="1038" spans="1:23" x14ac:dyDescent="0.25">
      <c r="A1038" t="s">
        <v>2487</v>
      </c>
      <c r="B1038" t="s">
        <v>1866</v>
      </c>
      <c r="C1038">
        <v>23</v>
      </c>
      <c r="D1038" s="105">
        <v>2878975.82</v>
      </c>
      <c r="E1038" t="s">
        <v>2861</v>
      </c>
      <c r="F1038" s="105">
        <v>75853.259999999995</v>
      </c>
      <c r="G1038" s="105">
        <v>3196730</v>
      </c>
      <c r="H1038" s="384">
        <v>42824.708639965276</v>
      </c>
      <c r="I1038" s="384">
        <v>43191</v>
      </c>
      <c r="J1038" t="s">
        <v>2488</v>
      </c>
      <c r="K1038" t="s">
        <v>1280</v>
      </c>
      <c r="L1038" t="s">
        <v>1280</v>
      </c>
      <c r="M1038">
        <v>200942</v>
      </c>
      <c r="N1038" t="s">
        <v>2486</v>
      </c>
      <c r="O1038" t="s">
        <v>27</v>
      </c>
      <c r="P1038" t="s">
        <v>26</v>
      </c>
      <c r="Q1038" t="s">
        <v>26</v>
      </c>
      <c r="R1038" s="105">
        <f>IF(Table__192.168.1.150_Daily_Delinquency_With_Sectors[[#This Row],[Days in Arrears]] &gt; 0, Table__192.168.1.150_Daily_Delinquency_With_Sectors[[#This Row],[Outstanding Balance]],0)</f>
        <v>2878975.82</v>
      </c>
      <c r="S1038" s="105">
        <f>IF(Table__192.168.1.150_Daily_Delinquency_With_Sectors[[#This Row],[Days in Arrears]] &gt; 30, Table__192.168.1.150_Daily_Delinquency_With_Sectors[[#This Row],[Outstanding Balance]],0)</f>
        <v>0</v>
      </c>
      <c r="T1038" s="105">
        <f>IF(Table__192.168.1.150_Daily_Delinquency_With_Sectors[[#This Row],[Days in Arrears]] &gt; 90, Table__192.168.1.150_Daily_Delinquency_With_Sectors[[#This Row],[Outstanding Balance]],0)</f>
        <v>0</v>
      </c>
      <c r="U1038" s="109">
        <f>IF(Table__192.168.1.150_Daily_Delinquency_With_Sectors[[#This Row],[Days in Arrears]] &gt;= 1,1,0)</f>
        <v>1</v>
      </c>
      <c r="V1038" s="109">
        <f>IF(Table__192.168.1.150_Daily_Delinquency_With_Sectors[[#This Row],[Days in Arrears]] &gt; 30,1,0)</f>
        <v>0</v>
      </c>
      <c r="W1038" s="109">
        <f>IF(Table__192.168.1.150_Daily_Delinquency_With_Sectors[[#This Row],[Days in Arrears]] &gt; 90,1,0)</f>
        <v>0</v>
      </c>
    </row>
    <row r="1039" spans="1:23" x14ac:dyDescent="0.25">
      <c r="A1039" t="s">
        <v>4428</v>
      </c>
      <c r="B1039" t="s">
        <v>1284</v>
      </c>
      <c r="C1039">
        <v>-7</v>
      </c>
      <c r="D1039" s="105">
        <v>17014996.030000001</v>
      </c>
      <c r="E1039" t="s">
        <v>1467</v>
      </c>
      <c r="F1039" s="105">
        <v>415922.13</v>
      </c>
      <c r="G1039" s="105">
        <v>20611117.949999999</v>
      </c>
      <c r="H1039" s="384">
        <v>42825.559319097221</v>
      </c>
      <c r="I1039" s="384">
        <v>43374</v>
      </c>
      <c r="J1039" t="s">
        <v>4429</v>
      </c>
      <c r="K1039" t="s">
        <v>1280</v>
      </c>
      <c r="L1039" t="s">
        <v>4430</v>
      </c>
      <c r="M1039">
        <v>200943</v>
      </c>
      <c r="N1039" t="s">
        <v>4422</v>
      </c>
      <c r="O1039" t="s">
        <v>25</v>
      </c>
      <c r="P1039" t="s">
        <v>88</v>
      </c>
      <c r="Q1039" t="s">
        <v>285</v>
      </c>
      <c r="R1039" s="105">
        <f>IF(Table__192.168.1.150_Daily_Delinquency_With_Sectors[[#This Row],[Days in Arrears]] &gt; 0, Table__192.168.1.150_Daily_Delinquency_With_Sectors[[#This Row],[Outstanding Balance]],0)</f>
        <v>0</v>
      </c>
      <c r="S1039" s="105">
        <f>IF(Table__192.168.1.150_Daily_Delinquency_With_Sectors[[#This Row],[Days in Arrears]] &gt; 30, Table__192.168.1.150_Daily_Delinquency_With_Sectors[[#This Row],[Outstanding Balance]],0)</f>
        <v>0</v>
      </c>
      <c r="T1039" s="105">
        <f>IF(Table__192.168.1.150_Daily_Delinquency_With_Sectors[[#This Row],[Days in Arrears]] &gt; 90, Table__192.168.1.150_Daily_Delinquency_With_Sectors[[#This Row],[Outstanding Balance]],0)</f>
        <v>0</v>
      </c>
      <c r="U1039" s="109">
        <f>IF(Table__192.168.1.150_Daily_Delinquency_With_Sectors[[#This Row],[Days in Arrears]] &gt;= 1,1,0)</f>
        <v>0</v>
      </c>
      <c r="V1039" s="109">
        <f>IF(Table__192.168.1.150_Daily_Delinquency_With_Sectors[[#This Row],[Days in Arrears]] &gt; 30,1,0)</f>
        <v>0</v>
      </c>
      <c r="W1039" s="109">
        <f>IF(Table__192.168.1.150_Daily_Delinquency_With_Sectors[[#This Row],[Days in Arrears]] &gt; 90,1,0)</f>
        <v>0</v>
      </c>
    </row>
    <row r="1040" spans="1:23" x14ac:dyDescent="0.25">
      <c r="A1040" t="s">
        <v>2496</v>
      </c>
      <c r="B1040" t="s">
        <v>1282</v>
      </c>
      <c r="C1040">
        <v>-11</v>
      </c>
      <c r="D1040" s="105">
        <v>3341744.36</v>
      </c>
      <c r="E1040" t="s">
        <v>2494</v>
      </c>
      <c r="F1040" s="105">
        <v>80201.86</v>
      </c>
      <c r="G1040" s="105">
        <v>3753231.93</v>
      </c>
      <c r="H1040" s="384">
        <v>42825.707775659721</v>
      </c>
      <c r="I1040" s="384">
        <v>43195</v>
      </c>
      <c r="J1040" t="s">
        <v>2497</v>
      </c>
      <c r="K1040" t="s">
        <v>1280</v>
      </c>
      <c r="L1040" t="s">
        <v>2498</v>
      </c>
      <c r="M1040">
        <v>200944</v>
      </c>
      <c r="N1040" t="s">
        <v>2493</v>
      </c>
      <c r="O1040" t="s">
        <v>44</v>
      </c>
      <c r="P1040" t="s">
        <v>75</v>
      </c>
      <c r="Q1040" t="s">
        <v>1442</v>
      </c>
      <c r="R1040" s="105">
        <f>IF(Table__192.168.1.150_Daily_Delinquency_With_Sectors[[#This Row],[Days in Arrears]] &gt; 0, Table__192.168.1.150_Daily_Delinquency_With_Sectors[[#This Row],[Outstanding Balance]],0)</f>
        <v>0</v>
      </c>
      <c r="S1040" s="105">
        <f>IF(Table__192.168.1.150_Daily_Delinquency_With_Sectors[[#This Row],[Days in Arrears]] &gt; 30, Table__192.168.1.150_Daily_Delinquency_With_Sectors[[#This Row],[Outstanding Balance]],0)</f>
        <v>0</v>
      </c>
      <c r="T1040" s="105">
        <f>IF(Table__192.168.1.150_Daily_Delinquency_With_Sectors[[#This Row],[Days in Arrears]] &gt; 90, Table__192.168.1.150_Daily_Delinquency_With_Sectors[[#This Row],[Outstanding Balance]],0)</f>
        <v>0</v>
      </c>
      <c r="U1040" s="109">
        <f>IF(Table__192.168.1.150_Daily_Delinquency_With_Sectors[[#This Row],[Days in Arrears]] &gt;= 1,1,0)</f>
        <v>0</v>
      </c>
      <c r="V1040" s="109">
        <f>IF(Table__192.168.1.150_Daily_Delinquency_With_Sectors[[#This Row],[Days in Arrears]] &gt; 30,1,0)</f>
        <v>0</v>
      </c>
      <c r="W1040" s="109">
        <f>IF(Table__192.168.1.150_Daily_Delinquency_With_Sectors[[#This Row],[Days in Arrears]] &gt; 90,1,0)</f>
        <v>0</v>
      </c>
    </row>
    <row r="1041" spans="1:23" x14ac:dyDescent="0.25">
      <c r="A1041" t="s">
        <v>2407</v>
      </c>
      <c r="B1041" t="s">
        <v>1282</v>
      </c>
      <c r="C1041">
        <v>-7</v>
      </c>
      <c r="D1041" s="105">
        <v>4749594.84</v>
      </c>
      <c r="E1041" t="s">
        <v>1667</v>
      </c>
      <c r="F1041" s="105">
        <v>139321.45000000001</v>
      </c>
      <c r="G1041" s="105">
        <v>5334438.88</v>
      </c>
      <c r="H1041" s="384">
        <v>42825.758884872688</v>
      </c>
      <c r="I1041" s="384">
        <v>43191</v>
      </c>
      <c r="J1041" t="s">
        <v>2408</v>
      </c>
      <c r="K1041" t="s">
        <v>1280</v>
      </c>
      <c r="L1041" t="s">
        <v>2409</v>
      </c>
      <c r="M1041">
        <v>200947</v>
      </c>
      <c r="N1041" t="s">
        <v>2382</v>
      </c>
      <c r="O1041" t="s">
        <v>27</v>
      </c>
      <c r="P1041" t="s">
        <v>81</v>
      </c>
      <c r="Q1041" t="s">
        <v>26</v>
      </c>
      <c r="R1041" s="105">
        <f>IF(Table__192.168.1.150_Daily_Delinquency_With_Sectors[[#This Row],[Days in Arrears]] &gt; 0, Table__192.168.1.150_Daily_Delinquency_With_Sectors[[#This Row],[Outstanding Balance]],0)</f>
        <v>0</v>
      </c>
      <c r="S1041" s="105">
        <f>IF(Table__192.168.1.150_Daily_Delinquency_With_Sectors[[#This Row],[Days in Arrears]] &gt; 30, Table__192.168.1.150_Daily_Delinquency_With_Sectors[[#This Row],[Outstanding Balance]],0)</f>
        <v>0</v>
      </c>
      <c r="T1041" s="105">
        <f>IF(Table__192.168.1.150_Daily_Delinquency_With_Sectors[[#This Row],[Days in Arrears]] &gt; 90, Table__192.168.1.150_Daily_Delinquency_With_Sectors[[#This Row],[Outstanding Balance]],0)</f>
        <v>0</v>
      </c>
      <c r="U1041" s="109">
        <f>IF(Table__192.168.1.150_Daily_Delinquency_With_Sectors[[#This Row],[Days in Arrears]] &gt;= 1,1,0)</f>
        <v>0</v>
      </c>
      <c r="V1041" s="109">
        <f>IF(Table__192.168.1.150_Daily_Delinquency_With_Sectors[[#This Row],[Days in Arrears]] &gt; 30,1,0)</f>
        <v>0</v>
      </c>
      <c r="W1041" s="109">
        <f>IF(Table__192.168.1.150_Daily_Delinquency_With_Sectors[[#This Row],[Days in Arrears]] &gt; 90,1,0)</f>
        <v>0</v>
      </c>
    </row>
    <row r="1042" spans="1:23" x14ac:dyDescent="0.25">
      <c r="A1042" t="s">
        <v>4431</v>
      </c>
      <c r="B1042" t="s">
        <v>1866</v>
      </c>
      <c r="C1042">
        <v>-7</v>
      </c>
      <c r="D1042" s="105">
        <v>2864107.38</v>
      </c>
      <c r="E1042" t="s">
        <v>2861</v>
      </c>
      <c r="F1042" s="105">
        <v>87514.39</v>
      </c>
      <c r="G1042" s="105">
        <v>3231857</v>
      </c>
      <c r="H1042" s="384">
        <v>42825.769430474538</v>
      </c>
      <c r="I1042" s="384">
        <v>43191</v>
      </c>
      <c r="J1042" t="s">
        <v>4432</v>
      </c>
      <c r="K1042" t="s">
        <v>1280</v>
      </c>
      <c r="L1042" t="s">
        <v>4433</v>
      </c>
      <c r="M1042">
        <v>200948</v>
      </c>
      <c r="N1042" t="s">
        <v>4423</v>
      </c>
      <c r="O1042" t="s">
        <v>25</v>
      </c>
      <c r="P1042" t="s">
        <v>26</v>
      </c>
      <c r="Q1042" t="s">
        <v>26</v>
      </c>
      <c r="R1042" s="105">
        <f>IF(Table__192.168.1.150_Daily_Delinquency_With_Sectors[[#This Row],[Days in Arrears]] &gt; 0, Table__192.168.1.150_Daily_Delinquency_With_Sectors[[#This Row],[Outstanding Balance]],0)</f>
        <v>0</v>
      </c>
      <c r="S1042" s="105">
        <f>IF(Table__192.168.1.150_Daily_Delinquency_With_Sectors[[#This Row],[Days in Arrears]] &gt; 30, Table__192.168.1.150_Daily_Delinquency_With_Sectors[[#This Row],[Outstanding Balance]],0)</f>
        <v>0</v>
      </c>
      <c r="T1042" s="105">
        <f>IF(Table__192.168.1.150_Daily_Delinquency_With_Sectors[[#This Row],[Days in Arrears]] &gt; 90, Table__192.168.1.150_Daily_Delinquency_With_Sectors[[#This Row],[Outstanding Balance]],0)</f>
        <v>0</v>
      </c>
      <c r="U1042" s="109">
        <f>IF(Table__192.168.1.150_Daily_Delinquency_With_Sectors[[#This Row],[Days in Arrears]] &gt;= 1,1,0)</f>
        <v>0</v>
      </c>
      <c r="V1042" s="109">
        <f>IF(Table__192.168.1.150_Daily_Delinquency_With_Sectors[[#This Row],[Days in Arrears]] &gt; 30,1,0)</f>
        <v>0</v>
      </c>
      <c r="W1042" s="109">
        <f>IF(Table__192.168.1.150_Daily_Delinquency_With_Sectors[[#This Row],[Days in Arrears]] &gt; 90,1,0)</f>
        <v>0</v>
      </c>
    </row>
    <row r="1043" spans="1:23" x14ac:dyDescent="0.25">
      <c r="A1043" t="s">
        <v>4434</v>
      </c>
      <c r="B1043" t="s">
        <v>1279</v>
      </c>
      <c r="C1043">
        <v>23</v>
      </c>
      <c r="D1043" s="105">
        <v>1362114.19</v>
      </c>
      <c r="E1043" t="s">
        <v>1467</v>
      </c>
      <c r="F1043" s="105">
        <v>95738.19</v>
      </c>
      <c r="G1043" s="105">
        <v>1518722.72</v>
      </c>
      <c r="H1043" s="384">
        <v>42825.788788576392</v>
      </c>
      <c r="I1043" s="384">
        <v>43132</v>
      </c>
      <c r="J1043" t="s">
        <v>4435</v>
      </c>
      <c r="K1043" t="s">
        <v>1280</v>
      </c>
      <c r="L1043" t="s">
        <v>1280</v>
      </c>
      <c r="M1043">
        <v>200949</v>
      </c>
      <c r="N1043" t="s">
        <v>4415</v>
      </c>
      <c r="O1043" t="s">
        <v>31</v>
      </c>
      <c r="P1043" t="s">
        <v>4416</v>
      </c>
      <c r="Q1043" t="s">
        <v>26</v>
      </c>
      <c r="R1043" s="105">
        <f>IF(Table__192.168.1.150_Daily_Delinquency_With_Sectors[[#This Row],[Days in Arrears]] &gt; 0, Table__192.168.1.150_Daily_Delinquency_With_Sectors[[#This Row],[Outstanding Balance]],0)</f>
        <v>1362114.19</v>
      </c>
      <c r="S1043" s="105">
        <f>IF(Table__192.168.1.150_Daily_Delinquency_With_Sectors[[#This Row],[Days in Arrears]] &gt; 30, Table__192.168.1.150_Daily_Delinquency_With_Sectors[[#This Row],[Outstanding Balance]],0)</f>
        <v>0</v>
      </c>
      <c r="T1043" s="105">
        <f>IF(Table__192.168.1.150_Daily_Delinquency_With_Sectors[[#This Row],[Days in Arrears]] &gt; 90, Table__192.168.1.150_Daily_Delinquency_With_Sectors[[#This Row],[Outstanding Balance]],0)</f>
        <v>0</v>
      </c>
      <c r="U1043" s="109">
        <f>IF(Table__192.168.1.150_Daily_Delinquency_With_Sectors[[#This Row],[Days in Arrears]] &gt;= 1,1,0)</f>
        <v>1</v>
      </c>
      <c r="V1043" s="109">
        <f>IF(Table__192.168.1.150_Daily_Delinquency_With_Sectors[[#This Row],[Days in Arrears]] &gt; 30,1,0)</f>
        <v>0</v>
      </c>
      <c r="W1043" s="109">
        <f>IF(Table__192.168.1.150_Daily_Delinquency_With_Sectors[[#This Row],[Days in Arrears]] &gt; 90,1,0)</f>
        <v>0</v>
      </c>
    </row>
    <row r="1044" spans="1:23" x14ac:dyDescent="0.25">
      <c r="A1044" t="s">
        <v>4436</v>
      </c>
      <c r="B1044" t="s">
        <v>1866</v>
      </c>
      <c r="C1044">
        <v>0</v>
      </c>
      <c r="D1044" s="105">
        <v>4729018.76</v>
      </c>
      <c r="E1044" t="s">
        <v>2557</v>
      </c>
      <c r="F1044" s="105">
        <v>190474.37</v>
      </c>
      <c r="G1044" s="105">
        <v>5336221.82</v>
      </c>
      <c r="H1044" s="384">
        <v>42825.753275694442</v>
      </c>
      <c r="I1044" s="384">
        <v>43183</v>
      </c>
      <c r="J1044" t="s">
        <v>4437</v>
      </c>
      <c r="K1044" t="s">
        <v>1280</v>
      </c>
      <c r="L1044" t="s">
        <v>4438</v>
      </c>
      <c r="M1044">
        <v>200951</v>
      </c>
      <c r="N1044" t="s">
        <v>4419</v>
      </c>
      <c r="O1044" t="s">
        <v>27</v>
      </c>
      <c r="P1044" t="s">
        <v>26</v>
      </c>
      <c r="Q1044" t="s">
        <v>26</v>
      </c>
      <c r="R1044" s="105">
        <f>IF(Table__192.168.1.150_Daily_Delinquency_With_Sectors[[#This Row],[Days in Arrears]] &gt; 0, Table__192.168.1.150_Daily_Delinquency_With_Sectors[[#This Row],[Outstanding Balance]],0)</f>
        <v>0</v>
      </c>
      <c r="S1044" s="105">
        <f>IF(Table__192.168.1.150_Daily_Delinquency_With_Sectors[[#This Row],[Days in Arrears]] &gt; 30, Table__192.168.1.150_Daily_Delinquency_With_Sectors[[#This Row],[Outstanding Balance]],0)</f>
        <v>0</v>
      </c>
      <c r="T1044" s="105">
        <f>IF(Table__192.168.1.150_Daily_Delinquency_With_Sectors[[#This Row],[Days in Arrears]] &gt; 90, Table__192.168.1.150_Daily_Delinquency_With_Sectors[[#This Row],[Outstanding Balance]],0)</f>
        <v>0</v>
      </c>
      <c r="U1044" s="109">
        <f>IF(Table__192.168.1.150_Daily_Delinquency_With_Sectors[[#This Row],[Days in Arrears]] &gt;= 1,1,0)</f>
        <v>0</v>
      </c>
      <c r="V1044" s="109">
        <f>IF(Table__192.168.1.150_Daily_Delinquency_With_Sectors[[#This Row],[Days in Arrears]] &gt; 30,1,0)</f>
        <v>0</v>
      </c>
      <c r="W1044" s="109">
        <f>IF(Table__192.168.1.150_Daily_Delinquency_With_Sectors[[#This Row],[Days in Arrears]] &gt; 90,1,0)</f>
        <v>0</v>
      </c>
    </row>
    <row r="1045" spans="1:23" x14ac:dyDescent="0.25">
      <c r="A1045" t="s">
        <v>4439</v>
      </c>
      <c r="B1045" t="s">
        <v>1284</v>
      </c>
      <c r="C1045">
        <v>-9</v>
      </c>
      <c r="D1045" s="105">
        <v>4457052.66</v>
      </c>
      <c r="E1045" t="s">
        <v>1667</v>
      </c>
      <c r="F1045" s="105">
        <v>99045.61</v>
      </c>
      <c r="G1045" s="105">
        <v>5070795.03</v>
      </c>
      <c r="H1045" s="384">
        <v>42825.553923344909</v>
      </c>
      <c r="I1045" s="384">
        <v>43254</v>
      </c>
      <c r="J1045" t="s">
        <v>4440</v>
      </c>
      <c r="K1045" t="s">
        <v>1280</v>
      </c>
      <c r="L1045" t="s">
        <v>4441</v>
      </c>
      <c r="M1045">
        <v>200952</v>
      </c>
      <c r="N1045" t="s">
        <v>4418</v>
      </c>
      <c r="O1045" t="s">
        <v>27</v>
      </c>
      <c r="P1045" t="s">
        <v>26</v>
      </c>
      <c r="Q1045" t="s">
        <v>26</v>
      </c>
      <c r="R1045" s="105">
        <f>IF(Table__192.168.1.150_Daily_Delinquency_With_Sectors[[#This Row],[Days in Arrears]] &gt; 0, Table__192.168.1.150_Daily_Delinquency_With_Sectors[[#This Row],[Outstanding Balance]],0)</f>
        <v>0</v>
      </c>
      <c r="S1045" s="105">
        <f>IF(Table__192.168.1.150_Daily_Delinquency_With_Sectors[[#This Row],[Days in Arrears]] &gt; 30, Table__192.168.1.150_Daily_Delinquency_With_Sectors[[#This Row],[Outstanding Balance]],0)</f>
        <v>0</v>
      </c>
      <c r="T1045" s="105">
        <f>IF(Table__192.168.1.150_Daily_Delinquency_With_Sectors[[#This Row],[Days in Arrears]] &gt; 90, Table__192.168.1.150_Daily_Delinquency_With_Sectors[[#This Row],[Outstanding Balance]],0)</f>
        <v>0</v>
      </c>
      <c r="U1045" s="109">
        <f>IF(Table__192.168.1.150_Daily_Delinquency_With_Sectors[[#This Row],[Days in Arrears]] &gt;= 1,1,0)</f>
        <v>0</v>
      </c>
      <c r="V1045" s="109">
        <f>IF(Table__192.168.1.150_Daily_Delinquency_With_Sectors[[#This Row],[Days in Arrears]] &gt; 30,1,0)</f>
        <v>0</v>
      </c>
      <c r="W1045" s="109">
        <f>IF(Table__192.168.1.150_Daily_Delinquency_With_Sectors[[#This Row],[Days in Arrears]] &gt; 90,1,0)</f>
        <v>0</v>
      </c>
    </row>
    <row r="1046" spans="1:23" x14ac:dyDescent="0.25">
      <c r="A1046" t="s">
        <v>4447</v>
      </c>
      <c r="B1046" t="s">
        <v>1866</v>
      </c>
      <c r="C1046">
        <v>-9</v>
      </c>
      <c r="D1046" s="105">
        <v>4767156.04</v>
      </c>
      <c r="E1046" t="s">
        <v>1909</v>
      </c>
      <c r="F1046" s="105">
        <v>132421</v>
      </c>
      <c r="G1046" s="105">
        <v>5379255.9100000001</v>
      </c>
      <c r="H1046" s="384">
        <v>42828.483967245367</v>
      </c>
      <c r="I1046" s="384">
        <v>43193</v>
      </c>
      <c r="J1046" t="s">
        <v>4448</v>
      </c>
      <c r="K1046" t="s">
        <v>4681</v>
      </c>
      <c r="L1046" t="s">
        <v>1280</v>
      </c>
      <c r="M1046">
        <v>200954</v>
      </c>
      <c r="N1046" t="s">
        <v>4446</v>
      </c>
      <c r="O1046" t="s">
        <v>27</v>
      </c>
      <c r="P1046" t="s">
        <v>26</v>
      </c>
      <c r="Q1046" t="s">
        <v>26</v>
      </c>
      <c r="R1046" s="105">
        <f>IF(Table__192.168.1.150_Daily_Delinquency_With_Sectors[[#This Row],[Days in Arrears]] &gt; 0, Table__192.168.1.150_Daily_Delinquency_With_Sectors[[#This Row],[Outstanding Balance]],0)</f>
        <v>0</v>
      </c>
      <c r="S1046" s="105">
        <f>IF(Table__192.168.1.150_Daily_Delinquency_With_Sectors[[#This Row],[Days in Arrears]] &gt; 30, Table__192.168.1.150_Daily_Delinquency_With_Sectors[[#This Row],[Outstanding Balance]],0)</f>
        <v>0</v>
      </c>
      <c r="T1046" s="105">
        <f>IF(Table__192.168.1.150_Daily_Delinquency_With_Sectors[[#This Row],[Days in Arrears]] &gt; 90, Table__192.168.1.150_Daily_Delinquency_With_Sectors[[#This Row],[Outstanding Balance]],0)</f>
        <v>0</v>
      </c>
      <c r="U1046" s="109">
        <f>IF(Table__192.168.1.150_Daily_Delinquency_With_Sectors[[#This Row],[Days in Arrears]] &gt;= 1,1,0)</f>
        <v>0</v>
      </c>
      <c r="V1046" s="109">
        <f>IF(Table__192.168.1.150_Daily_Delinquency_With_Sectors[[#This Row],[Days in Arrears]] &gt; 30,1,0)</f>
        <v>0</v>
      </c>
      <c r="W1046" s="109">
        <f>IF(Table__192.168.1.150_Daily_Delinquency_With_Sectors[[#This Row],[Days in Arrears]] &gt; 90,1,0)</f>
        <v>0</v>
      </c>
    </row>
    <row r="1047" spans="1:23" x14ac:dyDescent="0.25">
      <c r="A1047" t="s">
        <v>4449</v>
      </c>
      <c r="B1047" t="s">
        <v>1281</v>
      </c>
      <c r="C1047">
        <v>171</v>
      </c>
      <c r="D1047" s="105">
        <v>23336195.68</v>
      </c>
      <c r="E1047" t="s">
        <v>491</v>
      </c>
      <c r="F1047" s="105">
        <v>1459297.43</v>
      </c>
      <c r="G1047" s="105">
        <v>28947651.800000001</v>
      </c>
      <c r="H1047" s="384">
        <v>42828.658962187503</v>
      </c>
      <c r="I1047" s="384">
        <v>43193</v>
      </c>
      <c r="J1047" t="s">
        <v>4450</v>
      </c>
      <c r="K1047" t="s">
        <v>1280</v>
      </c>
      <c r="L1047" t="s">
        <v>4451</v>
      </c>
      <c r="M1047">
        <v>200955</v>
      </c>
      <c r="N1047" t="s">
        <v>4444</v>
      </c>
      <c r="O1047" t="s">
        <v>36</v>
      </c>
      <c r="P1047" t="s">
        <v>1023</v>
      </c>
      <c r="Q1047" t="s">
        <v>4042</v>
      </c>
      <c r="R1047" s="105">
        <f>IF(Table__192.168.1.150_Daily_Delinquency_With_Sectors[[#This Row],[Days in Arrears]] &gt; 0, Table__192.168.1.150_Daily_Delinquency_With_Sectors[[#This Row],[Outstanding Balance]],0)</f>
        <v>23336195.68</v>
      </c>
      <c r="S1047" s="105">
        <f>IF(Table__192.168.1.150_Daily_Delinquency_With_Sectors[[#This Row],[Days in Arrears]] &gt; 30, Table__192.168.1.150_Daily_Delinquency_With_Sectors[[#This Row],[Outstanding Balance]],0)</f>
        <v>23336195.68</v>
      </c>
      <c r="T1047" s="105">
        <f>IF(Table__192.168.1.150_Daily_Delinquency_With_Sectors[[#This Row],[Days in Arrears]] &gt; 90, Table__192.168.1.150_Daily_Delinquency_With_Sectors[[#This Row],[Outstanding Balance]],0)</f>
        <v>23336195.68</v>
      </c>
      <c r="U1047" s="109">
        <f>IF(Table__192.168.1.150_Daily_Delinquency_With_Sectors[[#This Row],[Days in Arrears]] &gt;= 1,1,0)</f>
        <v>1</v>
      </c>
      <c r="V1047" s="109">
        <f>IF(Table__192.168.1.150_Daily_Delinquency_With_Sectors[[#This Row],[Days in Arrears]] &gt; 30,1,0)</f>
        <v>1</v>
      </c>
      <c r="W1047" s="109">
        <f>IF(Table__192.168.1.150_Daily_Delinquency_With_Sectors[[#This Row],[Days in Arrears]] &gt; 90,1,0)</f>
        <v>1</v>
      </c>
    </row>
    <row r="1048" spans="1:23" x14ac:dyDescent="0.25">
      <c r="A1048" t="s">
        <v>4452</v>
      </c>
      <c r="B1048" t="s">
        <v>1281</v>
      </c>
      <c r="C1048">
        <v>-9</v>
      </c>
      <c r="D1048" s="105">
        <v>20760576.370000001</v>
      </c>
      <c r="E1048" t="s">
        <v>1447</v>
      </c>
      <c r="F1048" s="105">
        <v>553615.37</v>
      </c>
      <c r="G1048" s="105">
        <v>26067798.329999998</v>
      </c>
      <c r="H1048" s="384">
        <v>42828.67673634259</v>
      </c>
      <c r="I1048" s="384">
        <v>43376</v>
      </c>
      <c r="J1048" t="s">
        <v>4453</v>
      </c>
      <c r="K1048" t="s">
        <v>1280</v>
      </c>
      <c r="L1048" t="s">
        <v>4454</v>
      </c>
      <c r="M1048">
        <v>200956</v>
      </c>
      <c r="N1048" t="s">
        <v>4445</v>
      </c>
      <c r="O1048" t="s">
        <v>25</v>
      </c>
      <c r="P1048" t="s">
        <v>26</v>
      </c>
      <c r="Q1048" t="s">
        <v>26</v>
      </c>
      <c r="R1048" s="105">
        <f>IF(Table__192.168.1.150_Daily_Delinquency_With_Sectors[[#This Row],[Days in Arrears]] &gt; 0, Table__192.168.1.150_Daily_Delinquency_With_Sectors[[#This Row],[Outstanding Balance]],0)</f>
        <v>0</v>
      </c>
      <c r="S1048" s="105">
        <f>IF(Table__192.168.1.150_Daily_Delinquency_With_Sectors[[#This Row],[Days in Arrears]] &gt; 30, Table__192.168.1.150_Daily_Delinquency_With_Sectors[[#This Row],[Outstanding Balance]],0)</f>
        <v>0</v>
      </c>
      <c r="T1048" s="105">
        <f>IF(Table__192.168.1.150_Daily_Delinquency_With_Sectors[[#This Row],[Days in Arrears]] &gt; 90, Table__192.168.1.150_Daily_Delinquency_With_Sectors[[#This Row],[Outstanding Balance]],0)</f>
        <v>0</v>
      </c>
      <c r="U1048" s="109">
        <f>IF(Table__192.168.1.150_Daily_Delinquency_With_Sectors[[#This Row],[Days in Arrears]] &gt;= 1,1,0)</f>
        <v>0</v>
      </c>
      <c r="V1048" s="109">
        <f>IF(Table__192.168.1.150_Daily_Delinquency_With_Sectors[[#This Row],[Days in Arrears]] &gt; 30,1,0)</f>
        <v>0</v>
      </c>
      <c r="W1048" s="109">
        <f>IF(Table__192.168.1.150_Daily_Delinquency_With_Sectors[[#This Row],[Days in Arrears]] &gt; 90,1,0)</f>
        <v>0</v>
      </c>
    </row>
    <row r="1049" spans="1:23" x14ac:dyDescent="0.25">
      <c r="A1049" t="s">
        <v>4457</v>
      </c>
      <c r="B1049" t="s">
        <v>1284</v>
      </c>
      <c r="C1049">
        <v>-10</v>
      </c>
      <c r="D1049" s="105">
        <v>19610025.949999999</v>
      </c>
      <c r="E1049" t="s">
        <v>1447</v>
      </c>
      <c r="F1049" s="105">
        <v>413989.44</v>
      </c>
      <c r="G1049" s="105">
        <v>26004787.559999999</v>
      </c>
      <c r="H1049" s="384">
        <v>42829.434922488428</v>
      </c>
      <c r="I1049" s="384">
        <v>43559</v>
      </c>
      <c r="J1049" t="s">
        <v>4458</v>
      </c>
      <c r="K1049" t="s">
        <v>1280</v>
      </c>
      <c r="L1049" t="s">
        <v>4459</v>
      </c>
      <c r="M1049">
        <v>200958</v>
      </c>
      <c r="N1049" t="s">
        <v>4456</v>
      </c>
      <c r="O1049" t="s">
        <v>36</v>
      </c>
      <c r="P1049" t="s">
        <v>97</v>
      </c>
      <c r="Q1049" t="s">
        <v>98</v>
      </c>
      <c r="R1049" s="105">
        <f>IF(Table__192.168.1.150_Daily_Delinquency_With_Sectors[[#This Row],[Days in Arrears]] &gt; 0, Table__192.168.1.150_Daily_Delinquency_With_Sectors[[#This Row],[Outstanding Balance]],0)</f>
        <v>0</v>
      </c>
      <c r="S1049" s="105">
        <f>IF(Table__192.168.1.150_Daily_Delinquency_With_Sectors[[#This Row],[Days in Arrears]] &gt; 30, Table__192.168.1.150_Daily_Delinquency_With_Sectors[[#This Row],[Outstanding Balance]],0)</f>
        <v>0</v>
      </c>
      <c r="T1049" s="105">
        <f>IF(Table__192.168.1.150_Daily_Delinquency_With_Sectors[[#This Row],[Days in Arrears]] &gt; 90, Table__192.168.1.150_Daily_Delinquency_With_Sectors[[#This Row],[Outstanding Balance]],0)</f>
        <v>0</v>
      </c>
      <c r="U1049" s="109">
        <f>IF(Table__192.168.1.150_Daily_Delinquency_With_Sectors[[#This Row],[Days in Arrears]] &gt;= 1,1,0)</f>
        <v>0</v>
      </c>
      <c r="V1049" s="109">
        <f>IF(Table__192.168.1.150_Daily_Delinquency_With_Sectors[[#This Row],[Days in Arrears]] &gt; 30,1,0)</f>
        <v>0</v>
      </c>
      <c r="W1049" s="109">
        <f>IF(Table__192.168.1.150_Daily_Delinquency_With_Sectors[[#This Row],[Days in Arrears]] &gt; 90,1,0)</f>
        <v>0</v>
      </c>
    </row>
    <row r="1050" spans="1:23" x14ac:dyDescent="0.25">
      <c r="A1050" t="s">
        <v>4460</v>
      </c>
      <c r="B1050" t="s">
        <v>1282</v>
      </c>
      <c r="C1050">
        <v>-10</v>
      </c>
      <c r="D1050" s="105">
        <v>868527.23</v>
      </c>
      <c r="E1050" t="s">
        <v>1909</v>
      </c>
      <c r="F1050" s="105">
        <v>24753.03</v>
      </c>
      <c r="G1050" s="105">
        <v>947841.22</v>
      </c>
      <c r="H1050" s="384">
        <v>42829.592091631945</v>
      </c>
      <c r="I1050" s="384">
        <v>43135</v>
      </c>
      <c r="J1050" t="s">
        <v>4461</v>
      </c>
      <c r="K1050" t="s">
        <v>1280</v>
      </c>
      <c r="L1050" t="s">
        <v>4462</v>
      </c>
      <c r="M1050">
        <v>200960</v>
      </c>
      <c r="N1050" t="s">
        <v>4455</v>
      </c>
      <c r="O1050" t="s">
        <v>44</v>
      </c>
      <c r="P1050" t="s">
        <v>75</v>
      </c>
      <c r="Q1050" t="s">
        <v>26</v>
      </c>
      <c r="R1050" s="105">
        <f>IF(Table__192.168.1.150_Daily_Delinquency_With_Sectors[[#This Row],[Days in Arrears]] &gt; 0, Table__192.168.1.150_Daily_Delinquency_With_Sectors[[#This Row],[Outstanding Balance]],0)</f>
        <v>0</v>
      </c>
      <c r="S1050" s="105">
        <f>IF(Table__192.168.1.150_Daily_Delinquency_With_Sectors[[#This Row],[Days in Arrears]] &gt; 30, Table__192.168.1.150_Daily_Delinquency_With_Sectors[[#This Row],[Outstanding Balance]],0)</f>
        <v>0</v>
      </c>
      <c r="T1050" s="105">
        <f>IF(Table__192.168.1.150_Daily_Delinquency_With_Sectors[[#This Row],[Days in Arrears]] &gt; 90, Table__192.168.1.150_Daily_Delinquency_With_Sectors[[#This Row],[Outstanding Balance]],0)</f>
        <v>0</v>
      </c>
      <c r="U1050" s="109">
        <f>IF(Table__192.168.1.150_Daily_Delinquency_With_Sectors[[#This Row],[Days in Arrears]] &gt;= 1,1,0)</f>
        <v>0</v>
      </c>
      <c r="V1050" s="109">
        <f>IF(Table__192.168.1.150_Daily_Delinquency_With_Sectors[[#This Row],[Days in Arrears]] &gt; 30,1,0)</f>
        <v>0</v>
      </c>
      <c r="W1050" s="109">
        <f>IF(Table__192.168.1.150_Daily_Delinquency_With_Sectors[[#This Row],[Days in Arrears]] &gt; 90,1,0)</f>
        <v>0</v>
      </c>
    </row>
    <row r="1051" spans="1:23" x14ac:dyDescent="0.25">
      <c r="A1051" t="s">
        <v>2460</v>
      </c>
      <c r="B1051" t="s">
        <v>1282</v>
      </c>
      <c r="C1051">
        <v>-11</v>
      </c>
      <c r="D1051" s="105">
        <v>4743513.4000000004</v>
      </c>
      <c r="E1051" t="s">
        <v>1667</v>
      </c>
      <c r="F1051" s="105">
        <v>113844.32</v>
      </c>
      <c r="G1051" s="105">
        <v>5327608.6100000003</v>
      </c>
      <c r="H1051" s="384">
        <v>42830.696861655095</v>
      </c>
      <c r="I1051" s="384">
        <v>43195</v>
      </c>
      <c r="J1051" t="s">
        <v>2461</v>
      </c>
      <c r="K1051" t="s">
        <v>1280</v>
      </c>
      <c r="L1051" t="s">
        <v>1280</v>
      </c>
      <c r="M1051">
        <v>200961</v>
      </c>
      <c r="N1051" t="s">
        <v>2459</v>
      </c>
      <c r="O1051" t="s">
        <v>25</v>
      </c>
      <c r="P1051" t="s">
        <v>286</v>
      </c>
      <c r="Q1051" t="s">
        <v>4463</v>
      </c>
      <c r="R1051" s="105">
        <f>IF(Table__192.168.1.150_Daily_Delinquency_With_Sectors[[#This Row],[Days in Arrears]] &gt; 0, Table__192.168.1.150_Daily_Delinquency_With_Sectors[[#This Row],[Outstanding Balance]],0)</f>
        <v>0</v>
      </c>
      <c r="S1051" s="105">
        <f>IF(Table__192.168.1.150_Daily_Delinquency_With_Sectors[[#This Row],[Days in Arrears]] &gt; 30, Table__192.168.1.150_Daily_Delinquency_With_Sectors[[#This Row],[Outstanding Balance]],0)</f>
        <v>0</v>
      </c>
      <c r="T1051" s="105">
        <f>IF(Table__192.168.1.150_Daily_Delinquency_With_Sectors[[#This Row],[Days in Arrears]] &gt; 90, Table__192.168.1.150_Daily_Delinquency_With_Sectors[[#This Row],[Outstanding Balance]],0)</f>
        <v>0</v>
      </c>
      <c r="U1051" s="109">
        <f>IF(Table__192.168.1.150_Daily_Delinquency_With_Sectors[[#This Row],[Days in Arrears]] &gt;= 1,1,0)</f>
        <v>0</v>
      </c>
      <c r="V1051" s="109">
        <f>IF(Table__192.168.1.150_Daily_Delinquency_With_Sectors[[#This Row],[Days in Arrears]] &gt; 30,1,0)</f>
        <v>0</v>
      </c>
      <c r="W1051" s="109">
        <f>IF(Table__192.168.1.150_Daily_Delinquency_With_Sectors[[#This Row],[Days in Arrears]] &gt; 90,1,0)</f>
        <v>0</v>
      </c>
    </row>
    <row r="1052" spans="1:23" x14ac:dyDescent="0.25">
      <c r="A1052" t="s">
        <v>4468</v>
      </c>
      <c r="B1052" t="s">
        <v>1282</v>
      </c>
      <c r="C1052">
        <v>-12</v>
      </c>
      <c r="D1052" s="105">
        <v>4814320.1500000004</v>
      </c>
      <c r="E1052" t="s">
        <v>1925</v>
      </c>
      <c r="F1052" s="105">
        <v>122765.16</v>
      </c>
      <c r="G1052" s="105">
        <v>5483309.4000000004</v>
      </c>
      <c r="H1052" s="384">
        <v>42831.70020003472</v>
      </c>
      <c r="I1052" s="384">
        <v>43196</v>
      </c>
      <c r="J1052" t="s">
        <v>4469</v>
      </c>
      <c r="K1052" t="s">
        <v>1280</v>
      </c>
      <c r="L1052" t="s">
        <v>4470</v>
      </c>
      <c r="M1052">
        <v>200962</v>
      </c>
      <c r="N1052" t="s">
        <v>4464</v>
      </c>
      <c r="O1052" t="s">
        <v>25</v>
      </c>
      <c r="P1052" t="s">
        <v>88</v>
      </c>
      <c r="Q1052" t="s">
        <v>285</v>
      </c>
      <c r="R1052" s="105">
        <f>IF(Table__192.168.1.150_Daily_Delinquency_With_Sectors[[#This Row],[Days in Arrears]] &gt; 0, Table__192.168.1.150_Daily_Delinquency_With_Sectors[[#This Row],[Outstanding Balance]],0)</f>
        <v>0</v>
      </c>
      <c r="S1052" s="105">
        <f>IF(Table__192.168.1.150_Daily_Delinquency_With_Sectors[[#This Row],[Days in Arrears]] &gt; 30, Table__192.168.1.150_Daily_Delinquency_With_Sectors[[#This Row],[Outstanding Balance]],0)</f>
        <v>0</v>
      </c>
      <c r="T1052" s="105">
        <f>IF(Table__192.168.1.150_Daily_Delinquency_With_Sectors[[#This Row],[Days in Arrears]] &gt; 90, Table__192.168.1.150_Daily_Delinquency_With_Sectors[[#This Row],[Outstanding Balance]],0)</f>
        <v>0</v>
      </c>
      <c r="U1052" s="109">
        <f>IF(Table__192.168.1.150_Daily_Delinquency_With_Sectors[[#This Row],[Days in Arrears]] &gt;= 1,1,0)</f>
        <v>0</v>
      </c>
      <c r="V1052" s="109">
        <f>IF(Table__192.168.1.150_Daily_Delinquency_With_Sectors[[#This Row],[Days in Arrears]] &gt; 30,1,0)</f>
        <v>0</v>
      </c>
      <c r="W1052" s="109">
        <f>IF(Table__192.168.1.150_Daily_Delinquency_With_Sectors[[#This Row],[Days in Arrears]] &gt; 90,1,0)</f>
        <v>0</v>
      </c>
    </row>
    <row r="1053" spans="1:23" x14ac:dyDescent="0.25">
      <c r="A1053" t="s">
        <v>4477</v>
      </c>
      <c r="B1053" t="s">
        <v>1282</v>
      </c>
      <c r="C1053">
        <v>16</v>
      </c>
      <c r="D1053" s="105">
        <v>3959509.52</v>
      </c>
      <c r="E1053" t="s">
        <v>491</v>
      </c>
      <c r="F1053" s="105">
        <v>249888.27</v>
      </c>
      <c r="G1053" s="105">
        <v>4601864.74</v>
      </c>
      <c r="H1053" s="384">
        <v>42833.446310763888</v>
      </c>
      <c r="I1053" s="384">
        <v>43198</v>
      </c>
      <c r="J1053" t="s">
        <v>4478</v>
      </c>
      <c r="K1053" t="s">
        <v>1280</v>
      </c>
      <c r="L1053" t="s">
        <v>1280</v>
      </c>
      <c r="M1053">
        <v>200963</v>
      </c>
      <c r="N1053" t="s">
        <v>4476</v>
      </c>
      <c r="O1053" t="s">
        <v>27</v>
      </c>
      <c r="P1053" t="s">
        <v>81</v>
      </c>
      <c r="Q1053" t="s">
        <v>26</v>
      </c>
      <c r="R1053" s="105">
        <f>IF(Table__192.168.1.150_Daily_Delinquency_With_Sectors[[#This Row],[Days in Arrears]] &gt; 0, Table__192.168.1.150_Daily_Delinquency_With_Sectors[[#This Row],[Outstanding Balance]],0)</f>
        <v>3959509.52</v>
      </c>
      <c r="S1053" s="105">
        <f>IF(Table__192.168.1.150_Daily_Delinquency_With_Sectors[[#This Row],[Days in Arrears]] &gt; 30, Table__192.168.1.150_Daily_Delinquency_With_Sectors[[#This Row],[Outstanding Balance]],0)</f>
        <v>0</v>
      </c>
      <c r="T1053" s="105">
        <f>IF(Table__192.168.1.150_Daily_Delinquency_With_Sectors[[#This Row],[Days in Arrears]] &gt; 90, Table__192.168.1.150_Daily_Delinquency_With_Sectors[[#This Row],[Outstanding Balance]],0)</f>
        <v>0</v>
      </c>
      <c r="U1053" s="109">
        <f>IF(Table__192.168.1.150_Daily_Delinquency_With_Sectors[[#This Row],[Days in Arrears]] &gt;= 1,1,0)</f>
        <v>1</v>
      </c>
      <c r="V1053" s="109">
        <f>IF(Table__192.168.1.150_Daily_Delinquency_With_Sectors[[#This Row],[Days in Arrears]] &gt; 30,1,0)</f>
        <v>0</v>
      </c>
      <c r="W1053" s="109">
        <f>IF(Table__192.168.1.150_Daily_Delinquency_With_Sectors[[#This Row],[Days in Arrears]] &gt; 90,1,0)</f>
        <v>0</v>
      </c>
    </row>
    <row r="1054" spans="1:23" x14ac:dyDescent="0.25">
      <c r="A1054" t="s">
        <v>4479</v>
      </c>
      <c r="B1054" t="s">
        <v>1282</v>
      </c>
      <c r="C1054">
        <v>166</v>
      </c>
      <c r="D1054" s="105">
        <v>4440190.3099999996</v>
      </c>
      <c r="E1054" t="s">
        <v>2861</v>
      </c>
      <c r="F1054" s="105">
        <v>177034.33</v>
      </c>
      <c r="G1054" s="105">
        <v>5078563.5999999996</v>
      </c>
      <c r="H1054" s="384">
        <v>42833.49402395833</v>
      </c>
      <c r="I1054" s="384">
        <v>43077</v>
      </c>
      <c r="J1054" t="s">
        <v>4480</v>
      </c>
      <c r="K1054" t="s">
        <v>1280</v>
      </c>
      <c r="L1054" t="s">
        <v>4481</v>
      </c>
      <c r="M1054">
        <v>200964</v>
      </c>
      <c r="N1054" t="s">
        <v>4475</v>
      </c>
      <c r="O1054" t="s">
        <v>25</v>
      </c>
      <c r="P1054" t="s">
        <v>295</v>
      </c>
      <c r="Q1054" t="s">
        <v>296</v>
      </c>
      <c r="R1054" s="105">
        <f>IF(Table__192.168.1.150_Daily_Delinquency_With_Sectors[[#This Row],[Days in Arrears]] &gt; 0, Table__192.168.1.150_Daily_Delinquency_With_Sectors[[#This Row],[Outstanding Balance]],0)</f>
        <v>4440190.3099999996</v>
      </c>
      <c r="S1054" s="105">
        <f>IF(Table__192.168.1.150_Daily_Delinquency_With_Sectors[[#This Row],[Days in Arrears]] &gt; 30, Table__192.168.1.150_Daily_Delinquency_With_Sectors[[#This Row],[Outstanding Balance]],0)</f>
        <v>4440190.3099999996</v>
      </c>
      <c r="T1054" s="105">
        <f>IF(Table__192.168.1.150_Daily_Delinquency_With_Sectors[[#This Row],[Days in Arrears]] &gt; 90, Table__192.168.1.150_Daily_Delinquency_With_Sectors[[#This Row],[Outstanding Balance]],0)</f>
        <v>4440190.3099999996</v>
      </c>
      <c r="U1054" s="109">
        <f>IF(Table__192.168.1.150_Daily_Delinquency_With_Sectors[[#This Row],[Days in Arrears]] &gt;= 1,1,0)</f>
        <v>1</v>
      </c>
      <c r="V1054" s="109">
        <f>IF(Table__192.168.1.150_Daily_Delinquency_With_Sectors[[#This Row],[Days in Arrears]] &gt; 30,1,0)</f>
        <v>1</v>
      </c>
      <c r="W1054" s="109">
        <f>IF(Table__192.168.1.150_Daily_Delinquency_With_Sectors[[#This Row],[Days in Arrears]] &gt; 90,1,0)</f>
        <v>1</v>
      </c>
    </row>
    <row r="1055" spans="1:23" x14ac:dyDescent="0.25">
      <c r="A1055" t="s">
        <v>2015</v>
      </c>
      <c r="B1055" t="s">
        <v>1284</v>
      </c>
      <c r="C1055">
        <v>-16</v>
      </c>
      <c r="D1055" s="105">
        <v>13216229.67</v>
      </c>
      <c r="E1055" t="s">
        <v>1467</v>
      </c>
      <c r="F1055" s="105">
        <v>171810.99</v>
      </c>
      <c r="G1055" s="105">
        <v>17064703.23</v>
      </c>
      <c r="H1055" s="384">
        <v>42835.685623877318</v>
      </c>
      <c r="I1055" s="384">
        <v>43565</v>
      </c>
      <c r="J1055" t="s">
        <v>2016</v>
      </c>
      <c r="K1055" t="s">
        <v>1280</v>
      </c>
      <c r="L1055" t="s">
        <v>1280</v>
      </c>
      <c r="M1055">
        <v>200966</v>
      </c>
      <c r="N1055" t="s">
        <v>2014</v>
      </c>
      <c r="O1055" t="s">
        <v>25</v>
      </c>
      <c r="P1055" t="s">
        <v>88</v>
      </c>
      <c r="Q1055" t="s">
        <v>285</v>
      </c>
      <c r="R1055" s="105">
        <f>IF(Table__192.168.1.150_Daily_Delinquency_With_Sectors[[#This Row],[Days in Arrears]] &gt; 0, Table__192.168.1.150_Daily_Delinquency_With_Sectors[[#This Row],[Outstanding Balance]],0)</f>
        <v>0</v>
      </c>
      <c r="S1055" s="105">
        <f>IF(Table__192.168.1.150_Daily_Delinquency_With_Sectors[[#This Row],[Days in Arrears]] &gt; 30, Table__192.168.1.150_Daily_Delinquency_With_Sectors[[#This Row],[Outstanding Balance]],0)</f>
        <v>0</v>
      </c>
      <c r="T1055" s="105">
        <f>IF(Table__192.168.1.150_Daily_Delinquency_With_Sectors[[#This Row],[Days in Arrears]] &gt; 90, Table__192.168.1.150_Daily_Delinquency_With_Sectors[[#This Row],[Outstanding Balance]],0)</f>
        <v>0</v>
      </c>
      <c r="U1055" s="109">
        <f>IF(Table__192.168.1.150_Daily_Delinquency_With_Sectors[[#This Row],[Days in Arrears]] &gt;= 1,1,0)</f>
        <v>0</v>
      </c>
      <c r="V1055" s="109">
        <f>IF(Table__192.168.1.150_Daily_Delinquency_With_Sectors[[#This Row],[Days in Arrears]] &gt; 30,1,0)</f>
        <v>0</v>
      </c>
      <c r="W1055" s="109">
        <f>IF(Table__192.168.1.150_Daily_Delinquency_With_Sectors[[#This Row],[Days in Arrears]] &gt; 90,1,0)</f>
        <v>0</v>
      </c>
    </row>
    <row r="1056" spans="1:23" x14ac:dyDescent="0.25">
      <c r="A1056" t="s">
        <v>2414</v>
      </c>
      <c r="B1056" t="s">
        <v>1282</v>
      </c>
      <c r="C1056">
        <v>-16</v>
      </c>
      <c r="D1056" s="105">
        <v>7115270.1299999999</v>
      </c>
      <c r="E1056" t="s">
        <v>86</v>
      </c>
      <c r="F1056" s="105">
        <v>123331.35</v>
      </c>
      <c r="G1056" s="105">
        <v>7991412.96</v>
      </c>
      <c r="H1056" s="384">
        <v>42835.773810798608</v>
      </c>
      <c r="I1056" s="384">
        <v>43200</v>
      </c>
      <c r="J1056" t="s">
        <v>2415</v>
      </c>
      <c r="K1056" t="s">
        <v>1280</v>
      </c>
      <c r="L1056" t="s">
        <v>1280</v>
      </c>
      <c r="M1056">
        <v>200967</v>
      </c>
      <c r="N1056" t="s">
        <v>2413</v>
      </c>
      <c r="O1056" t="s">
        <v>25</v>
      </c>
      <c r="P1056" t="s">
        <v>88</v>
      </c>
      <c r="Q1056" t="s">
        <v>285</v>
      </c>
      <c r="R1056" s="105">
        <f>IF(Table__192.168.1.150_Daily_Delinquency_With_Sectors[[#This Row],[Days in Arrears]] &gt; 0, Table__192.168.1.150_Daily_Delinquency_With_Sectors[[#This Row],[Outstanding Balance]],0)</f>
        <v>0</v>
      </c>
      <c r="S1056" s="105">
        <f>IF(Table__192.168.1.150_Daily_Delinquency_With_Sectors[[#This Row],[Days in Arrears]] &gt; 30, Table__192.168.1.150_Daily_Delinquency_With_Sectors[[#This Row],[Outstanding Balance]],0)</f>
        <v>0</v>
      </c>
      <c r="T1056" s="105">
        <f>IF(Table__192.168.1.150_Daily_Delinquency_With_Sectors[[#This Row],[Days in Arrears]] &gt; 90, Table__192.168.1.150_Daily_Delinquency_With_Sectors[[#This Row],[Outstanding Balance]],0)</f>
        <v>0</v>
      </c>
      <c r="U1056" s="109">
        <f>IF(Table__192.168.1.150_Daily_Delinquency_With_Sectors[[#This Row],[Days in Arrears]] &gt;= 1,1,0)</f>
        <v>0</v>
      </c>
      <c r="V1056" s="109">
        <f>IF(Table__192.168.1.150_Daily_Delinquency_With_Sectors[[#This Row],[Days in Arrears]] &gt; 30,1,0)</f>
        <v>0</v>
      </c>
      <c r="W1056" s="109">
        <f>IF(Table__192.168.1.150_Daily_Delinquency_With_Sectors[[#This Row],[Days in Arrears]] &gt; 90,1,0)</f>
        <v>0</v>
      </c>
    </row>
    <row r="1057" spans="1:23" x14ac:dyDescent="0.25">
      <c r="A1057" t="s">
        <v>4495</v>
      </c>
      <c r="B1057" t="s">
        <v>1279</v>
      </c>
      <c r="C1057">
        <v>-17</v>
      </c>
      <c r="D1057" s="105">
        <v>1042232.59</v>
      </c>
      <c r="E1057" t="s">
        <v>1909</v>
      </c>
      <c r="F1057" s="105">
        <v>18760.189999999999</v>
      </c>
      <c r="G1057" s="105">
        <v>1137409.3600000001</v>
      </c>
      <c r="H1057" s="384">
        <v>42836.624498645833</v>
      </c>
      <c r="I1057" s="384">
        <v>43142</v>
      </c>
      <c r="J1057" t="s">
        <v>4496</v>
      </c>
      <c r="K1057" t="s">
        <v>1280</v>
      </c>
      <c r="L1057" t="s">
        <v>4497</v>
      </c>
      <c r="M1057">
        <v>200970</v>
      </c>
      <c r="N1057" t="s">
        <v>4491</v>
      </c>
      <c r="O1057" t="s">
        <v>44</v>
      </c>
      <c r="P1057" t="s">
        <v>75</v>
      </c>
      <c r="Q1057" t="s">
        <v>1442</v>
      </c>
      <c r="R1057" s="105">
        <f>IF(Table__192.168.1.150_Daily_Delinquency_With_Sectors[[#This Row],[Days in Arrears]] &gt; 0, Table__192.168.1.150_Daily_Delinquency_With_Sectors[[#This Row],[Outstanding Balance]],0)</f>
        <v>0</v>
      </c>
      <c r="S1057" s="105">
        <f>IF(Table__192.168.1.150_Daily_Delinquency_With_Sectors[[#This Row],[Days in Arrears]] &gt; 30, Table__192.168.1.150_Daily_Delinquency_With_Sectors[[#This Row],[Outstanding Balance]],0)</f>
        <v>0</v>
      </c>
      <c r="T1057" s="105">
        <f>IF(Table__192.168.1.150_Daily_Delinquency_With_Sectors[[#This Row],[Days in Arrears]] &gt; 90, Table__192.168.1.150_Daily_Delinquency_With_Sectors[[#This Row],[Outstanding Balance]],0)</f>
        <v>0</v>
      </c>
      <c r="U1057" s="109">
        <f>IF(Table__192.168.1.150_Daily_Delinquency_With_Sectors[[#This Row],[Days in Arrears]] &gt;= 1,1,0)</f>
        <v>0</v>
      </c>
      <c r="V1057" s="109">
        <f>IF(Table__192.168.1.150_Daily_Delinquency_With_Sectors[[#This Row],[Days in Arrears]] &gt; 30,1,0)</f>
        <v>0</v>
      </c>
      <c r="W1057" s="109">
        <f>IF(Table__192.168.1.150_Daily_Delinquency_With_Sectors[[#This Row],[Days in Arrears]] &gt; 90,1,0)</f>
        <v>0</v>
      </c>
    </row>
    <row r="1058" spans="1:23" x14ac:dyDescent="0.25">
      <c r="A1058" t="s">
        <v>4513</v>
      </c>
      <c r="B1058" t="s">
        <v>1283</v>
      </c>
      <c r="C1058">
        <v>9</v>
      </c>
      <c r="D1058" s="105">
        <v>22031910.149999999</v>
      </c>
      <c r="E1058" t="s">
        <v>2861</v>
      </c>
      <c r="F1058" s="105">
        <v>411212.35</v>
      </c>
      <c r="G1058" s="105">
        <v>24183488.66</v>
      </c>
      <c r="H1058" s="384">
        <v>42837.450458564817</v>
      </c>
      <c r="I1058" s="384">
        <v>43205</v>
      </c>
      <c r="J1058" t="s">
        <v>4514</v>
      </c>
      <c r="K1058" t="s">
        <v>1280</v>
      </c>
      <c r="L1058" t="s">
        <v>4515</v>
      </c>
      <c r="M1058">
        <v>200971</v>
      </c>
      <c r="N1058" t="s">
        <v>4498</v>
      </c>
      <c r="O1058" t="s">
        <v>36</v>
      </c>
      <c r="P1058" t="s">
        <v>97</v>
      </c>
      <c r="Q1058" t="s">
        <v>98</v>
      </c>
      <c r="R1058" s="105">
        <f>IF(Table__192.168.1.150_Daily_Delinquency_With_Sectors[[#This Row],[Days in Arrears]] &gt; 0, Table__192.168.1.150_Daily_Delinquency_With_Sectors[[#This Row],[Outstanding Balance]],0)</f>
        <v>22031910.149999999</v>
      </c>
      <c r="S1058" s="105">
        <f>IF(Table__192.168.1.150_Daily_Delinquency_With_Sectors[[#This Row],[Days in Arrears]] &gt; 30, Table__192.168.1.150_Daily_Delinquency_With_Sectors[[#This Row],[Outstanding Balance]],0)</f>
        <v>0</v>
      </c>
      <c r="T1058" s="105">
        <f>IF(Table__192.168.1.150_Daily_Delinquency_With_Sectors[[#This Row],[Days in Arrears]] &gt; 90, Table__192.168.1.150_Daily_Delinquency_With_Sectors[[#This Row],[Outstanding Balance]],0)</f>
        <v>0</v>
      </c>
      <c r="U1058" s="109">
        <f>IF(Table__192.168.1.150_Daily_Delinquency_With_Sectors[[#This Row],[Days in Arrears]] &gt;= 1,1,0)</f>
        <v>1</v>
      </c>
      <c r="V1058" s="109">
        <f>IF(Table__192.168.1.150_Daily_Delinquency_With_Sectors[[#This Row],[Days in Arrears]] &gt; 30,1,0)</f>
        <v>0</v>
      </c>
      <c r="W1058" s="109">
        <f>IF(Table__192.168.1.150_Daily_Delinquency_With_Sectors[[#This Row],[Days in Arrears]] &gt; 90,1,0)</f>
        <v>0</v>
      </c>
    </row>
    <row r="1059" spans="1:23" x14ac:dyDescent="0.25">
      <c r="A1059" t="s">
        <v>4516</v>
      </c>
      <c r="B1059" t="s">
        <v>1282</v>
      </c>
      <c r="C1059">
        <v>-19</v>
      </c>
      <c r="D1059" s="105">
        <v>2371756.7400000002</v>
      </c>
      <c r="E1059" t="s">
        <v>468</v>
      </c>
      <c r="F1059" s="105">
        <v>31623.42</v>
      </c>
      <c r="G1059" s="105">
        <v>2663804.36</v>
      </c>
      <c r="H1059" s="384">
        <v>42838.711294907407</v>
      </c>
      <c r="I1059" s="384">
        <v>43203</v>
      </c>
      <c r="J1059" t="s">
        <v>4517</v>
      </c>
      <c r="K1059" t="s">
        <v>1280</v>
      </c>
      <c r="L1059" t="s">
        <v>1280</v>
      </c>
      <c r="M1059">
        <v>200972</v>
      </c>
      <c r="N1059" t="s">
        <v>4499</v>
      </c>
      <c r="O1059" t="s">
        <v>35</v>
      </c>
      <c r="P1059" t="s">
        <v>121</v>
      </c>
      <c r="Q1059" t="s">
        <v>26</v>
      </c>
      <c r="R1059" s="105">
        <f>IF(Table__192.168.1.150_Daily_Delinquency_With_Sectors[[#This Row],[Days in Arrears]] &gt; 0, Table__192.168.1.150_Daily_Delinquency_With_Sectors[[#This Row],[Outstanding Balance]],0)</f>
        <v>0</v>
      </c>
      <c r="S1059" s="105">
        <f>IF(Table__192.168.1.150_Daily_Delinquency_With_Sectors[[#This Row],[Days in Arrears]] &gt; 30, Table__192.168.1.150_Daily_Delinquency_With_Sectors[[#This Row],[Outstanding Balance]],0)</f>
        <v>0</v>
      </c>
      <c r="T1059" s="105">
        <f>IF(Table__192.168.1.150_Daily_Delinquency_With_Sectors[[#This Row],[Days in Arrears]] &gt; 90, Table__192.168.1.150_Daily_Delinquency_With_Sectors[[#This Row],[Outstanding Balance]],0)</f>
        <v>0</v>
      </c>
      <c r="U1059" s="109">
        <f>IF(Table__192.168.1.150_Daily_Delinquency_With_Sectors[[#This Row],[Days in Arrears]] &gt;= 1,1,0)</f>
        <v>0</v>
      </c>
      <c r="V1059" s="109">
        <f>IF(Table__192.168.1.150_Daily_Delinquency_With_Sectors[[#This Row],[Days in Arrears]] &gt; 30,1,0)</f>
        <v>0</v>
      </c>
      <c r="W1059" s="109">
        <f>IF(Table__192.168.1.150_Daily_Delinquency_With_Sectors[[#This Row],[Days in Arrears]] &gt; 90,1,0)</f>
        <v>0</v>
      </c>
    </row>
    <row r="1060" spans="1:23" x14ac:dyDescent="0.25">
      <c r="A1060" t="s">
        <v>4518</v>
      </c>
      <c r="B1060" t="s">
        <v>1866</v>
      </c>
      <c r="C1060">
        <v>-18</v>
      </c>
      <c r="D1060" s="105">
        <v>3337009.24</v>
      </c>
      <c r="E1060" t="s">
        <v>1447</v>
      </c>
      <c r="F1060" s="105">
        <v>50982.09</v>
      </c>
      <c r="G1060" s="105">
        <v>3765479.15</v>
      </c>
      <c r="H1060" s="384">
        <v>42837.609828969908</v>
      </c>
      <c r="I1060" s="384">
        <v>43202</v>
      </c>
      <c r="J1060" t="s">
        <v>4519</v>
      </c>
      <c r="K1060" t="s">
        <v>1280</v>
      </c>
      <c r="L1060" t="s">
        <v>4520</v>
      </c>
      <c r="M1060">
        <v>200974</v>
      </c>
      <c r="N1060" t="s">
        <v>4500</v>
      </c>
      <c r="O1060" t="s">
        <v>27</v>
      </c>
      <c r="P1060" t="s">
        <v>81</v>
      </c>
      <c r="Q1060" t="s">
        <v>26</v>
      </c>
      <c r="R1060" s="105">
        <f>IF(Table__192.168.1.150_Daily_Delinquency_With_Sectors[[#This Row],[Days in Arrears]] &gt; 0, Table__192.168.1.150_Daily_Delinquency_With_Sectors[[#This Row],[Outstanding Balance]],0)</f>
        <v>0</v>
      </c>
      <c r="S1060" s="105">
        <f>IF(Table__192.168.1.150_Daily_Delinquency_With_Sectors[[#This Row],[Days in Arrears]] &gt; 30, Table__192.168.1.150_Daily_Delinquency_With_Sectors[[#This Row],[Outstanding Balance]],0)</f>
        <v>0</v>
      </c>
      <c r="T1060" s="105">
        <f>IF(Table__192.168.1.150_Daily_Delinquency_With_Sectors[[#This Row],[Days in Arrears]] &gt; 90, Table__192.168.1.150_Daily_Delinquency_With_Sectors[[#This Row],[Outstanding Balance]],0)</f>
        <v>0</v>
      </c>
      <c r="U1060" s="109">
        <f>IF(Table__192.168.1.150_Daily_Delinquency_With_Sectors[[#This Row],[Days in Arrears]] &gt;= 1,1,0)</f>
        <v>0</v>
      </c>
      <c r="V1060" s="109">
        <f>IF(Table__192.168.1.150_Daily_Delinquency_With_Sectors[[#This Row],[Days in Arrears]] &gt; 30,1,0)</f>
        <v>0</v>
      </c>
      <c r="W1060" s="109">
        <f>IF(Table__192.168.1.150_Daily_Delinquency_With_Sectors[[#This Row],[Days in Arrears]] &gt; 90,1,0)</f>
        <v>0</v>
      </c>
    </row>
    <row r="1061" spans="1:23" x14ac:dyDescent="0.25">
      <c r="A1061" t="s">
        <v>4521</v>
      </c>
      <c r="B1061" t="s">
        <v>1279</v>
      </c>
      <c r="C1061">
        <v>72</v>
      </c>
      <c r="D1061" s="105">
        <v>544604.71</v>
      </c>
      <c r="E1061" t="s">
        <v>1467</v>
      </c>
      <c r="F1061" s="105">
        <v>36470.68</v>
      </c>
      <c r="G1061" s="105">
        <v>581075.39</v>
      </c>
      <c r="H1061" s="384">
        <v>42837.554754745368</v>
      </c>
      <c r="I1061" s="384">
        <v>43020</v>
      </c>
      <c r="J1061" t="s">
        <v>4522</v>
      </c>
      <c r="K1061" t="s">
        <v>1280</v>
      </c>
      <c r="L1061" t="s">
        <v>1280</v>
      </c>
      <c r="M1061">
        <v>200975</v>
      </c>
      <c r="N1061" t="s">
        <v>4504</v>
      </c>
      <c r="O1061" t="s">
        <v>44</v>
      </c>
      <c r="P1061" t="s">
        <v>75</v>
      </c>
      <c r="Q1061" t="s">
        <v>26</v>
      </c>
      <c r="R1061" s="105">
        <f>IF(Table__192.168.1.150_Daily_Delinquency_With_Sectors[[#This Row],[Days in Arrears]] &gt; 0, Table__192.168.1.150_Daily_Delinquency_With_Sectors[[#This Row],[Outstanding Balance]],0)</f>
        <v>544604.71</v>
      </c>
      <c r="S1061" s="105">
        <f>IF(Table__192.168.1.150_Daily_Delinquency_With_Sectors[[#This Row],[Days in Arrears]] &gt; 30, Table__192.168.1.150_Daily_Delinquency_With_Sectors[[#This Row],[Outstanding Balance]],0)</f>
        <v>544604.71</v>
      </c>
      <c r="T1061" s="105">
        <f>IF(Table__192.168.1.150_Daily_Delinquency_With_Sectors[[#This Row],[Days in Arrears]] &gt; 90, Table__192.168.1.150_Daily_Delinquency_With_Sectors[[#This Row],[Outstanding Balance]],0)</f>
        <v>0</v>
      </c>
      <c r="U1061" s="109">
        <f>IF(Table__192.168.1.150_Daily_Delinquency_With_Sectors[[#This Row],[Days in Arrears]] &gt;= 1,1,0)</f>
        <v>1</v>
      </c>
      <c r="V1061" s="109">
        <f>IF(Table__192.168.1.150_Daily_Delinquency_With_Sectors[[#This Row],[Days in Arrears]] &gt; 30,1,0)</f>
        <v>1</v>
      </c>
      <c r="W1061" s="109">
        <f>IF(Table__192.168.1.150_Daily_Delinquency_With_Sectors[[#This Row],[Days in Arrears]] &gt; 90,1,0)</f>
        <v>0</v>
      </c>
    </row>
    <row r="1062" spans="1:23" x14ac:dyDescent="0.25">
      <c r="A1062" t="s">
        <v>3098</v>
      </c>
      <c r="B1062" t="s">
        <v>1281</v>
      </c>
      <c r="C1062">
        <v>-19</v>
      </c>
      <c r="D1062" s="105">
        <v>11680886.279999999</v>
      </c>
      <c r="E1062" t="s">
        <v>2175</v>
      </c>
      <c r="F1062" s="105">
        <v>13627.7</v>
      </c>
      <c r="G1062" s="105">
        <v>12935493.66</v>
      </c>
      <c r="H1062" s="384">
        <v>42838.68076466435</v>
      </c>
      <c r="I1062" s="384">
        <v>43203</v>
      </c>
      <c r="J1062" t="s">
        <v>3099</v>
      </c>
      <c r="K1062" t="s">
        <v>1280</v>
      </c>
      <c r="L1062" t="s">
        <v>1280</v>
      </c>
      <c r="M1062">
        <v>200977</v>
      </c>
      <c r="N1062" t="s">
        <v>3097</v>
      </c>
      <c r="O1062" t="s">
        <v>25</v>
      </c>
      <c r="P1062" t="s">
        <v>26</v>
      </c>
      <c r="Q1062" t="s">
        <v>26</v>
      </c>
      <c r="R1062" s="105">
        <f>IF(Table__192.168.1.150_Daily_Delinquency_With_Sectors[[#This Row],[Days in Arrears]] &gt; 0, Table__192.168.1.150_Daily_Delinquency_With_Sectors[[#This Row],[Outstanding Balance]],0)</f>
        <v>0</v>
      </c>
      <c r="S1062" s="105">
        <f>IF(Table__192.168.1.150_Daily_Delinquency_With_Sectors[[#This Row],[Days in Arrears]] &gt; 30, Table__192.168.1.150_Daily_Delinquency_With_Sectors[[#This Row],[Outstanding Balance]],0)</f>
        <v>0</v>
      </c>
      <c r="T1062" s="105">
        <f>IF(Table__192.168.1.150_Daily_Delinquency_With_Sectors[[#This Row],[Days in Arrears]] &gt; 90, Table__192.168.1.150_Daily_Delinquency_With_Sectors[[#This Row],[Outstanding Balance]],0)</f>
        <v>0</v>
      </c>
      <c r="U1062" s="109">
        <f>IF(Table__192.168.1.150_Daily_Delinquency_With_Sectors[[#This Row],[Days in Arrears]] &gt;= 1,1,0)</f>
        <v>0</v>
      </c>
      <c r="V1062" s="109">
        <f>IF(Table__192.168.1.150_Daily_Delinquency_With_Sectors[[#This Row],[Days in Arrears]] &gt; 30,1,0)</f>
        <v>0</v>
      </c>
      <c r="W1062" s="109">
        <f>IF(Table__192.168.1.150_Daily_Delinquency_With_Sectors[[#This Row],[Days in Arrears]] &gt; 90,1,0)</f>
        <v>0</v>
      </c>
    </row>
    <row r="1063" spans="1:23" x14ac:dyDescent="0.25">
      <c r="A1063" t="s">
        <v>2321</v>
      </c>
      <c r="B1063" t="s">
        <v>1284</v>
      </c>
      <c r="C1063">
        <v>4</v>
      </c>
      <c r="D1063" s="105">
        <v>21114844.629999999</v>
      </c>
      <c r="E1063" t="s">
        <v>2538</v>
      </c>
      <c r="F1063" s="105">
        <v>271361.45</v>
      </c>
      <c r="G1063" s="105">
        <v>27211467.690000001</v>
      </c>
      <c r="H1063" s="384">
        <v>42845.708019212965</v>
      </c>
      <c r="I1063" s="384">
        <v>43575</v>
      </c>
      <c r="J1063" t="s">
        <v>2322</v>
      </c>
      <c r="K1063" t="s">
        <v>1280</v>
      </c>
      <c r="L1063" t="s">
        <v>1280</v>
      </c>
      <c r="M1063">
        <v>200980</v>
      </c>
      <c r="N1063" t="s">
        <v>2312</v>
      </c>
      <c r="O1063" t="s">
        <v>44</v>
      </c>
      <c r="P1063" t="s">
        <v>75</v>
      </c>
      <c r="Q1063" t="s">
        <v>1442</v>
      </c>
      <c r="R1063" s="105">
        <f>IF(Table__192.168.1.150_Daily_Delinquency_With_Sectors[[#This Row],[Days in Arrears]] &gt; 0, Table__192.168.1.150_Daily_Delinquency_With_Sectors[[#This Row],[Outstanding Balance]],0)</f>
        <v>21114844.629999999</v>
      </c>
      <c r="S1063" s="105">
        <f>IF(Table__192.168.1.150_Daily_Delinquency_With_Sectors[[#This Row],[Days in Arrears]] &gt; 30, Table__192.168.1.150_Daily_Delinquency_With_Sectors[[#This Row],[Outstanding Balance]],0)</f>
        <v>0</v>
      </c>
      <c r="T1063" s="105">
        <f>IF(Table__192.168.1.150_Daily_Delinquency_With_Sectors[[#This Row],[Days in Arrears]] &gt; 90, Table__192.168.1.150_Daily_Delinquency_With_Sectors[[#This Row],[Outstanding Balance]],0)</f>
        <v>0</v>
      </c>
      <c r="U1063" s="109">
        <f>IF(Table__192.168.1.150_Daily_Delinquency_With_Sectors[[#This Row],[Days in Arrears]] &gt;= 1,1,0)</f>
        <v>1</v>
      </c>
      <c r="V1063" s="109">
        <f>IF(Table__192.168.1.150_Daily_Delinquency_With_Sectors[[#This Row],[Days in Arrears]] &gt; 30,1,0)</f>
        <v>0</v>
      </c>
      <c r="W1063" s="109">
        <f>IF(Table__192.168.1.150_Daily_Delinquency_With_Sectors[[#This Row],[Days in Arrears]] &gt; 90,1,0)</f>
        <v>0</v>
      </c>
    </row>
    <row r="1064" spans="1:23" x14ac:dyDescent="0.25">
      <c r="A1064" t="s">
        <v>2720</v>
      </c>
      <c r="B1064" t="s">
        <v>1279</v>
      </c>
      <c r="C1064">
        <v>4</v>
      </c>
      <c r="D1064" s="105">
        <v>1342599.66</v>
      </c>
      <c r="E1064" t="s">
        <v>2855</v>
      </c>
      <c r="F1064" s="105">
        <v>57809.71</v>
      </c>
      <c r="G1064" s="105">
        <v>1479491.37</v>
      </c>
      <c r="H1064" s="384">
        <v>42845.729833645833</v>
      </c>
      <c r="I1064" s="384">
        <v>43151</v>
      </c>
      <c r="J1064" t="s">
        <v>2721</v>
      </c>
      <c r="K1064" t="s">
        <v>1280</v>
      </c>
      <c r="L1064" t="s">
        <v>2722</v>
      </c>
      <c r="M1064">
        <v>200981</v>
      </c>
      <c r="N1064" t="s">
        <v>2713</v>
      </c>
      <c r="O1064" t="s">
        <v>27</v>
      </c>
      <c r="P1064" t="s">
        <v>26</v>
      </c>
      <c r="Q1064" t="s">
        <v>26</v>
      </c>
      <c r="R1064" s="105">
        <f>IF(Table__192.168.1.150_Daily_Delinquency_With_Sectors[[#This Row],[Days in Arrears]] &gt; 0, Table__192.168.1.150_Daily_Delinquency_With_Sectors[[#This Row],[Outstanding Balance]],0)</f>
        <v>1342599.66</v>
      </c>
      <c r="S1064" s="105">
        <f>IF(Table__192.168.1.150_Daily_Delinquency_With_Sectors[[#This Row],[Days in Arrears]] &gt; 30, Table__192.168.1.150_Daily_Delinquency_With_Sectors[[#This Row],[Outstanding Balance]],0)</f>
        <v>0</v>
      </c>
      <c r="T1064" s="105">
        <f>IF(Table__192.168.1.150_Daily_Delinquency_With_Sectors[[#This Row],[Days in Arrears]] &gt; 90, Table__192.168.1.150_Daily_Delinquency_With_Sectors[[#This Row],[Outstanding Balance]],0)</f>
        <v>0</v>
      </c>
      <c r="U1064" s="109">
        <f>IF(Table__192.168.1.150_Daily_Delinquency_With_Sectors[[#This Row],[Days in Arrears]] &gt;= 1,1,0)</f>
        <v>1</v>
      </c>
      <c r="V1064" s="109">
        <f>IF(Table__192.168.1.150_Daily_Delinquency_With_Sectors[[#This Row],[Days in Arrears]] &gt; 30,1,0)</f>
        <v>0</v>
      </c>
      <c r="W1064" s="109">
        <f>IF(Table__192.168.1.150_Daily_Delinquency_With_Sectors[[#This Row],[Days in Arrears]] &gt; 90,1,0)</f>
        <v>0</v>
      </c>
    </row>
    <row r="1065" spans="1:23" x14ac:dyDescent="0.25">
      <c r="A1065" t="s">
        <v>4544</v>
      </c>
      <c r="B1065" t="s">
        <v>1283</v>
      </c>
      <c r="C1065">
        <v>59</v>
      </c>
      <c r="D1065" s="105">
        <v>16624184.17</v>
      </c>
      <c r="E1065" t="s">
        <v>5167</v>
      </c>
      <c r="F1065" s="105">
        <v>302654.08000000002</v>
      </c>
      <c r="G1065" s="105">
        <v>16926838.25</v>
      </c>
      <c r="H1065" s="384">
        <v>42845.775843553238</v>
      </c>
      <c r="I1065" s="384">
        <v>43033</v>
      </c>
      <c r="J1065" t="s">
        <v>4545</v>
      </c>
      <c r="K1065" t="s">
        <v>1280</v>
      </c>
      <c r="L1065" t="s">
        <v>1280</v>
      </c>
      <c r="M1065">
        <v>200982</v>
      </c>
      <c r="N1065" t="s">
        <v>4537</v>
      </c>
      <c r="O1065" t="s">
        <v>44</v>
      </c>
      <c r="P1065" t="s">
        <v>75</v>
      </c>
      <c r="Q1065" t="s">
        <v>1442</v>
      </c>
      <c r="R1065" s="105">
        <f>IF(Table__192.168.1.150_Daily_Delinquency_With_Sectors[[#This Row],[Days in Arrears]] &gt; 0, Table__192.168.1.150_Daily_Delinquency_With_Sectors[[#This Row],[Outstanding Balance]],0)</f>
        <v>16624184.17</v>
      </c>
      <c r="S1065" s="105">
        <f>IF(Table__192.168.1.150_Daily_Delinquency_With_Sectors[[#This Row],[Days in Arrears]] &gt; 30, Table__192.168.1.150_Daily_Delinquency_With_Sectors[[#This Row],[Outstanding Balance]],0)</f>
        <v>16624184.17</v>
      </c>
      <c r="T1065" s="105">
        <f>IF(Table__192.168.1.150_Daily_Delinquency_With_Sectors[[#This Row],[Days in Arrears]] &gt; 90, Table__192.168.1.150_Daily_Delinquency_With_Sectors[[#This Row],[Outstanding Balance]],0)</f>
        <v>0</v>
      </c>
      <c r="U1065" s="109">
        <f>IF(Table__192.168.1.150_Daily_Delinquency_With_Sectors[[#This Row],[Days in Arrears]] &gt;= 1,1,0)</f>
        <v>1</v>
      </c>
      <c r="V1065" s="109">
        <f>IF(Table__192.168.1.150_Daily_Delinquency_With_Sectors[[#This Row],[Days in Arrears]] &gt; 30,1,0)</f>
        <v>1</v>
      </c>
      <c r="W1065" s="109">
        <f>IF(Table__192.168.1.150_Daily_Delinquency_With_Sectors[[#This Row],[Days in Arrears]] &gt; 90,1,0)</f>
        <v>0</v>
      </c>
    </row>
    <row r="1066" spans="1:23" x14ac:dyDescent="0.25">
      <c r="A1066" t="s">
        <v>4555</v>
      </c>
      <c r="B1066" t="s">
        <v>1282</v>
      </c>
      <c r="C1066">
        <v>-27</v>
      </c>
      <c r="D1066" s="105">
        <v>1203580.04</v>
      </c>
      <c r="E1066" t="s">
        <v>1667</v>
      </c>
      <c r="F1066" s="105">
        <v>67245.710000000006</v>
      </c>
      <c r="G1066" s="105">
        <v>1370827.36</v>
      </c>
      <c r="H1066" s="384">
        <v>42846.585483599534</v>
      </c>
      <c r="I1066" s="384">
        <v>43211</v>
      </c>
      <c r="J1066" t="s">
        <v>4556</v>
      </c>
      <c r="K1066" t="s">
        <v>1280</v>
      </c>
      <c r="L1066" t="s">
        <v>4557</v>
      </c>
      <c r="M1066">
        <v>200985</v>
      </c>
      <c r="N1066" t="s">
        <v>4547</v>
      </c>
      <c r="O1066" t="s">
        <v>44</v>
      </c>
      <c r="P1066" t="s">
        <v>75</v>
      </c>
      <c r="Q1066" t="s">
        <v>1442</v>
      </c>
      <c r="R1066" s="105">
        <f>IF(Table__192.168.1.150_Daily_Delinquency_With_Sectors[[#This Row],[Days in Arrears]] &gt; 0, Table__192.168.1.150_Daily_Delinquency_With_Sectors[[#This Row],[Outstanding Balance]],0)</f>
        <v>0</v>
      </c>
      <c r="S1066" s="105">
        <f>IF(Table__192.168.1.150_Daily_Delinquency_With_Sectors[[#This Row],[Days in Arrears]] &gt; 30, Table__192.168.1.150_Daily_Delinquency_With_Sectors[[#This Row],[Outstanding Balance]],0)</f>
        <v>0</v>
      </c>
      <c r="T1066" s="105">
        <f>IF(Table__192.168.1.150_Daily_Delinquency_With_Sectors[[#This Row],[Days in Arrears]] &gt; 90, Table__192.168.1.150_Daily_Delinquency_With_Sectors[[#This Row],[Outstanding Balance]],0)</f>
        <v>0</v>
      </c>
      <c r="U1066" s="109">
        <f>IF(Table__192.168.1.150_Daily_Delinquency_With_Sectors[[#This Row],[Days in Arrears]] &gt;= 1,1,0)</f>
        <v>0</v>
      </c>
      <c r="V1066" s="109">
        <f>IF(Table__192.168.1.150_Daily_Delinquency_With_Sectors[[#This Row],[Days in Arrears]] &gt; 30,1,0)</f>
        <v>0</v>
      </c>
      <c r="W1066" s="109">
        <f>IF(Table__192.168.1.150_Daily_Delinquency_With_Sectors[[#This Row],[Days in Arrears]] &gt; 90,1,0)</f>
        <v>0</v>
      </c>
    </row>
    <row r="1067" spans="1:23" x14ac:dyDescent="0.25">
      <c r="A1067" t="s">
        <v>2289</v>
      </c>
      <c r="B1067" t="s">
        <v>1284</v>
      </c>
      <c r="C1067">
        <v>-27</v>
      </c>
      <c r="D1067" s="105">
        <v>16818655.809999999</v>
      </c>
      <c r="E1067" t="s">
        <v>546</v>
      </c>
      <c r="F1067" s="105">
        <v>33637.31</v>
      </c>
      <c r="G1067" s="105">
        <v>19994891.329999998</v>
      </c>
      <c r="H1067" s="384">
        <v>42846.66457361111</v>
      </c>
      <c r="I1067" s="384">
        <v>43394</v>
      </c>
      <c r="J1067" t="s">
        <v>2290</v>
      </c>
      <c r="K1067" t="s">
        <v>1280</v>
      </c>
      <c r="L1067" t="s">
        <v>1280</v>
      </c>
      <c r="M1067">
        <v>200987</v>
      </c>
      <c r="N1067" t="s">
        <v>2281</v>
      </c>
      <c r="O1067" t="s">
        <v>27</v>
      </c>
      <c r="P1067" t="s">
        <v>26</v>
      </c>
      <c r="Q1067" t="s">
        <v>26</v>
      </c>
      <c r="R1067" s="105">
        <f>IF(Table__192.168.1.150_Daily_Delinquency_With_Sectors[[#This Row],[Days in Arrears]] &gt; 0, Table__192.168.1.150_Daily_Delinquency_With_Sectors[[#This Row],[Outstanding Balance]],0)</f>
        <v>0</v>
      </c>
      <c r="S1067" s="105">
        <f>IF(Table__192.168.1.150_Daily_Delinquency_With_Sectors[[#This Row],[Days in Arrears]] &gt; 30, Table__192.168.1.150_Daily_Delinquency_With_Sectors[[#This Row],[Outstanding Balance]],0)</f>
        <v>0</v>
      </c>
      <c r="T1067" s="105">
        <f>IF(Table__192.168.1.150_Daily_Delinquency_With_Sectors[[#This Row],[Days in Arrears]] &gt; 90, Table__192.168.1.150_Daily_Delinquency_With_Sectors[[#This Row],[Outstanding Balance]],0)</f>
        <v>0</v>
      </c>
      <c r="U1067" s="109">
        <f>IF(Table__192.168.1.150_Daily_Delinquency_With_Sectors[[#This Row],[Days in Arrears]] &gt;= 1,1,0)</f>
        <v>0</v>
      </c>
      <c r="V1067" s="109">
        <f>IF(Table__192.168.1.150_Daily_Delinquency_With_Sectors[[#This Row],[Days in Arrears]] &gt; 30,1,0)</f>
        <v>0</v>
      </c>
      <c r="W1067" s="109">
        <f>IF(Table__192.168.1.150_Daily_Delinquency_With_Sectors[[#This Row],[Days in Arrears]] &gt; 90,1,0)</f>
        <v>0</v>
      </c>
    </row>
    <row r="1068" spans="1:23" x14ac:dyDescent="0.25">
      <c r="A1068" t="s">
        <v>4562</v>
      </c>
      <c r="B1068" t="s">
        <v>1281</v>
      </c>
      <c r="C1068">
        <v>2</v>
      </c>
      <c r="D1068" s="105">
        <v>13964026.779999999</v>
      </c>
      <c r="E1068" t="s">
        <v>1447</v>
      </c>
      <c r="F1068" s="105">
        <v>568419.56000000006</v>
      </c>
      <c r="G1068" s="105">
        <v>15976872.66</v>
      </c>
      <c r="H1068" s="384">
        <v>42847.543185381946</v>
      </c>
      <c r="I1068" s="384">
        <v>43212</v>
      </c>
      <c r="J1068" t="s">
        <v>4563</v>
      </c>
      <c r="K1068" t="s">
        <v>1280</v>
      </c>
      <c r="L1068" t="s">
        <v>4564</v>
      </c>
      <c r="M1068">
        <v>200989</v>
      </c>
      <c r="N1068" t="s">
        <v>4561</v>
      </c>
      <c r="O1068" t="s">
        <v>25</v>
      </c>
      <c r="P1068" t="s">
        <v>26</v>
      </c>
      <c r="Q1068" t="s">
        <v>26</v>
      </c>
      <c r="R1068" s="105">
        <f>IF(Table__192.168.1.150_Daily_Delinquency_With_Sectors[[#This Row],[Days in Arrears]] &gt; 0, Table__192.168.1.150_Daily_Delinquency_With_Sectors[[#This Row],[Outstanding Balance]],0)</f>
        <v>13964026.779999999</v>
      </c>
      <c r="S1068" s="105">
        <f>IF(Table__192.168.1.150_Daily_Delinquency_With_Sectors[[#This Row],[Days in Arrears]] &gt; 30, Table__192.168.1.150_Daily_Delinquency_With_Sectors[[#This Row],[Outstanding Balance]],0)</f>
        <v>0</v>
      </c>
      <c r="T1068" s="105">
        <f>IF(Table__192.168.1.150_Daily_Delinquency_With_Sectors[[#This Row],[Days in Arrears]] &gt; 90, Table__192.168.1.150_Daily_Delinquency_With_Sectors[[#This Row],[Outstanding Balance]],0)</f>
        <v>0</v>
      </c>
      <c r="U1068" s="109">
        <f>IF(Table__192.168.1.150_Daily_Delinquency_With_Sectors[[#This Row],[Days in Arrears]] &gt;= 1,1,0)</f>
        <v>1</v>
      </c>
      <c r="V1068" s="109">
        <f>IF(Table__192.168.1.150_Daily_Delinquency_With_Sectors[[#This Row],[Days in Arrears]] &gt; 30,1,0)</f>
        <v>0</v>
      </c>
      <c r="W1068" s="109">
        <f>IF(Table__192.168.1.150_Daily_Delinquency_With_Sectors[[#This Row],[Days in Arrears]] &gt; 90,1,0)</f>
        <v>0</v>
      </c>
    </row>
    <row r="1069" spans="1:23" x14ac:dyDescent="0.25">
      <c r="A1069" t="s">
        <v>3816</v>
      </c>
      <c r="B1069" t="s">
        <v>1283</v>
      </c>
      <c r="C1069">
        <v>-1</v>
      </c>
      <c r="D1069" s="105">
        <v>10493496.77</v>
      </c>
      <c r="E1069" t="s">
        <v>1447</v>
      </c>
      <c r="F1069" s="105">
        <v>293817.90999999997</v>
      </c>
      <c r="G1069" s="105">
        <v>3033516.67</v>
      </c>
      <c r="H1069" s="384">
        <v>42847.560156562497</v>
      </c>
      <c r="I1069" s="384">
        <v>43459</v>
      </c>
      <c r="J1069" t="s">
        <v>3817</v>
      </c>
      <c r="K1069" t="s">
        <v>1280</v>
      </c>
      <c r="L1069" t="s">
        <v>3818</v>
      </c>
      <c r="M1069">
        <v>200991</v>
      </c>
      <c r="N1069" t="s">
        <v>3810</v>
      </c>
      <c r="O1069" t="s">
        <v>37</v>
      </c>
      <c r="P1069" t="s">
        <v>38</v>
      </c>
      <c r="Q1069" t="s">
        <v>39</v>
      </c>
      <c r="R1069" s="105">
        <f>IF(Table__192.168.1.150_Daily_Delinquency_With_Sectors[[#This Row],[Days in Arrears]] &gt; 0, Table__192.168.1.150_Daily_Delinquency_With_Sectors[[#This Row],[Outstanding Balance]],0)</f>
        <v>0</v>
      </c>
      <c r="S1069" s="105">
        <f>IF(Table__192.168.1.150_Daily_Delinquency_With_Sectors[[#This Row],[Days in Arrears]] &gt; 30, Table__192.168.1.150_Daily_Delinquency_With_Sectors[[#This Row],[Outstanding Balance]],0)</f>
        <v>0</v>
      </c>
      <c r="T1069" s="105">
        <f>IF(Table__192.168.1.150_Daily_Delinquency_With_Sectors[[#This Row],[Days in Arrears]] &gt; 90, Table__192.168.1.150_Daily_Delinquency_With_Sectors[[#This Row],[Outstanding Balance]],0)</f>
        <v>0</v>
      </c>
      <c r="U1069" s="109">
        <f>IF(Table__192.168.1.150_Daily_Delinquency_With_Sectors[[#This Row],[Days in Arrears]] &gt;= 1,1,0)</f>
        <v>0</v>
      </c>
      <c r="V1069" s="109">
        <f>IF(Table__192.168.1.150_Daily_Delinquency_With_Sectors[[#This Row],[Days in Arrears]] &gt; 30,1,0)</f>
        <v>0</v>
      </c>
      <c r="W1069" s="109">
        <f>IF(Table__192.168.1.150_Daily_Delinquency_With_Sectors[[#This Row],[Days in Arrears]] &gt; 90,1,0)</f>
        <v>0</v>
      </c>
    </row>
    <row r="1070" spans="1:23" x14ac:dyDescent="0.25">
      <c r="A1070" t="s">
        <v>4583</v>
      </c>
      <c r="B1070" t="s">
        <v>1282</v>
      </c>
      <c r="C1070">
        <v>-1</v>
      </c>
      <c r="D1070" s="105">
        <v>4525153.7300000004</v>
      </c>
      <c r="E1070" t="s">
        <v>491</v>
      </c>
      <c r="F1070" s="105">
        <v>190056.46</v>
      </c>
      <c r="G1070" s="105">
        <v>5263977.0599999996</v>
      </c>
      <c r="H1070" s="384">
        <v>42850.794766585648</v>
      </c>
      <c r="I1070" s="384">
        <v>43215</v>
      </c>
      <c r="J1070" t="s">
        <v>4584</v>
      </c>
      <c r="K1070" t="s">
        <v>1280</v>
      </c>
      <c r="L1070" t="s">
        <v>4585</v>
      </c>
      <c r="M1070">
        <v>200995</v>
      </c>
      <c r="N1070" t="s">
        <v>4574</v>
      </c>
      <c r="O1070" t="s">
        <v>27</v>
      </c>
      <c r="P1070" t="s">
        <v>81</v>
      </c>
      <c r="Q1070" t="s">
        <v>26</v>
      </c>
      <c r="R1070" s="105">
        <f>IF(Table__192.168.1.150_Daily_Delinquency_With_Sectors[[#This Row],[Days in Arrears]] &gt; 0, Table__192.168.1.150_Daily_Delinquency_With_Sectors[[#This Row],[Outstanding Balance]],0)</f>
        <v>0</v>
      </c>
      <c r="S1070" s="105">
        <f>IF(Table__192.168.1.150_Daily_Delinquency_With_Sectors[[#This Row],[Days in Arrears]] &gt; 30, Table__192.168.1.150_Daily_Delinquency_With_Sectors[[#This Row],[Outstanding Balance]],0)</f>
        <v>0</v>
      </c>
      <c r="T1070" s="105">
        <f>IF(Table__192.168.1.150_Daily_Delinquency_With_Sectors[[#This Row],[Days in Arrears]] &gt; 90, Table__192.168.1.150_Daily_Delinquency_With_Sectors[[#This Row],[Outstanding Balance]],0)</f>
        <v>0</v>
      </c>
      <c r="U1070" s="109">
        <f>IF(Table__192.168.1.150_Daily_Delinquency_With_Sectors[[#This Row],[Days in Arrears]] &gt;= 1,1,0)</f>
        <v>0</v>
      </c>
      <c r="V1070" s="109">
        <f>IF(Table__192.168.1.150_Daily_Delinquency_With_Sectors[[#This Row],[Days in Arrears]] &gt; 30,1,0)</f>
        <v>0</v>
      </c>
      <c r="W1070" s="109">
        <f>IF(Table__192.168.1.150_Daily_Delinquency_With_Sectors[[#This Row],[Days in Arrears]] &gt; 90,1,0)</f>
        <v>0</v>
      </c>
    </row>
    <row r="1071" spans="1:23" x14ac:dyDescent="0.25">
      <c r="A1071" t="s">
        <v>4586</v>
      </c>
      <c r="B1071" t="s">
        <v>1282</v>
      </c>
      <c r="C1071">
        <v>59</v>
      </c>
      <c r="D1071" s="105">
        <v>2246894.4300000002</v>
      </c>
      <c r="E1071" t="s">
        <v>2861</v>
      </c>
      <c r="F1071" s="105">
        <v>102584.34</v>
      </c>
      <c r="G1071" s="105">
        <v>2555270.52</v>
      </c>
      <c r="H1071" s="384">
        <v>42850.755774224534</v>
      </c>
      <c r="I1071" s="384">
        <v>43156</v>
      </c>
      <c r="J1071" t="s">
        <v>4587</v>
      </c>
      <c r="K1071" t="s">
        <v>1280</v>
      </c>
      <c r="L1071" t="s">
        <v>4588</v>
      </c>
      <c r="M1071">
        <v>200997</v>
      </c>
      <c r="N1071" t="s">
        <v>4575</v>
      </c>
      <c r="O1071" t="s">
        <v>25</v>
      </c>
      <c r="P1071" t="s">
        <v>88</v>
      </c>
      <c r="Q1071" t="s">
        <v>285</v>
      </c>
      <c r="R1071" s="105">
        <f>IF(Table__192.168.1.150_Daily_Delinquency_With_Sectors[[#This Row],[Days in Arrears]] &gt; 0, Table__192.168.1.150_Daily_Delinquency_With_Sectors[[#This Row],[Outstanding Balance]],0)</f>
        <v>2246894.4300000002</v>
      </c>
      <c r="S1071" s="105">
        <f>IF(Table__192.168.1.150_Daily_Delinquency_With_Sectors[[#This Row],[Days in Arrears]] &gt; 30, Table__192.168.1.150_Daily_Delinquency_With_Sectors[[#This Row],[Outstanding Balance]],0)</f>
        <v>2246894.4300000002</v>
      </c>
      <c r="T1071" s="105">
        <f>IF(Table__192.168.1.150_Daily_Delinquency_With_Sectors[[#This Row],[Days in Arrears]] &gt; 90, Table__192.168.1.150_Daily_Delinquency_With_Sectors[[#This Row],[Outstanding Balance]],0)</f>
        <v>0</v>
      </c>
      <c r="U1071" s="109">
        <f>IF(Table__192.168.1.150_Daily_Delinquency_With_Sectors[[#This Row],[Days in Arrears]] &gt;= 1,1,0)</f>
        <v>1</v>
      </c>
      <c r="V1071" s="109">
        <f>IF(Table__192.168.1.150_Daily_Delinquency_With_Sectors[[#This Row],[Days in Arrears]] &gt; 30,1,0)</f>
        <v>1</v>
      </c>
      <c r="W1071" s="109">
        <f>IF(Table__192.168.1.150_Daily_Delinquency_With_Sectors[[#This Row],[Days in Arrears]] &gt; 90,1,0)</f>
        <v>0</v>
      </c>
    </row>
    <row r="1072" spans="1:23" x14ac:dyDescent="0.25">
      <c r="A1072" t="s">
        <v>3455</v>
      </c>
      <c r="B1072" t="s">
        <v>1282</v>
      </c>
      <c r="C1072">
        <v>-7</v>
      </c>
      <c r="D1072" s="105">
        <v>3580265.71</v>
      </c>
      <c r="E1072" t="s">
        <v>1467</v>
      </c>
      <c r="F1072" s="105">
        <v>105021.13</v>
      </c>
      <c r="G1072" s="105">
        <v>3945310.26</v>
      </c>
      <c r="H1072" s="384">
        <v>42853.463061145834</v>
      </c>
      <c r="I1072" s="384">
        <v>43160</v>
      </c>
      <c r="J1072" t="s">
        <v>3456</v>
      </c>
      <c r="K1072" t="s">
        <v>1280</v>
      </c>
      <c r="L1072" t="s">
        <v>3457</v>
      </c>
      <c r="M1072">
        <v>200998</v>
      </c>
      <c r="N1072" t="s">
        <v>3452</v>
      </c>
      <c r="O1072" t="s">
        <v>44</v>
      </c>
      <c r="P1072" t="s">
        <v>75</v>
      </c>
      <c r="Q1072" t="s">
        <v>26</v>
      </c>
      <c r="R1072" s="105">
        <f>IF(Table__192.168.1.150_Daily_Delinquency_With_Sectors[[#This Row],[Days in Arrears]] &gt; 0, Table__192.168.1.150_Daily_Delinquency_With_Sectors[[#This Row],[Outstanding Balance]],0)</f>
        <v>0</v>
      </c>
      <c r="S1072" s="105">
        <f>IF(Table__192.168.1.150_Daily_Delinquency_With_Sectors[[#This Row],[Days in Arrears]] &gt; 30, Table__192.168.1.150_Daily_Delinquency_With_Sectors[[#This Row],[Outstanding Balance]],0)</f>
        <v>0</v>
      </c>
      <c r="T1072" s="105">
        <f>IF(Table__192.168.1.150_Daily_Delinquency_With_Sectors[[#This Row],[Days in Arrears]] &gt; 90, Table__192.168.1.150_Daily_Delinquency_With_Sectors[[#This Row],[Outstanding Balance]],0)</f>
        <v>0</v>
      </c>
      <c r="U1072" s="109">
        <f>IF(Table__192.168.1.150_Daily_Delinquency_With_Sectors[[#This Row],[Days in Arrears]] &gt;= 1,1,0)</f>
        <v>0</v>
      </c>
      <c r="V1072" s="109">
        <f>IF(Table__192.168.1.150_Daily_Delinquency_With_Sectors[[#This Row],[Days in Arrears]] &gt; 30,1,0)</f>
        <v>0</v>
      </c>
      <c r="W1072" s="109">
        <f>IF(Table__192.168.1.150_Daily_Delinquency_With_Sectors[[#This Row],[Days in Arrears]] &gt; 90,1,0)</f>
        <v>0</v>
      </c>
    </row>
    <row r="1073" spans="1:23" x14ac:dyDescent="0.25">
      <c r="A1073" t="s">
        <v>4600</v>
      </c>
      <c r="B1073" t="s">
        <v>1283</v>
      </c>
      <c r="C1073">
        <v>53</v>
      </c>
      <c r="D1073" s="105">
        <v>32644595.890000001</v>
      </c>
      <c r="E1073" t="s">
        <v>1191</v>
      </c>
      <c r="F1073" s="105">
        <v>1041425.28</v>
      </c>
      <c r="G1073" s="105">
        <v>40427466.200000003</v>
      </c>
      <c r="H1073" s="384">
        <v>42851.593739351854</v>
      </c>
      <c r="I1073" s="384">
        <v>43405</v>
      </c>
      <c r="J1073" t="s">
        <v>4601</v>
      </c>
      <c r="K1073" t="s">
        <v>1280</v>
      </c>
      <c r="L1073" t="s">
        <v>1280</v>
      </c>
      <c r="M1073">
        <v>200999</v>
      </c>
      <c r="N1073" t="s">
        <v>4590</v>
      </c>
      <c r="O1073" t="s">
        <v>27</v>
      </c>
      <c r="P1073" t="s">
        <v>81</v>
      </c>
      <c r="Q1073" t="s">
        <v>26</v>
      </c>
      <c r="R1073" s="105">
        <f>IF(Table__192.168.1.150_Daily_Delinquency_With_Sectors[[#This Row],[Days in Arrears]] &gt; 0, Table__192.168.1.150_Daily_Delinquency_With_Sectors[[#This Row],[Outstanding Balance]],0)</f>
        <v>32644595.890000001</v>
      </c>
      <c r="S1073" s="105">
        <f>IF(Table__192.168.1.150_Daily_Delinquency_With_Sectors[[#This Row],[Days in Arrears]] &gt; 30, Table__192.168.1.150_Daily_Delinquency_With_Sectors[[#This Row],[Outstanding Balance]],0)</f>
        <v>32644595.890000001</v>
      </c>
      <c r="T1073" s="105">
        <f>IF(Table__192.168.1.150_Daily_Delinquency_With_Sectors[[#This Row],[Days in Arrears]] &gt; 90, Table__192.168.1.150_Daily_Delinquency_With_Sectors[[#This Row],[Outstanding Balance]],0)</f>
        <v>0</v>
      </c>
      <c r="U1073" s="109">
        <f>IF(Table__192.168.1.150_Daily_Delinquency_With_Sectors[[#This Row],[Days in Arrears]] &gt;= 1,1,0)</f>
        <v>1</v>
      </c>
      <c r="V1073" s="109">
        <f>IF(Table__192.168.1.150_Daily_Delinquency_With_Sectors[[#This Row],[Days in Arrears]] &gt; 30,1,0)</f>
        <v>1</v>
      </c>
      <c r="W1073" s="109">
        <f>IF(Table__192.168.1.150_Daily_Delinquency_With_Sectors[[#This Row],[Days in Arrears]] &gt; 90,1,0)</f>
        <v>0</v>
      </c>
    </row>
    <row r="1074" spans="1:23" x14ac:dyDescent="0.25">
      <c r="A1074" t="s">
        <v>1736</v>
      </c>
      <c r="B1074" t="s">
        <v>1866</v>
      </c>
      <c r="C1074">
        <v>-7</v>
      </c>
      <c r="D1074" s="105">
        <v>5557652.9699999997</v>
      </c>
      <c r="E1074" t="s">
        <v>90</v>
      </c>
      <c r="F1074" s="105">
        <v>149439.10999999999</v>
      </c>
      <c r="G1074" s="105">
        <v>6292271.1699999999</v>
      </c>
      <c r="H1074" s="384">
        <v>42853.653735844906</v>
      </c>
      <c r="I1074" s="384">
        <v>43221</v>
      </c>
      <c r="J1074" t="s">
        <v>1737</v>
      </c>
      <c r="K1074" t="s">
        <v>1280</v>
      </c>
      <c r="L1074" t="s">
        <v>1280</v>
      </c>
      <c r="M1074">
        <v>201000</v>
      </c>
      <c r="N1074" t="s">
        <v>1735</v>
      </c>
      <c r="O1074" t="s">
        <v>25</v>
      </c>
      <c r="P1074" t="s">
        <v>26</v>
      </c>
      <c r="Q1074" t="s">
        <v>26</v>
      </c>
      <c r="R1074" s="105">
        <f>IF(Table__192.168.1.150_Daily_Delinquency_With_Sectors[[#This Row],[Days in Arrears]] &gt; 0, Table__192.168.1.150_Daily_Delinquency_With_Sectors[[#This Row],[Outstanding Balance]],0)</f>
        <v>0</v>
      </c>
      <c r="S1074" s="105">
        <f>IF(Table__192.168.1.150_Daily_Delinquency_With_Sectors[[#This Row],[Days in Arrears]] &gt; 30, Table__192.168.1.150_Daily_Delinquency_With_Sectors[[#This Row],[Outstanding Balance]],0)</f>
        <v>0</v>
      </c>
      <c r="T1074" s="105">
        <f>IF(Table__192.168.1.150_Daily_Delinquency_With_Sectors[[#This Row],[Days in Arrears]] &gt; 90, Table__192.168.1.150_Daily_Delinquency_With_Sectors[[#This Row],[Outstanding Balance]],0)</f>
        <v>0</v>
      </c>
      <c r="U1074" s="109">
        <f>IF(Table__192.168.1.150_Daily_Delinquency_With_Sectors[[#This Row],[Days in Arrears]] &gt;= 1,1,0)</f>
        <v>0</v>
      </c>
      <c r="V1074" s="109">
        <f>IF(Table__192.168.1.150_Daily_Delinquency_With_Sectors[[#This Row],[Days in Arrears]] &gt; 30,1,0)</f>
        <v>0</v>
      </c>
      <c r="W1074" s="109">
        <f>IF(Table__192.168.1.150_Daily_Delinquency_With_Sectors[[#This Row],[Days in Arrears]] &gt; 90,1,0)</f>
        <v>0</v>
      </c>
    </row>
    <row r="1075" spans="1:23" x14ac:dyDescent="0.25">
      <c r="A1075" t="s">
        <v>4602</v>
      </c>
      <c r="B1075" t="s">
        <v>1279</v>
      </c>
      <c r="C1075">
        <v>-7</v>
      </c>
      <c r="D1075" s="105">
        <v>571904.35</v>
      </c>
      <c r="E1075" t="s">
        <v>1667</v>
      </c>
      <c r="F1075" s="105">
        <v>18872.84</v>
      </c>
      <c r="G1075" s="105">
        <v>610791.05000000005</v>
      </c>
      <c r="H1075" s="384">
        <v>42851.61552392361</v>
      </c>
      <c r="I1075" s="384">
        <v>43101</v>
      </c>
      <c r="J1075" t="s">
        <v>4603</v>
      </c>
      <c r="K1075" t="s">
        <v>1280</v>
      </c>
      <c r="L1075" t="s">
        <v>4604</v>
      </c>
      <c r="M1075">
        <v>201001</v>
      </c>
      <c r="N1075" t="s">
        <v>4595</v>
      </c>
      <c r="O1075" t="s">
        <v>44</v>
      </c>
      <c r="P1075" t="s">
        <v>75</v>
      </c>
      <c r="Q1075" t="s">
        <v>26</v>
      </c>
      <c r="R1075" s="105">
        <f>IF(Table__192.168.1.150_Daily_Delinquency_With_Sectors[[#This Row],[Days in Arrears]] &gt; 0, Table__192.168.1.150_Daily_Delinquency_With_Sectors[[#This Row],[Outstanding Balance]],0)</f>
        <v>0</v>
      </c>
      <c r="S1075" s="105">
        <f>IF(Table__192.168.1.150_Daily_Delinquency_With_Sectors[[#This Row],[Days in Arrears]] &gt; 30, Table__192.168.1.150_Daily_Delinquency_With_Sectors[[#This Row],[Outstanding Balance]],0)</f>
        <v>0</v>
      </c>
      <c r="T1075" s="105">
        <f>IF(Table__192.168.1.150_Daily_Delinquency_With_Sectors[[#This Row],[Days in Arrears]] &gt; 90, Table__192.168.1.150_Daily_Delinquency_With_Sectors[[#This Row],[Outstanding Balance]],0)</f>
        <v>0</v>
      </c>
      <c r="U1075" s="109">
        <f>IF(Table__192.168.1.150_Daily_Delinquency_With_Sectors[[#This Row],[Days in Arrears]] &gt;= 1,1,0)</f>
        <v>0</v>
      </c>
      <c r="V1075" s="109">
        <f>IF(Table__192.168.1.150_Daily_Delinquency_With_Sectors[[#This Row],[Days in Arrears]] &gt; 30,1,0)</f>
        <v>0</v>
      </c>
      <c r="W1075" s="109">
        <f>IF(Table__192.168.1.150_Daily_Delinquency_With_Sectors[[#This Row],[Days in Arrears]] &gt; 90,1,0)</f>
        <v>0</v>
      </c>
    </row>
    <row r="1076" spans="1:23" x14ac:dyDescent="0.25">
      <c r="A1076" t="s">
        <v>4605</v>
      </c>
      <c r="B1076" t="s">
        <v>1284</v>
      </c>
      <c r="C1076">
        <v>23</v>
      </c>
      <c r="D1076" s="105">
        <v>47063745.420000002</v>
      </c>
      <c r="E1076" t="s">
        <v>491</v>
      </c>
      <c r="F1076" s="105">
        <v>2674881.0699999998</v>
      </c>
      <c r="G1076" s="105">
        <v>64284953.450000003</v>
      </c>
      <c r="H1076" s="384">
        <v>42851.551072650465</v>
      </c>
      <c r="I1076" s="384">
        <v>43586</v>
      </c>
      <c r="J1076" t="s">
        <v>4606</v>
      </c>
      <c r="K1076" t="s">
        <v>1280</v>
      </c>
      <c r="L1076" t="s">
        <v>4607</v>
      </c>
      <c r="M1076">
        <v>201002</v>
      </c>
      <c r="N1076" t="s">
        <v>4593</v>
      </c>
      <c r="O1076" t="s">
        <v>25</v>
      </c>
      <c r="P1076" t="s">
        <v>289</v>
      </c>
      <c r="Q1076" t="s">
        <v>26</v>
      </c>
      <c r="R1076" s="105">
        <f>IF(Table__192.168.1.150_Daily_Delinquency_With_Sectors[[#This Row],[Days in Arrears]] &gt; 0, Table__192.168.1.150_Daily_Delinquency_With_Sectors[[#This Row],[Outstanding Balance]],0)</f>
        <v>47063745.420000002</v>
      </c>
      <c r="S1076" s="105">
        <f>IF(Table__192.168.1.150_Daily_Delinquency_With_Sectors[[#This Row],[Days in Arrears]] &gt; 30, Table__192.168.1.150_Daily_Delinquency_With_Sectors[[#This Row],[Outstanding Balance]],0)</f>
        <v>0</v>
      </c>
      <c r="T1076" s="105">
        <f>IF(Table__192.168.1.150_Daily_Delinquency_With_Sectors[[#This Row],[Days in Arrears]] &gt; 90, Table__192.168.1.150_Daily_Delinquency_With_Sectors[[#This Row],[Outstanding Balance]],0)</f>
        <v>0</v>
      </c>
      <c r="U1076" s="109">
        <f>IF(Table__192.168.1.150_Daily_Delinquency_With_Sectors[[#This Row],[Days in Arrears]] &gt;= 1,1,0)</f>
        <v>1</v>
      </c>
      <c r="V1076" s="109">
        <f>IF(Table__192.168.1.150_Daily_Delinquency_With_Sectors[[#This Row],[Days in Arrears]] &gt; 30,1,0)</f>
        <v>0</v>
      </c>
      <c r="W1076" s="109">
        <f>IF(Table__192.168.1.150_Daily_Delinquency_With_Sectors[[#This Row],[Days in Arrears]] &gt; 90,1,0)</f>
        <v>0</v>
      </c>
    </row>
    <row r="1077" spans="1:23" x14ac:dyDescent="0.25">
      <c r="A1077" t="s">
        <v>4608</v>
      </c>
      <c r="B1077" t="s">
        <v>1282</v>
      </c>
      <c r="C1077">
        <v>-7</v>
      </c>
      <c r="D1077" s="105">
        <v>5697038.6100000003</v>
      </c>
      <c r="E1077" t="s">
        <v>1925</v>
      </c>
      <c r="F1077" s="105">
        <v>188002.27</v>
      </c>
      <c r="G1077" s="105">
        <v>6627195.96</v>
      </c>
      <c r="H1077" s="384">
        <v>42851.783158298611</v>
      </c>
      <c r="I1077" s="384">
        <v>43221</v>
      </c>
      <c r="J1077" t="s">
        <v>4609</v>
      </c>
      <c r="K1077" t="s">
        <v>1280</v>
      </c>
      <c r="L1077" t="s">
        <v>4610</v>
      </c>
      <c r="M1077">
        <v>201003</v>
      </c>
      <c r="N1077" t="s">
        <v>4594</v>
      </c>
      <c r="O1077" t="s">
        <v>44</v>
      </c>
      <c r="P1077" t="s">
        <v>75</v>
      </c>
      <c r="Q1077" t="s">
        <v>26</v>
      </c>
      <c r="R1077" s="105">
        <f>IF(Table__192.168.1.150_Daily_Delinquency_With_Sectors[[#This Row],[Days in Arrears]] &gt; 0, Table__192.168.1.150_Daily_Delinquency_With_Sectors[[#This Row],[Outstanding Balance]],0)</f>
        <v>0</v>
      </c>
      <c r="S1077" s="105">
        <f>IF(Table__192.168.1.150_Daily_Delinquency_With_Sectors[[#This Row],[Days in Arrears]] &gt; 30, Table__192.168.1.150_Daily_Delinquency_With_Sectors[[#This Row],[Outstanding Balance]],0)</f>
        <v>0</v>
      </c>
      <c r="T1077" s="105">
        <f>IF(Table__192.168.1.150_Daily_Delinquency_With_Sectors[[#This Row],[Days in Arrears]] &gt; 90, Table__192.168.1.150_Daily_Delinquency_With_Sectors[[#This Row],[Outstanding Balance]],0)</f>
        <v>0</v>
      </c>
      <c r="U1077" s="109">
        <f>IF(Table__192.168.1.150_Daily_Delinquency_With_Sectors[[#This Row],[Days in Arrears]] &gt;= 1,1,0)</f>
        <v>0</v>
      </c>
      <c r="V1077" s="109">
        <f>IF(Table__192.168.1.150_Daily_Delinquency_With_Sectors[[#This Row],[Days in Arrears]] &gt; 30,1,0)</f>
        <v>0</v>
      </c>
      <c r="W1077" s="109">
        <f>IF(Table__192.168.1.150_Daily_Delinquency_With_Sectors[[#This Row],[Days in Arrears]] &gt; 90,1,0)</f>
        <v>0</v>
      </c>
    </row>
    <row r="1078" spans="1:23" x14ac:dyDescent="0.25">
      <c r="A1078" t="s">
        <v>4611</v>
      </c>
      <c r="B1078" t="s">
        <v>1282</v>
      </c>
      <c r="C1078">
        <v>-7</v>
      </c>
      <c r="D1078" s="105">
        <v>1715713.01</v>
      </c>
      <c r="E1078" t="s">
        <v>1925</v>
      </c>
      <c r="F1078" s="105">
        <v>75177.86</v>
      </c>
      <c r="G1078" s="105">
        <v>1832373.11</v>
      </c>
      <c r="H1078" s="384">
        <v>42851.73559128472</v>
      </c>
      <c r="I1078" s="384">
        <v>43101</v>
      </c>
      <c r="J1078" t="s">
        <v>4612</v>
      </c>
      <c r="K1078" t="s">
        <v>4613</v>
      </c>
      <c r="L1078" t="s">
        <v>1280</v>
      </c>
      <c r="M1078">
        <v>201004</v>
      </c>
      <c r="N1078" t="s">
        <v>4589</v>
      </c>
      <c r="O1078" t="s">
        <v>27</v>
      </c>
      <c r="P1078" t="s">
        <v>81</v>
      </c>
      <c r="Q1078" t="s">
        <v>26</v>
      </c>
      <c r="R1078" s="105">
        <f>IF(Table__192.168.1.150_Daily_Delinquency_With_Sectors[[#This Row],[Days in Arrears]] &gt; 0, Table__192.168.1.150_Daily_Delinquency_With_Sectors[[#This Row],[Outstanding Balance]],0)</f>
        <v>0</v>
      </c>
      <c r="S1078" s="105">
        <f>IF(Table__192.168.1.150_Daily_Delinquency_With_Sectors[[#This Row],[Days in Arrears]] &gt; 30, Table__192.168.1.150_Daily_Delinquency_With_Sectors[[#This Row],[Outstanding Balance]],0)</f>
        <v>0</v>
      </c>
      <c r="T1078" s="105">
        <f>IF(Table__192.168.1.150_Daily_Delinquency_With_Sectors[[#This Row],[Days in Arrears]] &gt; 90, Table__192.168.1.150_Daily_Delinquency_With_Sectors[[#This Row],[Outstanding Balance]],0)</f>
        <v>0</v>
      </c>
      <c r="U1078" s="109">
        <f>IF(Table__192.168.1.150_Daily_Delinquency_With_Sectors[[#This Row],[Days in Arrears]] &gt;= 1,1,0)</f>
        <v>0</v>
      </c>
      <c r="V1078" s="109">
        <f>IF(Table__192.168.1.150_Daily_Delinquency_With_Sectors[[#This Row],[Days in Arrears]] &gt; 30,1,0)</f>
        <v>0</v>
      </c>
      <c r="W1078" s="109">
        <f>IF(Table__192.168.1.150_Daily_Delinquency_With_Sectors[[#This Row],[Days in Arrears]] &gt; 90,1,0)</f>
        <v>0</v>
      </c>
    </row>
    <row r="1079" spans="1:23" x14ac:dyDescent="0.25">
      <c r="A1079" t="s">
        <v>4616</v>
      </c>
      <c r="B1079" t="s">
        <v>1866</v>
      </c>
      <c r="C1079">
        <v>0</v>
      </c>
      <c r="D1079" s="105">
        <v>3356597.31</v>
      </c>
      <c r="E1079" t="s">
        <v>1667</v>
      </c>
      <c r="F1079" s="105">
        <v>135196.28</v>
      </c>
      <c r="G1079" s="105">
        <v>3862736.1</v>
      </c>
      <c r="H1079" s="384">
        <v>42851.813862847222</v>
      </c>
      <c r="I1079" s="384">
        <v>43214</v>
      </c>
      <c r="J1079" t="s">
        <v>4617</v>
      </c>
      <c r="K1079" t="s">
        <v>1280</v>
      </c>
      <c r="L1079" t="s">
        <v>1280</v>
      </c>
      <c r="M1079">
        <v>201008</v>
      </c>
      <c r="N1079" t="s">
        <v>4591</v>
      </c>
      <c r="O1079" t="s">
        <v>25</v>
      </c>
      <c r="P1079" t="s">
        <v>88</v>
      </c>
      <c r="Q1079" t="s">
        <v>285</v>
      </c>
      <c r="R1079" s="105">
        <f>IF(Table__192.168.1.150_Daily_Delinquency_With_Sectors[[#This Row],[Days in Arrears]] &gt; 0, Table__192.168.1.150_Daily_Delinquency_With_Sectors[[#This Row],[Outstanding Balance]],0)</f>
        <v>0</v>
      </c>
      <c r="S1079" s="105">
        <f>IF(Table__192.168.1.150_Daily_Delinquency_With_Sectors[[#This Row],[Days in Arrears]] &gt; 30, Table__192.168.1.150_Daily_Delinquency_With_Sectors[[#This Row],[Outstanding Balance]],0)</f>
        <v>0</v>
      </c>
      <c r="T1079" s="105">
        <f>IF(Table__192.168.1.150_Daily_Delinquency_With_Sectors[[#This Row],[Days in Arrears]] &gt; 90, Table__192.168.1.150_Daily_Delinquency_With_Sectors[[#This Row],[Outstanding Balance]],0)</f>
        <v>0</v>
      </c>
      <c r="U1079" s="109">
        <f>IF(Table__192.168.1.150_Daily_Delinquency_With_Sectors[[#This Row],[Days in Arrears]] &gt;= 1,1,0)</f>
        <v>0</v>
      </c>
      <c r="V1079" s="109">
        <f>IF(Table__192.168.1.150_Daily_Delinquency_With_Sectors[[#This Row],[Days in Arrears]] &gt; 30,1,0)</f>
        <v>0</v>
      </c>
      <c r="W1079" s="109">
        <f>IF(Table__192.168.1.150_Daily_Delinquency_With_Sectors[[#This Row],[Days in Arrears]] &gt; 90,1,0)</f>
        <v>0</v>
      </c>
    </row>
    <row r="1080" spans="1:23" x14ac:dyDescent="0.25">
      <c r="A1080" t="s">
        <v>2688</v>
      </c>
      <c r="B1080" t="s">
        <v>1284</v>
      </c>
      <c r="C1080">
        <v>-7</v>
      </c>
      <c r="D1080" s="105">
        <v>16305264.58</v>
      </c>
      <c r="E1080" t="s">
        <v>1925</v>
      </c>
      <c r="F1080" s="105">
        <v>358715.82</v>
      </c>
      <c r="G1080" s="105">
        <v>21339621.41</v>
      </c>
      <c r="H1080" s="384">
        <v>42852.637940509259</v>
      </c>
      <c r="I1080" s="384">
        <v>43586</v>
      </c>
      <c r="J1080" t="s">
        <v>2689</v>
      </c>
      <c r="K1080" t="s">
        <v>2690</v>
      </c>
      <c r="L1080" t="s">
        <v>1280</v>
      </c>
      <c r="M1080">
        <v>201009</v>
      </c>
      <c r="N1080" t="s">
        <v>2678</v>
      </c>
      <c r="O1080" t="s">
        <v>44</v>
      </c>
      <c r="P1080" t="s">
        <v>75</v>
      </c>
      <c r="Q1080" t="s">
        <v>26</v>
      </c>
      <c r="R1080" s="105">
        <f>IF(Table__192.168.1.150_Daily_Delinquency_With_Sectors[[#This Row],[Days in Arrears]] &gt; 0, Table__192.168.1.150_Daily_Delinquency_With_Sectors[[#This Row],[Outstanding Balance]],0)</f>
        <v>0</v>
      </c>
      <c r="S1080" s="105">
        <f>IF(Table__192.168.1.150_Daily_Delinquency_With_Sectors[[#This Row],[Days in Arrears]] &gt; 30, Table__192.168.1.150_Daily_Delinquency_With_Sectors[[#This Row],[Outstanding Balance]],0)</f>
        <v>0</v>
      </c>
      <c r="T1080" s="105">
        <f>IF(Table__192.168.1.150_Daily_Delinquency_With_Sectors[[#This Row],[Days in Arrears]] &gt; 90, Table__192.168.1.150_Daily_Delinquency_With_Sectors[[#This Row],[Outstanding Balance]],0)</f>
        <v>0</v>
      </c>
      <c r="U1080" s="109">
        <f>IF(Table__192.168.1.150_Daily_Delinquency_With_Sectors[[#This Row],[Days in Arrears]] &gt;= 1,1,0)</f>
        <v>0</v>
      </c>
      <c r="V1080" s="109">
        <f>IF(Table__192.168.1.150_Daily_Delinquency_With_Sectors[[#This Row],[Days in Arrears]] &gt; 30,1,0)</f>
        <v>0</v>
      </c>
      <c r="W1080" s="109">
        <f>IF(Table__192.168.1.150_Daily_Delinquency_With_Sectors[[#This Row],[Days in Arrears]] &gt; 90,1,0)</f>
        <v>0</v>
      </c>
    </row>
    <row r="1081" spans="1:23" x14ac:dyDescent="0.25">
      <c r="A1081" t="s">
        <v>4628</v>
      </c>
      <c r="B1081" t="s">
        <v>1279</v>
      </c>
      <c r="C1081">
        <v>-7</v>
      </c>
      <c r="D1081" s="105">
        <v>2279952.2400000002</v>
      </c>
      <c r="E1081" t="s">
        <v>1467</v>
      </c>
      <c r="F1081" s="105">
        <v>75238.42</v>
      </c>
      <c r="G1081" s="105">
        <v>2542088.81</v>
      </c>
      <c r="H1081" s="384">
        <v>42852.58366851852</v>
      </c>
      <c r="I1081" s="384">
        <v>43160</v>
      </c>
      <c r="J1081" t="s">
        <v>4629</v>
      </c>
      <c r="K1081" t="s">
        <v>1280</v>
      </c>
      <c r="L1081" t="s">
        <v>1280</v>
      </c>
      <c r="M1081">
        <v>201010</v>
      </c>
      <c r="N1081" t="s">
        <v>4619</v>
      </c>
      <c r="O1081" t="s">
        <v>25</v>
      </c>
      <c r="P1081" t="s">
        <v>88</v>
      </c>
      <c r="Q1081" t="s">
        <v>285</v>
      </c>
      <c r="R1081" s="105">
        <f>IF(Table__192.168.1.150_Daily_Delinquency_With_Sectors[[#This Row],[Days in Arrears]] &gt; 0, Table__192.168.1.150_Daily_Delinquency_With_Sectors[[#This Row],[Outstanding Balance]],0)</f>
        <v>0</v>
      </c>
      <c r="S1081" s="105">
        <f>IF(Table__192.168.1.150_Daily_Delinquency_With_Sectors[[#This Row],[Days in Arrears]] &gt; 30, Table__192.168.1.150_Daily_Delinquency_With_Sectors[[#This Row],[Outstanding Balance]],0)</f>
        <v>0</v>
      </c>
      <c r="T1081" s="105">
        <f>IF(Table__192.168.1.150_Daily_Delinquency_With_Sectors[[#This Row],[Days in Arrears]] &gt; 90, Table__192.168.1.150_Daily_Delinquency_With_Sectors[[#This Row],[Outstanding Balance]],0)</f>
        <v>0</v>
      </c>
      <c r="U1081" s="109">
        <f>IF(Table__192.168.1.150_Daily_Delinquency_With_Sectors[[#This Row],[Days in Arrears]] &gt;= 1,1,0)</f>
        <v>0</v>
      </c>
      <c r="V1081" s="109">
        <f>IF(Table__192.168.1.150_Daily_Delinquency_With_Sectors[[#This Row],[Days in Arrears]] &gt; 30,1,0)</f>
        <v>0</v>
      </c>
      <c r="W1081" s="109">
        <f>IF(Table__192.168.1.150_Daily_Delinquency_With_Sectors[[#This Row],[Days in Arrears]] &gt; 90,1,0)</f>
        <v>0</v>
      </c>
    </row>
    <row r="1082" spans="1:23" x14ac:dyDescent="0.25">
      <c r="A1082" t="s">
        <v>2042</v>
      </c>
      <c r="B1082" t="s">
        <v>1284</v>
      </c>
      <c r="C1082">
        <v>-7</v>
      </c>
      <c r="D1082" s="105">
        <v>18908178.629999999</v>
      </c>
      <c r="E1082" t="s">
        <v>1467</v>
      </c>
      <c r="F1082" s="105">
        <v>415979.93</v>
      </c>
      <c r="G1082" s="105">
        <v>28941374.620000001</v>
      </c>
      <c r="H1082" s="384">
        <v>42853.385363310183</v>
      </c>
      <c r="I1082" s="384">
        <v>43953</v>
      </c>
      <c r="J1082" t="s">
        <v>2043</v>
      </c>
      <c r="K1082" t="s">
        <v>1280</v>
      </c>
      <c r="L1082" t="s">
        <v>1280</v>
      </c>
      <c r="M1082">
        <v>201011</v>
      </c>
      <c r="N1082" t="s">
        <v>2037</v>
      </c>
      <c r="O1082" t="s">
        <v>44</v>
      </c>
      <c r="P1082" t="s">
        <v>75</v>
      </c>
      <c r="Q1082" t="s">
        <v>1442</v>
      </c>
      <c r="R1082" s="105">
        <f>IF(Table__192.168.1.150_Daily_Delinquency_With_Sectors[[#This Row],[Days in Arrears]] &gt; 0, Table__192.168.1.150_Daily_Delinquency_With_Sectors[[#This Row],[Outstanding Balance]],0)</f>
        <v>0</v>
      </c>
      <c r="S1082" s="105">
        <f>IF(Table__192.168.1.150_Daily_Delinquency_With_Sectors[[#This Row],[Days in Arrears]] &gt; 30, Table__192.168.1.150_Daily_Delinquency_With_Sectors[[#This Row],[Outstanding Balance]],0)</f>
        <v>0</v>
      </c>
      <c r="T1082" s="105">
        <f>IF(Table__192.168.1.150_Daily_Delinquency_With_Sectors[[#This Row],[Days in Arrears]] &gt; 90, Table__192.168.1.150_Daily_Delinquency_With_Sectors[[#This Row],[Outstanding Balance]],0)</f>
        <v>0</v>
      </c>
      <c r="U1082" s="109">
        <f>IF(Table__192.168.1.150_Daily_Delinquency_With_Sectors[[#This Row],[Days in Arrears]] &gt;= 1,1,0)</f>
        <v>0</v>
      </c>
      <c r="V1082" s="109">
        <f>IF(Table__192.168.1.150_Daily_Delinquency_With_Sectors[[#This Row],[Days in Arrears]] &gt; 30,1,0)</f>
        <v>0</v>
      </c>
      <c r="W1082" s="109">
        <f>IF(Table__192.168.1.150_Daily_Delinquency_With_Sectors[[#This Row],[Days in Arrears]] &gt; 90,1,0)</f>
        <v>0</v>
      </c>
    </row>
    <row r="1083" spans="1:23" x14ac:dyDescent="0.25">
      <c r="A1083" t="s">
        <v>2707</v>
      </c>
      <c r="B1083" t="s">
        <v>1282</v>
      </c>
      <c r="C1083">
        <v>-7</v>
      </c>
      <c r="D1083" s="105">
        <v>4485675.05</v>
      </c>
      <c r="E1083" t="s">
        <v>3074</v>
      </c>
      <c r="F1083" s="105">
        <v>131579.79999999999</v>
      </c>
      <c r="G1083" s="105">
        <v>5134175.4400000004</v>
      </c>
      <c r="H1083" s="384">
        <v>42853.553240972222</v>
      </c>
      <c r="I1083" s="384">
        <v>43221</v>
      </c>
      <c r="J1083" t="s">
        <v>2708</v>
      </c>
      <c r="K1083" t="s">
        <v>1280</v>
      </c>
      <c r="L1083" t="s">
        <v>1280</v>
      </c>
      <c r="M1083">
        <v>201014</v>
      </c>
      <c r="N1083" t="s">
        <v>2698</v>
      </c>
      <c r="O1083" t="s">
        <v>25</v>
      </c>
      <c r="P1083" t="s">
        <v>26</v>
      </c>
      <c r="Q1083" t="s">
        <v>26</v>
      </c>
      <c r="R1083" s="105">
        <f>IF(Table__192.168.1.150_Daily_Delinquency_With_Sectors[[#This Row],[Days in Arrears]] &gt; 0, Table__192.168.1.150_Daily_Delinquency_With_Sectors[[#This Row],[Outstanding Balance]],0)</f>
        <v>0</v>
      </c>
      <c r="S1083" s="105">
        <f>IF(Table__192.168.1.150_Daily_Delinquency_With_Sectors[[#This Row],[Days in Arrears]] &gt; 30, Table__192.168.1.150_Daily_Delinquency_With_Sectors[[#This Row],[Outstanding Balance]],0)</f>
        <v>0</v>
      </c>
      <c r="T1083" s="105">
        <f>IF(Table__192.168.1.150_Daily_Delinquency_With_Sectors[[#This Row],[Days in Arrears]] &gt; 90, Table__192.168.1.150_Daily_Delinquency_With_Sectors[[#This Row],[Outstanding Balance]],0)</f>
        <v>0</v>
      </c>
      <c r="U1083" s="109">
        <f>IF(Table__192.168.1.150_Daily_Delinquency_With_Sectors[[#This Row],[Days in Arrears]] &gt;= 1,1,0)</f>
        <v>0</v>
      </c>
      <c r="V1083" s="109">
        <f>IF(Table__192.168.1.150_Daily_Delinquency_With_Sectors[[#This Row],[Days in Arrears]] &gt; 30,1,0)</f>
        <v>0</v>
      </c>
      <c r="W1083" s="109">
        <f>IF(Table__192.168.1.150_Daily_Delinquency_With_Sectors[[#This Row],[Days in Arrears]] &gt; 90,1,0)</f>
        <v>0</v>
      </c>
    </row>
    <row r="1084" spans="1:23" x14ac:dyDescent="0.25">
      <c r="A1084" t="s">
        <v>4641</v>
      </c>
      <c r="B1084" t="s">
        <v>1279</v>
      </c>
      <c r="C1084">
        <v>-7</v>
      </c>
      <c r="D1084" s="105">
        <v>2840400</v>
      </c>
      <c r="E1084" t="s">
        <v>1909</v>
      </c>
      <c r="F1084" s="105">
        <v>93733.2</v>
      </c>
      <c r="G1084" s="105">
        <v>3304153.01</v>
      </c>
      <c r="H1084" s="384">
        <v>42853.78242693287</v>
      </c>
      <c r="I1084" s="384">
        <v>43221</v>
      </c>
      <c r="J1084" t="s">
        <v>4642</v>
      </c>
      <c r="K1084" t="s">
        <v>1280</v>
      </c>
      <c r="L1084" t="s">
        <v>4643</v>
      </c>
      <c r="M1084">
        <v>201017</v>
      </c>
      <c r="N1084" t="s">
        <v>4634</v>
      </c>
      <c r="O1084" t="s">
        <v>29</v>
      </c>
      <c r="P1084" t="s">
        <v>96</v>
      </c>
      <c r="Q1084" t="s">
        <v>26</v>
      </c>
      <c r="R1084" s="105">
        <f>IF(Table__192.168.1.150_Daily_Delinquency_With_Sectors[[#This Row],[Days in Arrears]] &gt; 0, Table__192.168.1.150_Daily_Delinquency_With_Sectors[[#This Row],[Outstanding Balance]],0)</f>
        <v>0</v>
      </c>
      <c r="S1084" s="105">
        <f>IF(Table__192.168.1.150_Daily_Delinquency_With_Sectors[[#This Row],[Days in Arrears]] &gt; 30, Table__192.168.1.150_Daily_Delinquency_With_Sectors[[#This Row],[Outstanding Balance]],0)</f>
        <v>0</v>
      </c>
      <c r="T1084" s="105">
        <f>IF(Table__192.168.1.150_Daily_Delinquency_With_Sectors[[#This Row],[Days in Arrears]] &gt; 90, Table__192.168.1.150_Daily_Delinquency_With_Sectors[[#This Row],[Outstanding Balance]],0)</f>
        <v>0</v>
      </c>
      <c r="U1084" s="109">
        <f>IF(Table__192.168.1.150_Daily_Delinquency_With_Sectors[[#This Row],[Days in Arrears]] &gt;= 1,1,0)</f>
        <v>0</v>
      </c>
      <c r="V1084" s="109">
        <f>IF(Table__192.168.1.150_Daily_Delinquency_With_Sectors[[#This Row],[Days in Arrears]] &gt; 30,1,0)</f>
        <v>0</v>
      </c>
      <c r="W1084" s="109">
        <f>IF(Table__192.168.1.150_Daily_Delinquency_With_Sectors[[#This Row],[Days in Arrears]] &gt; 90,1,0)</f>
        <v>0</v>
      </c>
    </row>
    <row r="1085" spans="1:23" x14ac:dyDescent="0.25">
      <c r="A1085" t="s">
        <v>2625</v>
      </c>
      <c r="B1085" t="s">
        <v>1284</v>
      </c>
      <c r="C1085">
        <v>22</v>
      </c>
      <c r="D1085" s="105">
        <v>46518082.789999999</v>
      </c>
      <c r="E1085" t="s">
        <v>546</v>
      </c>
      <c r="F1085" s="105">
        <v>2333528.85</v>
      </c>
      <c r="G1085" s="105">
        <v>61704549.630000003</v>
      </c>
      <c r="H1085" s="384">
        <v>42857.561418634257</v>
      </c>
      <c r="I1085" s="384">
        <v>43587</v>
      </c>
      <c r="J1085" t="s">
        <v>2626</v>
      </c>
      <c r="K1085" t="s">
        <v>2627</v>
      </c>
      <c r="L1085" t="s">
        <v>1280</v>
      </c>
      <c r="M1085">
        <v>201020</v>
      </c>
      <c r="N1085" t="s">
        <v>2617</v>
      </c>
      <c r="O1085" t="s">
        <v>44</v>
      </c>
      <c r="P1085" t="s">
        <v>75</v>
      </c>
      <c r="Q1085" t="s">
        <v>26</v>
      </c>
      <c r="R1085" s="105">
        <f>IF(Table__192.168.1.150_Daily_Delinquency_With_Sectors[[#This Row],[Days in Arrears]] &gt; 0, Table__192.168.1.150_Daily_Delinquency_With_Sectors[[#This Row],[Outstanding Balance]],0)</f>
        <v>46518082.789999999</v>
      </c>
      <c r="S1085" s="105">
        <f>IF(Table__192.168.1.150_Daily_Delinquency_With_Sectors[[#This Row],[Days in Arrears]] &gt; 30, Table__192.168.1.150_Daily_Delinquency_With_Sectors[[#This Row],[Outstanding Balance]],0)</f>
        <v>0</v>
      </c>
      <c r="T1085" s="105">
        <f>IF(Table__192.168.1.150_Daily_Delinquency_With_Sectors[[#This Row],[Days in Arrears]] &gt; 90, Table__192.168.1.150_Daily_Delinquency_With_Sectors[[#This Row],[Outstanding Balance]],0)</f>
        <v>0</v>
      </c>
      <c r="U1085" s="109">
        <f>IF(Table__192.168.1.150_Daily_Delinquency_With_Sectors[[#This Row],[Days in Arrears]] &gt;= 1,1,0)</f>
        <v>1</v>
      </c>
      <c r="V1085" s="109">
        <f>IF(Table__192.168.1.150_Daily_Delinquency_With_Sectors[[#This Row],[Days in Arrears]] &gt; 30,1,0)</f>
        <v>0</v>
      </c>
      <c r="W1085" s="109">
        <f>IF(Table__192.168.1.150_Daily_Delinquency_With_Sectors[[#This Row],[Days in Arrears]] &gt; 90,1,0)</f>
        <v>0</v>
      </c>
    </row>
    <row r="1086" spans="1:23" x14ac:dyDescent="0.25">
      <c r="A1086" t="s">
        <v>4659</v>
      </c>
      <c r="B1086" t="s">
        <v>1282</v>
      </c>
      <c r="C1086">
        <v>23</v>
      </c>
      <c r="D1086" s="105">
        <v>465155.45</v>
      </c>
      <c r="E1086" t="s">
        <v>1925</v>
      </c>
      <c r="F1086" s="105">
        <v>2205.0500000000002</v>
      </c>
      <c r="G1086" s="105">
        <v>467360.5</v>
      </c>
      <c r="H1086" s="384">
        <v>42854.555631446761</v>
      </c>
      <c r="I1086" s="384">
        <v>43040</v>
      </c>
      <c r="J1086" t="s">
        <v>4660</v>
      </c>
      <c r="K1086" t="s">
        <v>1280</v>
      </c>
      <c r="L1086" t="s">
        <v>4661</v>
      </c>
      <c r="M1086">
        <v>201021</v>
      </c>
      <c r="N1086" t="s">
        <v>4651</v>
      </c>
      <c r="O1086" t="s">
        <v>44</v>
      </c>
      <c r="P1086" t="s">
        <v>75</v>
      </c>
      <c r="Q1086" t="s">
        <v>26</v>
      </c>
      <c r="R1086" s="105">
        <f>IF(Table__192.168.1.150_Daily_Delinquency_With_Sectors[[#This Row],[Days in Arrears]] &gt; 0, Table__192.168.1.150_Daily_Delinquency_With_Sectors[[#This Row],[Outstanding Balance]],0)</f>
        <v>465155.45</v>
      </c>
      <c r="S1086" s="105">
        <f>IF(Table__192.168.1.150_Daily_Delinquency_With_Sectors[[#This Row],[Days in Arrears]] &gt; 30, Table__192.168.1.150_Daily_Delinquency_With_Sectors[[#This Row],[Outstanding Balance]],0)</f>
        <v>0</v>
      </c>
      <c r="T1086" s="105">
        <f>IF(Table__192.168.1.150_Daily_Delinquency_With_Sectors[[#This Row],[Days in Arrears]] &gt; 90, Table__192.168.1.150_Daily_Delinquency_With_Sectors[[#This Row],[Outstanding Balance]],0)</f>
        <v>0</v>
      </c>
      <c r="U1086" s="109">
        <f>IF(Table__192.168.1.150_Daily_Delinquency_With_Sectors[[#This Row],[Days in Arrears]] &gt;= 1,1,0)</f>
        <v>1</v>
      </c>
      <c r="V1086" s="109">
        <f>IF(Table__192.168.1.150_Daily_Delinquency_With_Sectors[[#This Row],[Days in Arrears]] &gt; 30,1,0)</f>
        <v>0</v>
      </c>
      <c r="W1086" s="109">
        <f>IF(Table__192.168.1.150_Daily_Delinquency_With_Sectors[[#This Row],[Days in Arrears]] &gt; 90,1,0)</f>
        <v>0</v>
      </c>
    </row>
    <row r="1087" spans="1:23" x14ac:dyDescent="0.25">
      <c r="A1087" t="s">
        <v>4662</v>
      </c>
      <c r="B1087" t="s">
        <v>1281</v>
      </c>
      <c r="C1087">
        <v>-7</v>
      </c>
      <c r="D1087" s="105">
        <v>11199865.57</v>
      </c>
      <c r="E1087" t="s">
        <v>1447</v>
      </c>
      <c r="F1087" s="105">
        <v>328529.39</v>
      </c>
      <c r="G1087" s="105">
        <v>12819045.98</v>
      </c>
      <c r="H1087" s="384">
        <v>42854.645710798613</v>
      </c>
      <c r="I1087" s="384">
        <v>43221</v>
      </c>
      <c r="J1087" t="s">
        <v>4663</v>
      </c>
      <c r="K1087" t="s">
        <v>1280</v>
      </c>
      <c r="L1087" t="s">
        <v>1280</v>
      </c>
      <c r="M1087">
        <v>201023</v>
      </c>
      <c r="N1087" t="s">
        <v>4649</v>
      </c>
      <c r="O1087" t="s">
        <v>25</v>
      </c>
      <c r="P1087" t="s">
        <v>26</v>
      </c>
      <c r="Q1087" t="s">
        <v>26</v>
      </c>
      <c r="R1087" s="105">
        <f>IF(Table__192.168.1.150_Daily_Delinquency_With_Sectors[[#This Row],[Days in Arrears]] &gt; 0, Table__192.168.1.150_Daily_Delinquency_With_Sectors[[#This Row],[Outstanding Balance]],0)</f>
        <v>0</v>
      </c>
      <c r="S1087" s="105">
        <f>IF(Table__192.168.1.150_Daily_Delinquency_With_Sectors[[#This Row],[Days in Arrears]] &gt; 30, Table__192.168.1.150_Daily_Delinquency_With_Sectors[[#This Row],[Outstanding Balance]],0)</f>
        <v>0</v>
      </c>
      <c r="T1087" s="105">
        <f>IF(Table__192.168.1.150_Daily_Delinquency_With_Sectors[[#This Row],[Days in Arrears]] &gt; 90, Table__192.168.1.150_Daily_Delinquency_With_Sectors[[#This Row],[Outstanding Balance]],0)</f>
        <v>0</v>
      </c>
      <c r="U1087" s="109">
        <f>IF(Table__192.168.1.150_Daily_Delinquency_With_Sectors[[#This Row],[Days in Arrears]] &gt;= 1,1,0)</f>
        <v>0</v>
      </c>
      <c r="V1087" s="109">
        <f>IF(Table__192.168.1.150_Daily_Delinquency_With_Sectors[[#This Row],[Days in Arrears]] &gt; 30,1,0)</f>
        <v>0</v>
      </c>
      <c r="W1087" s="109">
        <f>IF(Table__192.168.1.150_Daily_Delinquency_With_Sectors[[#This Row],[Days in Arrears]] &gt; 90,1,0)</f>
        <v>0</v>
      </c>
    </row>
    <row r="1088" spans="1:23" x14ac:dyDescent="0.25">
      <c r="A1088" t="s">
        <v>4664</v>
      </c>
      <c r="B1088" t="s">
        <v>1284</v>
      </c>
      <c r="C1088">
        <v>23</v>
      </c>
      <c r="D1088" s="105">
        <v>9737928.7699999996</v>
      </c>
      <c r="E1088" t="s">
        <v>90</v>
      </c>
      <c r="F1088" s="105">
        <v>215192.23</v>
      </c>
      <c r="G1088" s="105">
        <v>10793028.08</v>
      </c>
      <c r="H1088" s="384">
        <v>42854.749433564815</v>
      </c>
      <c r="I1088" s="384">
        <v>43221</v>
      </c>
      <c r="J1088" t="s">
        <v>4665</v>
      </c>
      <c r="K1088" t="s">
        <v>1280</v>
      </c>
      <c r="L1088" t="s">
        <v>4666</v>
      </c>
      <c r="M1088">
        <v>201025</v>
      </c>
      <c r="N1088" t="s">
        <v>4652</v>
      </c>
      <c r="O1088" t="s">
        <v>44</v>
      </c>
      <c r="P1088" t="s">
        <v>75</v>
      </c>
      <c r="Q1088" t="s">
        <v>26</v>
      </c>
      <c r="R1088" s="105">
        <f>IF(Table__192.168.1.150_Daily_Delinquency_With_Sectors[[#This Row],[Days in Arrears]] &gt; 0, Table__192.168.1.150_Daily_Delinquency_With_Sectors[[#This Row],[Outstanding Balance]],0)</f>
        <v>9737928.7699999996</v>
      </c>
      <c r="S1088" s="105">
        <f>IF(Table__192.168.1.150_Daily_Delinquency_With_Sectors[[#This Row],[Days in Arrears]] &gt; 30, Table__192.168.1.150_Daily_Delinquency_With_Sectors[[#This Row],[Outstanding Balance]],0)</f>
        <v>0</v>
      </c>
      <c r="T1088" s="105">
        <f>IF(Table__192.168.1.150_Daily_Delinquency_With_Sectors[[#This Row],[Days in Arrears]] &gt; 90, Table__192.168.1.150_Daily_Delinquency_With_Sectors[[#This Row],[Outstanding Balance]],0)</f>
        <v>0</v>
      </c>
      <c r="U1088" s="109">
        <f>IF(Table__192.168.1.150_Daily_Delinquency_With_Sectors[[#This Row],[Days in Arrears]] &gt;= 1,1,0)</f>
        <v>1</v>
      </c>
      <c r="V1088" s="109">
        <f>IF(Table__192.168.1.150_Daily_Delinquency_With_Sectors[[#This Row],[Days in Arrears]] &gt; 30,1,0)</f>
        <v>0</v>
      </c>
      <c r="W1088" s="109">
        <f>IF(Table__192.168.1.150_Daily_Delinquency_With_Sectors[[#This Row],[Days in Arrears]] &gt; 90,1,0)</f>
        <v>0</v>
      </c>
    </row>
    <row r="1089" spans="1:23" x14ac:dyDescent="0.25">
      <c r="A1089" t="s">
        <v>4671</v>
      </c>
      <c r="B1089" t="s">
        <v>1866</v>
      </c>
      <c r="C1089">
        <v>-8</v>
      </c>
      <c r="D1089" s="105">
        <v>5048358.24</v>
      </c>
      <c r="E1089" t="s">
        <v>1909</v>
      </c>
      <c r="F1089" s="105">
        <v>147243.78</v>
      </c>
      <c r="G1089" s="105">
        <v>5809596.3799999999</v>
      </c>
      <c r="H1089" s="384">
        <v>42857.715871608794</v>
      </c>
      <c r="I1089" s="384">
        <v>43222</v>
      </c>
      <c r="J1089" t="s">
        <v>4672</v>
      </c>
      <c r="K1089" t="s">
        <v>1280</v>
      </c>
      <c r="L1089" t="s">
        <v>1280</v>
      </c>
      <c r="M1089">
        <v>201026</v>
      </c>
      <c r="N1089" t="s">
        <v>4668</v>
      </c>
      <c r="O1089" t="s">
        <v>25</v>
      </c>
      <c r="P1089" t="s">
        <v>88</v>
      </c>
      <c r="Q1089" t="s">
        <v>285</v>
      </c>
      <c r="R1089" s="105">
        <f>IF(Table__192.168.1.150_Daily_Delinquency_With_Sectors[[#This Row],[Days in Arrears]] &gt; 0, Table__192.168.1.150_Daily_Delinquency_With_Sectors[[#This Row],[Outstanding Balance]],0)</f>
        <v>0</v>
      </c>
      <c r="S1089" s="105">
        <f>IF(Table__192.168.1.150_Daily_Delinquency_With_Sectors[[#This Row],[Days in Arrears]] &gt; 30, Table__192.168.1.150_Daily_Delinquency_With_Sectors[[#This Row],[Outstanding Balance]],0)</f>
        <v>0</v>
      </c>
      <c r="T1089" s="105">
        <f>IF(Table__192.168.1.150_Daily_Delinquency_With_Sectors[[#This Row],[Days in Arrears]] &gt; 90, Table__192.168.1.150_Daily_Delinquency_With_Sectors[[#This Row],[Outstanding Balance]],0)</f>
        <v>0</v>
      </c>
      <c r="U1089" s="109">
        <f>IF(Table__192.168.1.150_Daily_Delinquency_With_Sectors[[#This Row],[Days in Arrears]] &gt;= 1,1,0)</f>
        <v>0</v>
      </c>
      <c r="V1089" s="109">
        <f>IF(Table__192.168.1.150_Daily_Delinquency_With_Sectors[[#This Row],[Days in Arrears]] &gt; 30,1,0)</f>
        <v>0</v>
      </c>
      <c r="W1089" s="109">
        <f>IF(Table__192.168.1.150_Daily_Delinquency_With_Sectors[[#This Row],[Days in Arrears]] &gt; 90,1,0)</f>
        <v>0</v>
      </c>
    </row>
    <row r="1090" spans="1:23" x14ac:dyDescent="0.25">
      <c r="A1090" t="s">
        <v>4674</v>
      </c>
      <c r="B1090" t="s">
        <v>1282</v>
      </c>
      <c r="C1090">
        <v>21</v>
      </c>
      <c r="D1090" s="105">
        <v>2386642.44</v>
      </c>
      <c r="E1090" t="s">
        <v>90</v>
      </c>
      <c r="F1090" s="105">
        <v>68008.09</v>
      </c>
      <c r="G1090" s="105">
        <v>2647282.5299999998</v>
      </c>
      <c r="H1090" s="384">
        <v>42858.49758815972</v>
      </c>
      <c r="I1090" s="384">
        <v>43162</v>
      </c>
      <c r="J1090" t="s">
        <v>4675</v>
      </c>
      <c r="K1090" t="s">
        <v>1280</v>
      </c>
      <c r="L1090" t="s">
        <v>4676</v>
      </c>
      <c r="M1090">
        <v>201027</v>
      </c>
      <c r="N1090" t="s">
        <v>4673</v>
      </c>
      <c r="O1090" t="s">
        <v>25</v>
      </c>
      <c r="P1090" t="s">
        <v>289</v>
      </c>
      <c r="Q1090" t="s">
        <v>26</v>
      </c>
      <c r="R1090" s="105">
        <f>IF(Table__192.168.1.150_Daily_Delinquency_With_Sectors[[#This Row],[Days in Arrears]] &gt; 0, Table__192.168.1.150_Daily_Delinquency_With_Sectors[[#This Row],[Outstanding Balance]],0)</f>
        <v>2386642.44</v>
      </c>
      <c r="S1090" s="105">
        <f>IF(Table__192.168.1.150_Daily_Delinquency_With_Sectors[[#This Row],[Days in Arrears]] &gt; 30, Table__192.168.1.150_Daily_Delinquency_With_Sectors[[#This Row],[Outstanding Balance]],0)</f>
        <v>0</v>
      </c>
      <c r="T1090" s="105">
        <f>IF(Table__192.168.1.150_Daily_Delinquency_With_Sectors[[#This Row],[Days in Arrears]] &gt; 90, Table__192.168.1.150_Daily_Delinquency_With_Sectors[[#This Row],[Outstanding Balance]],0)</f>
        <v>0</v>
      </c>
      <c r="U1090" s="109">
        <f>IF(Table__192.168.1.150_Daily_Delinquency_With_Sectors[[#This Row],[Days in Arrears]] &gt;= 1,1,0)</f>
        <v>1</v>
      </c>
      <c r="V1090" s="109">
        <f>IF(Table__192.168.1.150_Daily_Delinquency_With_Sectors[[#This Row],[Days in Arrears]] &gt; 30,1,0)</f>
        <v>0</v>
      </c>
      <c r="W1090" s="109">
        <f>IF(Table__192.168.1.150_Daily_Delinquency_With_Sectors[[#This Row],[Days in Arrears]] &gt; 90,1,0)</f>
        <v>0</v>
      </c>
    </row>
    <row r="1091" spans="1:23" x14ac:dyDescent="0.25">
      <c r="A1091" t="s">
        <v>4701</v>
      </c>
      <c r="B1091" t="s">
        <v>1282</v>
      </c>
      <c r="C1091">
        <v>16</v>
      </c>
      <c r="D1091" s="105">
        <v>5169840.42</v>
      </c>
      <c r="E1091" t="s">
        <v>963</v>
      </c>
      <c r="F1091" s="105">
        <v>334458.78000000003</v>
      </c>
      <c r="G1091" s="105">
        <v>6141306.5700000003</v>
      </c>
      <c r="H1091" s="384">
        <v>42863.664337152775</v>
      </c>
      <c r="I1091" s="384">
        <v>43228</v>
      </c>
      <c r="J1091" t="s">
        <v>4702</v>
      </c>
      <c r="K1091" t="s">
        <v>1280</v>
      </c>
      <c r="L1091" t="s">
        <v>4703</v>
      </c>
      <c r="M1091">
        <v>201029</v>
      </c>
      <c r="N1091" t="s">
        <v>4693</v>
      </c>
      <c r="O1091" t="s">
        <v>25</v>
      </c>
      <c r="P1091" t="s">
        <v>26</v>
      </c>
      <c r="Q1091" t="s">
        <v>26</v>
      </c>
      <c r="R1091" s="105">
        <f>IF(Table__192.168.1.150_Daily_Delinquency_With_Sectors[[#This Row],[Days in Arrears]] &gt; 0, Table__192.168.1.150_Daily_Delinquency_With_Sectors[[#This Row],[Outstanding Balance]],0)</f>
        <v>5169840.42</v>
      </c>
      <c r="S1091" s="105">
        <f>IF(Table__192.168.1.150_Daily_Delinquency_With_Sectors[[#This Row],[Days in Arrears]] &gt; 30, Table__192.168.1.150_Daily_Delinquency_With_Sectors[[#This Row],[Outstanding Balance]],0)</f>
        <v>0</v>
      </c>
      <c r="T1091" s="105">
        <f>IF(Table__192.168.1.150_Daily_Delinquency_With_Sectors[[#This Row],[Days in Arrears]] &gt; 90, Table__192.168.1.150_Daily_Delinquency_With_Sectors[[#This Row],[Outstanding Balance]],0)</f>
        <v>0</v>
      </c>
      <c r="U1091" s="109">
        <f>IF(Table__192.168.1.150_Daily_Delinquency_With_Sectors[[#This Row],[Days in Arrears]] &gt;= 1,1,0)</f>
        <v>1</v>
      </c>
      <c r="V1091" s="109">
        <f>IF(Table__192.168.1.150_Daily_Delinquency_With_Sectors[[#This Row],[Days in Arrears]] &gt; 30,1,0)</f>
        <v>0</v>
      </c>
      <c r="W1091" s="109">
        <f>IF(Table__192.168.1.150_Daily_Delinquency_With_Sectors[[#This Row],[Days in Arrears]] &gt; 90,1,0)</f>
        <v>0</v>
      </c>
    </row>
    <row r="1092" spans="1:23" x14ac:dyDescent="0.25">
      <c r="A1092" t="s">
        <v>4704</v>
      </c>
      <c r="B1092" t="s">
        <v>1282</v>
      </c>
      <c r="C1092">
        <v>-14</v>
      </c>
      <c r="D1092" s="105">
        <v>2828221.1</v>
      </c>
      <c r="E1092" t="s">
        <v>2861</v>
      </c>
      <c r="F1092" s="105">
        <v>63634.97</v>
      </c>
      <c r="G1092" s="105">
        <v>3289985.68</v>
      </c>
      <c r="H1092" s="384">
        <v>42863.68455740741</v>
      </c>
      <c r="I1092" s="384">
        <v>43228</v>
      </c>
      <c r="J1092" t="s">
        <v>4705</v>
      </c>
      <c r="K1092" t="s">
        <v>1280</v>
      </c>
      <c r="L1092" t="s">
        <v>1280</v>
      </c>
      <c r="M1092">
        <v>201031</v>
      </c>
      <c r="N1092" t="s">
        <v>4692</v>
      </c>
      <c r="O1092" t="s">
        <v>25</v>
      </c>
      <c r="P1092" t="s">
        <v>26</v>
      </c>
      <c r="Q1092" t="s">
        <v>26</v>
      </c>
      <c r="R1092" s="105">
        <f>IF(Table__192.168.1.150_Daily_Delinquency_With_Sectors[[#This Row],[Days in Arrears]] &gt; 0, Table__192.168.1.150_Daily_Delinquency_With_Sectors[[#This Row],[Outstanding Balance]],0)</f>
        <v>0</v>
      </c>
      <c r="S1092" s="105">
        <f>IF(Table__192.168.1.150_Daily_Delinquency_With_Sectors[[#This Row],[Days in Arrears]] &gt; 30, Table__192.168.1.150_Daily_Delinquency_With_Sectors[[#This Row],[Outstanding Balance]],0)</f>
        <v>0</v>
      </c>
      <c r="T1092" s="105">
        <f>IF(Table__192.168.1.150_Daily_Delinquency_With_Sectors[[#This Row],[Days in Arrears]] &gt; 90, Table__192.168.1.150_Daily_Delinquency_With_Sectors[[#This Row],[Outstanding Balance]],0)</f>
        <v>0</v>
      </c>
      <c r="U1092" s="109">
        <f>IF(Table__192.168.1.150_Daily_Delinquency_With_Sectors[[#This Row],[Days in Arrears]] &gt;= 1,1,0)</f>
        <v>0</v>
      </c>
      <c r="V1092" s="109">
        <f>IF(Table__192.168.1.150_Daily_Delinquency_With_Sectors[[#This Row],[Days in Arrears]] &gt; 30,1,0)</f>
        <v>0</v>
      </c>
      <c r="W1092" s="109">
        <f>IF(Table__192.168.1.150_Daily_Delinquency_With_Sectors[[#This Row],[Days in Arrears]] &gt; 90,1,0)</f>
        <v>0</v>
      </c>
    </row>
    <row r="1093" spans="1:23" x14ac:dyDescent="0.25">
      <c r="A1093" t="s">
        <v>4706</v>
      </c>
      <c r="B1093" t="s">
        <v>1279</v>
      </c>
      <c r="C1093">
        <v>16</v>
      </c>
      <c r="D1093" s="105">
        <v>371059.08</v>
      </c>
      <c r="E1093" t="s">
        <v>2538</v>
      </c>
      <c r="F1093" s="105">
        <v>16697.66</v>
      </c>
      <c r="G1093" s="105">
        <v>387756.74</v>
      </c>
      <c r="H1093" s="384">
        <v>42863.539526967594</v>
      </c>
      <c r="I1093" s="384">
        <v>43047</v>
      </c>
      <c r="J1093" t="s">
        <v>4707</v>
      </c>
      <c r="K1093" t="s">
        <v>1280</v>
      </c>
      <c r="L1093" t="s">
        <v>1280</v>
      </c>
      <c r="M1093">
        <v>201032</v>
      </c>
      <c r="N1093" t="s">
        <v>4695</v>
      </c>
      <c r="O1093" t="s">
        <v>25</v>
      </c>
      <c r="P1093" t="s">
        <v>88</v>
      </c>
      <c r="Q1093" t="s">
        <v>285</v>
      </c>
      <c r="R1093" s="105">
        <f>IF(Table__192.168.1.150_Daily_Delinquency_With_Sectors[[#This Row],[Days in Arrears]] &gt; 0, Table__192.168.1.150_Daily_Delinquency_With_Sectors[[#This Row],[Outstanding Balance]],0)</f>
        <v>371059.08</v>
      </c>
      <c r="S1093" s="105">
        <f>IF(Table__192.168.1.150_Daily_Delinquency_With_Sectors[[#This Row],[Days in Arrears]] &gt; 30, Table__192.168.1.150_Daily_Delinquency_With_Sectors[[#This Row],[Outstanding Balance]],0)</f>
        <v>0</v>
      </c>
      <c r="T1093" s="105">
        <f>IF(Table__192.168.1.150_Daily_Delinquency_With_Sectors[[#This Row],[Days in Arrears]] &gt; 90, Table__192.168.1.150_Daily_Delinquency_With_Sectors[[#This Row],[Outstanding Balance]],0)</f>
        <v>0</v>
      </c>
      <c r="U1093" s="109">
        <f>IF(Table__192.168.1.150_Daily_Delinquency_With_Sectors[[#This Row],[Days in Arrears]] &gt;= 1,1,0)</f>
        <v>1</v>
      </c>
      <c r="V1093" s="109">
        <f>IF(Table__192.168.1.150_Daily_Delinquency_With_Sectors[[#This Row],[Days in Arrears]] &gt; 30,1,0)</f>
        <v>0</v>
      </c>
      <c r="W1093" s="109">
        <f>IF(Table__192.168.1.150_Daily_Delinquency_With_Sectors[[#This Row],[Days in Arrears]] &gt; 90,1,0)</f>
        <v>0</v>
      </c>
    </row>
    <row r="1094" spans="1:23" x14ac:dyDescent="0.25">
      <c r="A1094" t="s">
        <v>4708</v>
      </c>
      <c r="B1094" t="s">
        <v>1279</v>
      </c>
      <c r="C1094">
        <v>16</v>
      </c>
      <c r="D1094" s="105">
        <v>577999.81000000006</v>
      </c>
      <c r="E1094" t="s">
        <v>1447</v>
      </c>
      <c r="F1094" s="105">
        <v>12776.15</v>
      </c>
      <c r="G1094" s="105">
        <v>616609.41</v>
      </c>
      <c r="H1094" s="384">
        <v>42863.718327893519</v>
      </c>
      <c r="I1094" s="384">
        <v>43108</v>
      </c>
      <c r="J1094" t="s">
        <v>4709</v>
      </c>
      <c r="K1094" t="s">
        <v>1280</v>
      </c>
      <c r="L1094" t="s">
        <v>4710</v>
      </c>
      <c r="M1094">
        <v>201033</v>
      </c>
      <c r="N1094" t="s">
        <v>4696</v>
      </c>
      <c r="O1094" t="s">
        <v>25</v>
      </c>
      <c r="P1094" t="s">
        <v>88</v>
      </c>
      <c r="Q1094" t="s">
        <v>285</v>
      </c>
      <c r="R1094" s="105">
        <f>IF(Table__192.168.1.150_Daily_Delinquency_With_Sectors[[#This Row],[Days in Arrears]] &gt; 0, Table__192.168.1.150_Daily_Delinquency_With_Sectors[[#This Row],[Outstanding Balance]],0)</f>
        <v>577999.81000000006</v>
      </c>
      <c r="S1094" s="105">
        <f>IF(Table__192.168.1.150_Daily_Delinquency_With_Sectors[[#This Row],[Days in Arrears]] &gt; 30, Table__192.168.1.150_Daily_Delinquency_With_Sectors[[#This Row],[Outstanding Balance]],0)</f>
        <v>0</v>
      </c>
      <c r="T1094" s="105">
        <f>IF(Table__192.168.1.150_Daily_Delinquency_With_Sectors[[#This Row],[Days in Arrears]] &gt; 90, Table__192.168.1.150_Daily_Delinquency_With_Sectors[[#This Row],[Outstanding Balance]],0)</f>
        <v>0</v>
      </c>
      <c r="U1094" s="109">
        <f>IF(Table__192.168.1.150_Daily_Delinquency_With_Sectors[[#This Row],[Days in Arrears]] &gt;= 1,1,0)</f>
        <v>1</v>
      </c>
      <c r="V1094" s="109">
        <f>IF(Table__192.168.1.150_Daily_Delinquency_With_Sectors[[#This Row],[Days in Arrears]] &gt; 30,1,0)</f>
        <v>0</v>
      </c>
      <c r="W1094" s="109">
        <f>IF(Table__192.168.1.150_Daily_Delinquency_With_Sectors[[#This Row],[Days in Arrears]] &gt; 90,1,0)</f>
        <v>0</v>
      </c>
    </row>
    <row r="1095" spans="1:23" x14ac:dyDescent="0.25">
      <c r="A1095" t="s">
        <v>4727</v>
      </c>
      <c r="B1095" t="s">
        <v>1282</v>
      </c>
      <c r="C1095">
        <v>15</v>
      </c>
      <c r="D1095" s="105">
        <v>6462300.5099999998</v>
      </c>
      <c r="E1095" t="s">
        <v>1925</v>
      </c>
      <c r="F1095" s="105">
        <v>409588.8</v>
      </c>
      <c r="G1095" s="105">
        <v>7676633.1799999997</v>
      </c>
      <c r="H1095" s="384">
        <v>42864.526064317128</v>
      </c>
      <c r="I1095" s="384">
        <v>43229</v>
      </c>
      <c r="J1095" t="s">
        <v>4728</v>
      </c>
      <c r="K1095" t="s">
        <v>1280</v>
      </c>
      <c r="L1095" t="s">
        <v>4729</v>
      </c>
      <c r="M1095">
        <v>201034</v>
      </c>
      <c r="N1095" t="s">
        <v>4722</v>
      </c>
      <c r="O1095" t="s">
        <v>44</v>
      </c>
      <c r="P1095" t="s">
        <v>75</v>
      </c>
      <c r="Q1095" t="s">
        <v>26</v>
      </c>
      <c r="R1095" s="105">
        <f>IF(Table__192.168.1.150_Daily_Delinquency_With_Sectors[[#This Row],[Days in Arrears]] &gt; 0, Table__192.168.1.150_Daily_Delinquency_With_Sectors[[#This Row],[Outstanding Balance]],0)</f>
        <v>6462300.5099999998</v>
      </c>
      <c r="S1095" s="105">
        <f>IF(Table__192.168.1.150_Daily_Delinquency_With_Sectors[[#This Row],[Days in Arrears]] &gt; 30, Table__192.168.1.150_Daily_Delinquency_With_Sectors[[#This Row],[Outstanding Balance]],0)</f>
        <v>0</v>
      </c>
      <c r="T1095" s="105">
        <f>IF(Table__192.168.1.150_Daily_Delinquency_With_Sectors[[#This Row],[Days in Arrears]] &gt; 90, Table__192.168.1.150_Daily_Delinquency_With_Sectors[[#This Row],[Outstanding Balance]],0)</f>
        <v>0</v>
      </c>
      <c r="U1095" s="109">
        <f>IF(Table__192.168.1.150_Daily_Delinquency_With_Sectors[[#This Row],[Days in Arrears]] &gt;= 1,1,0)</f>
        <v>1</v>
      </c>
      <c r="V1095" s="109">
        <f>IF(Table__192.168.1.150_Daily_Delinquency_With_Sectors[[#This Row],[Days in Arrears]] &gt; 30,1,0)</f>
        <v>0</v>
      </c>
      <c r="W1095" s="109">
        <f>IF(Table__192.168.1.150_Daily_Delinquency_With_Sectors[[#This Row],[Days in Arrears]] &gt; 90,1,0)</f>
        <v>0</v>
      </c>
    </row>
    <row r="1096" spans="1:23" x14ac:dyDescent="0.25">
      <c r="A1096" t="s">
        <v>2447</v>
      </c>
      <c r="B1096" t="s">
        <v>1285</v>
      </c>
      <c r="C1096">
        <v>-27</v>
      </c>
      <c r="D1096" s="105">
        <v>30210790.350000001</v>
      </c>
      <c r="E1096" t="s">
        <v>284</v>
      </c>
      <c r="F1096" s="105">
        <v>36924.300000000003</v>
      </c>
      <c r="G1096" s="105">
        <v>42894142.229999997</v>
      </c>
      <c r="H1096" s="384">
        <v>42865.489353275465</v>
      </c>
      <c r="I1096" s="384">
        <v>44276</v>
      </c>
      <c r="J1096" t="s">
        <v>2448</v>
      </c>
      <c r="K1096" t="s">
        <v>1280</v>
      </c>
      <c r="L1096" t="s">
        <v>1280</v>
      </c>
      <c r="M1096">
        <v>201037</v>
      </c>
      <c r="N1096" t="s">
        <v>2446</v>
      </c>
      <c r="O1096" t="s">
        <v>43</v>
      </c>
      <c r="P1096" t="s">
        <v>338</v>
      </c>
      <c r="Q1096" t="s">
        <v>26</v>
      </c>
      <c r="R1096" s="105">
        <f>IF(Table__192.168.1.150_Daily_Delinquency_With_Sectors[[#This Row],[Days in Arrears]] &gt; 0, Table__192.168.1.150_Daily_Delinquency_With_Sectors[[#This Row],[Outstanding Balance]],0)</f>
        <v>0</v>
      </c>
      <c r="S1096" s="105">
        <f>IF(Table__192.168.1.150_Daily_Delinquency_With_Sectors[[#This Row],[Days in Arrears]] &gt; 30, Table__192.168.1.150_Daily_Delinquency_With_Sectors[[#This Row],[Outstanding Balance]],0)</f>
        <v>0</v>
      </c>
      <c r="T1096" s="105">
        <f>IF(Table__192.168.1.150_Daily_Delinquency_With_Sectors[[#This Row],[Days in Arrears]] &gt; 90, Table__192.168.1.150_Daily_Delinquency_With_Sectors[[#This Row],[Outstanding Balance]],0)</f>
        <v>0</v>
      </c>
      <c r="U1096" s="109">
        <f>IF(Table__192.168.1.150_Daily_Delinquency_With_Sectors[[#This Row],[Days in Arrears]] &gt;= 1,1,0)</f>
        <v>0</v>
      </c>
      <c r="V1096" s="109">
        <f>IF(Table__192.168.1.150_Daily_Delinquency_With_Sectors[[#This Row],[Days in Arrears]] &gt; 30,1,0)</f>
        <v>0</v>
      </c>
      <c r="W1096" s="109">
        <f>IF(Table__192.168.1.150_Daily_Delinquency_With_Sectors[[#This Row],[Days in Arrears]] &gt; 90,1,0)</f>
        <v>0</v>
      </c>
    </row>
    <row r="1097" spans="1:23" x14ac:dyDescent="0.25">
      <c r="A1097" t="s">
        <v>3315</v>
      </c>
      <c r="B1097" t="s">
        <v>1284</v>
      </c>
      <c r="C1097">
        <v>14</v>
      </c>
      <c r="D1097" s="105">
        <v>7195896.4100000001</v>
      </c>
      <c r="E1097" t="s">
        <v>491</v>
      </c>
      <c r="F1097" s="105">
        <v>317919.03000000003</v>
      </c>
      <c r="G1097" s="105">
        <v>8562957.3900000006</v>
      </c>
      <c r="H1097" s="384">
        <v>42865.775814699075</v>
      </c>
      <c r="I1097" s="384">
        <v>43322</v>
      </c>
      <c r="J1097" t="s">
        <v>3316</v>
      </c>
      <c r="K1097" t="s">
        <v>1280</v>
      </c>
      <c r="L1097" t="s">
        <v>3317</v>
      </c>
      <c r="M1097">
        <v>201039</v>
      </c>
      <c r="N1097" t="s">
        <v>3311</v>
      </c>
      <c r="O1097" t="s">
        <v>44</v>
      </c>
      <c r="P1097" t="s">
        <v>75</v>
      </c>
      <c r="Q1097" t="s">
        <v>1442</v>
      </c>
      <c r="R1097" s="105">
        <f>IF(Table__192.168.1.150_Daily_Delinquency_With_Sectors[[#This Row],[Days in Arrears]] &gt; 0, Table__192.168.1.150_Daily_Delinquency_With_Sectors[[#This Row],[Outstanding Balance]],0)</f>
        <v>7195896.4100000001</v>
      </c>
      <c r="S1097" s="105">
        <f>IF(Table__192.168.1.150_Daily_Delinquency_With_Sectors[[#This Row],[Days in Arrears]] &gt; 30, Table__192.168.1.150_Daily_Delinquency_With_Sectors[[#This Row],[Outstanding Balance]],0)</f>
        <v>0</v>
      </c>
      <c r="T1097" s="105">
        <f>IF(Table__192.168.1.150_Daily_Delinquency_With_Sectors[[#This Row],[Days in Arrears]] &gt; 90, Table__192.168.1.150_Daily_Delinquency_With_Sectors[[#This Row],[Outstanding Balance]],0)</f>
        <v>0</v>
      </c>
      <c r="U1097" s="109">
        <f>IF(Table__192.168.1.150_Daily_Delinquency_With_Sectors[[#This Row],[Days in Arrears]] &gt;= 1,1,0)</f>
        <v>1</v>
      </c>
      <c r="V1097" s="109">
        <f>IF(Table__192.168.1.150_Daily_Delinquency_With_Sectors[[#This Row],[Days in Arrears]] &gt; 30,1,0)</f>
        <v>0</v>
      </c>
      <c r="W1097" s="109">
        <f>IF(Table__192.168.1.150_Daily_Delinquency_With_Sectors[[#This Row],[Days in Arrears]] &gt; 90,1,0)</f>
        <v>0</v>
      </c>
    </row>
    <row r="1098" spans="1:23" x14ac:dyDescent="0.25">
      <c r="A1098" t="s">
        <v>4748</v>
      </c>
      <c r="B1098" t="s">
        <v>1281</v>
      </c>
      <c r="C1098">
        <v>-17</v>
      </c>
      <c r="D1098" s="105">
        <v>11171221.449999999</v>
      </c>
      <c r="E1098" t="s">
        <v>491</v>
      </c>
      <c r="F1098" s="105">
        <v>690365.11</v>
      </c>
      <c r="G1098" s="105">
        <v>12786260.74</v>
      </c>
      <c r="H1098" s="384">
        <v>42866.727631712965</v>
      </c>
      <c r="I1098" s="384">
        <v>43231</v>
      </c>
      <c r="J1098" t="s">
        <v>4749</v>
      </c>
      <c r="K1098" t="s">
        <v>1280</v>
      </c>
      <c r="L1098" t="s">
        <v>4750</v>
      </c>
      <c r="M1098">
        <v>201041</v>
      </c>
      <c r="N1098" t="s">
        <v>4739</v>
      </c>
      <c r="O1098" t="s">
        <v>25</v>
      </c>
      <c r="P1098" t="s">
        <v>26</v>
      </c>
      <c r="Q1098" t="s">
        <v>26</v>
      </c>
      <c r="R1098" s="105">
        <f>IF(Table__192.168.1.150_Daily_Delinquency_With_Sectors[[#This Row],[Days in Arrears]] &gt; 0, Table__192.168.1.150_Daily_Delinquency_With_Sectors[[#This Row],[Outstanding Balance]],0)</f>
        <v>0</v>
      </c>
      <c r="S1098" s="105">
        <f>IF(Table__192.168.1.150_Daily_Delinquency_With_Sectors[[#This Row],[Days in Arrears]] &gt; 30, Table__192.168.1.150_Daily_Delinquency_With_Sectors[[#This Row],[Outstanding Balance]],0)</f>
        <v>0</v>
      </c>
      <c r="T1098" s="105">
        <f>IF(Table__192.168.1.150_Daily_Delinquency_With_Sectors[[#This Row],[Days in Arrears]] &gt; 90, Table__192.168.1.150_Daily_Delinquency_With_Sectors[[#This Row],[Outstanding Balance]],0)</f>
        <v>0</v>
      </c>
      <c r="U1098" s="109">
        <f>IF(Table__192.168.1.150_Daily_Delinquency_With_Sectors[[#This Row],[Days in Arrears]] &gt;= 1,1,0)</f>
        <v>0</v>
      </c>
      <c r="V1098" s="109">
        <f>IF(Table__192.168.1.150_Daily_Delinquency_With_Sectors[[#This Row],[Days in Arrears]] &gt; 30,1,0)</f>
        <v>0</v>
      </c>
      <c r="W1098" s="109">
        <f>IF(Table__192.168.1.150_Daily_Delinquency_With_Sectors[[#This Row],[Days in Arrears]] &gt; 90,1,0)</f>
        <v>0</v>
      </c>
    </row>
    <row r="1099" spans="1:23" x14ac:dyDescent="0.25">
      <c r="A1099" t="s">
        <v>3485</v>
      </c>
      <c r="B1099" t="s">
        <v>1279</v>
      </c>
      <c r="C1099">
        <v>-18</v>
      </c>
      <c r="D1099" s="105">
        <v>2792805.38</v>
      </c>
      <c r="E1099" t="s">
        <v>2538</v>
      </c>
      <c r="F1099" s="105">
        <v>40961.15</v>
      </c>
      <c r="G1099" s="105">
        <v>3196565.22</v>
      </c>
      <c r="H1099" s="384">
        <v>42867.742464583331</v>
      </c>
      <c r="I1099" s="384">
        <v>43232</v>
      </c>
      <c r="J1099" t="s">
        <v>3486</v>
      </c>
      <c r="K1099" t="s">
        <v>1280</v>
      </c>
      <c r="L1099" t="s">
        <v>1280</v>
      </c>
      <c r="M1099">
        <v>201044</v>
      </c>
      <c r="N1099" t="s">
        <v>3464</v>
      </c>
      <c r="O1099" t="s">
        <v>25</v>
      </c>
      <c r="P1099" t="s">
        <v>26</v>
      </c>
      <c r="Q1099" t="s">
        <v>26</v>
      </c>
      <c r="R1099" s="105">
        <f>IF(Table__192.168.1.150_Daily_Delinquency_With_Sectors[[#This Row],[Days in Arrears]] &gt; 0, Table__192.168.1.150_Daily_Delinquency_With_Sectors[[#This Row],[Outstanding Balance]],0)</f>
        <v>0</v>
      </c>
      <c r="S1099" s="105">
        <f>IF(Table__192.168.1.150_Daily_Delinquency_With_Sectors[[#This Row],[Days in Arrears]] &gt; 30, Table__192.168.1.150_Daily_Delinquency_With_Sectors[[#This Row],[Outstanding Balance]],0)</f>
        <v>0</v>
      </c>
      <c r="T1099" s="105">
        <f>IF(Table__192.168.1.150_Daily_Delinquency_With_Sectors[[#This Row],[Days in Arrears]] &gt; 90, Table__192.168.1.150_Daily_Delinquency_With_Sectors[[#This Row],[Outstanding Balance]],0)</f>
        <v>0</v>
      </c>
      <c r="U1099" s="109">
        <f>IF(Table__192.168.1.150_Daily_Delinquency_With_Sectors[[#This Row],[Days in Arrears]] &gt;= 1,1,0)</f>
        <v>0</v>
      </c>
      <c r="V1099" s="109">
        <f>IF(Table__192.168.1.150_Daily_Delinquency_With_Sectors[[#This Row],[Days in Arrears]] &gt; 30,1,0)</f>
        <v>0</v>
      </c>
      <c r="W1099" s="109">
        <f>IF(Table__192.168.1.150_Daily_Delinquency_With_Sectors[[#This Row],[Days in Arrears]] &gt; 90,1,0)</f>
        <v>0</v>
      </c>
    </row>
    <row r="1100" spans="1:23" x14ac:dyDescent="0.25">
      <c r="A1100" t="s">
        <v>4759</v>
      </c>
      <c r="B1100" t="s">
        <v>1279</v>
      </c>
      <c r="C1100">
        <v>-19</v>
      </c>
      <c r="D1100" s="105">
        <v>1360161.78</v>
      </c>
      <c r="E1100" t="s">
        <v>963</v>
      </c>
      <c r="F1100" s="105">
        <v>20402.43</v>
      </c>
      <c r="G1100" s="105">
        <v>1516545.83</v>
      </c>
      <c r="H1100" s="384">
        <v>42868.488424918978</v>
      </c>
      <c r="I1100" s="384">
        <v>43172</v>
      </c>
      <c r="J1100" t="s">
        <v>4760</v>
      </c>
      <c r="K1100" t="s">
        <v>1280</v>
      </c>
      <c r="L1100" t="s">
        <v>1280</v>
      </c>
      <c r="M1100">
        <v>201045</v>
      </c>
      <c r="N1100" t="s">
        <v>4755</v>
      </c>
      <c r="O1100" t="s">
        <v>25</v>
      </c>
      <c r="P1100" t="s">
        <v>26</v>
      </c>
      <c r="Q1100" t="s">
        <v>26</v>
      </c>
      <c r="R1100" s="105">
        <f>IF(Table__192.168.1.150_Daily_Delinquency_With_Sectors[[#This Row],[Days in Arrears]] &gt; 0, Table__192.168.1.150_Daily_Delinquency_With_Sectors[[#This Row],[Outstanding Balance]],0)</f>
        <v>0</v>
      </c>
      <c r="S1100" s="105">
        <f>IF(Table__192.168.1.150_Daily_Delinquency_With_Sectors[[#This Row],[Days in Arrears]] &gt; 30, Table__192.168.1.150_Daily_Delinquency_With_Sectors[[#This Row],[Outstanding Balance]],0)</f>
        <v>0</v>
      </c>
      <c r="T1100" s="105">
        <f>IF(Table__192.168.1.150_Daily_Delinquency_With_Sectors[[#This Row],[Days in Arrears]] &gt; 90, Table__192.168.1.150_Daily_Delinquency_With_Sectors[[#This Row],[Outstanding Balance]],0)</f>
        <v>0</v>
      </c>
      <c r="U1100" s="109">
        <f>IF(Table__192.168.1.150_Daily_Delinquency_With_Sectors[[#This Row],[Days in Arrears]] &gt;= 1,1,0)</f>
        <v>0</v>
      </c>
      <c r="V1100" s="109">
        <f>IF(Table__192.168.1.150_Daily_Delinquency_With_Sectors[[#This Row],[Days in Arrears]] &gt; 30,1,0)</f>
        <v>0</v>
      </c>
      <c r="W1100" s="109">
        <f>IF(Table__192.168.1.150_Daily_Delinquency_With_Sectors[[#This Row],[Days in Arrears]] &gt; 90,1,0)</f>
        <v>0</v>
      </c>
    </row>
    <row r="1101" spans="1:23" x14ac:dyDescent="0.25">
      <c r="A1101" t="s">
        <v>4765</v>
      </c>
      <c r="B1101" t="s">
        <v>1282</v>
      </c>
      <c r="C1101">
        <v>-21</v>
      </c>
      <c r="D1101" s="105">
        <v>3393865.31</v>
      </c>
      <c r="E1101" t="s">
        <v>2861</v>
      </c>
      <c r="F1101" s="105">
        <v>40726.379999999997</v>
      </c>
      <c r="G1101" s="105">
        <v>3947982.81</v>
      </c>
      <c r="H1101" s="384">
        <v>42870.560390196762</v>
      </c>
      <c r="I1101" s="384">
        <v>43235</v>
      </c>
      <c r="J1101" t="s">
        <v>4766</v>
      </c>
      <c r="K1101" t="s">
        <v>1280</v>
      </c>
      <c r="L1101" t="s">
        <v>4767</v>
      </c>
      <c r="M1101">
        <v>201046</v>
      </c>
      <c r="N1101" t="s">
        <v>4762</v>
      </c>
      <c r="O1101" t="s">
        <v>25</v>
      </c>
      <c r="P1101" t="s">
        <v>26</v>
      </c>
      <c r="Q1101" t="s">
        <v>26</v>
      </c>
      <c r="R1101" s="105">
        <f>IF(Table__192.168.1.150_Daily_Delinquency_With_Sectors[[#This Row],[Days in Arrears]] &gt; 0, Table__192.168.1.150_Daily_Delinquency_With_Sectors[[#This Row],[Outstanding Balance]],0)</f>
        <v>0</v>
      </c>
      <c r="S1101" s="105">
        <f>IF(Table__192.168.1.150_Daily_Delinquency_With_Sectors[[#This Row],[Days in Arrears]] &gt; 30, Table__192.168.1.150_Daily_Delinquency_With_Sectors[[#This Row],[Outstanding Balance]],0)</f>
        <v>0</v>
      </c>
      <c r="T1101" s="105">
        <f>IF(Table__192.168.1.150_Daily_Delinquency_With_Sectors[[#This Row],[Days in Arrears]] &gt; 90, Table__192.168.1.150_Daily_Delinquency_With_Sectors[[#This Row],[Outstanding Balance]],0)</f>
        <v>0</v>
      </c>
      <c r="U1101" s="109">
        <f>IF(Table__192.168.1.150_Daily_Delinquency_With_Sectors[[#This Row],[Days in Arrears]] &gt;= 1,1,0)</f>
        <v>0</v>
      </c>
      <c r="V1101" s="109">
        <f>IF(Table__192.168.1.150_Daily_Delinquency_With_Sectors[[#This Row],[Days in Arrears]] &gt; 30,1,0)</f>
        <v>0</v>
      </c>
      <c r="W1101" s="109">
        <f>IF(Table__192.168.1.150_Daily_Delinquency_With_Sectors[[#This Row],[Days in Arrears]] &gt; 90,1,0)</f>
        <v>0</v>
      </c>
    </row>
    <row r="1102" spans="1:23" x14ac:dyDescent="0.25">
      <c r="A1102" t="s">
        <v>4770</v>
      </c>
      <c r="B1102" t="s">
        <v>1866</v>
      </c>
      <c r="C1102">
        <v>-22</v>
      </c>
      <c r="D1102" s="105">
        <v>2696923.22</v>
      </c>
      <c r="E1102" t="s">
        <v>4683</v>
      </c>
      <c r="F1102" s="105">
        <v>26220.09</v>
      </c>
      <c r="G1102" s="105">
        <v>2983584.07</v>
      </c>
      <c r="H1102" s="384">
        <v>42871.481338460646</v>
      </c>
      <c r="I1102" s="384">
        <v>43175</v>
      </c>
      <c r="J1102" t="s">
        <v>4771</v>
      </c>
      <c r="K1102" t="s">
        <v>1280</v>
      </c>
      <c r="L1102" t="s">
        <v>4772</v>
      </c>
      <c r="M1102">
        <v>201047</v>
      </c>
      <c r="N1102" t="s">
        <v>4768</v>
      </c>
      <c r="O1102" t="s">
        <v>25</v>
      </c>
      <c r="P1102" t="s">
        <v>26</v>
      </c>
      <c r="Q1102" t="s">
        <v>26</v>
      </c>
      <c r="R1102" s="105">
        <f>IF(Table__192.168.1.150_Daily_Delinquency_With_Sectors[[#This Row],[Days in Arrears]] &gt; 0, Table__192.168.1.150_Daily_Delinquency_With_Sectors[[#This Row],[Outstanding Balance]],0)</f>
        <v>0</v>
      </c>
      <c r="S1102" s="105">
        <f>IF(Table__192.168.1.150_Daily_Delinquency_With_Sectors[[#This Row],[Days in Arrears]] &gt; 30, Table__192.168.1.150_Daily_Delinquency_With_Sectors[[#This Row],[Outstanding Balance]],0)</f>
        <v>0</v>
      </c>
      <c r="T1102" s="105">
        <f>IF(Table__192.168.1.150_Daily_Delinquency_With_Sectors[[#This Row],[Days in Arrears]] &gt; 90, Table__192.168.1.150_Daily_Delinquency_With_Sectors[[#This Row],[Outstanding Balance]],0)</f>
        <v>0</v>
      </c>
      <c r="U1102" s="109">
        <f>IF(Table__192.168.1.150_Daily_Delinquency_With_Sectors[[#This Row],[Days in Arrears]] &gt;= 1,1,0)</f>
        <v>0</v>
      </c>
      <c r="V1102" s="109">
        <f>IF(Table__192.168.1.150_Daily_Delinquency_With_Sectors[[#This Row],[Days in Arrears]] &gt; 30,1,0)</f>
        <v>0</v>
      </c>
      <c r="W1102" s="109">
        <f>IF(Table__192.168.1.150_Daily_Delinquency_With_Sectors[[#This Row],[Days in Arrears]] &gt; 90,1,0)</f>
        <v>0</v>
      </c>
    </row>
    <row r="1103" spans="1:23" x14ac:dyDescent="0.25">
      <c r="A1103" t="s">
        <v>2410</v>
      </c>
      <c r="B1103" t="s">
        <v>1281</v>
      </c>
      <c r="C1103">
        <v>-23</v>
      </c>
      <c r="D1103" s="105">
        <v>13785492.76</v>
      </c>
      <c r="E1103" t="s">
        <v>1448</v>
      </c>
      <c r="F1103" s="105">
        <v>96498.45</v>
      </c>
      <c r="G1103" s="105">
        <v>15522592.390000001</v>
      </c>
      <c r="H1103" s="384">
        <v>42872.40982734954</v>
      </c>
      <c r="I1103" s="384">
        <v>43237</v>
      </c>
      <c r="J1103" t="s">
        <v>2411</v>
      </c>
      <c r="K1103" t="s">
        <v>2412</v>
      </c>
      <c r="L1103" t="s">
        <v>1280</v>
      </c>
      <c r="M1103">
        <v>201049</v>
      </c>
      <c r="N1103" t="s">
        <v>2386</v>
      </c>
      <c r="O1103" t="s">
        <v>27</v>
      </c>
      <c r="P1103" t="s">
        <v>26</v>
      </c>
      <c r="Q1103" t="s">
        <v>26</v>
      </c>
      <c r="R1103" s="105">
        <f>IF(Table__192.168.1.150_Daily_Delinquency_With_Sectors[[#This Row],[Days in Arrears]] &gt; 0, Table__192.168.1.150_Daily_Delinquency_With_Sectors[[#This Row],[Outstanding Balance]],0)</f>
        <v>0</v>
      </c>
      <c r="S1103" s="105">
        <f>IF(Table__192.168.1.150_Daily_Delinquency_With_Sectors[[#This Row],[Days in Arrears]] &gt; 30, Table__192.168.1.150_Daily_Delinquency_With_Sectors[[#This Row],[Outstanding Balance]],0)</f>
        <v>0</v>
      </c>
      <c r="T1103" s="105">
        <f>IF(Table__192.168.1.150_Daily_Delinquency_With_Sectors[[#This Row],[Days in Arrears]] &gt; 90, Table__192.168.1.150_Daily_Delinquency_With_Sectors[[#This Row],[Outstanding Balance]],0)</f>
        <v>0</v>
      </c>
      <c r="U1103" s="109">
        <f>IF(Table__192.168.1.150_Daily_Delinquency_With_Sectors[[#This Row],[Days in Arrears]] &gt;= 1,1,0)</f>
        <v>0</v>
      </c>
      <c r="V1103" s="109">
        <f>IF(Table__192.168.1.150_Daily_Delinquency_With_Sectors[[#This Row],[Days in Arrears]] &gt; 30,1,0)</f>
        <v>0</v>
      </c>
      <c r="W1103" s="109">
        <f>IF(Table__192.168.1.150_Daily_Delinquency_With_Sectors[[#This Row],[Days in Arrears]] &gt; 90,1,0)</f>
        <v>0</v>
      </c>
    </row>
    <row r="1104" spans="1:23" x14ac:dyDescent="0.25">
      <c r="A1104" t="s">
        <v>4789</v>
      </c>
      <c r="B1104" t="s">
        <v>1282</v>
      </c>
      <c r="C1104">
        <v>37</v>
      </c>
      <c r="D1104" s="105">
        <v>2175614.12</v>
      </c>
      <c r="E1104" t="s">
        <v>1909</v>
      </c>
      <c r="F1104" s="105">
        <v>172124.02</v>
      </c>
      <c r="G1104" s="105">
        <v>2425754.4700000002</v>
      </c>
      <c r="H1104" s="384">
        <v>42872.71493371528</v>
      </c>
      <c r="I1104" s="384">
        <v>43117</v>
      </c>
      <c r="J1104" t="s">
        <v>4790</v>
      </c>
      <c r="K1104" t="s">
        <v>1280</v>
      </c>
      <c r="L1104" t="s">
        <v>4791</v>
      </c>
      <c r="M1104">
        <v>201052</v>
      </c>
      <c r="N1104" t="s">
        <v>4775</v>
      </c>
      <c r="O1104" t="s">
        <v>35</v>
      </c>
      <c r="P1104" t="s">
        <v>26</v>
      </c>
      <c r="Q1104" t="s">
        <v>26</v>
      </c>
      <c r="R1104" s="105">
        <f>IF(Table__192.168.1.150_Daily_Delinquency_With_Sectors[[#This Row],[Days in Arrears]] &gt; 0, Table__192.168.1.150_Daily_Delinquency_With_Sectors[[#This Row],[Outstanding Balance]],0)</f>
        <v>2175614.12</v>
      </c>
      <c r="S1104" s="105">
        <f>IF(Table__192.168.1.150_Daily_Delinquency_With_Sectors[[#This Row],[Days in Arrears]] &gt; 30, Table__192.168.1.150_Daily_Delinquency_With_Sectors[[#This Row],[Outstanding Balance]],0)</f>
        <v>2175614.12</v>
      </c>
      <c r="T1104" s="105">
        <f>IF(Table__192.168.1.150_Daily_Delinquency_With_Sectors[[#This Row],[Days in Arrears]] &gt; 90, Table__192.168.1.150_Daily_Delinquency_With_Sectors[[#This Row],[Outstanding Balance]],0)</f>
        <v>0</v>
      </c>
      <c r="U1104" s="109">
        <f>IF(Table__192.168.1.150_Daily_Delinquency_With_Sectors[[#This Row],[Days in Arrears]] &gt;= 1,1,0)</f>
        <v>1</v>
      </c>
      <c r="V1104" s="109">
        <f>IF(Table__192.168.1.150_Daily_Delinquency_With_Sectors[[#This Row],[Days in Arrears]] &gt; 30,1,0)</f>
        <v>1</v>
      </c>
      <c r="W1104" s="109">
        <f>IF(Table__192.168.1.150_Daily_Delinquency_With_Sectors[[#This Row],[Days in Arrears]] &gt; 90,1,0)</f>
        <v>0</v>
      </c>
    </row>
    <row r="1105" spans="1:23" x14ac:dyDescent="0.25">
      <c r="A1105" t="s">
        <v>4792</v>
      </c>
      <c r="B1105" t="s">
        <v>1279</v>
      </c>
      <c r="C1105">
        <v>-23</v>
      </c>
      <c r="D1105" s="105">
        <v>1135658.06</v>
      </c>
      <c r="E1105" t="s">
        <v>1909</v>
      </c>
      <c r="F1105" s="105">
        <v>10220.92</v>
      </c>
      <c r="G1105" s="105">
        <v>1212877.25</v>
      </c>
      <c r="H1105" s="384">
        <v>42872.72517017361</v>
      </c>
      <c r="I1105" s="384">
        <v>43117</v>
      </c>
      <c r="J1105" t="s">
        <v>4793</v>
      </c>
      <c r="K1105" t="s">
        <v>1280</v>
      </c>
      <c r="L1105" t="s">
        <v>4794</v>
      </c>
      <c r="M1105">
        <v>201053</v>
      </c>
      <c r="N1105" t="s">
        <v>4779</v>
      </c>
      <c r="O1105" t="s">
        <v>44</v>
      </c>
      <c r="P1105" t="s">
        <v>26</v>
      </c>
      <c r="Q1105" t="s">
        <v>26</v>
      </c>
      <c r="R1105" s="105">
        <f>IF(Table__192.168.1.150_Daily_Delinquency_With_Sectors[[#This Row],[Days in Arrears]] &gt; 0, Table__192.168.1.150_Daily_Delinquency_With_Sectors[[#This Row],[Outstanding Balance]],0)</f>
        <v>0</v>
      </c>
      <c r="S1105" s="105">
        <f>IF(Table__192.168.1.150_Daily_Delinquency_With_Sectors[[#This Row],[Days in Arrears]] &gt; 30, Table__192.168.1.150_Daily_Delinquency_With_Sectors[[#This Row],[Outstanding Balance]],0)</f>
        <v>0</v>
      </c>
      <c r="T1105" s="105">
        <f>IF(Table__192.168.1.150_Daily_Delinquency_With_Sectors[[#This Row],[Days in Arrears]] &gt; 90, Table__192.168.1.150_Daily_Delinquency_With_Sectors[[#This Row],[Outstanding Balance]],0)</f>
        <v>0</v>
      </c>
      <c r="U1105" s="109">
        <f>IF(Table__192.168.1.150_Daily_Delinquency_With_Sectors[[#This Row],[Days in Arrears]] &gt;= 1,1,0)</f>
        <v>0</v>
      </c>
      <c r="V1105" s="109">
        <f>IF(Table__192.168.1.150_Daily_Delinquency_With_Sectors[[#This Row],[Days in Arrears]] &gt; 30,1,0)</f>
        <v>0</v>
      </c>
      <c r="W1105" s="109">
        <f>IF(Table__192.168.1.150_Daily_Delinquency_With_Sectors[[#This Row],[Days in Arrears]] &gt; 90,1,0)</f>
        <v>0</v>
      </c>
    </row>
    <row r="1106" spans="1:23" x14ac:dyDescent="0.25">
      <c r="A1106" t="s">
        <v>4187</v>
      </c>
      <c r="B1106" t="s">
        <v>1282</v>
      </c>
      <c r="C1106">
        <v>-24</v>
      </c>
      <c r="D1106" s="105">
        <v>3351366.41</v>
      </c>
      <c r="E1106" t="s">
        <v>1448</v>
      </c>
      <c r="F1106" s="105">
        <v>22342.44</v>
      </c>
      <c r="G1106" s="105">
        <v>3835878.18</v>
      </c>
      <c r="H1106" s="384">
        <v>42873.560921909724</v>
      </c>
      <c r="I1106" s="384">
        <v>43238</v>
      </c>
      <c r="J1106" t="s">
        <v>4188</v>
      </c>
      <c r="K1106" t="s">
        <v>1280</v>
      </c>
      <c r="L1106" t="s">
        <v>1280</v>
      </c>
      <c r="M1106">
        <v>201055</v>
      </c>
      <c r="N1106" t="s">
        <v>4182</v>
      </c>
      <c r="O1106" t="s">
        <v>25</v>
      </c>
      <c r="P1106" t="s">
        <v>26</v>
      </c>
      <c r="Q1106" t="s">
        <v>26</v>
      </c>
      <c r="R1106" s="105">
        <f>IF(Table__192.168.1.150_Daily_Delinquency_With_Sectors[[#This Row],[Days in Arrears]] &gt; 0, Table__192.168.1.150_Daily_Delinquency_With_Sectors[[#This Row],[Outstanding Balance]],0)</f>
        <v>0</v>
      </c>
      <c r="S1106" s="105">
        <f>IF(Table__192.168.1.150_Daily_Delinquency_With_Sectors[[#This Row],[Days in Arrears]] &gt; 30, Table__192.168.1.150_Daily_Delinquency_With_Sectors[[#This Row],[Outstanding Balance]],0)</f>
        <v>0</v>
      </c>
      <c r="T1106" s="105">
        <f>IF(Table__192.168.1.150_Daily_Delinquency_With_Sectors[[#This Row],[Days in Arrears]] &gt; 90, Table__192.168.1.150_Daily_Delinquency_With_Sectors[[#This Row],[Outstanding Balance]],0)</f>
        <v>0</v>
      </c>
      <c r="U1106" s="109">
        <f>IF(Table__192.168.1.150_Daily_Delinquency_With_Sectors[[#This Row],[Days in Arrears]] &gt;= 1,1,0)</f>
        <v>0</v>
      </c>
      <c r="V1106" s="109">
        <f>IF(Table__192.168.1.150_Daily_Delinquency_With_Sectors[[#This Row],[Days in Arrears]] &gt; 30,1,0)</f>
        <v>0</v>
      </c>
      <c r="W1106" s="109">
        <f>IF(Table__192.168.1.150_Daily_Delinquency_With_Sectors[[#This Row],[Days in Arrears]] &gt; 90,1,0)</f>
        <v>0</v>
      </c>
    </row>
    <row r="1107" spans="1:23" x14ac:dyDescent="0.25">
      <c r="A1107" t="s">
        <v>4805</v>
      </c>
      <c r="B1107" t="s">
        <v>1282</v>
      </c>
      <c r="C1107">
        <v>-24</v>
      </c>
      <c r="D1107" s="105">
        <v>1360161.78</v>
      </c>
      <c r="E1107" t="s">
        <v>2538</v>
      </c>
      <c r="F1107" s="105">
        <v>10201.209999999999</v>
      </c>
      <c r="G1107" s="105">
        <v>1516545.83</v>
      </c>
      <c r="H1107" s="384">
        <v>42873.614163310187</v>
      </c>
      <c r="I1107" s="384">
        <v>43177</v>
      </c>
      <c r="J1107" t="s">
        <v>4806</v>
      </c>
      <c r="K1107" t="s">
        <v>1280</v>
      </c>
      <c r="L1107" t="s">
        <v>4807</v>
      </c>
      <c r="M1107">
        <v>201056</v>
      </c>
      <c r="N1107" t="s">
        <v>4800</v>
      </c>
      <c r="O1107" t="s">
        <v>44</v>
      </c>
      <c r="P1107" t="s">
        <v>26</v>
      </c>
      <c r="Q1107" t="s">
        <v>26</v>
      </c>
      <c r="R1107" s="105">
        <f>IF(Table__192.168.1.150_Daily_Delinquency_With_Sectors[[#This Row],[Days in Arrears]] &gt; 0, Table__192.168.1.150_Daily_Delinquency_With_Sectors[[#This Row],[Outstanding Balance]],0)</f>
        <v>0</v>
      </c>
      <c r="S1107" s="105">
        <f>IF(Table__192.168.1.150_Daily_Delinquency_With_Sectors[[#This Row],[Days in Arrears]] &gt; 30, Table__192.168.1.150_Daily_Delinquency_With_Sectors[[#This Row],[Outstanding Balance]],0)</f>
        <v>0</v>
      </c>
      <c r="T1107" s="105">
        <f>IF(Table__192.168.1.150_Daily_Delinquency_With_Sectors[[#This Row],[Days in Arrears]] &gt; 90, Table__192.168.1.150_Daily_Delinquency_With_Sectors[[#This Row],[Outstanding Balance]],0)</f>
        <v>0</v>
      </c>
      <c r="U1107" s="109">
        <f>IF(Table__192.168.1.150_Daily_Delinquency_With_Sectors[[#This Row],[Days in Arrears]] &gt;= 1,1,0)</f>
        <v>0</v>
      </c>
      <c r="V1107" s="109">
        <f>IF(Table__192.168.1.150_Daily_Delinquency_With_Sectors[[#This Row],[Days in Arrears]] &gt; 30,1,0)</f>
        <v>0</v>
      </c>
      <c r="W1107" s="109">
        <f>IF(Table__192.168.1.150_Daily_Delinquency_With_Sectors[[#This Row],[Days in Arrears]] &gt; 90,1,0)</f>
        <v>0</v>
      </c>
    </row>
    <row r="1108" spans="1:23" x14ac:dyDescent="0.25">
      <c r="A1108" t="s">
        <v>2122</v>
      </c>
      <c r="B1108" t="s">
        <v>1283</v>
      </c>
      <c r="C1108">
        <v>-26</v>
      </c>
      <c r="D1108" s="105">
        <v>16903651.859999999</v>
      </c>
      <c r="E1108" t="s">
        <v>1447</v>
      </c>
      <c r="F1108" s="105">
        <v>50710.96</v>
      </c>
      <c r="G1108" s="105">
        <v>18722231.300000001</v>
      </c>
      <c r="H1108" s="384">
        <v>42873.480068206016</v>
      </c>
      <c r="I1108" s="384">
        <v>43240</v>
      </c>
      <c r="J1108" t="s">
        <v>2123</v>
      </c>
      <c r="K1108" t="s">
        <v>1280</v>
      </c>
      <c r="L1108" t="s">
        <v>1280</v>
      </c>
      <c r="M1108">
        <v>201058</v>
      </c>
      <c r="N1108" t="s">
        <v>2101</v>
      </c>
      <c r="O1108" t="s">
        <v>25</v>
      </c>
      <c r="P1108" t="s">
        <v>26</v>
      </c>
      <c r="Q1108" t="s">
        <v>26</v>
      </c>
      <c r="R1108" s="105">
        <f>IF(Table__192.168.1.150_Daily_Delinquency_With_Sectors[[#This Row],[Days in Arrears]] &gt; 0, Table__192.168.1.150_Daily_Delinquency_With_Sectors[[#This Row],[Outstanding Balance]],0)</f>
        <v>0</v>
      </c>
      <c r="S1108" s="105">
        <f>IF(Table__192.168.1.150_Daily_Delinquency_With_Sectors[[#This Row],[Days in Arrears]] &gt; 30, Table__192.168.1.150_Daily_Delinquency_With_Sectors[[#This Row],[Outstanding Balance]],0)</f>
        <v>0</v>
      </c>
      <c r="T1108" s="105">
        <f>IF(Table__192.168.1.150_Daily_Delinquency_With_Sectors[[#This Row],[Days in Arrears]] &gt; 90, Table__192.168.1.150_Daily_Delinquency_With_Sectors[[#This Row],[Outstanding Balance]],0)</f>
        <v>0</v>
      </c>
      <c r="U1108" s="109">
        <f>IF(Table__192.168.1.150_Daily_Delinquency_With_Sectors[[#This Row],[Days in Arrears]] &gt;= 1,1,0)</f>
        <v>0</v>
      </c>
      <c r="V1108" s="109">
        <f>IF(Table__192.168.1.150_Daily_Delinquency_With_Sectors[[#This Row],[Days in Arrears]] &gt; 30,1,0)</f>
        <v>0</v>
      </c>
      <c r="W1108" s="109">
        <f>IF(Table__192.168.1.150_Daily_Delinquency_With_Sectors[[#This Row],[Days in Arrears]] &gt; 90,1,0)</f>
        <v>0</v>
      </c>
    </row>
    <row r="1109" spans="1:23" x14ac:dyDescent="0.25">
      <c r="A1109" t="s">
        <v>4810</v>
      </c>
      <c r="B1109" t="s">
        <v>1282</v>
      </c>
      <c r="C1109">
        <v>6</v>
      </c>
      <c r="D1109" s="105">
        <v>1041923.85</v>
      </c>
      <c r="E1109" t="s">
        <v>2855</v>
      </c>
      <c r="F1109" s="105">
        <v>52209.97</v>
      </c>
      <c r="G1109" s="105">
        <v>1137072.4099999999</v>
      </c>
      <c r="H1109" s="384">
        <v>42873.592386226854</v>
      </c>
      <c r="I1109" s="384">
        <v>43118</v>
      </c>
      <c r="J1109" t="s">
        <v>4811</v>
      </c>
      <c r="K1109" t="s">
        <v>1280</v>
      </c>
      <c r="L1109" t="s">
        <v>1280</v>
      </c>
      <c r="M1109">
        <v>201060</v>
      </c>
      <c r="N1109" t="s">
        <v>4797</v>
      </c>
      <c r="O1109" t="s">
        <v>25</v>
      </c>
      <c r="P1109" t="s">
        <v>26</v>
      </c>
      <c r="Q1109" t="s">
        <v>26</v>
      </c>
      <c r="R1109" s="105">
        <f>IF(Table__192.168.1.150_Daily_Delinquency_With_Sectors[[#This Row],[Days in Arrears]] &gt; 0, Table__192.168.1.150_Daily_Delinquency_With_Sectors[[#This Row],[Outstanding Balance]],0)</f>
        <v>1041923.85</v>
      </c>
      <c r="S1109" s="105">
        <f>IF(Table__192.168.1.150_Daily_Delinquency_With_Sectors[[#This Row],[Days in Arrears]] &gt; 30, Table__192.168.1.150_Daily_Delinquency_With_Sectors[[#This Row],[Outstanding Balance]],0)</f>
        <v>0</v>
      </c>
      <c r="T1109" s="105">
        <f>IF(Table__192.168.1.150_Daily_Delinquency_With_Sectors[[#This Row],[Days in Arrears]] &gt; 90, Table__192.168.1.150_Daily_Delinquency_With_Sectors[[#This Row],[Outstanding Balance]],0)</f>
        <v>0</v>
      </c>
      <c r="U1109" s="109">
        <f>IF(Table__192.168.1.150_Daily_Delinquency_With_Sectors[[#This Row],[Days in Arrears]] &gt;= 1,1,0)</f>
        <v>1</v>
      </c>
      <c r="V1109" s="109">
        <f>IF(Table__192.168.1.150_Daily_Delinquency_With_Sectors[[#This Row],[Days in Arrears]] &gt; 30,1,0)</f>
        <v>0</v>
      </c>
      <c r="W1109" s="109">
        <f>IF(Table__192.168.1.150_Daily_Delinquency_With_Sectors[[#This Row],[Days in Arrears]] &gt; 90,1,0)</f>
        <v>0</v>
      </c>
    </row>
    <row r="1110" spans="1:23" x14ac:dyDescent="0.25">
      <c r="A1110" t="s">
        <v>3139</v>
      </c>
      <c r="B1110" t="s">
        <v>1279</v>
      </c>
      <c r="C1110">
        <v>5</v>
      </c>
      <c r="D1110" s="105">
        <v>1918595.89</v>
      </c>
      <c r="E1110" t="s">
        <v>2034</v>
      </c>
      <c r="F1110" s="105">
        <v>85680.82</v>
      </c>
      <c r="G1110" s="105">
        <v>2237595.63</v>
      </c>
      <c r="H1110" s="384">
        <v>42874.581016550925</v>
      </c>
      <c r="I1110" s="384">
        <v>43239</v>
      </c>
      <c r="J1110" t="s">
        <v>3140</v>
      </c>
      <c r="K1110" t="s">
        <v>1280</v>
      </c>
      <c r="L1110" t="s">
        <v>1280</v>
      </c>
      <c r="M1110">
        <v>201062</v>
      </c>
      <c r="N1110" t="s">
        <v>3138</v>
      </c>
      <c r="O1110" t="s">
        <v>44</v>
      </c>
      <c r="P1110" t="s">
        <v>75</v>
      </c>
      <c r="Q1110" t="s">
        <v>26</v>
      </c>
      <c r="R1110" s="105">
        <f>IF(Table__192.168.1.150_Daily_Delinquency_With_Sectors[[#This Row],[Days in Arrears]] &gt; 0, Table__192.168.1.150_Daily_Delinquency_With_Sectors[[#This Row],[Outstanding Balance]],0)</f>
        <v>1918595.89</v>
      </c>
      <c r="S1110" s="105">
        <f>IF(Table__192.168.1.150_Daily_Delinquency_With_Sectors[[#This Row],[Days in Arrears]] &gt; 30, Table__192.168.1.150_Daily_Delinquency_With_Sectors[[#This Row],[Outstanding Balance]],0)</f>
        <v>0</v>
      </c>
      <c r="T1110" s="105">
        <f>IF(Table__192.168.1.150_Daily_Delinquency_With_Sectors[[#This Row],[Days in Arrears]] &gt; 90, Table__192.168.1.150_Daily_Delinquency_With_Sectors[[#This Row],[Outstanding Balance]],0)</f>
        <v>0</v>
      </c>
      <c r="U1110" s="109">
        <f>IF(Table__192.168.1.150_Daily_Delinquency_With_Sectors[[#This Row],[Days in Arrears]] &gt;= 1,1,0)</f>
        <v>1</v>
      </c>
      <c r="V1110" s="109">
        <f>IF(Table__192.168.1.150_Daily_Delinquency_With_Sectors[[#This Row],[Days in Arrears]] &gt; 30,1,0)</f>
        <v>0</v>
      </c>
      <c r="W1110" s="109">
        <f>IF(Table__192.168.1.150_Daily_Delinquency_With_Sectors[[#This Row],[Days in Arrears]] &gt; 90,1,0)</f>
        <v>0</v>
      </c>
    </row>
    <row r="1111" spans="1:23" x14ac:dyDescent="0.25">
      <c r="A1111" t="s">
        <v>4818</v>
      </c>
      <c r="B1111" t="s">
        <v>1282</v>
      </c>
      <c r="C1111">
        <v>-25</v>
      </c>
      <c r="D1111" s="105">
        <v>2839145.11</v>
      </c>
      <c r="E1111" t="s">
        <v>1925</v>
      </c>
      <c r="F1111" s="105">
        <v>71097.19</v>
      </c>
      <c r="G1111" s="105">
        <v>3032193.09</v>
      </c>
      <c r="H1111" s="384">
        <v>42874.512373877318</v>
      </c>
      <c r="I1111" s="384">
        <v>43119</v>
      </c>
      <c r="J1111" t="s">
        <v>4819</v>
      </c>
      <c r="K1111" t="s">
        <v>1280</v>
      </c>
      <c r="L1111" t="s">
        <v>4820</v>
      </c>
      <c r="M1111">
        <v>201064</v>
      </c>
      <c r="N1111" t="s">
        <v>4813</v>
      </c>
      <c r="O1111" t="s">
        <v>25</v>
      </c>
      <c r="P1111" t="s">
        <v>88</v>
      </c>
      <c r="Q1111" t="s">
        <v>285</v>
      </c>
      <c r="R1111" s="105">
        <f>IF(Table__192.168.1.150_Daily_Delinquency_With_Sectors[[#This Row],[Days in Arrears]] &gt; 0, Table__192.168.1.150_Daily_Delinquency_With_Sectors[[#This Row],[Outstanding Balance]],0)</f>
        <v>0</v>
      </c>
      <c r="S1111" s="105">
        <f>IF(Table__192.168.1.150_Daily_Delinquency_With_Sectors[[#This Row],[Days in Arrears]] &gt; 30, Table__192.168.1.150_Daily_Delinquency_With_Sectors[[#This Row],[Outstanding Balance]],0)</f>
        <v>0</v>
      </c>
      <c r="T1111" s="105">
        <f>IF(Table__192.168.1.150_Daily_Delinquency_With_Sectors[[#This Row],[Days in Arrears]] &gt; 90, Table__192.168.1.150_Daily_Delinquency_With_Sectors[[#This Row],[Outstanding Balance]],0)</f>
        <v>0</v>
      </c>
      <c r="U1111" s="109">
        <f>IF(Table__192.168.1.150_Daily_Delinquency_With_Sectors[[#This Row],[Days in Arrears]] &gt;= 1,1,0)</f>
        <v>0</v>
      </c>
      <c r="V1111" s="109">
        <f>IF(Table__192.168.1.150_Daily_Delinquency_With_Sectors[[#This Row],[Days in Arrears]] &gt; 30,1,0)</f>
        <v>0</v>
      </c>
      <c r="W1111" s="109">
        <f>IF(Table__192.168.1.150_Daily_Delinquency_With_Sectors[[#This Row],[Days in Arrears]] &gt; 90,1,0)</f>
        <v>0</v>
      </c>
    </row>
    <row r="1112" spans="1:23" x14ac:dyDescent="0.25">
      <c r="A1112" t="s">
        <v>1993</v>
      </c>
      <c r="B1112" t="s">
        <v>1285</v>
      </c>
      <c r="C1112">
        <v>3</v>
      </c>
      <c r="D1112" s="105">
        <v>36560150.299999997</v>
      </c>
      <c r="E1112" t="s">
        <v>284</v>
      </c>
      <c r="F1112" s="105">
        <v>714451.58</v>
      </c>
      <c r="G1112" s="105">
        <v>58346376.090000004</v>
      </c>
      <c r="H1112" s="384">
        <v>42874.697980671299</v>
      </c>
      <c r="I1112" s="384">
        <v>44702</v>
      </c>
      <c r="J1112" t="s">
        <v>1994</v>
      </c>
      <c r="K1112" t="s">
        <v>1280</v>
      </c>
      <c r="L1112" t="s">
        <v>1280</v>
      </c>
      <c r="M1112">
        <v>201065</v>
      </c>
      <c r="N1112" t="s">
        <v>1992</v>
      </c>
      <c r="O1112" t="s">
        <v>43</v>
      </c>
      <c r="P1112" t="s">
        <v>338</v>
      </c>
      <c r="Q1112" t="s">
        <v>339</v>
      </c>
      <c r="R1112" s="105">
        <f>IF(Table__192.168.1.150_Daily_Delinquency_With_Sectors[[#This Row],[Days in Arrears]] &gt; 0, Table__192.168.1.150_Daily_Delinquency_With_Sectors[[#This Row],[Outstanding Balance]],0)</f>
        <v>36560150.299999997</v>
      </c>
      <c r="S1112" s="105">
        <f>IF(Table__192.168.1.150_Daily_Delinquency_With_Sectors[[#This Row],[Days in Arrears]] &gt; 30, Table__192.168.1.150_Daily_Delinquency_With_Sectors[[#This Row],[Outstanding Balance]],0)</f>
        <v>0</v>
      </c>
      <c r="T1112" s="105">
        <f>IF(Table__192.168.1.150_Daily_Delinquency_With_Sectors[[#This Row],[Days in Arrears]] &gt; 90, Table__192.168.1.150_Daily_Delinquency_With_Sectors[[#This Row],[Outstanding Balance]],0)</f>
        <v>0</v>
      </c>
      <c r="U1112" s="109">
        <f>IF(Table__192.168.1.150_Daily_Delinquency_With_Sectors[[#This Row],[Days in Arrears]] &gt;= 1,1,0)</f>
        <v>1</v>
      </c>
      <c r="V1112" s="109">
        <f>IF(Table__192.168.1.150_Daily_Delinquency_With_Sectors[[#This Row],[Days in Arrears]] &gt; 30,1,0)</f>
        <v>0</v>
      </c>
      <c r="W1112" s="109">
        <f>IF(Table__192.168.1.150_Daily_Delinquency_With_Sectors[[#This Row],[Days in Arrears]] &gt; 90,1,0)</f>
        <v>0</v>
      </c>
    </row>
    <row r="1113" spans="1:23" x14ac:dyDescent="0.25">
      <c r="A1113" t="s">
        <v>4821</v>
      </c>
      <c r="B1113" t="s">
        <v>1282</v>
      </c>
      <c r="C1113">
        <v>-25</v>
      </c>
      <c r="D1113" s="105">
        <v>851743.54</v>
      </c>
      <c r="E1113" t="s">
        <v>1909</v>
      </c>
      <c r="F1113" s="105">
        <v>5110.46</v>
      </c>
      <c r="G1113" s="105">
        <v>909657.94</v>
      </c>
      <c r="H1113" s="384">
        <v>42874.708207175929</v>
      </c>
      <c r="I1113" s="384">
        <v>43119</v>
      </c>
      <c r="J1113" t="s">
        <v>4822</v>
      </c>
      <c r="K1113" t="s">
        <v>1280</v>
      </c>
      <c r="L1113" t="s">
        <v>4823</v>
      </c>
      <c r="M1113">
        <v>201066</v>
      </c>
      <c r="N1113" t="s">
        <v>4812</v>
      </c>
      <c r="O1113" t="s">
        <v>25</v>
      </c>
      <c r="P1113" t="s">
        <v>88</v>
      </c>
      <c r="Q1113" t="s">
        <v>285</v>
      </c>
      <c r="R1113" s="105">
        <f>IF(Table__192.168.1.150_Daily_Delinquency_With_Sectors[[#This Row],[Days in Arrears]] &gt; 0, Table__192.168.1.150_Daily_Delinquency_With_Sectors[[#This Row],[Outstanding Balance]],0)</f>
        <v>0</v>
      </c>
      <c r="S1113" s="105">
        <f>IF(Table__192.168.1.150_Daily_Delinquency_With_Sectors[[#This Row],[Days in Arrears]] &gt; 30, Table__192.168.1.150_Daily_Delinquency_With_Sectors[[#This Row],[Outstanding Balance]],0)</f>
        <v>0</v>
      </c>
      <c r="T1113" s="105">
        <f>IF(Table__192.168.1.150_Daily_Delinquency_With_Sectors[[#This Row],[Days in Arrears]] &gt; 90, Table__192.168.1.150_Daily_Delinquency_With_Sectors[[#This Row],[Outstanding Balance]],0)</f>
        <v>0</v>
      </c>
      <c r="U1113" s="109">
        <f>IF(Table__192.168.1.150_Daily_Delinquency_With_Sectors[[#This Row],[Days in Arrears]] &gt;= 1,1,0)</f>
        <v>0</v>
      </c>
      <c r="V1113" s="109">
        <f>IF(Table__192.168.1.150_Daily_Delinquency_With_Sectors[[#This Row],[Days in Arrears]] &gt; 30,1,0)</f>
        <v>0</v>
      </c>
      <c r="W1113" s="109">
        <f>IF(Table__192.168.1.150_Daily_Delinquency_With_Sectors[[#This Row],[Days in Arrears]] &gt; 90,1,0)</f>
        <v>0</v>
      </c>
    </row>
    <row r="1114" spans="1:23" x14ac:dyDescent="0.25">
      <c r="A1114" t="s">
        <v>2300</v>
      </c>
      <c r="B1114" t="s">
        <v>1281</v>
      </c>
      <c r="C1114">
        <v>-26</v>
      </c>
      <c r="D1114" s="105">
        <v>11028394.18</v>
      </c>
      <c r="E1114" t="s">
        <v>1909</v>
      </c>
      <c r="F1114" s="105">
        <v>38599.379999999997</v>
      </c>
      <c r="G1114" s="105">
        <v>12418073.869999999</v>
      </c>
      <c r="H1114" s="384">
        <v>42875.612127777778</v>
      </c>
      <c r="I1114" s="384">
        <v>43240</v>
      </c>
      <c r="J1114" t="s">
        <v>2301</v>
      </c>
      <c r="K1114" t="s">
        <v>1280</v>
      </c>
      <c r="L1114" t="s">
        <v>1280</v>
      </c>
      <c r="M1114">
        <v>201067</v>
      </c>
      <c r="N1114" t="s">
        <v>2293</v>
      </c>
      <c r="O1114" t="s">
        <v>27</v>
      </c>
      <c r="P1114" t="s">
        <v>116</v>
      </c>
      <c r="Q1114" t="s">
        <v>26</v>
      </c>
      <c r="R1114" s="105">
        <f>IF(Table__192.168.1.150_Daily_Delinquency_With_Sectors[[#This Row],[Days in Arrears]] &gt; 0, Table__192.168.1.150_Daily_Delinquency_With_Sectors[[#This Row],[Outstanding Balance]],0)</f>
        <v>0</v>
      </c>
      <c r="S1114" s="105">
        <f>IF(Table__192.168.1.150_Daily_Delinquency_With_Sectors[[#This Row],[Days in Arrears]] &gt; 30, Table__192.168.1.150_Daily_Delinquency_With_Sectors[[#This Row],[Outstanding Balance]],0)</f>
        <v>0</v>
      </c>
      <c r="T1114" s="105">
        <f>IF(Table__192.168.1.150_Daily_Delinquency_With_Sectors[[#This Row],[Days in Arrears]] &gt; 90, Table__192.168.1.150_Daily_Delinquency_With_Sectors[[#This Row],[Outstanding Balance]],0)</f>
        <v>0</v>
      </c>
      <c r="U1114" s="109">
        <f>IF(Table__192.168.1.150_Daily_Delinquency_With_Sectors[[#This Row],[Days in Arrears]] &gt;= 1,1,0)</f>
        <v>0</v>
      </c>
      <c r="V1114" s="109">
        <f>IF(Table__192.168.1.150_Daily_Delinquency_With_Sectors[[#This Row],[Days in Arrears]] &gt; 30,1,0)</f>
        <v>0</v>
      </c>
      <c r="W1114" s="109">
        <f>IF(Table__192.168.1.150_Daily_Delinquency_With_Sectors[[#This Row],[Days in Arrears]] &gt; 90,1,0)</f>
        <v>0</v>
      </c>
    </row>
    <row r="1115" spans="1:23" x14ac:dyDescent="0.25">
      <c r="A1115" t="s">
        <v>3414</v>
      </c>
      <c r="B1115" t="s">
        <v>1282</v>
      </c>
      <c r="C1115">
        <v>0</v>
      </c>
      <c r="D1115" s="105">
        <v>3837191.78</v>
      </c>
      <c r="E1115" t="s">
        <v>1447</v>
      </c>
      <c r="F1115" s="105">
        <v>148371.42000000001</v>
      </c>
      <c r="G1115" s="105">
        <v>4475191.22</v>
      </c>
      <c r="H1115" s="384">
        <v>42879.473704016207</v>
      </c>
      <c r="I1115" s="384">
        <v>43244</v>
      </c>
      <c r="J1115" t="s">
        <v>3415</v>
      </c>
      <c r="K1115" t="s">
        <v>1280</v>
      </c>
      <c r="L1115" t="s">
        <v>3416</v>
      </c>
      <c r="M1115">
        <v>201069</v>
      </c>
      <c r="N1115" t="s">
        <v>3400</v>
      </c>
      <c r="O1115" t="s">
        <v>25</v>
      </c>
      <c r="P1115" t="s">
        <v>26</v>
      </c>
      <c r="Q1115" t="s">
        <v>26</v>
      </c>
      <c r="R1115" s="105">
        <f>IF(Table__192.168.1.150_Daily_Delinquency_With_Sectors[[#This Row],[Days in Arrears]] &gt; 0, Table__192.168.1.150_Daily_Delinquency_With_Sectors[[#This Row],[Outstanding Balance]],0)</f>
        <v>0</v>
      </c>
      <c r="S1115" s="105">
        <f>IF(Table__192.168.1.150_Daily_Delinquency_With_Sectors[[#This Row],[Days in Arrears]] &gt; 30, Table__192.168.1.150_Daily_Delinquency_With_Sectors[[#This Row],[Outstanding Balance]],0)</f>
        <v>0</v>
      </c>
      <c r="T1115" s="105">
        <f>IF(Table__192.168.1.150_Daily_Delinquency_With_Sectors[[#This Row],[Days in Arrears]] &gt; 90, Table__192.168.1.150_Daily_Delinquency_With_Sectors[[#This Row],[Outstanding Balance]],0)</f>
        <v>0</v>
      </c>
      <c r="U1115" s="109">
        <f>IF(Table__192.168.1.150_Daily_Delinquency_With_Sectors[[#This Row],[Days in Arrears]] &gt;= 1,1,0)</f>
        <v>0</v>
      </c>
      <c r="V1115" s="109">
        <f>IF(Table__192.168.1.150_Daily_Delinquency_With_Sectors[[#This Row],[Days in Arrears]] &gt; 30,1,0)</f>
        <v>0</v>
      </c>
      <c r="W1115" s="109">
        <f>IF(Table__192.168.1.150_Daily_Delinquency_With_Sectors[[#This Row],[Days in Arrears]] &gt; 90,1,0)</f>
        <v>0</v>
      </c>
    </row>
    <row r="1116" spans="1:23" x14ac:dyDescent="0.25">
      <c r="A1116" t="s">
        <v>3381</v>
      </c>
      <c r="B1116" t="s">
        <v>1279</v>
      </c>
      <c r="C1116">
        <v>2</v>
      </c>
      <c r="D1116" s="105">
        <v>2802990.9</v>
      </c>
      <c r="E1116" t="s">
        <v>2855</v>
      </c>
      <c r="F1116" s="105">
        <v>3723.74</v>
      </c>
      <c r="G1116" s="105">
        <v>3206750.74</v>
      </c>
      <c r="H1116" s="384">
        <v>42877.671345798612</v>
      </c>
      <c r="I1116" s="384">
        <v>43242</v>
      </c>
      <c r="J1116" t="s">
        <v>3382</v>
      </c>
      <c r="K1116" t="s">
        <v>1280</v>
      </c>
      <c r="L1116" t="s">
        <v>1280</v>
      </c>
      <c r="M1116">
        <v>201070</v>
      </c>
      <c r="N1116" t="s">
        <v>3370</v>
      </c>
      <c r="O1116" t="s">
        <v>44</v>
      </c>
      <c r="P1116" t="s">
        <v>75</v>
      </c>
      <c r="Q1116" t="s">
        <v>26</v>
      </c>
      <c r="R1116" s="105">
        <f>IF(Table__192.168.1.150_Daily_Delinquency_With_Sectors[[#This Row],[Days in Arrears]] &gt; 0, Table__192.168.1.150_Daily_Delinquency_With_Sectors[[#This Row],[Outstanding Balance]],0)</f>
        <v>2802990.9</v>
      </c>
      <c r="S1116" s="105">
        <f>IF(Table__192.168.1.150_Daily_Delinquency_With_Sectors[[#This Row],[Days in Arrears]] &gt; 30, Table__192.168.1.150_Daily_Delinquency_With_Sectors[[#This Row],[Outstanding Balance]],0)</f>
        <v>0</v>
      </c>
      <c r="T1116" s="105">
        <f>IF(Table__192.168.1.150_Daily_Delinquency_With_Sectors[[#This Row],[Days in Arrears]] &gt; 90, Table__192.168.1.150_Daily_Delinquency_With_Sectors[[#This Row],[Outstanding Balance]],0)</f>
        <v>0</v>
      </c>
      <c r="U1116" s="109">
        <f>IF(Table__192.168.1.150_Daily_Delinquency_With_Sectors[[#This Row],[Days in Arrears]] &gt;= 1,1,0)</f>
        <v>1</v>
      </c>
      <c r="V1116" s="109">
        <f>IF(Table__192.168.1.150_Daily_Delinquency_With_Sectors[[#This Row],[Days in Arrears]] &gt; 30,1,0)</f>
        <v>0</v>
      </c>
      <c r="W1116" s="109">
        <f>IF(Table__192.168.1.150_Daily_Delinquency_With_Sectors[[#This Row],[Days in Arrears]] &gt; 90,1,0)</f>
        <v>0</v>
      </c>
    </row>
    <row r="1117" spans="1:23" x14ac:dyDescent="0.25">
      <c r="A1117" t="s">
        <v>3377</v>
      </c>
      <c r="B1117" t="s">
        <v>1866</v>
      </c>
      <c r="C1117">
        <v>-28</v>
      </c>
      <c r="D1117" s="105">
        <v>3045935.73</v>
      </c>
      <c r="E1117" t="s">
        <v>2538</v>
      </c>
      <c r="F1117" s="105">
        <v>3722.81</v>
      </c>
      <c r="G1117" s="105">
        <v>3448551.7</v>
      </c>
      <c r="H1117" s="384">
        <v>42877.671679942127</v>
      </c>
      <c r="I1117" s="384">
        <v>43242</v>
      </c>
      <c r="J1117" t="s">
        <v>3378</v>
      </c>
      <c r="K1117" t="s">
        <v>1280</v>
      </c>
      <c r="L1117" t="s">
        <v>1280</v>
      </c>
      <c r="M1117">
        <v>201071</v>
      </c>
      <c r="N1117" t="s">
        <v>3371</v>
      </c>
      <c r="O1117" t="s">
        <v>25</v>
      </c>
      <c r="P1117" t="s">
        <v>26</v>
      </c>
      <c r="Q1117" t="s">
        <v>26</v>
      </c>
      <c r="R1117" s="105">
        <f>IF(Table__192.168.1.150_Daily_Delinquency_With_Sectors[[#This Row],[Days in Arrears]] &gt; 0, Table__192.168.1.150_Daily_Delinquency_With_Sectors[[#This Row],[Outstanding Balance]],0)</f>
        <v>0</v>
      </c>
      <c r="S1117" s="105">
        <f>IF(Table__192.168.1.150_Daily_Delinquency_With_Sectors[[#This Row],[Days in Arrears]] &gt; 30, Table__192.168.1.150_Daily_Delinquency_With_Sectors[[#This Row],[Outstanding Balance]],0)</f>
        <v>0</v>
      </c>
      <c r="T1117" s="105">
        <f>IF(Table__192.168.1.150_Daily_Delinquency_With_Sectors[[#This Row],[Days in Arrears]] &gt; 90, Table__192.168.1.150_Daily_Delinquency_With_Sectors[[#This Row],[Outstanding Balance]],0)</f>
        <v>0</v>
      </c>
      <c r="U1117" s="109">
        <f>IF(Table__192.168.1.150_Daily_Delinquency_With_Sectors[[#This Row],[Days in Arrears]] &gt;= 1,1,0)</f>
        <v>0</v>
      </c>
      <c r="V1117" s="109">
        <f>IF(Table__192.168.1.150_Daily_Delinquency_With_Sectors[[#This Row],[Days in Arrears]] &gt; 30,1,0)</f>
        <v>0</v>
      </c>
      <c r="W1117" s="109">
        <f>IF(Table__192.168.1.150_Daily_Delinquency_With_Sectors[[#This Row],[Days in Arrears]] &gt; 90,1,0)</f>
        <v>0</v>
      </c>
    </row>
    <row r="1118" spans="1:23" x14ac:dyDescent="0.25">
      <c r="A1118" t="s">
        <v>2777</v>
      </c>
      <c r="B1118" t="s">
        <v>1282</v>
      </c>
      <c r="C1118">
        <v>-28</v>
      </c>
      <c r="D1118" s="105">
        <v>2792805.38</v>
      </c>
      <c r="E1118" t="s">
        <v>3074</v>
      </c>
      <c r="F1118" s="105">
        <v>3723.74</v>
      </c>
      <c r="G1118" s="105">
        <v>3196565.22</v>
      </c>
      <c r="H1118" s="384">
        <v>42877.726153043979</v>
      </c>
      <c r="I1118" s="384">
        <v>43242</v>
      </c>
      <c r="J1118" t="s">
        <v>2778</v>
      </c>
      <c r="K1118" t="s">
        <v>1280</v>
      </c>
      <c r="L1118" t="s">
        <v>1280</v>
      </c>
      <c r="M1118">
        <v>201072</v>
      </c>
      <c r="N1118" t="s">
        <v>2771</v>
      </c>
      <c r="O1118" t="s">
        <v>25</v>
      </c>
      <c r="P1118" t="s">
        <v>88</v>
      </c>
      <c r="Q1118" t="s">
        <v>285</v>
      </c>
      <c r="R1118" s="105">
        <f>IF(Table__192.168.1.150_Daily_Delinquency_With_Sectors[[#This Row],[Days in Arrears]] &gt; 0, Table__192.168.1.150_Daily_Delinquency_With_Sectors[[#This Row],[Outstanding Balance]],0)</f>
        <v>0</v>
      </c>
      <c r="S1118" s="105">
        <f>IF(Table__192.168.1.150_Daily_Delinquency_With_Sectors[[#This Row],[Days in Arrears]] &gt; 30, Table__192.168.1.150_Daily_Delinquency_With_Sectors[[#This Row],[Outstanding Balance]],0)</f>
        <v>0</v>
      </c>
      <c r="T1118" s="105">
        <f>IF(Table__192.168.1.150_Daily_Delinquency_With_Sectors[[#This Row],[Days in Arrears]] &gt; 90, Table__192.168.1.150_Daily_Delinquency_With_Sectors[[#This Row],[Outstanding Balance]],0)</f>
        <v>0</v>
      </c>
      <c r="U1118" s="109">
        <f>IF(Table__192.168.1.150_Daily_Delinquency_With_Sectors[[#This Row],[Days in Arrears]] &gt;= 1,1,0)</f>
        <v>0</v>
      </c>
      <c r="V1118" s="109">
        <f>IF(Table__192.168.1.150_Daily_Delinquency_With_Sectors[[#This Row],[Days in Arrears]] &gt; 30,1,0)</f>
        <v>0</v>
      </c>
      <c r="W1118" s="109">
        <f>IF(Table__192.168.1.150_Daily_Delinquency_With_Sectors[[#This Row],[Days in Arrears]] &gt; 90,1,0)</f>
        <v>0</v>
      </c>
    </row>
    <row r="1119" spans="1:23" x14ac:dyDescent="0.25">
      <c r="A1119" t="s">
        <v>4827</v>
      </c>
      <c r="B1119" t="s">
        <v>1282</v>
      </c>
      <c r="C1119">
        <v>-28</v>
      </c>
      <c r="D1119" s="105">
        <v>2828221.1</v>
      </c>
      <c r="E1119" t="s">
        <v>1467</v>
      </c>
      <c r="F1119" s="105">
        <v>146047.62</v>
      </c>
      <c r="G1119" s="105">
        <v>3289985.68</v>
      </c>
      <c r="H1119" s="384">
        <v>42877.716931909723</v>
      </c>
      <c r="I1119" s="384">
        <v>43242</v>
      </c>
      <c r="J1119" t="s">
        <v>4828</v>
      </c>
      <c r="K1119" t="s">
        <v>1280</v>
      </c>
      <c r="L1119" t="s">
        <v>4829</v>
      </c>
      <c r="M1119">
        <v>201073</v>
      </c>
      <c r="N1119" t="s">
        <v>4826</v>
      </c>
      <c r="O1119" t="s">
        <v>25</v>
      </c>
      <c r="P1119" t="s">
        <v>88</v>
      </c>
      <c r="Q1119" t="s">
        <v>285</v>
      </c>
      <c r="R1119" s="105">
        <f>IF(Table__192.168.1.150_Daily_Delinquency_With_Sectors[[#This Row],[Days in Arrears]] &gt; 0, Table__192.168.1.150_Daily_Delinquency_With_Sectors[[#This Row],[Outstanding Balance]],0)</f>
        <v>0</v>
      </c>
      <c r="S1119" s="105">
        <f>IF(Table__192.168.1.150_Daily_Delinquency_With_Sectors[[#This Row],[Days in Arrears]] &gt; 30, Table__192.168.1.150_Daily_Delinquency_With_Sectors[[#This Row],[Outstanding Balance]],0)</f>
        <v>0</v>
      </c>
      <c r="T1119" s="105">
        <f>IF(Table__192.168.1.150_Daily_Delinquency_With_Sectors[[#This Row],[Days in Arrears]] &gt; 90, Table__192.168.1.150_Daily_Delinquency_With_Sectors[[#This Row],[Outstanding Balance]],0)</f>
        <v>0</v>
      </c>
      <c r="U1119" s="109">
        <f>IF(Table__192.168.1.150_Daily_Delinquency_With_Sectors[[#This Row],[Days in Arrears]] &gt;= 1,1,0)</f>
        <v>0</v>
      </c>
      <c r="V1119" s="109">
        <f>IF(Table__192.168.1.150_Daily_Delinquency_With_Sectors[[#This Row],[Days in Arrears]] &gt; 30,1,0)</f>
        <v>0</v>
      </c>
      <c r="W1119" s="109">
        <f>IF(Table__192.168.1.150_Daily_Delinquency_With_Sectors[[#This Row],[Days in Arrears]] &gt; 90,1,0)</f>
        <v>0</v>
      </c>
    </row>
    <row r="1120" spans="1:23" x14ac:dyDescent="0.25">
      <c r="A1120" t="s">
        <v>4839</v>
      </c>
      <c r="B1120" t="s">
        <v>1284</v>
      </c>
      <c r="C1120">
        <v>1</v>
      </c>
      <c r="D1120" s="105">
        <v>16372341.48</v>
      </c>
      <c r="E1120" t="s">
        <v>546</v>
      </c>
      <c r="F1120" s="105">
        <v>567419</v>
      </c>
      <c r="G1120" s="105">
        <v>22033691.949999999</v>
      </c>
      <c r="H1120" s="384">
        <v>42878.662317974537</v>
      </c>
      <c r="I1120" s="384">
        <v>43608</v>
      </c>
      <c r="J1120" t="s">
        <v>4840</v>
      </c>
      <c r="K1120" t="s">
        <v>1280</v>
      </c>
      <c r="L1120" t="s">
        <v>1280</v>
      </c>
      <c r="M1120">
        <v>201076</v>
      </c>
      <c r="N1120" t="s">
        <v>4833</v>
      </c>
      <c r="O1120" t="s">
        <v>44</v>
      </c>
      <c r="P1120" t="s">
        <v>75</v>
      </c>
      <c r="Q1120" t="s">
        <v>4834</v>
      </c>
      <c r="R1120" s="105">
        <f>IF(Table__192.168.1.150_Daily_Delinquency_With_Sectors[[#This Row],[Days in Arrears]] &gt; 0, Table__192.168.1.150_Daily_Delinquency_With_Sectors[[#This Row],[Outstanding Balance]],0)</f>
        <v>16372341.48</v>
      </c>
      <c r="S1120" s="105">
        <f>IF(Table__192.168.1.150_Daily_Delinquency_With_Sectors[[#This Row],[Days in Arrears]] &gt; 30, Table__192.168.1.150_Daily_Delinquency_With_Sectors[[#This Row],[Outstanding Balance]],0)</f>
        <v>0</v>
      </c>
      <c r="T1120" s="105">
        <f>IF(Table__192.168.1.150_Daily_Delinquency_With_Sectors[[#This Row],[Days in Arrears]] &gt; 90, Table__192.168.1.150_Daily_Delinquency_With_Sectors[[#This Row],[Outstanding Balance]],0)</f>
        <v>0</v>
      </c>
      <c r="U1120" s="109">
        <f>IF(Table__192.168.1.150_Daily_Delinquency_With_Sectors[[#This Row],[Days in Arrears]] &gt;= 1,1,0)</f>
        <v>1</v>
      </c>
      <c r="V1120" s="109">
        <f>IF(Table__192.168.1.150_Daily_Delinquency_With_Sectors[[#This Row],[Days in Arrears]] &gt; 30,1,0)</f>
        <v>0</v>
      </c>
      <c r="W1120" s="109">
        <f>IF(Table__192.168.1.150_Daily_Delinquency_With_Sectors[[#This Row],[Days in Arrears]] &gt; 90,1,0)</f>
        <v>0</v>
      </c>
    </row>
    <row r="1121" spans="1:23" x14ac:dyDescent="0.25">
      <c r="A1121" t="s">
        <v>4841</v>
      </c>
      <c r="B1121" t="s">
        <v>1283</v>
      </c>
      <c r="C1121">
        <v>-29</v>
      </c>
      <c r="D1121" s="105">
        <v>21768893.989999998</v>
      </c>
      <c r="E1121" t="s">
        <v>86</v>
      </c>
      <c r="F1121" s="105">
        <v>751088.66</v>
      </c>
      <c r="G1121" s="105">
        <v>24110900.510000002</v>
      </c>
      <c r="H1121" s="384">
        <v>42878.594531747687</v>
      </c>
      <c r="I1121" s="384">
        <v>43243</v>
      </c>
      <c r="J1121" t="s">
        <v>4842</v>
      </c>
      <c r="K1121" t="s">
        <v>4843</v>
      </c>
      <c r="L1121" t="s">
        <v>1280</v>
      </c>
      <c r="M1121">
        <v>201077</v>
      </c>
      <c r="N1121" t="s">
        <v>4830</v>
      </c>
      <c r="O1121" t="s">
        <v>27</v>
      </c>
      <c r="P1121" t="s">
        <v>116</v>
      </c>
      <c r="Q1121" t="s">
        <v>1830</v>
      </c>
      <c r="R1121" s="105">
        <f>IF(Table__192.168.1.150_Daily_Delinquency_With_Sectors[[#This Row],[Days in Arrears]] &gt; 0, Table__192.168.1.150_Daily_Delinquency_With_Sectors[[#This Row],[Outstanding Balance]],0)</f>
        <v>0</v>
      </c>
      <c r="S1121" s="105">
        <f>IF(Table__192.168.1.150_Daily_Delinquency_With_Sectors[[#This Row],[Days in Arrears]] &gt; 30, Table__192.168.1.150_Daily_Delinquency_With_Sectors[[#This Row],[Outstanding Balance]],0)</f>
        <v>0</v>
      </c>
      <c r="T1121" s="105">
        <f>IF(Table__192.168.1.150_Daily_Delinquency_With_Sectors[[#This Row],[Days in Arrears]] &gt; 90, Table__192.168.1.150_Daily_Delinquency_With_Sectors[[#This Row],[Outstanding Balance]],0)</f>
        <v>0</v>
      </c>
      <c r="U1121" s="109">
        <f>IF(Table__192.168.1.150_Daily_Delinquency_With_Sectors[[#This Row],[Days in Arrears]] &gt;= 1,1,0)</f>
        <v>0</v>
      </c>
      <c r="V1121" s="109">
        <f>IF(Table__192.168.1.150_Daily_Delinquency_With_Sectors[[#This Row],[Days in Arrears]] &gt; 30,1,0)</f>
        <v>0</v>
      </c>
      <c r="W1121" s="109">
        <f>IF(Table__192.168.1.150_Daily_Delinquency_With_Sectors[[#This Row],[Days in Arrears]] &gt; 90,1,0)</f>
        <v>0</v>
      </c>
    </row>
    <row r="1122" spans="1:23" x14ac:dyDescent="0.25">
      <c r="A1122" t="s">
        <v>4847</v>
      </c>
      <c r="B1122" t="s">
        <v>1284</v>
      </c>
      <c r="C1122">
        <v>-7</v>
      </c>
      <c r="D1122" s="105">
        <v>21438371.149999999</v>
      </c>
      <c r="E1122" t="s">
        <v>1447</v>
      </c>
      <c r="F1122" s="105">
        <v>524049.07</v>
      </c>
      <c r="G1122" s="105">
        <v>29282936.98</v>
      </c>
      <c r="H1122" s="384">
        <v>42879.498819872686</v>
      </c>
      <c r="I1122" s="384">
        <v>43617</v>
      </c>
      <c r="J1122" t="s">
        <v>4848</v>
      </c>
      <c r="K1122" t="s">
        <v>1280</v>
      </c>
      <c r="L1122" t="s">
        <v>1280</v>
      </c>
      <c r="M1122">
        <v>201078</v>
      </c>
      <c r="N1122" t="s">
        <v>4846</v>
      </c>
      <c r="O1122" t="s">
        <v>28</v>
      </c>
      <c r="P1122" t="s">
        <v>26</v>
      </c>
      <c r="Q1122" t="s">
        <v>26</v>
      </c>
      <c r="R1122" s="105">
        <f>IF(Table__192.168.1.150_Daily_Delinquency_With_Sectors[[#This Row],[Days in Arrears]] &gt; 0, Table__192.168.1.150_Daily_Delinquency_With_Sectors[[#This Row],[Outstanding Balance]],0)</f>
        <v>0</v>
      </c>
      <c r="S1122" s="105">
        <f>IF(Table__192.168.1.150_Daily_Delinquency_With_Sectors[[#This Row],[Days in Arrears]] &gt; 30, Table__192.168.1.150_Daily_Delinquency_With_Sectors[[#This Row],[Outstanding Balance]],0)</f>
        <v>0</v>
      </c>
      <c r="T1122" s="105">
        <f>IF(Table__192.168.1.150_Daily_Delinquency_With_Sectors[[#This Row],[Days in Arrears]] &gt; 90, Table__192.168.1.150_Daily_Delinquency_With_Sectors[[#This Row],[Outstanding Balance]],0)</f>
        <v>0</v>
      </c>
      <c r="U1122" s="109">
        <f>IF(Table__192.168.1.150_Daily_Delinquency_With_Sectors[[#This Row],[Days in Arrears]] &gt;= 1,1,0)</f>
        <v>0</v>
      </c>
      <c r="V1122" s="109">
        <f>IF(Table__192.168.1.150_Daily_Delinquency_With_Sectors[[#This Row],[Days in Arrears]] &gt; 30,1,0)</f>
        <v>0</v>
      </c>
      <c r="W1122" s="109">
        <f>IF(Table__192.168.1.150_Daily_Delinquency_With_Sectors[[#This Row],[Days in Arrears]] &gt; 90,1,0)</f>
        <v>0</v>
      </c>
    </row>
    <row r="1123" spans="1:23" x14ac:dyDescent="0.25">
      <c r="A1123" t="s">
        <v>2399</v>
      </c>
      <c r="B1123" t="s">
        <v>1866</v>
      </c>
      <c r="C1123">
        <v>0</v>
      </c>
      <c r="D1123" s="105">
        <v>3810143.15</v>
      </c>
      <c r="E1123" t="s">
        <v>1925</v>
      </c>
      <c r="F1123" s="105">
        <v>135048.41</v>
      </c>
      <c r="G1123" s="105">
        <v>4389065.82</v>
      </c>
      <c r="H1123" s="384">
        <v>42879.701156284726</v>
      </c>
      <c r="I1123" s="384">
        <v>43244</v>
      </c>
      <c r="J1123" t="s">
        <v>2400</v>
      </c>
      <c r="K1123" t="s">
        <v>1280</v>
      </c>
      <c r="L1123" t="s">
        <v>1280</v>
      </c>
      <c r="M1123">
        <v>201079</v>
      </c>
      <c r="N1123" t="s">
        <v>2385</v>
      </c>
      <c r="O1123" t="s">
        <v>25</v>
      </c>
      <c r="P1123" t="s">
        <v>88</v>
      </c>
      <c r="Q1123" t="s">
        <v>26</v>
      </c>
      <c r="R1123" s="105">
        <f>IF(Table__192.168.1.150_Daily_Delinquency_With_Sectors[[#This Row],[Days in Arrears]] &gt; 0, Table__192.168.1.150_Daily_Delinquency_With_Sectors[[#This Row],[Outstanding Balance]],0)</f>
        <v>0</v>
      </c>
      <c r="S1123" s="105">
        <f>IF(Table__192.168.1.150_Daily_Delinquency_With_Sectors[[#This Row],[Days in Arrears]] &gt; 30, Table__192.168.1.150_Daily_Delinquency_With_Sectors[[#This Row],[Outstanding Balance]],0)</f>
        <v>0</v>
      </c>
      <c r="T1123" s="105">
        <f>IF(Table__192.168.1.150_Daily_Delinquency_With_Sectors[[#This Row],[Days in Arrears]] &gt; 90, Table__192.168.1.150_Daily_Delinquency_With_Sectors[[#This Row],[Outstanding Balance]],0)</f>
        <v>0</v>
      </c>
      <c r="U1123" s="109">
        <f>IF(Table__192.168.1.150_Daily_Delinquency_With_Sectors[[#This Row],[Days in Arrears]] &gt;= 1,1,0)</f>
        <v>0</v>
      </c>
      <c r="V1123" s="109">
        <f>IF(Table__192.168.1.150_Daily_Delinquency_With_Sectors[[#This Row],[Days in Arrears]] &gt; 30,1,0)</f>
        <v>0</v>
      </c>
      <c r="W1123" s="109">
        <f>IF(Table__192.168.1.150_Daily_Delinquency_With_Sectors[[#This Row],[Days in Arrears]] &gt; 90,1,0)</f>
        <v>0</v>
      </c>
    </row>
    <row r="1124" spans="1:23" x14ac:dyDescent="0.25">
      <c r="A1124" t="s">
        <v>2605</v>
      </c>
      <c r="B1124" t="s">
        <v>1866</v>
      </c>
      <c r="C1124">
        <v>0</v>
      </c>
      <c r="D1124" s="105">
        <v>4434685.3499999996</v>
      </c>
      <c r="E1124" t="s">
        <v>963</v>
      </c>
      <c r="F1124" s="105">
        <v>157184.95999999999</v>
      </c>
      <c r="G1124" s="105">
        <v>5108502.53</v>
      </c>
      <c r="H1124" s="384">
        <v>42881.499312233798</v>
      </c>
      <c r="I1124" s="384">
        <v>43244</v>
      </c>
      <c r="J1124" t="s">
        <v>2606</v>
      </c>
      <c r="K1124" t="s">
        <v>1280</v>
      </c>
      <c r="L1124" t="s">
        <v>1280</v>
      </c>
      <c r="M1124">
        <v>201080</v>
      </c>
      <c r="N1124" t="s">
        <v>2592</v>
      </c>
      <c r="O1124" t="s">
        <v>25</v>
      </c>
      <c r="P1124" t="s">
        <v>26</v>
      </c>
      <c r="Q1124" t="s">
        <v>26</v>
      </c>
      <c r="R1124" s="105">
        <f>IF(Table__192.168.1.150_Daily_Delinquency_With_Sectors[[#This Row],[Days in Arrears]] &gt; 0, Table__192.168.1.150_Daily_Delinquency_With_Sectors[[#This Row],[Outstanding Balance]],0)</f>
        <v>0</v>
      </c>
      <c r="S1124" s="105">
        <f>IF(Table__192.168.1.150_Daily_Delinquency_With_Sectors[[#This Row],[Days in Arrears]] &gt; 30, Table__192.168.1.150_Daily_Delinquency_With_Sectors[[#This Row],[Outstanding Balance]],0)</f>
        <v>0</v>
      </c>
      <c r="T1124" s="105">
        <f>IF(Table__192.168.1.150_Daily_Delinquency_With_Sectors[[#This Row],[Days in Arrears]] &gt; 90, Table__192.168.1.150_Daily_Delinquency_With_Sectors[[#This Row],[Outstanding Balance]],0)</f>
        <v>0</v>
      </c>
      <c r="U1124" s="109">
        <f>IF(Table__192.168.1.150_Daily_Delinquency_With_Sectors[[#This Row],[Days in Arrears]] &gt;= 1,1,0)</f>
        <v>0</v>
      </c>
      <c r="V1124" s="109">
        <f>IF(Table__192.168.1.150_Daily_Delinquency_With_Sectors[[#This Row],[Days in Arrears]] &gt; 30,1,0)</f>
        <v>0</v>
      </c>
      <c r="W1124" s="109">
        <f>IF(Table__192.168.1.150_Daily_Delinquency_With_Sectors[[#This Row],[Days in Arrears]] &gt; 90,1,0)</f>
        <v>0</v>
      </c>
    </row>
    <row r="1125" spans="1:23" x14ac:dyDescent="0.25">
      <c r="A1125" t="s">
        <v>4851</v>
      </c>
      <c r="B1125" t="s">
        <v>1282</v>
      </c>
      <c r="C1125">
        <v>-7</v>
      </c>
      <c r="D1125" s="105">
        <v>3249702.35</v>
      </c>
      <c r="E1125" t="s">
        <v>4685</v>
      </c>
      <c r="F1125" s="105">
        <v>107240.18</v>
      </c>
      <c r="G1125" s="105">
        <v>3860354.83</v>
      </c>
      <c r="H1125" s="384">
        <v>42882.457788043983</v>
      </c>
      <c r="I1125" s="384">
        <v>43252</v>
      </c>
      <c r="J1125" t="s">
        <v>4852</v>
      </c>
      <c r="K1125" t="s">
        <v>1280</v>
      </c>
      <c r="L1125" t="s">
        <v>4853</v>
      </c>
      <c r="M1125">
        <v>201083</v>
      </c>
      <c r="N1125" t="s">
        <v>4849</v>
      </c>
      <c r="O1125" t="s">
        <v>25</v>
      </c>
      <c r="P1125" t="s">
        <v>26</v>
      </c>
      <c r="Q1125" t="s">
        <v>26</v>
      </c>
      <c r="R1125" s="105">
        <f>IF(Table__192.168.1.150_Daily_Delinquency_With_Sectors[[#This Row],[Days in Arrears]] &gt; 0, Table__192.168.1.150_Daily_Delinquency_With_Sectors[[#This Row],[Outstanding Balance]],0)</f>
        <v>0</v>
      </c>
      <c r="S1125" s="105">
        <f>IF(Table__192.168.1.150_Daily_Delinquency_With_Sectors[[#This Row],[Days in Arrears]] &gt; 30, Table__192.168.1.150_Daily_Delinquency_With_Sectors[[#This Row],[Outstanding Balance]],0)</f>
        <v>0</v>
      </c>
      <c r="T1125" s="105">
        <f>IF(Table__192.168.1.150_Daily_Delinquency_With_Sectors[[#This Row],[Days in Arrears]] &gt; 90, Table__192.168.1.150_Daily_Delinquency_With_Sectors[[#This Row],[Outstanding Balance]],0)</f>
        <v>0</v>
      </c>
      <c r="U1125" s="109">
        <f>IF(Table__192.168.1.150_Daily_Delinquency_With_Sectors[[#This Row],[Days in Arrears]] &gt;= 1,1,0)</f>
        <v>0</v>
      </c>
      <c r="V1125" s="109">
        <f>IF(Table__192.168.1.150_Daily_Delinquency_With_Sectors[[#This Row],[Days in Arrears]] &gt; 30,1,0)</f>
        <v>0</v>
      </c>
      <c r="W1125" s="109">
        <f>IF(Table__192.168.1.150_Daily_Delinquency_With_Sectors[[#This Row],[Days in Arrears]] &gt; 90,1,0)</f>
        <v>0</v>
      </c>
    </row>
    <row r="1126" spans="1:23" x14ac:dyDescent="0.25">
      <c r="A1126" t="s">
        <v>4855</v>
      </c>
      <c r="B1126" t="s">
        <v>1283</v>
      </c>
      <c r="C1126">
        <v>23</v>
      </c>
      <c r="D1126" s="105">
        <v>34790329.420000002</v>
      </c>
      <c r="E1126" t="s">
        <v>491</v>
      </c>
      <c r="F1126" s="105">
        <v>849471.07</v>
      </c>
      <c r="G1126" s="105">
        <v>39575602.979999997</v>
      </c>
      <c r="H1126" s="384">
        <v>42884.590975694446</v>
      </c>
      <c r="I1126" s="384">
        <v>43252</v>
      </c>
      <c r="J1126" t="s">
        <v>4856</v>
      </c>
      <c r="K1126" t="s">
        <v>1280</v>
      </c>
      <c r="L1126" t="s">
        <v>1280</v>
      </c>
      <c r="M1126">
        <v>201084</v>
      </c>
      <c r="N1126" t="s">
        <v>4854</v>
      </c>
      <c r="O1126" t="s">
        <v>27</v>
      </c>
      <c r="P1126" t="s">
        <v>81</v>
      </c>
      <c r="Q1126" t="s">
        <v>4000</v>
      </c>
      <c r="R1126" s="105">
        <f>IF(Table__192.168.1.150_Daily_Delinquency_With_Sectors[[#This Row],[Days in Arrears]] &gt; 0, Table__192.168.1.150_Daily_Delinquency_With_Sectors[[#This Row],[Outstanding Balance]],0)</f>
        <v>34790329.420000002</v>
      </c>
      <c r="S1126" s="105">
        <f>IF(Table__192.168.1.150_Daily_Delinquency_With_Sectors[[#This Row],[Days in Arrears]] &gt; 30, Table__192.168.1.150_Daily_Delinquency_With_Sectors[[#This Row],[Outstanding Balance]],0)</f>
        <v>0</v>
      </c>
      <c r="T1126" s="105">
        <f>IF(Table__192.168.1.150_Daily_Delinquency_With_Sectors[[#This Row],[Days in Arrears]] &gt; 90, Table__192.168.1.150_Daily_Delinquency_With_Sectors[[#This Row],[Outstanding Balance]],0)</f>
        <v>0</v>
      </c>
      <c r="U1126" s="109">
        <f>IF(Table__192.168.1.150_Daily_Delinquency_With_Sectors[[#This Row],[Days in Arrears]] &gt;= 1,1,0)</f>
        <v>1</v>
      </c>
      <c r="V1126" s="109">
        <f>IF(Table__192.168.1.150_Daily_Delinquency_With_Sectors[[#This Row],[Days in Arrears]] &gt; 30,1,0)</f>
        <v>0</v>
      </c>
      <c r="W1126" s="109">
        <f>IF(Table__192.168.1.150_Daily_Delinquency_With_Sectors[[#This Row],[Days in Arrears]] &gt; 90,1,0)</f>
        <v>0</v>
      </c>
    </row>
    <row r="1127" spans="1:23" x14ac:dyDescent="0.25">
      <c r="A1127" t="s">
        <v>3257</v>
      </c>
      <c r="B1127" t="s">
        <v>1866</v>
      </c>
      <c r="C1127">
        <v>23</v>
      </c>
      <c r="D1127" s="105">
        <v>6370204.4500000002</v>
      </c>
      <c r="E1127" t="s">
        <v>1925</v>
      </c>
      <c r="F1127" s="105">
        <v>170952.17</v>
      </c>
      <c r="G1127" s="105">
        <v>7336213.1500000004</v>
      </c>
      <c r="H1127" s="384">
        <v>42885.419893831022</v>
      </c>
      <c r="I1127" s="384">
        <v>43252</v>
      </c>
      <c r="J1127" t="s">
        <v>3258</v>
      </c>
      <c r="K1127" t="s">
        <v>1280</v>
      </c>
      <c r="L1127" t="s">
        <v>1280</v>
      </c>
      <c r="M1127">
        <v>201085</v>
      </c>
      <c r="N1127" t="s">
        <v>3256</v>
      </c>
      <c r="O1127" t="s">
        <v>25</v>
      </c>
      <c r="P1127" t="s">
        <v>101</v>
      </c>
      <c r="Q1127" t="s">
        <v>95</v>
      </c>
      <c r="R1127" s="105">
        <f>IF(Table__192.168.1.150_Daily_Delinquency_With_Sectors[[#This Row],[Days in Arrears]] &gt; 0, Table__192.168.1.150_Daily_Delinquency_With_Sectors[[#This Row],[Outstanding Balance]],0)</f>
        <v>6370204.4500000002</v>
      </c>
      <c r="S1127" s="105">
        <f>IF(Table__192.168.1.150_Daily_Delinquency_With_Sectors[[#This Row],[Days in Arrears]] &gt; 30, Table__192.168.1.150_Daily_Delinquency_With_Sectors[[#This Row],[Outstanding Balance]],0)</f>
        <v>0</v>
      </c>
      <c r="T1127" s="105">
        <f>IF(Table__192.168.1.150_Daily_Delinquency_With_Sectors[[#This Row],[Days in Arrears]] &gt; 90, Table__192.168.1.150_Daily_Delinquency_With_Sectors[[#This Row],[Outstanding Balance]],0)</f>
        <v>0</v>
      </c>
      <c r="U1127" s="109">
        <f>IF(Table__192.168.1.150_Daily_Delinquency_With_Sectors[[#This Row],[Days in Arrears]] &gt;= 1,1,0)</f>
        <v>1</v>
      </c>
      <c r="V1127" s="109">
        <f>IF(Table__192.168.1.150_Daily_Delinquency_With_Sectors[[#This Row],[Days in Arrears]] &gt; 30,1,0)</f>
        <v>0</v>
      </c>
      <c r="W1127" s="109">
        <f>IF(Table__192.168.1.150_Daily_Delinquency_With_Sectors[[#This Row],[Days in Arrears]] &gt; 90,1,0)</f>
        <v>0</v>
      </c>
    </row>
    <row r="1128" spans="1:23" x14ac:dyDescent="0.25">
      <c r="A1128" t="s">
        <v>4858</v>
      </c>
      <c r="B1128" t="s">
        <v>1282</v>
      </c>
      <c r="C1128">
        <v>113</v>
      </c>
      <c r="D1128" s="105">
        <v>2557029.9500000002</v>
      </c>
      <c r="E1128" t="s">
        <v>2538</v>
      </c>
      <c r="F1128" s="105">
        <v>203878.2</v>
      </c>
      <c r="G1128" s="105">
        <v>2909427.25</v>
      </c>
      <c r="H1128" s="384">
        <v>42885.641928391204</v>
      </c>
      <c r="I1128" s="384">
        <v>43070</v>
      </c>
      <c r="J1128" t="s">
        <v>4859</v>
      </c>
      <c r="K1128" t="s">
        <v>1280</v>
      </c>
      <c r="L1128" t="s">
        <v>4860</v>
      </c>
      <c r="M1128">
        <v>201087</v>
      </c>
      <c r="N1128" t="s">
        <v>4857</v>
      </c>
      <c r="O1128" t="s">
        <v>25</v>
      </c>
      <c r="P1128" t="s">
        <v>26</v>
      </c>
      <c r="Q1128" t="s">
        <v>26</v>
      </c>
      <c r="R1128" s="105">
        <f>IF(Table__192.168.1.150_Daily_Delinquency_With_Sectors[[#This Row],[Days in Arrears]] &gt; 0, Table__192.168.1.150_Daily_Delinquency_With_Sectors[[#This Row],[Outstanding Balance]],0)</f>
        <v>2557029.9500000002</v>
      </c>
      <c r="S1128" s="105">
        <f>IF(Table__192.168.1.150_Daily_Delinquency_With_Sectors[[#This Row],[Days in Arrears]] &gt; 30, Table__192.168.1.150_Daily_Delinquency_With_Sectors[[#This Row],[Outstanding Balance]],0)</f>
        <v>2557029.9500000002</v>
      </c>
      <c r="T1128" s="105">
        <f>IF(Table__192.168.1.150_Daily_Delinquency_With_Sectors[[#This Row],[Days in Arrears]] &gt; 90, Table__192.168.1.150_Daily_Delinquency_With_Sectors[[#This Row],[Outstanding Balance]],0)</f>
        <v>2557029.9500000002</v>
      </c>
      <c r="U1128" s="109">
        <f>IF(Table__192.168.1.150_Daily_Delinquency_With_Sectors[[#This Row],[Days in Arrears]] &gt;= 1,1,0)</f>
        <v>1</v>
      </c>
      <c r="V1128" s="109">
        <f>IF(Table__192.168.1.150_Daily_Delinquency_With_Sectors[[#This Row],[Days in Arrears]] &gt; 30,1,0)</f>
        <v>1</v>
      </c>
      <c r="W1128" s="109">
        <f>IF(Table__192.168.1.150_Daily_Delinquency_With_Sectors[[#This Row],[Days in Arrears]] &gt; 90,1,0)</f>
        <v>1</v>
      </c>
    </row>
    <row r="1129" spans="1:23" x14ac:dyDescent="0.25">
      <c r="A1129" t="s">
        <v>2397</v>
      </c>
      <c r="B1129" t="s">
        <v>1282</v>
      </c>
      <c r="C1129">
        <v>23</v>
      </c>
      <c r="D1129" s="105">
        <v>4318653.4000000004</v>
      </c>
      <c r="E1129" t="s">
        <v>2855</v>
      </c>
      <c r="F1129" s="105">
        <v>269594.64</v>
      </c>
      <c r="G1129" s="105">
        <v>4758984.09</v>
      </c>
      <c r="H1129" s="384">
        <v>42885.676829479169</v>
      </c>
      <c r="I1129" s="384">
        <v>43132</v>
      </c>
      <c r="J1129" t="s">
        <v>2398</v>
      </c>
      <c r="K1129" t="s">
        <v>1280</v>
      </c>
      <c r="L1129" t="s">
        <v>1280</v>
      </c>
      <c r="M1129">
        <v>201088</v>
      </c>
      <c r="N1129" t="s">
        <v>2383</v>
      </c>
      <c r="O1129" t="s">
        <v>46</v>
      </c>
      <c r="P1129" t="s">
        <v>46</v>
      </c>
      <c r="Q1129" t="s">
        <v>112</v>
      </c>
      <c r="R1129" s="105">
        <f>IF(Table__192.168.1.150_Daily_Delinquency_With_Sectors[[#This Row],[Days in Arrears]] &gt; 0, Table__192.168.1.150_Daily_Delinquency_With_Sectors[[#This Row],[Outstanding Balance]],0)</f>
        <v>4318653.4000000004</v>
      </c>
      <c r="S1129" s="105">
        <f>IF(Table__192.168.1.150_Daily_Delinquency_With_Sectors[[#This Row],[Days in Arrears]] &gt; 30, Table__192.168.1.150_Daily_Delinquency_With_Sectors[[#This Row],[Outstanding Balance]],0)</f>
        <v>0</v>
      </c>
      <c r="T1129" s="105">
        <f>IF(Table__192.168.1.150_Daily_Delinquency_With_Sectors[[#This Row],[Days in Arrears]] &gt; 90, Table__192.168.1.150_Daily_Delinquency_With_Sectors[[#This Row],[Outstanding Balance]],0)</f>
        <v>0</v>
      </c>
      <c r="U1129" s="109">
        <f>IF(Table__192.168.1.150_Daily_Delinquency_With_Sectors[[#This Row],[Days in Arrears]] &gt;= 1,1,0)</f>
        <v>1</v>
      </c>
      <c r="V1129" s="109">
        <f>IF(Table__192.168.1.150_Daily_Delinquency_With_Sectors[[#This Row],[Days in Arrears]] &gt; 30,1,0)</f>
        <v>0</v>
      </c>
      <c r="W1129" s="109">
        <f>IF(Table__192.168.1.150_Daily_Delinquency_With_Sectors[[#This Row],[Days in Arrears]] &gt; 90,1,0)</f>
        <v>0</v>
      </c>
    </row>
    <row r="1130" spans="1:23" x14ac:dyDescent="0.25">
      <c r="A1130" t="s">
        <v>2981</v>
      </c>
      <c r="B1130" t="s">
        <v>1284</v>
      </c>
      <c r="C1130">
        <v>-7</v>
      </c>
      <c r="D1130" s="105">
        <v>8146093.7300000004</v>
      </c>
      <c r="E1130" t="s">
        <v>1667</v>
      </c>
      <c r="F1130" s="105">
        <v>179214.06</v>
      </c>
      <c r="G1130" s="105">
        <v>9152647.4800000004</v>
      </c>
      <c r="H1130" s="384">
        <v>42886.48187596065</v>
      </c>
      <c r="I1130" s="384">
        <v>43252</v>
      </c>
      <c r="J1130" t="s">
        <v>2982</v>
      </c>
      <c r="K1130" t="s">
        <v>1280</v>
      </c>
      <c r="L1130" t="s">
        <v>1280</v>
      </c>
      <c r="M1130">
        <v>201089</v>
      </c>
      <c r="N1130" t="s">
        <v>2980</v>
      </c>
      <c r="O1130" t="s">
        <v>44</v>
      </c>
      <c r="P1130" t="s">
        <v>75</v>
      </c>
      <c r="Q1130" t="s">
        <v>1442</v>
      </c>
      <c r="R1130" s="105">
        <f>IF(Table__192.168.1.150_Daily_Delinquency_With_Sectors[[#This Row],[Days in Arrears]] &gt; 0, Table__192.168.1.150_Daily_Delinquency_With_Sectors[[#This Row],[Outstanding Balance]],0)</f>
        <v>0</v>
      </c>
      <c r="S1130" s="105">
        <f>IF(Table__192.168.1.150_Daily_Delinquency_With_Sectors[[#This Row],[Days in Arrears]] &gt; 30, Table__192.168.1.150_Daily_Delinquency_With_Sectors[[#This Row],[Outstanding Balance]],0)</f>
        <v>0</v>
      </c>
      <c r="T1130" s="105">
        <f>IF(Table__192.168.1.150_Daily_Delinquency_With_Sectors[[#This Row],[Days in Arrears]] &gt; 90, Table__192.168.1.150_Daily_Delinquency_With_Sectors[[#This Row],[Outstanding Balance]],0)</f>
        <v>0</v>
      </c>
      <c r="U1130" s="109">
        <f>IF(Table__192.168.1.150_Daily_Delinquency_With_Sectors[[#This Row],[Days in Arrears]] &gt;= 1,1,0)</f>
        <v>0</v>
      </c>
      <c r="V1130" s="109">
        <f>IF(Table__192.168.1.150_Daily_Delinquency_With_Sectors[[#This Row],[Days in Arrears]] &gt; 30,1,0)</f>
        <v>0</v>
      </c>
      <c r="W1130" s="109">
        <f>IF(Table__192.168.1.150_Daily_Delinquency_With_Sectors[[#This Row],[Days in Arrears]] &gt; 90,1,0)</f>
        <v>0</v>
      </c>
    </row>
    <row r="1131" spans="1:23" x14ac:dyDescent="0.25">
      <c r="A1131" t="s">
        <v>1732</v>
      </c>
      <c r="B1131" t="s">
        <v>1284</v>
      </c>
      <c r="C1131">
        <v>-7</v>
      </c>
      <c r="D1131" s="105">
        <v>33864178.909999996</v>
      </c>
      <c r="E1131" t="s">
        <v>1925</v>
      </c>
      <c r="F1131" s="105">
        <v>745011.94</v>
      </c>
      <c r="G1131" s="105">
        <v>44919605.109999999</v>
      </c>
      <c r="H1131" s="384">
        <v>42886.557222766205</v>
      </c>
      <c r="I1131" s="384">
        <v>43617</v>
      </c>
      <c r="J1131" t="s">
        <v>1734</v>
      </c>
      <c r="K1131" t="s">
        <v>1280</v>
      </c>
      <c r="L1131" t="s">
        <v>1280</v>
      </c>
      <c r="M1131">
        <v>201091</v>
      </c>
      <c r="N1131" t="s">
        <v>1731</v>
      </c>
      <c r="O1131" t="s">
        <v>44</v>
      </c>
      <c r="P1131" t="s">
        <v>75</v>
      </c>
      <c r="Q1131" t="s">
        <v>1442</v>
      </c>
      <c r="R1131" s="105">
        <f>IF(Table__192.168.1.150_Daily_Delinquency_With_Sectors[[#This Row],[Days in Arrears]] &gt; 0, Table__192.168.1.150_Daily_Delinquency_With_Sectors[[#This Row],[Outstanding Balance]],0)</f>
        <v>0</v>
      </c>
      <c r="S1131" s="105">
        <f>IF(Table__192.168.1.150_Daily_Delinquency_With_Sectors[[#This Row],[Days in Arrears]] &gt; 30, Table__192.168.1.150_Daily_Delinquency_With_Sectors[[#This Row],[Outstanding Balance]],0)</f>
        <v>0</v>
      </c>
      <c r="T1131" s="105">
        <f>IF(Table__192.168.1.150_Daily_Delinquency_With_Sectors[[#This Row],[Days in Arrears]] &gt; 90, Table__192.168.1.150_Daily_Delinquency_With_Sectors[[#This Row],[Outstanding Balance]],0)</f>
        <v>0</v>
      </c>
      <c r="U1131" s="109">
        <f>IF(Table__192.168.1.150_Daily_Delinquency_With_Sectors[[#This Row],[Days in Arrears]] &gt;= 1,1,0)</f>
        <v>0</v>
      </c>
      <c r="V1131" s="109">
        <f>IF(Table__192.168.1.150_Daily_Delinquency_With_Sectors[[#This Row],[Days in Arrears]] &gt; 30,1,0)</f>
        <v>0</v>
      </c>
      <c r="W1131" s="109">
        <f>IF(Table__192.168.1.150_Daily_Delinquency_With_Sectors[[#This Row],[Days in Arrears]] &gt; 90,1,0)</f>
        <v>0</v>
      </c>
    </row>
    <row r="1132" spans="1:23" x14ac:dyDescent="0.25">
      <c r="A1132" t="s">
        <v>2734</v>
      </c>
      <c r="B1132" t="s">
        <v>1282</v>
      </c>
      <c r="C1132">
        <v>-8</v>
      </c>
      <c r="D1132" s="105">
        <v>2558127.87</v>
      </c>
      <c r="E1132" t="s">
        <v>1448</v>
      </c>
      <c r="F1132" s="105">
        <v>71627.58</v>
      </c>
      <c r="G1132" s="105">
        <v>2983460.84</v>
      </c>
      <c r="H1132" s="384">
        <v>42888.62445142361</v>
      </c>
      <c r="I1132" s="384">
        <v>43253</v>
      </c>
      <c r="J1132" t="s">
        <v>2735</v>
      </c>
      <c r="K1132" t="s">
        <v>1280</v>
      </c>
      <c r="L1132" t="s">
        <v>1280</v>
      </c>
      <c r="M1132">
        <v>201092</v>
      </c>
      <c r="N1132" t="s">
        <v>2732</v>
      </c>
      <c r="O1132" t="s">
        <v>27</v>
      </c>
      <c r="P1132" t="s">
        <v>81</v>
      </c>
      <c r="Q1132" t="s">
        <v>26</v>
      </c>
      <c r="R1132" s="105">
        <f>IF(Table__192.168.1.150_Daily_Delinquency_With_Sectors[[#This Row],[Days in Arrears]] &gt; 0, Table__192.168.1.150_Daily_Delinquency_With_Sectors[[#This Row],[Outstanding Balance]],0)</f>
        <v>0</v>
      </c>
      <c r="S1132" s="105">
        <f>IF(Table__192.168.1.150_Daily_Delinquency_With_Sectors[[#This Row],[Days in Arrears]] &gt; 30, Table__192.168.1.150_Daily_Delinquency_With_Sectors[[#This Row],[Outstanding Balance]],0)</f>
        <v>0</v>
      </c>
      <c r="T1132" s="105">
        <f>IF(Table__192.168.1.150_Daily_Delinquency_With_Sectors[[#This Row],[Days in Arrears]] &gt; 90, Table__192.168.1.150_Daily_Delinquency_With_Sectors[[#This Row],[Outstanding Balance]],0)</f>
        <v>0</v>
      </c>
      <c r="U1132" s="109">
        <f>IF(Table__192.168.1.150_Daily_Delinquency_With_Sectors[[#This Row],[Days in Arrears]] &gt;= 1,1,0)</f>
        <v>0</v>
      </c>
      <c r="V1132" s="109">
        <f>IF(Table__192.168.1.150_Daily_Delinquency_With_Sectors[[#This Row],[Days in Arrears]] &gt; 30,1,0)</f>
        <v>0</v>
      </c>
      <c r="W1132" s="109">
        <f>IF(Table__192.168.1.150_Daily_Delinquency_With_Sectors[[#This Row],[Days in Arrears]] &gt; 90,1,0)</f>
        <v>0</v>
      </c>
    </row>
    <row r="1133" spans="1:23" x14ac:dyDescent="0.25">
      <c r="A1133" t="s">
        <v>4870</v>
      </c>
      <c r="B1133" t="s">
        <v>1283</v>
      </c>
      <c r="C1133">
        <v>-7</v>
      </c>
      <c r="D1133" s="105">
        <v>25219284.5</v>
      </c>
      <c r="E1133" t="s">
        <v>2538</v>
      </c>
      <c r="F1133" s="105">
        <v>616471.4</v>
      </c>
      <c r="G1133" s="105">
        <v>28692015.23</v>
      </c>
      <c r="H1133" s="384">
        <v>42887.598011423608</v>
      </c>
      <c r="I1133" s="384">
        <v>43252</v>
      </c>
      <c r="J1133" t="s">
        <v>4871</v>
      </c>
      <c r="K1133" t="s">
        <v>1280</v>
      </c>
      <c r="L1133" t="s">
        <v>4872</v>
      </c>
      <c r="M1133">
        <v>201093</v>
      </c>
      <c r="N1133" t="s">
        <v>4869</v>
      </c>
      <c r="O1133" t="s">
        <v>46</v>
      </c>
      <c r="P1133" t="s">
        <v>46</v>
      </c>
      <c r="Q1133" t="s">
        <v>112</v>
      </c>
      <c r="R1133" s="105">
        <f>IF(Table__192.168.1.150_Daily_Delinquency_With_Sectors[[#This Row],[Days in Arrears]] &gt; 0, Table__192.168.1.150_Daily_Delinquency_With_Sectors[[#This Row],[Outstanding Balance]],0)</f>
        <v>0</v>
      </c>
      <c r="S1133" s="105">
        <f>IF(Table__192.168.1.150_Daily_Delinquency_With_Sectors[[#This Row],[Days in Arrears]] &gt; 30, Table__192.168.1.150_Daily_Delinquency_With_Sectors[[#This Row],[Outstanding Balance]],0)</f>
        <v>0</v>
      </c>
      <c r="T1133" s="105">
        <f>IF(Table__192.168.1.150_Daily_Delinquency_With_Sectors[[#This Row],[Days in Arrears]] &gt; 90, Table__192.168.1.150_Daily_Delinquency_With_Sectors[[#This Row],[Outstanding Balance]],0)</f>
        <v>0</v>
      </c>
      <c r="U1133" s="109">
        <f>IF(Table__192.168.1.150_Daily_Delinquency_With_Sectors[[#This Row],[Days in Arrears]] &gt;= 1,1,0)</f>
        <v>0</v>
      </c>
      <c r="V1133" s="109">
        <f>IF(Table__192.168.1.150_Daily_Delinquency_With_Sectors[[#This Row],[Days in Arrears]] &gt; 30,1,0)</f>
        <v>0</v>
      </c>
      <c r="W1133" s="109">
        <f>IF(Table__192.168.1.150_Daily_Delinquency_With_Sectors[[#This Row],[Days in Arrears]] &gt; 90,1,0)</f>
        <v>0</v>
      </c>
    </row>
    <row r="1134" spans="1:23" x14ac:dyDescent="0.25">
      <c r="A1134" t="s">
        <v>3496</v>
      </c>
      <c r="B1134" t="s">
        <v>1282</v>
      </c>
      <c r="C1134">
        <v>-7</v>
      </c>
      <c r="D1134" s="106">
        <v>9605278.1799999997</v>
      </c>
      <c r="E1134" t="s">
        <v>2861</v>
      </c>
      <c r="F1134" s="106">
        <v>281754.83</v>
      </c>
      <c r="G1134" s="106">
        <v>11202321.699999999</v>
      </c>
      <c r="H1134" s="406">
        <v>42886.772906446757</v>
      </c>
      <c r="I1134" s="406">
        <v>43252</v>
      </c>
      <c r="J1134" t="s">
        <v>3497</v>
      </c>
      <c r="K1134" t="s">
        <v>1280</v>
      </c>
      <c r="L1134" t="s">
        <v>3498</v>
      </c>
      <c r="M1134">
        <v>201094</v>
      </c>
      <c r="N1134" t="s">
        <v>3488</v>
      </c>
      <c r="O1134" t="s">
        <v>25</v>
      </c>
      <c r="P1134" t="s">
        <v>26</v>
      </c>
      <c r="Q1134" t="s">
        <v>26</v>
      </c>
      <c r="R1134" s="106">
        <f>IF(Table__192.168.1.150_Daily_Delinquency_With_Sectors[[#This Row],[Days in Arrears]] &gt; 0, Table__192.168.1.150_Daily_Delinquency_With_Sectors[[#This Row],[Outstanding Balance]],0)</f>
        <v>0</v>
      </c>
      <c r="S1134" s="106">
        <f>IF(Table__192.168.1.150_Daily_Delinquency_With_Sectors[[#This Row],[Days in Arrears]] &gt; 30, Table__192.168.1.150_Daily_Delinquency_With_Sectors[[#This Row],[Outstanding Balance]],0)</f>
        <v>0</v>
      </c>
      <c r="T1134" s="106">
        <f>IF(Table__192.168.1.150_Daily_Delinquency_With_Sectors[[#This Row],[Days in Arrears]] &gt; 90, Table__192.168.1.150_Daily_Delinquency_With_Sectors[[#This Row],[Outstanding Balance]],0)</f>
        <v>0</v>
      </c>
      <c r="U1134" s="380">
        <f>IF(Table__192.168.1.150_Daily_Delinquency_With_Sectors[[#This Row],[Days in Arrears]] &gt;= 1,1,0)</f>
        <v>0</v>
      </c>
      <c r="V1134" s="380">
        <f>IF(Table__192.168.1.150_Daily_Delinquency_With_Sectors[[#This Row],[Days in Arrears]] &gt; 30,1,0)</f>
        <v>0</v>
      </c>
      <c r="W1134" s="380">
        <f>IF(Table__192.168.1.150_Daily_Delinquency_With_Sectors[[#This Row],[Days in Arrears]] &gt; 90,1,0)</f>
        <v>0</v>
      </c>
    </row>
    <row r="1135" spans="1:23" x14ac:dyDescent="0.25">
      <c r="A1135" t="s">
        <v>4873</v>
      </c>
      <c r="B1135" t="s">
        <v>1282</v>
      </c>
      <c r="C1135">
        <v>-7</v>
      </c>
      <c r="D1135" s="106">
        <v>7674383.5999999996</v>
      </c>
      <c r="E1135" t="s">
        <v>2175</v>
      </c>
      <c r="F1135" s="106">
        <v>225115.25</v>
      </c>
      <c r="G1135" s="106">
        <v>8950382.5099999998</v>
      </c>
      <c r="H1135" s="406">
        <v>42887.411708645835</v>
      </c>
      <c r="I1135" s="406">
        <v>43252</v>
      </c>
      <c r="J1135" t="s">
        <v>4874</v>
      </c>
      <c r="K1135" t="s">
        <v>4875</v>
      </c>
      <c r="L1135" t="s">
        <v>1280</v>
      </c>
      <c r="M1135">
        <v>201095</v>
      </c>
      <c r="N1135" t="s">
        <v>4868</v>
      </c>
      <c r="O1135" t="s">
        <v>27</v>
      </c>
      <c r="P1135" t="s">
        <v>116</v>
      </c>
      <c r="Q1135" t="s">
        <v>26</v>
      </c>
      <c r="R1135" s="106">
        <f>IF(Table__192.168.1.150_Daily_Delinquency_With_Sectors[[#This Row],[Days in Arrears]] &gt; 0, Table__192.168.1.150_Daily_Delinquency_With_Sectors[[#This Row],[Outstanding Balance]],0)</f>
        <v>0</v>
      </c>
      <c r="S1135" s="106">
        <f>IF(Table__192.168.1.150_Daily_Delinquency_With_Sectors[[#This Row],[Days in Arrears]] &gt; 30, Table__192.168.1.150_Daily_Delinquency_With_Sectors[[#This Row],[Outstanding Balance]],0)</f>
        <v>0</v>
      </c>
      <c r="T1135" s="106">
        <f>IF(Table__192.168.1.150_Daily_Delinquency_With_Sectors[[#This Row],[Days in Arrears]] &gt; 90, Table__192.168.1.150_Daily_Delinquency_With_Sectors[[#This Row],[Outstanding Balance]],0)</f>
        <v>0</v>
      </c>
      <c r="U1135" s="380">
        <f>IF(Table__192.168.1.150_Daily_Delinquency_With_Sectors[[#This Row],[Days in Arrears]] &gt;= 1,1,0)</f>
        <v>0</v>
      </c>
      <c r="V1135" s="380">
        <f>IF(Table__192.168.1.150_Daily_Delinquency_With_Sectors[[#This Row],[Days in Arrears]] &gt; 30,1,0)</f>
        <v>0</v>
      </c>
      <c r="W1135" s="380">
        <f>IF(Table__192.168.1.150_Daily_Delinquency_With_Sectors[[#This Row],[Days in Arrears]] &gt; 90,1,0)</f>
        <v>0</v>
      </c>
    </row>
    <row r="1136" spans="1:23" x14ac:dyDescent="0.25">
      <c r="A1136" t="s">
        <v>340</v>
      </c>
      <c r="B1136" t="s">
        <v>1285</v>
      </c>
      <c r="C1136">
        <v>-27</v>
      </c>
      <c r="D1136" s="106">
        <v>3408168.64</v>
      </c>
      <c r="E1136" t="s">
        <v>284</v>
      </c>
      <c r="F1136" s="106">
        <v>4165.54</v>
      </c>
      <c r="G1136" s="106">
        <v>3970641.33</v>
      </c>
      <c r="H1136" s="406">
        <v>42892.617003935185</v>
      </c>
      <c r="I1136" s="406">
        <v>43545</v>
      </c>
      <c r="J1136" t="s">
        <v>341</v>
      </c>
      <c r="K1136" t="s">
        <v>1280</v>
      </c>
      <c r="L1136" t="s">
        <v>1280</v>
      </c>
      <c r="M1136">
        <v>201096</v>
      </c>
      <c r="N1136" t="s">
        <v>4850</v>
      </c>
      <c r="O1136" t="s">
        <v>43</v>
      </c>
      <c r="P1136" t="s">
        <v>338</v>
      </c>
      <c r="Q1136" t="s">
        <v>339</v>
      </c>
      <c r="R1136" s="106">
        <f>IF(Table__192.168.1.150_Daily_Delinquency_With_Sectors[[#This Row],[Days in Arrears]] &gt; 0, Table__192.168.1.150_Daily_Delinquency_With_Sectors[[#This Row],[Outstanding Balance]],0)</f>
        <v>0</v>
      </c>
      <c r="S1136" s="106">
        <f>IF(Table__192.168.1.150_Daily_Delinquency_With_Sectors[[#This Row],[Days in Arrears]] &gt; 30, Table__192.168.1.150_Daily_Delinquency_With_Sectors[[#This Row],[Outstanding Balance]],0)</f>
        <v>0</v>
      </c>
      <c r="T1136" s="106">
        <f>IF(Table__192.168.1.150_Daily_Delinquency_With_Sectors[[#This Row],[Days in Arrears]] &gt; 90, Table__192.168.1.150_Daily_Delinquency_With_Sectors[[#This Row],[Outstanding Balance]],0)</f>
        <v>0</v>
      </c>
      <c r="U1136" s="380">
        <f>IF(Table__192.168.1.150_Daily_Delinquency_With_Sectors[[#This Row],[Days in Arrears]] &gt;= 1,1,0)</f>
        <v>0</v>
      </c>
      <c r="V1136" s="380">
        <f>IF(Table__192.168.1.150_Daily_Delinquency_With_Sectors[[#This Row],[Days in Arrears]] &gt; 30,1,0)</f>
        <v>0</v>
      </c>
      <c r="W1136" s="380">
        <f>IF(Table__192.168.1.150_Daily_Delinquency_With_Sectors[[#This Row],[Days in Arrears]] &gt; 90,1,0)</f>
        <v>0</v>
      </c>
    </row>
    <row r="1137" spans="1:23" x14ac:dyDescent="0.25">
      <c r="A1137" t="s">
        <v>3417</v>
      </c>
      <c r="B1137" t="s">
        <v>1284</v>
      </c>
      <c r="C1137">
        <v>-14</v>
      </c>
      <c r="D1137" s="106">
        <v>19331343.32</v>
      </c>
      <c r="E1137" t="s">
        <v>546</v>
      </c>
      <c r="F1137" s="106">
        <v>289970.15000000002</v>
      </c>
      <c r="G1137" s="106">
        <v>23630326.129999999</v>
      </c>
      <c r="H1137" s="406">
        <v>42894.757028159722</v>
      </c>
      <c r="I1137" s="406">
        <v>43442</v>
      </c>
      <c r="J1137" t="s">
        <v>3418</v>
      </c>
      <c r="K1137" t="s">
        <v>1280</v>
      </c>
      <c r="L1137" t="s">
        <v>1280</v>
      </c>
      <c r="M1137">
        <v>201100</v>
      </c>
      <c r="N1137" t="s">
        <v>3401</v>
      </c>
      <c r="O1137" t="s">
        <v>44</v>
      </c>
      <c r="P1137" t="s">
        <v>75</v>
      </c>
      <c r="Q1137" t="s">
        <v>1442</v>
      </c>
      <c r="R1137" s="106">
        <f>IF(Table__192.168.1.150_Daily_Delinquency_With_Sectors[[#This Row],[Days in Arrears]] &gt; 0, Table__192.168.1.150_Daily_Delinquency_With_Sectors[[#This Row],[Outstanding Balance]],0)</f>
        <v>0</v>
      </c>
      <c r="S1137" s="106">
        <f>IF(Table__192.168.1.150_Daily_Delinquency_With_Sectors[[#This Row],[Days in Arrears]] &gt; 30, Table__192.168.1.150_Daily_Delinquency_With_Sectors[[#This Row],[Outstanding Balance]],0)</f>
        <v>0</v>
      </c>
      <c r="T1137" s="106">
        <f>IF(Table__192.168.1.150_Daily_Delinquency_With_Sectors[[#This Row],[Days in Arrears]] &gt; 90, Table__192.168.1.150_Daily_Delinquency_With_Sectors[[#This Row],[Outstanding Balance]],0)</f>
        <v>0</v>
      </c>
      <c r="U1137" s="380">
        <f>IF(Table__192.168.1.150_Daily_Delinquency_With_Sectors[[#This Row],[Days in Arrears]] &gt;= 1,1,0)</f>
        <v>0</v>
      </c>
      <c r="V1137" s="380">
        <f>IF(Table__192.168.1.150_Daily_Delinquency_With_Sectors[[#This Row],[Days in Arrears]] &gt; 30,1,0)</f>
        <v>0</v>
      </c>
      <c r="W1137" s="380">
        <f>IF(Table__192.168.1.150_Daily_Delinquency_With_Sectors[[#This Row],[Days in Arrears]] &gt; 90,1,0)</f>
        <v>0</v>
      </c>
    </row>
    <row r="1138" spans="1:23" x14ac:dyDescent="0.25">
      <c r="A1138" t="s">
        <v>4891</v>
      </c>
      <c r="B1138" t="s">
        <v>1282</v>
      </c>
      <c r="C1138">
        <v>-18</v>
      </c>
      <c r="D1138" s="106">
        <v>1387000.25</v>
      </c>
      <c r="E1138" t="s">
        <v>3074</v>
      </c>
      <c r="F1138" s="106">
        <v>22885.5</v>
      </c>
      <c r="G1138" s="106">
        <v>1579735.32</v>
      </c>
      <c r="H1138" s="406">
        <v>42898.485473263892</v>
      </c>
      <c r="I1138" s="406">
        <v>43202</v>
      </c>
      <c r="J1138" t="s">
        <v>4892</v>
      </c>
      <c r="K1138" t="s">
        <v>1280</v>
      </c>
      <c r="L1138" t="s">
        <v>4893</v>
      </c>
      <c r="M1138">
        <v>201101</v>
      </c>
      <c r="N1138" t="s">
        <v>4885</v>
      </c>
      <c r="O1138" t="s">
        <v>25</v>
      </c>
      <c r="P1138" t="s">
        <v>26</v>
      </c>
      <c r="Q1138" t="s">
        <v>26</v>
      </c>
      <c r="R1138" s="106">
        <f>IF(Table__192.168.1.150_Daily_Delinquency_With_Sectors[[#This Row],[Days in Arrears]] &gt; 0, Table__192.168.1.150_Daily_Delinquency_With_Sectors[[#This Row],[Outstanding Balance]],0)</f>
        <v>0</v>
      </c>
      <c r="S1138" s="106">
        <f>IF(Table__192.168.1.150_Daily_Delinquency_With_Sectors[[#This Row],[Days in Arrears]] &gt; 30, Table__192.168.1.150_Daily_Delinquency_With_Sectors[[#This Row],[Outstanding Balance]],0)</f>
        <v>0</v>
      </c>
      <c r="T1138" s="106">
        <f>IF(Table__192.168.1.150_Daily_Delinquency_With_Sectors[[#This Row],[Days in Arrears]] &gt; 90, Table__192.168.1.150_Daily_Delinquency_With_Sectors[[#This Row],[Outstanding Balance]],0)</f>
        <v>0</v>
      </c>
      <c r="U1138" s="380">
        <f>IF(Table__192.168.1.150_Daily_Delinquency_With_Sectors[[#This Row],[Days in Arrears]] &gt;= 1,1,0)</f>
        <v>0</v>
      </c>
      <c r="V1138" s="380">
        <f>IF(Table__192.168.1.150_Daily_Delinquency_With_Sectors[[#This Row],[Days in Arrears]] &gt; 30,1,0)</f>
        <v>0</v>
      </c>
      <c r="W1138" s="380">
        <f>IF(Table__192.168.1.150_Daily_Delinquency_With_Sectors[[#This Row],[Days in Arrears]] &gt; 90,1,0)</f>
        <v>0</v>
      </c>
    </row>
    <row r="1139" spans="1:23" x14ac:dyDescent="0.25">
      <c r="A1139" t="s">
        <v>4894</v>
      </c>
      <c r="B1139" t="s">
        <v>1282</v>
      </c>
      <c r="C1139">
        <v>-18</v>
      </c>
      <c r="D1139" s="106">
        <v>9693450.7899999991</v>
      </c>
      <c r="E1139" t="s">
        <v>1667</v>
      </c>
      <c r="F1139" s="106">
        <v>159941.94</v>
      </c>
      <c r="G1139" s="106">
        <v>11514949.810000001</v>
      </c>
      <c r="H1139" s="406">
        <v>42898.722324340277</v>
      </c>
      <c r="I1139" s="406">
        <v>43263</v>
      </c>
      <c r="J1139" t="s">
        <v>4895</v>
      </c>
      <c r="K1139" t="s">
        <v>1280</v>
      </c>
      <c r="L1139" t="s">
        <v>4896</v>
      </c>
      <c r="M1139">
        <v>201104</v>
      </c>
      <c r="N1139" t="s">
        <v>4886</v>
      </c>
      <c r="O1139" t="s">
        <v>37</v>
      </c>
      <c r="P1139" t="s">
        <v>38</v>
      </c>
      <c r="Q1139" t="s">
        <v>39</v>
      </c>
      <c r="R1139" s="106">
        <f>IF(Table__192.168.1.150_Daily_Delinquency_With_Sectors[[#This Row],[Days in Arrears]] &gt; 0, Table__192.168.1.150_Daily_Delinquency_With_Sectors[[#This Row],[Outstanding Balance]],0)</f>
        <v>0</v>
      </c>
      <c r="S1139" s="106">
        <f>IF(Table__192.168.1.150_Daily_Delinquency_With_Sectors[[#This Row],[Days in Arrears]] &gt; 30, Table__192.168.1.150_Daily_Delinquency_With_Sectors[[#This Row],[Outstanding Balance]],0)</f>
        <v>0</v>
      </c>
      <c r="T1139" s="106">
        <f>IF(Table__192.168.1.150_Daily_Delinquency_With_Sectors[[#This Row],[Days in Arrears]] &gt; 90, Table__192.168.1.150_Daily_Delinquency_With_Sectors[[#This Row],[Outstanding Balance]],0)</f>
        <v>0</v>
      </c>
      <c r="U1139" s="380">
        <f>IF(Table__192.168.1.150_Daily_Delinquency_With_Sectors[[#This Row],[Days in Arrears]] &gt;= 1,1,0)</f>
        <v>0</v>
      </c>
      <c r="V1139" s="380">
        <f>IF(Table__192.168.1.150_Daily_Delinquency_With_Sectors[[#This Row],[Days in Arrears]] &gt; 30,1,0)</f>
        <v>0</v>
      </c>
      <c r="W1139" s="380">
        <f>IF(Table__192.168.1.150_Daily_Delinquency_With_Sectors[[#This Row],[Days in Arrears]] &gt; 90,1,0)</f>
        <v>0</v>
      </c>
    </row>
    <row r="1140" spans="1:23" x14ac:dyDescent="0.25">
      <c r="A1140" t="s">
        <v>3366</v>
      </c>
      <c r="B1140" t="s">
        <v>1279</v>
      </c>
      <c r="C1140">
        <v>-19</v>
      </c>
      <c r="D1140" s="106">
        <v>2558127.87</v>
      </c>
      <c r="E1140" t="s">
        <v>2861</v>
      </c>
      <c r="F1140" s="106">
        <v>34108.370000000003</v>
      </c>
      <c r="G1140" s="106">
        <v>2983460.84</v>
      </c>
      <c r="H1140" s="406">
        <v>42899.468766782411</v>
      </c>
      <c r="I1140" s="406">
        <v>43264</v>
      </c>
      <c r="J1140" t="s">
        <v>3367</v>
      </c>
      <c r="K1140" t="s">
        <v>1280</v>
      </c>
      <c r="L1140" t="s">
        <v>3368</v>
      </c>
      <c r="M1140">
        <v>201106</v>
      </c>
      <c r="N1140" t="s">
        <v>3350</v>
      </c>
      <c r="O1140" t="s">
        <v>44</v>
      </c>
      <c r="P1140" t="s">
        <v>75</v>
      </c>
      <c r="Q1140" t="s">
        <v>1442</v>
      </c>
      <c r="R1140" s="106">
        <f>IF(Table__192.168.1.150_Daily_Delinquency_With_Sectors[[#This Row],[Days in Arrears]] &gt; 0, Table__192.168.1.150_Daily_Delinquency_With_Sectors[[#This Row],[Outstanding Balance]],0)</f>
        <v>0</v>
      </c>
      <c r="S1140" s="106">
        <f>IF(Table__192.168.1.150_Daily_Delinquency_With_Sectors[[#This Row],[Days in Arrears]] &gt; 30, Table__192.168.1.150_Daily_Delinquency_With_Sectors[[#This Row],[Outstanding Balance]],0)</f>
        <v>0</v>
      </c>
      <c r="T1140" s="106">
        <f>IF(Table__192.168.1.150_Daily_Delinquency_With_Sectors[[#This Row],[Days in Arrears]] &gt; 90, Table__192.168.1.150_Daily_Delinquency_With_Sectors[[#This Row],[Outstanding Balance]],0)</f>
        <v>0</v>
      </c>
      <c r="U1140" s="380">
        <f>IF(Table__192.168.1.150_Daily_Delinquency_With_Sectors[[#This Row],[Days in Arrears]] &gt;= 1,1,0)</f>
        <v>0</v>
      </c>
      <c r="V1140" s="380">
        <f>IF(Table__192.168.1.150_Daily_Delinquency_With_Sectors[[#This Row],[Days in Arrears]] &gt; 30,1,0)</f>
        <v>0</v>
      </c>
      <c r="W1140" s="380">
        <f>IF(Table__192.168.1.150_Daily_Delinquency_With_Sectors[[#This Row],[Days in Arrears]] &gt; 90,1,0)</f>
        <v>0</v>
      </c>
    </row>
    <row r="1141" spans="1:23" x14ac:dyDescent="0.25">
      <c r="A1141" t="s">
        <v>2693</v>
      </c>
      <c r="B1141" t="s">
        <v>1284</v>
      </c>
      <c r="C1141">
        <v>-20</v>
      </c>
      <c r="D1141" s="106">
        <v>20029030.98</v>
      </c>
      <c r="E1141" t="s">
        <v>491</v>
      </c>
      <c r="F1141" s="106">
        <v>180261.28</v>
      </c>
      <c r="G1141" s="106">
        <v>22503507.129999999</v>
      </c>
      <c r="H1141" s="406">
        <v>42900.564021377315</v>
      </c>
      <c r="I1141" s="406">
        <v>43265</v>
      </c>
      <c r="J1141" t="s">
        <v>2694</v>
      </c>
      <c r="K1141" t="s">
        <v>1280</v>
      </c>
      <c r="L1141" t="s">
        <v>1280</v>
      </c>
      <c r="M1141">
        <v>201107</v>
      </c>
      <c r="N1141" t="s">
        <v>2679</v>
      </c>
      <c r="O1141" t="s">
        <v>45</v>
      </c>
      <c r="P1141" t="s">
        <v>45</v>
      </c>
      <c r="Q1141" t="s">
        <v>89</v>
      </c>
      <c r="R1141" s="106">
        <f>IF(Table__192.168.1.150_Daily_Delinquency_With_Sectors[[#This Row],[Days in Arrears]] &gt; 0, Table__192.168.1.150_Daily_Delinquency_With_Sectors[[#This Row],[Outstanding Balance]],0)</f>
        <v>0</v>
      </c>
      <c r="S1141" s="106">
        <f>IF(Table__192.168.1.150_Daily_Delinquency_With_Sectors[[#This Row],[Days in Arrears]] &gt; 30, Table__192.168.1.150_Daily_Delinquency_With_Sectors[[#This Row],[Outstanding Balance]],0)</f>
        <v>0</v>
      </c>
      <c r="T1141" s="106">
        <f>IF(Table__192.168.1.150_Daily_Delinquency_With_Sectors[[#This Row],[Days in Arrears]] &gt; 90, Table__192.168.1.150_Daily_Delinquency_With_Sectors[[#This Row],[Outstanding Balance]],0)</f>
        <v>0</v>
      </c>
      <c r="U1141" s="380">
        <f>IF(Table__192.168.1.150_Daily_Delinquency_With_Sectors[[#This Row],[Days in Arrears]] &gt;= 1,1,0)</f>
        <v>0</v>
      </c>
      <c r="V1141" s="380">
        <f>IF(Table__192.168.1.150_Daily_Delinquency_With_Sectors[[#This Row],[Days in Arrears]] &gt; 30,1,0)</f>
        <v>0</v>
      </c>
      <c r="W1141" s="380">
        <f>IF(Table__192.168.1.150_Daily_Delinquency_With_Sectors[[#This Row],[Days in Arrears]] &gt; 90,1,0)</f>
        <v>0</v>
      </c>
    </row>
    <row r="1142" spans="1:23" x14ac:dyDescent="0.25">
      <c r="A1142" t="s">
        <v>3493</v>
      </c>
      <c r="B1142" t="s">
        <v>1279</v>
      </c>
      <c r="C1142">
        <v>-21</v>
      </c>
      <c r="D1142" s="106">
        <v>3197659.85</v>
      </c>
      <c r="E1142" t="s">
        <v>2175</v>
      </c>
      <c r="F1142" s="106">
        <v>34108.370000000003</v>
      </c>
      <c r="G1142" s="106">
        <v>3729326.0800000001</v>
      </c>
      <c r="H1142" s="406">
        <v>42901.675884756944</v>
      </c>
      <c r="I1142" s="406">
        <v>43266</v>
      </c>
      <c r="J1142" t="s">
        <v>3494</v>
      </c>
      <c r="K1142" t="s">
        <v>1280</v>
      </c>
      <c r="L1142" t="s">
        <v>3495</v>
      </c>
      <c r="M1142">
        <v>201108</v>
      </c>
      <c r="N1142" t="s">
        <v>3490</v>
      </c>
      <c r="O1142" t="s">
        <v>25</v>
      </c>
      <c r="P1142" t="s">
        <v>26</v>
      </c>
      <c r="Q1142" t="s">
        <v>26</v>
      </c>
      <c r="R1142" s="106">
        <f>IF(Table__192.168.1.150_Daily_Delinquency_With_Sectors[[#This Row],[Days in Arrears]] &gt; 0, Table__192.168.1.150_Daily_Delinquency_With_Sectors[[#This Row],[Outstanding Balance]],0)</f>
        <v>0</v>
      </c>
      <c r="S1142" s="106">
        <f>IF(Table__192.168.1.150_Daily_Delinquency_With_Sectors[[#This Row],[Days in Arrears]] &gt; 30, Table__192.168.1.150_Daily_Delinquency_With_Sectors[[#This Row],[Outstanding Balance]],0)</f>
        <v>0</v>
      </c>
      <c r="T1142" s="106">
        <f>IF(Table__192.168.1.150_Daily_Delinquency_With_Sectors[[#This Row],[Days in Arrears]] &gt; 90, Table__192.168.1.150_Daily_Delinquency_With_Sectors[[#This Row],[Outstanding Balance]],0)</f>
        <v>0</v>
      </c>
      <c r="U1142" s="380">
        <f>IF(Table__192.168.1.150_Daily_Delinquency_With_Sectors[[#This Row],[Days in Arrears]] &gt;= 1,1,0)</f>
        <v>0</v>
      </c>
      <c r="V1142" s="380">
        <f>IF(Table__192.168.1.150_Daily_Delinquency_With_Sectors[[#This Row],[Days in Arrears]] &gt; 30,1,0)</f>
        <v>0</v>
      </c>
      <c r="W1142" s="380">
        <f>IF(Table__192.168.1.150_Daily_Delinquency_With_Sectors[[#This Row],[Days in Arrears]] &gt; 90,1,0)</f>
        <v>0</v>
      </c>
    </row>
    <row r="1143" spans="1:23" x14ac:dyDescent="0.25">
      <c r="A1143" t="s">
        <v>4899</v>
      </c>
      <c r="B1143" t="s">
        <v>1866</v>
      </c>
      <c r="C1143">
        <v>-21</v>
      </c>
      <c r="D1143" s="106">
        <v>4445166.99</v>
      </c>
      <c r="E1143" t="s">
        <v>1909</v>
      </c>
      <c r="F1143" s="106">
        <v>43463.86</v>
      </c>
      <c r="G1143" s="106">
        <v>5120576.78</v>
      </c>
      <c r="H1143" s="406">
        <v>42901.669926817129</v>
      </c>
      <c r="I1143" s="406">
        <v>43266</v>
      </c>
      <c r="J1143" t="s">
        <v>4900</v>
      </c>
      <c r="K1143" t="s">
        <v>1280</v>
      </c>
      <c r="L1143" t="s">
        <v>1280</v>
      </c>
      <c r="M1143">
        <v>201109</v>
      </c>
      <c r="N1143" t="s">
        <v>4898</v>
      </c>
      <c r="O1143" t="s">
        <v>44</v>
      </c>
      <c r="P1143" t="s">
        <v>75</v>
      </c>
      <c r="Q1143" t="s">
        <v>26</v>
      </c>
      <c r="R1143" s="106">
        <f>IF(Table__192.168.1.150_Daily_Delinquency_With_Sectors[[#This Row],[Days in Arrears]] &gt; 0, Table__192.168.1.150_Daily_Delinquency_With_Sectors[[#This Row],[Outstanding Balance]],0)</f>
        <v>0</v>
      </c>
      <c r="S1143" s="106">
        <f>IF(Table__192.168.1.150_Daily_Delinquency_With_Sectors[[#This Row],[Days in Arrears]] &gt; 30, Table__192.168.1.150_Daily_Delinquency_With_Sectors[[#This Row],[Outstanding Balance]],0)</f>
        <v>0</v>
      </c>
      <c r="T1143" s="106">
        <f>IF(Table__192.168.1.150_Daily_Delinquency_With_Sectors[[#This Row],[Days in Arrears]] &gt; 90, Table__192.168.1.150_Daily_Delinquency_With_Sectors[[#This Row],[Outstanding Balance]],0)</f>
        <v>0</v>
      </c>
      <c r="U1143" s="380">
        <f>IF(Table__192.168.1.150_Daily_Delinquency_With_Sectors[[#This Row],[Days in Arrears]] &gt;= 1,1,0)</f>
        <v>0</v>
      </c>
      <c r="V1143" s="380">
        <f>IF(Table__192.168.1.150_Daily_Delinquency_With_Sectors[[#This Row],[Days in Arrears]] &gt; 30,1,0)</f>
        <v>0</v>
      </c>
      <c r="W1143" s="380">
        <f>IF(Table__192.168.1.150_Daily_Delinquency_With_Sectors[[#This Row],[Days in Arrears]] &gt; 90,1,0)</f>
        <v>0</v>
      </c>
    </row>
    <row r="1144" spans="1:23" x14ac:dyDescent="0.25">
      <c r="A1144" t="s">
        <v>4901</v>
      </c>
      <c r="B1144" t="s">
        <v>1282</v>
      </c>
      <c r="C1144">
        <v>-21</v>
      </c>
      <c r="D1144" s="106">
        <v>1387000.25</v>
      </c>
      <c r="E1144" t="s">
        <v>1448</v>
      </c>
      <c r="F1144" s="106">
        <v>16644</v>
      </c>
      <c r="G1144" s="106">
        <v>1579735.32</v>
      </c>
      <c r="H1144" s="406">
        <v>42901.681031863423</v>
      </c>
      <c r="I1144" s="406">
        <v>43205</v>
      </c>
      <c r="J1144" t="s">
        <v>4902</v>
      </c>
      <c r="K1144" t="s">
        <v>1280</v>
      </c>
      <c r="L1144" t="s">
        <v>1280</v>
      </c>
      <c r="M1144">
        <v>201110</v>
      </c>
      <c r="N1144" t="s">
        <v>4897</v>
      </c>
      <c r="O1144" t="s">
        <v>25</v>
      </c>
      <c r="P1144" t="s">
        <v>26</v>
      </c>
      <c r="Q1144" t="s">
        <v>26</v>
      </c>
      <c r="R1144" s="106">
        <f>IF(Table__192.168.1.150_Daily_Delinquency_With_Sectors[[#This Row],[Days in Arrears]] &gt; 0, Table__192.168.1.150_Daily_Delinquency_With_Sectors[[#This Row],[Outstanding Balance]],0)</f>
        <v>0</v>
      </c>
      <c r="S1144" s="106">
        <f>IF(Table__192.168.1.150_Daily_Delinquency_With_Sectors[[#This Row],[Days in Arrears]] &gt; 30, Table__192.168.1.150_Daily_Delinquency_With_Sectors[[#This Row],[Outstanding Balance]],0)</f>
        <v>0</v>
      </c>
      <c r="T1144" s="106">
        <f>IF(Table__192.168.1.150_Daily_Delinquency_With_Sectors[[#This Row],[Days in Arrears]] &gt; 90, Table__192.168.1.150_Daily_Delinquency_With_Sectors[[#This Row],[Outstanding Balance]],0)</f>
        <v>0</v>
      </c>
      <c r="U1144" s="380">
        <f>IF(Table__192.168.1.150_Daily_Delinquency_With_Sectors[[#This Row],[Days in Arrears]] &gt;= 1,1,0)</f>
        <v>0</v>
      </c>
      <c r="V1144" s="380">
        <f>IF(Table__192.168.1.150_Daily_Delinquency_With_Sectors[[#This Row],[Days in Arrears]] &gt; 30,1,0)</f>
        <v>0</v>
      </c>
      <c r="W1144" s="380">
        <f>IF(Table__192.168.1.150_Daily_Delinquency_With_Sectors[[#This Row],[Days in Arrears]] &gt; 90,1,0)</f>
        <v>0</v>
      </c>
    </row>
    <row r="1145" spans="1:23" x14ac:dyDescent="0.25">
      <c r="A1145" t="s">
        <v>4935</v>
      </c>
      <c r="B1145" t="s">
        <v>1281</v>
      </c>
      <c r="C1145">
        <v>-27</v>
      </c>
      <c r="D1145" s="106">
        <v>19719988.949999999</v>
      </c>
      <c r="E1145" t="s">
        <v>4685</v>
      </c>
      <c r="F1145" s="106">
        <v>52586.64</v>
      </c>
      <c r="G1145" s="106">
        <v>25672831.699999999</v>
      </c>
      <c r="H1145" s="406">
        <v>42907.509451238424</v>
      </c>
      <c r="I1145" s="406">
        <v>43455</v>
      </c>
      <c r="J1145" t="s">
        <v>4936</v>
      </c>
      <c r="K1145" t="s">
        <v>1280</v>
      </c>
      <c r="L1145" t="s">
        <v>4937</v>
      </c>
      <c r="M1145">
        <v>201111</v>
      </c>
      <c r="N1145" t="s">
        <v>4929</v>
      </c>
      <c r="O1145" t="s">
        <v>44</v>
      </c>
      <c r="P1145" t="s">
        <v>26</v>
      </c>
      <c r="Q1145" t="s">
        <v>26</v>
      </c>
      <c r="R1145" s="106">
        <f>IF(Table__192.168.1.150_Daily_Delinquency_With_Sectors[[#This Row],[Days in Arrears]] &gt; 0, Table__192.168.1.150_Daily_Delinquency_With_Sectors[[#This Row],[Outstanding Balance]],0)</f>
        <v>0</v>
      </c>
      <c r="S1145" s="106">
        <f>IF(Table__192.168.1.150_Daily_Delinquency_With_Sectors[[#This Row],[Days in Arrears]] &gt; 30, Table__192.168.1.150_Daily_Delinquency_With_Sectors[[#This Row],[Outstanding Balance]],0)</f>
        <v>0</v>
      </c>
      <c r="T1145" s="106">
        <f>IF(Table__192.168.1.150_Daily_Delinquency_With_Sectors[[#This Row],[Days in Arrears]] &gt; 90, Table__192.168.1.150_Daily_Delinquency_With_Sectors[[#This Row],[Outstanding Balance]],0)</f>
        <v>0</v>
      </c>
      <c r="U1145" s="380">
        <f>IF(Table__192.168.1.150_Daily_Delinquency_With_Sectors[[#This Row],[Days in Arrears]] &gt;= 1,1,0)</f>
        <v>0</v>
      </c>
      <c r="V1145" s="380">
        <f>IF(Table__192.168.1.150_Daily_Delinquency_With_Sectors[[#This Row],[Days in Arrears]] &gt; 30,1,0)</f>
        <v>0</v>
      </c>
      <c r="W1145" s="380">
        <f>IF(Table__192.168.1.150_Daily_Delinquency_With_Sectors[[#This Row],[Days in Arrears]] &gt; 90,1,0)</f>
        <v>0</v>
      </c>
    </row>
    <row r="1146" spans="1:23" x14ac:dyDescent="0.25">
      <c r="A1146" t="s">
        <v>3589</v>
      </c>
      <c r="B1146" t="s">
        <v>1284</v>
      </c>
      <c r="C1146">
        <v>-21</v>
      </c>
      <c r="D1146" s="106">
        <v>25373499.710000001</v>
      </c>
      <c r="E1146" t="s">
        <v>546</v>
      </c>
      <c r="F1146" s="106">
        <v>202988</v>
      </c>
      <c r="G1146" s="106">
        <v>33657027.100000001</v>
      </c>
      <c r="H1146" s="406">
        <v>42901.750078159719</v>
      </c>
      <c r="I1146" s="406">
        <v>43631</v>
      </c>
      <c r="J1146" t="s">
        <v>3590</v>
      </c>
      <c r="K1146" t="s">
        <v>1280</v>
      </c>
      <c r="L1146" t="s">
        <v>3591</v>
      </c>
      <c r="M1146">
        <v>201112</v>
      </c>
      <c r="N1146" t="s">
        <v>3561</v>
      </c>
      <c r="O1146" t="s">
        <v>44</v>
      </c>
      <c r="P1146" t="s">
        <v>75</v>
      </c>
      <c r="Q1146" t="s">
        <v>26</v>
      </c>
      <c r="R1146" s="106">
        <f>IF(Table__192.168.1.150_Daily_Delinquency_With_Sectors[[#This Row],[Days in Arrears]] &gt; 0, Table__192.168.1.150_Daily_Delinquency_With_Sectors[[#This Row],[Outstanding Balance]],0)</f>
        <v>0</v>
      </c>
      <c r="S1146" s="106">
        <f>IF(Table__192.168.1.150_Daily_Delinquency_With_Sectors[[#This Row],[Days in Arrears]] &gt; 30, Table__192.168.1.150_Daily_Delinquency_With_Sectors[[#This Row],[Outstanding Balance]],0)</f>
        <v>0</v>
      </c>
      <c r="T1146" s="106">
        <f>IF(Table__192.168.1.150_Daily_Delinquency_With_Sectors[[#This Row],[Days in Arrears]] &gt; 90, Table__192.168.1.150_Daily_Delinquency_With_Sectors[[#This Row],[Outstanding Balance]],0)</f>
        <v>0</v>
      </c>
      <c r="U1146" s="380">
        <f>IF(Table__192.168.1.150_Daily_Delinquency_With_Sectors[[#This Row],[Days in Arrears]] &gt;= 1,1,0)</f>
        <v>0</v>
      </c>
      <c r="V1146" s="380">
        <f>IF(Table__192.168.1.150_Daily_Delinquency_With_Sectors[[#This Row],[Days in Arrears]] &gt; 30,1,0)</f>
        <v>0</v>
      </c>
      <c r="W1146" s="380">
        <f>IF(Table__192.168.1.150_Daily_Delinquency_With_Sectors[[#This Row],[Days in Arrears]] &gt; 90,1,0)</f>
        <v>0</v>
      </c>
    </row>
    <row r="1147" spans="1:23" x14ac:dyDescent="0.25">
      <c r="A1147" t="s">
        <v>4091</v>
      </c>
      <c r="B1147" t="s">
        <v>1284</v>
      </c>
      <c r="C1147">
        <v>8</v>
      </c>
      <c r="D1147" s="106">
        <v>28746296.120000001</v>
      </c>
      <c r="E1147" t="s">
        <v>546</v>
      </c>
      <c r="F1147" s="106">
        <v>1051836.04</v>
      </c>
      <c r="G1147" s="106">
        <v>35627260.939999998</v>
      </c>
      <c r="H1147" s="406">
        <v>42902.50178298611</v>
      </c>
      <c r="I1147" s="406">
        <v>43450</v>
      </c>
      <c r="J1147" t="s">
        <v>4092</v>
      </c>
      <c r="K1147" t="s">
        <v>1280</v>
      </c>
      <c r="L1147" t="s">
        <v>1280</v>
      </c>
      <c r="M1147">
        <v>201113</v>
      </c>
      <c r="N1147" t="s">
        <v>4084</v>
      </c>
      <c r="O1147" t="s">
        <v>44</v>
      </c>
      <c r="P1147" t="s">
        <v>75</v>
      </c>
      <c r="Q1147" t="s">
        <v>26</v>
      </c>
      <c r="R1147" s="106">
        <f>IF(Table__192.168.1.150_Daily_Delinquency_With_Sectors[[#This Row],[Days in Arrears]] &gt; 0, Table__192.168.1.150_Daily_Delinquency_With_Sectors[[#This Row],[Outstanding Balance]],0)</f>
        <v>28746296.120000001</v>
      </c>
      <c r="S1147" s="106">
        <f>IF(Table__192.168.1.150_Daily_Delinquency_With_Sectors[[#This Row],[Days in Arrears]] &gt; 30, Table__192.168.1.150_Daily_Delinquency_With_Sectors[[#This Row],[Outstanding Balance]],0)</f>
        <v>0</v>
      </c>
      <c r="T1147" s="106">
        <f>IF(Table__192.168.1.150_Daily_Delinquency_With_Sectors[[#This Row],[Days in Arrears]] &gt; 90, Table__192.168.1.150_Daily_Delinquency_With_Sectors[[#This Row],[Outstanding Balance]],0)</f>
        <v>0</v>
      </c>
      <c r="U1147" s="380">
        <f>IF(Table__192.168.1.150_Daily_Delinquency_With_Sectors[[#This Row],[Days in Arrears]] &gt;= 1,1,0)</f>
        <v>1</v>
      </c>
      <c r="V1147" s="380">
        <f>IF(Table__192.168.1.150_Daily_Delinquency_With_Sectors[[#This Row],[Days in Arrears]] &gt; 30,1,0)</f>
        <v>0</v>
      </c>
      <c r="W1147" s="380">
        <f>IF(Table__192.168.1.150_Daily_Delinquency_With_Sectors[[#This Row],[Days in Arrears]] &gt; 90,1,0)</f>
        <v>0</v>
      </c>
    </row>
    <row r="1148" spans="1:23" x14ac:dyDescent="0.25">
      <c r="A1148" t="s">
        <v>4907</v>
      </c>
      <c r="B1148" t="s">
        <v>1284</v>
      </c>
      <c r="C1148">
        <v>-22</v>
      </c>
      <c r="D1148" s="106">
        <v>23355586.120000001</v>
      </c>
      <c r="E1148" t="s">
        <v>1909</v>
      </c>
      <c r="F1148" s="106">
        <v>181654.56</v>
      </c>
      <c r="G1148" s="106">
        <v>29161524.120000001</v>
      </c>
      <c r="H1148" s="406">
        <v>42902.57308318287</v>
      </c>
      <c r="I1148" s="406">
        <v>43450</v>
      </c>
      <c r="J1148" t="s">
        <v>4908</v>
      </c>
      <c r="K1148" t="s">
        <v>1280</v>
      </c>
      <c r="L1148" t="s">
        <v>4909</v>
      </c>
      <c r="M1148">
        <v>201114</v>
      </c>
      <c r="N1148" t="s">
        <v>4904</v>
      </c>
      <c r="O1148" t="s">
        <v>44</v>
      </c>
      <c r="P1148" t="s">
        <v>92</v>
      </c>
      <c r="Q1148" t="s">
        <v>26</v>
      </c>
      <c r="R1148" s="106">
        <f>IF(Table__192.168.1.150_Daily_Delinquency_With_Sectors[[#This Row],[Days in Arrears]] &gt; 0, Table__192.168.1.150_Daily_Delinquency_With_Sectors[[#This Row],[Outstanding Balance]],0)</f>
        <v>0</v>
      </c>
      <c r="S1148" s="106">
        <f>IF(Table__192.168.1.150_Daily_Delinquency_With_Sectors[[#This Row],[Days in Arrears]] &gt; 30, Table__192.168.1.150_Daily_Delinquency_With_Sectors[[#This Row],[Outstanding Balance]],0)</f>
        <v>0</v>
      </c>
      <c r="T1148" s="106">
        <f>IF(Table__192.168.1.150_Daily_Delinquency_With_Sectors[[#This Row],[Days in Arrears]] &gt; 90, Table__192.168.1.150_Daily_Delinquency_With_Sectors[[#This Row],[Outstanding Balance]],0)</f>
        <v>0</v>
      </c>
      <c r="U1148" s="380">
        <f>IF(Table__192.168.1.150_Daily_Delinquency_With_Sectors[[#This Row],[Days in Arrears]] &gt;= 1,1,0)</f>
        <v>0</v>
      </c>
      <c r="V1148" s="380">
        <f>IF(Table__192.168.1.150_Daily_Delinquency_With_Sectors[[#This Row],[Days in Arrears]] &gt; 30,1,0)</f>
        <v>0</v>
      </c>
      <c r="W1148" s="380">
        <f>IF(Table__192.168.1.150_Daily_Delinquency_With_Sectors[[#This Row],[Days in Arrears]] &gt; 90,1,0)</f>
        <v>0</v>
      </c>
    </row>
    <row r="1149" spans="1:23" x14ac:dyDescent="0.25">
      <c r="A1149" t="s">
        <v>3183</v>
      </c>
      <c r="B1149" t="s">
        <v>1282</v>
      </c>
      <c r="C1149">
        <v>-23</v>
      </c>
      <c r="D1149" s="106">
        <v>1598829.92</v>
      </c>
      <c r="E1149" t="s">
        <v>2557</v>
      </c>
      <c r="F1149" s="106">
        <v>12790.64</v>
      </c>
      <c r="G1149" s="106">
        <v>1864663.03</v>
      </c>
      <c r="H1149" s="406">
        <v>42903.522571180554</v>
      </c>
      <c r="I1149" s="406">
        <v>43268</v>
      </c>
      <c r="J1149" t="s">
        <v>3184</v>
      </c>
      <c r="K1149" t="s">
        <v>1280</v>
      </c>
      <c r="L1149" t="s">
        <v>1280</v>
      </c>
      <c r="M1149">
        <v>201115</v>
      </c>
      <c r="N1149" t="s">
        <v>3179</v>
      </c>
      <c r="O1149" t="s">
        <v>44</v>
      </c>
      <c r="P1149" t="s">
        <v>75</v>
      </c>
      <c r="Q1149" t="s">
        <v>1442</v>
      </c>
      <c r="R1149" s="106">
        <f>IF(Table__192.168.1.150_Daily_Delinquency_With_Sectors[[#This Row],[Days in Arrears]] &gt; 0, Table__192.168.1.150_Daily_Delinquency_With_Sectors[[#This Row],[Outstanding Balance]],0)</f>
        <v>0</v>
      </c>
      <c r="S1149" s="106">
        <f>IF(Table__192.168.1.150_Daily_Delinquency_With_Sectors[[#This Row],[Days in Arrears]] &gt; 30, Table__192.168.1.150_Daily_Delinquency_With_Sectors[[#This Row],[Outstanding Balance]],0)</f>
        <v>0</v>
      </c>
      <c r="T1149" s="106">
        <f>IF(Table__192.168.1.150_Daily_Delinquency_With_Sectors[[#This Row],[Days in Arrears]] &gt; 90, Table__192.168.1.150_Daily_Delinquency_With_Sectors[[#This Row],[Outstanding Balance]],0)</f>
        <v>0</v>
      </c>
      <c r="U1149" s="380">
        <f>IF(Table__192.168.1.150_Daily_Delinquency_With_Sectors[[#This Row],[Days in Arrears]] &gt;= 1,1,0)</f>
        <v>0</v>
      </c>
      <c r="V1149" s="380">
        <f>IF(Table__192.168.1.150_Daily_Delinquency_With_Sectors[[#This Row],[Days in Arrears]] &gt; 30,1,0)</f>
        <v>0</v>
      </c>
      <c r="W1149" s="380">
        <f>IF(Table__192.168.1.150_Daily_Delinquency_With_Sectors[[#This Row],[Days in Arrears]] &gt; 90,1,0)</f>
        <v>0</v>
      </c>
    </row>
    <row r="1150" spans="1:23" x14ac:dyDescent="0.25">
      <c r="A1150" t="s">
        <v>4912</v>
      </c>
      <c r="B1150" t="s">
        <v>1866</v>
      </c>
      <c r="C1150">
        <v>-25</v>
      </c>
      <c r="D1150" s="106">
        <v>2939904.34</v>
      </c>
      <c r="E1150" t="s">
        <v>2538</v>
      </c>
      <c r="F1150" s="106">
        <v>16332.8</v>
      </c>
      <c r="G1150" s="106">
        <v>3252392.09</v>
      </c>
      <c r="H1150" s="406">
        <v>42905.652842939817</v>
      </c>
      <c r="I1150" s="406">
        <v>43178</v>
      </c>
      <c r="J1150" t="s">
        <v>4913</v>
      </c>
      <c r="K1150" t="s">
        <v>1280</v>
      </c>
      <c r="L1150" t="s">
        <v>1280</v>
      </c>
      <c r="M1150">
        <v>201116</v>
      </c>
      <c r="N1150" t="s">
        <v>4910</v>
      </c>
      <c r="O1150" t="s">
        <v>25</v>
      </c>
      <c r="P1150" t="s">
        <v>88</v>
      </c>
      <c r="Q1150" t="s">
        <v>26</v>
      </c>
      <c r="R1150" s="106">
        <f>IF(Table__192.168.1.150_Daily_Delinquency_With_Sectors[[#This Row],[Days in Arrears]] &gt; 0, Table__192.168.1.150_Daily_Delinquency_With_Sectors[[#This Row],[Outstanding Balance]],0)</f>
        <v>0</v>
      </c>
      <c r="S1150" s="106">
        <f>IF(Table__192.168.1.150_Daily_Delinquency_With_Sectors[[#This Row],[Days in Arrears]] &gt; 30, Table__192.168.1.150_Daily_Delinquency_With_Sectors[[#This Row],[Outstanding Balance]],0)</f>
        <v>0</v>
      </c>
      <c r="T1150" s="106">
        <f>IF(Table__192.168.1.150_Daily_Delinquency_With_Sectors[[#This Row],[Days in Arrears]] &gt; 90, Table__192.168.1.150_Daily_Delinquency_With_Sectors[[#This Row],[Outstanding Balance]],0)</f>
        <v>0</v>
      </c>
      <c r="U1150" s="380">
        <f>IF(Table__192.168.1.150_Daily_Delinquency_With_Sectors[[#This Row],[Days in Arrears]] &gt;= 1,1,0)</f>
        <v>0</v>
      </c>
      <c r="V1150" s="380">
        <f>IF(Table__192.168.1.150_Daily_Delinquency_With_Sectors[[#This Row],[Days in Arrears]] &gt; 30,1,0)</f>
        <v>0</v>
      </c>
      <c r="W1150" s="380">
        <f>IF(Table__192.168.1.150_Daily_Delinquency_With_Sectors[[#This Row],[Days in Arrears]] &gt; 90,1,0)</f>
        <v>0</v>
      </c>
    </row>
    <row r="1151" spans="1:23" x14ac:dyDescent="0.25">
      <c r="A1151" t="s">
        <v>4914</v>
      </c>
      <c r="B1151" t="s">
        <v>1279</v>
      </c>
      <c r="C1151">
        <v>5</v>
      </c>
      <c r="D1151" s="105">
        <v>3501447.84</v>
      </c>
      <c r="E1151" t="s">
        <v>4844</v>
      </c>
      <c r="F1151" s="105">
        <v>182139.68</v>
      </c>
      <c r="G1151" s="105">
        <v>4108614.18</v>
      </c>
      <c r="H1151" s="538">
        <v>42905.707433530093</v>
      </c>
      <c r="I1151" s="538">
        <v>43270</v>
      </c>
      <c r="J1151" t="s">
        <v>4915</v>
      </c>
      <c r="K1151" t="s">
        <v>1280</v>
      </c>
      <c r="L1151" t="s">
        <v>1280</v>
      </c>
      <c r="M1151">
        <v>201117</v>
      </c>
      <c r="N1151" t="s">
        <v>4911</v>
      </c>
      <c r="O1151" t="s">
        <v>25</v>
      </c>
      <c r="P1151" t="s">
        <v>26</v>
      </c>
      <c r="Q1151" t="s">
        <v>26</v>
      </c>
      <c r="R1151" s="105">
        <f>IF(Table__192.168.1.150_Daily_Delinquency_With_Sectors[[#This Row],[Days in Arrears]] &gt; 0, Table__192.168.1.150_Daily_Delinquency_With_Sectors[[#This Row],[Outstanding Balance]],0)</f>
        <v>3501447.84</v>
      </c>
      <c r="S1151" s="105">
        <f>IF(Table__192.168.1.150_Daily_Delinquency_With_Sectors[[#This Row],[Days in Arrears]] &gt; 30, Table__192.168.1.150_Daily_Delinquency_With_Sectors[[#This Row],[Outstanding Balance]],0)</f>
        <v>0</v>
      </c>
      <c r="T1151" s="105">
        <f>IF(Table__192.168.1.150_Daily_Delinquency_With_Sectors[[#This Row],[Days in Arrears]] &gt; 90, Table__192.168.1.150_Daily_Delinquency_With_Sectors[[#This Row],[Outstanding Balance]],0)</f>
        <v>0</v>
      </c>
      <c r="U1151" s="109">
        <f>IF(Table__192.168.1.150_Daily_Delinquency_With_Sectors[[#This Row],[Days in Arrears]] &gt;= 1,1,0)</f>
        <v>1</v>
      </c>
      <c r="V1151" s="109">
        <f>IF(Table__192.168.1.150_Daily_Delinquency_With_Sectors[[#This Row],[Days in Arrears]] &gt; 30,1,0)</f>
        <v>0</v>
      </c>
      <c r="W1151" s="109">
        <f>IF(Table__192.168.1.150_Daily_Delinquency_With_Sectors[[#This Row],[Days in Arrears]] &gt; 90,1,0)</f>
        <v>0</v>
      </c>
    </row>
    <row r="1152" spans="1:23" x14ac:dyDescent="0.25">
      <c r="A1152" t="s">
        <v>3595</v>
      </c>
      <c r="B1152" t="s">
        <v>1282</v>
      </c>
      <c r="C1152">
        <v>-26</v>
      </c>
      <c r="D1152" s="105">
        <v>2744346.9</v>
      </c>
      <c r="E1152" t="s">
        <v>4683</v>
      </c>
      <c r="F1152" s="105">
        <v>10977.39</v>
      </c>
      <c r="G1152" s="105">
        <v>3082273.62</v>
      </c>
      <c r="H1152" s="538">
        <v>42906.382008136577</v>
      </c>
      <c r="I1152" s="538">
        <v>43210</v>
      </c>
      <c r="J1152" t="s">
        <v>3596</v>
      </c>
      <c r="K1152" t="s">
        <v>1280</v>
      </c>
      <c r="L1152" t="s">
        <v>1280</v>
      </c>
      <c r="M1152">
        <v>201118</v>
      </c>
      <c r="N1152" t="s">
        <v>3547</v>
      </c>
      <c r="O1152" t="s">
        <v>25</v>
      </c>
      <c r="P1152" t="s">
        <v>26</v>
      </c>
      <c r="Q1152" t="s">
        <v>26</v>
      </c>
      <c r="R1152" s="105">
        <f>IF(Table__192.168.1.150_Daily_Delinquency_With_Sectors[[#This Row],[Days in Arrears]] &gt; 0, Table__192.168.1.150_Daily_Delinquency_With_Sectors[[#This Row],[Outstanding Balance]],0)</f>
        <v>0</v>
      </c>
      <c r="S1152" s="105">
        <f>IF(Table__192.168.1.150_Daily_Delinquency_With_Sectors[[#This Row],[Days in Arrears]] &gt; 30, Table__192.168.1.150_Daily_Delinquency_With_Sectors[[#This Row],[Outstanding Balance]],0)</f>
        <v>0</v>
      </c>
      <c r="T1152" s="105">
        <f>IF(Table__192.168.1.150_Daily_Delinquency_With_Sectors[[#This Row],[Days in Arrears]] &gt; 90, Table__192.168.1.150_Daily_Delinquency_With_Sectors[[#This Row],[Outstanding Balance]],0)</f>
        <v>0</v>
      </c>
      <c r="U1152" s="109">
        <f>IF(Table__192.168.1.150_Daily_Delinquency_With_Sectors[[#This Row],[Days in Arrears]] &gt;= 1,1,0)</f>
        <v>0</v>
      </c>
      <c r="V1152" s="109">
        <f>IF(Table__192.168.1.150_Daily_Delinquency_With_Sectors[[#This Row],[Days in Arrears]] &gt; 30,1,0)</f>
        <v>0</v>
      </c>
      <c r="W1152" s="109">
        <f>IF(Table__192.168.1.150_Daily_Delinquency_With_Sectors[[#This Row],[Days in Arrears]] &gt; 90,1,0)</f>
        <v>0</v>
      </c>
    </row>
    <row r="1153" spans="1:23" x14ac:dyDescent="0.25">
      <c r="A1153" t="s">
        <v>4920</v>
      </c>
      <c r="B1153" t="s">
        <v>1282</v>
      </c>
      <c r="C1153">
        <v>4</v>
      </c>
      <c r="D1153" s="105">
        <v>907674.51</v>
      </c>
      <c r="E1153" t="s">
        <v>4919</v>
      </c>
      <c r="F1153" s="105">
        <v>42932.56</v>
      </c>
      <c r="G1153" s="105">
        <v>969391.94</v>
      </c>
      <c r="H1153" s="538">
        <v>42906.535172800926</v>
      </c>
      <c r="I1153" s="538">
        <v>43089</v>
      </c>
      <c r="J1153" t="s">
        <v>4921</v>
      </c>
      <c r="K1153" t="s">
        <v>1280</v>
      </c>
      <c r="L1153" t="s">
        <v>4922</v>
      </c>
      <c r="M1153">
        <v>201119</v>
      </c>
      <c r="N1153" t="s">
        <v>4918</v>
      </c>
      <c r="O1153" t="s">
        <v>25</v>
      </c>
      <c r="P1153" t="s">
        <v>26</v>
      </c>
      <c r="Q1153" t="s">
        <v>26</v>
      </c>
      <c r="R1153" s="105">
        <f>IF(Table__192.168.1.150_Daily_Delinquency_With_Sectors[[#This Row],[Days in Arrears]] &gt; 0, Table__192.168.1.150_Daily_Delinquency_With_Sectors[[#This Row],[Outstanding Balance]],0)</f>
        <v>907674.51</v>
      </c>
      <c r="S1153" s="105">
        <f>IF(Table__192.168.1.150_Daily_Delinquency_With_Sectors[[#This Row],[Days in Arrears]] &gt; 30, Table__192.168.1.150_Daily_Delinquency_With_Sectors[[#This Row],[Outstanding Balance]],0)</f>
        <v>0</v>
      </c>
      <c r="T1153" s="105">
        <f>IF(Table__192.168.1.150_Daily_Delinquency_With_Sectors[[#This Row],[Days in Arrears]] &gt; 90, Table__192.168.1.150_Daily_Delinquency_With_Sectors[[#This Row],[Outstanding Balance]],0)</f>
        <v>0</v>
      </c>
      <c r="U1153" s="109">
        <f>IF(Table__192.168.1.150_Daily_Delinquency_With_Sectors[[#This Row],[Days in Arrears]] &gt;= 1,1,0)</f>
        <v>1</v>
      </c>
      <c r="V1153" s="109">
        <f>IF(Table__192.168.1.150_Daily_Delinquency_With_Sectors[[#This Row],[Days in Arrears]] &gt; 30,1,0)</f>
        <v>0</v>
      </c>
      <c r="W1153" s="109">
        <f>IF(Table__192.168.1.150_Daily_Delinquency_With_Sectors[[#This Row],[Days in Arrears]] &gt; 90,1,0)</f>
        <v>0</v>
      </c>
    </row>
    <row r="1154" spans="1:23" x14ac:dyDescent="0.25">
      <c r="A1154" t="s">
        <v>4923</v>
      </c>
      <c r="B1154" t="s">
        <v>1282</v>
      </c>
      <c r="C1154">
        <v>-26</v>
      </c>
      <c r="D1154" s="105">
        <v>1615575.13</v>
      </c>
      <c r="E1154" t="s">
        <v>2538</v>
      </c>
      <c r="F1154" s="105">
        <v>7270.09</v>
      </c>
      <c r="G1154" s="105">
        <v>1919158.3</v>
      </c>
      <c r="H1154" s="538">
        <v>42906.51932230324</v>
      </c>
      <c r="I1154" s="538">
        <v>43271</v>
      </c>
      <c r="J1154" t="s">
        <v>4924</v>
      </c>
      <c r="K1154" t="s">
        <v>1280</v>
      </c>
      <c r="L1154" t="s">
        <v>1280</v>
      </c>
      <c r="M1154">
        <v>201120</v>
      </c>
      <c r="N1154" t="s">
        <v>4917</v>
      </c>
      <c r="O1154" t="s">
        <v>25</v>
      </c>
      <c r="P1154" t="s">
        <v>26</v>
      </c>
      <c r="Q1154" t="s">
        <v>26</v>
      </c>
      <c r="R1154" s="105">
        <f>IF(Table__192.168.1.150_Daily_Delinquency_With_Sectors[[#This Row],[Days in Arrears]] &gt; 0, Table__192.168.1.150_Daily_Delinquency_With_Sectors[[#This Row],[Outstanding Balance]],0)</f>
        <v>0</v>
      </c>
      <c r="S1154" s="105">
        <f>IF(Table__192.168.1.150_Daily_Delinquency_With_Sectors[[#This Row],[Days in Arrears]] &gt; 30, Table__192.168.1.150_Daily_Delinquency_With_Sectors[[#This Row],[Outstanding Balance]],0)</f>
        <v>0</v>
      </c>
      <c r="T1154" s="105">
        <f>IF(Table__192.168.1.150_Daily_Delinquency_With_Sectors[[#This Row],[Days in Arrears]] &gt; 90, Table__192.168.1.150_Daily_Delinquency_With_Sectors[[#This Row],[Outstanding Balance]],0)</f>
        <v>0</v>
      </c>
      <c r="U1154" s="109">
        <f>IF(Table__192.168.1.150_Daily_Delinquency_With_Sectors[[#This Row],[Days in Arrears]] &gt;= 1,1,0)</f>
        <v>0</v>
      </c>
      <c r="V1154" s="109">
        <f>IF(Table__192.168.1.150_Daily_Delinquency_With_Sectors[[#This Row],[Days in Arrears]] &gt; 30,1,0)</f>
        <v>0</v>
      </c>
      <c r="W1154" s="109">
        <f>IF(Table__192.168.1.150_Daily_Delinquency_With_Sectors[[#This Row],[Days in Arrears]] &gt; 90,1,0)</f>
        <v>0</v>
      </c>
    </row>
    <row r="1155" spans="1:23" x14ac:dyDescent="0.25">
      <c r="A1155" t="s">
        <v>2245</v>
      </c>
      <c r="B1155" t="s">
        <v>1866</v>
      </c>
      <c r="C1155">
        <v>4</v>
      </c>
      <c r="D1155" s="105">
        <v>4280211.46</v>
      </c>
      <c r="E1155" t="s">
        <v>1448</v>
      </c>
      <c r="F1155" s="105">
        <v>170911.61</v>
      </c>
      <c r="G1155" s="105">
        <v>5016075.22</v>
      </c>
      <c r="H1155" s="538">
        <v>42906.706998182868</v>
      </c>
      <c r="I1155" s="538">
        <v>43271</v>
      </c>
      <c r="J1155" t="s">
        <v>2246</v>
      </c>
      <c r="K1155" t="s">
        <v>1280</v>
      </c>
      <c r="L1155" t="s">
        <v>1280</v>
      </c>
      <c r="M1155">
        <v>201121</v>
      </c>
      <c r="N1155" t="s">
        <v>2236</v>
      </c>
      <c r="O1155" t="s">
        <v>25</v>
      </c>
      <c r="P1155" t="s">
        <v>88</v>
      </c>
      <c r="Q1155" t="s">
        <v>285</v>
      </c>
      <c r="R1155" s="105">
        <f>IF(Table__192.168.1.150_Daily_Delinquency_With_Sectors[[#This Row],[Days in Arrears]] &gt; 0, Table__192.168.1.150_Daily_Delinquency_With_Sectors[[#This Row],[Outstanding Balance]],0)</f>
        <v>4280211.46</v>
      </c>
      <c r="S1155" s="105">
        <f>IF(Table__192.168.1.150_Daily_Delinquency_With_Sectors[[#This Row],[Days in Arrears]] &gt; 30, Table__192.168.1.150_Daily_Delinquency_With_Sectors[[#This Row],[Outstanding Balance]],0)</f>
        <v>0</v>
      </c>
      <c r="T1155" s="105">
        <f>IF(Table__192.168.1.150_Daily_Delinquency_With_Sectors[[#This Row],[Days in Arrears]] &gt; 90, Table__192.168.1.150_Daily_Delinquency_With_Sectors[[#This Row],[Outstanding Balance]],0)</f>
        <v>0</v>
      </c>
      <c r="U1155" s="109">
        <f>IF(Table__192.168.1.150_Daily_Delinquency_With_Sectors[[#This Row],[Days in Arrears]] &gt;= 1,1,0)</f>
        <v>1</v>
      </c>
      <c r="V1155" s="109">
        <f>IF(Table__192.168.1.150_Daily_Delinquency_With_Sectors[[#This Row],[Days in Arrears]] &gt; 30,1,0)</f>
        <v>0</v>
      </c>
      <c r="W1155" s="109">
        <f>IF(Table__192.168.1.150_Daily_Delinquency_With_Sectors[[#This Row],[Days in Arrears]] &gt; 90,1,0)</f>
        <v>0</v>
      </c>
    </row>
    <row r="1156" spans="1:23" x14ac:dyDescent="0.25">
      <c r="A1156" t="s">
        <v>4925</v>
      </c>
      <c r="B1156" t="s">
        <v>1283</v>
      </c>
      <c r="C1156">
        <v>-26</v>
      </c>
      <c r="D1156" s="105">
        <v>25219284.5</v>
      </c>
      <c r="E1156" t="s">
        <v>1909</v>
      </c>
      <c r="F1156" s="105">
        <v>84064.28</v>
      </c>
      <c r="G1156" s="105">
        <v>28692015.23</v>
      </c>
      <c r="H1156" s="538">
        <v>42906.581479479166</v>
      </c>
      <c r="I1156" s="538">
        <v>43271</v>
      </c>
      <c r="J1156" t="s">
        <v>4926</v>
      </c>
      <c r="K1156" t="s">
        <v>1280</v>
      </c>
      <c r="L1156" t="s">
        <v>1280</v>
      </c>
      <c r="M1156">
        <v>201123</v>
      </c>
      <c r="N1156" t="s">
        <v>4916</v>
      </c>
      <c r="O1156" t="s">
        <v>27</v>
      </c>
      <c r="P1156" t="s">
        <v>116</v>
      </c>
      <c r="Q1156" t="s">
        <v>26</v>
      </c>
      <c r="R1156" s="105">
        <f>IF(Table__192.168.1.150_Daily_Delinquency_With_Sectors[[#This Row],[Days in Arrears]] &gt; 0, Table__192.168.1.150_Daily_Delinquency_With_Sectors[[#This Row],[Outstanding Balance]],0)</f>
        <v>0</v>
      </c>
      <c r="S1156" s="105">
        <f>IF(Table__192.168.1.150_Daily_Delinquency_With_Sectors[[#This Row],[Days in Arrears]] &gt; 30, Table__192.168.1.150_Daily_Delinquency_With_Sectors[[#This Row],[Outstanding Balance]],0)</f>
        <v>0</v>
      </c>
      <c r="T1156" s="105">
        <f>IF(Table__192.168.1.150_Daily_Delinquency_With_Sectors[[#This Row],[Days in Arrears]] &gt; 90, Table__192.168.1.150_Daily_Delinquency_With_Sectors[[#This Row],[Outstanding Balance]],0)</f>
        <v>0</v>
      </c>
      <c r="U1156" s="109">
        <f>IF(Table__192.168.1.150_Daily_Delinquency_With_Sectors[[#This Row],[Days in Arrears]] &gt;= 1,1,0)</f>
        <v>0</v>
      </c>
      <c r="V1156" s="109">
        <f>IF(Table__192.168.1.150_Daily_Delinquency_With_Sectors[[#This Row],[Days in Arrears]] &gt; 30,1,0)</f>
        <v>0</v>
      </c>
      <c r="W1156" s="109">
        <f>IF(Table__192.168.1.150_Daily_Delinquency_With_Sectors[[#This Row],[Days in Arrears]] &gt; 90,1,0)</f>
        <v>0</v>
      </c>
    </row>
    <row r="1157" spans="1:23" x14ac:dyDescent="0.25">
      <c r="A1157" t="s">
        <v>2599</v>
      </c>
      <c r="B1157" t="s">
        <v>1285</v>
      </c>
      <c r="C1157">
        <v>-27</v>
      </c>
      <c r="D1157" s="105">
        <v>9953772.6699999999</v>
      </c>
      <c r="E1157" t="s">
        <v>284</v>
      </c>
      <c r="F1157" s="105">
        <v>12165.72</v>
      </c>
      <c r="G1157" s="105">
        <v>13137375.1</v>
      </c>
      <c r="H1157" s="540">
        <v>42906.719259953701</v>
      </c>
      <c r="I1157" s="540">
        <v>44003</v>
      </c>
      <c r="J1157" t="s">
        <v>2600</v>
      </c>
      <c r="K1157" t="s">
        <v>1280</v>
      </c>
      <c r="L1157" t="s">
        <v>1280</v>
      </c>
      <c r="M1157">
        <v>201124</v>
      </c>
      <c r="N1157" t="s">
        <v>2593</v>
      </c>
      <c r="O1157" t="s">
        <v>43</v>
      </c>
      <c r="P1157" t="s">
        <v>338</v>
      </c>
      <c r="Q1157" t="s">
        <v>339</v>
      </c>
      <c r="R1157" s="105">
        <f>IF(Table__192.168.1.150_Daily_Delinquency_With_Sectors[[#This Row],[Days in Arrears]] &gt; 0, Table__192.168.1.150_Daily_Delinquency_With_Sectors[[#This Row],[Outstanding Balance]],0)</f>
        <v>0</v>
      </c>
      <c r="S1157" s="105">
        <f>IF(Table__192.168.1.150_Daily_Delinquency_With_Sectors[[#This Row],[Days in Arrears]] &gt; 30, Table__192.168.1.150_Daily_Delinquency_With_Sectors[[#This Row],[Outstanding Balance]],0)</f>
        <v>0</v>
      </c>
      <c r="T1157" s="105">
        <f>IF(Table__192.168.1.150_Daily_Delinquency_With_Sectors[[#This Row],[Days in Arrears]] &gt; 90, Table__192.168.1.150_Daily_Delinquency_With_Sectors[[#This Row],[Outstanding Balance]],0)</f>
        <v>0</v>
      </c>
      <c r="U1157" s="109">
        <f>IF(Table__192.168.1.150_Daily_Delinquency_With_Sectors[[#This Row],[Days in Arrears]] &gt;= 1,1,0)</f>
        <v>0</v>
      </c>
      <c r="V1157" s="109">
        <f>IF(Table__192.168.1.150_Daily_Delinquency_With_Sectors[[#This Row],[Days in Arrears]] &gt; 30,1,0)</f>
        <v>0</v>
      </c>
      <c r="W1157" s="109">
        <f>IF(Table__192.168.1.150_Daily_Delinquency_With_Sectors[[#This Row],[Days in Arrears]] &gt; 90,1,0)</f>
        <v>0</v>
      </c>
    </row>
    <row r="1158" spans="1:23" x14ac:dyDescent="0.25">
      <c r="A1158" t="s">
        <v>4940</v>
      </c>
      <c r="B1158" t="s">
        <v>1284</v>
      </c>
      <c r="C1158">
        <v>-28</v>
      </c>
      <c r="D1158" s="105">
        <v>9457231.7100000009</v>
      </c>
      <c r="E1158" t="s">
        <v>2538</v>
      </c>
      <c r="F1158" s="105">
        <v>10508.04</v>
      </c>
      <c r="G1158" s="105">
        <v>10759505.74</v>
      </c>
      <c r="H1158" s="540">
        <v>42908.44984548611</v>
      </c>
      <c r="I1158" s="540">
        <v>43273</v>
      </c>
      <c r="J1158" t="s">
        <v>4941</v>
      </c>
      <c r="K1158" t="s">
        <v>1280</v>
      </c>
      <c r="L1158" t="s">
        <v>4942</v>
      </c>
      <c r="M1158">
        <v>201125</v>
      </c>
      <c r="N1158" t="s">
        <v>4938</v>
      </c>
      <c r="O1158" t="s">
        <v>44</v>
      </c>
      <c r="P1158" t="s">
        <v>26</v>
      </c>
      <c r="Q1158" t="s">
        <v>26</v>
      </c>
      <c r="R1158" s="105">
        <f>IF(Table__192.168.1.150_Daily_Delinquency_With_Sectors[[#This Row],[Days in Arrears]] &gt; 0, Table__192.168.1.150_Daily_Delinquency_With_Sectors[[#This Row],[Outstanding Balance]],0)</f>
        <v>0</v>
      </c>
      <c r="S1158" s="105">
        <f>IF(Table__192.168.1.150_Daily_Delinquency_With_Sectors[[#This Row],[Days in Arrears]] &gt; 30, Table__192.168.1.150_Daily_Delinquency_With_Sectors[[#This Row],[Outstanding Balance]],0)</f>
        <v>0</v>
      </c>
      <c r="T1158" s="105">
        <f>IF(Table__192.168.1.150_Daily_Delinquency_With_Sectors[[#This Row],[Days in Arrears]] &gt; 90, Table__192.168.1.150_Daily_Delinquency_With_Sectors[[#This Row],[Outstanding Balance]],0)</f>
        <v>0</v>
      </c>
      <c r="U1158" s="109">
        <f>IF(Table__192.168.1.150_Daily_Delinquency_With_Sectors[[#This Row],[Days in Arrears]] &gt;= 1,1,0)</f>
        <v>0</v>
      </c>
      <c r="V1158" s="109">
        <f>IF(Table__192.168.1.150_Daily_Delinquency_With_Sectors[[#This Row],[Days in Arrears]] &gt; 30,1,0)</f>
        <v>0</v>
      </c>
      <c r="W1158" s="109">
        <f>IF(Table__192.168.1.150_Daily_Delinquency_With_Sectors[[#This Row],[Days in Arrears]] &gt; 90,1,0)</f>
        <v>0</v>
      </c>
    </row>
    <row r="1159" spans="1:23" x14ac:dyDescent="0.25">
      <c r="A1159" t="s">
        <v>4950</v>
      </c>
      <c r="B1159" t="s">
        <v>1283</v>
      </c>
      <c r="C1159">
        <v>30</v>
      </c>
      <c r="D1159" s="105">
        <v>31423796.66</v>
      </c>
      <c r="E1159" t="s">
        <v>491</v>
      </c>
      <c r="F1159" s="105">
        <v>1961681.58</v>
      </c>
      <c r="G1159" s="105">
        <v>36889733.850000001</v>
      </c>
      <c r="H1159" s="540">
        <v>42910.50086177083</v>
      </c>
      <c r="I1159" s="540">
        <v>43275</v>
      </c>
      <c r="J1159" t="s">
        <v>4951</v>
      </c>
      <c r="K1159" t="s">
        <v>1280</v>
      </c>
      <c r="L1159" t="s">
        <v>1280</v>
      </c>
      <c r="M1159">
        <v>201126</v>
      </c>
      <c r="N1159" t="s">
        <v>4949</v>
      </c>
      <c r="O1159" t="s">
        <v>25</v>
      </c>
      <c r="P1159" t="s">
        <v>26</v>
      </c>
      <c r="Q1159" t="s">
        <v>26</v>
      </c>
      <c r="R1159" s="105">
        <f>IF(Table__192.168.1.150_Daily_Delinquency_With_Sectors[[#This Row],[Days in Arrears]] &gt; 0, Table__192.168.1.150_Daily_Delinquency_With_Sectors[[#This Row],[Outstanding Balance]],0)</f>
        <v>31423796.66</v>
      </c>
      <c r="S1159" s="105">
        <f>IF(Table__192.168.1.150_Daily_Delinquency_With_Sectors[[#This Row],[Days in Arrears]] &gt; 30, Table__192.168.1.150_Daily_Delinquency_With_Sectors[[#This Row],[Outstanding Balance]],0)</f>
        <v>0</v>
      </c>
      <c r="T1159" s="105">
        <f>IF(Table__192.168.1.150_Daily_Delinquency_With_Sectors[[#This Row],[Days in Arrears]] &gt; 90, Table__192.168.1.150_Daily_Delinquency_With_Sectors[[#This Row],[Outstanding Balance]],0)</f>
        <v>0</v>
      </c>
      <c r="U1159" s="109">
        <f>IF(Table__192.168.1.150_Daily_Delinquency_With_Sectors[[#This Row],[Days in Arrears]] &gt;= 1,1,0)</f>
        <v>1</v>
      </c>
      <c r="V1159" s="109">
        <f>IF(Table__192.168.1.150_Daily_Delinquency_With_Sectors[[#This Row],[Days in Arrears]] &gt; 30,1,0)</f>
        <v>0</v>
      </c>
      <c r="W1159" s="109">
        <f>IF(Table__192.168.1.150_Daily_Delinquency_With_Sectors[[#This Row],[Days in Arrears]] &gt; 90,1,0)</f>
        <v>0</v>
      </c>
    </row>
    <row r="1160" spans="1:23" x14ac:dyDescent="0.25">
      <c r="A1160" t="s">
        <v>2878</v>
      </c>
      <c r="B1160" t="s">
        <v>1282</v>
      </c>
      <c r="C1160">
        <v>3</v>
      </c>
      <c r="D1160" s="105">
        <v>1928908.93</v>
      </c>
      <c r="E1160" t="s">
        <v>4684</v>
      </c>
      <c r="F1160" s="105">
        <v>5116.26</v>
      </c>
      <c r="G1160" s="105">
        <v>2247908.67</v>
      </c>
      <c r="H1160" s="540">
        <v>42907.513442013886</v>
      </c>
      <c r="I1160" s="540">
        <v>43272</v>
      </c>
      <c r="J1160" t="s">
        <v>2879</v>
      </c>
      <c r="K1160" t="s">
        <v>2880</v>
      </c>
      <c r="L1160" t="s">
        <v>1280</v>
      </c>
      <c r="M1160">
        <v>201127</v>
      </c>
      <c r="N1160" t="s">
        <v>2875</v>
      </c>
      <c r="O1160" t="s">
        <v>25</v>
      </c>
      <c r="P1160" t="s">
        <v>88</v>
      </c>
      <c r="Q1160" t="s">
        <v>285</v>
      </c>
      <c r="R1160" s="105">
        <f>IF(Table__192.168.1.150_Daily_Delinquency_With_Sectors[[#This Row],[Days in Arrears]] &gt; 0, Table__192.168.1.150_Daily_Delinquency_With_Sectors[[#This Row],[Outstanding Balance]],0)</f>
        <v>1928908.93</v>
      </c>
      <c r="S1160" s="105">
        <f>IF(Table__192.168.1.150_Daily_Delinquency_With_Sectors[[#This Row],[Days in Arrears]] &gt; 30, Table__192.168.1.150_Daily_Delinquency_With_Sectors[[#This Row],[Outstanding Balance]],0)</f>
        <v>0</v>
      </c>
      <c r="T1160" s="105">
        <f>IF(Table__192.168.1.150_Daily_Delinquency_With_Sectors[[#This Row],[Days in Arrears]] &gt; 90, Table__192.168.1.150_Daily_Delinquency_With_Sectors[[#This Row],[Outstanding Balance]],0)</f>
        <v>0</v>
      </c>
      <c r="U1160" s="109">
        <f>IF(Table__192.168.1.150_Daily_Delinquency_With_Sectors[[#This Row],[Days in Arrears]] &gt;= 1,1,0)</f>
        <v>1</v>
      </c>
      <c r="V1160" s="109">
        <f>IF(Table__192.168.1.150_Daily_Delinquency_With_Sectors[[#This Row],[Days in Arrears]] &gt; 30,1,0)</f>
        <v>0</v>
      </c>
      <c r="W1160" s="109">
        <f>IF(Table__192.168.1.150_Daily_Delinquency_With_Sectors[[#This Row],[Days in Arrears]] &gt; 90,1,0)</f>
        <v>0</v>
      </c>
    </row>
    <row r="1161" spans="1:23" x14ac:dyDescent="0.25">
      <c r="A1161" t="s">
        <v>4945</v>
      </c>
      <c r="B1161" t="s">
        <v>1284</v>
      </c>
      <c r="C1161">
        <v>1</v>
      </c>
      <c r="D1161" s="105">
        <v>29936502.710000001</v>
      </c>
      <c r="E1161" t="s">
        <v>1925</v>
      </c>
      <c r="F1161" s="105">
        <v>1030034.46</v>
      </c>
      <c r="G1161" s="105">
        <v>40836849.310000002</v>
      </c>
      <c r="H1161" s="540">
        <v>42909.555756562499</v>
      </c>
      <c r="I1161" s="540">
        <v>43639</v>
      </c>
      <c r="J1161" t="s">
        <v>4946</v>
      </c>
      <c r="K1161" t="s">
        <v>1280</v>
      </c>
      <c r="L1161" t="s">
        <v>1280</v>
      </c>
      <c r="M1161">
        <v>201131</v>
      </c>
      <c r="N1161" t="s">
        <v>4943</v>
      </c>
      <c r="O1161" t="s">
        <v>27</v>
      </c>
      <c r="P1161" t="s">
        <v>116</v>
      </c>
      <c r="Q1161" t="s">
        <v>1739</v>
      </c>
      <c r="R1161" s="105">
        <f>IF(Table__192.168.1.150_Daily_Delinquency_With_Sectors[[#This Row],[Days in Arrears]] &gt; 0, Table__192.168.1.150_Daily_Delinquency_With_Sectors[[#This Row],[Outstanding Balance]],0)</f>
        <v>29936502.710000001</v>
      </c>
      <c r="S1161" s="105">
        <f>IF(Table__192.168.1.150_Daily_Delinquency_With_Sectors[[#This Row],[Days in Arrears]] &gt; 30, Table__192.168.1.150_Daily_Delinquency_With_Sectors[[#This Row],[Outstanding Balance]],0)</f>
        <v>0</v>
      </c>
      <c r="T1161" s="105">
        <f>IF(Table__192.168.1.150_Daily_Delinquency_With_Sectors[[#This Row],[Days in Arrears]] &gt; 90, Table__192.168.1.150_Daily_Delinquency_With_Sectors[[#This Row],[Outstanding Balance]],0)</f>
        <v>0</v>
      </c>
      <c r="U1161" s="109">
        <f>IF(Table__192.168.1.150_Daily_Delinquency_With_Sectors[[#This Row],[Days in Arrears]] &gt;= 1,1,0)</f>
        <v>1</v>
      </c>
      <c r="V1161" s="109">
        <f>IF(Table__192.168.1.150_Daily_Delinquency_With_Sectors[[#This Row],[Days in Arrears]] &gt; 30,1,0)</f>
        <v>0</v>
      </c>
      <c r="W1161" s="109">
        <f>IF(Table__192.168.1.150_Daily_Delinquency_With_Sectors[[#This Row],[Days in Arrears]] &gt; 90,1,0)</f>
        <v>0</v>
      </c>
    </row>
    <row r="1162" spans="1:23" x14ac:dyDescent="0.25">
      <c r="A1162" t="s">
        <v>3674</v>
      </c>
      <c r="B1162" t="s">
        <v>1279</v>
      </c>
      <c r="C1162">
        <v>-29</v>
      </c>
      <c r="D1162" s="105">
        <v>1918595.89</v>
      </c>
      <c r="E1162" t="s">
        <v>2034</v>
      </c>
      <c r="F1162" s="105">
        <v>86086.63</v>
      </c>
      <c r="G1162" s="105">
        <v>2237595.63</v>
      </c>
      <c r="H1162" s="597">
        <v>42909.715059178241</v>
      </c>
      <c r="I1162" s="597">
        <v>43274</v>
      </c>
      <c r="J1162" t="s">
        <v>3675</v>
      </c>
      <c r="K1162" t="s">
        <v>1280</v>
      </c>
      <c r="L1162" t="s">
        <v>1280</v>
      </c>
      <c r="M1162">
        <v>201132</v>
      </c>
      <c r="N1162" t="s">
        <v>3668</v>
      </c>
      <c r="O1162" t="s">
        <v>25</v>
      </c>
      <c r="P1162" t="s">
        <v>88</v>
      </c>
      <c r="Q1162" t="s">
        <v>285</v>
      </c>
      <c r="R1162" s="105">
        <f>IF(Table__192.168.1.150_Daily_Delinquency_With_Sectors[[#This Row],[Days in Arrears]] &gt; 0, Table__192.168.1.150_Daily_Delinquency_With_Sectors[[#This Row],[Outstanding Balance]],0)</f>
        <v>0</v>
      </c>
      <c r="S1162" s="105">
        <f>IF(Table__192.168.1.150_Daily_Delinquency_With_Sectors[[#This Row],[Days in Arrears]] &gt; 30, Table__192.168.1.150_Daily_Delinquency_With_Sectors[[#This Row],[Outstanding Balance]],0)</f>
        <v>0</v>
      </c>
      <c r="T1162" s="105">
        <f>IF(Table__192.168.1.150_Daily_Delinquency_With_Sectors[[#This Row],[Days in Arrears]] &gt; 90, Table__192.168.1.150_Daily_Delinquency_With_Sectors[[#This Row],[Outstanding Balance]],0)</f>
        <v>0</v>
      </c>
      <c r="U1162" s="109">
        <f>IF(Table__192.168.1.150_Daily_Delinquency_With_Sectors[[#This Row],[Days in Arrears]] &gt;= 1,1,0)</f>
        <v>0</v>
      </c>
      <c r="V1162" s="109">
        <f>IF(Table__192.168.1.150_Daily_Delinquency_With_Sectors[[#This Row],[Days in Arrears]] &gt; 30,1,0)</f>
        <v>0</v>
      </c>
      <c r="W1162" s="109">
        <f>IF(Table__192.168.1.150_Daily_Delinquency_With_Sectors[[#This Row],[Days in Arrears]] &gt; 90,1,0)</f>
        <v>0</v>
      </c>
    </row>
    <row r="1163" spans="1:23" x14ac:dyDescent="0.25">
      <c r="A1163" t="s">
        <v>4947</v>
      </c>
      <c r="B1163" t="s">
        <v>1281</v>
      </c>
      <c r="C1163">
        <v>1</v>
      </c>
      <c r="D1163" s="105">
        <v>14226881.300000001</v>
      </c>
      <c r="E1163" t="s">
        <v>2175</v>
      </c>
      <c r="F1163" s="105">
        <v>497940.85</v>
      </c>
      <c r="G1163" s="105">
        <v>16545930.09</v>
      </c>
      <c r="H1163" s="597">
        <v>42909.698539201388</v>
      </c>
      <c r="I1163" s="597">
        <v>43274</v>
      </c>
      <c r="J1163" t="s">
        <v>4948</v>
      </c>
      <c r="K1163" t="s">
        <v>1280</v>
      </c>
      <c r="L1163" t="s">
        <v>1280</v>
      </c>
      <c r="M1163">
        <v>201134</v>
      </c>
      <c r="N1163" t="s">
        <v>4944</v>
      </c>
      <c r="O1163" t="s">
        <v>44</v>
      </c>
      <c r="P1163" t="s">
        <v>75</v>
      </c>
      <c r="Q1163" t="s">
        <v>1442</v>
      </c>
      <c r="R1163" s="105">
        <f>IF(Table__192.168.1.150_Daily_Delinquency_With_Sectors[[#This Row],[Days in Arrears]] &gt; 0, Table__192.168.1.150_Daily_Delinquency_With_Sectors[[#This Row],[Outstanding Balance]],0)</f>
        <v>14226881.300000001</v>
      </c>
      <c r="S1163" s="105">
        <f>IF(Table__192.168.1.150_Daily_Delinquency_With_Sectors[[#This Row],[Days in Arrears]] &gt; 30, Table__192.168.1.150_Daily_Delinquency_With_Sectors[[#This Row],[Outstanding Balance]],0)</f>
        <v>0</v>
      </c>
      <c r="T1163" s="105">
        <f>IF(Table__192.168.1.150_Daily_Delinquency_With_Sectors[[#This Row],[Days in Arrears]] &gt; 90, Table__192.168.1.150_Daily_Delinquency_With_Sectors[[#This Row],[Outstanding Balance]],0)</f>
        <v>0</v>
      </c>
      <c r="U1163" s="109">
        <f>IF(Table__192.168.1.150_Daily_Delinquency_With_Sectors[[#This Row],[Days in Arrears]] &gt;= 1,1,0)</f>
        <v>1</v>
      </c>
      <c r="V1163" s="109">
        <f>IF(Table__192.168.1.150_Daily_Delinquency_With_Sectors[[#This Row],[Days in Arrears]] &gt; 30,1,0)</f>
        <v>0</v>
      </c>
      <c r="W1163" s="109">
        <f>IF(Table__192.168.1.150_Daily_Delinquency_With_Sectors[[#This Row],[Days in Arrears]] &gt; 90,1,0)</f>
        <v>0</v>
      </c>
    </row>
    <row r="1164" spans="1:23" x14ac:dyDescent="0.25">
      <c r="A1164" t="s">
        <v>4959</v>
      </c>
      <c r="B1164" t="s">
        <v>1283</v>
      </c>
      <c r="C1164">
        <v>23</v>
      </c>
      <c r="D1164" s="105">
        <v>29531050.489999998</v>
      </c>
      <c r="E1164" t="s">
        <v>1925</v>
      </c>
      <c r="F1164" s="105">
        <v>697276.24</v>
      </c>
      <c r="G1164" s="105">
        <v>33973283.049999997</v>
      </c>
      <c r="H1164" s="597">
        <v>42912.623562002314</v>
      </c>
      <c r="I1164" s="597">
        <v>43282</v>
      </c>
      <c r="J1164" t="s">
        <v>4960</v>
      </c>
      <c r="K1164" t="s">
        <v>5078</v>
      </c>
      <c r="L1164" t="s">
        <v>4961</v>
      </c>
      <c r="M1164">
        <v>201136</v>
      </c>
      <c r="N1164" t="s">
        <v>4952</v>
      </c>
      <c r="O1164" t="s">
        <v>27</v>
      </c>
      <c r="P1164" t="s">
        <v>26</v>
      </c>
      <c r="Q1164" t="s">
        <v>26</v>
      </c>
      <c r="R1164" s="105">
        <f>IF(Table__192.168.1.150_Daily_Delinquency_With_Sectors[[#This Row],[Days in Arrears]] &gt; 0, Table__192.168.1.150_Daily_Delinquency_With_Sectors[[#This Row],[Outstanding Balance]],0)</f>
        <v>29531050.489999998</v>
      </c>
      <c r="S1164" s="105">
        <f>IF(Table__192.168.1.150_Daily_Delinquency_With_Sectors[[#This Row],[Days in Arrears]] &gt; 30, Table__192.168.1.150_Daily_Delinquency_With_Sectors[[#This Row],[Outstanding Balance]],0)</f>
        <v>0</v>
      </c>
      <c r="T1164" s="105">
        <f>IF(Table__192.168.1.150_Daily_Delinquency_With_Sectors[[#This Row],[Days in Arrears]] &gt; 90, Table__192.168.1.150_Daily_Delinquency_With_Sectors[[#This Row],[Outstanding Balance]],0)</f>
        <v>0</v>
      </c>
      <c r="U1164" s="109">
        <f>IF(Table__192.168.1.150_Daily_Delinquency_With_Sectors[[#This Row],[Days in Arrears]] &gt;= 1,1,0)</f>
        <v>1</v>
      </c>
      <c r="V1164" s="109">
        <f>IF(Table__192.168.1.150_Daily_Delinquency_With_Sectors[[#This Row],[Days in Arrears]] &gt; 30,1,0)</f>
        <v>0</v>
      </c>
      <c r="W1164" s="109">
        <f>IF(Table__192.168.1.150_Daily_Delinquency_With_Sectors[[#This Row],[Days in Arrears]] &gt; 90,1,0)</f>
        <v>0</v>
      </c>
    </row>
    <row r="1165" spans="1:23" x14ac:dyDescent="0.25">
      <c r="A1165" t="s">
        <v>4962</v>
      </c>
      <c r="B1165" t="s">
        <v>1279</v>
      </c>
      <c r="C1165">
        <v>-7</v>
      </c>
      <c r="D1165" s="105">
        <v>1462702.26</v>
      </c>
      <c r="E1165" t="s">
        <v>4919</v>
      </c>
      <c r="F1165" s="105">
        <v>48269.17</v>
      </c>
      <c r="G1165" s="105">
        <v>1562158.86</v>
      </c>
      <c r="H1165" s="597">
        <v>42912.715486307869</v>
      </c>
      <c r="I1165" s="597">
        <v>43101</v>
      </c>
      <c r="J1165" t="s">
        <v>4963</v>
      </c>
      <c r="K1165" t="s">
        <v>4964</v>
      </c>
      <c r="L1165" t="s">
        <v>1280</v>
      </c>
      <c r="M1165">
        <v>201137</v>
      </c>
      <c r="N1165" t="s">
        <v>4955</v>
      </c>
      <c r="O1165" t="s">
        <v>25</v>
      </c>
      <c r="P1165" t="s">
        <v>26</v>
      </c>
      <c r="Q1165" t="s">
        <v>26</v>
      </c>
      <c r="R1165" s="105">
        <f>IF(Table__192.168.1.150_Daily_Delinquency_With_Sectors[[#This Row],[Days in Arrears]] &gt; 0, Table__192.168.1.150_Daily_Delinquency_With_Sectors[[#This Row],[Outstanding Balance]],0)</f>
        <v>0</v>
      </c>
      <c r="S1165" s="105">
        <f>IF(Table__192.168.1.150_Daily_Delinquency_With_Sectors[[#This Row],[Days in Arrears]] &gt; 30, Table__192.168.1.150_Daily_Delinquency_With_Sectors[[#This Row],[Outstanding Balance]],0)</f>
        <v>0</v>
      </c>
      <c r="T1165" s="105">
        <f>IF(Table__192.168.1.150_Daily_Delinquency_With_Sectors[[#This Row],[Days in Arrears]] &gt; 90, Table__192.168.1.150_Daily_Delinquency_With_Sectors[[#This Row],[Outstanding Balance]],0)</f>
        <v>0</v>
      </c>
      <c r="U1165" s="109">
        <f>IF(Table__192.168.1.150_Daily_Delinquency_With_Sectors[[#This Row],[Days in Arrears]] &gt;= 1,1,0)</f>
        <v>0</v>
      </c>
      <c r="V1165" s="109">
        <f>IF(Table__192.168.1.150_Daily_Delinquency_With_Sectors[[#This Row],[Days in Arrears]] &gt; 30,1,0)</f>
        <v>0</v>
      </c>
      <c r="W1165" s="109">
        <f>IF(Table__192.168.1.150_Daily_Delinquency_With_Sectors[[#This Row],[Days in Arrears]] &gt; 90,1,0)</f>
        <v>0</v>
      </c>
    </row>
    <row r="1166" spans="1:23" x14ac:dyDescent="0.25">
      <c r="A1166" t="s">
        <v>4965</v>
      </c>
      <c r="B1166" t="s">
        <v>1279</v>
      </c>
      <c r="C1166">
        <v>-1</v>
      </c>
      <c r="D1166" s="105">
        <v>1627275.47</v>
      </c>
      <c r="E1166" t="s">
        <v>2855</v>
      </c>
      <c r="F1166" s="105">
        <v>68345.570000000007</v>
      </c>
      <c r="G1166" s="105">
        <v>1892961.27</v>
      </c>
      <c r="H1166" s="597">
        <v>42912.698358368056</v>
      </c>
      <c r="I1166" s="597">
        <v>43215</v>
      </c>
      <c r="J1166" t="s">
        <v>4966</v>
      </c>
      <c r="K1166" t="s">
        <v>4967</v>
      </c>
      <c r="L1166" t="s">
        <v>1280</v>
      </c>
      <c r="M1166">
        <v>201138</v>
      </c>
      <c r="N1166" t="s">
        <v>4953</v>
      </c>
      <c r="O1166" t="s">
        <v>25</v>
      </c>
      <c r="P1166" t="s">
        <v>88</v>
      </c>
      <c r="Q1166" t="s">
        <v>285</v>
      </c>
      <c r="R1166" s="105">
        <f>IF(Table__192.168.1.150_Daily_Delinquency_With_Sectors[[#This Row],[Days in Arrears]] &gt; 0, Table__192.168.1.150_Daily_Delinquency_With_Sectors[[#This Row],[Outstanding Balance]],0)</f>
        <v>0</v>
      </c>
      <c r="S1166" s="105">
        <f>IF(Table__192.168.1.150_Daily_Delinquency_With_Sectors[[#This Row],[Days in Arrears]] &gt; 30, Table__192.168.1.150_Daily_Delinquency_With_Sectors[[#This Row],[Outstanding Balance]],0)</f>
        <v>0</v>
      </c>
      <c r="T1166" s="105">
        <f>IF(Table__192.168.1.150_Daily_Delinquency_With_Sectors[[#This Row],[Days in Arrears]] &gt; 90, Table__192.168.1.150_Daily_Delinquency_With_Sectors[[#This Row],[Outstanding Balance]],0)</f>
        <v>0</v>
      </c>
      <c r="U1166" s="109">
        <f>IF(Table__192.168.1.150_Daily_Delinquency_With_Sectors[[#This Row],[Days in Arrears]] &gt;= 1,1,0)</f>
        <v>0</v>
      </c>
      <c r="V1166" s="109">
        <f>IF(Table__192.168.1.150_Daily_Delinquency_With_Sectors[[#This Row],[Days in Arrears]] &gt; 30,1,0)</f>
        <v>0</v>
      </c>
      <c r="W1166" s="109">
        <f>IF(Table__192.168.1.150_Daily_Delinquency_With_Sectors[[#This Row],[Days in Arrears]] &gt; 90,1,0)</f>
        <v>0</v>
      </c>
    </row>
    <row r="1167" spans="1:23" x14ac:dyDescent="0.25">
      <c r="A1167" t="s">
        <v>4970</v>
      </c>
      <c r="B1167" t="s">
        <v>1279</v>
      </c>
      <c r="C1167">
        <v>53</v>
      </c>
      <c r="D1167" s="105">
        <v>1551997.65</v>
      </c>
      <c r="E1167" t="s">
        <v>4683</v>
      </c>
      <c r="F1167" s="105">
        <v>59877.51</v>
      </c>
      <c r="G1167" s="105">
        <v>1738030.51</v>
      </c>
      <c r="H1167" s="597">
        <v>42913.683103437499</v>
      </c>
      <c r="I1167" s="597">
        <v>43160</v>
      </c>
      <c r="J1167" t="s">
        <v>4971</v>
      </c>
      <c r="K1167" t="s">
        <v>1280</v>
      </c>
      <c r="L1167" t="s">
        <v>1280</v>
      </c>
      <c r="M1167">
        <v>201139</v>
      </c>
      <c r="N1167" t="s">
        <v>4968</v>
      </c>
      <c r="O1167" t="s">
        <v>25</v>
      </c>
      <c r="P1167" t="s">
        <v>88</v>
      </c>
      <c r="Q1167" t="s">
        <v>285</v>
      </c>
      <c r="R1167" s="105">
        <f>IF(Table__192.168.1.150_Daily_Delinquency_With_Sectors[[#This Row],[Days in Arrears]] &gt; 0, Table__192.168.1.150_Daily_Delinquency_With_Sectors[[#This Row],[Outstanding Balance]],0)</f>
        <v>1551997.65</v>
      </c>
      <c r="S1167" s="105">
        <f>IF(Table__192.168.1.150_Daily_Delinquency_With_Sectors[[#This Row],[Days in Arrears]] &gt; 30, Table__192.168.1.150_Daily_Delinquency_With_Sectors[[#This Row],[Outstanding Balance]],0)</f>
        <v>1551997.65</v>
      </c>
      <c r="T1167" s="105">
        <f>IF(Table__192.168.1.150_Daily_Delinquency_With_Sectors[[#This Row],[Days in Arrears]] &gt; 90, Table__192.168.1.150_Daily_Delinquency_With_Sectors[[#This Row],[Outstanding Balance]],0)</f>
        <v>0</v>
      </c>
      <c r="U1167" s="109">
        <f>IF(Table__192.168.1.150_Daily_Delinquency_With_Sectors[[#This Row],[Days in Arrears]] &gt;= 1,1,0)</f>
        <v>1</v>
      </c>
      <c r="V1167" s="109">
        <f>IF(Table__192.168.1.150_Daily_Delinquency_With_Sectors[[#This Row],[Days in Arrears]] &gt; 30,1,0)</f>
        <v>1</v>
      </c>
      <c r="W1167" s="109">
        <f>IF(Table__192.168.1.150_Daily_Delinquency_With_Sectors[[#This Row],[Days in Arrears]] &gt; 90,1,0)</f>
        <v>0</v>
      </c>
    </row>
    <row r="1168" spans="1:23" x14ac:dyDescent="0.25">
      <c r="A1168" t="s">
        <v>4975</v>
      </c>
      <c r="B1168" t="s">
        <v>1282</v>
      </c>
      <c r="C1168">
        <v>23</v>
      </c>
      <c r="D1168" s="105">
        <v>3045844.52</v>
      </c>
      <c r="E1168" t="s">
        <v>4686</v>
      </c>
      <c r="F1168" s="105">
        <v>90130.54</v>
      </c>
      <c r="G1168" s="105">
        <v>3359866.4</v>
      </c>
      <c r="H1168" s="597">
        <v>42914.675568865743</v>
      </c>
      <c r="I1168" s="597">
        <v>43160</v>
      </c>
      <c r="J1168" t="s">
        <v>4976</v>
      </c>
      <c r="K1168" t="s">
        <v>1280</v>
      </c>
      <c r="L1168" t="s">
        <v>1280</v>
      </c>
      <c r="M1168">
        <v>201142</v>
      </c>
      <c r="N1168" t="s">
        <v>4974</v>
      </c>
      <c r="O1168" t="s">
        <v>25</v>
      </c>
      <c r="P1168" t="s">
        <v>26</v>
      </c>
      <c r="Q1168" t="s">
        <v>26</v>
      </c>
      <c r="R1168" s="105">
        <f>IF(Table__192.168.1.150_Daily_Delinquency_With_Sectors[[#This Row],[Days in Arrears]] &gt; 0, Table__192.168.1.150_Daily_Delinquency_With_Sectors[[#This Row],[Outstanding Balance]],0)</f>
        <v>3045844.52</v>
      </c>
      <c r="S1168" s="105">
        <f>IF(Table__192.168.1.150_Daily_Delinquency_With_Sectors[[#This Row],[Days in Arrears]] &gt; 30, Table__192.168.1.150_Daily_Delinquency_With_Sectors[[#This Row],[Outstanding Balance]],0)</f>
        <v>0</v>
      </c>
      <c r="T1168" s="105">
        <f>IF(Table__192.168.1.150_Daily_Delinquency_With_Sectors[[#This Row],[Days in Arrears]] &gt; 90, Table__192.168.1.150_Daily_Delinquency_With_Sectors[[#This Row],[Outstanding Balance]],0)</f>
        <v>0</v>
      </c>
      <c r="U1168" s="109">
        <f>IF(Table__192.168.1.150_Daily_Delinquency_With_Sectors[[#This Row],[Days in Arrears]] &gt;= 1,1,0)</f>
        <v>1</v>
      </c>
      <c r="V1168" s="109">
        <f>IF(Table__192.168.1.150_Daily_Delinquency_With_Sectors[[#This Row],[Days in Arrears]] &gt; 30,1,0)</f>
        <v>0</v>
      </c>
      <c r="W1168" s="109">
        <f>IF(Table__192.168.1.150_Daily_Delinquency_With_Sectors[[#This Row],[Days in Arrears]] &gt; 90,1,0)</f>
        <v>0</v>
      </c>
    </row>
    <row r="1169" spans="1:23" x14ac:dyDescent="0.25">
      <c r="A1169" t="s">
        <v>4978</v>
      </c>
      <c r="B1169" t="s">
        <v>1282</v>
      </c>
      <c r="C1169">
        <v>23</v>
      </c>
      <c r="D1169" s="105">
        <v>3367164.5</v>
      </c>
      <c r="E1169" t="s">
        <v>2855</v>
      </c>
      <c r="F1169" s="105">
        <v>108002.06</v>
      </c>
      <c r="G1169" s="105">
        <v>3743452.17</v>
      </c>
      <c r="H1169" s="597">
        <v>42915.478969247684</v>
      </c>
      <c r="I1169" s="597">
        <v>43160</v>
      </c>
      <c r="J1169" t="s">
        <v>4979</v>
      </c>
      <c r="K1169" t="s">
        <v>1280</v>
      </c>
      <c r="L1169" t="s">
        <v>1280</v>
      </c>
      <c r="M1169">
        <v>201144</v>
      </c>
      <c r="N1169" t="s">
        <v>4977</v>
      </c>
      <c r="O1169" t="s">
        <v>25</v>
      </c>
      <c r="P1169" t="s">
        <v>26</v>
      </c>
      <c r="Q1169" t="s">
        <v>26</v>
      </c>
      <c r="R1169" s="105">
        <f>IF(Table__192.168.1.150_Daily_Delinquency_With_Sectors[[#This Row],[Days in Arrears]] &gt; 0, Table__192.168.1.150_Daily_Delinquency_With_Sectors[[#This Row],[Outstanding Balance]],0)</f>
        <v>3367164.5</v>
      </c>
      <c r="S1169" s="105">
        <f>IF(Table__192.168.1.150_Daily_Delinquency_With_Sectors[[#This Row],[Days in Arrears]] &gt; 30, Table__192.168.1.150_Daily_Delinquency_With_Sectors[[#This Row],[Outstanding Balance]],0)</f>
        <v>0</v>
      </c>
      <c r="T1169" s="105">
        <f>IF(Table__192.168.1.150_Daily_Delinquency_With_Sectors[[#This Row],[Days in Arrears]] &gt; 90, Table__192.168.1.150_Daily_Delinquency_With_Sectors[[#This Row],[Outstanding Balance]],0)</f>
        <v>0</v>
      </c>
      <c r="U1169" s="109">
        <f>IF(Table__192.168.1.150_Daily_Delinquency_With_Sectors[[#This Row],[Days in Arrears]] &gt;= 1,1,0)</f>
        <v>1</v>
      </c>
      <c r="V1169" s="109">
        <f>IF(Table__192.168.1.150_Daily_Delinquency_With_Sectors[[#This Row],[Days in Arrears]] &gt; 30,1,0)</f>
        <v>0</v>
      </c>
      <c r="W1169" s="109">
        <f>IF(Table__192.168.1.150_Daily_Delinquency_With_Sectors[[#This Row],[Days in Arrears]] &gt; 90,1,0)</f>
        <v>0</v>
      </c>
    </row>
    <row r="1170" spans="1:23" x14ac:dyDescent="0.25">
      <c r="A1170" t="s">
        <v>1932</v>
      </c>
      <c r="B1170" t="s">
        <v>1284</v>
      </c>
      <c r="C1170">
        <v>0</v>
      </c>
      <c r="D1170" s="105">
        <v>12995773.16</v>
      </c>
      <c r="E1170" t="s">
        <v>1467</v>
      </c>
      <c r="F1170" s="105">
        <v>376877.42</v>
      </c>
      <c r="G1170" s="105">
        <v>14810647.300000001</v>
      </c>
      <c r="H1170" s="597">
        <v>42914.672504629627</v>
      </c>
      <c r="I1170" s="597">
        <v>43275</v>
      </c>
      <c r="J1170" t="s">
        <v>1933</v>
      </c>
      <c r="K1170" t="s">
        <v>1280</v>
      </c>
      <c r="L1170" t="s">
        <v>1280</v>
      </c>
      <c r="M1170">
        <v>201145</v>
      </c>
      <c r="N1170" t="s">
        <v>1931</v>
      </c>
      <c r="O1170" t="s">
        <v>25</v>
      </c>
      <c r="P1170" t="s">
        <v>88</v>
      </c>
      <c r="Q1170" t="s">
        <v>285</v>
      </c>
      <c r="R1170" s="105">
        <f>IF(Table__192.168.1.150_Daily_Delinquency_With_Sectors[[#This Row],[Days in Arrears]] &gt; 0, Table__192.168.1.150_Daily_Delinquency_With_Sectors[[#This Row],[Outstanding Balance]],0)</f>
        <v>0</v>
      </c>
      <c r="S1170" s="105">
        <f>IF(Table__192.168.1.150_Daily_Delinquency_With_Sectors[[#This Row],[Days in Arrears]] &gt; 30, Table__192.168.1.150_Daily_Delinquency_With_Sectors[[#This Row],[Outstanding Balance]],0)</f>
        <v>0</v>
      </c>
      <c r="T1170" s="105">
        <f>IF(Table__192.168.1.150_Daily_Delinquency_With_Sectors[[#This Row],[Days in Arrears]] &gt; 90, Table__192.168.1.150_Daily_Delinquency_With_Sectors[[#This Row],[Outstanding Balance]],0)</f>
        <v>0</v>
      </c>
      <c r="U1170" s="109">
        <f>IF(Table__192.168.1.150_Daily_Delinquency_With_Sectors[[#This Row],[Days in Arrears]] &gt;= 1,1,0)</f>
        <v>0</v>
      </c>
      <c r="V1170" s="109">
        <f>IF(Table__192.168.1.150_Daily_Delinquency_With_Sectors[[#This Row],[Days in Arrears]] &gt; 30,1,0)</f>
        <v>0</v>
      </c>
      <c r="W1170" s="109">
        <f>IF(Table__192.168.1.150_Daily_Delinquency_With_Sectors[[#This Row],[Days in Arrears]] &gt; 90,1,0)</f>
        <v>0</v>
      </c>
    </row>
    <row r="1171" spans="1:23" x14ac:dyDescent="0.25">
      <c r="A1171" t="s">
        <v>4985</v>
      </c>
      <c r="B1171" t="s">
        <v>1282</v>
      </c>
      <c r="C1171">
        <v>0</v>
      </c>
      <c r="D1171" s="105">
        <v>2696095.97</v>
      </c>
      <c r="E1171" t="s">
        <v>1909</v>
      </c>
      <c r="F1171" s="105">
        <v>117280.17</v>
      </c>
      <c r="G1171" s="105">
        <v>3006078.51</v>
      </c>
      <c r="H1171" s="597">
        <v>42916.451436493058</v>
      </c>
      <c r="I1171" s="597">
        <v>43155</v>
      </c>
      <c r="J1171" t="s">
        <v>4986</v>
      </c>
      <c r="K1171" t="s">
        <v>1280</v>
      </c>
      <c r="L1171" t="s">
        <v>4987</v>
      </c>
      <c r="M1171">
        <v>201147</v>
      </c>
      <c r="N1171" t="s">
        <v>4980</v>
      </c>
      <c r="O1171" t="s">
        <v>25</v>
      </c>
      <c r="P1171" t="s">
        <v>88</v>
      </c>
      <c r="Q1171" t="s">
        <v>285</v>
      </c>
      <c r="R1171" s="105">
        <f>IF(Table__192.168.1.150_Daily_Delinquency_With_Sectors[[#This Row],[Days in Arrears]] &gt; 0, Table__192.168.1.150_Daily_Delinquency_With_Sectors[[#This Row],[Outstanding Balance]],0)</f>
        <v>0</v>
      </c>
      <c r="S1171" s="105">
        <f>IF(Table__192.168.1.150_Daily_Delinquency_With_Sectors[[#This Row],[Days in Arrears]] &gt; 30, Table__192.168.1.150_Daily_Delinquency_With_Sectors[[#This Row],[Outstanding Balance]],0)</f>
        <v>0</v>
      </c>
      <c r="T1171" s="105">
        <f>IF(Table__192.168.1.150_Daily_Delinquency_With_Sectors[[#This Row],[Days in Arrears]] &gt; 90, Table__192.168.1.150_Daily_Delinquency_With_Sectors[[#This Row],[Outstanding Balance]],0)</f>
        <v>0</v>
      </c>
      <c r="U1171" s="109">
        <f>IF(Table__192.168.1.150_Daily_Delinquency_With_Sectors[[#This Row],[Days in Arrears]] &gt;= 1,1,0)</f>
        <v>0</v>
      </c>
      <c r="V1171" s="109">
        <f>IF(Table__192.168.1.150_Daily_Delinquency_With_Sectors[[#This Row],[Days in Arrears]] &gt; 30,1,0)</f>
        <v>0</v>
      </c>
      <c r="W1171" s="109">
        <f>IF(Table__192.168.1.150_Daily_Delinquency_With_Sectors[[#This Row],[Days in Arrears]] &gt; 90,1,0)</f>
        <v>0</v>
      </c>
    </row>
    <row r="1172" spans="1:23" x14ac:dyDescent="0.25">
      <c r="A1172" t="s">
        <v>4988</v>
      </c>
      <c r="B1172" t="s">
        <v>1282</v>
      </c>
      <c r="C1172">
        <v>23</v>
      </c>
      <c r="D1172" s="105">
        <v>1371846.99</v>
      </c>
      <c r="E1172" t="s">
        <v>4844</v>
      </c>
      <c r="F1172" s="105">
        <v>44936.45</v>
      </c>
      <c r="G1172" s="105">
        <v>1528409.11</v>
      </c>
      <c r="H1172" s="597">
        <v>42916.555747106482</v>
      </c>
      <c r="I1172" s="597">
        <v>43160</v>
      </c>
      <c r="J1172" t="s">
        <v>4989</v>
      </c>
      <c r="K1172" t="s">
        <v>1280</v>
      </c>
      <c r="L1172" t="s">
        <v>1280</v>
      </c>
      <c r="M1172">
        <v>201148</v>
      </c>
      <c r="N1172" t="s">
        <v>4981</v>
      </c>
      <c r="O1172" t="s">
        <v>25</v>
      </c>
      <c r="P1172" t="s">
        <v>26</v>
      </c>
      <c r="Q1172" t="s">
        <v>26</v>
      </c>
      <c r="R1172" s="105">
        <f>IF(Table__192.168.1.150_Daily_Delinquency_With_Sectors[[#This Row],[Days in Arrears]] &gt; 0, Table__192.168.1.150_Daily_Delinquency_With_Sectors[[#This Row],[Outstanding Balance]],0)</f>
        <v>1371846.99</v>
      </c>
      <c r="S1172" s="105">
        <f>IF(Table__192.168.1.150_Daily_Delinquency_With_Sectors[[#This Row],[Days in Arrears]] &gt; 30, Table__192.168.1.150_Daily_Delinquency_With_Sectors[[#This Row],[Outstanding Balance]],0)</f>
        <v>0</v>
      </c>
      <c r="T1172" s="105">
        <f>IF(Table__192.168.1.150_Daily_Delinquency_With_Sectors[[#This Row],[Days in Arrears]] &gt; 90, Table__192.168.1.150_Daily_Delinquency_With_Sectors[[#This Row],[Outstanding Balance]],0)</f>
        <v>0</v>
      </c>
      <c r="U1172" s="109">
        <f>IF(Table__192.168.1.150_Daily_Delinquency_With_Sectors[[#This Row],[Days in Arrears]] &gt;= 1,1,0)</f>
        <v>1</v>
      </c>
      <c r="V1172" s="109">
        <f>IF(Table__192.168.1.150_Daily_Delinquency_With_Sectors[[#This Row],[Days in Arrears]] &gt; 30,1,0)</f>
        <v>0</v>
      </c>
      <c r="W1172" s="109">
        <f>IF(Table__192.168.1.150_Daily_Delinquency_With_Sectors[[#This Row],[Days in Arrears]] &gt; 90,1,0)</f>
        <v>0</v>
      </c>
    </row>
    <row r="1173" spans="1:23" x14ac:dyDescent="0.25">
      <c r="A1173" t="s">
        <v>4991</v>
      </c>
      <c r="B1173" t="s">
        <v>1284</v>
      </c>
      <c r="C1173">
        <v>-10</v>
      </c>
      <c r="D1173" s="105">
        <v>8511719.1899999995</v>
      </c>
      <c r="E1173" t="s">
        <v>2855</v>
      </c>
      <c r="F1173" s="105">
        <v>179691.85</v>
      </c>
      <c r="G1173" s="105">
        <v>9837262.3800000008</v>
      </c>
      <c r="H1173" s="597">
        <v>42920.705316631946</v>
      </c>
      <c r="I1173" s="597">
        <v>43285</v>
      </c>
      <c r="J1173" t="s">
        <v>4992</v>
      </c>
      <c r="K1173" t="s">
        <v>4993</v>
      </c>
      <c r="L1173" t="s">
        <v>1280</v>
      </c>
      <c r="M1173">
        <v>201151</v>
      </c>
      <c r="N1173" t="s">
        <v>4990</v>
      </c>
      <c r="O1173" t="s">
        <v>44</v>
      </c>
      <c r="P1173" t="s">
        <v>26</v>
      </c>
      <c r="Q1173" t="s">
        <v>26</v>
      </c>
      <c r="R1173" s="105">
        <f>IF(Table__192.168.1.150_Daily_Delinquency_With_Sectors[[#This Row],[Days in Arrears]] &gt; 0, Table__192.168.1.150_Daily_Delinquency_With_Sectors[[#This Row],[Outstanding Balance]],0)</f>
        <v>0</v>
      </c>
      <c r="S1173" s="105">
        <f>IF(Table__192.168.1.150_Daily_Delinquency_With_Sectors[[#This Row],[Days in Arrears]] &gt; 30, Table__192.168.1.150_Daily_Delinquency_With_Sectors[[#This Row],[Outstanding Balance]],0)</f>
        <v>0</v>
      </c>
      <c r="T1173" s="105">
        <f>IF(Table__192.168.1.150_Daily_Delinquency_With_Sectors[[#This Row],[Days in Arrears]] &gt; 90, Table__192.168.1.150_Daily_Delinquency_With_Sectors[[#This Row],[Outstanding Balance]],0)</f>
        <v>0</v>
      </c>
      <c r="U1173" s="109">
        <f>IF(Table__192.168.1.150_Daily_Delinquency_With_Sectors[[#This Row],[Days in Arrears]] &gt;= 1,1,0)</f>
        <v>0</v>
      </c>
      <c r="V1173" s="109">
        <f>IF(Table__192.168.1.150_Daily_Delinquency_With_Sectors[[#This Row],[Days in Arrears]] &gt; 30,1,0)</f>
        <v>0</v>
      </c>
      <c r="W1173" s="109">
        <f>IF(Table__192.168.1.150_Daily_Delinquency_With_Sectors[[#This Row],[Days in Arrears]] &gt; 90,1,0)</f>
        <v>0</v>
      </c>
    </row>
    <row r="1174" spans="1:23" x14ac:dyDescent="0.25">
      <c r="A1174" t="s">
        <v>5001</v>
      </c>
      <c r="B1174" t="s">
        <v>1279</v>
      </c>
      <c r="C1174">
        <v>-14</v>
      </c>
      <c r="D1174" s="105">
        <v>3616728.44</v>
      </c>
      <c r="E1174" t="s">
        <v>2861</v>
      </c>
      <c r="F1174" s="105">
        <v>81376.39</v>
      </c>
      <c r="G1174" s="105">
        <v>4386647.5599999996</v>
      </c>
      <c r="H1174" s="597">
        <v>42924.449294756945</v>
      </c>
      <c r="I1174" s="597">
        <v>43289</v>
      </c>
      <c r="J1174" t="s">
        <v>5002</v>
      </c>
      <c r="K1174" t="s">
        <v>5003</v>
      </c>
      <c r="L1174" t="s">
        <v>1280</v>
      </c>
      <c r="M1174">
        <v>201155</v>
      </c>
      <c r="N1174" t="s">
        <v>5000</v>
      </c>
      <c r="O1174" t="s">
        <v>25</v>
      </c>
      <c r="P1174" t="s">
        <v>88</v>
      </c>
      <c r="Q1174" t="s">
        <v>285</v>
      </c>
      <c r="R1174" s="105">
        <f>IF(Table__192.168.1.150_Daily_Delinquency_With_Sectors[[#This Row],[Days in Arrears]] &gt; 0, Table__192.168.1.150_Daily_Delinquency_With_Sectors[[#This Row],[Outstanding Balance]],0)</f>
        <v>0</v>
      </c>
      <c r="S1174" s="105">
        <f>IF(Table__192.168.1.150_Daily_Delinquency_With_Sectors[[#This Row],[Days in Arrears]] &gt; 30, Table__192.168.1.150_Daily_Delinquency_With_Sectors[[#This Row],[Outstanding Balance]],0)</f>
        <v>0</v>
      </c>
      <c r="T1174" s="105">
        <f>IF(Table__192.168.1.150_Daily_Delinquency_With_Sectors[[#This Row],[Days in Arrears]] &gt; 90, Table__192.168.1.150_Daily_Delinquency_With_Sectors[[#This Row],[Outstanding Balance]],0)</f>
        <v>0</v>
      </c>
      <c r="U1174" s="109">
        <f>IF(Table__192.168.1.150_Daily_Delinquency_With_Sectors[[#This Row],[Days in Arrears]] &gt;= 1,1,0)</f>
        <v>0</v>
      </c>
      <c r="V1174" s="109">
        <f>IF(Table__192.168.1.150_Daily_Delinquency_With_Sectors[[#This Row],[Days in Arrears]] &gt; 30,1,0)</f>
        <v>0</v>
      </c>
      <c r="W1174" s="109">
        <f>IF(Table__192.168.1.150_Daily_Delinquency_With_Sectors[[#This Row],[Days in Arrears]] &gt; 90,1,0)</f>
        <v>0</v>
      </c>
    </row>
    <row r="1175" spans="1:23" x14ac:dyDescent="0.25">
      <c r="A1175" t="s">
        <v>2570</v>
      </c>
      <c r="B1175" t="s">
        <v>1284</v>
      </c>
      <c r="C1175">
        <v>0</v>
      </c>
      <c r="D1175" s="105">
        <v>27852486.829999998</v>
      </c>
      <c r="E1175" t="s">
        <v>2557</v>
      </c>
      <c r="F1175" s="105">
        <v>807722.12</v>
      </c>
      <c r="G1175" s="105">
        <v>31742117.530000001</v>
      </c>
      <c r="H1175" s="597">
        <v>42923.554305983795</v>
      </c>
      <c r="I1175" s="597">
        <v>43275</v>
      </c>
      <c r="J1175" t="s">
        <v>2571</v>
      </c>
      <c r="K1175" t="s">
        <v>1280</v>
      </c>
      <c r="L1175" t="s">
        <v>1280</v>
      </c>
      <c r="M1175">
        <v>201156</v>
      </c>
      <c r="N1175" t="s">
        <v>2556</v>
      </c>
      <c r="O1175" t="s">
        <v>25</v>
      </c>
      <c r="P1175" t="s">
        <v>88</v>
      </c>
      <c r="Q1175" t="s">
        <v>26</v>
      </c>
      <c r="R1175" s="105">
        <f>IF(Table__192.168.1.150_Daily_Delinquency_With_Sectors[[#This Row],[Days in Arrears]] &gt; 0, Table__192.168.1.150_Daily_Delinquency_With_Sectors[[#This Row],[Outstanding Balance]],0)</f>
        <v>0</v>
      </c>
      <c r="S1175" s="105">
        <f>IF(Table__192.168.1.150_Daily_Delinquency_With_Sectors[[#This Row],[Days in Arrears]] &gt; 30, Table__192.168.1.150_Daily_Delinquency_With_Sectors[[#This Row],[Outstanding Balance]],0)</f>
        <v>0</v>
      </c>
      <c r="T1175" s="105">
        <f>IF(Table__192.168.1.150_Daily_Delinquency_With_Sectors[[#This Row],[Days in Arrears]] &gt; 90, Table__192.168.1.150_Daily_Delinquency_With_Sectors[[#This Row],[Outstanding Balance]],0)</f>
        <v>0</v>
      </c>
      <c r="U1175" s="109">
        <f>IF(Table__192.168.1.150_Daily_Delinquency_With_Sectors[[#This Row],[Days in Arrears]] &gt;= 1,1,0)</f>
        <v>0</v>
      </c>
      <c r="V1175" s="109">
        <f>IF(Table__192.168.1.150_Daily_Delinquency_With_Sectors[[#This Row],[Days in Arrears]] &gt; 30,1,0)</f>
        <v>0</v>
      </c>
      <c r="W1175" s="109">
        <f>IF(Table__192.168.1.150_Daily_Delinquency_With_Sectors[[#This Row],[Days in Arrears]] &gt; 90,1,0)</f>
        <v>0</v>
      </c>
    </row>
    <row r="1176" spans="1:23" x14ac:dyDescent="0.25">
      <c r="A1176" t="s">
        <v>5004</v>
      </c>
      <c r="B1176" t="s">
        <v>1284</v>
      </c>
      <c r="C1176">
        <v>-13</v>
      </c>
      <c r="D1176" s="105">
        <v>5110677.21</v>
      </c>
      <c r="E1176" t="s">
        <v>2538</v>
      </c>
      <c r="F1176" s="105">
        <v>90856.48</v>
      </c>
      <c r="G1176" s="105">
        <v>5723204.4199999999</v>
      </c>
      <c r="H1176" s="597">
        <v>42923.538885798611</v>
      </c>
      <c r="I1176" s="597">
        <v>43227</v>
      </c>
      <c r="J1176" t="s">
        <v>5005</v>
      </c>
      <c r="K1176" t="s">
        <v>1280</v>
      </c>
      <c r="L1176" t="s">
        <v>5006</v>
      </c>
      <c r="M1176">
        <v>201157</v>
      </c>
      <c r="N1176" t="s">
        <v>4998</v>
      </c>
      <c r="O1176" t="s">
        <v>25</v>
      </c>
      <c r="P1176" t="s">
        <v>88</v>
      </c>
      <c r="Q1176" t="s">
        <v>285</v>
      </c>
      <c r="R1176" s="105">
        <f>IF(Table__192.168.1.150_Daily_Delinquency_With_Sectors[[#This Row],[Days in Arrears]] &gt; 0, Table__192.168.1.150_Daily_Delinquency_With_Sectors[[#This Row],[Outstanding Balance]],0)</f>
        <v>0</v>
      </c>
      <c r="S1176" s="105">
        <f>IF(Table__192.168.1.150_Daily_Delinquency_With_Sectors[[#This Row],[Days in Arrears]] &gt; 30, Table__192.168.1.150_Daily_Delinquency_With_Sectors[[#This Row],[Outstanding Balance]],0)</f>
        <v>0</v>
      </c>
      <c r="T1176" s="105">
        <f>IF(Table__192.168.1.150_Daily_Delinquency_With_Sectors[[#This Row],[Days in Arrears]] &gt; 90, Table__192.168.1.150_Daily_Delinquency_With_Sectors[[#This Row],[Outstanding Balance]],0)</f>
        <v>0</v>
      </c>
      <c r="U1176" s="109">
        <f>IF(Table__192.168.1.150_Daily_Delinquency_With_Sectors[[#This Row],[Days in Arrears]] &gt;= 1,1,0)</f>
        <v>0</v>
      </c>
      <c r="V1176" s="109">
        <f>IF(Table__192.168.1.150_Daily_Delinquency_With_Sectors[[#This Row],[Days in Arrears]] &gt; 30,1,0)</f>
        <v>0</v>
      </c>
      <c r="W1176" s="109">
        <f>IF(Table__192.168.1.150_Daily_Delinquency_With_Sectors[[#This Row],[Days in Arrears]] &gt; 90,1,0)</f>
        <v>0</v>
      </c>
    </row>
    <row r="1177" spans="1:23" x14ac:dyDescent="0.25">
      <c r="A1177" t="s">
        <v>5007</v>
      </c>
      <c r="B1177" t="s">
        <v>1282</v>
      </c>
      <c r="C1177">
        <v>-13</v>
      </c>
      <c r="D1177" s="105">
        <v>3616728.44</v>
      </c>
      <c r="E1177" t="s">
        <v>1909</v>
      </c>
      <c r="F1177" s="105">
        <v>86801.48</v>
      </c>
      <c r="G1177" s="105">
        <v>4386647.5599999996</v>
      </c>
      <c r="H1177" s="597">
        <v>42923.680977777774</v>
      </c>
      <c r="I1177" s="597">
        <v>43288</v>
      </c>
      <c r="J1177" t="s">
        <v>5008</v>
      </c>
      <c r="K1177" t="s">
        <v>1280</v>
      </c>
      <c r="L1177" t="s">
        <v>1280</v>
      </c>
      <c r="M1177">
        <v>201158</v>
      </c>
      <c r="N1177" t="s">
        <v>4997</v>
      </c>
      <c r="O1177" t="s">
        <v>25</v>
      </c>
      <c r="P1177" t="s">
        <v>88</v>
      </c>
      <c r="Q1177" t="s">
        <v>285</v>
      </c>
      <c r="R1177" s="105">
        <f>IF(Table__192.168.1.150_Daily_Delinquency_With_Sectors[[#This Row],[Days in Arrears]] &gt; 0, Table__192.168.1.150_Daily_Delinquency_With_Sectors[[#This Row],[Outstanding Balance]],0)</f>
        <v>0</v>
      </c>
      <c r="S1177" s="105">
        <f>IF(Table__192.168.1.150_Daily_Delinquency_With_Sectors[[#This Row],[Days in Arrears]] &gt; 30, Table__192.168.1.150_Daily_Delinquency_With_Sectors[[#This Row],[Outstanding Balance]],0)</f>
        <v>0</v>
      </c>
      <c r="T1177" s="105">
        <f>IF(Table__192.168.1.150_Daily_Delinquency_With_Sectors[[#This Row],[Days in Arrears]] &gt; 90, Table__192.168.1.150_Daily_Delinquency_With_Sectors[[#This Row],[Outstanding Balance]],0)</f>
        <v>0</v>
      </c>
      <c r="U1177" s="109">
        <f>IF(Table__192.168.1.150_Daily_Delinquency_With_Sectors[[#This Row],[Days in Arrears]] &gt;= 1,1,0)</f>
        <v>0</v>
      </c>
      <c r="V1177" s="109">
        <f>IF(Table__192.168.1.150_Daily_Delinquency_With_Sectors[[#This Row],[Days in Arrears]] &gt; 30,1,0)</f>
        <v>0</v>
      </c>
      <c r="W1177" s="109">
        <f>IF(Table__192.168.1.150_Daily_Delinquency_With_Sectors[[#This Row],[Days in Arrears]] &gt; 90,1,0)</f>
        <v>0</v>
      </c>
    </row>
    <row r="1178" spans="1:23" x14ac:dyDescent="0.25">
      <c r="A1178" t="s">
        <v>5009</v>
      </c>
      <c r="B1178" t="s">
        <v>1279</v>
      </c>
      <c r="C1178">
        <v>-14</v>
      </c>
      <c r="D1178" s="105">
        <v>1089209.43</v>
      </c>
      <c r="E1178" t="s">
        <v>4919</v>
      </c>
      <c r="F1178" s="105">
        <v>24507.21</v>
      </c>
      <c r="G1178" s="105">
        <v>1163270.3400000001</v>
      </c>
      <c r="H1178" s="597">
        <v>42924.539199652776</v>
      </c>
      <c r="I1178" s="597">
        <v>43108</v>
      </c>
      <c r="J1178" t="s">
        <v>5010</v>
      </c>
      <c r="K1178" t="s">
        <v>1280</v>
      </c>
      <c r="L1178" t="s">
        <v>1280</v>
      </c>
      <c r="M1178">
        <v>201159</v>
      </c>
      <c r="N1178" t="s">
        <v>4999</v>
      </c>
      <c r="O1178" t="s">
        <v>25</v>
      </c>
      <c r="P1178" t="s">
        <v>88</v>
      </c>
      <c r="Q1178" t="s">
        <v>285</v>
      </c>
      <c r="R1178" s="105">
        <f>IF(Table__192.168.1.150_Daily_Delinquency_With_Sectors[[#This Row],[Days in Arrears]] &gt; 0, Table__192.168.1.150_Daily_Delinquency_With_Sectors[[#This Row],[Outstanding Balance]],0)</f>
        <v>0</v>
      </c>
      <c r="S1178" s="105">
        <f>IF(Table__192.168.1.150_Daily_Delinquency_With_Sectors[[#This Row],[Days in Arrears]] &gt; 30, Table__192.168.1.150_Daily_Delinquency_With_Sectors[[#This Row],[Outstanding Balance]],0)</f>
        <v>0</v>
      </c>
      <c r="T1178" s="105">
        <f>IF(Table__192.168.1.150_Daily_Delinquency_With_Sectors[[#This Row],[Days in Arrears]] &gt; 90, Table__192.168.1.150_Daily_Delinquency_With_Sectors[[#This Row],[Outstanding Balance]],0)</f>
        <v>0</v>
      </c>
      <c r="U1178" s="109">
        <f>IF(Table__192.168.1.150_Daily_Delinquency_With_Sectors[[#This Row],[Days in Arrears]] &gt;= 1,1,0)</f>
        <v>0</v>
      </c>
      <c r="V1178" s="109">
        <f>IF(Table__192.168.1.150_Daily_Delinquency_With_Sectors[[#This Row],[Days in Arrears]] &gt; 30,1,0)</f>
        <v>0</v>
      </c>
      <c r="W1178" s="109">
        <f>IF(Table__192.168.1.150_Daily_Delinquency_With_Sectors[[#This Row],[Days in Arrears]] &gt; 90,1,0)</f>
        <v>0</v>
      </c>
    </row>
    <row r="1179" spans="1:23" x14ac:dyDescent="0.25">
      <c r="A1179" t="s">
        <v>5013</v>
      </c>
      <c r="B1179" t="s">
        <v>1282</v>
      </c>
      <c r="C1179">
        <v>-16</v>
      </c>
      <c r="D1179" s="105">
        <v>1629614.64</v>
      </c>
      <c r="E1179" t="s">
        <v>4919</v>
      </c>
      <c r="F1179" s="105">
        <v>31777.49</v>
      </c>
      <c r="G1179" s="105">
        <v>1895682.37</v>
      </c>
      <c r="H1179" s="597">
        <v>42926.598520057873</v>
      </c>
      <c r="I1179" s="597">
        <v>43230</v>
      </c>
      <c r="J1179" t="s">
        <v>5014</v>
      </c>
      <c r="K1179" t="s">
        <v>1280</v>
      </c>
      <c r="L1179" t="s">
        <v>1280</v>
      </c>
      <c r="M1179">
        <v>201160</v>
      </c>
      <c r="N1179" t="s">
        <v>5011</v>
      </c>
      <c r="O1179" t="s">
        <v>25</v>
      </c>
      <c r="P1179" t="s">
        <v>26</v>
      </c>
      <c r="Q1179" t="s">
        <v>26</v>
      </c>
      <c r="R1179" s="105">
        <f>IF(Table__192.168.1.150_Daily_Delinquency_With_Sectors[[#This Row],[Days in Arrears]] &gt; 0, Table__192.168.1.150_Daily_Delinquency_With_Sectors[[#This Row],[Outstanding Balance]],0)</f>
        <v>0</v>
      </c>
      <c r="S1179" s="105">
        <f>IF(Table__192.168.1.150_Daily_Delinquency_With_Sectors[[#This Row],[Days in Arrears]] &gt; 30, Table__192.168.1.150_Daily_Delinquency_With_Sectors[[#This Row],[Outstanding Balance]],0)</f>
        <v>0</v>
      </c>
      <c r="T1179" s="105">
        <f>IF(Table__192.168.1.150_Daily_Delinquency_With_Sectors[[#This Row],[Days in Arrears]] &gt; 90, Table__192.168.1.150_Daily_Delinquency_With_Sectors[[#This Row],[Outstanding Balance]],0)</f>
        <v>0</v>
      </c>
      <c r="U1179" s="109">
        <f>IF(Table__192.168.1.150_Daily_Delinquency_With_Sectors[[#This Row],[Days in Arrears]] &gt;= 1,1,0)</f>
        <v>0</v>
      </c>
      <c r="V1179" s="109">
        <f>IF(Table__192.168.1.150_Daily_Delinquency_With_Sectors[[#This Row],[Days in Arrears]] &gt; 30,1,0)</f>
        <v>0</v>
      </c>
      <c r="W1179" s="109">
        <f>IF(Table__192.168.1.150_Daily_Delinquency_With_Sectors[[#This Row],[Days in Arrears]] &gt; 90,1,0)</f>
        <v>0</v>
      </c>
    </row>
    <row r="1180" spans="1:23" x14ac:dyDescent="0.25">
      <c r="A1180" t="s">
        <v>5015</v>
      </c>
      <c r="B1180" t="s">
        <v>1282</v>
      </c>
      <c r="C1180">
        <v>-16</v>
      </c>
      <c r="D1180" s="105">
        <v>2170037.0299999998</v>
      </c>
      <c r="E1180" t="s">
        <v>1448</v>
      </c>
      <c r="F1180" s="105">
        <v>42315.72</v>
      </c>
      <c r="G1180" s="105">
        <v>2631988.4900000002</v>
      </c>
      <c r="H1180" s="597">
        <v>42926.725995335648</v>
      </c>
      <c r="I1180" s="597">
        <v>43291</v>
      </c>
      <c r="J1180" t="s">
        <v>5016</v>
      </c>
      <c r="K1180" t="s">
        <v>1280</v>
      </c>
      <c r="L1180" t="s">
        <v>1280</v>
      </c>
      <c r="M1180">
        <v>201161</v>
      </c>
      <c r="N1180" t="s">
        <v>5012</v>
      </c>
      <c r="O1180" t="s">
        <v>25</v>
      </c>
      <c r="P1180" t="s">
        <v>88</v>
      </c>
      <c r="Q1180" t="s">
        <v>285</v>
      </c>
      <c r="R1180" s="105">
        <f>IF(Table__192.168.1.150_Daily_Delinquency_With_Sectors[[#This Row],[Days in Arrears]] &gt; 0, Table__192.168.1.150_Daily_Delinquency_With_Sectors[[#This Row],[Outstanding Balance]],0)</f>
        <v>0</v>
      </c>
      <c r="S1180" s="105">
        <f>IF(Table__192.168.1.150_Daily_Delinquency_With_Sectors[[#This Row],[Days in Arrears]] &gt; 30, Table__192.168.1.150_Daily_Delinquency_With_Sectors[[#This Row],[Outstanding Balance]],0)</f>
        <v>0</v>
      </c>
      <c r="T1180" s="105">
        <f>IF(Table__192.168.1.150_Daily_Delinquency_With_Sectors[[#This Row],[Days in Arrears]] &gt; 90, Table__192.168.1.150_Daily_Delinquency_With_Sectors[[#This Row],[Outstanding Balance]],0)</f>
        <v>0</v>
      </c>
      <c r="U1180" s="109">
        <f>IF(Table__192.168.1.150_Daily_Delinquency_With_Sectors[[#This Row],[Days in Arrears]] &gt;= 1,1,0)</f>
        <v>0</v>
      </c>
      <c r="V1180" s="109">
        <f>IF(Table__192.168.1.150_Daily_Delinquency_With_Sectors[[#This Row],[Days in Arrears]] &gt; 30,1,0)</f>
        <v>0</v>
      </c>
      <c r="W1180" s="109">
        <f>IF(Table__192.168.1.150_Daily_Delinquency_With_Sectors[[#This Row],[Days in Arrears]] &gt; 90,1,0)</f>
        <v>0</v>
      </c>
    </row>
    <row r="1181" spans="1:23" x14ac:dyDescent="0.25">
      <c r="A1181" t="s">
        <v>5019</v>
      </c>
      <c r="B1181" t="s">
        <v>1282</v>
      </c>
      <c r="C1181">
        <v>43</v>
      </c>
      <c r="D1181" s="105">
        <v>1906529.37</v>
      </c>
      <c r="E1181" t="s">
        <v>4685</v>
      </c>
      <c r="F1181" s="105">
        <v>114404.56</v>
      </c>
      <c r="G1181" s="105">
        <v>2137742.9</v>
      </c>
      <c r="H1181" s="597">
        <v>42927.502609293981</v>
      </c>
      <c r="I1181" s="597">
        <v>43170</v>
      </c>
      <c r="J1181" t="s">
        <v>5020</v>
      </c>
      <c r="K1181" t="s">
        <v>5021</v>
      </c>
      <c r="L1181" t="s">
        <v>1280</v>
      </c>
      <c r="M1181">
        <v>201162</v>
      </c>
      <c r="N1181" t="s">
        <v>5017</v>
      </c>
      <c r="O1181" t="s">
        <v>25</v>
      </c>
      <c r="P1181" t="s">
        <v>26</v>
      </c>
      <c r="Q1181" t="s">
        <v>26</v>
      </c>
      <c r="R1181" s="105">
        <f>IF(Table__192.168.1.150_Daily_Delinquency_With_Sectors[[#This Row],[Days in Arrears]] &gt; 0, Table__192.168.1.150_Daily_Delinquency_With_Sectors[[#This Row],[Outstanding Balance]],0)</f>
        <v>1906529.37</v>
      </c>
      <c r="S1181" s="105">
        <f>IF(Table__192.168.1.150_Daily_Delinquency_With_Sectors[[#This Row],[Days in Arrears]] &gt; 30, Table__192.168.1.150_Daily_Delinquency_With_Sectors[[#This Row],[Outstanding Balance]],0)</f>
        <v>1906529.37</v>
      </c>
      <c r="T1181" s="105">
        <f>IF(Table__192.168.1.150_Daily_Delinquency_With_Sectors[[#This Row],[Days in Arrears]] &gt; 90, Table__192.168.1.150_Daily_Delinquency_With_Sectors[[#This Row],[Outstanding Balance]],0)</f>
        <v>0</v>
      </c>
      <c r="U1181" s="109">
        <f>IF(Table__192.168.1.150_Daily_Delinquency_With_Sectors[[#This Row],[Days in Arrears]] &gt;= 1,1,0)</f>
        <v>1</v>
      </c>
      <c r="V1181" s="109">
        <f>IF(Table__192.168.1.150_Daily_Delinquency_With_Sectors[[#This Row],[Days in Arrears]] &gt; 30,1,0)</f>
        <v>1</v>
      </c>
      <c r="W1181" s="109">
        <f>IF(Table__192.168.1.150_Daily_Delinquency_With_Sectors[[#This Row],[Days in Arrears]] &gt; 90,1,0)</f>
        <v>0</v>
      </c>
    </row>
    <row r="1182" spans="1:23" x14ac:dyDescent="0.25">
      <c r="A1182" t="s">
        <v>1852</v>
      </c>
      <c r="B1182" t="s">
        <v>1281</v>
      </c>
      <c r="C1182">
        <v>-25</v>
      </c>
      <c r="D1182" s="105">
        <v>24838780.449999999</v>
      </c>
      <c r="E1182" t="s">
        <v>2861</v>
      </c>
      <c r="F1182" s="105">
        <v>115914.31</v>
      </c>
      <c r="G1182" s="105">
        <v>31843073.199999999</v>
      </c>
      <c r="H1182" s="597">
        <v>42935.483286226852</v>
      </c>
      <c r="I1182" s="597">
        <v>43484</v>
      </c>
      <c r="J1182" t="s">
        <v>1853</v>
      </c>
      <c r="K1182" t="s">
        <v>1280</v>
      </c>
      <c r="L1182" t="s">
        <v>1280</v>
      </c>
      <c r="M1182">
        <v>201164</v>
      </c>
      <c r="N1182" t="s">
        <v>1851</v>
      </c>
      <c r="O1182" t="s">
        <v>27</v>
      </c>
      <c r="P1182" t="s">
        <v>26</v>
      </c>
      <c r="Q1182" t="s">
        <v>26</v>
      </c>
      <c r="R1182" s="105">
        <f>IF(Table__192.168.1.150_Daily_Delinquency_With_Sectors[[#This Row],[Days in Arrears]] &gt; 0, Table__192.168.1.150_Daily_Delinquency_With_Sectors[[#This Row],[Outstanding Balance]],0)</f>
        <v>0</v>
      </c>
      <c r="S1182" s="105">
        <f>IF(Table__192.168.1.150_Daily_Delinquency_With_Sectors[[#This Row],[Days in Arrears]] &gt; 30, Table__192.168.1.150_Daily_Delinquency_With_Sectors[[#This Row],[Outstanding Balance]],0)</f>
        <v>0</v>
      </c>
      <c r="T1182" s="105">
        <f>IF(Table__192.168.1.150_Daily_Delinquency_With_Sectors[[#This Row],[Days in Arrears]] &gt; 90, Table__192.168.1.150_Daily_Delinquency_With_Sectors[[#This Row],[Outstanding Balance]],0)</f>
        <v>0</v>
      </c>
      <c r="U1182" s="109">
        <f>IF(Table__192.168.1.150_Daily_Delinquency_With_Sectors[[#This Row],[Days in Arrears]] &gt;= 1,1,0)</f>
        <v>0</v>
      </c>
      <c r="V1182" s="109">
        <f>IF(Table__192.168.1.150_Daily_Delinquency_With_Sectors[[#This Row],[Days in Arrears]] &gt; 30,1,0)</f>
        <v>0</v>
      </c>
      <c r="W1182" s="109">
        <f>IF(Table__192.168.1.150_Daily_Delinquency_With_Sectors[[#This Row],[Days in Arrears]] &gt; 90,1,0)</f>
        <v>0</v>
      </c>
    </row>
    <row r="1183" spans="1:23" x14ac:dyDescent="0.25">
      <c r="A1183" t="s">
        <v>2210</v>
      </c>
      <c r="B1183" t="s">
        <v>1282</v>
      </c>
      <c r="C1183">
        <v>-17</v>
      </c>
      <c r="D1183" s="105">
        <v>8344162.3600000003</v>
      </c>
      <c r="E1183" t="s">
        <v>1447</v>
      </c>
      <c r="F1183" s="105">
        <v>133506.6</v>
      </c>
      <c r="G1183" s="105">
        <v>11059065.92</v>
      </c>
      <c r="H1183" s="597">
        <v>42927.663265393516</v>
      </c>
      <c r="I1183" s="597">
        <v>43476</v>
      </c>
      <c r="J1183" t="s">
        <v>2211</v>
      </c>
      <c r="K1183" t="s">
        <v>1280</v>
      </c>
      <c r="L1183" t="s">
        <v>1280</v>
      </c>
      <c r="M1183">
        <v>201165</v>
      </c>
      <c r="N1183" t="s">
        <v>2188</v>
      </c>
      <c r="O1183" t="s">
        <v>27</v>
      </c>
      <c r="P1183" t="s">
        <v>26</v>
      </c>
      <c r="Q1183" t="s">
        <v>26</v>
      </c>
      <c r="R1183" s="105">
        <f>IF(Table__192.168.1.150_Daily_Delinquency_With_Sectors[[#This Row],[Days in Arrears]] &gt; 0, Table__192.168.1.150_Daily_Delinquency_With_Sectors[[#This Row],[Outstanding Balance]],0)</f>
        <v>0</v>
      </c>
      <c r="S1183" s="105">
        <f>IF(Table__192.168.1.150_Daily_Delinquency_With_Sectors[[#This Row],[Days in Arrears]] &gt; 30, Table__192.168.1.150_Daily_Delinquency_With_Sectors[[#This Row],[Outstanding Balance]],0)</f>
        <v>0</v>
      </c>
      <c r="T1183" s="105">
        <f>IF(Table__192.168.1.150_Daily_Delinquency_With_Sectors[[#This Row],[Days in Arrears]] &gt; 90, Table__192.168.1.150_Daily_Delinquency_With_Sectors[[#This Row],[Outstanding Balance]],0)</f>
        <v>0</v>
      </c>
      <c r="U1183" s="109">
        <f>IF(Table__192.168.1.150_Daily_Delinquency_With_Sectors[[#This Row],[Days in Arrears]] &gt;= 1,1,0)</f>
        <v>0</v>
      </c>
      <c r="V1183" s="109">
        <f>IF(Table__192.168.1.150_Daily_Delinquency_With_Sectors[[#This Row],[Days in Arrears]] &gt; 30,1,0)</f>
        <v>0</v>
      </c>
      <c r="W1183" s="109">
        <f>IF(Table__192.168.1.150_Daily_Delinquency_With_Sectors[[#This Row],[Days in Arrears]] &gt; 90,1,0)</f>
        <v>0</v>
      </c>
    </row>
    <row r="1184" spans="1:23" x14ac:dyDescent="0.25">
      <c r="A1184" t="s">
        <v>5032</v>
      </c>
      <c r="B1184" t="s">
        <v>1282</v>
      </c>
      <c r="C1184">
        <v>-18</v>
      </c>
      <c r="D1184" s="105">
        <v>3807324.71</v>
      </c>
      <c r="E1184" t="s">
        <v>2861</v>
      </c>
      <c r="F1184" s="105">
        <v>62820.86</v>
      </c>
      <c r="G1184" s="105">
        <v>4245070.3099999996</v>
      </c>
      <c r="H1184" s="597">
        <v>42928.603102893518</v>
      </c>
      <c r="I1184" s="597">
        <v>43171</v>
      </c>
      <c r="J1184" t="s">
        <v>5033</v>
      </c>
      <c r="K1184" t="s">
        <v>5034</v>
      </c>
      <c r="L1184" t="s">
        <v>1280</v>
      </c>
      <c r="M1184">
        <v>201166</v>
      </c>
      <c r="N1184" t="s">
        <v>5025</v>
      </c>
      <c r="O1184" t="s">
        <v>25</v>
      </c>
      <c r="P1184" t="s">
        <v>88</v>
      </c>
      <c r="Q1184" t="s">
        <v>285</v>
      </c>
      <c r="R1184" s="105">
        <f>IF(Table__192.168.1.150_Daily_Delinquency_With_Sectors[[#This Row],[Days in Arrears]] &gt; 0, Table__192.168.1.150_Daily_Delinquency_With_Sectors[[#This Row],[Outstanding Balance]],0)</f>
        <v>0</v>
      </c>
      <c r="S1184" s="105">
        <f>IF(Table__192.168.1.150_Daily_Delinquency_With_Sectors[[#This Row],[Days in Arrears]] &gt; 30, Table__192.168.1.150_Daily_Delinquency_With_Sectors[[#This Row],[Outstanding Balance]],0)</f>
        <v>0</v>
      </c>
      <c r="T1184" s="105">
        <f>IF(Table__192.168.1.150_Daily_Delinquency_With_Sectors[[#This Row],[Days in Arrears]] &gt; 90, Table__192.168.1.150_Daily_Delinquency_With_Sectors[[#This Row],[Outstanding Balance]],0)</f>
        <v>0</v>
      </c>
      <c r="U1184" s="109">
        <f>IF(Table__192.168.1.150_Daily_Delinquency_With_Sectors[[#This Row],[Days in Arrears]] &gt;= 1,1,0)</f>
        <v>0</v>
      </c>
      <c r="V1184" s="109">
        <f>IF(Table__192.168.1.150_Daily_Delinquency_With_Sectors[[#This Row],[Days in Arrears]] &gt; 30,1,0)</f>
        <v>0</v>
      </c>
      <c r="W1184" s="109">
        <f>IF(Table__192.168.1.150_Daily_Delinquency_With_Sectors[[#This Row],[Days in Arrears]] &gt; 90,1,0)</f>
        <v>0</v>
      </c>
    </row>
    <row r="1185" spans="1:23" x14ac:dyDescent="0.25">
      <c r="A1185" t="s">
        <v>5036</v>
      </c>
      <c r="B1185" t="s">
        <v>1281</v>
      </c>
      <c r="C1185">
        <v>10</v>
      </c>
      <c r="D1185" s="105">
        <v>12272472.66</v>
      </c>
      <c r="E1185" t="s">
        <v>2855</v>
      </c>
      <c r="F1185" s="105">
        <v>142772.35999999999</v>
      </c>
      <c r="G1185" s="105">
        <v>15313993.02</v>
      </c>
      <c r="H1185" s="597">
        <v>42930.559912303244</v>
      </c>
      <c r="I1185" s="597">
        <v>43387</v>
      </c>
      <c r="J1185" t="s">
        <v>5037</v>
      </c>
      <c r="K1185" t="s">
        <v>1280</v>
      </c>
      <c r="L1185" t="s">
        <v>1280</v>
      </c>
      <c r="M1185">
        <v>201167</v>
      </c>
      <c r="N1185" t="s">
        <v>5035</v>
      </c>
      <c r="O1185" t="s">
        <v>27</v>
      </c>
      <c r="P1185" t="s">
        <v>26</v>
      </c>
      <c r="Q1185" t="s">
        <v>26</v>
      </c>
      <c r="R1185" s="105">
        <f>IF(Table__192.168.1.150_Daily_Delinquency_With_Sectors[[#This Row],[Days in Arrears]] &gt; 0, Table__192.168.1.150_Daily_Delinquency_With_Sectors[[#This Row],[Outstanding Balance]],0)</f>
        <v>12272472.66</v>
      </c>
      <c r="S1185" s="105">
        <f>IF(Table__192.168.1.150_Daily_Delinquency_With_Sectors[[#This Row],[Days in Arrears]] &gt; 30, Table__192.168.1.150_Daily_Delinquency_With_Sectors[[#This Row],[Outstanding Balance]],0)</f>
        <v>0</v>
      </c>
      <c r="T1185" s="105">
        <f>IF(Table__192.168.1.150_Daily_Delinquency_With_Sectors[[#This Row],[Days in Arrears]] &gt; 90, Table__192.168.1.150_Daily_Delinquency_With_Sectors[[#This Row],[Outstanding Balance]],0)</f>
        <v>0</v>
      </c>
      <c r="U1185" s="109">
        <f>IF(Table__192.168.1.150_Daily_Delinquency_With_Sectors[[#This Row],[Days in Arrears]] &gt;= 1,1,0)</f>
        <v>1</v>
      </c>
      <c r="V1185" s="109">
        <f>IF(Table__192.168.1.150_Daily_Delinquency_With_Sectors[[#This Row],[Days in Arrears]] &gt; 30,1,0)</f>
        <v>0</v>
      </c>
      <c r="W1185" s="109">
        <f>IF(Table__192.168.1.150_Daily_Delinquency_With_Sectors[[#This Row],[Days in Arrears]] &gt; 90,1,0)</f>
        <v>0</v>
      </c>
    </row>
    <row r="1186" spans="1:23" x14ac:dyDescent="0.25">
      <c r="A1186" t="s">
        <v>5039</v>
      </c>
      <c r="B1186" t="s">
        <v>1866</v>
      </c>
      <c r="C1186">
        <v>-21</v>
      </c>
      <c r="D1186" s="105">
        <v>3888962.37</v>
      </c>
      <c r="E1186" t="s">
        <v>1909</v>
      </c>
      <c r="F1186" s="105">
        <v>43210.69</v>
      </c>
      <c r="G1186" s="105">
        <v>4475376.09</v>
      </c>
      <c r="H1186" s="597">
        <v>42931.531305092591</v>
      </c>
      <c r="I1186" s="597">
        <v>43235</v>
      </c>
      <c r="J1186" t="s">
        <v>5040</v>
      </c>
      <c r="K1186" t="s">
        <v>5041</v>
      </c>
      <c r="L1186" t="s">
        <v>1280</v>
      </c>
      <c r="M1186">
        <v>201168</v>
      </c>
      <c r="N1186" t="s">
        <v>5038</v>
      </c>
      <c r="O1186" t="s">
        <v>25</v>
      </c>
      <c r="P1186" t="s">
        <v>88</v>
      </c>
      <c r="Q1186" t="s">
        <v>285</v>
      </c>
      <c r="R1186" s="105">
        <f>IF(Table__192.168.1.150_Daily_Delinquency_With_Sectors[[#This Row],[Days in Arrears]] &gt; 0, Table__192.168.1.150_Daily_Delinquency_With_Sectors[[#This Row],[Outstanding Balance]],0)</f>
        <v>0</v>
      </c>
      <c r="S1186" s="105">
        <f>IF(Table__192.168.1.150_Daily_Delinquency_With_Sectors[[#This Row],[Days in Arrears]] &gt; 30, Table__192.168.1.150_Daily_Delinquency_With_Sectors[[#This Row],[Outstanding Balance]],0)</f>
        <v>0</v>
      </c>
      <c r="T1186" s="105">
        <f>IF(Table__192.168.1.150_Daily_Delinquency_With_Sectors[[#This Row],[Days in Arrears]] &gt; 90, Table__192.168.1.150_Daily_Delinquency_With_Sectors[[#This Row],[Outstanding Balance]],0)</f>
        <v>0</v>
      </c>
      <c r="U1186" s="109">
        <f>IF(Table__192.168.1.150_Daily_Delinquency_With_Sectors[[#This Row],[Days in Arrears]] &gt;= 1,1,0)</f>
        <v>0</v>
      </c>
      <c r="V1186" s="109">
        <f>IF(Table__192.168.1.150_Daily_Delinquency_With_Sectors[[#This Row],[Days in Arrears]] &gt; 30,1,0)</f>
        <v>0</v>
      </c>
      <c r="W1186" s="109">
        <f>IF(Table__192.168.1.150_Daily_Delinquency_With_Sectors[[#This Row],[Days in Arrears]] &gt; 90,1,0)</f>
        <v>0</v>
      </c>
    </row>
    <row r="1187" spans="1:23" x14ac:dyDescent="0.25">
      <c r="A1187" t="s">
        <v>5048</v>
      </c>
      <c r="B1187" t="s">
        <v>1279</v>
      </c>
      <c r="C1187">
        <v>-25</v>
      </c>
      <c r="D1187" s="105">
        <v>1087807.04</v>
      </c>
      <c r="E1187" t="s">
        <v>5047</v>
      </c>
      <c r="F1187" s="105">
        <v>6526.84</v>
      </c>
      <c r="G1187" s="105">
        <v>1212877.22</v>
      </c>
      <c r="H1187" s="597">
        <v>42935.6580846875</v>
      </c>
      <c r="I1187" s="597">
        <v>43178</v>
      </c>
      <c r="J1187" t="s">
        <v>5049</v>
      </c>
      <c r="K1187" t="s">
        <v>1280</v>
      </c>
      <c r="L1187" t="s">
        <v>5050</v>
      </c>
      <c r="M1187">
        <v>201171</v>
      </c>
      <c r="N1187" t="s">
        <v>5046</v>
      </c>
      <c r="O1187" t="s">
        <v>25</v>
      </c>
      <c r="P1187" t="s">
        <v>88</v>
      </c>
      <c r="Q1187" t="s">
        <v>285</v>
      </c>
      <c r="R1187" s="105">
        <f>IF(Table__192.168.1.150_Daily_Delinquency_With_Sectors[[#This Row],[Days in Arrears]] &gt; 0, Table__192.168.1.150_Daily_Delinquency_With_Sectors[[#This Row],[Outstanding Balance]],0)</f>
        <v>0</v>
      </c>
      <c r="S1187" s="105">
        <f>IF(Table__192.168.1.150_Daily_Delinquency_With_Sectors[[#This Row],[Days in Arrears]] &gt; 30, Table__192.168.1.150_Daily_Delinquency_With_Sectors[[#This Row],[Outstanding Balance]],0)</f>
        <v>0</v>
      </c>
      <c r="T1187" s="105">
        <f>IF(Table__192.168.1.150_Daily_Delinquency_With_Sectors[[#This Row],[Days in Arrears]] &gt; 90, Table__192.168.1.150_Daily_Delinquency_With_Sectors[[#This Row],[Outstanding Balance]],0)</f>
        <v>0</v>
      </c>
      <c r="U1187" s="109">
        <f>IF(Table__192.168.1.150_Daily_Delinquency_With_Sectors[[#This Row],[Days in Arrears]] &gt;= 1,1,0)</f>
        <v>0</v>
      </c>
      <c r="V1187" s="109">
        <f>IF(Table__192.168.1.150_Daily_Delinquency_With_Sectors[[#This Row],[Days in Arrears]] &gt; 30,1,0)</f>
        <v>0</v>
      </c>
      <c r="W1187" s="109">
        <f>IF(Table__192.168.1.150_Daily_Delinquency_With_Sectors[[#This Row],[Days in Arrears]] &gt; 90,1,0)</f>
        <v>0</v>
      </c>
    </row>
    <row r="1188" spans="1:23" x14ac:dyDescent="0.25">
      <c r="A1188" t="s">
        <v>5060</v>
      </c>
      <c r="B1188" t="s">
        <v>1279</v>
      </c>
      <c r="C1188">
        <v>4</v>
      </c>
      <c r="D1188" s="105">
        <v>1332411.94</v>
      </c>
      <c r="E1188" t="s">
        <v>4683</v>
      </c>
      <c r="F1188" s="105">
        <v>64043.08</v>
      </c>
      <c r="G1188" s="105">
        <v>1454087.91</v>
      </c>
      <c r="H1188" s="597">
        <v>42936.758932986108</v>
      </c>
      <c r="I1188" s="597">
        <v>43120</v>
      </c>
      <c r="J1188" t="s">
        <v>5061</v>
      </c>
      <c r="K1188" t="s">
        <v>1280</v>
      </c>
      <c r="L1188" t="s">
        <v>5062</v>
      </c>
      <c r="M1188">
        <v>201172</v>
      </c>
      <c r="N1188" t="s">
        <v>5053</v>
      </c>
      <c r="O1188" t="s">
        <v>25</v>
      </c>
      <c r="P1188" t="s">
        <v>88</v>
      </c>
      <c r="Q1188" t="s">
        <v>285</v>
      </c>
      <c r="R1188" s="105">
        <f>IF(Table__192.168.1.150_Daily_Delinquency_With_Sectors[[#This Row],[Days in Arrears]] &gt; 0, Table__192.168.1.150_Daily_Delinquency_With_Sectors[[#This Row],[Outstanding Balance]],0)</f>
        <v>1332411.94</v>
      </c>
      <c r="S1188" s="105">
        <f>IF(Table__192.168.1.150_Daily_Delinquency_With_Sectors[[#This Row],[Days in Arrears]] &gt; 30, Table__192.168.1.150_Daily_Delinquency_With_Sectors[[#This Row],[Outstanding Balance]],0)</f>
        <v>0</v>
      </c>
      <c r="T1188" s="105">
        <f>IF(Table__192.168.1.150_Daily_Delinquency_With_Sectors[[#This Row],[Days in Arrears]] &gt; 90, Table__192.168.1.150_Daily_Delinquency_With_Sectors[[#This Row],[Outstanding Balance]],0)</f>
        <v>0</v>
      </c>
      <c r="U1188" s="109">
        <f>IF(Table__192.168.1.150_Daily_Delinquency_With_Sectors[[#This Row],[Days in Arrears]] &gt;= 1,1,0)</f>
        <v>1</v>
      </c>
      <c r="V1188" s="109">
        <f>IF(Table__192.168.1.150_Daily_Delinquency_With_Sectors[[#This Row],[Days in Arrears]] &gt; 30,1,0)</f>
        <v>0</v>
      </c>
      <c r="W1188" s="109">
        <f>IF(Table__192.168.1.150_Daily_Delinquency_With_Sectors[[#This Row],[Days in Arrears]] &gt; 90,1,0)</f>
        <v>0</v>
      </c>
    </row>
    <row r="1189" spans="1:23" x14ac:dyDescent="0.25">
      <c r="A1189" t="s">
        <v>3072</v>
      </c>
      <c r="B1189" t="s">
        <v>1279</v>
      </c>
      <c r="C1189">
        <v>-27</v>
      </c>
      <c r="D1189" s="105">
        <v>3228248.66</v>
      </c>
      <c r="E1189" t="s">
        <v>2034</v>
      </c>
      <c r="F1189" s="105">
        <v>8608.66</v>
      </c>
      <c r="G1189" s="105">
        <v>3835878.19</v>
      </c>
      <c r="H1189" s="597">
        <v>42937.380779629631</v>
      </c>
      <c r="I1189" s="597">
        <v>43302</v>
      </c>
      <c r="J1189" t="s">
        <v>3073</v>
      </c>
      <c r="K1189" t="s">
        <v>1280</v>
      </c>
      <c r="L1189" t="s">
        <v>1280</v>
      </c>
      <c r="M1189">
        <v>201173</v>
      </c>
      <c r="N1189" t="s">
        <v>3051</v>
      </c>
      <c r="O1189" t="s">
        <v>25</v>
      </c>
      <c r="P1189" t="s">
        <v>26</v>
      </c>
      <c r="Q1189" t="s">
        <v>26</v>
      </c>
      <c r="R1189" s="105">
        <f>IF(Table__192.168.1.150_Daily_Delinquency_With_Sectors[[#This Row],[Days in Arrears]] &gt; 0, Table__192.168.1.150_Daily_Delinquency_With_Sectors[[#This Row],[Outstanding Balance]],0)</f>
        <v>0</v>
      </c>
      <c r="S1189" s="105">
        <f>IF(Table__192.168.1.150_Daily_Delinquency_With_Sectors[[#This Row],[Days in Arrears]] &gt; 30, Table__192.168.1.150_Daily_Delinquency_With_Sectors[[#This Row],[Outstanding Balance]],0)</f>
        <v>0</v>
      </c>
      <c r="T1189" s="105">
        <f>IF(Table__192.168.1.150_Daily_Delinquency_With_Sectors[[#This Row],[Days in Arrears]] &gt; 90, Table__192.168.1.150_Daily_Delinquency_With_Sectors[[#This Row],[Outstanding Balance]],0)</f>
        <v>0</v>
      </c>
      <c r="U1189" s="109">
        <f>IF(Table__192.168.1.150_Daily_Delinquency_With_Sectors[[#This Row],[Days in Arrears]] &gt;= 1,1,0)</f>
        <v>0</v>
      </c>
      <c r="V1189" s="109">
        <f>IF(Table__192.168.1.150_Daily_Delinquency_With_Sectors[[#This Row],[Days in Arrears]] &gt; 30,1,0)</f>
        <v>0</v>
      </c>
      <c r="W1189" s="109">
        <f>IF(Table__192.168.1.150_Daily_Delinquency_With_Sectors[[#This Row],[Days in Arrears]] &gt; 90,1,0)</f>
        <v>0</v>
      </c>
    </row>
    <row r="1190" spans="1:23" x14ac:dyDescent="0.25">
      <c r="A1190" t="s">
        <v>2987</v>
      </c>
      <c r="B1190" t="s">
        <v>1282</v>
      </c>
      <c r="C1190">
        <v>-26</v>
      </c>
      <c r="D1190" s="105">
        <v>3586942.99</v>
      </c>
      <c r="E1190" t="s">
        <v>1667</v>
      </c>
      <c r="F1190" s="105">
        <v>14347.77</v>
      </c>
      <c r="G1190" s="105">
        <v>4262086.9400000004</v>
      </c>
      <c r="H1190" s="597">
        <v>42936.760741006947</v>
      </c>
      <c r="I1190" s="597">
        <v>43301</v>
      </c>
      <c r="J1190" t="s">
        <v>2988</v>
      </c>
      <c r="K1190" t="s">
        <v>1280</v>
      </c>
      <c r="L1190" t="s">
        <v>1280</v>
      </c>
      <c r="M1190">
        <v>201174</v>
      </c>
      <c r="N1190" t="s">
        <v>2986</v>
      </c>
      <c r="O1190" t="s">
        <v>25</v>
      </c>
      <c r="P1190" t="s">
        <v>26</v>
      </c>
      <c r="Q1190" t="s">
        <v>26</v>
      </c>
      <c r="R1190" s="105">
        <f>IF(Table__192.168.1.150_Daily_Delinquency_With_Sectors[[#This Row],[Days in Arrears]] &gt; 0, Table__192.168.1.150_Daily_Delinquency_With_Sectors[[#This Row],[Outstanding Balance]],0)</f>
        <v>0</v>
      </c>
      <c r="S1190" s="105">
        <f>IF(Table__192.168.1.150_Daily_Delinquency_With_Sectors[[#This Row],[Days in Arrears]] &gt; 30, Table__192.168.1.150_Daily_Delinquency_With_Sectors[[#This Row],[Outstanding Balance]],0)</f>
        <v>0</v>
      </c>
      <c r="T1190" s="105">
        <f>IF(Table__192.168.1.150_Daily_Delinquency_With_Sectors[[#This Row],[Days in Arrears]] &gt; 90, Table__192.168.1.150_Daily_Delinquency_With_Sectors[[#This Row],[Outstanding Balance]],0)</f>
        <v>0</v>
      </c>
      <c r="U1190" s="109">
        <f>IF(Table__192.168.1.150_Daily_Delinquency_With_Sectors[[#This Row],[Days in Arrears]] &gt;= 1,1,0)</f>
        <v>0</v>
      </c>
      <c r="V1190" s="109">
        <f>IF(Table__192.168.1.150_Daily_Delinquency_With_Sectors[[#This Row],[Days in Arrears]] &gt; 30,1,0)</f>
        <v>0</v>
      </c>
      <c r="W1190" s="109">
        <f>IF(Table__192.168.1.150_Daily_Delinquency_With_Sectors[[#This Row],[Days in Arrears]] &gt; 90,1,0)</f>
        <v>0</v>
      </c>
    </row>
    <row r="1191" spans="1:23" x14ac:dyDescent="0.25">
      <c r="A1191" t="s">
        <v>5072</v>
      </c>
      <c r="B1191" t="s">
        <v>1279</v>
      </c>
      <c r="C1191">
        <v>3</v>
      </c>
      <c r="D1191" s="105">
        <v>661603.49</v>
      </c>
      <c r="E1191" t="s">
        <v>4844</v>
      </c>
      <c r="F1191" s="105">
        <v>1955.54</v>
      </c>
      <c r="G1191" s="105">
        <v>768030.57</v>
      </c>
      <c r="H1191" s="597">
        <v>42937.681770717594</v>
      </c>
      <c r="I1191" s="597">
        <v>43241</v>
      </c>
      <c r="J1191" t="s">
        <v>5073</v>
      </c>
      <c r="K1191" t="s">
        <v>5074</v>
      </c>
      <c r="L1191" t="s">
        <v>1280</v>
      </c>
      <c r="M1191">
        <v>201175</v>
      </c>
      <c r="N1191" t="s">
        <v>5066</v>
      </c>
      <c r="O1191" t="s">
        <v>25</v>
      </c>
      <c r="P1191" t="s">
        <v>26</v>
      </c>
      <c r="Q1191" t="s">
        <v>26</v>
      </c>
      <c r="R1191" s="105">
        <f>IF(Table__192.168.1.150_Daily_Delinquency_With_Sectors[[#This Row],[Days in Arrears]] &gt; 0, Table__192.168.1.150_Daily_Delinquency_With_Sectors[[#This Row],[Outstanding Balance]],0)</f>
        <v>661603.49</v>
      </c>
      <c r="S1191" s="105">
        <f>IF(Table__192.168.1.150_Daily_Delinquency_With_Sectors[[#This Row],[Days in Arrears]] &gt; 30, Table__192.168.1.150_Daily_Delinquency_With_Sectors[[#This Row],[Outstanding Balance]],0)</f>
        <v>0</v>
      </c>
      <c r="T1191" s="105">
        <f>IF(Table__192.168.1.150_Daily_Delinquency_With_Sectors[[#This Row],[Days in Arrears]] &gt; 90, Table__192.168.1.150_Daily_Delinquency_With_Sectors[[#This Row],[Outstanding Balance]],0)</f>
        <v>0</v>
      </c>
      <c r="U1191" s="109">
        <f>IF(Table__192.168.1.150_Daily_Delinquency_With_Sectors[[#This Row],[Days in Arrears]] &gt;= 1,1,0)</f>
        <v>1</v>
      </c>
      <c r="V1191" s="109">
        <f>IF(Table__192.168.1.150_Daily_Delinquency_With_Sectors[[#This Row],[Days in Arrears]] &gt; 30,1,0)</f>
        <v>0</v>
      </c>
      <c r="W1191" s="109">
        <f>IF(Table__192.168.1.150_Daily_Delinquency_With_Sectors[[#This Row],[Days in Arrears]] &gt; 90,1,0)</f>
        <v>0</v>
      </c>
    </row>
    <row r="1192" spans="1:23" x14ac:dyDescent="0.25">
      <c r="A1192" t="s">
        <v>3976</v>
      </c>
      <c r="B1192" t="s">
        <v>1279</v>
      </c>
      <c r="C1192">
        <v>-27</v>
      </c>
      <c r="D1192" s="105">
        <v>539692.53</v>
      </c>
      <c r="E1192" t="s">
        <v>2538</v>
      </c>
      <c r="F1192" s="105">
        <v>1439.18</v>
      </c>
      <c r="G1192" s="105">
        <v>572285.73</v>
      </c>
      <c r="H1192" s="597">
        <v>42937.707024965275</v>
      </c>
      <c r="I1192" s="597">
        <v>43121</v>
      </c>
      <c r="J1192" t="s">
        <v>3977</v>
      </c>
      <c r="K1192" t="s">
        <v>1280</v>
      </c>
      <c r="L1192" t="s">
        <v>1280</v>
      </c>
      <c r="M1192">
        <v>201176</v>
      </c>
      <c r="N1192" t="s">
        <v>3967</v>
      </c>
      <c r="O1192" t="s">
        <v>25</v>
      </c>
      <c r="P1192" t="s">
        <v>88</v>
      </c>
      <c r="Q1192" t="s">
        <v>285</v>
      </c>
      <c r="R1192" s="105">
        <f>IF(Table__192.168.1.150_Daily_Delinquency_With_Sectors[[#This Row],[Days in Arrears]] &gt; 0, Table__192.168.1.150_Daily_Delinquency_With_Sectors[[#This Row],[Outstanding Balance]],0)</f>
        <v>0</v>
      </c>
      <c r="S1192" s="105">
        <f>IF(Table__192.168.1.150_Daily_Delinquency_With_Sectors[[#This Row],[Days in Arrears]] &gt; 30, Table__192.168.1.150_Daily_Delinquency_With_Sectors[[#This Row],[Outstanding Balance]],0)</f>
        <v>0</v>
      </c>
      <c r="T1192" s="105">
        <f>IF(Table__192.168.1.150_Daily_Delinquency_With_Sectors[[#This Row],[Days in Arrears]] &gt; 90, Table__192.168.1.150_Daily_Delinquency_With_Sectors[[#This Row],[Outstanding Balance]],0)</f>
        <v>0</v>
      </c>
      <c r="U1192" s="109">
        <f>IF(Table__192.168.1.150_Daily_Delinquency_With_Sectors[[#This Row],[Days in Arrears]] &gt;= 1,1,0)</f>
        <v>0</v>
      </c>
      <c r="V1192" s="109">
        <f>IF(Table__192.168.1.150_Daily_Delinquency_With_Sectors[[#This Row],[Days in Arrears]] &gt; 30,1,0)</f>
        <v>0</v>
      </c>
      <c r="W1192" s="109">
        <f>IF(Table__192.168.1.150_Daily_Delinquency_With_Sectors[[#This Row],[Days in Arrears]] &gt; 90,1,0)</f>
        <v>0</v>
      </c>
    </row>
    <row r="1193" spans="1:23" x14ac:dyDescent="0.25">
      <c r="A1193" t="s">
        <v>4096</v>
      </c>
      <c r="B1193" t="s">
        <v>1281</v>
      </c>
      <c r="C1193">
        <v>-28</v>
      </c>
      <c r="D1193" s="105">
        <v>14226881.300000001</v>
      </c>
      <c r="E1193" t="s">
        <v>2175</v>
      </c>
      <c r="F1193" s="105">
        <v>16598.03</v>
      </c>
      <c r="G1193" s="105">
        <v>16557431.85</v>
      </c>
      <c r="H1193" s="597">
        <v>42938.440721874998</v>
      </c>
      <c r="I1193" s="597">
        <v>43303</v>
      </c>
      <c r="J1193" t="s">
        <v>4097</v>
      </c>
      <c r="K1193" t="s">
        <v>1280</v>
      </c>
      <c r="L1193" t="s">
        <v>4098</v>
      </c>
      <c r="M1193">
        <v>201177</v>
      </c>
      <c r="N1193" t="s">
        <v>4095</v>
      </c>
      <c r="O1193" t="s">
        <v>25</v>
      </c>
      <c r="P1193" t="s">
        <v>88</v>
      </c>
      <c r="Q1193" t="s">
        <v>285</v>
      </c>
      <c r="R1193" s="105">
        <f>IF(Table__192.168.1.150_Daily_Delinquency_With_Sectors[[#This Row],[Days in Arrears]] &gt; 0, Table__192.168.1.150_Daily_Delinquency_With_Sectors[[#This Row],[Outstanding Balance]],0)</f>
        <v>0</v>
      </c>
      <c r="S1193" s="105">
        <f>IF(Table__192.168.1.150_Daily_Delinquency_With_Sectors[[#This Row],[Days in Arrears]] &gt; 30, Table__192.168.1.150_Daily_Delinquency_With_Sectors[[#This Row],[Outstanding Balance]],0)</f>
        <v>0</v>
      </c>
      <c r="T1193" s="105">
        <f>IF(Table__192.168.1.150_Daily_Delinquency_With_Sectors[[#This Row],[Days in Arrears]] &gt; 90, Table__192.168.1.150_Daily_Delinquency_With_Sectors[[#This Row],[Outstanding Balance]],0)</f>
        <v>0</v>
      </c>
      <c r="U1193" s="109">
        <f>IF(Table__192.168.1.150_Daily_Delinquency_With_Sectors[[#This Row],[Days in Arrears]] &gt;= 1,1,0)</f>
        <v>0</v>
      </c>
      <c r="V1193" s="109">
        <f>IF(Table__192.168.1.150_Daily_Delinquency_With_Sectors[[#This Row],[Days in Arrears]] &gt; 30,1,0)</f>
        <v>0</v>
      </c>
      <c r="W1193" s="109">
        <f>IF(Table__192.168.1.150_Daily_Delinquency_With_Sectors[[#This Row],[Days in Arrears]] &gt; 90,1,0)</f>
        <v>0</v>
      </c>
    </row>
    <row r="1194" spans="1:23" x14ac:dyDescent="0.25">
      <c r="A1194" t="s">
        <v>5075</v>
      </c>
      <c r="B1194" t="s">
        <v>1284</v>
      </c>
      <c r="C1194">
        <v>3</v>
      </c>
      <c r="D1194" s="105">
        <v>7097642.4400000004</v>
      </c>
      <c r="E1194" t="s">
        <v>1447</v>
      </c>
      <c r="F1194" s="105">
        <v>14196.33</v>
      </c>
      <c r="G1194" s="105">
        <v>7863301.4400000004</v>
      </c>
      <c r="H1194" s="597">
        <v>42937.723631365741</v>
      </c>
      <c r="I1194" s="597">
        <v>43241</v>
      </c>
      <c r="J1194" t="s">
        <v>5076</v>
      </c>
      <c r="K1194" t="s">
        <v>1280</v>
      </c>
      <c r="L1194" t="s">
        <v>1280</v>
      </c>
      <c r="M1194">
        <v>201178</v>
      </c>
      <c r="N1194" t="s">
        <v>5065</v>
      </c>
      <c r="O1194" t="s">
        <v>25</v>
      </c>
      <c r="P1194" t="s">
        <v>26</v>
      </c>
      <c r="Q1194" t="s">
        <v>26</v>
      </c>
      <c r="R1194" s="105">
        <f>IF(Table__192.168.1.150_Daily_Delinquency_With_Sectors[[#This Row],[Days in Arrears]] &gt; 0, Table__192.168.1.150_Daily_Delinquency_With_Sectors[[#This Row],[Outstanding Balance]],0)</f>
        <v>7097642.4400000004</v>
      </c>
      <c r="S1194" s="105">
        <f>IF(Table__192.168.1.150_Daily_Delinquency_With_Sectors[[#This Row],[Days in Arrears]] &gt; 30, Table__192.168.1.150_Daily_Delinquency_With_Sectors[[#This Row],[Outstanding Balance]],0)</f>
        <v>0</v>
      </c>
      <c r="T1194" s="105">
        <f>IF(Table__192.168.1.150_Daily_Delinquency_With_Sectors[[#This Row],[Days in Arrears]] &gt; 90, Table__192.168.1.150_Daily_Delinquency_With_Sectors[[#This Row],[Outstanding Balance]],0)</f>
        <v>0</v>
      </c>
      <c r="U1194" s="109">
        <f>IF(Table__192.168.1.150_Daily_Delinquency_With_Sectors[[#This Row],[Days in Arrears]] &gt;= 1,1,0)</f>
        <v>1</v>
      </c>
      <c r="V1194" s="109">
        <f>IF(Table__192.168.1.150_Daily_Delinquency_With_Sectors[[#This Row],[Days in Arrears]] &gt; 30,1,0)</f>
        <v>0</v>
      </c>
      <c r="W1194" s="109">
        <f>IF(Table__192.168.1.150_Daily_Delinquency_With_Sectors[[#This Row],[Days in Arrears]] &gt; 90,1,0)</f>
        <v>0</v>
      </c>
    </row>
    <row r="1195" spans="1:23" x14ac:dyDescent="0.25">
      <c r="A1195" t="s">
        <v>5079</v>
      </c>
      <c r="B1195" t="s">
        <v>1282</v>
      </c>
      <c r="C1195">
        <v>30</v>
      </c>
      <c r="D1195" s="105">
        <v>5001481.8600000003</v>
      </c>
      <c r="E1195" t="s">
        <v>491</v>
      </c>
      <c r="F1195" s="105">
        <v>362472.6</v>
      </c>
      <c r="G1195" s="105">
        <v>6009219.3700000001</v>
      </c>
      <c r="H1195" s="597">
        <v>42940.681572187503</v>
      </c>
      <c r="I1195" s="597">
        <v>43244</v>
      </c>
      <c r="J1195" t="s">
        <v>5080</v>
      </c>
      <c r="K1195" t="s">
        <v>5081</v>
      </c>
      <c r="L1195" t="s">
        <v>1280</v>
      </c>
      <c r="M1195">
        <v>201179</v>
      </c>
      <c r="N1195" t="s">
        <v>5077</v>
      </c>
      <c r="O1195" t="s">
        <v>25</v>
      </c>
      <c r="P1195" t="s">
        <v>88</v>
      </c>
      <c r="Q1195" t="s">
        <v>285</v>
      </c>
      <c r="R1195" s="105">
        <f>IF(Table__192.168.1.150_Daily_Delinquency_With_Sectors[[#This Row],[Days in Arrears]] &gt; 0, Table__192.168.1.150_Daily_Delinquency_With_Sectors[[#This Row],[Outstanding Balance]],0)</f>
        <v>5001481.8600000003</v>
      </c>
      <c r="S1195" s="105">
        <f>IF(Table__192.168.1.150_Daily_Delinquency_With_Sectors[[#This Row],[Days in Arrears]] &gt; 30, Table__192.168.1.150_Daily_Delinquency_With_Sectors[[#This Row],[Outstanding Balance]],0)</f>
        <v>0</v>
      </c>
      <c r="T1195" s="105">
        <f>IF(Table__192.168.1.150_Daily_Delinquency_With_Sectors[[#This Row],[Days in Arrears]] &gt; 90, Table__192.168.1.150_Daily_Delinquency_With_Sectors[[#This Row],[Outstanding Balance]],0)</f>
        <v>0</v>
      </c>
      <c r="U1195" s="109">
        <f>IF(Table__192.168.1.150_Daily_Delinquency_With_Sectors[[#This Row],[Days in Arrears]] &gt;= 1,1,0)</f>
        <v>1</v>
      </c>
      <c r="V1195" s="109">
        <f>IF(Table__192.168.1.150_Daily_Delinquency_With_Sectors[[#This Row],[Days in Arrears]] &gt; 30,1,0)</f>
        <v>0</v>
      </c>
      <c r="W1195" s="109">
        <f>IF(Table__192.168.1.150_Daily_Delinquency_With_Sectors[[#This Row],[Days in Arrears]] &gt; 90,1,0)</f>
        <v>0</v>
      </c>
    </row>
    <row r="1196" spans="1:23" x14ac:dyDescent="0.25">
      <c r="A1196" t="s">
        <v>5087</v>
      </c>
      <c r="B1196" t="s">
        <v>1279</v>
      </c>
      <c r="C1196">
        <v>-1</v>
      </c>
      <c r="D1196" s="105">
        <v>1332411.94</v>
      </c>
      <c r="E1196" t="s">
        <v>5047</v>
      </c>
      <c r="F1196" s="105">
        <v>55961.3</v>
      </c>
      <c r="G1196" s="105">
        <v>1454087.91</v>
      </c>
      <c r="H1196" s="597">
        <v>42941.502594178244</v>
      </c>
      <c r="I1196" s="597">
        <v>43125</v>
      </c>
      <c r="J1196" t="s">
        <v>5088</v>
      </c>
      <c r="K1196" t="s">
        <v>1280</v>
      </c>
      <c r="L1196" t="s">
        <v>1280</v>
      </c>
      <c r="M1196">
        <v>201180</v>
      </c>
      <c r="N1196" t="s">
        <v>5083</v>
      </c>
      <c r="O1196" t="s">
        <v>25</v>
      </c>
      <c r="P1196" t="s">
        <v>88</v>
      </c>
      <c r="Q1196" t="s">
        <v>285</v>
      </c>
      <c r="R1196" s="105">
        <f>IF(Table__192.168.1.150_Daily_Delinquency_With_Sectors[[#This Row],[Days in Arrears]] &gt; 0, Table__192.168.1.150_Daily_Delinquency_With_Sectors[[#This Row],[Outstanding Balance]],0)</f>
        <v>0</v>
      </c>
      <c r="S1196" s="105">
        <f>IF(Table__192.168.1.150_Daily_Delinquency_With_Sectors[[#This Row],[Days in Arrears]] &gt; 30, Table__192.168.1.150_Daily_Delinquency_With_Sectors[[#This Row],[Outstanding Balance]],0)</f>
        <v>0</v>
      </c>
      <c r="T1196" s="105">
        <f>IF(Table__192.168.1.150_Daily_Delinquency_With_Sectors[[#This Row],[Days in Arrears]] &gt; 90, Table__192.168.1.150_Daily_Delinquency_With_Sectors[[#This Row],[Outstanding Balance]],0)</f>
        <v>0</v>
      </c>
      <c r="U1196" s="109">
        <f>IF(Table__192.168.1.150_Daily_Delinquency_With_Sectors[[#This Row],[Days in Arrears]] &gt;= 1,1,0)</f>
        <v>0</v>
      </c>
      <c r="V1196" s="109">
        <f>IF(Table__192.168.1.150_Daily_Delinquency_With_Sectors[[#This Row],[Days in Arrears]] &gt; 30,1,0)</f>
        <v>0</v>
      </c>
      <c r="W1196" s="109">
        <f>IF(Table__192.168.1.150_Daily_Delinquency_With_Sectors[[#This Row],[Days in Arrears]] &gt; 90,1,0)</f>
        <v>0</v>
      </c>
    </row>
    <row r="1197" spans="1:23" x14ac:dyDescent="0.25">
      <c r="A1197" t="s">
        <v>4252</v>
      </c>
      <c r="B1197" t="s">
        <v>1282</v>
      </c>
      <c r="C1197">
        <v>-1</v>
      </c>
      <c r="D1197" s="105">
        <v>3699994.94</v>
      </c>
      <c r="E1197" t="s">
        <v>1925</v>
      </c>
      <c r="F1197" s="105">
        <v>138133.14000000001</v>
      </c>
      <c r="G1197" s="105">
        <v>4315183.0599999996</v>
      </c>
      <c r="H1197" s="597">
        <v>42941.527658298612</v>
      </c>
      <c r="I1197" s="597">
        <v>43245</v>
      </c>
      <c r="J1197" t="s">
        <v>4253</v>
      </c>
      <c r="K1197" t="s">
        <v>1280</v>
      </c>
      <c r="L1197" t="s">
        <v>4254</v>
      </c>
      <c r="M1197">
        <v>201181</v>
      </c>
      <c r="N1197" t="s">
        <v>4247</v>
      </c>
      <c r="O1197" t="s">
        <v>44</v>
      </c>
      <c r="P1197" t="s">
        <v>75</v>
      </c>
      <c r="Q1197" t="s">
        <v>26</v>
      </c>
      <c r="R1197" s="105">
        <f>IF(Table__192.168.1.150_Daily_Delinquency_With_Sectors[[#This Row],[Days in Arrears]] &gt; 0, Table__192.168.1.150_Daily_Delinquency_With_Sectors[[#This Row],[Outstanding Balance]],0)</f>
        <v>0</v>
      </c>
      <c r="S1197" s="105">
        <f>IF(Table__192.168.1.150_Daily_Delinquency_With_Sectors[[#This Row],[Days in Arrears]] &gt; 30, Table__192.168.1.150_Daily_Delinquency_With_Sectors[[#This Row],[Outstanding Balance]],0)</f>
        <v>0</v>
      </c>
      <c r="T1197" s="105">
        <f>IF(Table__192.168.1.150_Daily_Delinquency_With_Sectors[[#This Row],[Days in Arrears]] &gt; 90, Table__192.168.1.150_Daily_Delinquency_With_Sectors[[#This Row],[Outstanding Balance]],0)</f>
        <v>0</v>
      </c>
      <c r="U1197" s="109">
        <f>IF(Table__192.168.1.150_Daily_Delinquency_With_Sectors[[#This Row],[Days in Arrears]] &gt;= 1,1,0)</f>
        <v>0</v>
      </c>
      <c r="V1197" s="109">
        <f>IF(Table__192.168.1.150_Daily_Delinquency_With_Sectors[[#This Row],[Days in Arrears]] &gt; 30,1,0)</f>
        <v>0</v>
      </c>
      <c r="W1197" s="109">
        <f>IF(Table__192.168.1.150_Daily_Delinquency_With_Sectors[[#This Row],[Days in Arrears]] &gt; 90,1,0)</f>
        <v>0</v>
      </c>
    </row>
    <row r="1198" spans="1:23" x14ac:dyDescent="0.25">
      <c r="A1198" t="s">
        <v>5089</v>
      </c>
      <c r="B1198" t="s">
        <v>1866</v>
      </c>
      <c r="C1198">
        <v>-1</v>
      </c>
      <c r="D1198" s="105">
        <v>4638703.45</v>
      </c>
      <c r="E1198" t="s">
        <v>90</v>
      </c>
      <c r="F1198" s="105">
        <v>180394.02</v>
      </c>
      <c r="G1198" s="105">
        <v>5234310.08</v>
      </c>
      <c r="H1198" s="597">
        <v>42941.591631828705</v>
      </c>
      <c r="I1198" s="597">
        <v>43184</v>
      </c>
      <c r="J1198" t="s">
        <v>5090</v>
      </c>
      <c r="K1198" t="s">
        <v>5091</v>
      </c>
      <c r="L1198" t="s">
        <v>1280</v>
      </c>
      <c r="M1198">
        <v>201182</v>
      </c>
      <c r="N1198" t="s">
        <v>5082</v>
      </c>
      <c r="O1198" t="s">
        <v>25</v>
      </c>
      <c r="P1198" t="s">
        <v>94</v>
      </c>
      <c r="Q1198" t="s">
        <v>26</v>
      </c>
      <c r="R1198" s="105">
        <f>IF(Table__192.168.1.150_Daily_Delinquency_With_Sectors[[#This Row],[Days in Arrears]] &gt; 0, Table__192.168.1.150_Daily_Delinquency_With_Sectors[[#This Row],[Outstanding Balance]],0)</f>
        <v>0</v>
      </c>
      <c r="S1198" s="105">
        <f>IF(Table__192.168.1.150_Daily_Delinquency_With_Sectors[[#This Row],[Days in Arrears]] &gt; 30, Table__192.168.1.150_Daily_Delinquency_With_Sectors[[#This Row],[Outstanding Balance]],0)</f>
        <v>0</v>
      </c>
      <c r="T1198" s="105">
        <f>IF(Table__192.168.1.150_Daily_Delinquency_With_Sectors[[#This Row],[Days in Arrears]] &gt; 90, Table__192.168.1.150_Daily_Delinquency_With_Sectors[[#This Row],[Outstanding Balance]],0)</f>
        <v>0</v>
      </c>
      <c r="U1198" s="109">
        <f>IF(Table__192.168.1.150_Daily_Delinquency_With_Sectors[[#This Row],[Days in Arrears]] &gt;= 1,1,0)</f>
        <v>0</v>
      </c>
      <c r="V1198" s="109">
        <f>IF(Table__192.168.1.150_Daily_Delinquency_With_Sectors[[#This Row],[Days in Arrears]] &gt; 30,1,0)</f>
        <v>0</v>
      </c>
      <c r="W1198" s="109">
        <f>IF(Table__192.168.1.150_Daily_Delinquency_With_Sectors[[#This Row],[Days in Arrears]] &gt; 90,1,0)</f>
        <v>0</v>
      </c>
    </row>
    <row r="1199" spans="1:23" x14ac:dyDescent="0.25">
      <c r="A1199" t="s">
        <v>2858</v>
      </c>
      <c r="B1199" t="s">
        <v>1282</v>
      </c>
      <c r="C1199">
        <v>-1</v>
      </c>
      <c r="D1199" s="105">
        <v>4439993.91</v>
      </c>
      <c r="E1199" t="s">
        <v>1925</v>
      </c>
      <c r="F1199" s="105">
        <v>165759.76999999999</v>
      </c>
      <c r="G1199" s="105">
        <v>5178219.63</v>
      </c>
      <c r="H1199" s="597">
        <v>42941.584913854167</v>
      </c>
      <c r="I1199" s="597">
        <v>43245</v>
      </c>
      <c r="J1199" t="s">
        <v>2859</v>
      </c>
      <c r="K1199" t="s">
        <v>2860</v>
      </c>
      <c r="L1199" t="s">
        <v>1280</v>
      </c>
      <c r="M1199">
        <v>201183</v>
      </c>
      <c r="N1199" t="s">
        <v>2857</v>
      </c>
      <c r="O1199" t="s">
        <v>25</v>
      </c>
      <c r="P1199" t="s">
        <v>88</v>
      </c>
      <c r="Q1199" t="s">
        <v>285</v>
      </c>
      <c r="R1199" s="105">
        <f>IF(Table__192.168.1.150_Daily_Delinquency_With_Sectors[[#This Row],[Days in Arrears]] &gt; 0, Table__192.168.1.150_Daily_Delinquency_With_Sectors[[#This Row],[Outstanding Balance]],0)</f>
        <v>0</v>
      </c>
      <c r="S1199" s="105">
        <f>IF(Table__192.168.1.150_Daily_Delinquency_With_Sectors[[#This Row],[Days in Arrears]] &gt; 30, Table__192.168.1.150_Daily_Delinquency_With_Sectors[[#This Row],[Outstanding Balance]],0)</f>
        <v>0</v>
      </c>
      <c r="T1199" s="105">
        <f>IF(Table__192.168.1.150_Daily_Delinquency_With_Sectors[[#This Row],[Days in Arrears]] &gt; 90, Table__192.168.1.150_Daily_Delinquency_With_Sectors[[#This Row],[Outstanding Balance]],0)</f>
        <v>0</v>
      </c>
      <c r="U1199" s="109">
        <f>IF(Table__192.168.1.150_Daily_Delinquency_With_Sectors[[#This Row],[Days in Arrears]] &gt;= 1,1,0)</f>
        <v>0</v>
      </c>
      <c r="V1199" s="109">
        <f>IF(Table__192.168.1.150_Daily_Delinquency_With_Sectors[[#This Row],[Days in Arrears]] &gt; 30,1,0)</f>
        <v>0</v>
      </c>
      <c r="W1199" s="109">
        <f>IF(Table__192.168.1.150_Daily_Delinquency_With_Sectors[[#This Row],[Days in Arrears]] &gt; 90,1,0)</f>
        <v>0</v>
      </c>
    </row>
    <row r="1200" spans="1:23" x14ac:dyDescent="0.25">
      <c r="A1200" t="s">
        <v>2799</v>
      </c>
      <c r="B1200" t="s">
        <v>1282</v>
      </c>
      <c r="C1200">
        <v>-1</v>
      </c>
      <c r="D1200" s="105">
        <v>4753504.42</v>
      </c>
      <c r="E1200" t="s">
        <v>2034</v>
      </c>
      <c r="F1200" s="105">
        <v>177464.17</v>
      </c>
      <c r="G1200" s="105">
        <v>5753817.2999999998</v>
      </c>
      <c r="H1200" s="597">
        <v>42941.695466435187</v>
      </c>
      <c r="I1200" s="597">
        <v>43306</v>
      </c>
      <c r="J1200" t="s">
        <v>2800</v>
      </c>
      <c r="K1200" t="s">
        <v>2801</v>
      </c>
      <c r="L1200" t="s">
        <v>1280</v>
      </c>
      <c r="M1200">
        <v>201184</v>
      </c>
      <c r="N1200" t="s">
        <v>2787</v>
      </c>
      <c r="O1200" t="s">
        <v>44</v>
      </c>
      <c r="P1200" t="s">
        <v>75</v>
      </c>
      <c r="Q1200" t="s">
        <v>4834</v>
      </c>
      <c r="R1200" s="105">
        <f>IF(Table__192.168.1.150_Daily_Delinquency_With_Sectors[[#This Row],[Days in Arrears]] &gt; 0, Table__192.168.1.150_Daily_Delinquency_With_Sectors[[#This Row],[Outstanding Balance]],0)</f>
        <v>0</v>
      </c>
      <c r="S1200" s="105">
        <f>IF(Table__192.168.1.150_Daily_Delinquency_With_Sectors[[#This Row],[Days in Arrears]] &gt; 30, Table__192.168.1.150_Daily_Delinquency_With_Sectors[[#This Row],[Outstanding Balance]],0)</f>
        <v>0</v>
      </c>
      <c r="T1200" s="105">
        <f>IF(Table__192.168.1.150_Daily_Delinquency_With_Sectors[[#This Row],[Days in Arrears]] &gt; 90, Table__192.168.1.150_Daily_Delinquency_With_Sectors[[#This Row],[Outstanding Balance]],0)</f>
        <v>0</v>
      </c>
      <c r="U1200" s="109">
        <f>IF(Table__192.168.1.150_Daily_Delinquency_With_Sectors[[#This Row],[Days in Arrears]] &gt;= 1,1,0)</f>
        <v>0</v>
      </c>
      <c r="V1200" s="109">
        <f>IF(Table__192.168.1.150_Daily_Delinquency_With_Sectors[[#This Row],[Days in Arrears]] &gt; 30,1,0)</f>
        <v>0</v>
      </c>
      <c r="W1200" s="109">
        <f>IF(Table__192.168.1.150_Daily_Delinquency_With_Sectors[[#This Row],[Days in Arrears]] &gt; 90,1,0)</f>
        <v>0</v>
      </c>
    </row>
    <row r="1201" spans="1:23" x14ac:dyDescent="0.25">
      <c r="A1201" t="s">
        <v>5092</v>
      </c>
      <c r="B1201" t="s">
        <v>1282</v>
      </c>
      <c r="C1201">
        <v>-1</v>
      </c>
      <c r="D1201" s="105">
        <v>9681263.8300000001</v>
      </c>
      <c r="E1201" t="s">
        <v>1467</v>
      </c>
      <c r="F1201" s="105">
        <v>406613.08</v>
      </c>
      <c r="G1201" s="105">
        <v>11500472.77</v>
      </c>
      <c r="H1201" s="597">
        <v>42941.62990177083</v>
      </c>
      <c r="I1201" s="597">
        <v>43245</v>
      </c>
      <c r="J1201" t="s">
        <v>5093</v>
      </c>
      <c r="K1201" t="s">
        <v>5094</v>
      </c>
      <c r="L1201" t="s">
        <v>1280</v>
      </c>
      <c r="M1201">
        <v>201185</v>
      </c>
      <c r="N1201" t="s">
        <v>5085</v>
      </c>
      <c r="O1201" t="s">
        <v>25</v>
      </c>
      <c r="P1201" t="s">
        <v>88</v>
      </c>
      <c r="Q1201" t="s">
        <v>285</v>
      </c>
      <c r="R1201" s="105">
        <f>IF(Table__192.168.1.150_Daily_Delinquency_With_Sectors[[#This Row],[Days in Arrears]] &gt; 0, Table__192.168.1.150_Daily_Delinquency_With_Sectors[[#This Row],[Outstanding Balance]],0)</f>
        <v>0</v>
      </c>
      <c r="S1201" s="105">
        <f>IF(Table__192.168.1.150_Daily_Delinquency_With_Sectors[[#This Row],[Days in Arrears]] &gt; 30, Table__192.168.1.150_Daily_Delinquency_With_Sectors[[#This Row],[Outstanding Balance]],0)</f>
        <v>0</v>
      </c>
      <c r="T1201" s="105">
        <f>IF(Table__192.168.1.150_Daily_Delinquency_With_Sectors[[#This Row],[Days in Arrears]] &gt; 90, Table__192.168.1.150_Daily_Delinquency_With_Sectors[[#This Row],[Outstanding Balance]],0)</f>
        <v>0</v>
      </c>
      <c r="U1201" s="109">
        <f>IF(Table__192.168.1.150_Daily_Delinquency_With_Sectors[[#This Row],[Days in Arrears]] &gt;= 1,1,0)</f>
        <v>0</v>
      </c>
      <c r="V1201" s="109">
        <f>IF(Table__192.168.1.150_Daily_Delinquency_With_Sectors[[#This Row],[Days in Arrears]] &gt; 30,1,0)</f>
        <v>0</v>
      </c>
      <c r="W1201" s="109">
        <f>IF(Table__192.168.1.150_Daily_Delinquency_With_Sectors[[#This Row],[Days in Arrears]] &gt; 90,1,0)</f>
        <v>0</v>
      </c>
    </row>
    <row r="1202" spans="1:23" x14ac:dyDescent="0.25">
      <c r="A1202" t="s">
        <v>5095</v>
      </c>
      <c r="B1202" t="s">
        <v>1282</v>
      </c>
      <c r="C1202">
        <v>-1</v>
      </c>
      <c r="D1202" s="105">
        <v>2131859.11</v>
      </c>
      <c r="E1202" t="s">
        <v>4919</v>
      </c>
      <c r="F1202" s="105">
        <v>89538.08</v>
      </c>
      <c r="G1202" s="105">
        <v>2326540.65</v>
      </c>
      <c r="H1202" s="597">
        <v>42941.65516574074</v>
      </c>
      <c r="I1202" s="597">
        <v>43125</v>
      </c>
      <c r="J1202" t="s">
        <v>5096</v>
      </c>
      <c r="K1202" t="s">
        <v>5097</v>
      </c>
      <c r="L1202" t="s">
        <v>1280</v>
      </c>
      <c r="M1202">
        <v>201186</v>
      </c>
      <c r="N1202" t="s">
        <v>5084</v>
      </c>
      <c r="O1202" t="s">
        <v>25</v>
      </c>
      <c r="P1202" t="s">
        <v>88</v>
      </c>
      <c r="Q1202" t="s">
        <v>285</v>
      </c>
      <c r="R1202" s="105">
        <f>IF(Table__192.168.1.150_Daily_Delinquency_With_Sectors[[#This Row],[Days in Arrears]] &gt; 0, Table__192.168.1.150_Daily_Delinquency_With_Sectors[[#This Row],[Outstanding Balance]],0)</f>
        <v>0</v>
      </c>
      <c r="S1202" s="105">
        <f>IF(Table__192.168.1.150_Daily_Delinquency_With_Sectors[[#This Row],[Days in Arrears]] &gt; 30, Table__192.168.1.150_Daily_Delinquency_With_Sectors[[#This Row],[Outstanding Balance]],0)</f>
        <v>0</v>
      </c>
      <c r="T1202" s="105">
        <f>IF(Table__192.168.1.150_Daily_Delinquency_With_Sectors[[#This Row],[Days in Arrears]] &gt; 90, Table__192.168.1.150_Daily_Delinquency_With_Sectors[[#This Row],[Outstanding Balance]],0)</f>
        <v>0</v>
      </c>
      <c r="U1202" s="109">
        <f>IF(Table__192.168.1.150_Daily_Delinquency_With_Sectors[[#This Row],[Days in Arrears]] &gt;= 1,1,0)</f>
        <v>0</v>
      </c>
      <c r="V1202" s="109">
        <f>IF(Table__192.168.1.150_Daily_Delinquency_With_Sectors[[#This Row],[Days in Arrears]] &gt; 30,1,0)</f>
        <v>0</v>
      </c>
      <c r="W1202" s="109">
        <f>IF(Table__192.168.1.150_Daily_Delinquency_With_Sectors[[#This Row],[Days in Arrears]] &gt; 90,1,0)</f>
        <v>0</v>
      </c>
    </row>
    <row r="1203" spans="1:23" x14ac:dyDescent="0.25">
      <c r="A1203" t="s">
        <v>5098</v>
      </c>
      <c r="B1203" t="s">
        <v>1279</v>
      </c>
      <c r="C1203">
        <v>-1</v>
      </c>
      <c r="D1203" s="105">
        <v>1331125.69</v>
      </c>
      <c r="E1203" t="s">
        <v>963</v>
      </c>
      <c r="F1203" s="105">
        <v>55907.28</v>
      </c>
      <c r="G1203" s="105">
        <v>1516096.53</v>
      </c>
      <c r="H1203" s="597">
        <v>42941.688671261574</v>
      </c>
      <c r="I1203" s="597">
        <v>43184</v>
      </c>
      <c r="J1203" t="s">
        <v>5099</v>
      </c>
      <c r="K1203" t="s">
        <v>1280</v>
      </c>
      <c r="L1203" t="s">
        <v>5100</v>
      </c>
      <c r="M1203">
        <v>201188</v>
      </c>
      <c r="N1203" t="s">
        <v>5086</v>
      </c>
      <c r="O1203" t="s">
        <v>44</v>
      </c>
      <c r="P1203" t="s">
        <v>75</v>
      </c>
      <c r="Q1203" t="s">
        <v>26</v>
      </c>
      <c r="R1203" s="105">
        <f>IF(Table__192.168.1.150_Daily_Delinquency_With_Sectors[[#This Row],[Days in Arrears]] &gt; 0, Table__192.168.1.150_Daily_Delinquency_With_Sectors[[#This Row],[Outstanding Balance]],0)</f>
        <v>0</v>
      </c>
      <c r="S1203" s="105">
        <f>IF(Table__192.168.1.150_Daily_Delinquency_With_Sectors[[#This Row],[Days in Arrears]] &gt; 30, Table__192.168.1.150_Daily_Delinquency_With_Sectors[[#This Row],[Outstanding Balance]],0)</f>
        <v>0</v>
      </c>
      <c r="T1203" s="105">
        <f>IF(Table__192.168.1.150_Daily_Delinquency_With_Sectors[[#This Row],[Days in Arrears]] &gt; 90, Table__192.168.1.150_Daily_Delinquency_With_Sectors[[#This Row],[Outstanding Balance]],0)</f>
        <v>0</v>
      </c>
      <c r="U1203" s="109">
        <f>IF(Table__192.168.1.150_Daily_Delinquency_With_Sectors[[#This Row],[Days in Arrears]] &gt;= 1,1,0)</f>
        <v>0</v>
      </c>
      <c r="V1203" s="109">
        <f>IF(Table__192.168.1.150_Daily_Delinquency_With_Sectors[[#This Row],[Days in Arrears]] &gt; 30,1,0)</f>
        <v>0</v>
      </c>
      <c r="W1203" s="109">
        <f>IF(Table__192.168.1.150_Daily_Delinquency_With_Sectors[[#This Row],[Days in Arrears]] &gt; 90,1,0)</f>
        <v>0</v>
      </c>
    </row>
    <row r="1204" spans="1:23" x14ac:dyDescent="0.25">
      <c r="A1204" t="s">
        <v>2820</v>
      </c>
      <c r="B1204" t="s">
        <v>1279</v>
      </c>
      <c r="C1204">
        <v>-7</v>
      </c>
      <c r="D1204" s="105">
        <v>1852369.27</v>
      </c>
      <c r="E1204" t="s">
        <v>2034</v>
      </c>
      <c r="F1204" s="105">
        <v>54336.17</v>
      </c>
      <c r="G1204" s="105">
        <v>2160357.69</v>
      </c>
      <c r="H1204" s="597">
        <v>42947.505184803238</v>
      </c>
      <c r="I1204" s="597">
        <v>43252</v>
      </c>
      <c r="J1204" t="s">
        <v>2821</v>
      </c>
      <c r="K1204" t="s">
        <v>2822</v>
      </c>
      <c r="L1204" t="s">
        <v>1280</v>
      </c>
      <c r="M1204">
        <v>201189</v>
      </c>
      <c r="N1204" t="s">
        <v>2812</v>
      </c>
      <c r="O1204" t="s">
        <v>25</v>
      </c>
      <c r="P1204" t="s">
        <v>88</v>
      </c>
      <c r="Q1204" t="s">
        <v>26</v>
      </c>
      <c r="R1204" s="105">
        <f>IF(Table__192.168.1.150_Daily_Delinquency_With_Sectors[[#This Row],[Days in Arrears]] &gt; 0, Table__192.168.1.150_Daily_Delinquency_With_Sectors[[#This Row],[Outstanding Balance]],0)</f>
        <v>0</v>
      </c>
      <c r="S1204" s="105">
        <f>IF(Table__192.168.1.150_Daily_Delinquency_With_Sectors[[#This Row],[Days in Arrears]] &gt; 30, Table__192.168.1.150_Daily_Delinquency_With_Sectors[[#This Row],[Outstanding Balance]],0)</f>
        <v>0</v>
      </c>
      <c r="T1204" s="105">
        <f>IF(Table__192.168.1.150_Daily_Delinquency_With_Sectors[[#This Row],[Days in Arrears]] &gt; 90, Table__192.168.1.150_Daily_Delinquency_With_Sectors[[#This Row],[Outstanding Balance]],0)</f>
        <v>0</v>
      </c>
      <c r="U1204" s="109">
        <f>IF(Table__192.168.1.150_Daily_Delinquency_With_Sectors[[#This Row],[Days in Arrears]] &gt;= 1,1,0)</f>
        <v>0</v>
      </c>
      <c r="V1204" s="109">
        <f>IF(Table__192.168.1.150_Daily_Delinquency_With_Sectors[[#This Row],[Days in Arrears]] &gt; 30,1,0)</f>
        <v>0</v>
      </c>
      <c r="W1204" s="109">
        <f>IF(Table__192.168.1.150_Daily_Delinquency_With_Sectors[[#This Row],[Days in Arrears]] &gt; 90,1,0)</f>
        <v>0</v>
      </c>
    </row>
    <row r="1205" spans="1:23" x14ac:dyDescent="0.25">
      <c r="A1205" t="s">
        <v>5106</v>
      </c>
      <c r="B1205" t="s">
        <v>1282</v>
      </c>
      <c r="C1205">
        <v>-7</v>
      </c>
      <c r="D1205" s="105">
        <v>1675849.05</v>
      </c>
      <c r="E1205" t="s">
        <v>4686</v>
      </c>
      <c r="F1205" s="105">
        <v>55303.02</v>
      </c>
      <c r="G1205" s="105">
        <v>1908722.01</v>
      </c>
      <c r="H1205" s="597">
        <v>42942.522085567129</v>
      </c>
      <c r="I1205" s="597">
        <v>43191</v>
      </c>
      <c r="J1205" t="s">
        <v>5107</v>
      </c>
      <c r="K1205" t="s">
        <v>5108</v>
      </c>
      <c r="L1205" t="s">
        <v>1280</v>
      </c>
      <c r="M1205">
        <v>201190</v>
      </c>
      <c r="N1205" t="s">
        <v>5101</v>
      </c>
      <c r="O1205" t="s">
        <v>36</v>
      </c>
      <c r="P1205" t="s">
        <v>118</v>
      </c>
      <c r="Q1205" t="s">
        <v>119</v>
      </c>
      <c r="R1205" s="105">
        <f>IF(Table__192.168.1.150_Daily_Delinquency_With_Sectors[[#This Row],[Days in Arrears]] &gt; 0, Table__192.168.1.150_Daily_Delinquency_With_Sectors[[#This Row],[Outstanding Balance]],0)</f>
        <v>0</v>
      </c>
      <c r="S1205" s="105">
        <f>IF(Table__192.168.1.150_Daily_Delinquency_With_Sectors[[#This Row],[Days in Arrears]] &gt; 30, Table__192.168.1.150_Daily_Delinquency_With_Sectors[[#This Row],[Outstanding Balance]],0)</f>
        <v>0</v>
      </c>
      <c r="T1205" s="105">
        <f>IF(Table__192.168.1.150_Daily_Delinquency_With_Sectors[[#This Row],[Days in Arrears]] &gt; 90, Table__192.168.1.150_Daily_Delinquency_With_Sectors[[#This Row],[Outstanding Balance]],0)</f>
        <v>0</v>
      </c>
      <c r="U1205" s="109">
        <f>IF(Table__192.168.1.150_Daily_Delinquency_With_Sectors[[#This Row],[Days in Arrears]] &gt;= 1,1,0)</f>
        <v>0</v>
      </c>
      <c r="V1205" s="109">
        <f>IF(Table__192.168.1.150_Daily_Delinquency_With_Sectors[[#This Row],[Days in Arrears]] &gt; 30,1,0)</f>
        <v>0</v>
      </c>
      <c r="W1205" s="109">
        <f>IF(Table__192.168.1.150_Daily_Delinquency_With_Sectors[[#This Row],[Days in Arrears]] &gt; 90,1,0)</f>
        <v>0</v>
      </c>
    </row>
    <row r="1206" spans="1:23" x14ac:dyDescent="0.25">
      <c r="A1206" t="s">
        <v>2847</v>
      </c>
      <c r="B1206" t="s">
        <v>1282</v>
      </c>
      <c r="C1206">
        <v>-7</v>
      </c>
      <c r="D1206" s="105">
        <v>11043692.17</v>
      </c>
      <c r="E1206" t="s">
        <v>1447</v>
      </c>
      <c r="F1206" s="105">
        <v>323948.3</v>
      </c>
      <c r="G1206" s="105">
        <v>14120752.75</v>
      </c>
      <c r="H1206" s="597">
        <v>42942.476226620369</v>
      </c>
      <c r="I1206" s="597">
        <v>43405</v>
      </c>
      <c r="J1206" t="s">
        <v>2848</v>
      </c>
      <c r="K1206" t="s">
        <v>2849</v>
      </c>
      <c r="L1206" t="s">
        <v>1280</v>
      </c>
      <c r="M1206">
        <v>201191</v>
      </c>
      <c r="N1206" t="s">
        <v>2826</v>
      </c>
      <c r="O1206" t="s">
        <v>25</v>
      </c>
      <c r="P1206" t="s">
        <v>88</v>
      </c>
      <c r="Q1206" t="s">
        <v>285</v>
      </c>
      <c r="R1206" s="105">
        <f>IF(Table__192.168.1.150_Daily_Delinquency_With_Sectors[[#This Row],[Days in Arrears]] &gt; 0, Table__192.168.1.150_Daily_Delinquency_With_Sectors[[#This Row],[Outstanding Balance]],0)</f>
        <v>0</v>
      </c>
      <c r="S1206" s="105">
        <f>IF(Table__192.168.1.150_Daily_Delinquency_With_Sectors[[#This Row],[Days in Arrears]] &gt; 30, Table__192.168.1.150_Daily_Delinquency_With_Sectors[[#This Row],[Outstanding Balance]],0)</f>
        <v>0</v>
      </c>
      <c r="T1206" s="105">
        <f>IF(Table__192.168.1.150_Daily_Delinquency_With_Sectors[[#This Row],[Days in Arrears]] &gt; 90, Table__192.168.1.150_Daily_Delinquency_With_Sectors[[#This Row],[Outstanding Balance]],0)</f>
        <v>0</v>
      </c>
      <c r="U1206" s="109">
        <f>IF(Table__192.168.1.150_Daily_Delinquency_With_Sectors[[#This Row],[Days in Arrears]] &gt;= 1,1,0)</f>
        <v>0</v>
      </c>
      <c r="V1206" s="109">
        <f>IF(Table__192.168.1.150_Daily_Delinquency_With_Sectors[[#This Row],[Days in Arrears]] &gt; 30,1,0)</f>
        <v>0</v>
      </c>
      <c r="W1206" s="109">
        <f>IF(Table__192.168.1.150_Daily_Delinquency_With_Sectors[[#This Row],[Days in Arrears]] &gt; 90,1,0)</f>
        <v>0</v>
      </c>
    </row>
    <row r="1207" spans="1:23" x14ac:dyDescent="0.25">
      <c r="A1207" t="s">
        <v>5113</v>
      </c>
      <c r="B1207" t="s">
        <v>1282</v>
      </c>
      <c r="C1207">
        <v>-7</v>
      </c>
      <c r="D1207" s="105">
        <v>3207175.14</v>
      </c>
      <c r="E1207" t="s">
        <v>1909</v>
      </c>
      <c r="F1207" s="105">
        <v>105836.78</v>
      </c>
      <c r="G1207" s="105">
        <v>826178.87</v>
      </c>
      <c r="H1207" s="597">
        <v>42943.562869444446</v>
      </c>
      <c r="I1207" s="597">
        <v>43252</v>
      </c>
      <c r="J1207" t="s">
        <v>5114</v>
      </c>
      <c r="K1207" t="s">
        <v>1280</v>
      </c>
      <c r="L1207" t="s">
        <v>1280</v>
      </c>
      <c r="M1207">
        <v>201193</v>
      </c>
      <c r="N1207" t="s">
        <v>5109</v>
      </c>
      <c r="O1207" t="s">
        <v>25</v>
      </c>
      <c r="P1207" t="s">
        <v>290</v>
      </c>
      <c r="Q1207" t="s">
        <v>297</v>
      </c>
      <c r="R1207" s="105">
        <f>IF(Table__192.168.1.150_Daily_Delinquency_With_Sectors[[#This Row],[Days in Arrears]] &gt; 0, Table__192.168.1.150_Daily_Delinquency_With_Sectors[[#This Row],[Outstanding Balance]],0)</f>
        <v>0</v>
      </c>
      <c r="S1207" s="105">
        <f>IF(Table__192.168.1.150_Daily_Delinquency_With_Sectors[[#This Row],[Days in Arrears]] &gt; 30, Table__192.168.1.150_Daily_Delinquency_With_Sectors[[#This Row],[Outstanding Balance]],0)</f>
        <v>0</v>
      </c>
      <c r="T1207" s="105">
        <f>IF(Table__192.168.1.150_Daily_Delinquency_With_Sectors[[#This Row],[Days in Arrears]] &gt; 90, Table__192.168.1.150_Daily_Delinquency_With_Sectors[[#This Row],[Outstanding Balance]],0)</f>
        <v>0</v>
      </c>
      <c r="U1207" s="109">
        <f>IF(Table__192.168.1.150_Daily_Delinquency_With_Sectors[[#This Row],[Days in Arrears]] &gt;= 1,1,0)</f>
        <v>0</v>
      </c>
      <c r="V1207" s="109">
        <f>IF(Table__192.168.1.150_Daily_Delinquency_With_Sectors[[#This Row],[Days in Arrears]] &gt; 30,1,0)</f>
        <v>0</v>
      </c>
      <c r="W1207" s="109">
        <f>IF(Table__192.168.1.150_Daily_Delinquency_With_Sectors[[#This Row],[Days in Arrears]] &gt; 90,1,0)</f>
        <v>0</v>
      </c>
    </row>
    <row r="1208" spans="1:23" x14ac:dyDescent="0.25">
      <c r="A1208" t="s">
        <v>3540</v>
      </c>
      <c r="B1208" t="s">
        <v>1282</v>
      </c>
      <c r="C1208">
        <v>-7</v>
      </c>
      <c r="D1208" s="105">
        <v>5964733.9000000004</v>
      </c>
      <c r="E1208" t="s">
        <v>2034</v>
      </c>
      <c r="F1208" s="105">
        <v>174965.53</v>
      </c>
      <c r="G1208" s="105">
        <v>7219934.2000000002</v>
      </c>
      <c r="H1208" s="597">
        <v>42944.660376157408</v>
      </c>
      <c r="I1208" s="597">
        <v>43313</v>
      </c>
      <c r="J1208" t="s">
        <v>3541</v>
      </c>
      <c r="K1208" t="s">
        <v>1280</v>
      </c>
      <c r="L1208" t="s">
        <v>3542</v>
      </c>
      <c r="M1208">
        <v>201194</v>
      </c>
      <c r="N1208" t="s">
        <v>3526</v>
      </c>
      <c r="O1208" t="s">
        <v>25</v>
      </c>
      <c r="P1208" t="s">
        <v>88</v>
      </c>
      <c r="Q1208" t="s">
        <v>285</v>
      </c>
      <c r="R1208" s="105">
        <f>IF(Table__192.168.1.150_Daily_Delinquency_With_Sectors[[#This Row],[Days in Arrears]] &gt; 0, Table__192.168.1.150_Daily_Delinquency_With_Sectors[[#This Row],[Outstanding Balance]],0)</f>
        <v>0</v>
      </c>
      <c r="S1208" s="105">
        <f>IF(Table__192.168.1.150_Daily_Delinquency_With_Sectors[[#This Row],[Days in Arrears]] &gt; 30, Table__192.168.1.150_Daily_Delinquency_With_Sectors[[#This Row],[Outstanding Balance]],0)</f>
        <v>0</v>
      </c>
      <c r="T1208" s="105">
        <f>IF(Table__192.168.1.150_Daily_Delinquency_With_Sectors[[#This Row],[Days in Arrears]] &gt; 90, Table__192.168.1.150_Daily_Delinquency_With_Sectors[[#This Row],[Outstanding Balance]],0)</f>
        <v>0</v>
      </c>
      <c r="U1208" s="109">
        <f>IF(Table__192.168.1.150_Daily_Delinquency_With_Sectors[[#This Row],[Days in Arrears]] &gt;= 1,1,0)</f>
        <v>0</v>
      </c>
      <c r="V1208" s="109">
        <f>IF(Table__192.168.1.150_Daily_Delinquency_With_Sectors[[#This Row],[Days in Arrears]] &gt; 30,1,0)</f>
        <v>0</v>
      </c>
      <c r="W1208" s="109">
        <f>IF(Table__192.168.1.150_Daily_Delinquency_With_Sectors[[#This Row],[Days in Arrears]] &gt; 90,1,0)</f>
        <v>0</v>
      </c>
    </row>
    <row r="1209" spans="1:23" x14ac:dyDescent="0.25">
      <c r="A1209" t="s">
        <v>1860</v>
      </c>
      <c r="B1209" t="s">
        <v>1284</v>
      </c>
      <c r="C1209">
        <v>-7</v>
      </c>
      <c r="D1209" s="105">
        <v>13928317.18</v>
      </c>
      <c r="E1209" t="s">
        <v>963</v>
      </c>
      <c r="F1209" s="105">
        <v>306422.98</v>
      </c>
      <c r="G1209" s="105">
        <v>17500912.559999999</v>
      </c>
      <c r="H1209" s="597">
        <v>42944.574526932869</v>
      </c>
      <c r="I1209" s="597">
        <v>43497</v>
      </c>
      <c r="J1209" t="s">
        <v>1861</v>
      </c>
      <c r="K1209" t="s">
        <v>1862</v>
      </c>
      <c r="L1209" t="s">
        <v>1280</v>
      </c>
      <c r="M1209">
        <v>201195</v>
      </c>
      <c r="N1209" t="s">
        <v>1857</v>
      </c>
      <c r="O1209" t="s">
        <v>36</v>
      </c>
      <c r="P1209" t="s">
        <v>97</v>
      </c>
      <c r="Q1209" t="s">
        <v>98</v>
      </c>
      <c r="R1209" s="105">
        <f>IF(Table__192.168.1.150_Daily_Delinquency_With_Sectors[[#This Row],[Days in Arrears]] &gt; 0, Table__192.168.1.150_Daily_Delinquency_With_Sectors[[#This Row],[Outstanding Balance]],0)</f>
        <v>0</v>
      </c>
      <c r="S1209" s="105">
        <f>IF(Table__192.168.1.150_Daily_Delinquency_With_Sectors[[#This Row],[Days in Arrears]] &gt; 30, Table__192.168.1.150_Daily_Delinquency_With_Sectors[[#This Row],[Outstanding Balance]],0)</f>
        <v>0</v>
      </c>
      <c r="T1209" s="105">
        <f>IF(Table__192.168.1.150_Daily_Delinquency_With_Sectors[[#This Row],[Days in Arrears]] &gt; 90, Table__192.168.1.150_Daily_Delinquency_With_Sectors[[#This Row],[Outstanding Balance]],0)</f>
        <v>0</v>
      </c>
      <c r="U1209" s="109">
        <f>IF(Table__192.168.1.150_Daily_Delinquency_With_Sectors[[#This Row],[Days in Arrears]] &gt;= 1,1,0)</f>
        <v>0</v>
      </c>
      <c r="V1209" s="109">
        <f>IF(Table__192.168.1.150_Daily_Delinquency_With_Sectors[[#This Row],[Days in Arrears]] &gt; 30,1,0)</f>
        <v>0</v>
      </c>
      <c r="W1209" s="109">
        <f>IF(Table__192.168.1.150_Daily_Delinquency_With_Sectors[[#This Row],[Days in Arrears]] &gt; 90,1,0)</f>
        <v>0</v>
      </c>
    </row>
    <row r="1210" spans="1:23" x14ac:dyDescent="0.25">
      <c r="A1210" t="s">
        <v>5135</v>
      </c>
      <c r="B1210" t="s">
        <v>1282</v>
      </c>
      <c r="C1210">
        <v>23</v>
      </c>
      <c r="D1210" s="105">
        <v>5704867.8099999996</v>
      </c>
      <c r="E1210" t="s">
        <v>5047</v>
      </c>
      <c r="F1210" s="105">
        <v>172769.4</v>
      </c>
      <c r="G1210" s="105">
        <v>6688660.0999999996</v>
      </c>
      <c r="H1210" s="597">
        <v>42944.532806249998</v>
      </c>
      <c r="I1210" s="597">
        <v>43252</v>
      </c>
      <c r="J1210" t="s">
        <v>5136</v>
      </c>
      <c r="K1210" t="s">
        <v>1280</v>
      </c>
      <c r="L1210" t="s">
        <v>5137</v>
      </c>
      <c r="M1210">
        <v>201196</v>
      </c>
      <c r="N1210" t="s">
        <v>5126</v>
      </c>
      <c r="O1210" t="s">
        <v>44</v>
      </c>
      <c r="P1210" t="s">
        <v>92</v>
      </c>
      <c r="Q1210" t="s">
        <v>92</v>
      </c>
      <c r="R1210" s="105">
        <f>IF(Table__192.168.1.150_Daily_Delinquency_With_Sectors[[#This Row],[Days in Arrears]] &gt; 0, Table__192.168.1.150_Daily_Delinquency_With_Sectors[[#This Row],[Outstanding Balance]],0)</f>
        <v>5704867.8099999996</v>
      </c>
      <c r="S1210" s="105">
        <f>IF(Table__192.168.1.150_Daily_Delinquency_With_Sectors[[#This Row],[Days in Arrears]] &gt; 30, Table__192.168.1.150_Daily_Delinquency_With_Sectors[[#This Row],[Outstanding Balance]],0)</f>
        <v>0</v>
      </c>
      <c r="T1210" s="105">
        <f>IF(Table__192.168.1.150_Daily_Delinquency_With_Sectors[[#This Row],[Days in Arrears]] &gt; 90, Table__192.168.1.150_Daily_Delinquency_With_Sectors[[#This Row],[Outstanding Balance]],0)</f>
        <v>0</v>
      </c>
      <c r="U1210" s="109">
        <f>IF(Table__192.168.1.150_Daily_Delinquency_With_Sectors[[#This Row],[Days in Arrears]] &gt;= 1,1,0)</f>
        <v>1</v>
      </c>
      <c r="V1210" s="109">
        <f>IF(Table__192.168.1.150_Daily_Delinquency_With_Sectors[[#This Row],[Days in Arrears]] &gt; 30,1,0)</f>
        <v>0</v>
      </c>
      <c r="W1210" s="109">
        <f>IF(Table__192.168.1.150_Daily_Delinquency_With_Sectors[[#This Row],[Days in Arrears]] &gt; 90,1,0)</f>
        <v>0</v>
      </c>
    </row>
    <row r="1211" spans="1:23" x14ac:dyDescent="0.25">
      <c r="A1211" t="s">
        <v>3521</v>
      </c>
      <c r="B1211" t="s">
        <v>1279</v>
      </c>
      <c r="C1211">
        <v>-7</v>
      </c>
      <c r="D1211" s="105">
        <v>3817429.7</v>
      </c>
      <c r="E1211" t="s">
        <v>2034</v>
      </c>
      <c r="F1211" s="105">
        <v>111977.94</v>
      </c>
      <c r="G1211" s="105">
        <v>4620757.9000000004</v>
      </c>
      <c r="H1211" s="597">
        <v>42944.557641516207</v>
      </c>
      <c r="I1211" s="597">
        <v>43313</v>
      </c>
      <c r="J1211" t="s">
        <v>3522</v>
      </c>
      <c r="K1211" t="s">
        <v>1280</v>
      </c>
      <c r="L1211" t="s">
        <v>3523</v>
      </c>
      <c r="M1211">
        <v>201197</v>
      </c>
      <c r="N1211" t="s">
        <v>3512</v>
      </c>
      <c r="O1211" t="s">
        <v>25</v>
      </c>
      <c r="P1211" t="s">
        <v>88</v>
      </c>
      <c r="Q1211" t="s">
        <v>285</v>
      </c>
      <c r="R1211" s="105">
        <f>IF(Table__192.168.1.150_Daily_Delinquency_With_Sectors[[#This Row],[Days in Arrears]] &gt; 0, Table__192.168.1.150_Daily_Delinquency_With_Sectors[[#This Row],[Outstanding Balance]],0)</f>
        <v>0</v>
      </c>
      <c r="S1211" s="105">
        <f>IF(Table__192.168.1.150_Daily_Delinquency_With_Sectors[[#This Row],[Days in Arrears]] &gt; 30, Table__192.168.1.150_Daily_Delinquency_With_Sectors[[#This Row],[Outstanding Balance]],0)</f>
        <v>0</v>
      </c>
      <c r="T1211" s="105">
        <f>IF(Table__192.168.1.150_Daily_Delinquency_With_Sectors[[#This Row],[Days in Arrears]] &gt; 90, Table__192.168.1.150_Daily_Delinquency_With_Sectors[[#This Row],[Outstanding Balance]],0)</f>
        <v>0</v>
      </c>
      <c r="U1211" s="109">
        <f>IF(Table__192.168.1.150_Daily_Delinquency_With_Sectors[[#This Row],[Days in Arrears]] &gt;= 1,1,0)</f>
        <v>0</v>
      </c>
      <c r="V1211" s="109">
        <f>IF(Table__192.168.1.150_Daily_Delinquency_With_Sectors[[#This Row],[Days in Arrears]] &gt; 30,1,0)</f>
        <v>0</v>
      </c>
      <c r="W1211" s="109">
        <f>IF(Table__192.168.1.150_Daily_Delinquency_With_Sectors[[#This Row],[Days in Arrears]] &gt; 90,1,0)</f>
        <v>0</v>
      </c>
    </row>
    <row r="1212" spans="1:23" x14ac:dyDescent="0.25">
      <c r="A1212" t="s">
        <v>3883</v>
      </c>
      <c r="B1212" t="s">
        <v>1282</v>
      </c>
      <c r="C1212">
        <v>-7</v>
      </c>
      <c r="D1212" s="105">
        <v>3188506.38</v>
      </c>
      <c r="E1212" t="s">
        <v>2175</v>
      </c>
      <c r="F1212" s="105">
        <v>93529.52</v>
      </c>
      <c r="G1212" s="105">
        <v>3446920.85</v>
      </c>
      <c r="H1212" s="597">
        <v>42944.547210682867</v>
      </c>
      <c r="I1212" s="597">
        <v>43132</v>
      </c>
      <c r="J1212" t="s">
        <v>3884</v>
      </c>
      <c r="K1212" t="s">
        <v>1280</v>
      </c>
      <c r="L1212" t="s">
        <v>3885</v>
      </c>
      <c r="M1212">
        <v>201198</v>
      </c>
      <c r="N1212" t="s">
        <v>3878</v>
      </c>
      <c r="O1212" t="s">
        <v>25</v>
      </c>
      <c r="P1212" t="s">
        <v>289</v>
      </c>
      <c r="Q1212" t="s">
        <v>1771</v>
      </c>
      <c r="R1212" s="105">
        <f>IF(Table__192.168.1.150_Daily_Delinquency_With_Sectors[[#This Row],[Days in Arrears]] &gt; 0, Table__192.168.1.150_Daily_Delinquency_With_Sectors[[#This Row],[Outstanding Balance]],0)</f>
        <v>0</v>
      </c>
      <c r="S1212" s="105">
        <f>IF(Table__192.168.1.150_Daily_Delinquency_With_Sectors[[#This Row],[Days in Arrears]] &gt; 30, Table__192.168.1.150_Daily_Delinquency_With_Sectors[[#This Row],[Outstanding Balance]],0)</f>
        <v>0</v>
      </c>
      <c r="T1212" s="105">
        <f>IF(Table__192.168.1.150_Daily_Delinquency_With_Sectors[[#This Row],[Days in Arrears]] &gt; 90, Table__192.168.1.150_Daily_Delinquency_With_Sectors[[#This Row],[Outstanding Balance]],0)</f>
        <v>0</v>
      </c>
      <c r="U1212" s="109">
        <f>IF(Table__192.168.1.150_Daily_Delinquency_With_Sectors[[#This Row],[Days in Arrears]] &gt;= 1,1,0)</f>
        <v>0</v>
      </c>
      <c r="V1212" s="109">
        <f>IF(Table__192.168.1.150_Daily_Delinquency_With_Sectors[[#This Row],[Days in Arrears]] &gt; 30,1,0)</f>
        <v>0</v>
      </c>
      <c r="W1212" s="109">
        <f>IF(Table__192.168.1.150_Daily_Delinquency_With_Sectors[[#This Row],[Days in Arrears]] &gt; 90,1,0)</f>
        <v>0</v>
      </c>
    </row>
    <row r="1213" spans="1:23" x14ac:dyDescent="0.25">
      <c r="A1213" t="s">
        <v>5120</v>
      </c>
      <c r="B1213" t="s">
        <v>1282</v>
      </c>
      <c r="C1213">
        <v>53</v>
      </c>
      <c r="D1213" s="105">
        <v>5113650.09</v>
      </c>
      <c r="E1213" t="s">
        <v>2034</v>
      </c>
      <c r="F1213" s="105">
        <v>186640.8</v>
      </c>
      <c r="G1213" s="105">
        <v>5791630.3200000003</v>
      </c>
      <c r="H1213" s="597">
        <v>42944.669319907407</v>
      </c>
      <c r="I1213" s="597">
        <v>43191</v>
      </c>
      <c r="J1213" t="s">
        <v>5121</v>
      </c>
      <c r="K1213" t="s">
        <v>1280</v>
      </c>
      <c r="L1213" t="s">
        <v>1280</v>
      </c>
      <c r="M1213">
        <v>201199</v>
      </c>
      <c r="N1213" t="s">
        <v>5115</v>
      </c>
      <c r="O1213" t="s">
        <v>31</v>
      </c>
      <c r="P1213" t="s">
        <v>2309</v>
      </c>
      <c r="Q1213" t="s">
        <v>5116</v>
      </c>
      <c r="R1213" s="105">
        <f>IF(Table__192.168.1.150_Daily_Delinquency_With_Sectors[[#This Row],[Days in Arrears]] &gt; 0, Table__192.168.1.150_Daily_Delinquency_With_Sectors[[#This Row],[Outstanding Balance]],0)</f>
        <v>5113650.09</v>
      </c>
      <c r="S1213" s="105">
        <f>IF(Table__192.168.1.150_Daily_Delinquency_With_Sectors[[#This Row],[Days in Arrears]] &gt; 30, Table__192.168.1.150_Daily_Delinquency_With_Sectors[[#This Row],[Outstanding Balance]],0)</f>
        <v>5113650.09</v>
      </c>
      <c r="T1213" s="105">
        <f>IF(Table__192.168.1.150_Daily_Delinquency_With_Sectors[[#This Row],[Days in Arrears]] &gt; 90, Table__192.168.1.150_Daily_Delinquency_With_Sectors[[#This Row],[Outstanding Balance]],0)</f>
        <v>0</v>
      </c>
      <c r="U1213" s="109">
        <f>IF(Table__192.168.1.150_Daily_Delinquency_With_Sectors[[#This Row],[Days in Arrears]] &gt;= 1,1,0)</f>
        <v>1</v>
      </c>
      <c r="V1213" s="109">
        <f>IF(Table__192.168.1.150_Daily_Delinquency_With_Sectors[[#This Row],[Days in Arrears]] &gt; 30,1,0)</f>
        <v>1</v>
      </c>
      <c r="W1213" s="109">
        <f>IF(Table__192.168.1.150_Daily_Delinquency_With_Sectors[[#This Row],[Days in Arrears]] &gt; 90,1,0)</f>
        <v>0</v>
      </c>
    </row>
    <row r="1214" spans="1:23" x14ac:dyDescent="0.25">
      <c r="A1214" t="s">
        <v>2481</v>
      </c>
      <c r="B1214" t="s">
        <v>1279</v>
      </c>
      <c r="C1214">
        <v>-7</v>
      </c>
      <c r="D1214" s="105">
        <v>1857112.85</v>
      </c>
      <c r="E1214" t="s">
        <v>2034</v>
      </c>
      <c r="F1214" s="105">
        <v>54475.31</v>
      </c>
      <c r="G1214" s="105">
        <v>2165889.9500000002</v>
      </c>
      <c r="H1214" s="597">
        <v>42944.714830324076</v>
      </c>
      <c r="I1214" s="597">
        <v>43252</v>
      </c>
      <c r="J1214" t="s">
        <v>2482</v>
      </c>
      <c r="K1214" t="s">
        <v>1280</v>
      </c>
      <c r="L1214" t="s">
        <v>1280</v>
      </c>
      <c r="M1214">
        <v>201200</v>
      </c>
      <c r="N1214" t="s">
        <v>2480</v>
      </c>
      <c r="O1214" t="s">
        <v>44</v>
      </c>
      <c r="P1214" t="s">
        <v>92</v>
      </c>
      <c r="Q1214" t="s">
        <v>92</v>
      </c>
      <c r="R1214" s="105">
        <f>IF(Table__192.168.1.150_Daily_Delinquency_With_Sectors[[#This Row],[Days in Arrears]] &gt; 0, Table__192.168.1.150_Daily_Delinquency_With_Sectors[[#This Row],[Outstanding Balance]],0)</f>
        <v>0</v>
      </c>
      <c r="S1214" s="105">
        <f>IF(Table__192.168.1.150_Daily_Delinquency_With_Sectors[[#This Row],[Days in Arrears]] &gt; 30, Table__192.168.1.150_Daily_Delinquency_With_Sectors[[#This Row],[Outstanding Balance]],0)</f>
        <v>0</v>
      </c>
      <c r="T1214" s="105">
        <f>IF(Table__192.168.1.150_Daily_Delinquency_With_Sectors[[#This Row],[Days in Arrears]] &gt; 90, Table__192.168.1.150_Daily_Delinquency_With_Sectors[[#This Row],[Outstanding Balance]],0)</f>
        <v>0</v>
      </c>
      <c r="U1214" s="109">
        <f>IF(Table__192.168.1.150_Daily_Delinquency_With_Sectors[[#This Row],[Days in Arrears]] &gt;= 1,1,0)</f>
        <v>0</v>
      </c>
      <c r="V1214" s="109">
        <f>IF(Table__192.168.1.150_Daily_Delinquency_With_Sectors[[#This Row],[Days in Arrears]] &gt; 30,1,0)</f>
        <v>0</v>
      </c>
      <c r="W1214" s="109">
        <f>IF(Table__192.168.1.150_Daily_Delinquency_With_Sectors[[#This Row],[Days in Arrears]] &gt; 90,1,0)</f>
        <v>0</v>
      </c>
    </row>
    <row r="1215" spans="1:23" x14ac:dyDescent="0.25">
      <c r="A1215" t="s">
        <v>2972</v>
      </c>
      <c r="B1215" t="s">
        <v>1285</v>
      </c>
      <c r="C1215">
        <v>-27</v>
      </c>
      <c r="D1215" s="105">
        <v>3782209.81</v>
      </c>
      <c r="E1215" t="s">
        <v>284</v>
      </c>
      <c r="F1215" s="105">
        <v>4622.7</v>
      </c>
      <c r="G1215" s="105">
        <v>4100853.33</v>
      </c>
      <c r="H1215" s="597">
        <v>42944.700933368054</v>
      </c>
      <c r="I1215" s="597">
        <v>43302</v>
      </c>
      <c r="J1215" t="s">
        <v>2973</v>
      </c>
      <c r="K1215" t="s">
        <v>1280</v>
      </c>
      <c r="L1215" t="s">
        <v>1280</v>
      </c>
      <c r="M1215">
        <v>201201</v>
      </c>
      <c r="N1215" t="s">
        <v>2971</v>
      </c>
      <c r="O1215" t="s">
        <v>43</v>
      </c>
      <c r="P1215" t="s">
        <v>338</v>
      </c>
      <c r="Q1215" t="s">
        <v>339</v>
      </c>
      <c r="R1215" s="105">
        <f>IF(Table__192.168.1.150_Daily_Delinquency_With_Sectors[[#This Row],[Days in Arrears]] &gt; 0, Table__192.168.1.150_Daily_Delinquency_With_Sectors[[#This Row],[Outstanding Balance]],0)</f>
        <v>0</v>
      </c>
      <c r="S1215" s="105">
        <f>IF(Table__192.168.1.150_Daily_Delinquency_With_Sectors[[#This Row],[Days in Arrears]] &gt; 30, Table__192.168.1.150_Daily_Delinquency_With_Sectors[[#This Row],[Outstanding Balance]],0)</f>
        <v>0</v>
      </c>
      <c r="T1215" s="105">
        <f>IF(Table__192.168.1.150_Daily_Delinquency_With_Sectors[[#This Row],[Days in Arrears]] &gt; 90, Table__192.168.1.150_Daily_Delinquency_With_Sectors[[#This Row],[Outstanding Balance]],0)</f>
        <v>0</v>
      </c>
      <c r="U1215" s="109">
        <f>IF(Table__192.168.1.150_Daily_Delinquency_With_Sectors[[#This Row],[Days in Arrears]] &gt;= 1,1,0)</f>
        <v>0</v>
      </c>
      <c r="V1215" s="109">
        <f>IF(Table__192.168.1.150_Daily_Delinquency_With_Sectors[[#This Row],[Days in Arrears]] &gt; 30,1,0)</f>
        <v>0</v>
      </c>
      <c r="W1215" s="109">
        <f>IF(Table__192.168.1.150_Daily_Delinquency_With_Sectors[[#This Row],[Days in Arrears]] &gt; 90,1,0)</f>
        <v>0</v>
      </c>
    </row>
    <row r="1216" spans="1:23" x14ac:dyDescent="0.25">
      <c r="A1216" t="s">
        <v>3533</v>
      </c>
      <c r="B1216" t="s">
        <v>1866</v>
      </c>
      <c r="C1216">
        <v>-7</v>
      </c>
      <c r="D1216" s="105">
        <v>4744815.45</v>
      </c>
      <c r="E1216" t="s">
        <v>2034</v>
      </c>
      <c r="F1216" s="105">
        <v>127582.82</v>
      </c>
      <c r="G1216" s="105">
        <v>5656390.9400000004</v>
      </c>
      <c r="H1216" s="597">
        <v>42945.442615706015</v>
      </c>
      <c r="I1216" s="597">
        <v>43313</v>
      </c>
      <c r="J1216" t="s">
        <v>3534</v>
      </c>
      <c r="K1216" t="s">
        <v>1280</v>
      </c>
      <c r="L1216" t="s">
        <v>1280</v>
      </c>
      <c r="M1216">
        <v>201202</v>
      </c>
      <c r="N1216" t="s">
        <v>3525</v>
      </c>
      <c r="O1216" t="s">
        <v>36</v>
      </c>
      <c r="P1216" t="s">
        <v>97</v>
      </c>
      <c r="Q1216" t="s">
        <v>98</v>
      </c>
      <c r="R1216" s="105">
        <f>IF(Table__192.168.1.150_Daily_Delinquency_With_Sectors[[#This Row],[Days in Arrears]] &gt; 0, Table__192.168.1.150_Daily_Delinquency_With_Sectors[[#This Row],[Outstanding Balance]],0)</f>
        <v>0</v>
      </c>
      <c r="S1216" s="105">
        <f>IF(Table__192.168.1.150_Daily_Delinquency_With_Sectors[[#This Row],[Days in Arrears]] &gt; 30, Table__192.168.1.150_Daily_Delinquency_With_Sectors[[#This Row],[Outstanding Balance]],0)</f>
        <v>0</v>
      </c>
      <c r="T1216" s="105">
        <f>IF(Table__192.168.1.150_Daily_Delinquency_With_Sectors[[#This Row],[Days in Arrears]] &gt; 90, Table__192.168.1.150_Daily_Delinquency_With_Sectors[[#This Row],[Outstanding Balance]],0)</f>
        <v>0</v>
      </c>
      <c r="U1216" s="109">
        <f>IF(Table__192.168.1.150_Daily_Delinquency_With_Sectors[[#This Row],[Days in Arrears]] &gt;= 1,1,0)</f>
        <v>0</v>
      </c>
      <c r="V1216" s="109">
        <f>IF(Table__192.168.1.150_Daily_Delinquency_With_Sectors[[#This Row],[Days in Arrears]] &gt; 30,1,0)</f>
        <v>0</v>
      </c>
      <c r="W1216" s="109">
        <f>IF(Table__192.168.1.150_Daily_Delinquency_With_Sectors[[#This Row],[Days in Arrears]] &gt; 90,1,0)</f>
        <v>0</v>
      </c>
    </row>
    <row r="1217" spans="1:23" x14ac:dyDescent="0.25">
      <c r="A1217" t="s">
        <v>5138</v>
      </c>
      <c r="B1217" t="s">
        <v>1866</v>
      </c>
      <c r="C1217">
        <v>-7</v>
      </c>
      <c r="D1217" s="105">
        <v>4455396.6500000004</v>
      </c>
      <c r="E1217" t="s">
        <v>4686</v>
      </c>
      <c r="F1217" s="105">
        <v>136137.12</v>
      </c>
      <c r="G1217" s="105">
        <v>5228233.78</v>
      </c>
      <c r="H1217" s="597">
        <v>42947.74363730324</v>
      </c>
      <c r="I1217" s="597">
        <v>43252</v>
      </c>
      <c r="J1217" t="s">
        <v>5139</v>
      </c>
      <c r="K1217" t="s">
        <v>5140</v>
      </c>
      <c r="L1217" t="s">
        <v>1280</v>
      </c>
      <c r="M1217">
        <v>201203</v>
      </c>
      <c r="N1217" t="s">
        <v>5127</v>
      </c>
      <c r="O1217" t="s">
        <v>45</v>
      </c>
      <c r="P1217" t="s">
        <v>45</v>
      </c>
      <c r="Q1217" t="s">
        <v>89</v>
      </c>
      <c r="R1217" s="105">
        <f>IF(Table__192.168.1.150_Daily_Delinquency_With_Sectors[[#This Row],[Days in Arrears]] &gt; 0, Table__192.168.1.150_Daily_Delinquency_With_Sectors[[#This Row],[Outstanding Balance]],0)</f>
        <v>0</v>
      </c>
      <c r="S1217" s="105">
        <f>IF(Table__192.168.1.150_Daily_Delinquency_With_Sectors[[#This Row],[Days in Arrears]] &gt; 30, Table__192.168.1.150_Daily_Delinquency_With_Sectors[[#This Row],[Outstanding Balance]],0)</f>
        <v>0</v>
      </c>
      <c r="T1217" s="105">
        <f>IF(Table__192.168.1.150_Daily_Delinquency_With_Sectors[[#This Row],[Days in Arrears]] &gt; 90, Table__192.168.1.150_Daily_Delinquency_With_Sectors[[#This Row],[Outstanding Balance]],0)</f>
        <v>0</v>
      </c>
      <c r="U1217" s="109">
        <f>IF(Table__192.168.1.150_Daily_Delinquency_With_Sectors[[#This Row],[Days in Arrears]] &gt;= 1,1,0)</f>
        <v>0</v>
      </c>
      <c r="V1217" s="109">
        <f>IF(Table__192.168.1.150_Daily_Delinquency_With_Sectors[[#This Row],[Days in Arrears]] &gt; 30,1,0)</f>
        <v>0</v>
      </c>
      <c r="W1217" s="109">
        <f>IF(Table__192.168.1.150_Daily_Delinquency_With_Sectors[[#This Row],[Days in Arrears]] &gt; 90,1,0)</f>
        <v>0</v>
      </c>
    </row>
    <row r="1218" spans="1:23" x14ac:dyDescent="0.25">
      <c r="A1218" t="s">
        <v>3027</v>
      </c>
      <c r="B1218" t="s">
        <v>1284</v>
      </c>
      <c r="C1218">
        <v>-12</v>
      </c>
      <c r="D1218" s="105">
        <v>4395039.2699999996</v>
      </c>
      <c r="E1218" t="s">
        <v>491</v>
      </c>
      <c r="F1218" s="105">
        <v>74715.67</v>
      </c>
      <c r="G1218" s="105">
        <v>4938022.09</v>
      </c>
      <c r="H1218" s="597">
        <v>42950.72107133102</v>
      </c>
      <c r="I1218" s="597">
        <v>43257</v>
      </c>
      <c r="J1218" t="s">
        <v>3028</v>
      </c>
      <c r="K1218" t="s">
        <v>1280</v>
      </c>
      <c r="L1218" t="s">
        <v>1280</v>
      </c>
      <c r="M1218">
        <v>201204</v>
      </c>
      <c r="N1218" t="s">
        <v>3023</v>
      </c>
      <c r="O1218" t="s">
        <v>25</v>
      </c>
      <c r="P1218" t="s">
        <v>88</v>
      </c>
      <c r="Q1218" t="s">
        <v>285</v>
      </c>
      <c r="R1218" s="105">
        <f>IF(Table__192.168.1.150_Daily_Delinquency_With_Sectors[[#This Row],[Days in Arrears]] &gt; 0, Table__192.168.1.150_Daily_Delinquency_With_Sectors[[#This Row],[Outstanding Balance]],0)</f>
        <v>0</v>
      </c>
      <c r="S1218" s="105">
        <f>IF(Table__192.168.1.150_Daily_Delinquency_With_Sectors[[#This Row],[Days in Arrears]] &gt; 30, Table__192.168.1.150_Daily_Delinquency_With_Sectors[[#This Row],[Outstanding Balance]],0)</f>
        <v>0</v>
      </c>
      <c r="T1218" s="105">
        <f>IF(Table__192.168.1.150_Daily_Delinquency_With_Sectors[[#This Row],[Days in Arrears]] &gt; 90, Table__192.168.1.150_Daily_Delinquency_With_Sectors[[#This Row],[Outstanding Balance]],0)</f>
        <v>0</v>
      </c>
      <c r="U1218" s="109">
        <f>IF(Table__192.168.1.150_Daily_Delinquency_With_Sectors[[#This Row],[Days in Arrears]] &gt;= 1,1,0)</f>
        <v>0</v>
      </c>
      <c r="V1218" s="109">
        <f>IF(Table__192.168.1.150_Daily_Delinquency_With_Sectors[[#This Row],[Days in Arrears]] &gt; 30,1,0)</f>
        <v>0</v>
      </c>
      <c r="W1218" s="109">
        <f>IF(Table__192.168.1.150_Daily_Delinquency_With_Sectors[[#This Row],[Days in Arrears]] &gt; 90,1,0)</f>
        <v>0</v>
      </c>
    </row>
    <row r="1219" spans="1:23" x14ac:dyDescent="0.25">
      <c r="A1219" t="s">
        <v>2969</v>
      </c>
      <c r="B1219" t="s">
        <v>1282</v>
      </c>
      <c r="C1219">
        <v>-8</v>
      </c>
      <c r="D1219" s="105">
        <v>5919991.9199999999</v>
      </c>
      <c r="E1219" t="s">
        <v>1447</v>
      </c>
      <c r="F1219" s="105">
        <v>165759.76999999999</v>
      </c>
      <c r="G1219" s="105">
        <v>6904292.9100000001</v>
      </c>
      <c r="H1219" s="597">
        <v>42949.654072453704</v>
      </c>
      <c r="I1219" s="597">
        <v>43253</v>
      </c>
      <c r="J1219" t="s">
        <v>2970</v>
      </c>
      <c r="K1219" t="s">
        <v>1280</v>
      </c>
      <c r="L1219" t="s">
        <v>1280</v>
      </c>
      <c r="M1219">
        <v>201205</v>
      </c>
      <c r="N1219" t="s">
        <v>2968</v>
      </c>
      <c r="O1219" t="s">
        <v>36</v>
      </c>
      <c r="P1219" t="s">
        <v>1023</v>
      </c>
      <c r="Q1219" t="s">
        <v>4042</v>
      </c>
      <c r="R1219" s="105">
        <f>IF(Table__192.168.1.150_Daily_Delinquency_With_Sectors[[#This Row],[Days in Arrears]] &gt; 0, Table__192.168.1.150_Daily_Delinquency_With_Sectors[[#This Row],[Outstanding Balance]],0)</f>
        <v>0</v>
      </c>
      <c r="S1219" s="105">
        <f>IF(Table__192.168.1.150_Daily_Delinquency_With_Sectors[[#This Row],[Days in Arrears]] &gt; 30, Table__192.168.1.150_Daily_Delinquency_With_Sectors[[#This Row],[Outstanding Balance]],0)</f>
        <v>0</v>
      </c>
      <c r="T1219" s="105">
        <f>IF(Table__192.168.1.150_Daily_Delinquency_With_Sectors[[#This Row],[Days in Arrears]] &gt; 90, Table__192.168.1.150_Daily_Delinquency_With_Sectors[[#This Row],[Outstanding Balance]],0)</f>
        <v>0</v>
      </c>
      <c r="U1219" s="109">
        <f>IF(Table__192.168.1.150_Daily_Delinquency_With_Sectors[[#This Row],[Days in Arrears]] &gt;= 1,1,0)</f>
        <v>0</v>
      </c>
      <c r="V1219" s="109">
        <f>IF(Table__192.168.1.150_Daily_Delinquency_With_Sectors[[#This Row],[Days in Arrears]] &gt; 30,1,0)</f>
        <v>0</v>
      </c>
      <c r="W1219" s="109">
        <f>IF(Table__192.168.1.150_Daily_Delinquency_With_Sectors[[#This Row],[Days in Arrears]] &gt; 90,1,0)</f>
        <v>0</v>
      </c>
    </row>
    <row r="1220" spans="1:23" x14ac:dyDescent="0.25">
      <c r="A1220" t="s">
        <v>4200</v>
      </c>
      <c r="B1220" t="s">
        <v>1282</v>
      </c>
      <c r="C1220">
        <v>-13</v>
      </c>
      <c r="D1220" s="105">
        <v>3961253.7</v>
      </c>
      <c r="E1220" t="s">
        <v>1909</v>
      </c>
      <c r="F1220" s="105">
        <v>155935.19</v>
      </c>
      <c r="G1220" s="105">
        <v>4794847.8</v>
      </c>
      <c r="H1220" s="597">
        <v>42954.512467442131</v>
      </c>
      <c r="I1220" s="597">
        <v>43319</v>
      </c>
      <c r="J1220" t="s">
        <v>4201</v>
      </c>
      <c r="K1220" t="s">
        <v>1280</v>
      </c>
      <c r="L1220" t="s">
        <v>4202</v>
      </c>
      <c r="M1220">
        <v>201208</v>
      </c>
      <c r="N1220" t="s">
        <v>4198</v>
      </c>
      <c r="O1220" t="s">
        <v>25</v>
      </c>
      <c r="P1220" t="s">
        <v>88</v>
      </c>
      <c r="Q1220" t="s">
        <v>285</v>
      </c>
      <c r="R1220" s="105">
        <f>IF(Table__192.168.1.150_Daily_Delinquency_With_Sectors[[#This Row],[Days in Arrears]] &gt; 0, Table__192.168.1.150_Daily_Delinquency_With_Sectors[[#This Row],[Outstanding Balance]],0)</f>
        <v>0</v>
      </c>
      <c r="S1220" s="105">
        <f>IF(Table__192.168.1.150_Daily_Delinquency_With_Sectors[[#This Row],[Days in Arrears]] &gt; 30, Table__192.168.1.150_Daily_Delinquency_With_Sectors[[#This Row],[Outstanding Balance]],0)</f>
        <v>0</v>
      </c>
      <c r="T1220" s="105">
        <f>IF(Table__192.168.1.150_Daily_Delinquency_With_Sectors[[#This Row],[Days in Arrears]] &gt; 90, Table__192.168.1.150_Daily_Delinquency_With_Sectors[[#This Row],[Outstanding Balance]],0)</f>
        <v>0</v>
      </c>
      <c r="U1220" s="109">
        <f>IF(Table__192.168.1.150_Daily_Delinquency_With_Sectors[[#This Row],[Days in Arrears]] &gt;= 1,1,0)</f>
        <v>0</v>
      </c>
      <c r="V1220" s="109">
        <f>IF(Table__192.168.1.150_Daily_Delinquency_With_Sectors[[#This Row],[Days in Arrears]] &gt; 30,1,0)</f>
        <v>0</v>
      </c>
      <c r="W1220" s="109">
        <f>IF(Table__192.168.1.150_Daily_Delinquency_With_Sectors[[#This Row],[Days in Arrears]] &gt; 90,1,0)</f>
        <v>0</v>
      </c>
    </row>
    <row r="1221" spans="1:23" x14ac:dyDescent="0.25">
      <c r="A1221" t="s">
        <v>5158</v>
      </c>
      <c r="B1221" t="s">
        <v>1282</v>
      </c>
      <c r="C1221">
        <v>-13</v>
      </c>
      <c r="D1221" s="105">
        <v>2978850.4</v>
      </c>
      <c r="E1221" t="s">
        <v>4686</v>
      </c>
      <c r="F1221" s="105">
        <v>71492.41</v>
      </c>
      <c r="G1221" s="105">
        <v>3538607.01</v>
      </c>
      <c r="H1221" s="597">
        <v>42954.678449039355</v>
      </c>
      <c r="I1221" s="597">
        <v>43258</v>
      </c>
      <c r="J1221" t="s">
        <v>5159</v>
      </c>
      <c r="K1221" t="s">
        <v>1280</v>
      </c>
      <c r="L1221" t="s">
        <v>5160</v>
      </c>
      <c r="M1221">
        <v>201210</v>
      </c>
      <c r="N1221" t="s">
        <v>5150</v>
      </c>
      <c r="O1221" t="s">
        <v>36</v>
      </c>
      <c r="P1221" t="s">
        <v>1023</v>
      </c>
      <c r="Q1221" t="s">
        <v>1810</v>
      </c>
      <c r="R1221" s="105">
        <f>IF(Table__192.168.1.150_Daily_Delinquency_With_Sectors[[#This Row],[Days in Arrears]] &gt; 0, Table__192.168.1.150_Daily_Delinquency_With_Sectors[[#This Row],[Outstanding Balance]],0)</f>
        <v>0</v>
      </c>
      <c r="S1221" s="105">
        <f>IF(Table__192.168.1.150_Daily_Delinquency_With_Sectors[[#This Row],[Days in Arrears]] &gt; 30, Table__192.168.1.150_Daily_Delinquency_With_Sectors[[#This Row],[Outstanding Balance]],0)</f>
        <v>0</v>
      </c>
      <c r="T1221" s="105">
        <f>IF(Table__192.168.1.150_Daily_Delinquency_With_Sectors[[#This Row],[Days in Arrears]] &gt; 90, Table__192.168.1.150_Daily_Delinquency_With_Sectors[[#This Row],[Outstanding Balance]],0)</f>
        <v>0</v>
      </c>
      <c r="U1221" s="109">
        <f>IF(Table__192.168.1.150_Daily_Delinquency_With_Sectors[[#This Row],[Days in Arrears]] &gt;= 1,1,0)</f>
        <v>0</v>
      </c>
      <c r="V1221" s="109">
        <f>IF(Table__192.168.1.150_Daily_Delinquency_With_Sectors[[#This Row],[Days in Arrears]] &gt; 30,1,0)</f>
        <v>0</v>
      </c>
      <c r="W1221" s="109">
        <f>IF(Table__192.168.1.150_Daily_Delinquency_With_Sectors[[#This Row],[Days in Arrears]] &gt; 90,1,0)</f>
        <v>0</v>
      </c>
    </row>
    <row r="1222" spans="1:23" x14ac:dyDescent="0.25">
      <c r="A1222" t="s">
        <v>3722</v>
      </c>
      <c r="B1222" t="s">
        <v>1279</v>
      </c>
      <c r="C1222">
        <v>-13</v>
      </c>
      <c r="D1222" s="105">
        <v>2959995.95</v>
      </c>
      <c r="E1222" t="s">
        <v>491</v>
      </c>
      <c r="F1222" s="105">
        <v>63146.58</v>
      </c>
      <c r="G1222" s="105">
        <v>3452146.43</v>
      </c>
      <c r="H1222" s="597">
        <v>42954.705635497688</v>
      </c>
      <c r="I1222" s="597">
        <v>43258</v>
      </c>
      <c r="J1222" t="s">
        <v>3723</v>
      </c>
      <c r="K1222" t="s">
        <v>1280</v>
      </c>
      <c r="L1222" t="s">
        <v>3724</v>
      </c>
      <c r="M1222">
        <v>201211</v>
      </c>
      <c r="N1222" t="s">
        <v>3708</v>
      </c>
      <c r="O1222" t="s">
        <v>45</v>
      </c>
      <c r="P1222" t="s">
        <v>45</v>
      </c>
      <c r="Q1222" t="s">
        <v>89</v>
      </c>
      <c r="R1222" s="105">
        <f>IF(Table__192.168.1.150_Daily_Delinquency_With_Sectors[[#This Row],[Days in Arrears]] &gt; 0, Table__192.168.1.150_Daily_Delinquency_With_Sectors[[#This Row],[Outstanding Balance]],0)</f>
        <v>0</v>
      </c>
      <c r="S1222" s="105">
        <f>IF(Table__192.168.1.150_Daily_Delinquency_With_Sectors[[#This Row],[Days in Arrears]] &gt; 30, Table__192.168.1.150_Daily_Delinquency_With_Sectors[[#This Row],[Outstanding Balance]],0)</f>
        <v>0</v>
      </c>
      <c r="T1222" s="105">
        <f>IF(Table__192.168.1.150_Daily_Delinquency_With_Sectors[[#This Row],[Days in Arrears]] &gt; 90, Table__192.168.1.150_Daily_Delinquency_With_Sectors[[#This Row],[Outstanding Balance]],0)</f>
        <v>0</v>
      </c>
      <c r="U1222" s="109">
        <f>IF(Table__192.168.1.150_Daily_Delinquency_With_Sectors[[#This Row],[Days in Arrears]] &gt;= 1,1,0)</f>
        <v>0</v>
      </c>
      <c r="V1222" s="109">
        <f>IF(Table__192.168.1.150_Daily_Delinquency_With_Sectors[[#This Row],[Days in Arrears]] &gt; 30,1,0)</f>
        <v>0</v>
      </c>
      <c r="W1222" s="109">
        <f>IF(Table__192.168.1.150_Daily_Delinquency_With_Sectors[[#This Row],[Days in Arrears]] &gt; 90,1,0)</f>
        <v>0</v>
      </c>
    </row>
    <row r="1223" spans="1:23" x14ac:dyDescent="0.25">
      <c r="A1223" t="s">
        <v>2797</v>
      </c>
      <c r="B1223" t="s">
        <v>1866</v>
      </c>
      <c r="C1223">
        <v>-16</v>
      </c>
      <c r="D1223" s="105">
        <v>4431349.74</v>
      </c>
      <c r="E1223" t="s">
        <v>2175</v>
      </c>
      <c r="F1223" s="105">
        <v>70409.22</v>
      </c>
      <c r="G1223" s="105">
        <v>5104660.09</v>
      </c>
      <c r="H1223" s="597">
        <v>42955.442869444443</v>
      </c>
      <c r="I1223" s="597">
        <v>43261</v>
      </c>
      <c r="J1223" t="s">
        <v>2798</v>
      </c>
      <c r="K1223" t="s">
        <v>1280</v>
      </c>
      <c r="L1223" t="s">
        <v>1280</v>
      </c>
      <c r="M1223">
        <v>201212</v>
      </c>
      <c r="N1223" t="s">
        <v>2790</v>
      </c>
      <c r="O1223" t="s">
        <v>25</v>
      </c>
      <c r="P1223" t="s">
        <v>88</v>
      </c>
      <c r="Q1223" t="s">
        <v>285</v>
      </c>
      <c r="R1223" s="105">
        <f>IF(Table__192.168.1.150_Daily_Delinquency_With_Sectors[[#This Row],[Days in Arrears]] &gt; 0, Table__192.168.1.150_Daily_Delinquency_With_Sectors[[#This Row],[Outstanding Balance]],0)</f>
        <v>0</v>
      </c>
      <c r="S1223" s="105">
        <f>IF(Table__192.168.1.150_Daily_Delinquency_With_Sectors[[#This Row],[Days in Arrears]] &gt; 30, Table__192.168.1.150_Daily_Delinquency_With_Sectors[[#This Row],[Outstanding Balance]],0)</f>
        <v>0</v>
      </c>
      <c r="T1223" s="105">
        <f>IF(Table__192.168.1.150_Daily_Delinquency_With_Sectors[[#This Row],[Days in Arrears]] &gt; 90, Table__192.168.1.150_Daily_Delinquency_With_Sectors[[#This Row],[Outstanding Balance]],0)</f>
        <v>0</v>
      </c>
      <c r="U1223" s="109">
        <f>IF(Table__192.168.1.150_Daily_Delinquency_With_Sectors[[#This Row],[Days in Arrears]] &gt;= 1,1,0)</f>
        <v>0</v>
      </c>
      <c r="V1223" s="109">
        <f>IF(Table__192.168.1.150_Daily_Delinquency_With_Sectors[[#This Row],[Days in Arrears]] &gt; 30,1,0)</f>
        <v>0</v>
      </c>
      <c r="W1223" s="109">
        <f>IF(Table__192.168.1.150_Daily_Delinquency_With_Sectors[[#This Row],[Days in Arrears]] &gt; 90,1,0)</f>
        <v>0</v>
      </c>
    </row>
    <row r="1224" spans="1:23" x14ac:dyDescent="0.25">
      <c r="A1224" t="s">
        <v>2984</v>
      </c>
      <c r="B1224" t="s">
        <v>1282</v>
      </c>
      <c r="C1224">
        <v>-15</v>
      </c>
      <c r="D1224" s="105">
        <v>3169002.95</v>
      </c>
      <c r="E1224" t="s">
        <v>1467</v>
      </c>
      <c r="F1224" s="105">
        <v>59154.720000000001</v>
      </c>
      <c r="G1224" s="105">
        <v>3835878.22</v>
      </c>
      <c r="H1224" s="597">
        <v>42956.50059826389</v>
      </c>
      <c r="I1224" s="597">
        <v>43321</v>
      </c>
      <c r="J1224" t="s">
        <v>2985</v>
      </c>
      <c r="K1224" t="s">
        <v>1280</v>
      </c>
      <c r="L1224" t="s">
        <v>1280</v>
      </c>
      <c r="M1224">
        <v>201213</v>
      </c>
      <c r="N1224" t="s">
        <v>2983</v>
      </c>
      <c r="O1224" t="s">
        <v>25</v>
      </c>
      <c r="P1224" t="s">
        <v>106</v>
      </c>
      <c r="Q1224" t="s">
        <v>107</v>
      </c>
      <c r="R1224" s="105">
        <f>IF(Table__192.168.1.150_Daily_Delinquency_With_Sectors[[#This Row],[Days in Arrears]] &gt; 0, Table__192.168.1.150_Daily_Delinquency_With_Sectors[[#This Row],[Outstanding Balance]],0)</f>
        <v>0</v>
      </c>
      <c r="S1224" s="105">
        <f>IF(Table__192.168.1.150_Daily_Delinquency_With_Sectors[[#This Row],[Days in Arrears]] &gt; 30, Table__192.168.1.150_Daily_Delinquency_With_Sectors[[#This Row],[Outstanding Balance]],0)</f>
        <v>0</v>
      </c>
      <c r="T1224" s="105">
        <f>IF(Table__192.168.1.150_Daily_Delinquency_With_Sectors[[#This Row],[Days in Arrears]] &gt; 90, Table__192.168.1.150_Daily_Delinquency_With_Sectors[[#This Row],[Outstanding Balance]],0)</f>
        <v>0</v>
      </c>
      <c r="U1224" s="109">
        <f>IF(Table__192.168.1.150_Daily_Delinquency_With_Sectors[[#This Row],[Days in Arrears]] &gt;= 1,1,0)</f>
        <v>0</v>
      </c>
      <c r="V1224" s="109">
        <f>IF(Table__192.168.1.150_Daily_Delinquency_With_Sectors[[#This Row],[Days in Arrears]] &gt; 30,1,0)</f>
        <v>0</v>
      </c>
      <c r="W1224" s="109">
        <f>IF(Table__192.168.1.150_Daily_Delinquency_With_Sectors[[#This Row],[Days in Arrears]] &gt; 90,1,0)</f>
        <v>0</v>
      </c>
    </row>
    <row r="1225" spans="1:23" x14ac:dyDescent="0.25">
      <c r="A1225" t="s">
        <v>3514</v>
      </c>
      <c r="B1225" t="s">
        <v>1282</v>
      </c>
      <c r="C1225">
        <v>-15</v>
      </c>
      <c r="D1225" s="105">
        <v>7922507.3700000001</v>
      </c>
      <c r="E1225" t="s">
        <v>4684</v>
      </c>
      <c r="F1225" s="105">
        <v>147886.79999999999</v>
      </c>
      <c r="G1225" s="105">
        <v>9589695.5299999993</v>
      </c>
      <c r="H1225" s="597">
        <v>42956.558485729169</v>
      </c>
      <c r="I1225" s="597">
        <v>43321</v>
      </c>
      <c r="J1225" t="s">
        <v>3515</v>
      </c>
      <c r="K1225" t="s">
        <v>1280</v>
      </c>
      <c r="L1225" t="s">
        <v>1280</v>
      </c>
      <c r="M1225">
        <v>201214</v>
      </c>
      <c r="N1225" t="s">
        <v>3511</v>
      </c>
      <c r="O1225" t="s">
        <v>27</v>
      </c>
      <c r="P1225" t="s">
        <v>81</v>
      </c>
      <c r="Q1225" t="s">
        <v>5165</v>
      </c>
      <c r="R1225" s="105">
        <f>IF(Table__192.168.1.150_Daily_Delinquency_With_Sectors[[#This Row],[Days in Arrears]] &gt; 0, Table__192.168.1.150_Daily_Delinquency_With_Sectors[[#This Row],[Outstanding Balance]],0)</f>
        <v>0</v>
      </c>
      <c r="S1225" s="105">
        <f>IF(Table__192.168.1.150_Daily_Delinquency_With_Sectors[[#This Row],[Days in Arrears]] &gt; 30, Table__192.168.1.150_Daily_Delinquency_With_Sectors[[#This Row],[Outstanding Balance]],0)</f>
        <v>0</v>
      </c>
      <c r="T1225" s="105">
        <f>IF(Table__192.168.1.150_Daily_Delinquency_With_Sectors[[#This Row],[Days in Arrears]] &gt; 90, Table__192.168.1.150_Daily_Delinquency_With_Sectors[[#This Row],[Outstanding Balance]],0)</f>
        <v>0</v>
      </c>
      <c r="U1225" s="109">
        <f>IF(Table__192.168.1.150_Daily_Delinquency_With_Sectors[[#This Row],[Days in Arrears]] &gt;= 1,1,0)</f>
        <v>0</v>
      </c>
      <c r="V1225" s="109">
        <f>IF(Table__192.168.1.150_Daily_Delinquency_With_Sectors[[#This Row],[Days in Arrears]] &gt; 30,1,0)</f>
        <v>0</v>
      </c>
      <c r="W1225" s="109">
        <f>IF(Table__192.168.1.150_Daily_Delinquency_With_Sectors[[#This Row],[Days in Arrears]] &gt; 90,1,0)</f>
        <v>0</v>
      </c>
    </row>
    <row r="1226" spans="1:23" x14ac:dyDescent="0.25">
      <c r="A1226" t="s">
        <v>5171</v>
      </c>
      <c r="B1226" t="s">
        <v>1279</v>
      </c>
      <c r="C1226">
        <v>15</v>
      </c>
      <c r="D1226" s="105">
        <v>3334321.23</v>
      </c>
      <c r="E1226" t="s">
        <v>5167</v>
      </c>
      <c r="F1226" s="105">
        <v>155800.32000000001</v>
      </c>
      <c r="G1226" s="105">
        <v>3987322.3</v>
      </c>
      <c r="H1226" s="597">
        <v>42956.583530902775</v>
      </c>
      <c r="I1226" s="597">
        <v>43260</v>
      </c>
      <c r="J1226" t="s">
        <v>5172</v>
      </c>
      <c r="K1226" t="s">
        <v>1280</v>
      </c>
      <c r="L1226" t="s">
        <v>1280</v>
      </c>
      <c r="M1226">
        <v>201215</v>
      </c>
      <c r="N1226" t="s">
        <v>5166</v>
      </c>
      <c r="O1226" t="s">
        <v>25</v>
      </c>
      <c r="P1226" t="s">
        <v>88</v>
      </c>
      <c r="Q1226" t="s">
        <v>285</v>
      </c>
      <c r="R1226" s="105">
        <f>IF(Table__192.168.1.150_Daily_Delinquency_With_Sectors[[#This Row],[Days in Arrears]] &gt; 0, Table__192.168.1.150_Daily_Delinquency_With_Sectors[[#This Row],[Outstanding Balance]],0)</f>
        <v>3334321.23</v>
      </c>
      <c r="S1226" s="105">
        <f>IF(Table__192.168.1.150_Daily_Delinquency_With_Sectors[[#This Row],[Days in Arrears]] &gt; 30, Table__192.168.1.150_Daily_Delinquency_With_Sectors[[#This Row],[Outstanding Balance]],0)</f>
        <v>0</v>
      </c>
      <c r="T1226" s="105">
        <f>IF(Table__192.168.1.150_Daily_Delinquency_With_Sectors[[#This Row],[Days in Arrears]] &gt; 90, Table__192.168.1.150_Daily_Delinquency_With_Sectors[[#This Row],[Outstanding Balance]],0)</f>
        <v>0</v>
      </c>
      <c r="U1226" s="109">
        <f>IF(Table__192.168.1.150_Daily_Delinquency_With_Sectors[[#This Row],[Days in Arrears]] &gt;= 1,1,0)</f>
        <v>1</v>
      </c>
      <c r="V1226" s="109">
        <f>IF(Table__192.168.1.150_Daily_Delinquency_With_Sectors[[#This Row],[Days in Arrears]] &gt; 30,1,0)</f>
        <v>0</v>
      </c>
      <c r="W1226" s="109">
        <f>IF(Table__192.168.1.150_Daily_Delinquency_With_Sectors[[#This Row],[Days in Arrears]] &gt; 90,1,0)</f>
        <v>0</v>
      </c>
    </row>
    <row r="1227" spans="1:23" x14ac:dyDescent="0.25">
      <c r="A1227" t="s">
        <v>3379</v>
      </c>
      <c r="B1227" t="s">
        <v>1282</v>
      </c>
      <c r="C1227">
        <v>-15</v>
      </c>
      <c r="D1227" s="105">
        <v>1849997.48</v>
      </c>
      <c r="E1227" t="s">
        <v>3074</v>
      </c>
      <c r="F1227" s="105">
        <v>34533.29</v>
      </c>
      <c r="G1227" s="105">
        <v>2157591.54</v>
      </c>
      <c r="H1227" s="597">
        <v>42956.591755821762</v>
      </c>
      <c r="I1227" s="597">
        <v>43260</v>
      </c>
      <c r="J1227" t="s">
        <v>3380</v>
      </c>
      <c r="K1227" t="s">
        <v>1280</v>
      </c>
      <c r="L1227" t="s">
        <v>1280</v>
      </c>
      <c r="M1227">
        <v>201216</v>
      </c>
      <c r="N1227" t="s">
        <v>3374</v>
      </c>
      <c r="O1227" t="s">
        <v>44</v>
      </c>
      <c r="P1227" t="s">
        <v>92</v>
      </c>
      <c r="Q1227" t="s">
        <v>92</v>
      </c>
      <c r="R1227" s="105">
        <f>IF(Table__192.168.1.150_Daily_Delinquency_With_Sectors[[#This Row],[Days in Arrears]] &gt; 0, Table__192.168.1.150_Daily_Delinquency_With_Sectors[[#This Row],[Outstanding Balance]],0)</f>
        <v>0</v>
      </c>
      <c r="S1227" s="105">
        <f>IF(Table__192.168.1.150_Daily_Delinquency_With_Sectors[[#This Row],[Days in Arrears]] &gt; 30, Table__192.168.1.150_Daily_Delinquency_With_Sectors[[#This Row],[Outstanding Balance]],0)</f>
        <v>0</v>
      </c>
      <c r="T1227" s="105">
        <f>IF(Table__192.168.1.150_Daily_Delinquency_With_Sectors[[#This Row],[Days in Arrears]] &gt; 90, Table__192.168.1.150_Daily_Delinquency_With_Sectors[[#This Row],[Outstanding Balance]],0)</f>
        <v>0</v>
      </c>
      <c r="U1227" s="109">
        <f>IF(Table__192.168.1.150_Daily_Delinquency_With_Sectors[[#This Row],[Days in Arrears]] &gt;= 1,1,0)</f>
        <v>0</v>
      </c>
      <c r="V1227" s="109">
        <f>IF(Table__192.168.1.150_Daily_Delinquency_With_Sectors[[#This Row],[Days in Arrears]] &gt; 30,1,0)</f>
        <v>0</v>
      </c>
      <c r="W1227" s="109">
        <f>IF(Table__192.168.1.150_Daily_Delinquency_With_Sectors[[#This Row],[Days in Arrears]] &gt; 90,1,0)</f>
        <v>0</v>
      </c>
    </row>
    <row r="1228" spans="1:23" x14ac:dyDescent="0.25">
      <c r="A1228" t="s">
        <v>5175</v>
      </c>
      <c r="B1228" t="s">
        <v>1279</v>
      </c>
      <c r="C1228">
        <v>14</v>
      </c>
      <c r="D1228" s="105">
        <v>2379976.25</v>
      </c>
      <c r="E1228" t="s">
        <v>5167</v>
      </c>
      <c r="F1228" s="105">
        <v>41571.25</v>
      </c>
      <c r="G1228" s="105">
        <v>2574657.79</v>
      </c>
      <c r="H1228" s="597">
        <v>42957.52770309028</v>
      </c>
      <c r="I1228" s="597">
        <v>43141</v>
      </c>
      <c r="J1228" t="s">
        <v>5176</v>
      </c>
      <c r="K1228" t="s">
        <v>1280</v>
      </c>
      <c r="L1228" t="s">
        <v>5177</v>
      </c>
      <c r="M1228">
        <v>201217</v>
      </c>
      <c r="N1228" t="s">
        <v>5174</v>
      </c>
      <c r="O1228" t="s">
        <v>25</v>
      </c>
      <c r="P1228" t="s">
        <v>88</v>
      </c>
      <c r="Q1228" t="s">
        <v>285</v>
      </c>
      <c r="R1228" s="105">
        <f>IF(Table__192.168.1.150_Daily_Delinquency_With_Sectors[[#This Row],[Days in Arrears]] &gt; 0, Table__192.168.1.150_Daily_Delinquency_With_Sectors[[#This Row],[Outstanding Balance]],0)</f>
        <v>2379976.25</v>
      </c>
      <c r="S1228" s="105">
        <f>IF(Table__192.168.1.150_Daily_Delinquency_With_Sectors[[#This Row],[Days in Arrears]] &gt; 30, Table__192.168.1.150_Daily_Delinquency_With_Sectors[[#This Row],[Outstanding Balance]],0)</f>
        <v>0</v>
      </c>
      <c r="T1228" s="105">
        <f>IF(Table__192.168.1.150_Daily_Delinquency_With_Sectors[[#This Row],[Days in Arrears]] &gt; 90, Table__192.168.1.150_Daily_Delinquency_With_Sectors[[#This Row],[Outstanding Balance]],0)</f>
        <v>0</v>
      </c>
      <c r="U1228" s="109">
        <f>IF(Table__192.168.1.150_Daily_Delinquency_With_Sectors[[#This Row],[Days in Arrears]] &gt;= 1,1,0)</f>
        <v>1</v>
      </c>
      <c r="V1228" s="109">
        <f>IF(Table__192.168.1.150_Daily_Delinquency_With_Sectors[[#This Row],[Days in Arrears]] &gt; 30,1,0)</f>
        <v>0</v>
      </c>
      <c r="W1228" s="109">
        <f>IF(Table__192.168.1.150_Daily_Delinquency_With_Sectors[[#This Row],[Days in Arrears]] &gt; 90,1,0)</f>
        <v>0</v>
      </c>
    </row>
    <row r="1229" spans="1:23" x14ac:dyDescent="0.25">
      <c r="A1229" t="s">
        <v>2011</v>
      </c>
      <c r="B1229" t="s">
        <v>1866</v>
      </c>
      <c r="C1229">
        <v>-24</v>
      </c>
      <c r="D1229" s="105">
        <v>6645099.4500000002</v>
      </c>
      <c r="E1229" t="s">
        <v>2861</v>
      </c>
      <c r="F1229" s="105">
        <v>40608.94</v>
      </c>
      <c r="G1229" s="105">
        <v>7393598.6900000004</v>
      </c>
      <c r="H1229" s="597">
        <v>42957.643901041665</v>
      </c>
      <c r="I1229" s="597">
        <v>43208</v>
      </c>
      <c r="J1229" t="s">
        <v>2012</v>
      </c>
      <c r="K1229" t="s">
        <v>1280</v>
      </c>
      <c r="L1229" t="s">
        <v>2013</v>
      </c>
      <c r="M1229">
        <v>201218</v>
      </c>
      <c r="N1229" t="s">
        <v>2010</v>
      </c>
      <c r="O1229" t="s">
        <v>25</v>
      </c>
      <c r="P1229" t="s">
        <v>88</v>
      </c>
      <c r="Q1229" t="s">
        <v>285</v>
      </c>
      <c r="R1229" s="105">
        <f>IF(Table__192.168.1.150_Daily_Delinquency_With_Sectors[[#This Row],[Days in Arrears]] &gt; 0, Table__192.168.1.150_Daily_Delinquency_With_Sectors[[#This Row],[Outstanding Balance]],0)</f>
        <v>0</v>
      </c>
      <c r="S1229" s="105">
        <f>IF(Table__192.168.1.150_Daily_Delinquency_With_Sectors[[#This Row],[Days in Arrears]] &gt; 30, Table__192.168.1.150_Daily_Delinquency_With_Sectors[[#This Row],[Outstanding Balance]],0)</f>
        <v>0</v>
      </c>
      <c r="T1229" s="105">
        <f>IF(Table__192.168.1.150_Daily_Delinquency_With_Sectors[[#This Row],[Days in Arrears]] &gt; 90, Table__192.168.1.150_Daily_Delinquency_With_Sectors[[#This Row],[Outstanding Balance]],0)</f>
        <v>0</v>
      </c>
      <c r="U1229" s="109">
        <f>IF(Table__192.168.1.150_Daily_Delinquency_With_Sectors[[#This Row],[Days in Arrears]] &gt;= 1,1,0)</f>
        <v>0</v>
      </c>
      <c r="V1229" s="109">
        <f>IF(Table__192.168.1.150_Daily_Delinquency_With_Sectors[[#This Row],[Days in Arrears]] &gt; 30,1,0)</f>
        <v>0</v>
      </c>
      <c r="W1229" s="109">
        <f>IF(Table__192.168.1.150_Daily_Delinquency_With_Sectors[[#This Row],[Days in Arrears]] &gt; 90,1,0)</f>
        <v>0</v>
      </c>
    </row>
    <row r="1230" spans="1:23" x14ac:dyDescent="0.25">
      <c r="A1230" t="s">
        <v>2302</v>
      </c>
      <c r="B1230" t="s">
        <v>1281</v>
      </c>
      <c r="C1230">
        <v>-16</v>
      </c>
      <c r="D1230" s="105">
        <v>19681836.120000001</v>
      </c>
      <c r="E1230" t="s">
        <v>2861</v>
      </c>
      <c r="F1230" s="105">
        <v>298507.84999999998</v>
      </c>
      <c r="G1230" s="105">
        <v>23283888.579999998</v>
      </c>
      <c r="H1230" s="597">
        <v>42957.611355821762</v>
      </c>
      <c r="I1230" s="597">
        <v>43322</v>
      </c>
      <c r="J1230" t="s">
        <v>2303</v>
      </c>
      <c r="K1230" t="s">
        <v>1280</v>
      </c>
      <c r="L1230" t="s">
        <v>1280</v>
      </c>
      <c r="M1230">
        <v>201219</v>
      </c>
      <c r="N1230" t="s">
        <v>2291</v>
      </c>
      <c r="O1230" t="s">
        <v>25</v>
      </c>
      <c r="P1230" t="s">
        <v>88</v>
      </c>
      <c r="Q1230" t="s">
        <v>285</v>
      </c>
      <c r="R1230" s="105">
        <f>IF(Table__192.168.1.150_Daily_Delinquency_With_Sectors[[#This Row],[Days in Arrears]] &gt; 0, Table__192.168.1.150_Daily_Delinquency_With_Sectors[[#This Row],[Outstanding Balance]],0)</f>
        <v>0</v>
      </c>
      <c r="S1230" s="105">
        <f>IF(Table__192.168.1.150_Daily_Delinquency_With_Sectors[[#This Row],[Days in Arrears]] &gt; 30, Table__192.168.1.150_Daily_Delinquency_With_Sectors[[#This Row],[Outstanding Balance]],0)</f>
        <v>0</v>
      </c>
      <c r="T1230" s="105">
        <f>IF(Table__192.168.1.150_Daily_Delinquency_With_Sectors[[#This Row],[Days in Arrears]] &gt; 90, Table__192.168.1.150_Daily_Delinquency_With_Sectors[[#This Row],[Outstanding Balance]],0)</f>
        <v>0</v>
      </c>
      <c r="U1230" s="109">
        <f>IF(Table__192.168.1.150_Daily_Delinquency_With_Sectors[[#This Row],[Days in Arrears]] &gt;= 1,1,0)</f>
        <v>0</v>
      </c>
      <c r="V1230" s="109">
        <f>IF(Table__192.168.1.150_Daily_Delinquency_With_Sectors[[#This Row],[Days in Arrears]] &gt; 30,1,0)</f>
        <v>0</v>
      </c>
      <c r="W1230" s="109">
        <f>IF(Table__192.168.1.150_Daily_Delinquency_With_Sectors[[#This Row],[Days in Arrears]] &gt; 90,1,0)</f>
        <v>0</v>
      </c>
    </row>
    <row r="1231" spans="1:23" x14ac:dyDescent="0.25">
      <c r="A1231" t="s">
        <v>5178</v>
      </c>
      <c r="B1231" t="s">
        <v>1279</v>
      </c>
      <c r="C1231">
        <v>14</v>
      </c>
      <c r="D1231" s="105">
        <v>1391087.38</v>
      </c>
      <c r="E1231" t="s">
        <v>5167</v>
      </c>
      <c r="F1231" s="105">
        <v>25979.24</v>
      </c>
      <c r="G1231" s="105">
        <v>1493621.76</v>
      </c>
      <c r="H1231" s="597">
        <v>42957.655313888892</v>
      </c>
      <c r="I1231" s="597">
        <v>43141</v>
      </c>
      <c r="J1231" t="s">
        <v>5179</v>
      </c>
      <c r="K1231" t="s">
        <v>1280</v>
      </c>
      <c r="L1231" t="s">
        <v>1280</v>
      </c>
      <c r="M1231">
        <v>201220</v>
      </c>
      <c r="N1231" t="s">
        <v>5173</v>
      </c>
      <c r="O1231" t="s">
        <v>36</v>
      </c>
      <c r="P1231" t="s">
        <v>118</v>
      </c>
      <c r="Q1231" t="s">
        <v>119</v>
      </c>
      <c r="R1231" s="105">
        <f>IF(Table__192.168.1.150_Daily_Delinquency_With_Sectors[[#This Row],[Days in Arrears]] &gt; 0, Table__192.168.1.150_Daily_Delinquency_With_Sectors[[#This Row],[Outstanding Balance]],0)</f>
        <v>1391087.38</v>
      </c>
      <c r="S1231" s="105">
        <f>IF(Table__192.168.1.150_Daily_Delinquency_With_Sectors[[#This Row],[Days in Arrears]] &gt; 30, Table__192.168.1.150_Daily_Delinquency_With_Sectors[[#This Row],[Outstanding Balance]],0)</f>
        <v>0</v>
      </c>
      <c r="T1231" s="105">
        <f>IF(Table__192.168.1.150_Daily_Delinquency_With_Sectors[[#This Row],[Days in Arrears]] &gt; 90, Table__192.168.1.150_Daily_Delinquency_With_Sectors[[#This Row],[Outstanding Balance]],0)</f>
        <v>0</v>
      </c>
      <c r="U1231" s="109">
        <f>IF(Table__192.168.1.150_Daily_Delinquency_With_Sectors[[#This Row],[Days in Arrears]] &gt;= 1,1,0)</f>
        <v>1</v>
      </c>
      <c r="V1231" s="109">
        <f>IF(Table__192.168.1.150_Daily_Delinquency_With_Sectors[[#This Row],[Days in Arrears]] &gt; 30,1,0)</f>
        <v>0</v>
      </c>
      <c r="W1231" s="109">
        <f>IF(Table__192.168.1.150_Daily_Delinquency_With_Sectors[[#This Row],[Days in Arrears]] &gt; 90,1,0)</f>
        <v>0</v>
      </c>
    </row>
    <row r="1232" spans="1:23" x14ac:dyDescent="0.25">
      <c r="A1232" t="s">
        <v>2736</v>
      </c>
      <c r="B1232" t="s">
        <v>1279</v>
      </c>
      <c r="C1232">
        <v>-17</v>
      </c>
      <c r="D1232" s="105">
        <v>2219996.98</v>
      </c>
      <c r="E1232" t="s">
        <v>1667</v>
      </c>
      <c r="F1232" s="105">
        <v>35519.949999999997</v>
      </c>
      <c r="G1232" s="105">
        <v>2589109.86</v>
      </c>
      <c r="H1232" s="597">
        <v>42958.64839278935</v>
      </c>
      <c r="I1232" s="597">
        <v>43262</v>
      </c>
      <c r="J1232" t="s">
        <v>2737</v>
      </c>
      <c r="K1232" t="s">
        <v>2738</v>
      </c>
      <c r="L1232" t="s">
        <v>1280</v>
      </c>
      <c r="M1232">
        <v>201222</v>
      </c>
      <c r="N1232" t="s">
        <v>2733</v>
      </c>
      <c r="O1232" t="s">
        <v>44</v>
      </c>
      <c r="P1232" t="s">
        <v>92</v>
      </c>
      <c r="Q1232" t="s">
        <v>92</v>
      </c>
      <c r="R1232" s="105">
        <f>IF(Table__192.168.1.150_Daily_Delinquency_With_Sectors[[#This Row],[Days in Arrears]] &gt; 0, Table__192.168.1.150_Daily_Delinquency_With_Sectors[[#This Row],[Outstanding Balance]],0)</f>
        <v>0</v>
      </c>
      <c r="S1232" s="105">
        <f>IF(Table__192.168.1.150_Daily_Delinquency_With_Sectors[[#This Row],[Days in Arrears]] &gt; 30, Table__192.168.1.150_Daily_Delinquency_With_Sectors[[#This Row],[Outstanding Balance]],0)</f>
        <v>0</v>
      </c>
      <c r="T1232" s="105">
        <f>IF(Table__192.168.1.150_Daily_Delinquency_With_Sectors[[#This Row],[Days in Arrears]] &gt; 90, Table__192.168.1.150_Daily_Delinquency_With_Sectors[[#This Row],[Outstanding Balance]],0)</f>
        <v>0</v>
      </c>
      <c r="U1232" s="109">
        <f>IF(Table__192.168.1.150_Daily_Delinquency_With_Sectors[[#This Row],[Days in Arrears]] &gt;= 1,1,0)</f>
        <v>0</v>
      </c>
      <c r="V1232" s="109">
        <f>IF(Table__192.168.1.150_Daily_Delinquency_With_Sectors[[#This Row],[Days in Arrears]] &gt; 30,1,0)</f>
        <v>0</v>
      </c>
      <c r="W1232" s="109">
        <f>IF(Table__192.168.1.150_Daily_Delinquency_With_Sectors[[#This Row],[Days in Arrears]] &gt; 90,1,0)</f>
        <v>0</v>
      </c>
    </row>
    <row r="1233" spans="1:23" x14ac:dyDescent="0.25">
      <c r="A1233" t="s">
        <v>3248</v>
      </c>
      <c r="B1233" t="s">
        <v>1279</v>
      </c>
      <c r="C1233">
        <v>-17</v>
      </c>
      <c r="D1233" s="105">
        <v>2772877.6</v>
      </c>
      <c r="E1233" t="s">
        <v>468</v>
      </c>
      <c r="F1233" s="105">
        <v>44366.04</v>
      </c>
      <c r="G1233" s="105">
        <v>3356393.46</v>
      </c>
      <c r="H1233" s="709">
        <v>42958.615538113423</v>
      </c>
      <c r="I1233" s="709">
        <v>43323</v>
      </c>
      <c r="J1233" t="s">
        <v>3249</v>
      </c>
      <c r="K1233" t="s">
        <v>1280</v>
      </c>
      <c r="L1233" t="s">
        <v>3250</v>
      </c>
      <c r="M1233">
        <v>201223</v>
      </c>
      <c r="N1233" t="s">
        <v>3228</v>
      </c>
      <c r="O1233" t="s">
        <v>44</v>
      </c>
      <c r="P1233" t="s">
        <v>92</v>
      </c>
      <c r="Q1233" t="s">
        <v>92</v>
      </c>
      <c r="R1233" s="710">
        <f>IF(Table__192.168.1.150_Daily_Delinquency_With_Sectors[[#This Row],[Days in Arrears]] &gt; 0, Table__192.168.1.150_Daily_Delinquency_With_Sectors[[#This Row],[Outstanding Balance]],0)</f>
        <v>0</v>
      </c>
      <c r="S1233" s="105">
        <f>IF(Table__192.168.1.150_Daily_Delinquency_With_Sectors[[#This Row],[Days in Arrears]] &gt; 30, Table__192.168.1.150_Daily_Delinquency_With_Sectors[[#This Row],[Outstanding Balance]],0)</f>
        <v>0</v>
      </c>
      <c r="T1233" s="105">
        <f>IF(Table__192.168.1.150_Daily_Delinquency_With_Sectors[[#This Row],[Days in Arrears]] &gt; 90, Table__192.168.1.150_Daily_Delinquency_With_Sectors[[#This Row],[Outstanding Balance]],0)</f>
        <v>0</v>
      </c>
      <c r="U1233" s="109">
        <f>IF(Table__192.168.1.150_Daily_Delinquency_With_Sectors[[#This Row],[Days in Arrears]] &gt;= 1,1,0)</f>
        <v>0</v>
      </c>
      <c r="V1233" s="109">
        <f>IF(Table__192.168.1.150_Daily_Delinquency_With_Sectors[[#This Row],[Days in Arrears]] &gt; 30,1,0)</f>
        <v>0</v>
      </c>
      <c r="W1233" s="109">
        <f>IF(Table__192.168.1.150_Daily_Delinquency_With_Sectors[[#This Row],[Days in Arrears]] &gt; 90,1,0)</f>
        <v>0</v>
      </c>
    </row>
    <row r="1234" spans="1:23" x14ac:dyDescent="0.25">
      <c r="A1234" t="s">
        <v>3997</v>
      </c>
      <c r="B1234" t="s">
        <v>1282</v>
      </c>
      <c r="C1234">
        <v>-20</v>
      </c>
      <c r="D1234" s="105">
        <v>3699994.94</v>
      </c>
      <c r="E1234" t="s">
        <v>1447</v>
      </c>
      <c r="F1234" s="105">
        <v>44399.94</v>
      </c>
      <c r="G1234" s="105">
        <v>4315183.0599999996</v>
      </c>
      <c r="H1234" s="709">
        <v>42961.715052430554</v>
      </c>
      <c r="I1234" s="709">
        <v>43265</v>
      </c>
      <c r="J1234" t="s">
        <v>3998</v>
      </c>
      <c r="K1234" t="s">
        <v>1280</v>
      </c>
      <c r="L1234" t="s">
        <v>1280</v>
      </c>
      <c r="M1234">
        <v>201225</v>
      </c>
      <c r="N1234" t="s">
        <v>3990</v>
      </c>
      <c r="O1234" t="s">
        <v>44</v>
      </c>
      <c r="P1234" t="s">
        <v>75</v>
      </c>
      <c r="Q1234" t="s">
        <v>1442</v>
      </c>
      <c r="R1234" s="710">
        <f>IF(Table__192.168.1.150_Daily_Delinquency_With_Sectors[[#This Row],[Days in Arrears]] &gt; 0, Table__192.168.1.150_Daily_Delinquency_With_Sectors[[#This Row],[Outstanding Balance]],0)</f>
        <v>0</v>
      </c>
      <c r="S1234" s="105">
        <f>IF(Table__192.168.1.150_Daily_Delinquency_With_Sectors[[#This Row],[Days in Arrears]] &gt; 30, Table__192.168.1.150_Daily_Delinquency_With_Sectors[[#This Row],[Outstanding Balance]],0)</f>
        <v>0</v>
      </c>
      <c r="T1234" s="105">
        <f>IF(Table__192.168.1.150_Daily_Delinquency_With_Sectors[[#This Row],[Days in Arrears]] &gt; 90, Table__192.168.1.150_Daily_Delinquency_With_Sectors[[#This Row],[Outstanding Balance]],0)</f>
        <v>0</v>
      </c>
      <c r="U1234" s="109">
        <f>IF(Table__192.168.1.150_Daily_Delinquency_With_Sectors[[#This Row],[Days in Arrears]] &gt;= 1,1,0)</f>
        <v>0</v>
      </c>
      <c r="V1234" s="109">
        <f>IF(Table__192.168.1.150_Daily_Delinquency_With_Sectors[[#This Row],[Days in Arrears]] &gt; 30,1,0)</f>
        <v>0</v>
      </c>
      <c r="W1234" s="109">
        <f>IF(Table__192.168.1.150_Daily_Delinquency_With_Sectors[[#This Row],[Days in Arrears]] &gt; 90,1,0)</f>
        <v>0</v>
      </c>
    </row>
    <row r="1235" spans="1:23" x14ac:dyDescent="0.25">
      <c r="A1235" t="s">
        <v>2710</v>
      </c>
      <c r="B1235" t="s">
        <v>1279</v>
      </c>
      <c r="C1235">
        <v>13</v>
      </c>
      <c r="D1235" s="105">
        <v>2894261.73</v>
      </c>
      <c r="E1235" t="s">
        <v>3074</v>
      </c>
      <c r="F1235" s="105">
        <v>42318.05</v>
      </c>
      <c r="G1235" s="105">
        <v>3219940.29</v>
      </c>
      <c r="H1235" s="709">
        <v>42958.69990482639</v>
      </c>
      <c r="I1235" s="709">
        <v>43201</v>
      </c>
      <c r="J1235" t="s">
        <v>2711</v>
      </c>
      <c r="K1235" t="s">
        <v>1280</v>
      </c>
      <c r="L1235" t="s">
        <v>2712</v>
      </c>
      <c r="M1235">
        <v>201226</v>
      </c>
      <c r="N1235" t="s">
        <v>2709</v>
      </c>
      <c r="O1235" t="s">
        <v>25</v>
      </c>
      <c r="P1235" t="s">
        <v>103</v>
      </c>
      <c r="Q1235" t="s">
        <v>104</v>
      </c>
      <c r="R1235" s="710">
        <f>IF(Table__192.168.1.150_Daily_Delinquency_With_Sectors[[#This Row],[Days in Arrears]] &gt; 0, Table__192.168.1.150_Daily_Delinquency_With_Sectors[[#This Row],[Outstanding Balance]],0)</f>
        <v>2894261.73</v>
      </c>
      <c r="S1235" s="105">
        <f>IF(Table__192.168.1.150_Daily_Delinquency_With_Sectors[[#This Row],[Days in Arrears]] &gt; 30, Table__192.168.1.150_Daily_Delinquency_With_Sectors[[#This Row],[Outstanding Balance]],0)</f>
        <v>0</v>
      </c>
      <c r="T1235" s="105">
        <f>IF(Table__192.168.1.150_Daily_Delinquency_With_Sectors[[#This Row],[Days in Arrears]] &gt; 90, Table__192.168.1.150_Daily_Delinquency_With_Sectors[[#This Row],[Outstanding Balance]],0)</f>
        <v>0</v>
      </c>
      <c r="U1235" s="109">
        <f>IF(Table__192.168.1.150_Daily_Delinquency_With_Sectors[[#This Row],[Days in Arrears]] &gt;= 1,1,0)</f>
        <v>1</v>
      </c>
      <c r="V1235" s="109">
        <f>IF(Table__192.168.1.150_Daily_Delinquency_With_Sectors[[#This Row],[Days in Arrears]] &gt; 30,1,0)</f>
        <v>0</v>
      </c>
      <c r="W1235" s="109">
        <f>IF(Table__192.168.1.150_Daily_Delinquency_With_Sectors[[#This Row],[Days in Arrears]] &gt; 90,1,0)</f>
        <v>0</v>
      </c>
    </row>
    <row r="1236" spans="1:23" x14ac:dyDescent="0.25">
      <c r="A1236" t="s">
        <v>5207</v>
      </c>
      <c r="B1236" t="s">
        <v>1282</v>
      </c>
      <c r="C1236">
        <v>-20</v>
      </c>
      <c r="D1236" s="105">
        <v>2131859.11</v>
      </c>
      <c r="E1236" t="s">
        <v>491</v>
      </c>
      <c r="F1236" s="105">
        <v>28780.1</v>
      </c>
      <c r="G1236" s="105">
        <v>2326540.65</v>
      </c>
      <c r="H1236" s="709">
        <v>42961.691763275463</v>
      </c>
      <c r="I1236" s="709">
        <v>43145</v>
      </c>
      <c r="J1236" t="s">
        <v>5208</v>
      </c>
      <c r="K1236" t="s">
        <v>1280</v>
      </c>
      <c r="L1236" t="s">
        <v>1280</v>
      </c>
      <c r="M1236">
        <v>201227</v>
      </c>
      <c r="N1236" t="s">
        <v>5192</v>
      </c>
      <c r="O1236" t="s">
        <v>25</v>
      </c>
      <c r="P1236" t="s">
        <v>88</v>
      </c>
      <c r="Q1236" t="s">
        <v>285</v>
      </c>
      <c r="R1236" s="710">
        <f>IF(Table__192.168.1.150_Daily_Delinquency_With_Sectors[[#This Row],[Days in Arrears]] &gt; 0, Table__192.168.1.150_Daily_Delinquency_With_Sectors[[#This Row],[Outstanding Balance]],0)</f>
        <v>0</v>
      </c>
      <c r="S1236" s="105">
        <f>IF(Table__192.168.1.150_Daily_Delinquency_With_Sectors[[#This Row],[Days in Arrears]] &gt; 30, Table__192.168.1.150_Daily_Delinquency_With_Sectors[[#This Row],[Outstanding Balance]],0)</f>
        <v>0</v>
      </c>
      <c r="T1236" s="105">
        <f>IF(Table__192.168.1.150_Daily_Delinquency_With_Sectors[[#This Row],[Days in Arrears]] &gt; 90, Table__192.168.1.150_Daily_Delinquency_With_Sectors[[#This Row],[Outstanding Balance]],0)</f>
        <v>0</v>
      </c>
      <c r="U1236" s="109">
        <f>IF(Table__192.168.1.150_Daily_Delinquency_With_Sectors[[#This Row],[Days in Arrears]] &gt;= 1,1,0)</f>
        <v>0</v>
      </c>
      <c r="V1236" s="109">
        <f>IF(Table__192.168.1.150_Daily_Delinquency_With_Sectors[[#This Row],[Days in Arrears]] &gt; 30,1,0)</f>
        <v>0</v>
      </c>
      <c r="W1236" s="109">
        <f>IF(Table__192.168.1.150_Daily_Delinquency_With_Sectors[[#This Row],[Days in Arrears]] &gt; 90,1,0)</f>
        <v>0</v>
      </c>
    </row>
    <row r="1237" spans="1:23" x14ac:dyDescent="0.25">
      <c r="A1237" t="s">
        <v>3383</v>
      </c>
      <c r="B1237" t="s">
        <v>1866</v>
      </c>
      <c r="C1237">
        <v>-20</v>
      </c>
      <c r="D1237" s="105">
        <v>5522595.8200000003</v>
      </c>
      <c r="E1237" t="s">
        <v>2557</v>
      </c>
      <c r="F1237" s="105">
        <v>60748.55</v>
      </c>
      <c r="G1237" s="105">
        <v>6583598.7199999997</v>
      </c>
      <c r="H1237" s="709">
        <v>42961.758969826391</v>
      </c>
      <c r="I1237" s="709">
        <v>43326</v>
      </c>
      <c r="J1237" t="s">
        <v>3384</v>
      </c>
      <c r="K1237" t="s">
        <v>1280</v>
      </c>
      <c r="L1237" t="s">
        <v>1280</v>
      </c>
      <c r="M1237">
        <v>201228</v>
      </c>
      <c r="N1237" t="s">
        <v>3372</v>
      </c>
      <c r="O1237" t="s">
        <v>25</v>
      </c>
      <c r="P1237" t="s">
        <v>88</v>
      </c>
      <c r="Q1237" t="s">
        <v>285</v>
      </c>
      <c r="R1237" s="710">
        <f>IF(Table__192.168.1.150_Daily_Delinquency_With_Sectors[[#This Row],[Days in Arrears]] &gt; 0, Table__192.168.1.150_Daily_Delinquency_With_Sectors[[#This Row],[Outstanding Balance]],0)</f>
        <v>0</v>
      </c>
      <c r="S1237" s="105">
        <f>IF(Table__192.168.1.150_Daily_Delinquency_With_Sectors[[#This Row],[Days in Arrears]] &gt; 30, Table__192.168.1.150_Daily_Delinquency_With_Sectors[[#This Row],[Outstanding Balance]],0)</f>
        <v>0</v>
      </c>
      <c r="T1237" s="105">
        <f>IF(Table__192.168.1.150_Daily_Delinquency_With_Sectors[[#This Row],[Days in Arrears]] &gt; 90, Table__192.168.1.150_Daily_Delinquency_With_Sectors[[#This Row],[Outstanding Balance]],0)</f>
        <v>0</v>
      </c>
      <c r="U1237" s="109">
        <f>IF(Table__192.168.1.150_Daily_Delinquency_With_Sectors[[#This Row],[Days in Arrears]] &gt;= 1,1,0)</f>
        <v>0</v>
      </c>
      <c r="V1237" s="109">
        <f>IF(Table__192.168.1.150_Daily_Delinquency_With_Sectors[[#This Row],[Days in Arrears]] &gt; 30,1,0)</f>
        <v>0</v>
      </c>
      <c r="W1237" s="109">
        <f>IF(Table__192.168.1.150_Daily_Delinquency_With_Sectors[[#This Row],[Days in Arrears]] &gt; 90,1,0)</f>
        <v>0</v>
      </c>
    </row>
    <row r="1238" spans="1:23" x14ac:dyDescent="0.25">
      <c r="A1238" t="s">
        <v>3958</v>
      </c>
      <c r="B1238" t="s">
        <v>1282</v>
      </c>
      <c r="C1238">
        <v>-20</v>
      </c>
      <c r="D1238" s="105">
        <v>5179992.92</v>
      </c>
      <c r="E1238" t="s">
        <v>2538</v>
      </c>
      <c r="F1238" s="105">
        <v>62159.92</v>
      </c>
      <c r="G1238" s="105">
        <v>6041256.29</v>
      </c>
      <c r="H1238" s="709">
        <v>42961.635382291664</v>
      </c>
      <c r="I1238" s="709">
        <v>43265</v>
      </c>
      <c r="J1238" t="s">
        <v>3959</v>
      </c>
      <c r="K1238" t="s">
        <v>1280</v>
      </c>
      <c r="L1238" t="s">
        <v>1280</v>
      </c>
      <c r="M1238">
        <v>201229</v>
      </c>
      <c r="N1238" t="s">
        <v>3940</v>
      </c>
      <c r="O1238" t="s">
        <v>31</v>
      </c>
      <c r="P1238" t="s">
        <v>5187</v>
      </c>
      <c r="Q1238" t="s">
        <v>5188</v>
      </c>
      <c r="R1238" s="710">
        <f>IF(Table__192.168.1.150_Daily_Delinquency_With_Sectors[[#This Row],[Days in Arrears]] &gt; 0, Table__192.168.1.150_Daily_Delinquency_With_Sectors[[#This Row],[Outstanding Balance]],0)</f>
        <v>0</v>
      </c>
      <c r="S1238" s="105">
        <f>IF(Table__192.168.1.150_Daily_Delinquency_With_Sectors[[#This Row],[Days in Arrears]] &gt; 30, Table__192.168.1.150_Daily_Delinquency_With_Sectors[[#This Row],[Outstanding Balance]],0)</f>
        <v>0</v>
      </c>
      <c r="T1238" s="105">
        <f>IF(Table__192.168.1.150_Daily_Delinquency_With_Sectors[[#This Row],[Days in Arrears]] &gt; 90, Table__192.168.1.150_Daily_Delinquency_With_Sectors[[#This Row],[Outstanding Balance]],0)</f>
        <v>0</v>
      </c>
      <c r="U1238" s="109">
        <f>IF(Table__192.168.1.150_Daily_Delinquency_With_Sectors[[#This Row],[Days in Arrears]] &gt;= 1,1,0)</f>
        <v>0</v>
      </c>
      <c r="V1238" s="109">
        <f>IF(Table__192.168.1.150_Daily_Delinquency_With_Sectors[[#This Row],[Days in Arrears]] &gt; 30,1,0)</f>
        <v>0</v>
      </c>
      <c r="W1238" s="109">
        <f>IF(Table__192.168.1.150_Daily_Delinquency_With_Sectors[[#This Row],[Days in Arrears]] &gt; 90,1,0)</f>
        <v>0</v>
      </c>
    </row>
    <row r="1239" spans="1:23" x14ac:dyDescent="0.25">
      <c r="A1239" t="s">
        <v>3717</v>
      </c>
      <c r="B1239" t="s">
        <v>1279</v>
      </c>
      <c r="C1239">
        <v>-20</v>
      </c>
      <c r="D1239" s="105">
        <v>2376752.21</v>
      </c>
      <c r="E1239" t="s">
        <v>4684</v>
      </c>
      <c r="F1239" s="105">
        <v>28521.03</v>
      </c>
      <c r="G1239" s="105">
        <v>2876908.67</v>
      </c>
      <c r="H1239" s="709">
        <v>42961.692666817129</v>
      </c>
      <c r="I1239" s="709">
        <v>43326</v>
      </c>
      <c r="J1239" t="s">
        <v>3718</v>
      </c>
      <c r="K1239" t="s">
        <v>1280</v>
      </c>
      <c r="L1239" t="s">
        <v>1280</v>
      </c>
      <c r="M1239">
        <v>201230</v>
      </c>
      <c r="N1239" t="s">
        <v>3707</v>
      </c>
      <c r="O1239" t="s">
        <v>44</v>
      </c>
      <c r="P1239" t="s">
        <v>75</v>
      </c>
      <c r="Q1239" t="s">
        <v>26</v>
      </c>
      <c r="R1239" s="710">
        <f>IF(Table__192.168.1.150_Daily_Delinquency_With_Sectors[[#This Row],[Days in Arrears]] &gt; 0, Table__192.168.1.150_Daily_Delinquency_With_Sectors[[#This Row],[Outstanding Balance]],0)</f>
        <v>0</v>
      </c>
      <c r="S1239" s="105">
        <f>IF(Table__192.168.1.150_Daily_Delinquency_With_Sectors[[#This Row],[Days in Arrears]] &gt; 30, Table__192.168.1.150_Daily_Delinquency_With_Sectors[[#This Row],[Outstanding Balance]],0)</f>
        <v>0</v>
      </c>
      <c r="T1239" s="105">
        <f>IF(Table__192.168.1.150_Daily_Delinquency_With_Sectors[[#This Row],[Days in Arrears]] &gt; 90, Table__192.168.1.150_Daily_Delinquency_With_Sectors[[#This Row],[Outstanding Balance]],0)</f>
        <v>0</v>
      </c>
      <c r="U1239" s="109">
        <f>IF(Table__192.168.1.150_Daily_Delinquency_With_Sectors[[#This Row],[Days in Arrears]] &gt;= 1,1,0)</f>
        <v>0</v>
      </c>
      <c r="V1239" s="109">
        <f>IF(Table__192.168.1.150_Daily_Delinquency_With_Sectors[[#This Row],[Days in Arrears]] &gt; 30,1,0)</f>
        <v>0</v>
      </c>
      <c r="W1239" s="109">
        <f>IF(Table__192.168.1.150_Daily_Delinquency_With_Sectors[[#This Row],[Days in Arrears]] &gt; 90,1,0)</f>
        <v>0</v>
      </c>
    </row>
    <row r="1240" spans="1:23" x14ac:dyDescent="0.25">
      <c r="A1240" t="s">
        <v>5218</v>
      </c>
      <c r="B1240" t="s">
        <v>1282</v>
      </c>
      <c r="C1240">
        <v>-21</v>
      </c>
      <c r="D1240" s="105">
        <v>1598894.34</v>
      </c>
      <c r="E1240" t="s">
        <v>4685</v>
      </c>
      <c r="F1240" s="105">
        <v>19186.73</v>
      </c>
      <c r="G1240" s="105">
        <v>1744905.5</v>
      </c>
      <c r="H1240" s="709">
        <v>42962.699635960649</v>
      </c>
      <c r="I1240" s="709">
        <v>43146</v>
      </c>
      <c r="J1240" t="s">
        <v>5219</v>
      </c>
      <c r="K1240" t="s">
        <v>1280</v>
      </c>
      <c r="L1240" t="s">
        <v>5220</v>
      </c>
      <c r="M1240">
        <v>201231</v>
      </c>
      <c r="N1240" t="s">
        <v>5210</v>
      </c>
      <c r="O1240" t="s">
        <v>25</v>
      </c>
      <c r="P1240" t="s">
        <v>88</v>
      </c>
      <c r="Q1240" t="s">
        <v>285</v>
      </c>
      <c r="R1240" s="710">
        <f>IF(Table__192.168.1.150_Daily_Delinquency_With_Sectors[[#This Row],[Days in Arrears]] &gt; 0, Table__192.168.1.150_Daily_Delinquency_With_Sectors[[#This Row],[Outstanding Balance]],0)</f>
        <v>0</v>
      </c>
      <c r="S1240" s="105">
        <f>IF(Table__192.168.1.150_Daily_Delinquency_With_Sectors[[#This Row],[Days in Arrears]] &gt; 30, Table__192.168.1.150_Daily_Delinquency_With_Sectors[[#This Row],[Outstanding Balance]],0)</f>
        <v>0</v>
      </c>
      <c r="T1240" s="105">
        <f>IF(Table__192.168.1.150_Daily_Delinquency_With_Sectors[[#This Row],[Days in Arrears]] &gt; 90, Table__192.168.1.150_Daily_Delinquency_With_Sectors[[#This Row],[Outstanding Balance]],0)</f>
        <v>0</v>
      </c>
      <c r="U1240" s="109">
        <f>IF(Table__192.168.1.150_Daily_Delinquency_With_Sectors[[#This Row],[Days in Arrears]] &gt;= 1,1,0)</f>
        <v>0</v>
      </c>
      <c r="V1240" s="109">
        <f>IF(Table__192.168.1.150_Daily_Delinquency_With_Sectors[[#This Row],[Days in Arrears]] &gt; 30,1,0)</f>
        <v>0</v>
      </c>
      <c r="W1240" s="109">
        <f>IF(Table__192.168.1.150_Daily_Delinquency_With_Sectors[[#This Row],[Days in Arrears]] &gt; 90,1,0)</f>
        <v>0</v>
      </c>
    </row>
    <row r="1241" spans="1:23" x14ac:dyDescent="0.25">
      <c r="A1241" t="s">
        <v>5224</v>
      </c>
      <c r="B1241" t="s">
        <v>1282</v>
      </c>
      <c r="C1241">
        <v>-22</v>
      </c>
      <c r="D1241" s="105">
        <v>1332411.94</v>
      </c>
      <c r="E1241" t="s">
        <v>4685</v>
      </c>
      <c r="F1241" s="105">
        <v>13990.33</v>
      </c>
      <c r="G1241" s="105">
        <v>1454087.91</v>
      </c>
      <c r="H1241" s="709">
        <v>42963.693098923613</v>
      </c>
      <c r="I1241" s="709">
        <v>43147</v>
      </c>
      <c r="J1241" t="s">
        <v>5225</v>
      </c>
      <c r="K1241" t="s">
        <v>1280</v>
      </c>
      <c r="L1241" t="s">
        <v>5226</v>
      </c>
      <c r="M1241">
        <v>201232</v>
      </c>
      <c r="N1241" t="s">
        <v>5221</v>
      </c>
      <c r="O1241" t="s">
        <v>25</v>
      </c>
      <c r="P1241" t="s">
        <v>103</v>
      </c>
      <c r="Q1241" t="s">
        <v>104</v>
      </c>
      <c r="R1241" s="710">
        <f>IF(Table__192.168.1.150_Daily_Delinquency_With_Sectors[[#This Row],[Days in Arrears]] &gt; 0, Table__192.168.1.150_Daily_Delinquency_With_Sectors[[#This Row],[Outstanding Balance]],0)</f>
        <v>0</v>
      </c>
      <c r="S1241" s="105">
        <f>IF(Table__192.168.1.150_Daily_Delinquency_With_Sectors[[#This Row],[Days in Arrears]] &gt; 30, Table__192.168.1.150_Daily_Delinquency_With_Sectors[[#This Row],[Outstanding Balance]],0)</f>
        <v>0</v>
      </c>
      <c r="T1241" s="105">
        <f>IF(Table__192.168.1.150_Daily_Delinquency_With_Sectors[[#This Row],[Days in Arrears]] &gt; 90, Table__192.168.1.150_Daily_Delinquency_With_Sectors[[#This Row],[Outstanding Balance]],0)</f>
        <v>0</v>
      </c>
      <c r="U1241" s="109">
        <f>IF(Table__192.168.1.150_Daily_Delinquency_With_Sectors[[#This Row],[Days in Arrears]] &gt;= 1,1,0)</f>
        <v>0</v>
      </c>
      <c r="V1241" s="109">
        <f>IF(Table__192.168.1.150_Daily_Delinquency_With_Sectors[[#This Row],[Days in Arrears]] &gt; 30,1,0)</f>
        <v>0</v>
      </c>
      <c r="W1241" s="109">
        <f>IF(Table__192.168.1.150_Daily_Delinquency_With_Sectors[[#This Row],[Days in Arrears]] &gt; 90,1,0)</f>
        <v>0</v>
      </c>
    </row>
    <row r="1242" spans="1:23" x14ac:dyDescent="0.25">
      <c r="A1242" t="s">
        <v>5227</v>
      </c>
      <c r="B1242" t="s">
        <v>1282</v>
      </c>
      <c r="C1242">
        <v>-22</v>
      </c>
      <c r="D1242" s="105">
        <v>2131859.11</v>
      </c>
      <c r="E1242" t="s">
        <v>4686</v>
      </c>
      <c r="F1242" s="105">
        <v>22384.52</v>
      </c>
      <c r="G1242" s="105">
        <v>2326540.65</v>
      </c>
      <c r="H1242" s="709">
        <v>42963.67516875</v>
      </c>
      <c r="I1242" s="709">
        <v>43147</v>
      </c>
      <c r="J1242" t="s">
        <v>5228</v>
      </c>
      <c r="K1242" t="s">
        <v>1280</v>
      </c>
      <c r="L1242" t="s">
        <v>5229</v>
      </c>
      <c r="M1242">
        <v>201233</v>
      </c>
      <c r="N1242" t="s">
        <v>5222</v>
      </c>
      <c r="O1242" t="s">
        <v>25</v>
      </c>
      <c r="P1242" t="s">
        <v>103</v>
      </c>
      <c r="Q1242" t="s">
        <v>104</v>
      </c>
      <c r="R1242" s="710">
        <f>IF(Table__192.168.1.150_Daily_Delinquency_With_Sectors[[#This Row],[Days in Arrears]] &gt; 0, Table__192.168.1.150_Daily_Delinquency_With_Sectors[[#This Row],[Outstanding Balance]],0)</f>
        <v>0</v>
      </c>
      <c r="S1242" s="105">
        <f>IF(Table__192.168.1.150_Daily_Delinquency_With_Sectors[[#This Row],[Days in Arrears]] &gt; 30, Table__192.168.1.150_Daily_Delinquency_With_Sectors[[#This Row],[Outstanding Balance]],0)</f>
        <v>0</v>
      </c>
      <c r="T1242" s="105">
        <f>IF(Table__192.168.1.150_Daily_Delinquency_With_Sectors[[#This Row],[Days in Arrears]] &gt; 90, Table__192.168.1.150_Daily_Delinquency_With_Sectors[[#This Row],[Outstanding Balance]],0)</f>
        <v>0</v>
      </c>
      <c r="U1242" s="109">
        <f>IF(Table__192.168.1.150_Daily_Delinquency_With_Sectors[[#This Row],[Days in Arrears]] &gt;= 1,1,0)</f>
        <v>0</v>
      </c>
      <c r="V1242" s="109">
        <f>IF(Table__192.168.1.150_Daily_Delinquency_With_Sectors[[#This Row],[Days in Arrears]] &gt; 30,1,0)</f>
        <v>0</v>
      </c>
      <c r="W1242" s="109">
        <f>IF(Table__192.168.1.150_Daily_Delinquency_With_Sectors[[#This Row],[Days in Arrears]] &gt; 90,1,0)</f>
        <v>0</v>
      </c>
    </row>
    <row r="1243" spans="1:23" x14ac:dyDescent="0.25">
      <c r="A1243" t="s">
        <v>3827</v>
      </c>
      <c r="B1243" t="s">
        <v>1282</v>
      </c>
      <c r="C1243">
        <v>-22</v>
      </c>
      <c r="D1243" s="105">
        <v>4439993.91</v>
      </c>
      <c r="E1243" t="s">
        <v>5167</v>
      </c>
      <c r="F1243" s="105">
        <v>41439.94</v>
      </c>
      <c r="G1243" s="105">
        <v>5178219.63</v>
      </c>
      <c r="H1243" s="709">
        <v>42963.518841203702</v>
      </c>
      <c r="I1243" s="709">
        <v>43267</v>
      </c>
      <c r="J1243" t="s">
        <v>3828</v>
      </c>
      <c r="K1243" t="s">
        <v>1280</v>
      </c>
      <c r="L1243" t="s">
        <v>1280</v>
      </c>
      <c r="M1243">
        <v>201234</v>
      </c>
      <c r="N1243" t="s">
        <v>3826</v>
      </c>
      <c r="O1243" t="s">
        <v>25</v>
      </c>
      <c r="P1243" t="s">
        <v>88</v>
      </c>
      <c r="Q1243" t="s">
        <v>285</v>
      </c>
      <c r="R1243" s="710">
        <f>IF(Table__192.168.1.150_Daily_Delinquency_With_Sectors[[#This Row],[Days in Arrears]] &gt; 0, Table__192.168.1.150_Daily_Delinquency_With_Sectors[[#This Row],[Outstanding Balance]],0)</f>
        <v>0</v>
      </c>
      <c r="S1243" s="105">
        <f>IF(Table__192.168.1.150_Daily_Delinquency_With_Sectors[[#This Row],[Days in Arrears]] &gt; 30, Table__192.168.1.150_Daily_Delinquency_With_Sectors[[#This Row],[Outstanding Balance]],0)</f>
        <v>0</v>
      </c>
      <c r="T1243" s="105">
        <f>IF(Table__192.168.1.150_Daily_Delinquency_With_Sectors[[#This Row],[Days in Arrears]] &gt; 90, Table__192.168.1.150_Daily_Delinquency_With_Sectors[[#This Row],[Outstanding Balance]],0)</f>
        <v>0</v>
      </c>
      <c r="U1243" s="109">
        <f>IF(Table__192.168.1.150_Daily_Delinquency_With_Sectors[[#This Row],[Days in Arrears]] &gt;= 1,1,0)</f>
        <v>0</v>
      </c>
      <c r="V1243" s="109">
        <f>IF(Table__192.168.1.150_Daily_Delinquency_With_Sectors[[#This Row],[Days in Arrears]] &gt; 30,1,0)</f>
        <v>0</v>
      </c>
      <c r="W1243" s="109">
        <f>IF(Table__192.168.1.150_Daily_Delinquency_With_Sectors[[#This Row],[Days in Arrears]] &gt; 90,1,0)</f>
        <v>0</v>
      </c>
    </row>
    <row r="1244" spans="1:23" x14ac:dyDescent="0.25">
      <c r="A1244" t="s">
        <v>3906</v>
      </c>
      <c r="B1244" t="s">
        <v>1282</v>
      </c>
      <c r="C1244">
        <v>-22</v>
      </c>
      <c r="D1244" s="105">
        <v>6338005.9000000004</v>
      </c>
      <c r="E1244" t="s">
        <v>1448</v>
      </c>
      <c r="F1244" s="105">
        <v>59154.720000000001</v>
      </c>
      <c r="G1244" s="105">
        <v>7671756.4299999997</v>
      </c>
      <c r="H1244" s="709">
        <v>42963.690912118058</v>
      </c>
      <c r="I1244" s="709">
        <v>43328</v>
      </c>
      <c r="J1244" t="s">
        <v>3907</v>
      </c>
      <c r="K1244" t="s">
        <v>1280</v>
      </c>
      <c r="L1244" t="s">
        <v>3908</v>
      </c>
      <c r="M1244">
        <v>201235</v>
      </c>
      <c r="N1244" t="s">
        <v>3900</v>
      </c>
      <c r="O1244" t="s">
        <v>25</v>
      </c>
      <c r="P1244" t="s">
        <v>88</v>
      </c>
      <c r="Q1244" t="s">
        <v>285</v>
      </c>
      <c r="R1244" s="710">
        <f>IF(Table__192.168.1.150_Daily_Delinquency_With_Sectors[[#This Row],[Days in Arrears]] &gt; 0, Table__192.168.1.150_Daily_Delinquency_With_Sectors[[#This Row],[Outstanding Balance]],0)</f>
        <v>0</v>
      </c>
      <c r="S1244" s="105">
        <f>IF(Table__192.168.1.150_Daily_Delinquency_With_Sectors[[#This Row],[Days in Arrears]] &gt; 30, Table__192.168.1.150_Daily_Delinquency_With_Sectors[[#This Row],[Outstanding Balance]],0)</f>
        <v>0</v>
      </c>
      <c r="T1244" s="105">
        <f>IF(Table__192.168.1.150_Daily_Delinquency_With_Sectors[[#This Row],[Days in Arrears]] &gt; 90, Table__192.168.1.150_Daily_Delinquency_With_Sectors[[#This Row],[Outstanding Balance]],0)</f>
        <v>0</v>
      </c>
      <c r="U1244" s="109">
        <f>IF(Table__192.168.1.150_Daily_Delinquency_With_Sectors[[#This Row],[Days in Arrears]] &gt;= 1,1,0)</f>
        <v>0</v>
      </c>
      <c r="V1244" s="109">
        <f>IF(Table__192.168.1.150_Daily_Delinquency_With_Sectors[[#This Row],[Days in Arrears]] &gt; 30,1,0)</f>
        <v>0</v>
      </c>
      <c r="W1244" s="109">
        <f>IF(Table__192.168.1.150_Daily_Delinquency_With_Sectors[[#This Row],[Days in Arrears]] &gt; 90,1,0)</f>
        <v>0</v>
      </c>
    </row>
    <row r="1245" spans="1:23" x14ac:dyDescent="0.25">
      <c r="A1245" t="s">
        <v>5230</v>
      </c>
      <c r="B1245" t="s">
        <v>1279</v>
      </c>
      <c r="C1245">
        <v>8</v>
      </c>
      <c r="D1245" s="105">
        <v>2448249.4</v>
      </c>
      <c r="E1245" t="s">
        <v>2175</v>
      </c>
      <c r="F1245" s="105">
        <v>20719.97</v>
      </c>
      <c r="G1245" s="105">
        <v>2817362.28</v>
      </c>
      <c r="H1245" s="709">
        <v>42963.677953668979</v>
      </c>
      <c r="I1245" s="709">
        <v>43267</v>
      </c>
      <c r="J1245" t="s">
        <v>5231</v>
      </c>
      <c r="K1245" t="s">
        <v>1280</v>
      </c>
      <c r="L1245" t="s">
        <v>5232</v>
      </c>
      <c r="M1245">
        <v>201236</v>
      </c>
      <c r="N1245" t="s">
        <v>5223</v>
      </c>
      <c r="O1245" t="s">
        <v>25</v>
      </c>
      <c r="P1245" t="s">
        <v>88</v>
      </c>
      <c r="Q1245" t="s">
        <v>285</v>
      </c>
      <c r="R1245" s="710">
        <f>IF(Table__192.168.1.150_Daily_Delinquency_With_Sectors[[#This Row],[Days in Arrears]] &gt; 0, Table__192.168.1.150_Daily_Delinquency_With_Sectors[[#This Row],[Outstanding Balance]],0)</f>
        <v>2448249.4</v>
      </c>
      <c r="S1245" s="105">
        <f>IF(Table__192.168.1.150_Daily_Delinquency_With_Sectors[[#This Row],[Days in Arrears]] &gt; 30, Table__192.168.1.150_Daily_Delinquency_With_Sectors[[#This Row],[Outstanding Balance]],0)</f>
        <v>0</v>
      </c>
      <c r="T1245" s="105">
        <f>IF(Table__192.168.1.150_Daily_Delinquency_With_Sectors[[#This Row],[Days in Arrears]] &gt; 90, Table__192.168.1.150_Daily_Delinquency_With_Sectors[[#This Row],[Outstanding Balance]],0)</f>
        <v>0</v>
      </c>
      <c r="U1245" s="109">
        <f>IF(Table__192.168.1.150_Daily_Delinquency_With_Sectors[[#This Row],[Days in Arrears]] &gt;= 1,1,0)</f>
        <v>1</v>
      </c>
      <c r="V1245" s="109">
        <f>IF(Table__192.168.1.150_Daily_Delinquency_With_Sectors[[#This Row],[Days in Arrears]] &gt; 30,1,0)</f>
        <v>0</v>
      </c>
      <c r="W1245" s="109">
        <f>IF(Table__192.168.1.150_Daily_Delinquency_With_Sectors[[#This Row],[Days in Arrears]] &gt; 90,1,0)</f>
        <v>0</v>
      </c>
    </row>
    <row r="1246" spans="1:23" x14ac:dyDescent="0.25">
      <c r="A1246" t="s">
        <v>4324</v>
      </c>
      <c r="B1246" t="s">
        <v>1282</v>
      </c>
      <c r="C1246">
        <v>8</v>
      </c>
      <c r="D1246" s="105">
        <v>4150432.37</v>
      </c>
      <c r="E1246" t="s">
        <v>491</v>
      </c>
      <c r="F1246" s="105">
        <v>132480.18</v>
      </c>
      <c r="G1246" s="105">
        <v>4863567.38</v>
      </c>
      <c r="H1246" s="709">
        <v>42963.714644409723</v>
      </c>
      <c r="I1246" s="709">
        <v>43267</v>
      </c>
      <c r="J1246" t="s">
        <v>4325</v>
      </c>
      <c r="K1246" t="s">
        <v>1280</v>
      </c>
      <c r="L1246" t="s">
        <v>1280</v>
      </c>
      <c r="M1246">
        <v>201237</v>
      </c>
      <c r="N1246" t="s">
        <v>4323</v>
      </c>
      <c r="O1246" t="s">
        <v>25</v>
      </c>
      <c r="P1246" t="s">
        <v>88</v>
      </c>
      <c r="Q1246" t="s">
        <v>26</v>
      </c>
      <c r="R1246" s="710">
        <f>IF(Table__192.168.1.150_Daily_Delinquency_With_Sectors[[#This Row],[Days in Arrears]] &gt; 0, Table__192.168.1.150_Daily_Delinquency_With_Sectors[[#This Row],[Outstanding Balance]],0)</f>
        <v>4150432.37</v>
      </c>
      <c r="S1246" s="105">
        <f>IF(Table__192.168.1.150_Daily_Delinquency_With_Sectors[[#This Row],[Days in Arrears]] &gt; 30, Table__192.168.1.150_Daily_Delinquency_With_Sectors[[#This Row],[Outstanding Balance]],0)</f>
        <v>0</v>
      </c>
      <c r="T1246" s="105">
        <f>IF(Table__192.168.1.150_Daily_Delinquency_With_Sectors[[#This Row],[Days in Arrears]] &gt; 90, Table__192.168.1.150_Daily_Delinquency_With_Sectors[[#This Row],[Outstanding Balance]],0)</f>
        <v>0</v>
      </c>
      <c r="U1246" s="109">
        <f>IF(Table__192.168.1.150_Daily_Delinquency_With_Sectors[[#This Row],[Days in Arrears]] &gt;= 1,1,0)</f>
        <v>1</v>
      </c>
      <c r="V1246" s="109">
        <f>IF(Table__192.168.1.150_Daily_Delinquency_With_Sectors[[#This Row],[Days in Arrears]] &gt; 30,1,0)</f>
        <v>0</v>
      </c>
      <c r="W1246" s="109">
        <f>IF(Table__192.168.1.150_Daily_Delinquency_With_Sectors[[#This Row],[Days in Arrears]] &gt; 90,1,0)</f>
        <v>0</v>
      </c>
    </row>
    <row r="1247" spans="1:23" x14ac:dyDescent="0.25">
      <c r="A1247" t="s">
        <v>1785</v>
      </c>
      <c r="B1247" t="s">
        <v>1284</v>
      </c>
      <c r="C1247">
        <v>-23</v>
      </c>
      <c r="D1247" s="105">
        <v>21911376.800000001</v>
      </c>
      <c r="E1247" t="s">
        <v>1447</v>
      </c>
      <c r="F1247" s="105">
        <v>131468.26</v>
      </c>
      <c r="G1247" s="105">
        <v>24618406.370000001</v>
      </c>
      <c r="H1247" s="709">
        <v>42964.682263773146</v>
      </c>
      <c r="I1247" s="709">
        <v>43268</v>
      </c>
      <c r="J1247" t="s">
        <v>1786</v>
      </c>
      <c r="K1247" t="s">
        <v>1280</v>
      </c>
      <c r="L1247" t="s">
        <v>1280</v>
      </c>
      <c r="M1247">
        <v>201238</v>
      </c>
      <c r="N1247" t="s">
        <v>1784</v>
      </c>
      <c r="O1247" t="s">
        <v>27</v>
      </c>
      <c r="P1247" t="s">
        <v>81</v>
      </c>
      <c r="Q1247" t="s">
        <v>1685</v>
      </c>
      <c r="R1247" s="710">
        <f>IF(Table__192.168.1.150_Daily_Delinquency_With_Sectors[[#This Row],[Days in Arrears]] &gt; 0, Table__192.168.1.150_Daily_Delinquency_With_Sectors[[#This Row],[Outstanding Balance]],0)</f>
        <v>0</v>
      </c>
      <c r="S1247" s="105">
        <f>IF(Table__192.168.1.150_Daily_Delinquency_With_Sectors[[#This Row],[Days in Arrears]] &gt; 30, Table__192.168.1.150_Daily_Delinquency_With_Sectors[[#This Row],[Outstanding Balance]],0)</f>
        <v>0</v>
      </c>
      <c r="T1247" s="105">
        <f>IF(Table__192.168.1.150_Daily_Delinquency_With_Sectors[[#This Row],[Days in Arrears]] &gt; 90, Table__192.168.1.150_Daily_Delinquency_With_Sectors[[#This Row],[Outstanding Balance]],0)</f>
        <v>0</v>
      </c>
      <c r="U1247" s="109">
        <f>IF(Table__192.168.1.150_Daily_Delinquency_With_Sectors[[#This Row],[Days in Arrears]] &gt;= 1,1,0)</f>
        <v>0</v>
      </c>
      <c r="V1247" s="109">
        <f>IF(Table__192.168.1.150_Daily_Delinquency_With_Sectors[[#This Row],[Days in Arrears]] &gt; 30,1,0)</f>
        <v>0</v>
      </c>
      <c r="W1247" s="109">
        <f>IF(Table__192.168.1.150_Daily_Delinquency_With_Sectors[[#This Row],[Days in Arrears]] &gt; 90,1,0)</f>
        <v>0</v>
      </c>
    </row>
    <row r="1248" spans="1:23" x14ac:dyDescent="0.25">
      <c r="A1248" t="s">
        <v>4773</v>
      </c>
      <c r="B1248" t="s">
        <v>1281</v>
      </c>
      <c r="C1248">
        <v>-23</v>
      </c>
      <c r="D1248" s="105">
        <v>26196411.280000001</v>
      </c>
      <c r="E1248" t="s">
        <v>468</v>
      </c>
      <c r="F1248" s="105">
        <v>183374.88</v>
      </c>
      <c r="G1248" s="105">
        <v>34117578.420000002</v>
      </c>
      <c r="H1248" s="709">
        <v>42964.550383182868</v>
      </c>
      <c r="I1248" s="709">
        <v>43513</v>
      </c>
      <c r="J1248" t="s">
        <v>4774</v>
      </c>
      <c r="K1248" t="s">
        <v>1280</v>
      </c>
      <c r="L1248" t="s">
        <v>1280</v>
      </c>
      <c r="M1248">
        <v>201240</v>
      </c>
      <c r="N1248" t="s">
        <v>4769</v>
      </c>
      <c r="O1248" t="s">
        <v>37</v>
      </c>
      <c r="P1248" t="s">
        <v>288</v>
      </c>
      <c r="Q1248" t="s">
        <v>1313</v>
      </c>
      <c r="R1248" s="710">
        <f>IF(Table__192.168.1.150_Daily_Delinquency_With_Sectors[[#This Row],[Days in Arrears]] &gt; 0, Table__192.168.1.150_Daily_Delinquency_With_Sectors[[#This Row],[Outstanding Balance]],0)</f>
        <v>0</v>
      </c>
      <c r="S1248" s="105">
        <f>IF(Table__192.168.1.150_Daily_Delinquency_With_Sectors[[#This Row],[Days in Arrears]] &gt; 30, Table__192.168.1.150_Daily_Delinquency_With_Sectors[[#This Row],[Outstanding Balance]],0)</f>
        <v>0</v>
      </c>
      <c r="T1248" s="105">
        <f>IF(Table__192.168.1.150_Daily_Delinquency_With_Sectors[[#This Row],[Days in Arrears]] &gt; 90, Table__192.168.1.150_Daily_Delinquency_With_Sectors[[#This Row],[Outstanding Balance]],0)</f>
        <v>0</v>
      </c>
      <c r="U1248" s="109">
        <f>IF(Table__192.168.1.150_Daily_Delinquency_With_Sectors[[#This Row],[Days in Arrears]] &gt;= 1,1,0)</f>
        <v>0</v>
      </c>
      <c r="V1248" s="109">
        <f>IF(Table__192.168.1.150_Daily_Delinquency_With_Sectors[[#This Row],[Days in Arrears]] &gt; 30,1,0)</f>
        <v>0</v>
      </c>
      <c r="W1248" s="109">
        <f>IF(Table__192.168.1.150_Daily_Delinquency_With_Sectors[[#This Row],[Days in Arrears]] &gt; 90,1,0)</f>
        <v>0</v>
      </c>
    </row>
    <row r="1249" spans="1:23" x14ac:dyDescent="0.25">
      <c r="A1249" t="s">
        <v>2453</v>
      </c>
      <c r="B1249" t="s">
        <v>1282</v>
      </c>
      <c r="C1249">
        <v>-25</v>
      </c>
      <c r="D1249" s="105">
        <v>10299259.609999999</v>
      </c>
      <c r="E1249" t="s">
        <v>1447</v>
      </c>
      <c r="F1249" s="105">
        <v>54929.38</v>
      </c>
      <c r="G1249" s="105">
        <v>12466604.23</v>
      </c>
      <c r="H1249" s="709">
        <v>42966.509046874999</v>
      </c>
      <c r="I1249" s="709">
        <v>43331</v>
      </c>
      <c r="J1249" t="s">
        <v>2454</v>
      </c>
      <c r="K1249" t="s">
        <v>2455</v>
      </c>
      <c r="L1249" t="s">
        <v>1280</v>
      </c>
      <c r="M1249">
        <v>201241</v>
      </c>
      <c r="N1249" t="s">
        <v>2452</v>
      </c>
      <c r="O1249" t="s">
        <v>45</v>
      </c>
      <c r="P1249" t="s">
        <v>45</v>
      </c>
      <c r="Q1249" t="s">
        <v>89</v>
      </c>
      <c r="R1249" s="710">
        <f>IF(Table__192.168.1.150_Daily_Delinquency_With_Sectors[[#This Row],[Days in Arrears]] &gt; 0, Table__192.168.1.150_Daily_Delinquency_With_Sectors[[#This Row],[Outstanding Balance]],0)</f>
        <v>0</v>
      </c>
      <c r="S1249" s="105">
        <f>IF(Table__192.168.1.150_Daily_Delinquency_With_Sectors[[#This Row],[Days in Arrears]] &gt; 30, Table__192.168.1.150_Daily_Delinquency_With_Sectors[[#This Row],[Outstanding Balance]],0)</f>
        <v>0</v>
      </c>
      <c r="T1249" s="105">
        <f>IF(Table__192.168.1.150_Daily_Delinquency_With_Sectors[[#This Row],[Days in Arrears]] &gt; 90, Table__192.168.1.150_Daily_Delinquency_With_Sectors[[#This Row],[Outstanding Balance]],0)</f>
        <v>0</v>
      </c>
      <c r="U1249" s="109">
        <f>IF(Table__192.168.1.150_Daily_Delinquency_With_Sectors[[#This Row],[Days in Arrears]] &gt;= 1,1,0)</f>
        <v>0</v>
      </c>
      <c r="V1249" s="109">
        <f>IF(Table__192.168.1.150_Daily_Delinquency_With_Sectors[[#This Row],[Days in Arrears]] &gt; 30,1,0)</f>
        <v>0</v>
      </c>
      <c r="W1249" s="109">
        <f>IF(Table__192.168.1.150_Daily_Delinquency_With_Sectors[[#This Row],[Days in Arrears]] &gt; 90,1,0)</f>
        <v>0</v>
      </c>
    </row>
    <row r="1250" spans="1:23" x14ac:dyDescent="0.25">
      <c r="A1250" t="s">
        <v>5236</v>
      </c>
      <c r="B1250" t="s">
        <v>1282</v>
      </c>
      <c r="C1250">
        <v>-24</v>
      </c>
      <c r="D1250" s="105">
        <v>3327814.25</v>
      </c>
      <c r="E1250" t="s">
        <v>5047</v>
      </c>
      <c r="F1250" s="105">
        <v>24958.61</v>
      </c>
      <c r="G1250" s="105">
        <v>3790241.31</v>
      </c>
      <c r="H1250" s="709">
        <v>42965.661909722221</v>
      </c>
      <c r="I1250" s="709">
        <v>43208</v>
      </c>
      <c r="J1250" t="s">
        <v>5237</v>
      </c>
      <c r="K1250" t="s">
        <v>5238</v>
      </c>
      <c r="L1250" t="s">
        <v>1280</v>
      </c>
      <c r="M1250">
        <v>201243</v>
      </c>
      <c r="N1250" t="s">
        <v>5235</v>
      </c>
      <c r="O1250" t="s">
        <v>25</v>
      </c>
      <c r="P1250" t="s">
        <v>88</v>
      </c>
      <c r="Q1250" t="s">
        <v>285</v>
      </c>
      <c r="R1250" s="710">
        <f>IF(Table__192.168.1.150_Daily_Delinquency_With_Sectors[[#This Row],[Days in Arrears]] &gt; 0, Table__192.168.1.150_Daily_Delinquency_With_Sectors[[#This Row],[Outstanding Balance]],0)</f>
        <v>0</v>
      </c>
      <c r="S1250" s="105">
        <f>IF(Table__192.168.1.150_Daily_Delinquency_With_Sectors[[#This Row],[Days in Arrears]] &gt; 30, Table__192.168.1.150_Daily_Delinquency_With_Sectors[[#This Row],[Outstanding Balance]],0)</f>
        <v>0</v>
      </c>
      <c r="T1250" s="105">
        <f>IF(Table__192.168.1.150_Daily_Delinquency_With_Sectors[[#This Row],[Days in Arrears]] &gt; 90, Table__192.168.1.150_Daily_Delinquency_With_Sectors[[#This Row],[Outstanding Balance]],0)</f>
        <v>0</v>
      </c>
      <c r="U1250" s="109">
        <f>IF(Table__192.168.1.150_Daily_Delinquency_With_Sectors[[#This Row],[Days in Arrears]] &gt;= 1,1,0)</f>
        <v>0</v>
      </c>
      <c r="V1250" s="109">
        <f>IF(Table__192.168.1.150_Daily_Delinquency_With_Sectors[[#This Row],[Days in Arrears]] &gt; 30,1,0)</f>
        <v>0</v>
      </c>
      <c r="W1250" s="109">
        <f>IF(Table__192.168.1.150_Daily_Delinquency_With_Sectors[[#This Row],[Days in Arrears]] &gt; 90,1,0)</f>
        <v>0</v>
      </c>
    </row>
    <row r="1251" spans="1:23" x14ac:dyDescent="0.25">
      <c r="A1251" t="s">
        <v>5247</v>
      </c>
      <c r="B1251" t="s">
        <v>1282</v>
      </c>
      <c r="C1251">
        <v>-25</v>
      </c>
      <c r="D1251" s="105">
        <v>2234137.79</v>
      </c>
      <c r="E1251" t="s">
        <v>5410</v>
      </c>
      <c r="F1251" s="105">
        <v>13404.83</v>
      </c>
      <c r="G1251" s="105">
        <v>2653955.2400000002</v>
      </c>
      <c r="H1251" s="709">
        <v>42966.490009641202</v>
      </c>
      <c r="I1251" s="709">
        <v>43270</v>
      </c>
      <c r="J1251" t="s">
        <v>5248</v>
      </c>
      <c r="K1251" t="s">
        <v>1280</v>
      </c>
      <c r="L1251" t="s">
        <v>5249</v>
      </c>
      <c r="M1251">
        <v>201244</v>
      </c>
      <c r="N1251" t="s">
        <v>5241</v>
      </c>
      <c r="O1251" t="s">
        <v>36</v>
      </c>
      <c r="P1251" t="s">
        <v>97</v>
      </c>
      <c r="Q1251" t="s">
        <v>98</v>
      </c>
      <c r="R1251" s="710">
        <f>IF(Table__192.168.1.150_Daily_Delinquency_With_Sectors[[#This Row],[Days in Arrears]] &gt; 0, Table__192.168.1.150_Daily_Delinquency_With_Sectors[[#This Row],[Outstanding Balance]],0)</f>
        <v>0</v>
      </c>
      <c r="S1251" s="105">
        <f>IF(Table__192.168.1.150_Daily_Delinquency_With_Sectors[[#This Row],[Days in Arrears]] &gt; 30, Table__192.168.1.150_Daily_Delinquency_With_Sectors[[#This Row],[Outstanding Balance]],0)</f>
        <v>0</v>
      </c>
      <c r="T1251" s="105">
        <f>IF(Table__192.168.1.150_Daily_Delinquency_With_Sectors[[#This Row],[Days in Arrears]] &gt; 90, Table__192.168.1.150_Daily_Delinquency_With_Sectors[[#This Row],[Outstanding Balance]],0)</f>
        <v>0</v>
      </c>
      <c r="U1251" s="109">
        <f>IF(Table__192.168.1.150_Daily_Delinquency_With_Sectors[[#This Row],[Days in Arrears]] &gt;= 1,1,0)</f>
        <v>0</v>
      </c>
      <c r="V1251" s="109">
        <f>IF(Table__192.168.1.150_Daily_Delinquency_With_Sectors[[#This Row],[Days in Arrears]] &gt; 30,1,0)</f>
        <v>0</v>
      </c>
      <c r="W1251" s="109">
        <f>IF(Table__192.168.1.150_Daily_Delinquency_With_Sectors[[#This Row],[Days in Arrears]] &gt; 90,1,0)</f>
        <v>0</v>
      </c>
    </row>
    <row r="1252" spans="1:23" x14ac:dyDescent="0.25">
      <c r="A1252" t="s">
        <v>5288</v>
      </c>
      <c r="B1252" t="s">
        <v>1282</v>
      </c>
      <c r="C1252">
        <v>1</v>
      </c>
      <c r="D1252" s="105">
        <v>2917531.08</v>
      </c>
      <c r="E1252" t="s">
        <v>5047</v>
      </c>
      <c r="F1252" s="105">
        <v>131288.9</v>
      </c>
      <c r="G1252" s="105">
        <v>3481647</v>
      </c>
      <c r="H1252" s="709">
        <v>42970.619665081016</v>
      </c>
      <c r="I1252" s="709">
        <v>43274</v>
      </c>
      <c r="J1252" t="s">
        <v>5289</v>
      </c>
      <c r="K1252" t="s">
        <v>1280</v>
      </c>
      <c r="L1252" t="s">
        <v>1280</v>
      </c>
      <c r="M1252">
        <v>201245</v>
      </c>
      <c r="N1252" t="s">
        <v>5285</v>
      </c>
      <c r="O1252" t="s">
        <v>25</v>
      </c>
      <c r="P1252" t="s">
        <v>88</v>
      </c>
      <c r="Q1252" t="s">
        <v>285</v>
      </c>
      <c r="R1252" s="710">
        <f>IF(Table__192.168.1.150_Daily_Delinquency_With_Sectors[[#This Row],[Days in Arrears]] &gt; 0, Table__192.168.1.150_Daily_Delinquency_With_Sectors[[#This Row],[Outstanding Balance]],0)</f>
        <v>2917531.08</v>
      </c>
      <c r="S1252" s="105">
        <f>IF(Table__192.168.1.150_Daily_Delinquency_With_Sectors[[#This Row],[Days in Arrears]] &gt; 30, Table__192.168.1.150_Daily_Delinquency_With_Sectors[[#This Row],[Outstanding Balance]],0)</f>
        <v>0</v>
      </c>
      <c r="T1252" s="105">
        <f>IF(Table__192.168.1.150_Daily_Delinquency_With_Sectors[[#This Row],[Days in Arrears]] &gt; 90, Table__192.168.1.150_Daily_Delinquency_With_Sectors[[#This Row],[Outstanding Balance]],0)</f>
        <v>0</v>
      </c>
      <c r="U1252" s="109">
        <f>IF(Table__192.168.1.150_Daily_Delinquency_With_Sectors[[#This Row],[Days in Arrears]] &gt;= 1,1,0)</f>
        <v>1</v>
      </c>
      <c r="V1252" s="109">
        <f>IF(Table__192.168.1.150_Daily_Delinquency_With_Sectors[[#This Row],[Days in Arrears]] &gt; 30,1,0)</f>
        <v>0</v>
      </c>
      <c r="W1252" s="109">
        <f>IF(Table__192.168.1.150_Daily_Delinquency_With_Sectors[[#This Row],[Days in Arrears]] &gt; 90,1,0)</f>
        <v>0</v>
      </c>
    </row>
    <row r="1253" spans="1:23" x14ac:dyDescent="0.25">
      <c r="A1253" t="s">
        <v>5239</v>
      </c>
      <c r="B1253" t="s">
        <v>1282</v>
      </c>
      <c r="C1253">
        <v>-24</v>
      </c>
      <c r="D1253" s="105">
        <v>1992851.37</v>
      </c>
      <c r="E1253" t="s">
        <v>4919</v>
      </c>
      <c r="F1253" s="105">
        <v>14946.39</v>
      </c>
      <c r="G1253" s="105">
        <v>2467489.2400000002</v>
      </c>
      <c r="H1253" s="709">
        <v>42965.688243171295</v>
      </c>
      <c r="I1253" s="709">
        <v>43330</v>
      </c>
      <c r="J1253" t="s">
        <v>5240</v>
      </c>
      <c r="K1253" t="s">
        <v>1280</v>
      </c>
      <c r="L1253" t="s">
        <v>1280</v>
      </c>
      <c r="M1253">
        <v>201246</v>
      </c>
      <c r="N1253" t="s">
        <v>5233</v>
      </c>
      <c r="O1253" t="s">
        <v>36</v>
      </c>
      <c r="P1253" t="s">
        <v>97</v>
      </c>
      <c r="Q1253" t="s">
        <v>5234</v>
      </c>
      <c r="R1253" s="710">
        <f>IF(Table__192.168.1.150_Daily_Delinquency_With_Sectors[[#This Row],[Days in Arrears]] &gt; 0, Table__192.168.1.150_Daily_Delinquency_With_Sectors[[#This Row],[Outstanding Balance]],0)</f>
        <v>0</v>
      </c>
      <c r="S1253" s="105">
        <f>IF(Table__192.168.1.150_Daily_Delinquency_With_Sectors[[#This Row],[Days in Arrears]] &gt; 30, Table__192.168.1.150_Daily_Delinquency_With_Sectors[[#This Row],[Outstanding Balance]],0)</f>
        <v>0</v>
      </c>
      <c r="T1253" s="105">
        <f>IF(Table__192.168.1.150_Daily_Delinquency_With_Sectors[[#This Row],[Days in Arrears]] &gt; 90, Table__192.168.1.150_Daily_Delinquency_With_Sectors[[#This Row],[Outstanding Balance]],0)</f>
        <v>0</v>
      </c>
      <c r="U1253" s="109">
        <f>IF(Table__192.168.1.150_Daily_Delinquency_With_Sectors[[#This Row],[Days in Arrears]] &gt;= 1,1,0)</f>
        <v>0</v>
      </c>
      <c r="V1253" s="109">
        <f>IF(Table__192.168.1.150_Daily_Delinquency_With_Sectors[[#This Row],[Days in Arrears]] &gt; 30,1,0)</f>
        <v>0</v>
      </c>
      <c r="W1253" s="109">
        <f>IF(Table__192.168.1.150_Daily_Delinquency_With_Sectors[[#This Row],[Days in Arrears]] &gt; 90,1,0)</f>
        <v>0</v>
      </c>
    </row>
    <row r="1254" spans="1:23" x14ac:dyDescent="0.25">
      <c r="A1254" t="s">
        <v>2030</v>
      </c>
      <c r="B1254" t="s">
        <v>1284</v>
      </c>
      <c r="C1254">
        <v>5</v>
      </c>
      <c r="D1254" s="105">
        <v>17679498.629999999</v>
      </c>
      <c r="E1254" t="s">
        <v>1467</v>
      </c>
      <c r="F1254" s="105">
        <v>66705.03</v>
      </c>
      <c r="G1254" s="105">
        <v>21107220.420000002</v>
      </c>
      <c r="H1254" s="709">
        <v>42966.509947650462</v>
      </c>
      <c r="I1254" s="709">
        <v>43423</v>
      </c>
      <c r="J1254" t="s">
        <v>2031</v>
      </c>
      <c r="K1254" t="s">
        <v>1280</v>
      </c>
      <c r="L1254" t="s">
        <v>1280</v>
      </c>
      <c r="M1254">
        <v>201247</v>
      </c>
      <c r="N1254" t="s">
        <v>1956</v>
      </c>
      <c r="O1254" t="s">
        <v>44</v>
      </c>
      <c r="P1254" t="s">
        <v>75</v>
      </c>
      <c r="Q1254" t="s">
        <v>1442</v>
      </c>
      <c r="R1254" s="710">
        <f>IF(Table__192.168.1.150_Daily_Delinquency_With_Sectors[[#This Row],[Days in Arrears]] &gt; 0, Table__192.168.1.150_Daily_Delinquency_With_Sectors[[#This Row],[Outstanding Balance]],0)</f>
        <v>17679498.629999999</v>
      </c>
      <c r="S1254" s="105">
        <f>IF(Table__192.168.1.150_Daily_Delinquency_With_Sectors[[#This Row],[Days in Arrears]] &gt; 30, Table__192.168.1.150_Daily_Delinquency_With_Sectors[[#This Row],[Outstanding Balance]],0)</f>
        <v>0</v>
      </c>
      <c r="T1254" s="105">
        <f>IF(Table__192.168.1.150_Daily_Delinquency_With_Sectors[[#This Row],[Days in Arrears]] &gt; 90, Table__192.168.1.150_Daily_Delinquency_With_Sectors[[#This Row],[Outstanding Balance]],0)</f>
        <v>0</v>
      </c>
      <c r="U1254" s="109">
        <f>IF(Table__192.168.1.150_Daily_Delinquency_With_Sectors[[#This Row],[Days in Arrears]] &gt;= 1,1,0)</f>
        <v>1</v>
      </c>
      <c r="V1254" s="109">
        <f>IF(Table__192.168.1.150_Daily_Delinquency_With_Sectors[[#This Row],[Days in Arrears]] &gt; 30,1,0)</f>
        <v>0</v>
      </c>
      <c r="W1254" s="109">
        <f>IF(Table__192.168.1.150_Daily_Delinquency_With_Sectors[[#This Row],[Days in Arrears]] &gt; 90,1,0)</f>
        <v>0</v>
      </c>
    </row>
    <row r="1255" spans="1:23" x14ac:dyDescent="0.25">
      <c r="A1255" t="s">
        <v>5250</v>
      </c>
      <c r="B1255" t="s">
        <v>1279</v>
      </c>
      <c r="C1255">
        <v>-25</v>
      </c>
      <c r="D1255" s="105">
        <v>1584501.47</v>
      </c>
      <c r="E1255" t="s">
        <v>963</v>
      </c>
      <c r="F1255" s="105">
        <v>8450.67</v>
      </c>
      <c r="G1255" s="105">
        <v>1917939.12</v>
      </c>
      <c r="H1255" s="709">
        <v>42966.524724884257</v>
      </c>
      <c r="I1255" s="709">
        <v>43331</v>
      </c>
      <c r="J1255" t="s">
        <v>5251</v>
      </c>
      <c r="K1255" t="s">
        <v>1280</v>
      </c>
      <c r="L1255" t="s">
        <v>1280</v>
      </c>
      <c r="M1255">
        <v>201248</v>
      </c>
      <c r="N1255" t="s">
        <v>5244</v>
      </c>
      <c r="O1255" t="s">
        <v>25</v>
      </c>
      <c r="P1255" t="s">
        <v>88</v>
      </c>
      <c r="Q1255" t="s">
        <v>285</v>
      </c>
      <c r="R1255" s="710">
        <f>IF(Table__192.168.1.150_Daily_Delinquency_With_Sectors[[#This Row],[Days in Arrears]] &gt; 0, Table__192.168.1.150_Daily_Delinquency_With_Sectors[[#This Row],[Outstanding Balance]],0)</f>
        <v>0</v>
      </c>
      <c r="S1255" s="105">
        <f>IF(Table__192.168.1.150_Daily_Delinquency_With_Sectors[[#This Row],[Days in Arrears]] &gt; 30, Table__192.168.1.150_Daily_Delinquency_With_Sectors[[#This Row],[Outstanding Balance]],0)</f>
        <v>0</v>
      </c>
      <c r="T1255" s="105">
        <f>IF(Table__192.168.1.150_Daily_Delinquency_With_Sectors[[#This Row],[Days in Arrears]] &gt; 90, Table__192.168.1.150_Daily_Delinquency_With_Sectors[[#This Row],[Outstanding Balance]],0)</f>
        <v>0</v>
      </c>
      <c r="U1255" s="109">
        <f>IF(Table__192.168.1.150_Daily_Delinquency_With_Sectors[[#This Row],[Days in Arrears]] &gt;= 1,1,0)</f>
        <v>0</v>
      </c>
      <c r="V1255" s="109">
        <f>IF(Table__192.168.1.150_Daily_Delinquency_With_Sectors[[#This Row],[Days in Arrears]] &gt; 30,1,0)</f>
        <v>0</v>
      </c>
      <c r="W1255" s="109">
        <f>IF(Table__192.168.1.150_Daily_Delinquency_With_Sectors[[#This Row],[Days in Arrears]] &gt; 90,1,0)</f>
        <v>0</v>
      </c>
    </row>
    <row r="1256" spans="1:23" x14ac:dyDescent="0.25">
      <c r="A1256" t="s">
        <v>5265</v>
      </c>
      <c r="B1256" t="s">
        <v>1279</v>
      </c>
      <c r="C1256">
        <v>3</v>
      </c>
      <c r="D1256" s="105">
        <v>2736941.4</v>
      </c>
      <c r="E1256" t="s">
        <v>3074</v>
      </c>
      <c r="F1256" s="105">
        <v>72618.350000000006</v>
      </c>
      <c r="G1256" s="105">
        <v>3126270.28</v>
      </c>
      <c r="H1256" s="709">
        <v>42968.663438692129</v>
      </c>
      <c r="I1256" s="709">
        <v>43211</v>
      </c>
      <c r="J1256" t="s">
        <v>5266</v>
      </c>
      <c r="K1256" t="s">
        <v>1280</v>
      </c>
      <c r="L1256" t="s">
        <v>1280</v>
      </c>
      <c r="M1256">
        <v>201249</v>
      </c>
      <c r="N1256" t="s">
        <v>5253</v>
      </c>
      <c r="O1256" t="s">
        <v>25</v>
      </c>
      <c r="P1256" t="s">
        <v>88</v>
      </c>
      <c r="Q1256" t="s">
        <v>285</v>
      </c>
      <c r="R1256" s="710">
        <f>IF(Table__192.168.1.150_Daily_Delinquency_With_Sectors[[#This Row],[Days in Arrears]] &gt; 0, Table__192.168.1.150_Daily_Delinquency_With_Sectors[[#This Row],[Outstanding Balance]],0)</f>
        <v>2736941.4</v>
      </c>
      <c r="S1256" s="105">
        <f>IF(Table__192.168.1.150_Daily_Delinquency_With_Sectors[[#This Row],[Days in Arrears]] &gt; 30, Table__192.168.1.150_Daily_Delinquency_With_Sectors[[#This Row],[Outstanding Balance]],0)</f>
        <v>0</v>
      </c>
      <c r="T1256" s="105">
        <f>IF(Table__192.168.1.150_Daily_Delinquency_With_Sectors[[#This Row],[Days in Arrears]] &gt; 90, Table__192.168.1.150_Daily_Delinquency_With_Sectors[[#This Row],[Outstanding Balance]],0)</f>
        <v>0</v>
      </c>
      <c r="U1256" s="109">
        <f>IF(Table__192.168.1.150_Daily_Delinquency_With_Sectors[[#This Row],[Days in Arrears]] &gt;= 1,1,0)</f>
        <v>1</v>
      </c>
      <c r="V1256" s="109">
        <f>IF(Table__192.168.1.150_Daily_Delinquency_With_Sectors[[#This Row],[Days in Arrears]] &gt; 30,1,0)</f>
        <v>0</v>
      </c>
      <c r="W1256" s="109">
        <f>IF(Table__192.168.1.150_Daily_Delinquency_With_Sectors[[#This Row],[Days in Arrears]] &gt; 90,1,0)</f>
        <v>0</v>
      </c>
    </row>
    <row r="1257" spans="1:23" x14ac:dyDescent="0.25">
      <c r="A1257" t="s">
        <v>2162</v>
      </c>
      <c r="B1257" t="s">
        <v>1282</v>
      </c>
      <c r="C1257">
        <v>-27</v>
      </c>
      <c r="D1257" s="105">
        <v>7922507.3700000001</v>
      </c>
      <c r="E1257" t="s">
        <v>1448</v>
      </c>
      <c r="F1257" s="105">
        <v>21126.69</v>
      </c>
      <c r="G1257" s="105">
        <v>9589695.5299999993</v>
      </c>
      <c r="H1257" s="709">
        <v>42968.696249189816</v>
      </c>
      <c r="I1257" s="709">
        <v>43333</v>
      </c>
      <c r="J1257" t="s">
        <v>2163</v>
      </c>
      <c r="K1257" t="s">
        <v>1280</v>
      </c>
      <c r="L1257" t="s">
        <v>1280</v>
      </c>
      <c r="M1257">
        <v>201250</v>
      </c>
      <c r="N1257" t="s">
        <v>2134</v>
      </c>
      <c r="O1257" t="s">
        <v>25</v>
      </c>
      <c r="P1257" t="s">
        <v>88</v>
      </c>
      <c r="Q1257" t="s">
        <v>285</v>
      </c>
      <c r="R1257" s="710">
        <f>IF(Table__192.168.1.150_Daily_Delinquency_With_Sectors[[#This Row],[Days in Arrears]] &gt; 0, Table__192.168.1.150_Daily_Delinquency_With_Sectors[[#This Row],[Outstanding Balance]],0)</f>
        <v>0</v>
      </c>
      <c r="S1257" s="105">
        <f>IF(Table__192.168.1.150_Daily_Delinquency_With_Sectors[[#This Row],[Days in Arrears]] &gt; 30, Table__192.168.1.150_Daily_Delinquency_With_Sectors[[#This Row],[Outstanding Balance]],0)</f>
        <v>0</v>
      </c>
      <c r="T1257" s="105">
        <f>IF(Table__192.168.1.150_Daily_Delinquency_With_Sectors[[#This Row],[Days in Arrears]] &gt; 90, Table__192.168.1.150_Daily_Delinquency_With_Sectors[[#This Row],[Outstanding Balance]],0)</f>
        <v>0</v>
      </c>
      <c r="U1257" s="109">
        <f>IF(Table__192.168.1.150_Daily_Delinquency_With_Sectors[[#This Row],[Days in Arrears]] &gt;= 1,1,0)</f>
        <v>0</v>
      </c>
      <c r="V1257" s="109">
        <f>IF(Table__192.168.1.150_Daily_Delinquency_With_Sectors[[#This Row],[Days in Arrears]] &gt; 30,1,0)</f>
        <v>0</v>
      </c>
      <c r="W1257" s="109">
        <f>IF(Table__192.168.1.150_Daily_Delinquency_With_Sectors[[#This Row],[Days in Arrears]] &gt; 90,1,0)</f>
        <v>0</v>
      </c>
    </row>
    <row r="1258" spans="1:23" x14ac:dyDescent="0.25">
      <c r="A1258" t="s">
        <v>5267</v>
      </c>
      <c r="B1258" t="s">
        <v>1279</v>
      </c>
      <c r="C1258">
        <v>-27</v>
      </c>
      <c r="D1258" s="105">
        <v>1331125.69</v>
      </c>
      <c r="E1258" t="s">
        <v>4683</v>
      </c>
      <c r="F1258" s="105">
        <v>3993.38</v>
      </c>
      <c r="G1258" s="105">
        <v>1516096.53</v>
      </c>
      <c r="H1258" s="709">
        <v>42968.715607141203</v>
      </c>
      <c r="I1258" s="709">
        <v>43211</v>
      </c>
      <c r="J1258" t="s">
        <v>5268</v>
      </c>
      <c r="K1258" t="s">
        <v>1280</v>
      </c>
      <c r="L1258" t="s">
        <v>5269</v>
      </c>
      <c r="M1258">
        <v>201251</v>
      </c>
      <c r="N1258" t="s">
        <v>5255</v>
      </c>
      <c r="O1258" t="s">
        <v>44</v>
      </c>
      <c r="P1258" t="s">
        <v>75</v>
      </c>
      <c r="Q1258" t="s">
        <v>26</v>
      </c>
      <c r="R1258" s="710">
        <f>IF(Table__192.168.1.150_Daily_Delinquency_With_Sectors[[#This Row],[Days in Arrears]] &gt; 0, Table__192.168.1.150_Daily_Delinquency_With_Sectors[[#This Row],[Outstanding Balance]],0)</f>
        <v>0</v>
      </c>
      <c r="S1258" s="105">
        <f>IF(Table__192.168.1.150_Daily_Delinquency_With_Sectors[[#This Row],[Days in Arrears]] &gt; 30, Table__192.168.1.150_Daily_Delinquency_With_Sectors[[#This Row],[Outstanding Balance]],0)</f>
        <v>0</v>
      </c>
      <c r="T1258" s="105">
        <f>IF(Table__192.168.1.150_Daily_Delinquency_With_Sectors[[#This Row],[Days in Arrears]] &gt; 90, Table__192.168.1.150_Daily_Delinquency_With_Sectors[[#This Row],[Outstanding Balance]],0)</f>
        <v>0</v>
      </c>
      <c r="U1258" s="109">
        <f>IF(Table__192.168.1.150_Daily_Delinquency_With_Sectors[[#This Row],[Days in Arrears]] &gt;= 1,1,0)</f>
        <v>0</v>
      </c>
      <c r="V1258" s="109">
        <f>IF(Table__192.168.1.150_Daily_Delinquency_With_Sectors[[#This Row],[Days in Arrears]] &gt; 30,1,0)</f>
        <v>0</v>
      </c>
      <c r="W1258" s="109">
        <f>IF(Table__192.168.1.150_Daily_Delinquency_With_Sectors[[#This Row],[Days in Arrears]] &gt; 90,1,0)</f>
        <v>0</v>
      </c>
    </row>
    <row r="1259" spans="1:23" x14ac:dyDescent="0.25">
      <c r="A1259" t="s">
        <v>5275</v>
      </c>
      <c r="B1259" t="s">
        <v>1279</v>
      </c>
      <c r="C1259">
        <v>2</v>
      </c>
      <c r="D1259" s="105">
        <v>1127164.3600000001</v>
      </c>
      <c r="E1259" t="s">
        <v>4683</v>
      </c>
      <c r="F1259" s="105">
        <v>1675.6</v>
      </c>
      <c r="G1259" s="105">
        <v>1337073.1100000001</v>
      </c>
      <c r="H1259" s="709">
        <v>42969.395477627317</v>
      </c>
      <c r="I1259" s="709">
        <v>43273</v>
      </c>
      <c r="J1259" t="s">
        <v>5276</v>
      </c>
      <c r="K1259" t="s">
        <v>1280</v>
      </c>
      <c r="L1259" t="s">
        <v>5277</v>
      </c>
      <c r="M1259">
        <v>201252</v>
      </c>
      <c r="N1259" t="s">
        <v>5274</v>
      </c>
      <c r="O1259" t="s">
        <v>44</v>
      </c>
      <c r="P1259" t="s">
        <v>92</v>
      </c>
      <c r="Q1259" t="s">
        <v>92</v>
      </c>
      <c r="R1259" s="710">
        <f>IF(Table__192.168.1.150_Daily_Delinquency_With_Sectors[[#This Row],[Days in Arrears]] &gt; 0, Table__192.168.1.150_Daily_Delinquency_With_Sectors[[#This Row],[Outstanding Balance]],0)</f>
        <v>1127164.3600000001</v>
      </c>
      <c r="S1259" s="105">
        <f>IF(Table__192.168.1.150_Daily_Delinquency_With_Sectors[[#This Row],[Days in Arrears]] &gt; 30, Table__192.168.1.150_Daily_Delinquency_With_Sectors[[#This Row],[Outstanding Balance]],0)</f>
        <v>0</v>
      </c>
      <c r="T1259" s="105">
        <f>IF(Table__192.168.1.150_Daily_Delinquency_With_Sectors[[#This Row],[Days in Arrears]] &gt; 90, Table__192.168.1.150_Daily_Delinquency_With_Sectors[[#This Row],[Outstanding Balance]],0)</f>
        <v>0</v>
      </c>
      <c r="U1259" s="109">
        <f>IF(Table__192.168.1.150_Daily_Delinquency_With_Sectors[[#This Row],[Days in Arrears]] &gt;= 1,1,0)</f>
        <v>1</v>
      </c>
      <c r="V1259" s="109">
        <f>IF(Table__192.168.1.150_Daily_Delinquency_With_Sectors[[#This Row],[Days in Arrears]] &gt; 30,1,0)</f>
        <v>0</v>
      </c>
      <c r="W1259" s="109">
        <f>IF(Table__192.168.1.150_Daily_Delinquency_With_Sectors[[#This Row],[Days in Arrears]] &gt; 90,1,0)</f>
        <v>0</v>
      </c>
    </row>
    <row r="1260" spans="1:23" x14ac:dyDescent="0.25">
      <c r="A1260" t="s">
        <v>4167</v>
      </c>
      <c r="B1260" t="s">
        <v>1866</v>
      </c>
      <c r="C1260">
        <v>-28</v>
      </c>
      <c r="D1260" s="105">
        <v>7100480.3399999999</v>
      </c>
      <c r="E1260" t="s">
        <v>2557</v>
      </c>
      <c r="F1260" s="105">
        <v>8678.36</v>
      </c>
      <c r="G1260" s="105">
        <v>8464626.9100000001</v>
      </c>
      <c r="H1260" s="709">
        <v>42969.544407141206</v>
      </c>
      <c r="I1260" s="709">
        <v>43334</v>
      </c>
      <c r="J1260" t="s">
        <v>4168</v>
      </c>
      <c r="K1260" t="s">
        <v>1280</v>
      </c>
      <c r="L1260" t="s">
        <v>1280</v>
      </c>
      <c r="M1260">
        <v>201254</v>
      </c>
      <c r="N1260" t="s">
        <v>4158</v>
      </c>
      <c r="O1260" t="s">
        <v>25</v>
      </c>
      <c r="P1260" t="s">
        <v>88</v>
      </c>
      <c r="Q1260" t="s">
        <v>285</v>
      </c>
      <c r="R1260" s="710">
        <f>IF(Table__192.168.1.150_Daily_Delinquency_With_Sectors[[#This Row],[Days in Arrears]] &gt; 0, Table__192.168.1.150_Daily_Delinquency_With_Sectors[[#This Row],[Outstanding Balance]],0)</f>
        <v>0</v>
      </c>
      <c r="S1260" s="105">
        <f>IF(Table__192.168.1.150_Daily_Delinquency_With_Sectors[[#This Row],[Days in Arrears]] &gt; 30, Table__192.168.1.150_Daily_Delinquency_With_Sectors[[#This Row],[Outstanding Balance]],0)</f>
        <v>0</v>
      </c>
      <c r="T1260" s="105">
        <f>IF(Table__192.168.1.150_Daily_Delinquency_With_Sectors[[#This Row],[Days in Arrears]] &gt; 90, Table__192.168.1.150_Daily_Delinquency_With_Sectors[[#This Row],[Outstanding Balance]],0)</f>
        <v>0</v>
      </c>
      <c r="U1260" s="109">
        <f>IF(Table__192.168.1.150_Daily_Delinquency_With_Sectors[[#This Row],[Days in Arrears]] &gt;= 1,1,0)</f>
        <v>0</v>
      </c>
      <c r="V1260" s="109">
        <f>IF(Table__192.168.1.150_Daily_Delinquency_With_Sectors[[#This Row],[Days in Arrears]] &gt; 30,1,0)</f>
        <v>0</v>
      </c>
      <c r="W1260" s="109">
        <f>IF(Table__192.168.1.150_Daily_Delinquency_With_Sectors[[#This Row],[Days in Arrears]] &gt; 90,1,0)</f>
        <v>0</v>
      </c>
    </row>
    <row r="1261" spans="1:23" x14ac:dyDescent="0.25">
      <c r="A1261" t="s">
        <v>4102</v>
      </c>
      <c r="B1261" t="s">
        <v>1281</v>
      </c>
      <c r="C1261">
        <v>-28</v>
      </c>
      <c r="D1261" s="105">
        <v>13383648.550000001</v>
      </c>
      <c r="E1261" t="s">
        <v>2557</v>
      </c>
      <c r="F1261" s="105">
        <v>15614.26</v>
      </c>
      <c r="G1261" s="105">
        <v>15833044.220000001</v>
      </c>
      <c r="H1261" s="709">
        <v>42969.638759259258</v>
      </c>
      <c r="I1261" s="709">
        <v>43334</v>
      </c>
      <c r="J1261" t="s">
        <v>4103</v>
      </c>
      <c r="K1261" t="s">
        <v>1280</v>
      </c>
      <c r="L1261" t="s">
        <v>1280</v>
      </c>
      <c r="M1261">
        <v>201255</v>
      </c>
      <c r="N1261" t="s">
        <v>4094</v>
      </c>
      <c r="O1261" t="s">
        <v>25</v>
      </c>
      <c r="P1261" t="s">
        <v>88</v>
      </c>
      <c r="Q1261" t="s">
        <v>285</v>
      </c>
      <c r="R1261" s="710">
        <f>IF(Table__192.168.1.150_Daily_Delinquency_With_Sectors[[#This Row],[Days in Arrears]] &gt; 0, Table__192.168.1.150_Daily_Delinquency_With_Sectors[[#This Row],[Outstanding Balance]],0)</f>
        <v>0</v>
      </c>
      <c r="S1261" s="105">
        <f>IF(Table__192.168.1.150_Daily_Delinquency_With_Sectors[[#This Row],[Days in Arrears]] &gt; 30, Table__192.168.1.150_Daily_Delinquency_With_Sectors[[#This Row],[Outstanding Balance]],0)</f>
        <v>0</v>
      </c>
      <c r="T1261" s="105">
        <f>IF(Table__192.168.1.150_Daily_Delinquency_With_Sectors[[#This Row],[Days in Arrears]] &gt; 90, Table__192.168.1.150_Daily_Delinquency_With_Sectors[[#This Row],[Outstanding Balance]],0)</f>
        <v>0</v>
      </c>
      <c r="U1261" s="109">
        <f>IF(Table__192.168.1.150_Daily_Delinquency_With_Sectors[[#This Row],[Days in Arrears]] &gt;= 1,1,0)</f>
        <v>0</v>
      </c>
      <c r="V1261" s="109">
        <f>IF(Table__192.168.1.150_Daily_Delinquency_With_Sectors[[#This Row],[Days in Arrears]] &gt; 30,1,0)</f>
        <v>0</v>
      </c>
      <c r="W1261" s="109">
        <f>IF(Table__192.168.1.150_Daily_Delinquency_With_Sectors[[#This Row],[Days in Arrears]] &gt; 90,1,0)</f>
        <v>0</v>
      </c>
    </row>
    <row r="1262" spans="1:23" x14ac:dyDescent="0.25">
      <c r="A1262" t="s">
        <v>5278</v>
      </c>
      <c r="B1262" t="s">
        <v>1282</v>
      </c>
      <c r="C1262">
        <v>-28</v>
      </c>
      <c r="D1262" s="105">
        <v>2234137.79</v>
      </c>
      <c r="E1262" t="s">
        <v>4686</v>
      </c>
      <c r="F1262" s="105">
        <v>3351.21</v>
      </c>
      <c r="G1262" s="105">
        <v>2653955.2400000002</v>
      </c>
      <c r="H1262" s="709">
        <v>42969.602546678238</v>
      </c>
      <c r="I1262" s="709">
        <v>43273</v>
      </c>
      <c r="J1262" t="s">
        <v>5279</v>
      </c>
      <c r="K1262" t="s">
        <v>1280</v>
      </c>
      <c r="L1262" t="s">
        <v>1280</v>
      </c>
      <c r="M1262">
        <v>201256</v>
      </c>
      <c r="N1262" t="s">
        <v>5273</v>
      </c>
      <c r="O1262" t="s">
        <v>25</v>
      </c>
      <c r="P1262" t="s">
        <v>88</v>
      </c>
      <c r="Q1262" t="s">
        <v>285</v>
      </c>
      <c r="R1262" s="710">
        <f>IF(Table__192.168.1.150_Daily_Delinquency_With_Sectors[[#This Row],[Days in Arrears]] &gt; 0, Table__192.168.1.150_Daily_Delinquency_With_Sectors[[#This Row],[Outstanding Balance]],0)</f>
        <v>0</v>
      </c>
      <c r="S1262" s="105">
        <f>IF(Table__192.168.1.150_Daily_Delinquency_With_Sectors[[#This Row],[Days in Arrears]] &gt; 30, Table__192.168.1.150_Daily_Delinquency_With_Sectors[[#This Row],[Outstanding Balance]],0)</f>
        <v>0</v>
      </c>
      <c r="T1262" s="105">
        <f>IF(Table__192.168.1.150_Daily_Delinquency_With_Sectors[[#This Row],[Days in Arrears]] &gt; 90, Table__192.168.1.150_Daily_Delinquency_With_Sectors[[#This Row],[Outstanding Balance]],0)</f>
        <v>0</v>
      </c>
      <c r="U1262" s="109">
        <f>IF(Table__192.168.1.150_Daily_Delinquency_With_Sectors[[#This Row],[Days in Arrears]] &gt;= 1,1,0)</f>
        <v>0</v>
      </c>
      <c r="V1262" s="109">
        <f>IF(Table__192.168.1.150_Daily_Delinquency_With_Sectors[[#This Row],[Days in Arrears]] &gt; 30,1,0)</f>
        <v>0</v>
      </c>
      <c r="W1262" s="109">
        <f>IF(Table__192.168.1.150_Daily_Delinquency_With_Sectors[[#This Row],[Days in Arrears]] &gt; 90,1,0)</f>
        <v>0</v>
      </c>
    </row>
    <row r="1263" spans="1:23" x14ac:dyDescent="0.25">
      <c r="A1263" t="s">
        <v>3173</v>
      </c>
      <c r="B1263" t="s">
        <v>1286</v>
      </c>
      <c r="C1263">
        <v>-27</v>
      </c>
      <c r="D1263" s="105">
        <v>757210.05</v>
      </c>
      <c r="E1263" t="s">
        <v>284</v>
      </c>
      <c r="F1263" s="105">
        <v>1051.68</v>
      </c>
      <c r="G1263" s="105">
        <v>788977.3</v>
      </c>
      <c r="H1263" s="709">
        <v>42969.632656018519</v>
      </c>
      <c r="I1263" s="709">
        <v>43152</v>
      </c>
      <c r="J1263" t="s">
        <v>3174</v>
      </c>
      <c r="K1263" t="s">
        <v>1280</v>
      </c>
      <c r="L1263" t="s">
        <v>1280</v>
      </c>
      <c r="M1263">
        <v>201257</v>
      </c>
      <c r="N1263" t="s">
        <v>3169</v>
      </c>
      <c r="O1263" t="s">
        <v>28</v>
      </c>
      <c r="P1263" t="s">
        <v>26</v>
      </c>
      <c r="Q1263" t="s">
        <v>26</v>
      </c>
      <c r="R1263" s="710">
        <f>IF(Table__192.168.1.150_Daily_Delinquency_With_Sectors[[#This Row],[Days in Arrears]] &gt; 0, Table__192.168.1.150_Daily_Delinquency_With_Sectors[[#This Row],[Outstanding Balance]],0)</f>
        <v>0</v>
      </c>
      <c r="S1263" s="105">
        <f>IF(Table__192.168.1.150_Daily_Delinquency_With_Sectors[[#This Row],[Days in Arrears]] &gt; 30, Table__192.168.1.150_Daily_Delinquency_With_Sectors[[#This Row],[Outstanding Balance]],0)</f>
        <v>0</v>
      </c>
      <c r="T1263" s="105">
        <f>IF(Table__192.168.1.150_Daily_Delinquency_With_Sectors[[#This Row],[Days in Arrears]] &gt; 90, Table__192.168.1.150_Daily_Delinquency_With_Sectors[[#This Row],[Outstanding Balance]],0)</f>
        <v>0</v>
      </c>
      <c r="U1263" s="109">
        <f>IF(Table__192.168.1.150_Daily_Delinquency_With_Sectors[[#This Row],[Days in Arrears]] &gt;= 1,1,0)</f>
        <v>0</v>
      </c>
      <c r="V1263" s="109">
        <f>IF(Table__192.168.1.150_Daily_Delinquency_With_Sectors[[#This Row],[Days in Arrears]] &gt; 30,1,0)</f>
        <v>0</v>
      </c>
      <c r="W1263" s="109">
        <f>IF(Table__192.168.1.150_Daily_Delinquency_With_Sectors[[#This Row],[Days in Arrears]] &gt; 90,1,0)</f>
        <v>0</v>
      </c>
    </row>
    <row r="1264" spans="1:23" x14ac:dyDescent="0.25">
      <c r="A1264" t="s">
        <v>5280</v>
      </c>
      <c r="B1264" t="s">
        <v>1279</v>
      </c>
      <c r="C1264">
        <v>2</v>
      </c>
      <c r="D1264" s="105">
        <v>2728654.36</v>
      </c>
      <c r="E1264" t="s">
        <v>4686</v>
      </c>
      <c r="F1264" s="105">
        <v>3494.2</v>
      </c>
      <c r="G1264" s="105">
        <v>3052353.3</v>
      </c>
      <c r="H1264" s="709">
        <v>42969.730253240741</v>
      </c>
      <c r="I1264" s="709">
        <v>43212</v>
      </c>
      <c r="J1264" t="s">
        <v>5281</v>
      </c>
      <c r="K1264" t="s">
        <v>1280</v>
      </c>
      <c r="L1264" t="s">
        <v>5282</v>
      </c>
      <c r="M1264">
        <v>201258</v>
      </c>
      <c r="N1264" t="s">
        <v>5272</v>
      </c>
      <c r="O1264" t="s">
        <v>25</v>
      </c>
      <c r="P1264" t="s">
        <v>88</v>
      </c>
      <c r="Q1264" t="s">
        <v>285</v>
      </c>
      <c r="R1264" s="710">
        <f>IF(Table__192.168.1.150_Daily_Delinquency_With_Sectors[[#This Row],[Days in Arrears]] &gt; 0, Table__192.168.1.150_Daily_Delinquency_With_Sectors[[#This Row],[Outstanding Balance]],0)</f>
        <v>2728654.36</v>
      </c>
      <c r="S1264" s="105">
        <f>IF(Table__192.168.1.150_Daily_Delinquency_With_Sectors[[#This Row],[Days in Arrears]] &gt; 30, Table__192.168.1.150_Daily_Delinquency_With_Sectors[[#This Row],[Outstanding Balance]],0)</f>
        <v>0</v>
      </c>
      <c r="T1264" s="105">
        <f>IF(Table__192.168.1.150_Daily_Delinquency_With_Sectors[[#This Row],[Days in Arrears]] &gt; 90, Table__192.168.1.150_Daily_Delinquency_With_Sectors[[#This Row],[Outstanding Balance]],0)</f>
        <v>0</v>
      </c>
      <c r="U1264" s="109">
        <f>IF(Table__192.168.1.150_Daily_Delinquency_With_Sectors[[#This Row],[Days in Arrears]] &gt;= 1,1,0)</f>
        <v>1</v>
      </c>
      <c r="V1264" s="109">
        <f>IF(Table__192.168.1.150_Daily_Delinquency_With_Sectors[[#This Row],[Days in Arrears]] &gt; 30,1,0)</f>
        <v>0</v>
      </c>
      <c r="W1264" s="109">
        <f>IF(Table__192.168.1.150_Daily_Delinquency_With_Sectors[[#This Row],[Days in Arrears]] &gt; 90,1,0)</f>
        <v>0</v>
      </c>
    </row>
    <row r="1265" spans="1:23" x14ac:dyDescent="0.25">
      <c r="A1265" t="s">
        <v>4410</v>
      </c>
      <c r="B1265" t="s">
        <v>1286</v>
      </c>
      <c r="C1265">
        <v>-27</v>
      </c>
      <c r="D1265" s="105">
        <v>1783071.03</v>
      </c>
      <c r="E1265" t="s">
        <v>284</v>
      </c>
      <c r="F1265" s="105">
        <v>2476.4899999999998</v>
      </c>
      <c r="G1265" s="105">
        <v>1857876.25</v>
      </c>
      <c r="H1265" s="709">
        <v>42970.614022453701</v>
      </c>
      <c r="I1265" s="709">
        <v>43152</v>
      </c>
      <c r="J1265" t="s">
        <v>4411</v>
      </c>
      <c r="K1265" t="s">
        <v>1280</v>
      </c>
      <c r="L1265" t="s">
        <v>1280</v>
      </c>
      <c r="M1265">
        <v>201259</v>
      </c>
      <c r="N1265" t="s">
        <v>4401</v>
      </c>
      <c r="O1265" t="s">
        <v>28</v>
      </c>
      <c r="P1265" t="s">
        <v>26</v>
      </c>
      <c r="Q1265" t="s">
        <v>26</v>
      </c>
      <c r="R1265" s="710">
        <f>IF(Table__192.168.1.150_Daily_Delinquency_With_Sectors[[#This Row],[Days in Arrears]] &gt; 0, Table__192.168.1.150_Daily_Delinquency_With_Sectors[[#This Row],[Outstanding Balance]],0)</f>
        <v>0</v>
      </c>
      <c r="S1265" s="105">
        <f>IF(Table__192.168.1.150_Daily_Delinquency_With_Sectors[[#This Row],[Days in Arrears]] &gt; 30, Table__192.168.1.150_Daily_Delinquency_With_Sectors[[#This Row],[Outstanding Balance]],0)</f>
        <v>0</v>
      </c>
      <c r="T1265" s="105">
        <f>IF(Table__192.168.1.150_Daily_Delinquency_With_Sectors[[#This Row],[Days in Arrears]] &gt; 90, Table__192.168.1.150_Daily_Delinquency_With_Sectors[[#This Row],[Outstanding Balance]],0)</f>
        <v>0</v>
      </c>
      <c r="U1265" s="109">
        <f>IF(Table__192.168.1.150_Daily_Delinquency_With_Sectors[[#This Row],[Days in Arrears]] &gt;= 1,1,0)</f>
        <v>0</v>
      </c>
      <c r="V1265" s="109">
        <f>IF(Table__192.168.1.150_Daily_Delinquency_With_Sectors[[#This Row],[Days in Arrears]] &gt; 30,1,0)</f>
        <v>0</v>
      </c>
      <c r="W1265" s="109">
        <f>IF(Table__192.168.1.150_Daily_Delinquency_With_Sectors[[#This Row],[Days in Arrears]] &gt; 90,1,0)</f>
        <v>0</v>
      </c>
    </row>
    <row r="1266" spans="1:23" x14ac:dyDescent="0.25">
      <c r="A1266" t="s">
        <v>5290</v>
      </c>
      <c r="B1266" t="s">
        <v>1867</v>
      </c>
      <c r="C1266">
        <v>1</v>
      </c>
      <c r="D1266" s="105">
        <v>9343238.6799999997</v>
      </c>
      <c r="E1266" t="s">
        <v>491</v>
      </c>
      <c r="F1266" s="105">
        <v>373729.55</v>
      </c>
      <c r="G1266" s="105">
        <v>10669831.890000001</v>
      </c>
      <c r="H1266" s="709">
        <v>42970.691239664353</v>
      </c>
      <c r="I1266" s="709">
        <v>43213</v>
      </c>
      <c r="J1266" t="s">
        <v>5291</v>
      </c>
      <c r="K1266" t="s">
        <v>5292</v>
      </c>
      <c r="L1266" t="s">
        <v>1280</v>
      </c>
      <c r="M1266">
        <v>201260</v>
      </c>
      <c r="N1266" t="s">
        <v>5284</v>
      </c>
      <c r="O1266" t="s">
        <v>25</v>
      </c>
      <c r="P1266" t="s">
        <v>88</v>
      </c>
      <c r="Q1266" t="s">
        <v>285</v>
      </c>
      <c r="R1266" s="710">
        <f>IF(Table__192.168.1.150_Daily_Delinquency_With_Sectors[[#This Row],[Days in Arrears]] &gt; 0, Table__192.168.1.150_Daily_Delinquency_With_Sectors[[#This Row],[Outstanding Balance]],0)</f>
        <v>9343238.6799999997</v>
      </c>
      <c r="S1266" s="105">
        <f>IF(Table__192.168.1.150_Daily_Delinquency_With_Sectors[[#This Row],[Days in Arrears]] &gt; 30, Table__192.168.1.150_Daily_Delinquency_With_Sectors[[#This Row],[Outstanding Balance]],0)</f>
        <v>0</v>
      </c>
      <c r="T1266" s="105">
        <f>IF(Table__192.168.1.150_Daily_Delinquency_With_Sectors[[#This Row],[Days in Arrears]] &gt; 90, Table__192.168.1.150_Daily_Delinquency_With_Sectors[[#This Row],[Outstanding Balance]],0)</f>
        <v>0</v>
      </c>
      <c r="U1266" s="109">
        <f>IF(Table__192.168.1.150_Daily_Delinquency_With_Sectors[[#This Row],[Days in Arrears]] &gt;= 1,1,0)</f>
        <v>1</v>
      </c>
      <c r="V1266" s="109">
        <f>IF(Table__192.168.1.150_Daily_Delinquency_With_Sectors[[#This Row],[Days in Arrears]] &gt; 30,1,0)</f>
        <v>0</v>
      </c>
      <c r="W1266" s="109">
        <f>IF(Table__192.168.1.150_Daily_Delinquency_With_Sectors[[#This Row],[Days in Arrears]] &gt; 90,1,0)</f>
        <v>0</v>
      </c>
    </row>
    <row r="1267" spans="1:23" x14ac:dyDescent="0.25">
      <c r="A1267" t="s">
        <v>5299</v>
      </c>
      <c r="B1267" t="s">
        <v>1282</v>
      </c>
      <c r="C1267">
        <v>0</v>
      </c>
      <c r="D1267" s="105">
        <v>1954958.15</v>
      </c>
      <c r="E1267" t="s">
        <v>1447</v>
      </c>
      <c r="F1267" s="105">
        <v>85040.68</v>
      </c>
      <c r="G1267" s="105">
        <v>2274144.7999999998</v>
      </c>
      <c r="H1267" s="709">
        <v>42971.563569942133</v>
      </c>
      <c r="I1267" s="709">
        <v>43214</v>
      </c>
      <c r="J1267" t="s">
        <v>5300</v>
      </c>
      <c r="K1267" t="s">
        <v>1280</v>
      </c>
      <c r="L1267" t="s">
        <v>1280</v>
      </c>
      <c r="M1267">
        <v>201261</v>
      </c>
      <c r="N1267" t="s">
        <v>5295</v>
      </c>
      <c r="O1267" t="s">
        <v>44</v>
      </c>
      <c r="P1267" t="s">
        <v>75</v>
      </c>
      <c r="Q1267" t="s">
        <v>26</v>
      </c>
      <c r="R1267" s="710">
        <f>IF(Table__192.168.1.150_Daily_Delinquency_With_Sectors[[#This Row],[Days in Arrears]] &gt; 0, Table__192.168.1.150_Daily_Delinquency_With_Sectors[[#This Row],[Outstanding Balance]],0)</f>
        <v>0</v>
      </c>
      <c r="S1267" s="105">
        <f>IF(Table__192.168.1.150_Daily_Delinquency_With_Sectors[[#This Row],[Days in Arrears]] &gt; 30, Table__192.168.1.150_Daily_Delinquency_With_Sectors[[#This Row],[Outstanding Balance]],0)</f>
        <v>0</v>
      </c>
      <c r="T1267" s="105">
        <f>IF(Table__192.168.1.150_Daily_Delinquency_With_Sectors[[#This Row],[Days in Arrears]] &gt; 90, Table__192.168.1.150_Daily_Delinquency_With_Sectors[[#This Row],[Outstanding Balance]],0)</f>
        <v>0</v>
      </c>
      <c r="U1267" s="109">
        <f>IF(Table__192.168.1.150_Daily_Delinquency_With_Sectors[[#This Row],[Days in Arrears]] &gt;= 1,1,0)</f>
        <v>0</v>
      </c>
      <c r="V1267" s="109">
        <f>IF(Table__192.168.1.150_Daily_Delinquency_With_Sectors[[#This Row],[Days in Arrears]] &gt; 30,1,0)</f>
        <v>0</v>
      </c>
      <c r="W1267" s="109">
        <f>IF(Table__192.168.1.150_Daily_Delinquency_With_Sectors[[#This Row],[Days in Arrears]] &gt; 90,1,0)</f>
        <v>0</v>
      </c>
    </row>
    <row r="1268" spans="1:23" x14ac:dyDescent="0.25">
      <c r="A1268" t="s">
        <v>5301</v>
      </c>
      <c r="B1268" t="s">
        <v>1282</v>
      </c>
      <c r="C1268">
        <v>0</v>
      </c>
      <c r="D1268" s="105">
        <v>3334321.23</v>
      </c>
      <c r="E1268" t="s">
        <v>5167</v>
      </c>
      <c r="F1268" s="105">
        <v>145042.97</v>
      </c>
      <c r="G1268" s="105">
        <v>4044122.3</v>
      </c>
      <c r="H1268" s="709">
        <v>42971.655487349541</v>
      </c>
      <c r="I1268" s="709">
        <v>43275</v>
      </c>
      <c r="J1268" t="s">
        <v>5302</v>
      </c>
      <c r="K1268" t="s">
        <v>5303</v>
      </c>
      <c r="L1268" t="s">
        <v>1280</v>
      </c>
      <c r="M1268">
        <v>201262</v>
      </c>
      <c r="N1268" t="s">
        <v>5294</v>
      </c>
      <c r="O1268" t="s">
        <v>25</v>
      </c>
      <c r="P1268" t="s">
        <v>88</v>
      </c>
      <c r="Q1268" t="s">
        <v>285</v>
      </c>
      <c r="R1268" s="710">
        <f>IF(Table__192.168.1.150_Daily_Delinquency_With_Sectors[[#This Row],[Days in Arrears]] &gt; 0, Table__192.168.1.150_Daily_Delinquency_With_Sectors[[#This Row],[Outstanding Balance]],0)</f>
        <v>0</v>
      </c>
      <c r="S1268" s="105">
        <f>IF(Table__192.168.1.150_Daily_Delinquency_With_Sectors[[#This Row],[Days in Arrears]] &gt; 30, Table__192.168.1.150_Daily_Delinquency_With_Sectors[[#This Row],[Outstanding Balance]],0)</f>
        <v>0</v>
      </c>
      <c r="T1268" s="105">
        <f>IF(Table__192.168.1.150_Daily_Delinquency_With_Sectors[[#This Row],[Days in Arrears]] &gt; 90, Table__192.168.1.150_Daily_Delinquency_With_Sectors[[#This Row],[Outstanding Balance]],0)</f>
        <v>0</v>
      </c>
      <c r="U1268" s="109">
        <f>IF(Table__192.168.1.150_Daily_Delinquency_With_Sectors[[#This Row],[Days in Arrears]] &gt;= 1,1,0)</f>
        <v>0</v>
      </c>
      <c r="V1268" s="109">
        <f>IF(Table__192.168.1.150_Daily_Delinquency_With_Sectors[[#This Row],[Days in Arrears]] &gt; 30,1,0)</f>
        <v>0</v>
      </c>
      <c r="W1268" s="109">
        <f>IF(Table__192.168.1.150_Daily_Delinquency_With_Sectors[[#This Row],[Days in Arrears]] &gt; 90,1,0)</f>
        <v>0</v>
      </c>
    </row>
    <row r="1269" spans="1:23" x14ac:dyDescent="0.25">
      <c r="A1269" t="s">
        <v>5317</v>
      </c>
      <c r="B1269" t="s">
        <v>1282</v>
      </c>
      <c r="C1269">
        <v>-1</v>
      </c>
      <c r="D1269" s="105">
        <v>5001481.8600000003</v>
      </c>
      <c r="E1269" t="s">
        <v>4844</v>
      </c>
      <c r="F1269" s="105">
        <v>210062.24</v>
      </c>
      <c r="G1269" s="105">
        <v>6066183.4400000004</v>
      </c>
      <c r="H1269" s="709">
        <v>42972.661190196763</v>
      </c>
      <c r="I1269" s="709">
        <v>43276</v>
      </c>
      <c r="J1269" t="s">
        <v>5318</v>
      </c>
      <c r="K1269" t="s">
        <v>1280</v>
      </c>
      <c r="L1269" t="s">
        <v>1280</v>
      </c>
      <c r="M1269">
        <v>201263</v>
      </c>
      <c r="N1269" t="s">
        <v>5305</v>
      </c>
      <c r="O1269" t="s">
        <v>25</v>
      </c>
      <c r="P1269" t="s">
        <v>88</v>
      </c>
      <c r="Q1269" t="s">
        <v>285</v>
      </c>
      <c r="R1269" s="710">
        <f>IF(Table__192.168.1.150_Daily_Delinquency_With_Sectors[[#This Row],[Days in Arrears]] &gt; 0, Table__192.168.1.150_Daily_Delinquency_With_Sectors[[#This Row],[Outstanding Balance]],0)</f>
        <v>0</v>
      </c>
      <c r="S1269" s="105">
        <f>IF(Table__192.168.1.150_Daily_Delinquency_With_Sectors[[#This Row],[Days in Arrears]] &gt; 30, Table__192.168.1.150_Daily_Delinquency_With_Sectors[[#This Row],[Outstanding Balance]],0)</f>
        <v>0</v>
      </c>
      <c r="T1269" s="105">
        <f>IF(Table__192.168.1.150_Daily_Delinquency_With_Sectors[[#This Row],[Days in Arrears]] &gt; 90, Table__192.168.1.150_Daily_Delinquency_With_Sectors[[#This Row],[Outstanding Balance]],0)</f>
        <v>0</v>
      </c>
      <c r="U1269" s="109">
        <f>IF(Table__192.168.1.150_Daily_Delinquency_With_Sectors[[#This Row],[Days in Arrears]] &gt;= 1,1,0)</f>
        <v>0</v>
      </c>
      <c r="V1269" s="109">
        <f>IF(Table__192.168.1.150_Daily_Delinquency_With_Sectors[[#This Row],[Days in Arrears]] &gt; 30,1,0)</f>
        <v>0</v>
      </c>
      <c r="W1269" s="109">
        <f>IF(Table__192.168.1.150_Daily_Delinquency_With_Sectors[[#This Row],[Days in Arrears]] &gt; 90,1,0)</f>
        <v>0</v>
      </c>
    </row>
    <row r="1270" spans="1:23" x14ac:dyDescent="0.25">
      <c r="A1270" t="s">
        <v>4226</v>
      </c>
      <c r="B1270" t="s">
        <v>1282</v>
      </c>
      <c r="C1270">
        <v>-1</v>
      </c>
      <c r="D1270" s="105">
        <v>8642335.6699999999</v>
      </c>
      <c r="E1270" t="s">
        <v>2034</v>
      </c>
      <c r="F1270" s="105">
        <v>322647.2</v>
      </c>
      <c r="G1270" s="105">
        <v>10655217.26</v>
      </c>
      <c r="H1270" s="711">
        <v>42972.503821840277</v>
      </c>
      <c r="I1270" s="711">
        <v>43337</v>
      </c>
      <c r="J1270" t="s">
        <v>4227</v>
      </c>
      <c r="K1270" t="s">
        <v>1280</v>
      </c>
      <c r="L1270" t="s">
        <v>4228</v>
      </c>
      <c r="M1270">
        <v>201265</v>
      </c>
      <c r="N1270" t="s">
        <v>4207</v>
      </c>
      <c r="O1270" t="s">
        <v>36</v>
      </c>
      <c r="P1270" t="s">
        <v>1023</v>
      </c>
      <c r="Q1270" t="s">
        <v>26</v>
      </c>
      <c r="R1270" s="710">
        <f>IF(Table__192.168.1.150_Daily_Delinquency_With_Sectors[[#This Row],[Days in Arrears]] &gt; 0, Table__192.168.1.150_Daily_Delinquency_With_Sectors[[#This Row],[Outstanding Balance]],0)</f>
        <v>0</v>
      </c>
      <c r="S1270" s="105">
        <f>IF(Table__192.168.1.150_Daily_Delinquency_With_Sectors[[#This Row],[Days in Arrears]] &gt; 30, Table__192.168.1.150_Daily_Delinquency_With_Sectors[[#This Row],[Outstanding Balance]],0)</f>
        <v>0</v>
      </c>
      <c r="T1270" s="105">
        <f>IF(Table__192.168.1.150_Daily_Delinquency_With_Sectors[[#This Row],[Days in Arrears]] &gt; 90, Table__192.168.1.150_Daily_Delinquency_With_Sectors[[#This Row],[Outstanding Balance]],0)</f>
        <v>0</v>
      </c>
      <c r="U1270" s="109">
        <f>IF(Table__192.168.1.150_Daily_Delinquency_With_Sectors[[#This Row],[Days in Arrears]] &gt;= 1,1,0)</f>
        <v>0</v>
      </c>
      <c r="V1270" s="109">
        <f>IF(Table__192.168.1.150_Daily_Delinquency_With_Sectors[[#This Row],[Days in Arrears]] &gt; 30,1,0)</f>
        <v>0</v>
      </c>
      <c r="W1270" s="109">
        <f>IF(Table__192.168.1.150_Daily_Delinquency_With_Sectors[[#This Row],[Days in Arrears]] &gt; 90,1,0)</f>
        <v>0</v>
      </c>
    </row>
    <row r="1271" spans="1:23" x14ac:dyDescent="0.25">
      <c r="A1271" t="s">
        <v>5322</v>
      </c>
      <c r="B1271" t="s">
        <v>1284</v>
      </c>
      <c r="C1271">
        <v>-7</v>
      </c>
      <c r="D1271" s="105">
        <v>8640396.2799999993</v>
      </c>
      <c r="E1271" t="s">
        <v>2538</v>
      </c>
      <c r="F1271" s="105">
        <v>211209.69</v>
      </c>
      <c r="G1271" s="105">
        <v>10302240.470000001</v>
      </c>
      <c r="H1271" s="711">
        <v>42973.472984178239</v>
      </c>
      <c r="I1271" s="711">
        <v>43344</v>
      </c>
      <c r="J1271" t="s">
        <v>5323</v>
      </c>
      <c r="K1271" t="s">
        <v>1280</v>
      </c>
      <c r="L1271" t="s">
        <v>1280</v>
      </c>
      <c r="M1271">
        <v>201267</v>
      </c>
      <c r="N1271" t="s">
        <v>5321</v>
      </c>
      <c r="O1271" t="s">
        <v>44</v>
      </c>
      <c r="P1271" t="s">
        <v>75</v>
      </c>
      <c r="Q1271" t="s">
        <v>26</v>
      </c>
      <c r="R1271" s="710">
        <f>IF(Table__192.168.1.150_Daily_Delinquency_With_Sectors[[#This Row],[Days in Arrears]] &gt; 0, Table__192.168.1.150_Daily_Delinquency_With_Sectors[[#This Row],[Outstanding Balance]],0)</f>
        <v>0</v>
      </c>
      <c r="S1271" s="105">
        <f>IF(Table__192.168.1.150_Daily_Delinquency_With_Sectors[[#This Row],[Days in Arrears]] &gt; 30, Table__192.168.1.150_Daily_Delinquency_With_Sectors[[#This Row],[Outstanding Balance]],0)</f>
        <v>0</v>
      </c>
      <c r="T1271" s="105">
        <f>IF(Table__192.168.1.150_Daily_Delinquency_With_Sectors[[#This Row],[Days in Arrears]] &gt; 90, Table__192.168.1.150_Daily_Delinquency_With_Sectors[[#This Row],[Outstanding Balance]],0)</f>
        <v>0</v>
      </c>
      <c r="U1271" s="109">
        <f>IF(Table__192.168.1.150_Daily_Delinquency_With_Sectors[[#This Row],[Days in Arrears]] &gt;= 1,1,0)</f>
        <v>0</v>
      </c>
      <c r="V1271" s="109">
        <f>IF(Table__192.168.1.150_Daily_Delinquency_With_Sectors[[#This Row],[Days in Arrears]] &gt; 30,1,0)</f>
        <v>0</v>
      </c>
      <c r="W1271" s="109">
        <f>IF(Table__192.168.1.150_Daily_Delinquency_With_Sectors[[#This Row],[Days in Arrears]] &gt; 90,1,0)</f>
        <v>0</v>
      </c>
    </row>
    <row r="1272" spans="1:23" x14ac:dyDescent="0.25">
      <c r="A1272" t="s">
        <v>5324</v>
      </c>
      <c r="B1272" t="s">
        <v>1281</v>
      </c>
      <c r="C1272">
        <v>23</v>
      </c>
      <c r="D1272" s="105">
        <v>23705861.850000001</v>
      </c>
      <c r="E1272" t="s">
        <v>1909</v>
      </c>
      <c r="F1272" s="105">
        <v>679326.23</v>
      </c>
      <c r="G1272" s="105">
        <v>32346891.260000002</v>
      </c>
      <c r="H1272" s="711">
        <v>42973.504926585651</v>
      </c>
      <c r="I1272" s="711">
        <v>43525</v>
      </c>
      <c r="J1272" t="s">
        <v>5325</v>
      </c>
      <c r="K1272" t="s">
        <v>5326</v>
      </c>
      <c r="L1272" t="s">
        <v>1280</v>
      </c>
      <c r="M1272">
        <v>201268</v>
      </c>
      <c r="N1272" t="s">
        <v>5320</v>
      </c>
      <c r="O1272" t="s">
        <v>25</v>
      </c>
      <c r="P1272" t="s">
        <v>88</v>
      </c>
      <c r="Q1272" t="s">
        <v>285</v>
      </c>
      <c r="R1272" s="710">
        <f>IF(Table__192.168.1.150_Daily_Delinquency_With_Sectors[[#This Row],[Days in Arrears]] &gt; 0, Table__192.168.1.150_Daily_Delinquency_With_Sectors[[#This Row],[Outstanding Balance]],0)</f>
        <v>23705861.850000001</v>
      </c>
      <c r="S1272" s="105">
        <f>IF(Table__192.168.1.150_Daily_Delinquency_With_Sectors[[#This Row],[Days in Arrears]] &gt; 30, Table__192.168.1.150_Daily_Delinquency_With_Sectors[[#This Row],[Outstanding Balance]],0)</f>
        <v>0</v>
      </c>
      <c r="T1272" s="105">
        <f>IF(Table__192.168.1.150_Daily_Delinquency_With_Sectors[[#This Row],[Days in Arrears]] &gt; 90, Table__192.168.1.150_Daily_Delinquency_With_Sectors[[#This Row],[Outstanding Balance]],0)</f>
        <v>0</v>
      </c>
      <c r="U1272" s="109">
        <f>IF(Table__192.168.1.150_Daily_Delinquency_With_Sectors[[#This Row],[Days in Arrears]] &gt;= 1,1,0)</f>
        <v>1</v>
      </c>
      <c r="V1272" s="109">
        <f>IF(Table__192.168.1.150_Daily_Delinquency_With_Sectors[[#This Row],[Days in Arrears]] &gt; 30,1,0)</f>
        <v>0</v>
      </c>
      <c r="W1272" s="109">
        <f>IF(Table__192.168.1.150_Daily_Delinquency_With_Sectors[[#This Row],[Days in Arrears]] &gt; 90,1,0)</f>
        <v>0</v>
      </c>
    </row>
    <row r="1273" spans="1:23" x14ac:dyDescent="0.25">
      <c r="A1273" t="s">
        <v>5327</v>
      </c>
      <c r="B1273" t="s">
        <v>1282</v>
      </c>
      <c r="C1273">
        <v>-7</v>
      </c>
      <c r="D1273" s="105">
        <v>13109783.550000001</v>
      </c>
      <c r="E1273" t="s">
        <v>2538</v>
      </c>
      <c r="F1273" s="105">
        <v>432622.86</v>
      </c>
      <c r="G1273" s="105">
        <v>16567989.98</v>
      </c>
      <c r="H1273" s="711">
        <v>42973.525386608795</v>
      </c>
      <c r="I1273" s="711">
        <v>43344</v>
      </c>
      <c r="J1273" t="s">
        <v>5328</v>
      </c>
      <c r="K1273" t="s">
        <v>1280</v>
      </c>
      <c r="L1273" t="s">
        <v>1280</v>
      </c>
      <c r="M1273">
        <v>201269</v>
      </c>
      <c r="N1273" t="s">
        <v>5319</v>
      </c>
      <c r="O1273" t="s">
        <v>25</v>
      </c>
      <c r="P1273" t="s">
        <v>103</v>
      </c>
      <c r="Q1273" t="s">
        <v>104</v>
      </c>
      <c r="R1273" s="710">
        <f>IF(Table__192.168.1.150_Daily_Delinquency_With_Sectors[[#This Row],[Days in Arrears]] &gt; 0, Table__192.168.1.150_Daily_Delinquency_With_Sectors[[#This Row],[Outstanding Balance]],0)</f>
        <v>0</v>
      </c>
      <c r="S1273" s="105">
        <f>IF(Table__192.168.1.150_Daily_Delinquency_With_Sectors[[#This Row],[Days in Arrears]] &gt; 30, Table__192.168.1.150_Daily_Delinquency_With_Sectors[[#This Row],[Outstanding Balance]],0)</f>
        <v>0</v>
      </c>
      <c r="T1273" s="105">
        <f>IF(Table__192.168.1.150_Daily_Delinquency_With_Sectors[[#This Row],[Days in Arrears]] &gt; 90, Table__192.168.1.150_Daily_Delinquency_With_Sectors[[#This Row],[Outstanding Balance]],0)</f>
        <v>0</v>
      </c>
      <c r="U1273" s="109">
        <f>IF(Table__192.168.1.150_Daily_Delinquency_With_Sectors[[#This Row],[Days in Arrears]] &gt;= 1,1,0)</f>
        <v>0</v>
      </c>
      <c r="V1273" s="109">
        <f>IF(Table__192.168.1.150_Daily_Delinquency_With_Sectors[[#This Row],[Days in Arrears]] &gt; 30,1,0)</f>
        <v>0</v>
      </c>
      <c r="W1273" s="109">
        <f>IF(Table__192.168.1.150_Daily_Delinquency_With_Sectors[[#This Row],[Days in Arrears]] &gt; 90,1,0)</f>
        <v>0</v>
      </c>
    </row>
    <row r="1274" spans="1:23" x14ac:dyDescent="0.25">
      <c r="A1274" t="s">
        <v>5347</v>
      </c>
      <c r="B1274" t="s">
        <v>1284</v>
      </c>
      <c r="C1274">
        <v>-7</v>
      </c>
      <c r="D1274" s="105">
        <v>15519445.48</v>
      </c>
      <c r="E1274" t="s">
        <v>5335</v>
      </c>
      <c r="F1274" s="105">
        <v>379364.22</v>
      </c>
      <c r="G1274" s="105">
        <v>18504366.510000002</v>
      </c>
      <c r="H1274" s="711">
        <v>42975.484989317127</v>
      </c>
      <c r="I1274" s="711">
        <v>43344</v>
      </c>
      <c r="J1274" t="s">
        <v>5348</v>
      </c>
      <c r="K1274" t="s">
        <v>1280</v>
      </c>
      <c r="L1274" t="s">
        <v>1280</v>
      </c>
      <c r="M1274">
        <v>201270</v>
      </c>
      <c r="N1274" t="s">
        <v>5334</v>
      </c>
      <c r="O1274" t="s">
        <v>44</v>
      </c>
      <c r="P1274" t="s">
        <v>75</v>
      </c>
      <c r="Q1274" t="s">
        <v>26</v>
      </c>
      <c r="R1274" s="710">
        <f>IF(Table__192.168.1.150_Daily_Delinquency_With_Sectors[[#This Row],[Days in Arrears]] &gt; 0, Table__192.168.1.150_Daily_Delinquency_With_Sectors[[#This Row],[Outstanding Balance]],0)</f>
        <v>0</v>
      </c>
      <c r="S1274" s="105">
        <f>IF(Table__192.168.1.150_Daily_Delinquency_With_Sectors[[#This Row],[Days in Arrears]] &gt; 30, Table__192.168.1.150_Daily_Delinquency_With_Sectors[[#This Row],[Outstanding Balance]],0)</f>
        <v>0</v>
      </c>
      <c r="T1274" s="105">
        <f>IF(Table__192.168.1.150_Daily_Delinquency_With_Sectors[[#This Row],[Days in Arrears]] &gt; 90, Table__192.168.1.150_Daily_Delinquency_With_Sectors[[#This Row],[Outstanding Balance]],0)</f>
        <v>0</v>
      </c>
      <c r="U1274" s="109">
        <f>IF(Table__192.168.1.150_Daily_Delinquency_With_Sectors[[#This Row],[Days in Arrears]] &gt;= 1,1,0)</f>
        <v>0</v>
      </c>
      <c r="V1274" s="109">
        <f>IF(Table__192.168.1.150_Daily_Delinquency_With_Sectors[[#This Row],[Days in Arrears]] &gt; 30,1,0)</f>
        <v>0</v>
      </c>
      <c r="W1274" s="109">
        <f>IF(Table__192.168.1.150_Daily_Delinquency_With_Sectors[[#This Row],[Days in Arrears]] &gt; 90,1,0)</f>
        <v>0</v>
      </c>
    </row>
    <row r="1275" spans="1:23" x14ac:dyDescent="0.25">
      <c r="A1275" t="s">
        <v>4787</v>
      </c>
      <c r="B1275" t="s">
        <v>1866</v>
      </c>
      <c r="C1275">
        <v>23</v>
      </c>
      <c r="D1275" s="105">
        <v>6351849.1299999999</v>
      </c>
      <c r="E1275" t="s">
        <v>90</v>
      </c>
      <c r="F1275" s="105">
        <v>328138.06</v>
      </c>
      <c r="G1275" s="105">
        <v>7387073.5800000001</v>
      </c>
      <c r="H1275" s="711">
        <v>42975.711182557869</v>
      </c>
      <c r="I1275" s="711">
        <v>43252</v>
      </c>
      <c r="J1275" t="s">
        <v>4788</v>
      </c>
      <c r="K1275" t="s">
        <v>1280</v>
      </c>
      <c r="L1275" t="s">
        <v>1280</v>
      </c>
      <c r="M1275">
        <v>201271</v>
      </c>
      <c r="N1275" t="s">
        <v>4777</v>
      </c>
      <c r="O1275" t="s">
        <v>25</v>
      </c>
      <c r="P1275" t="s">
        <v>88</v>
      </c>
      <c r="Q1275" t="s">
        <v>285</v>
      </c>
      <c r="R1275" s="710">
        <f>IF(Table__192.168.1.150_Daily_Delinquency_With_Sectors[[#This Row],[Days in Arrears]] &gt; 0, Table__192.168.1.150_Daily_Delinquency_With_Sectors[[#This Row],[Outstanding Balance]],0)</f>
        <v>6351849.1299999999</v>
      </c>
      <c r="S1275" s="105">
        <f>IF(Table__192.168.1.150_Daily_Delinquency_With_Sectors[[#This Row],[Days in Arrears]] &gt; 30, Table__192.168.1.150_Daily_Delinquency_With_Sectors[[#This Row],[Outstanding Balance]],0)</f>
        <v>0</v>
      </c>
      <c r="T1275" s="105">
        <f>IF(Table__192.168.1.150_Daily_Delinquency_With_Sectors[[#This Row],[Days in Arrears]] &gt; 90, Table__192.168.1.150_Daily_Delinquency_With_Sectors[[#This Row],[Outstanding Balance]],0)</f>
        <v>0</v>
      </c>
      <c r="U1275" s="109">
        <f>IF(Table__192.168.1.150_Daily_Delinquency_With_Sectors[[#This Row],[Days in Arrears]] &gt;= 1,1,0)</f>
        <v>1</v>
      </c>
      <c r="V1275" s="109">
        <f>IF(Table__192.168.1.150_Daily_Delinquency_With_Sectors[[#This Row],[Days in Arrears]] &gt; 30,1,0)</f>
        <v>0</v>
      </c>
      <c r="W1275" s="109">
        <f>IF(Table__192.168.1.150_Daily_Delinquency_With_Sectors[[#This Row],[Days in Arrears]] &gt; 90,1,0)</f>
        <v>0</v>
      </c>
    </row>
    <row r="1276" spans="1:23" x14ac:dyDescent="0.25">
      <c r="A1276" t="s">
        <v>5349</v>
      </c>
      <c r="B1276" t="s">
        <v>1279</v>
      </c>
      <c r="C1276">
        <v>-7</v>
      </c>
      <c r="D1276" s="105">
        <v>3348679.55</v>
      </c>
      <c r="E1276" t="s">
        <v>2855</v>
      </c>
      <c r="F1276" s="105">
        <v>110506.43</v>
      </c>
      <c r="G1276" s="105">
        <v>4061537.16</v>
      </c>
      <c r="H1276" s="711">
        <v>42975.699042048611</v>
      </c>
      <c r="I1276" s="711">
        <v>43282</v>
      </c>
      <c r="J1276" t="s">
        <v>5350</v>
      </c>
      <c r="K1276" t="s">
        <v>1280</v>
      </c>
      <c r="L1276" t="s">
        <v>1280</v>
      </c>
      <c r="M1276">
        <v>201272</v>
      </c>
      <c r="N1276" t="s">
        <v>5329</v>
      </c>
      <c r="O1276" t="s">
        <v>25</v>
      </c>
      <c r="P1276" t="s">
        <v>290</v>
      </c>
      <c r="Q1276" t="s">
        <v>1824</v>
      </c>
      <c r="R1276" s="710">
        <f>IF(Table__192.168.1.150_Daily_Delinquency_With_Sectors[[#This Row],[Days in Arrears]] &gt; 0, Table__192.168.1.150_Daily_Delinquency_With_Sectors[[#This Row],[Outstanding Balance]],0)</f>
        <v>0</v>
      </c>
      <c r="S1276" s="105">
        <f>IF(Table__192.168.1.150_Daily_Delinquency_With_Sectors[[#This Row],[Days in Arrears]] &gt; 30, Table__192.168.1.150_Daily_Delinquency_With_Sectors[[#This Row],[Outstanding Balance]],0)</f>
        <v>0</v>
      </c>
      <c r="T1276" s="105">
        <f>IF(Table__192.168.1.150_Daily_Delinquency_With_Sectors[[#This Row],[Days in Arrears]] &gt; 90, Table__192.168.1.150_Daily_Delinquency_With_Sectors[[#This Row],[Outstanding Balance]],0)</f>
        <v>0</v>
      </c>
      <c r="U1276" s="109">
        <f>IF(Table__192.168.1.150_Daily_Delinquency_With_Sectors[[#This Row],[Days in Arrears]] &gt;= 1,1,0)</f>
        <v>0</v>
      </c>
      <c r="V1276" s="109">
        <f>IF(Table__192.168.1.150_Daily_Delinquency_With_Sectors[[#This Row],[Days in Arrears]] &gt; 30,1,0)</f>
        <v>0</v>
      </c>
      <c r="W1276" s="109">
        <f>IF(Table__192.168.1.150_Daily_Delinquency_With_Sectors[[#This Row],[Days in Arrears]] &gt; 90,1,0)</f>
        <v>0</v>
      </c>
    </row>
    <row r="1277" spans="1:23" x14ac:dyDescent="0.25">
      <c r="A1277" t="s">
        <v>4295</v>
      </c>
      <c r="B1277" t="s">
        <v>1281</v>
      </c>
      <c r="C1277">
        <v>-7</v>
      </c>
      <c r="D1277" s="105">
        <v>21515879.079999998</v>
      </c>
      <c r="E1277" t="s">
        <v>1467</v>
      </c>
      <c r="F1277" s="105">
        <v>627546.47</v>
      </c>
      <c r="G1277" s="105">
        <v>5174197.46</v>
      </c>
      <c r="H1277" s="711">
        <v>42975.677240046294</v>
      </c>
      <c r="I1277" s="711">
        <v>43344</v>
      </c>
      <c r="J1277" t="s">
        <v>4296</v>
      </c>
      <c r="K1277" t="s">
        <v>1280</v>
      </c>
      <c r="L1277" t="s">
        <v>4297</v>
      </c>
      <c r="M1277">
        <v>201273</v>
      </c>
      <c r="N1277" t="s">
        <v>4281</v>
      </c>
      <c r="O1277" t="s">
        <v>44</v>
      </c>
      <c r="P1277" t="s">
        <v>75</v>
      </c>
      <c r="Q1277" t="s">
        <v>26</v>
      </c>
      <c r="R1277" s="710">
        <f>IF(Table__192.168.1.150_Daily_Delinquency_With_Sectors[[#This Row],[Days in Arrears]] &gt; 0, Table__192.168.1.150_Daily_Delinquency_With_Sectors[[#This Row],[Outstanding Balance]],0)</f>
        <v>0</v>
      </c>
      <c r="S1277" s="105">
        <f>IF(Table__192.168.1.150_Daily_Delinquency_With_Sectors[[#This Row],[Days in Arrears]] &gt; 30, Table__192.168.1.150_Daily_Delinquency_With_Sectors[[#This Row],[Outstanding Balance]],0)</f>
        <v>0</v>
      </c>
      <c r="T1277" s="105">
        <f>IF(Table__192.168.1.150_Daily_Delinquency_With_Sectors[[#This Row],[Days in Arrears]] &gt; 90, Table__192.168.1.150_Daily_Delinquency_With_Sectors[[#This Row],[Outstanding Balance]],0)</f>
        <v>0</v>
      </c>
      <c r="U1277" s="109">
        <f>IF(Table__192.168.1.150_Daily_Delinquency_With_Sectors[[#This Row],[Days in Arrears]] &gt;= 1,1,0)</f>
        <v>0</v>
      </c>
      <c r="V1277" s="109">
        <f>IF(Table__192.168.1.150_Daily_Delinquency_With_Sectors[[#This Row],[Days in Arrears]] &gt; 30,1,0)</f>
        <v>0</v>
      </c>
      <c r="W1277" s="109">
        <f>IF(Table__192.168.1.150_Daily_Delinquency_With_Sectors[[#This Row],[Days in Arrears]] &gt; 90,1,0)</f>
        <v>0</v>
      </c>
    </row>
    <row r="1278" spans="1:23" x14ac:dyDescent="0.25">
      <c r="A1278" t="s">
        <v>5361</v>
      </c>
      <c r="B1278" t="s">
        <v>1282</v>
      </c>
      <c r="C1278">
        <v>-7</v>
      </c>
      <c r="D1278" s="105">
        <v>2925906.77</v>
      </c>
      <c r="E1278" t="s">
        <v>4919</v>
      </c>
      <c r="F1278" s="105">
        <v>96554.92</v>
      </c>
      <c r="G1278" s="105">
        <v>3548765.69</v>
      </c>
      <c r="H1278" s="711">
        <v>42976.713202511572</v>
      </c>
      <c r="I1278" s="711">
        <v>43282</v>
      </c>
      <c r="J1278" t="s">
        <v>5362</v>
      </c>
      <c r="K1278" t="s">
        <v>1280</v>
      </c>
      <c r="L1278" t="s">
        <v>5363</v>
      </c>
      <c r="M1278">
        <v>201275</v>
      </c>
      <c r="N1278" t="s">
        <v>5355</v>
      </c>
      <c r="O1278" t="s">
        <v>37</v>
      </c>
      <c r="P1278" t="s">
        <v>38</v>
      </c>
      <c r="Q1278" t="s">
        <v>39</v>
      </c>
      <c r="R1278" s="710">
        <f>IF(Table__192.168.1.150_Daily_Delinquency_With_Sectors[[#This Row],[Days in Arrears]] &gt; 0, Table__192.168.1.150_Daily_Delinquency_With_Sectors[[#This Row],[Outstanding Balance]],0)</f>
        <v>0</v>
      </c>
      <c r="S1278" s="105">
        <f>IF(Table__192.168.1.150_Daily_Delinquency_With_Sectors[[#This Row],[Days in Arrears]] &gt; 30, Table__192.168.1.150_Daily_Delinquency_With_Sectors[[#This Row],[Outstanding Balance]],0)</f>
        <v>0</v>
      </c>
      <c r="T1278" s="105">
        <f>IF(Table__192.168.1.150_Daily_Delinquency_With_Sectors[[#This Row],[Days in Arrears]] &gt; 90, Table__192.168.1.150_Daily_Delinquency_With_Sectors[[#This Row],[Outstanding Balance]],0)</f>
        <v>0</v>
      </c>
      <c r="U1278" s="109">
        <f>IF(Table__192.168.1.150_Daily_Delinquency_With_Sectors[[#This Row],[Days in Arrears]] &gt;= 1,1,0)</f>
        <v>0</v>
      </c>
      <c r="V1278" s="109">
        <f>IF(Table__192.168.1.150_Daily_Delinquency_With_Sectors[[#This Row],[Days in Arrears]] &gt; 30,1,0)</f>
        <v>0</v>
      </c>
      <c r="W1278" s="109">
        <f>IF(Table__192.168.1.150_Daily_Delinquency_With_Sectors[[#This Row],[Days in Arrears]] &gt; 90,1,0)</f>
        <v>0</v>
      </c>
    </row>
    <row r="1279" spans="1:23" x14ac:dyDescent="0.25">
      <c r="A1279" t="s">
        <v>5364</v>
      </c>
      <c r="B1279" t="s">
        <v>1282</v>
      </c>
      <c r="C1279">
        <v>-7</v>
      </c>
      <c r="D1279" s="105">
        <v>2507920.08</v>
      </c>
      <c r="E1279" t="s">
        <v>4686</v>
      </c>
      <c r="F1279" s="105">
        <v>82761.36</v>
      </c>
      <c r="G1279" s="105">
        <v>3041799.14</v>
      </c>
      <c r="H1279" s="711">
        <v>42976.704078506948</v>
      </c>
      <c r="I1279" s="711">
        <v>43282</v>
      </c>
      <c r="J1279" t="s">
        <v>5365</v>
      </c>
      <c r="K1279" t="s">
        <v>1280</v>
      </c>
      <c r="L1279" t="s">
        <v>5366</v>
      </c>
      <c r="M1279">
        <v>201276</v>
      </c>
      <c r="N1279" t="s">
        <v>5354</v>
      </c>
      <c r="O1279" t="s">
        <v>25</v>
      </c>
      <c r="P1279" t="s">
        <v>88</v>
      </c>
      <c r="Q1279" t="s">
        <v>26</v>
      </c>
      <c r="R1279" s="710">
        <f>IF(Table__192.168.1.150_Daily_Delinquency_With_Sectors[[#This Row],[Days in Arrears]] &gt; 0, Table__192.168.1.150_Daily_Delinquency_With_Sectors[[#This Row],[Outstanding Balance]],0)</f>
        <v>0</v>
      </c>
      <c r="S1279" s="105">
        <f>IF(Table__192.168.1.150_Daily_Delinquency_With_Sectors[[#This Row],[Days in Arrears]] &gt; 30, Table__192.168.1.150_Daily_Delinquency_With_Sectors[[#This Row],[Outstanding Balance]],0)</f>
        <v>0</v>
      </c>
      <c r="T1279" s="105">
        <f>IF(Table__192.168.1.150_Daily_Delinquency_With_Sectors[[#This Row],[Days in Arrears]] &gt; 90, Table__192.168.1.150_Daily_Delinquency_With_Sectors[[#This Row],[Outstanding Balance]],0)</f>
        <v>0</v>
      </c>
      <c r="U1279" s="109">
        <f>IF(Table__192.168.1.150_Daily_Delinquency_With_Sectors[[#This Row],[Days in Arrears]] &gt;= 1,1,0)</f>
        <v>0</v>
      </c>
      <c r="V1279" s="109">
        <f>IF(Table__192.168.1.150_Daily_Delinquency_With_Sectors[[#This Row],[Days in Arrears]] &gt; 30,1,0)</f>
        <v>0</v>
      </c>
      <c r="W1279" s="109">
        <f>IF(Table__192.168.1.150_Daily_Delinquency_With_Sectors[[#This Row],[Days in Arrears]] &gt; 90,1,0)</f>
        <v>0</v>
      </c>
    </row>
    <row r="1280" spans="1:23" x14ac:dyDescent="0.25">
      <c r="A1280" t="s">
        <v>2754</v>
      </c>
      <c r="B1280" t="s">
        <v>1281</v>
      </c>
      <c r="C1280">
        <v>23</v>
      </c>
      <c r="D1280" s="105">
        <v>19006250.460000001</v>
      </c>
      <c r="E1280" t="s">
        <v>2557</v>
      </c>
      <c r="F1280" s="105">
        <v>1075106.75</v>
      </c>
      <c r="G1280" s="105">
        <v>24315484.489999998</v>
      </c>
      <c r="H1280" s="711">
        <v>42976.705124189815</v>
      </c>
      <c r="I1280" s="711">
        <v>43435</v>
      </c>
      <c r="J1280" t="s">
        <v>2755</v>
      </c>
      <c r="K1280" t="s">
        <v>1280</v>
      </c>
      <c r="L1280" t="s">
        <v>1280</v>
      </c>
      <c r="M1280">
        <v>201277</v>
      </c>
      <c r="N1280" t="s">
        <v>2747</v>
      </c>
      <c r="O1280" t="s">
        <v>25</v>
      </c>
      <c r="P1280" t="s">
        <v>88</v>
      </c>
      <c r="Q1280" t="s">
        <v>285</v>
      </c>
      <c r="R1280" s="710">
        <f>IF(Table__192.168.1.150_Daily_Delinquency_With_Sectors[[#This Row],[Days in Arrears]] &gt; 0, Table__192.168.1.150_Daily_Delinquency_With_Sectors[[#This Row],[Outstanding Balance]],0)</f>
        <v>19006250.460000001</v>
      </c>
      <c r="S1280" s="105">
        <f>IF(Table__192.168.1.150_Daily_Delinquency_With_Sectors[[#This Row],[Days in Arrears]] &gt; 30, Table__192.168.1.150_Daily_Delinquency_With_Sectors[[#This Row],[Outstanding Balance]],0)</f>
        <v>0</v>
      </c>
      <c r="T1280" s="105">
        <f>IF(Table__192.168.1.150_Daily_Delinquency_With_Sectors[[#This Row],[Days in Arrears]] &gt; 90, Table__192.168.1.150_Daily_Delinquency_With_Sectors[[#This Row],[Outstanding Balance]],0)</f>
        <v>0</v>
      </c>
      <c r="U1280" s="109">
        <f>IF(Table__192.168.1.150_Daily_Delinquency_With_Sectors[[#This Row],[Days in Arrears]] &gt;= 1,1,0)</f>
        <v>1</v>
      </c>
      <c r="V1280" s="109">
        <f>IF(Table__192.168.1.150_Daily_Delinquency_With_Sectors[[#This Row],[Days in Arrears]] &gt; 30,1,0)</f>
        <v>0</v>
      </c>
      <c r="W1280" s="109">
        <f>IF(Table__192.168.1.150_Daily_Delinquency_With_Sectors[[#This Row],[Days in Arrears]] &gt; 90,1,0)</f>
        <v>0</v>
      </c>
    </row>
    <row r="1281" spans="1:23" x14ac:dyDescent="0.25">
      <c r="A1281" t="s">
        <v>2873</v>
      </c>
      <c r="B1281" t="s">
        <v>1284</v>
      </c>
      <c r="C1281">
        <v>-7</v>
      </c>
      <c r="D1281" s="105">
        <v>13375781.220000001</v>
      </c>
      <c r="E1281" t="s">
        <v>2557</v>
      </c>
      <c r="F1281" s="105">
        <v>294267.19</v>
      </c>
      <c r="G1281" s="105">
        <v>16350341.890000001</v>
      </c>
      <c r="H1281" s="711">
        <v>42977.507034722221</v>
      </c>
      <c r="I1281" s="711">
        <v>43435</v>
      </c>
      <c r="J1281" t="s">
        <v>2874</v>
      </c>
      <c r="K1281" t="s">
        <v>1280</v>
      </c>
      <c r="L1281" t="s">
        <v>1280</v>
      </c>
      <c r="M1281">
        <v>201278</v>
      </c>
      <c r="N1281" t="s">
        <v>2872</v>
      </c>
      <c r="O1281" t="s">
        <v>25</v>
      </c>
      <c r="P1281" t="s">
        <v>88</v>
      </c>
      <c r="Q1281" t="s">
        <v>285</v>
      </c>
      <c r="R1281" s="710">
        <f>IF(Table__192.168.1.150_Daily_Delinquency_With_Sectors[[#This Row],[Days in Arrears]] &gt; 0, Table__192.168.1.150_Daily_Delinquency_With_Sectors[[#This Row],[Outstanding Balance]],0)</f>
        <v>0</v>
      </c>
      <c r="S1281" s="105">
        <f>IF(Table__192.168.1.150_Daily_Delinquency_With_Sectors[[#This Row],[Days in Arrears]] &gt; 30, Table__192.168.1.150_Daily_Delinquency_With_Sectors[[#This Row],[Outstanding Balance]],0)</f>
        <v>0</v>
      </c>
      <c r="T1281" s="105">
        <f>IF(Table__192.168.1.150_Daily_Delinquency_With_Sectors[[#This Row],[Days in Arrears]] &gt; 90, Table__192.168.1.150_Daily_Delinquency_With_Sectors[[#This Row],[Outstanding Balance]],0)</f>
        <v>0</v>
      </c>
      <c r="U1281" s="109">
        <f>IF(Table__192.168.1.150_Daily_Delinquency_With_Sectors[[#This Row],[Days in Arrears]] &gt;= 1,1,0)</f>
        <v>0</v>
      </c>
      <c r="V1281" s="109">
        <f>IF(Table__192.168.1.150_Daily_Delinquency_With_Sectors[[#This Row],[Days in Arrears]] &gt; 30,1,0)</f>
        <v>0</v>
      </c>
      <c r="W1281" s="109">
        <f>IF(Table__192.168.1.150_Daily_Delinquency_With_Sectors[[#This Row],[Days in Arrears]] &gt; 90,1,0)</f>
        <v>0</v>
      </c>
    </row>
    <row r="1282" spans="1:23" x14ac:dyDescent="0.25">
      <c r="A1282" t="s">
        <v>3148</v>
      </c>
      <c r="B1282" t="s">
        <v>1284</v>
      </c>
      <c r="C1282">
        <v>-7</v>
      </c>
      <c r="D1282" s="105">
        <v>21444849.199999999</v>
      </c>
      <c r="E1282" t="s">
        <v>491</v>
      </c>
      <c r="F1282" s="105">
        <v>471786.68</v>
      </c>
      <c r="G1282" s="105">
        <v>25139905.350000001</v>
      </c>
      <c r="H1282" s="711">
        <v>42978.501097372682</v>
      </c>
      <c r="I1282" s="711">
        <v>43344</v>
      </c>
      <c r="J1282" t="s">
        <v>3149</v>
      </c>
      <c r="K1282" t="s">
        <v>1280</v>
      </c>
      <c r="L1282" t="s">
        <v>3150</v>
      </c>
      <c r="M1282">
        <v>201279</v>
      </c>
      <c r="N1282" t="s">
        <v>3147</v>
      </c>
      <c r="O1282" t="s">
        <v>44</v>
      </c>
      <c r="P1282" t="s">
        <v>92</v>
      </c>
      <c r="Q1282" t="s">
        <v>92</v>
      </c>
      <c r="R1282" s="710">
        <f>IF(Table__192.168.1.150_Daily_Delinquency_With_Sectors[[#This Row],[Days in Arrears]] &gt; 0, Table__192.168.1.150_Daily_Delinquency_With_Sectors[[#This Row],[Outstanding Balance]],0)</f>
        <v>0</v>
      </c>
      <c r="S1282" s="105">
        <f>IF(Table__192.168.1.150_Daily_Delinquency_With_Sectors[[#This Row],[Days in Arrears]] &gt; 30, Table__192.168.1.150_Daily_Delinquency_With_Sectors[[#This Row],[Outstanding Balance]],0)</f>
        <v>0</v>
      </c>
      <c r="T1282" s="105">
        <f>IF(Table__192.168.1.150_Daily_Delinquency_With_Sectors[[#This Row],[Days in Arrears]] &gt; 90, Table__192.168.1.150_Daily_Delinquency_With_Sectors[[#This Row],[Outstanding Balance]],0)</f>
        <v>0</v>
      </c>
      <c r="U1282" s="109">
        <f>IF(Table__192.168.1.150_Daily_Delinquency_With_Sectors[[#This Row],[Days in Arrears]] &gt;= 1,1,0)</f>
        <v>0</v>
      </c>
      <c r="V1282" s="109">
        <f>IF(Table__192.168.1.150_Daily_Delinquency_With_Sectors[[#This Row],[Days in Arrears]] &gt; 30,1,0)</f>
        <v>0</v>
      </c>
      <c r="W1282" s="109">
        <f>IF(Table__192.168.1.150_Daily_Delinquency_With_Sectors[[#This Row],[Days in Arrears]] &gt; 90,1,0)</f>
        <v>0</v>
      </c>
    </row>
    <row r="1283" spans="1:23" x14ac:dyDescent="0.25">
      <c r="A1283" t="s">
        <v>3364</v>
      </c>
      <c r="B1283" t="s">
        <v>1867</v>
      </c>
      <c r="C1283">
        <v>-7</v>
      </c>
      <c r="D1283" s="105">
        <v>10339263.41</v>
      </c>
      <c r="E1283" t="s">
        <v>4684</v>
      </c>
      <c r="F1283" s="105">
        <v>265374.43</v>
      </c>
      <c r="G1283" s="105">
        <v>12432071.76</v>
      </c>
      <c r="H1283" s="711">
        <v>42978.713211226852</v>
      </c>
      <c r="I1283" s="711">
        <v>43344</v>
      </c>
      <c r="J1283" t="s">
        <v>3365</v>
      </c>
      <c r="K1283" t="s">
        <v>1280</v>
      </c>
      <c r="L1283" t="s">
        <v>1280</v>
      </c>
      <c r="M1283">
        <v>201280</v>
      </c>
      <c r="N1283" t="s">
        <v>3347</v>
      </c>
      <c r="O1283" t="s">
        <v>25</v>
      </c>
      <c r="P1283" t="s">
        <v>88</v>
      </c>
      <c r="Q1283" t="s">
        <v>285</v>
      </c>
      <c r="R1283" s="710">
        <f>IF(Table__192.168.1.150_Daily_Delinquency_With_Sectors[[#This Row],[Days in Arrears]] &gt; 0, Table__192.168.1.150_Daily_Delinquency_With_Sectors[[#This Row],[Outstanding Balance]],0)</f>
        <v>0</v>
      </c>
      <c r="S1283" s="105">
        <f>IF(Table__192.168.1.150_Daily_Delinquency_With_Sectors[[#This Row],[Days in Arrears]] &gt; 30, Table__192.168.1.150_Daily_Delinquency_With_Sectors[[#This Row],[Outstanding Balance]],0)</f>
        <v>0</v>
      </c>
      <c r="T1283" s="105">
        <f>IF(Table__192.168.1.150_Daily_Delinquency_With_Sectors[[#This Row],[Days in Arrears]] &gt; 90, Table__192.168.1.150_Daily_Delinquency_With_Sectors[[#This Row],[Outstanding Balance]],0)</f>
        <v>0</v>
      </c>
      <c r="U1283" s="109">
        <f>IF(Table__192.168.1.150_Daily_Delinquency_With_Sectors[[#This Row],[Days in Arrears]] &gt;= 1,1,0)</f>
        <v>0</v>
      </c>
      <c r="V1283" s="109">
        <f>IF(Table__192.168.1.150_Daily_Delinquency_With_Sectors[[#This Row],[Days in Arrears]] &gt; 30,1,0)</f>
        <v>0</v>
      </c>
      <c r="W1283" s="109">
        <f>IF(Table__192.168.1.150_Daily_Delinquency_With_Sectors[[#This Row],[Days in Arrears]] &gt; 90,1,0)</f>
        <v>0</v>
      </c>
    </row>
    <row r="1284" spans="1:23" x14ac:dyDescent="0.25">
      <c r="A1284" t="s">
        <v>3245</v>
      </c>
      <c r="B1284" t="s">
        <v>1282</v>
      </c>
      <c r="C1284">
        <v>-7</v>
      </c>
      <c r="D1284" s="105">
        <v>7788074.04</v>
      </c>
      <c r="E1284" t="s">
        <v>2557</v>
      </c>
      <c r="F1284" s="105">
        <v>228450.17</v>
      </c>
      <c r="G1284" s="105">
        <v>9601990.0399999991</v>
      </c>
      <c r="H1284" s="711">
        <v>42978.639178622689</v>
      </c>
      <c r="I1284" s="711">
        <v>43344</v>
      </c>
      <c r="J1284" t="s">
        <v>3246</v>
      </c>
      <c r="K1284" t="s">
        <v>1280</v>
      </c>
      <c r="L1284" t="s">
        <v>1280</v>
      </c>
      <c r="M1284">
        <v>201281</v>
      </c>
      <c r="N1284" t="s">
        <v>3225</v>
      </c>
      <c r="O1284" t="s">
        <v>25</v>
      </c>
      <c r="P1284" t="s">
        <v>88</v>
      </c>
      <c r="Q1284" t="s">
        <v>285</v>
      </c>
      <c r="R1284" s="710">
        <f>IF(Table__192.168.1.150_Daily_Delinquency_With_Sectors[[#This Row],[Days in Arrears]] &gt; 0, Table__192.168.1.150_Daily_Delinquency_With_Sectors[[#This Row],[Outstanding Balance]],0)</f>
        <v>0</v>
      </c>
      <c r="S1284" s="105">
        <f>IF(Table__192.168.1.150_Daily_Delinquency_With_Sectors[[#This Row],[Days in Arrears]] &gt; 30, Table__192.168.1.150_Daily_Delinquency_With_Sectors[[#This Row],[Outstanding Balance]],0)</f>
        <v>0</v>
      </c>
      <c r="T1284" s="105">
        <f>IF(Table__192.168.1.150_Daily_Delinquency_With_Sectors[[#This Row],[Days in Arrears]] &gt; 90, Table__192.168.1.150_Daily_Delinquency_With_Sectors[[#This Row],[Outstanding Balance]],0)</f>
        <v>0</v>
      </c>
      <c r="U1284" s="109">
        <f>IF(Table__192.168.1.150_Daily_Delinquency_With_Sectors[[#This Row],[Days in Arrears]] &gt;= 1,1,0)</f>
        <v>0</v>
      </c>
      <c r="V1284" s="109">
        <f>IF(Table__192.168.1.150_Daily_Delinquency_With_Sectors[[#This Row],[Days in Arrears]] &gt; 30,1,0)</f>
        <v>0</v>
      </c>
      <c r="W1284" s="109">
        <f>IF(Table__192.168.1.150_Daily_Delinquency_With_Sectors[[#This Row],[Days in Arrears]] &gt; 90,1,0)</f>
        <v>0</v>
      </c>
    </row>
    <row r="1285" spans="1:23" x14ac:dyDescent="0.25">
      <c r="A1285" t="s">
        <v>4482</v>
      </c>
      <c r="B1285" t="s">
        <v>1282</v>
      </c>
      <c r="C1285">
        <v>-10</v>
      </c>
      <c r="D1285" s="105">
        <v>3320345.89</v>
      </c>
      <c r="E1285" t="s">
        <v>2538</v>
      </c>
      <c r="F1285" s="105">
        <v>84115.43</v>
      </c>
      <c r="G1285" s="105">
        <v>3945310.21</v>
      </c>
      <c r="H1285" s="711">
        <v>42982.557688460649</v>
      </c>
      <c r="I1285" s="711">
        <v>43285</v>
      </c>
      <c r="J1285" t="s">
        <v>4483</v>
      </c>
      <c r="K1285" t="s">
        <v>1280</v>
      </c>
      <c r="L1285" t="s">
        <v>4484</v>
      </c>
      <c r="M1285">
        <v>201282</v>
      </c>
      <c r="N1285" t="s">
        <v>4474</v>
      </c>
      <c r="O1285" t="s">
        <v>25</v>
      </c>
      <c r="P1285" t="s">
        <v>88</v>
      </c>
      <c r="Q1285" t="s">
        <v>26</v>
      </c>
      <c r="R1285" s="710">
        <f>IF(Table__192.168.1.150_Daily_Delinquency_With_Sectors[[#This Row],[Days in Arrears]] &gt; 0, Table__192.168.1.150_Daily_Delinquency_With_Sectors[[#This Row],[Outstanding Balance]],0)</f>
        <v>0</v>
      </c>
      <c r="S1285" s="105">
        <f>IF(Table__192.168.1.150_Daily_Delinquency_With_Sectors[[#This Row],[Days in Arrears]] &gt; 30, Table__192.168.1.150_Daily_Delinquency_With_Sectors[[#This Row],[Outstanding Balance]],0)</f>
        <v>0</v>
      </c>
      <c r="T1285" s="105">
        <f>IF(Table__192.168.1.150_Daily_Delinquency_With_Sectors[[#This Row],[Days in Arrears]] &gt; 90, Table__192.168.1.150_Daily_Delinquency_With_Sectors[[#This Row],[Outstanding Balance]],0)</f>
        <v>0</v>
      </c>
      <c r="U1285" s="109">
        <f>IF(Table__192.168.1.150_Daily_Delinquency_With_Sectors[[#This Row],[Days in Arrears]] &gt;= 1,1,0)</f>
        <v>0</v>
      </c>
      <c r="V1285" s="109">
        <f>IF(Table__192.168.1.150_Daily_Delinquency_With_Sectors[[#This Row],[Days in Arrears]] &gt; 30,1,0)</f>
        <v>0</v>
      </c>
      <c r="W1285" s="109">
        <f>IF(Table__192.168.1.150_Daily_Delinquency_With_Sectors[[#This Row],[Days in Arrears]] &gt; 90,1,0)</f>
        <v>0</v>
      </c>
    </row>
    <row r="1286" spans="1:23" x14ac:dyDescent="0.25">
      <c r="A1286" t="s">
        <v>3719</v>
      </c>
      <c r="B1286" t="s">
        <v>1279</v>
      </c>
      <c r="C1286">
        <v>-11</v>
      </c>
      <c r="D1286" s="105">
        <v>4321167.8499999996</v>
      </c>
      <c r="E1286" t="s">
        <v>4684</v>
      </c>
      <c r="F1286" s="105">
        <v>103708.03</v>
      </c>
      <c r="G1286" s="105">
        <v>5327608.66</v>
      </c>
      <c r="H1286" s="711">
        <v>42983.470955324075</v>
      </c>
      <c r="I1286" s="711">
        <v>43348</v>
      </c>
      <c r="J1286" t="s">
        <v>3720</v>
      </c>
      <c r="K1286" t="s">
        <v>1280</v>
      </c>
      <c r="L1286" t="s">
        <v>3721</v>
      </c>
      <c r="M1286">
        <v>201283</v>
      </c>
      <c r="N1286" t="s">
        <v>3702</v>
      </c>
      <c r="O1286" t="s">
        <v>25</v>
      </c>
      <c r="P1286" t="s">
        <v>88</v>
      </c>
      <c r="Q1286" t="s">
        <v>285</v>
      </c>
      <c r="R1286" s="710">
        <f>IF(Table__192.168.1.150_Daily_Delinquency_With_Sectors[[#This Row],[Days in Arrears]] &gt; 0, Table__192.168.1.150_Daily_Delinquency_With_Sectors[[#This Row],[Outstanding Balance]],0)</f>
        <v>0</v>
      </c>
      <c r="S1286" s="105">
        <f>IF(Table__192.168.1.150_Daily_Delinquency_With_Sectors[[#This Row],[Days in Arrears]] &gt; 30, Table__192.168.1.150_Daily_Delinquency_With_Sectors[[#This Row],[Outstanding Balance]],0)</f>
        <v>0</v>
      </c>
      <c r="T1286" s="105">
        <f>IF(Table__192.168.1.150_Daily_Delinquency_With_Sectors[[#This Row],[Days in Arrears]] &gt; 90, Table__192.168.1.150_Daily_Delinquency_With_Sectors[[#This Row],[Outstanding Balance]],0)</f>
        <v>0</v>
      </c>
      <c r="U1286" s="109">
        <f>IF(Table__192.168.1.150_Daily_Delinquency_With_Sectors[[#This Row],[Days in Arrears]] &gt;= 1,1,0)</f>
        <v>0</v>
      </c>
      <c r="V1286" s="109">
        <f>IF(Table__192.168.1.150_Daily_Delinquency_With_Sectors[[#This Row],[Days in Arrears]] &gt; 30,1,0)</f>
        <v>0</v>
      </c>
      <c r="W1286" s="109">
        <f>IF(Table__192.168.1.150_Daily_Delinquency_With_Sectors[[#This Row],[Days in Arrears]] &gt; 90,1,0)</f>
        <v>0</v>
      </c>
    </row>
    <row r="1287" spans="1:23" x14ac:dyDescent="0.25">
      <c r="A1287" t="s">
        <v>5395</v>
      </c>
      <c r="B1287" t="s">
        <v>1279</v>
      </c>
      <c r="C1287">
        <v>-10</v>
      </c>
      <c r="D1287" s="105">
        <v>781983.27</v>
      </c>
      <c r="E1287" t="s">
        <v>2538</v>
      </c>
      <c r="F1287" s="105">
        <v>22286.52</v>
      </c>
      <c r="G1287" s="105">
        <v>909657.94</v>
      </c>
      <c r="H1287" s="711">
        <v>42982.631709027781</v>
      </c>
      <c r="I1287" s="711">
        <v>43224</v>
      </c>
      <c r="J1287" t="s">
        <v>5396</v>
      </c>
      <c r="K1287" t="s">
        <v>1280</v>
      </c>
      <c r="L1287" t="s">
        <v>1280</v>
      </c>
      <c r="M1287">
        <v>201284</v>
      </c>
      <c r="N1287" t="s">
        <v>5389</v>
      </c>
      <c r="O1287" t="s">
        <v>31</v>
      </c>
      <c r="P1287" t="s">
        <v>5390</v>
      </c>
      <c r="Q1287" t="s">
        <v>5391</v>
      </c>
      <c r="R1287" s="710">
        <f>IF(Table__192.168.1.150_Daily_Delinquency_With_Sectors[[#This Row],[Days in Arrears]] &gt; 0, Table__192.168.1.150_Daily_Delinquency_With_Sectors[[#This Row],[Outstanding Balance]],0)</f>
        <v>0</v>
      </c>
      <c r="S1287" s="105">
        <f>IF(Table__192.168.1.150_Daily_Delinquency_With_Sectors[[#This Row],[Days in Arrears]] &gt; 30, Table__192.168.1.150_Daily_Delinquency_With_Sectors[[#This Row],[Outstanding Balance]],0)</f>
        <v>0</v>
      </c>
      <c r="T1287" s="105">
        <f>IF(Table__192.168.1.150_Daily_Delinquency_With_Sectors[[#This Row],[Days in Arrears]] &gt; 90, Table__192.168.1.150_Daily_Delinquency_With_Sectors[[#This Row],[Outstanding Balance]],0)</f>
        <v>0</v>
      </c>
      <c r="U1287" s="109">
        <f>IF(Table__192.168.1.150_Daily_Delinquency_With_Sectors[[#This Row],[Days in Arrears]] &gt;= 1,1,0)</f>
        <v>0</v>
      </c>
      <c r="V1287" s="109">
        <f>IF(Table__192.168.1.150_Daily_Delinquency_With_Sectors[[#This Row],[Days in Arrears]] &gt; 30,1,0)</f>
        <v>0</v>
      </c>
      <c r="W1287" s="109">
        <f>IF(Table__192.168.1.150_Daily_Delinquency_With_Sectors[[#This Row],[Days in Arrears]] &gt; 90,1,0)</f>
        <v>0</v>
      </c>
    </row>
    <row r="1288" spans="1:23" x14ac:dyDescent="0.25">
      <c r="A1288" t="s">
        <v>5405</v>
      </c>
      <c r="B1288" t="s">
        <v>1279</v>
      </c>
      <c r="C1288">
        <v>-12</v>
      </c>
      <c r="D1288" s="105">
        <v>781983.27</v>
      </c>
      <c r="E1288" t="s">
        <v>1447</v>
      </c>
      <c r="F1288" s="105">
        <v>19940.57</v>
      </c>
      <c r="G1288" s="105">
        <v>909657.94</v>
      </c>
      <c r="H1288" s="711">
        <v>42984.537024421297</v>
      </c>
      <c r="I1288" s="711">
        <v>43226</v>
      </c>
      <c r="J1288" t="s">
        <v>5406</v>
      </c>
      <c r="K1288" t="s">
        <v>1280</v>
      </c>
      <c r="L1288" t="s">
        <v>5407</v>
      </c>
      <c r="M1288">
        <v>201285</v>
      </c>
      <c r="N1288" t="s">
        <v>5401</v>
      </c>
      <c r="O1288" t="s">
        <v>25</v>
      </c>
      <c r="P1288" t="s">
        <v>88</v>
      </c>
      <c r="Q1288" t="s">
        <v>285</v>
      </c>
      <c r="R1288" s="710">
        <f>IF(Table__192.168.1.150_Daily_Delinquency_With_Sectors[[#This Row],[Days in Arrears]] &gt; 0, Table__192.168.1.150_Daily_Delinquency_With_Sectors[[#This Row],[Outstanding Balance]],0)</f>
        <v>0</v>
      </c>
      <c r="S1288" s="105">
        <f>IF(Table__192.168.1.150_Daily_Delinquency_With_Sectors[[#This Row],[Days in Arrears]] &gt; 30, Table__192.168.1.150_Daily_Delinquency_With_Sectors[[#This Row],[Outstanding Balance]],0)</f>
        <v>0</v>
      </c>
      <c r="T1288" s="105">
        <f>IF(Table__192.168.1.150_Daily_Delinquency_With_Sectors[[#This Row],[Days in Arrears]] &gt; 90, Table__192.168.1.150_Daily_Delinquency_With_Sectors[[#This Row],[Outstanding Balance]],0)</f>
        <v>0</v>
      </c>
      <c r="U1288" s="109">
        <f>IF(Table__192.168.1.150_Daily_Delinquency_With_Sectors[[#This Row],[Days in Arrears]] &gt;= 1,1,0)</f>
        <v>0</v>
      </c>
      <c r="V1288" s="109">
        <f>IF(Table__192.168.1.150_Daily_Delinquency_With_Sectors[[#This Row],[Days in Arrears]] &gt; 30,1,0)</f>
        <v>0</v>
      </c>
      <c r="W1288" s="109">
        <f>IF(Table__192.168.1.150_Daily_Delinquency_With_Sectors[[#This Row],[Days in Arrears]] &gt; 90,1,0)</f>
        <v>0</v>
      </c>
    </row>
    <row r="1289" spans="1:23" x14ac:dyDescent="0.25">
      <c r="A1289" t="s">
        <v>5411</v>
      </c>
      <c r="B1289" t="s">
        <v>1282</v>
      </c>
      <c r="C1289">
        <v>-13</v>
      </c>
      <c r="D1289" s="105">
        <v>2345949.7799999998</v>
      </c>
      <c r="E1289" t="s">
        <v>2855</v>
      </c>
      <c r="F1289" s="105">
        <v>56302.79</v>
      </c>
      <c r="G1289" s="105">
        <v>2728973.78</v>
      </c>
      <c r="H1289" s="711">
        <v>42985.593266550924</v>
      </c>
      <c r="I1289" s="711">
        <v>43227</v>
      </c>
      <c r="J1289" t="s">
        <v>5412</v>
      </c>
      <c r="K1289" t="s">
        <v>5413</v>
      </c>
      <c r="L1289" t="s">
        <v>1280</v>
      </c>
      <c r="M1289">
        <v>201286</v>
      </c>
      <c r="N1289" t="s">
        <v>5408</v>
      </c>
      <c r="O1289" t="s">
        <v>31</v>
      </c>
      <c r="P1289" t="s">
        <v>2309</v>
      </c>
      <c r="Q1289" t="s">
        <v>5116</v>
      </c>
      <c r="R1289" s="710">
        <f>IF(Table__192.168.1.150_Daily_Delinquency_With_Sectors[[#This Row],[Days in Arrears]] &gt; 0, Table__192.168.1.150_Daily_Delinquency_With_Sectors[[#This Row],[Outstanding Balance]],0)</f>
        <v>0</v>
      </c>
      <c r="S1289" s="105">
        <f>IF(Table__192.168.1.150_Daily_Delinquency_With_Sectors[[#This Row],[Days in Arrears]] &gt; 30, Table__192.168.1.150_Daily_Delinquency_With_Sectors[[#This Row],[Outstanding Balance]],0)</f>
        <v>0</v>
      </c>
      <c r="T1289" s="105">
        <f>IF(Table__192.168.1.150_Daily_Delinquency_With_Sectors[[#This Row],[Days in Arrears]] &gt; 90, Table__192.168.1.150_Daily_Delinquency_With_Sectors[[#This Row],[Outstanding Balance]],0)</f>
        <v>0</v>
      </c>
      <c r="U1289" s="109">
        <f>IF(Table__192.168.1.150_Daily_Delinquency_With_Sectors[[#This Row],[Days in Arrears]] &gt;= 1,1,0)</f>
        <v>0</v>
      </c>
      <c r="V1289" s="109">
        <f>IF(Table__192.168.1.150_Daily_Delinquency_With_Sectors[[#This Row],[Days in Arrears]] &gt; 30,1,0)</f>
        <v>0</v>
      </c>
      <c r="W1289" s="109">
        <f>IF(Table__192.168.1.150_Daily_Delinquency_With_Sectors[[#This Row],[Days in Arrears]] &gt; 90,1,0)</f>
        <v>0</v>
      </c>
    </row>
    <row r="1290" spans="1:23" x14ac:dyDescent="0.25">
      <c r="A1290" t="s">
        <v>5414</v>
      </c>
      <c r="B1290" t="s">
        <v>1281</v>
      </c>
      <c r="C1290">
        <v>-13</v>
      </c>
      <c r="D1290" s="105">
        <v>17962403.100000001</v>
      </c>
      <c r="E1290" t="s">
        <v>90</v>
      </c>
      <c r="F1290" s="105">
        <v>383197.93</v>
      </c>
      <c r="G1290" s="105">
        <v>23384686.050000001</v>
      </c>
      <c r="H1290" s="711">
        <v>42985.602457442132</v>
      </c>
      <c r="I1290" s="711">
        <v>43441</v>
      </c>
      <c r="J1290" t="s">
        <v>5415</v>
      </c>
      <c r="K1290" t="s">
        <v>5416</v>
      </c>
      <c r="L1290" t="s">
        <v>1280</v>
      </c>
      <c r="M1290">
        <v>201288</v>
      </c>
      <c r="N1290" t="s">
        <v>5409</v>
      </c>
      <c r="O1290" t="s">
        <v>37</v>
      </c>
      <c r="P1290" t="s">
        <v>288</v>
      </c>
      <c r="Q1290" t="s">
        <v>26</v>
      </c>
      <c r="R1290" s="710">
        <f>IF(Table__192.168.1.150_Daily_Delinquency_With_Sectors[[#This Row],[Days in Arrears]] &gt; 0, Table__192.168.1.150_Daily_Delinquency_With_Sectors[[#This Row],[Outstanding Balance]],0)</f>
        <v>0</v>
      </c>
      <c r="S1290" s="105">
        <f>IF(Table__192.168.1.150_Daily_Delinquency_With_Sectors[[#This Row],[Days in Arrears]] &gt; 30, Table__192.168.1.150_Daily_Delinquency_With_Sectors[[#This Row],[Outstanding Balance]],0)</f>
        <v>0</v>
      </c>
      <c r="T1290" s="105">
        <f>IF(Table__192.168.1.150_Daily_Delinquency_With_Sectors[[#This Row],[Days in Arrears]] &gt; 90, Table__192.168.1.150_Daily_Delinquency_With_Sectors[[#This Row],[Outstanding Balance]],0)</f>
        <v>0</v>
      </c>
      <c r="U1290" s="109">
        <f>IF(Table__192.168.1.150_Daily_Delinquency_With_Sectors[[#This Row],[Days in Arrears]] &gt;= 1,1,0)</f>
        <v>0</v>
      </c>
      <c r="V1290" s="109">
        <f>IF(Table__192.168.1.150_Daily_Delinquency_With_Sectors[[#This Row],[Days in Arrears]] &gt; 30,1,0)</f>
        <v>0</v>
      </c>
      <c r="W1290" s="109">
        <f>IF(Table__192.168.1.150_Daily_Delinquency_With_Sectors[[#This Row],[Days in Arrears]] &gt; 90,1,0)</f>
        <v>0</v>
      </c>
    </row>
    <row r="1291" spans="1:23" x14ac:dyDescent="0.25">
      <c r="A1291" t="s">
        <v>5419</v>
      </c>
      <c r="B1291" t="s">
        <v>1866</v>
      </c>
      <c r="C1291">
        <v>-14</v>
      </c>
      <c r="D1291" s="105">
        <v>4987545.6500000004</v>
      </c>
      <c r="E1291" t="s">
        <v>1925</v>
      </c>
      <c r="F1291" s="105">
        <v>103907.2</v>
      </c>
      <c r="G1291" s="105">
        <v>5967168.1100000003</v>
      </c>
      <c r="H1291" s="711">
        <v>42986.699585995368</v>
      </c>
      <c r="I1291" s="711">
        <v>43289</v>
      </c>
      <c r="J1291" t="s">
        <v>5420</v>
      </c>
      <c r="K1291" t="s">
        <v>1280</v>
      </c>
      <c r="L1291" t="s">
        <v>1280</v>
      </c>
      <c r="M1291">
        <v>201289</v>
      </c>
      <c r="N1291" t="s">
        <v>5418</v>
      </c>
      <c r="O1291" t="s">
        <v>25</v>
      </c>
      <c r="P1291" t="s">
        <v>88</v>
      </c>
      <c r="Q1291" t="s">
        <v>285</v>
      </c>
      <c r="R1291" s="710">
        <f>IF(Table__192.168.1.150_Daily_Delinquency_With_Sectors[[#This Row],[Days in Arrears]] &gt; 0, Table__192.168.1.150_Daily_Delinquency_With_Sectors[[#This Row],[Outstanding Balance]],0)</f>
        <v>0</v>
      </c>
      <c r="S1291" s="105">
        <f>IF(Table__192.168.1.150_Daily_Delinquency_With_Sectors[[#This Row],[Days in Arrears]] &gt; 30, Table__192.168.1.150_Daily_Delinquency_With_Sectors[[#This Row],[Outstanding Balance]],0)</f>
        <v>0</v>
      </c>
      <c r="T1291" s="105">
        <f>IF(Table__192.168.1.150_Daily_Delinquency_With_Sectors[[#This Row],[Days in Arrears]] &gt; 90, Table__192.168.1.150_Daily_Delinquency_With_Sectors[[#This Row],[Outstanding Balance]],0)</f>
        <v>0</v>
      </c>
      <c r="U1291" s="109">
        <f>IF(Table__192.168.1.150_Daily_Delinquency_With_Sectors[[#This Row],[Days in Arrears]] &gt;= 1,1,0)</f>
        <v>0</v>
      </c>
      <c r="V1291" s="109">
        <f>IF(Table__192.168.1.150_Daily_Delinquency_With_Sectors[[#This Row],[Days in Arrears]] &gt; 30,1,0)</f>
        <v>0</v>
      </c>
      <c r="W1291" s="109">
        <f>IF(Table__192.168.1.150_Daily_Delinquency_With_Sectors[[#This Row],[Days in Arrears]] &gt; 90,1,0)</f>
        <v>0</v>
      </c>
    </row>
    <row r="1292" spans="1:23" x14ac:dyDescent="0.25">
      <c r="A1292" t="s">
        <v>4492</v>
      </c>
      <c r="B1292" t="s">
        <v>1282</v>
      </c>
      <c r="C1292">
        <v>-14</v>
      </c>
      <c r="D1292" s="105">
        <v>11235036.390000001</v>
      </c>
      <c r="E1292" t="s">
        <v>2538</v>
      </c>
      <c r="F1292" s="105">
        <v>224700.73</v>
      </c>
      <c r="G1292" s="105">
        <v>13851782.470000001</v>
      </c>
      <c r="H1292" s="711">
        <v>42986.699592280092</v>
      </c>
      <c r="I1292" s="711">
        <v>43351</v>
      </c>
      <c r="J1292" t="s">
        <v>4493</v>
      </c>
      <c r="K1292" t="s">
        <v>1280</v>
      </c>
      <c r="L1292" t="s">
        <v>4494</v>
      </c>
      <c r="M1292">
        <v>201290</v>
      </c>
      <c r="N1292" t="s">
        <v>4490</v>
      </c>
      <c r="O1292" t="s">
        <v>25</v>
      </c>
      <c r="P1292" t="s">
        <v>88</v>
      </c>
      <c r="Q1292" t="s">
        <v>285</v>
      </c>
      <c r="R1292" s="710">
        <f>IF(Table__192.168.1.150_Daily_Delinquency_With_Sectors[[#This Row],[Days in Arrears]] &gt; 0, Table__192.168.1.150_Daily_Delinquency_With_Sectors[[#This Row],[Outstanding Balance]],0)</f>
        <v>0</v>
      </c>
      <c r="S1292" s="105">
        <f>IF(Table__192.168.1.150_Daily_Delinquency_With_Sectors[[#This Row],[Days in Arrears]] &gt; 30, Table__192.168.1.150_Daily_Delinquency_With_Sectors[[#This Row],[Outstanding Balance]],0)</f>
        <v>0</v>
      </c>
      <c r="T1292" s="105">
        <f>IF(Table__192.168.1.150_Daily_Delinquency_With_Sectors[[#This Row],[Days in Arrears]] &gt; 90, Table__192.168.1.150_Daily_Delinquency_With_Sectors[[#This Row],[Outstanding Balance]],0)</f>
        <v>0</v>
      </c>
      <c r="U1292" s="109">
        <f>IF(Table__192.168.1.150_Daily_Delinquency_With_Sectors[[#This Row],[Days in Arrears]] &gt;= 1,1,0)</f>
        <v>0</v>
      </c>
      <c r="V1292" s="109">
        <f>IF(Table__192.168.1.150_Daily_Delinquency_With_Sectors[[#This Row],[Days in Arrears]] &gt; 30,1,0)</f>
        <v>0</v>
      </c>
      <c r="W1292" s="109">
        <f>IF(Table__192.168.1.150_Daily_Delinquency_With_Sectors[[#This Row],[Days in Arrears]] &gt; 90,1,0)</f>
        <v>0</v>
      </c>
    </row>
    <row r="1293" spans="1:23" x14ac:dyDescent="0.25">
      <c r="A1293" t="s">
        <v>5424</v>
      </c>
      <c r="B1293" t="s">
        <v>1279</v>
      </c>
      <c r="C1293">
        <v>-17</v>
      </c>
      <c r="D1293" s="105">
        <v>1667160.63</v>
      </c>
      <c r="E1293" t="s">
        <v>4919</v>
      </c>
      <c r="F1293" s="105">
        <v>30008.89</v>
      </c>
      <c r="G1293" s="105">
        <v>2022061.17</v>
      </c>
      <c r="H1293" s="711">
        <v>42989.645120370369</v>
      </c>
      <c r="I1293" s="711">
        <v>43292</v>
      </c>
      <c r="J1293" t="s">
        <v>5425</v>
      </c>
      <c r="K1293" t="s">
        <v>1280</v>
      </c>
      <c r="L1293" t="s">
        <v>1280</v>
      </c>
      <c r="M1293">
        <v>201291</v>
      </c>
      <c r="N1293" t="s">
        <v>5423</v>
      </c>
      <c r="O1293" t="s">
        <v>25</v>
      </c>
      <c r="P1293" t="s">
        <v>290</v>
      </c>
      <c r="Q1293" t="s">
        <v>297</v>
      </c>
      <c r="R1293" s="710">
        <f>IF(Table__192.168.1.150_Daily_Delinquency_With_Sectors[[#This Row],[Days in Arrears]] &gt; 0, Table__192.168.1.150_Daily_Delinquency_With_Sectors[[#This Row],[Outstanding Balance]],0)</f>
        <v>0</v>
      </c>
      <c r="S1293" s="105">
        <f>IF(Table__192.168.1.150_Daily_Delinquency_With_Sectors[[#This Row],[Days in Arrears]] &gt; 30, Table__192.168.1.150_Daily_Delinquency_With_Sectors[[#This Row],[Outstanding Balance]],0)</f>
        <v>0</v>
      </c>
      <c r="T1293" s="105">
        <f>IF(Table__192.168.1.150_Daily_Delinquency_With_Sectors[[#This Row],[Days in Arrears]] &gt; 90, Table__192.168.1.150_Daily_Delinquency_With_Sectors[[#This Row],[Outstanding Balance]],0)</f>
        <v>0</v>
      </c>
      <c r="U1293" s="109">
        <f>IF(Table__192.168.1.150_Daily_Delinquency_With_Sectors[[#This Row],[Days in Arrears]] &gt;= 1,1,0)</f>
        <v>0</v>
      </c>
      <c r="V1293" s="109">
        <f>IF(Table__192.168.1.150_Daily_Delinquency_With_Sectors[[#This Row],[Days in Arrears]] &gt; 30,1,0)</f>
        <v>0</v>
      </c>
      <c r="W1293" s="109">
        <f>IF(Table__192.168.1.150_Daily_Delinquency_With_Sectors[[#This Row],[Days in Arrears]] &gt; 90,1,0)</f>
        <v>0</v>
      </c>
    </row>
    <row r="1294" spans="1:23" x14ac:dyDescent="0.25">
      <c r="A1294" t="s">
        <v>3789</v>
      </c>
      <c r="B1294" t="s">
        <v>1279</v>
      </c>
      <c r="C1294">
        <v>-17</v>
      </c>
      <c r="D1294" s="105">
        <v>2160583.92</v>
      </c>
      <c r="E1294" t="s">
        <v>4684</v>
      </c>
      <c r="F1294" s="105">
        <v>34569.339999999997</v>
      </c>
      <c r="G1294" s="105">
        <v>2663804.3199999998</v>
      </c>
      <c r="H1294" s="711">
        <v>42989.662398229164</v>
      </c>
      <c r="I1294" s="711">
        <v>43354</v>
      </c>
      <c r="J1294" t="s">
        <v>3790</v>
      </c>
      <c r="K1294" t="s">
        <v>1280</v>
      </c>
      <c r="L1294" t="s">
        <v>3791</v>
      </c>
      <c r="M1294">
        <v>201292</v>
      </c>
      <c r="N1294" t="s">
        <v>3777</v>
      </c>
      <c r="O1294" t="s">
        <v>25</v>
      </c>
      <c r="P1294" t="s">
        <v>32</v>
      </c>
      <c r="Q1294" t="s">
        <v>3369</v>
      </c>
      <c r="R1294" s="710">
        <f>IF(Table__192.168.1.150_Daily_Delinquency_With_Sectors[[#This Row],[Days in Arrears]] &gt; 0, Table__192.168.1.150_Daily_Delinquency_With_Sectors[[#This Row],[Outstanding Balance]],0)</f>
        <v>0</v>
      </c>
      <c r="S1294" s="105">
        <f>IF(Table__192.168.1.150_Daily_Delinquency_With_Sectors[[#This Row],[Days in Arrears]] &gt; 30, Table__192.168.1.150_Daily_Delinquency_With_Sectors[[#This Row],[Outstanding Balance]],0)</f>
        <v>0</v>
      </c>
      <c r="T1294" s="105">
        <f>IF(Table__192.168.1.150_Daily_Delinquency_With_Sectors[[#This Row],[Days in Arrears]] &gt; 90, Table__192.168.1.150_Daily_Delinquency_With_Sectors[[#This Row],[Outstanding Balance]],0)</f>
        <v>0</v>
      </c>
      <c r="U1294" s="109">
        <f>IF(Table__192.168.1.150_Daily_Delinquency_With_Sectors[[#This Row],[Days in Arrears]] &gt;= 1,1,0)</f>
        <v>0</v>
      </c>
      <c r="V1294" s="109">
        <f>IF(Table__192.168.1.150_Daily_Delinquency_With_Sectors[[#This Row],[Days in Arrears]] &gt; 30,1,0)</f>
        <v>0</v>
      </c>
      <c r="W1294" s="109">
        <f>IF(Table__192.168.1.150_Daily_Delinquency_With_Sectors[[#This Row],[Days in Arrears]] &gt; 90,1,0)</f>
        <v>0</v>
      </c>
    </row>
    <row r="1295" spans="1:23" x14ac:dyDescent="0.25">
      <c r="A1295" t="s">
        <v>5429</v>
      </c>
      <c r="B1295" t="s">
        <v>1282</v>
      </c>
      <c r="C1295">
        <v>-17</v>
      </c>
      <c r="D1295" s="105">
        <v>1954958.15</v>
      </c>
      <c r="E1295" t="s">
        <v>4683</v>
      </c>
      <c r="F1295" s="105">
        <v>35189.25</v>
      </c>
      <c r="G1295" s="105">
        <v>2274144.7999999998</v>
      </c>
      <c r="H1295" s="711">
        <v>42989.684774305555</v>
      </c>
      <c r="I1295" s="711">
        <v>43231</v>
      </c>
      <c r="J1295" t="s">
        <v>5430</v>
      </c>
      <c r="K1295" t="s">
        <v>1280</v>
      </c>
      <c r="L1295" t="s">
        <v>1280</v>
      </c>
      <c r="M1295">
        <v>201294</v>
      </c>
      <c r="N1295" t="s">
        <v>5421</v>
      </c>
      <c r="O1295" t="s">
        <v>25</v>
      </c>
      <c r="P1295" t="s">
        <v>103</v>
      </c>
      <c r="Q1295" t="s">
        <v>104</v>
      </c>
      <c r="R1295" s="710">
        <f>IF(Table__192.168.1.150_Daily_Delinquency_With_Sectors[[#This Row],[Days in Arrears]] &gt; 0, Table__192.168.1.150_Daily_Delinquency_With_Sectors[[#This Row],[Outstanding Balance]],0)</f>
        <v>0</v>
      </c>
      <c r="S1295" s="105">
        <f>IF(Table__192.168.1.150_Daily_Delinquency_With_Sectors[[#This Row],[Days in Arrears]] &gt; 30, Table__192.168.1.150_Daily_Delinquency_With_Sectors[[#This Row],[Outstanding Balance]],0)</f>
        <v>0</v>
      </c>
      <c r="T1295" s="105">
        <f>IF(Table__192.168.1.150_Daily_Delinquency_With_Sectors[[#This Row],[Days in Arrears]] &gt; 90, Table__192.168.1.150_Daily_Delinquency_With_Sectors[[#This Row],[Outstanding Balance]],0)</f>
        <v>0</v>
      </c>
      <c r="U1295" s="109">
        <f>IF(Table__192.168.1.150_Daily_Delinquency_With_Sectors[[#This Row],[Days in Arrears]] &gt;= 1,1,0)</f>
        <v>0</v>
      </c>
      <c r="V1295" s="109">
        <f>IF(Table__192.168.1.150_Daily_Delinquency_With_Sectors[[#This Row],[Days in Arrears]] &gt; 30,1,0)</f>
        <v>0</v>
      </c>
      <c r="W1295" s="109">
        <f>IF(Table__192.168.1.150_Daily_Delinquency_With_Sectors[[#This Row],[Days in Arrears]] &gt; 90,1,0)</f>
        <v>0</v>
      </c>
    </row>
    <row r="1296" spans="1:23" x14ac:dyDescent="0.25">
      <c r="A1296" t="s">
        <v>5440</v>
      </c>
      <c r="B1296" t="s">
        <v>1279</v>
      </c>
      <c r="C1296">
        <v>-18</v>
      </c>
      <c r="D1296" s="105">
        <v>3471030.59</v>
      </c>
      <c r="E1296" t="s">
        <v>4686</v>
      </c>
      <c r="F1296" s="105">
        <v>57272</v>
      </c>
      <c r="G1296" s="105">
        <v>4386647.5599999996</v>
      </c>
      <c r="H1296" s="711">
        <v>42990.691062731479</v>
      </c>
      <c r="I1296" s="711">
        <v>43355</v>
      </c>
      <c r="J1296" t="s">
        <v>5441</v>
      </c>
      <c r="K1296" t="s">
        <v>1280</v>
      </c>
      <c r="L1296" t="s">
        <v>5442</v>
      </c>
      <c r="M1296">
        <v>201295</v>
      </c>
      <c r="N1296" t="s">
        <v>5433</v>
      </c>
      <c r="O1296" t="s">
        <v>25</v>
      </c>
      <c r="P1296" t="s">
        <v>88</v>
      </c>
      <c r="Q1296" t="s">
        <v>285</v>
      </c>
      <c r="R1296" s="710">
        <f>IF(Table__192.168.1.150_Daily_Delinquency_With_Sectors[[#This Row],[Days in Arrears]] &gt; 0, Table__192.168.1.150_Daily_Delinquency_With_Sectors[[#This Row],[Outstanding Balance]],0)</f>
        <v>0</v>
      </c>
      <c r="S1296" s="105">
        <f>IF(Table__192.168.1.150_Daily_Delinquency_With_Sectors[[#This Row],[Days in Arrears]] &gt; 30, Table__192.168.1.150_Daily_Delinquency_With_Sectors[[#This Row],[Outstanding Balance]],0)</f>
        <v>0</v>
      </c>
      <c r="T1296" s="105">
        <f>IF(Table__192.168.1.150_Daily_Delinquency_With_Sectors[[#This Row],[Days in Arrears]] &gt; 90, Table__192.168.1.150_Daily_Delinquency_With_Sectors[[#This Row],[Outstanding Balance]],0)</f>
        <v>0</v>
      </c>
      <c r="U1296" s="109">
        <f>IF(Table__192.168.1.150_Daily_Delinquency_With_Sectors[[#This Row],[Days in Arrears]] &gt;= 1,1,0)</f>
        <v>0</v>
      </c>
      <c r="V1296" s="109">
        <f>IF(Table__192.168.1.150_Daily_Delinquency_With_Sectors[[#This Row],[Days in Arrears]] &gt; 30,1,0)</f>
        <v>0</v>
      </c>
      <c r="W1296" s="109">
        <f>IF(Table__192.168.1.150_Daily_Delinquency_With_Sectors[[#This Row],[Days in Arrears]] &gt; 90,1,0)</f>
        <v>0</v>
      </c>
    </row>
    <row r="1297" spans="1:23" x14ac:dyDescent="0.25">
      <c r="A1297" t="s">
        <v>5451</v>
      </c>
      <c r="B1297" t="s">
        <v>1279</v>
      </c>
      <c r="C1297">
        <v>-19</v>
      </c>
      <c r="D1297" s="105">
        <v>4338788.2300000004</v>
      </c>
      <c r="E1297" t="s">
        <v>4919</v>
      </c>
      <c r="F1297" s="105">
        <v>65081.82</v>
      </c>
      <c r="G1297" s="105">
        <v>5483309.4400000004</v>
      </c>
      <c r="H1297" s="711">
        <v>42991.551782291666</v>
      </c>
      <c r="I1297" s="711">
        <v>43356</v>
      </c>
      <c r="J1297" t="s">
        <v>5452</v>
      </c>
      <c r="K1297" t="s">
        <v>1280</v>
      </c>
      <c r="L1297" t="s">
        <v>1280</v>
      </c>
      <c r="M1297">
        <v>201296</v>
      </c>
      <c r="N1297" t="s">
        <v>5444</v>
      </c>
      <c r="O1297" t="s">
        <v>29</v>
      </c>
      <c r="P1297" t="s">
        <v>30</v>
      </c>
      <c r="Q1297" t="s">
        <v>1819</v>
      </c>
      <c r="R1297" s="710">
        <f>IF(Table__192.168.1.150_Daily_Delinquency_With_Sectors[[#This Row],[Days in Arrears]] &gt; 0, Table__192.168.1.150_Daily_Delinquency_With_Sectors[[#This Row],[Outstanding Balance]],0)</f>
        <v>0</v>
      </c>
      <c r="S1297" s="105">
        <f>IF(Table__192.168.1.150_Daily_Delinquency_With_Sectors[[#This Row],[Days in Arrears]] &gt; 30, Table__192.168.1.150_Daily_Delinquency_With_Sectors[[#This Row],[Outstanding Balance]],0)</f>
        <v>0</v>
      </c>
      <c r="T1297" s="105">
        <f>IF(Table__192.168.1.150_Daily_Delinquency_With_Sectors[[#This Row],[Days in Arrears]] &gt; 90, Table__192.168.1.150_Daily_Delinquency_With_Sectors[[#This Row],[Outstanding Balance]],0)</f>
        <v>0</v>
      </c>
      <c r="U1297" s="109">
        <f>IF(Table__192.168.1.150_Daily_Delinquency_With_Sectors[[#This Row],[Days in Arrears]] &gt;= 1,1,0)</f>
        <v>0</v>
      </c>
      <c r="V1297" s="109">
        <f>IF(Table__192.168.1.150_Daily_Delinquency_With_Sectors[[#This Row],[Days in Arrears]] &gt; 30,1,0)</f>
        <v>0</v>
      </c>
      <c r="W1297" s="109">
        <f>IF(Table__192.168.1.150_Daily_Delinquency_With_Sectors[[#This Row],[Days in Arrears]] &gt; 90,1,0)</f>
        <v>0</v>
      </c>
    </row>
    <row r="1298" spans="1:23" x14ac:dyDescent="0.25">
      <c r="A1298" t="s">
        <v>3769</v>
      </c>
      <c r="B1298" t="s">
        <v>1282</v>
      </c>
      <c r="C1298">
        <v>-19</v>
      </c>
      <c r="D1298" s="105">
        <v>2592700.7000000002</v>
      </c>
      <c r="E1298" t="s">
        <v>491</v>
      </c>
      <c r="F1298" s="105">
        <v>34569.339999999997</v>
      </c>
      <c r="G1298" s="105">
        <v>3196565.19</v>
      </c>
      <c r="H1298" s="711">
        <v>42991.706475196763</v>
      </c>
      <c r="I1298" s="711">
        <v>43356</v>
      </c>
      <c r="J1298" t="s">
        <v>3770</v>
      </c>
      <c r="K1298" t="s">
        <v>1280</v>
      </c>
      <c r="L1298" t="s">
        <v>3771</v>
      </c>
      <c r="M1298">
        <v>201297</v>
      </c>
      <c r="N1298" t="s">
        <v>3756</v>
      </c>
      <c r="O1298" t="s">
        <v>25</v>
      </c>
      <c r="P1298" t="s">
        <v>88</v>
      </c>
      <c r="Q1298" t="s">
        <v>285</v>
      </c>
      <c r="R1298" s="710">
        <f>IF(Table__192.168.1.150_Daily_Delinquency_With_Sectors[[#This Row],[Days in Arrears]] &gt; 0, Table__192.168.1.150_Daily_Delinquency_With_Sectors[[#This Row],[Outstanding Balance]],0)</f>
        <v>0</v>
      </c>
      <c r="S1298" s="105">
        <f>IF(Table__192.168.1.150_Daily_Delinquency_With_Sectors[[#This Row],[Days in Arrears]] &gt; 30, Table__192.168.1.150_Daily_Delinquency_With_Sectors[[#This Row],[Outstanding Balance]],0)</f>
        <v>0</v>
      </c>
      <c r="T1298" s="105">
        <f>IF(Table__192.168.1.150_Daily_Delinquency_With_Sectors[[#This Row],[Days in Arrears]] &gt; 90, Table__192.168.1.150_Daily_Delinquency_With_Sectors[[#This Row],[Outstanding Balance]],0)</f>
        <v>0</v>
      </c>
      <c r="U1298" s="109">
        <f>IF(Table__192.168.1.150_Daily_Delinquency_With_Sectors[[#This Row],[Days in Arrears]] &gt;= 1,1,0)</f>
        <v>0</v>
      </c>
      <c r="V1298" s="109">
        <f>IF(Table__192.168.1.150_Daily_Delinquency_With_Sectors[[#This Row],[Days in Arrears]] &gt; 30,1,0)</f>
        <v>0</v>
      </c>
      <c r="W1298" s="109">
        <f>IF(Table__192.168.1.150_Daily_Delinquency_With_Sectors[[#This Row],[Days in Arrears]] &gt; 90,1,0)</f>
        <v>0</v>
      </c>
    </row>
    <row r="1299" spans="1:23" x14ac:dyDescent="0.25">
      <c r="A1299" t="s">
        <v>5464</v>
      </c>
      <c r="B1299" t="s">
        <v>1282</v>
      </c>
      <c r="C1299">
        <v>-20</v>
      </c>
      <c r="D1299" s="105">
        <v>5185401.4000000004</v>
      </c>
      <c r="E1299" t="s">
        <v>3074</v>
      </c>
      <c r="F1299" s="105">
        <v>62224.82</v>
      </c>
      <c r="G1299" s="105">
        <v>6393130.3399999999</v>
      </c>
      <c r="H1299" s="711">
        <v>42992.633950115742</v>
      </c>
      <c r="I1299" s="711">
        <v>43357</v>
      </c>
      <c r="J1299" t="s">
        <v>5465</v>
      </c>
      <c r="K1299" t="s">
        <v>1280</v>
      </c>
      <c r="L1299" t="s">
        <v>5466</v>
      </c>
      <c r="M1299">
        <v>201298</v>
      </c>
      <c r="N1299" t="s">
        <v>5455</v>
      </c>
      <c r="O1299" t="s">
        <v>25</v>
      </c>
      <c r="P1299" t="s">
        <v>88</v>
      </c>
      <c r="Q1299" t="s">
        <v>285</v>
      </c>
      <c r="R1299" s="710">
        <f>IF(Table__192.168.1.150_Daily_Delinquency_With_Sectors[[#This Row],[Days in Arrears]] &gt; 0, Table__192.168.1.150_Daily_Delinquency_With_Sectors[[#This Row],[Outstanding Balance]],0)</f>
        <v>0</v>
      </c>
      <c r="S1299" s="105">
        <f>IF(Table__192.168.1.150_Daily_Delinquency_With_Sectors[[#This Row],[Days in Arrears]] &gt; 30, Table__192.168.1.150_Daily_Delinquency_With_Sectors[[#This Row],[Outstanding Balance]],0)</f>
        <v>0</v>
      </c>
      <c r="T1299" s="105">
        <f>IF(Table__192.168.1.150_Daily_Delinquency_With_Sectors[[#This Row],[Days in Arrears]] &gt; 90, Table__192.168.1.150_Daily_Delinquency_With_Sectors[[#This Row],[Outstanding Balance]],0)</f>
        <v>0</v>
      </c>
      <c r="U1299" s="109">
        <f>IF(Table__192.168.1.150_Daily_Delinquency_With_Sectors[[#This Row],[Days in Arrears]] &gt;= 1,1,0)</f>
        <v>0</v>
      </c>
      <c r="V1299" s="109">
        <f>IF(Table__192.168.1.150_Daily_Delinquency_With_Sectors[[#This Row],[Days in Arrears]] &gt; 30,1,0)</f>
        <v>0</v>
      </c>
      <c r="W1299" s="109">
        <f>IF(Table__192.168.1.150_Daily_Delinquency_With_Sectors[[#This Row],[Days in Arrears]] &gt; 90,1,0)</f>
        <v>0</v>
      </c>
    </row>
    <row r="1300" spans="1:23" x14ac:dyDescent="0.25">
      <c r="A1300" t="s">
        <v>5467</v>
      </c>
      <c r="B1300" t="s">
        <v>1282</v>
      </c>
      <c r="C1300">
        <v>-20</v>
      </c>
      <c r="D1300" s="105">
        <v>2083950.78</v>
      </c>
      <c r="E1300" t="s">
        <v>5335</v>
      </c>
      <c r="F1300" s="105">
        <v>28133.34</v>
      </c>
      <c r="G1300" s="105">
        <v>2527576.4700000002</v>
      </c>
      <c r="H1300" s="711">
        <v>42992.702857488424</v>
      </c>
      <c r="I1300" s="711">
        <v>43295</v>
      </c>
      <c r="J1300" t="s">
        <v>5468</v>
      </c>
      <c r="K1300" t="s">
        <v>1280</v>
      </c>
      <c r="L1300" t="s">
        <v>1280</v>
      </c>
      <c r="M1300">
        <v>201299</v>
      </c>
      <c r="N1300" t="s">
        <v>5454</v>
      </c>
      <c r="O1300" t="s">
        <v>25</v>
      </c>
      <c r="P1300" t="s">
        <v>88</v>
      </c>
      <c r="Q1300" t="s">
        <v>285</v>
      </c>
      <c r="R1300" s="710">
        <f>IF(Table__192.168.1.150_Daily_Delinquency_With_Sectors[[#This Row],[Days in Arrears]] &gt; 0, Table__192.168.1.150_Daily_Delinquency_With_Sectors[[#This Row],[Outstanding Balance]],0)</f>
        <v>0</v>
      </c>
      <c r="S1300" s="105">
        <f>IF(Table__192.168.1.150_Daily_Delinquency_With_Sectors[[#This Row],[Days in Arrears]] &gt; 30, Table__192.168.1.150_Daily_Delinquency_With_Sectors[[#This Row],[Outstanding Balance]],0)</f>
        <v>0</v>
      </c>
      <c r="T1300" s="105">
        <f>IF(Table__192.168.1.150_Daily_Delinquency_With_Sectors[[#This Row],[Days in Arrears]] &gt; 90, Table__192.168.1.150_Daily_Delinquency_With_Sectors[[#This Row],[Outstanding Balance]],0)</f>
        <v>0</v>
      </c>
      <c r="U1300" s="109">
        <f>IF(Table__192.168.1.150_Daily_Delinquency_With_Sectors[[#This Row],[Days in Arrears]] &gt;= 1,1,0)</f>
        <v>0</v>
      </c>
      <c r="V1300" s="109">
        <f>IF(Table__192.168.1.150_Daily_Delinquency_With_Sectors[[#This Row],[Days in Arrears]] &gt; 30,1,0)</f>
        <v>0</v>
      </c>
      <c r="W1300" s="109">
        <f>IF(Table__192.168.1.150_Daily_Delinquency_With_Sectors[[#This Row],[Days in Arrears]] &gt; 90,1,0)</f>
        <v>0</v>
      </c>
    </row>
    <row r="1301" spans="1:23" x14ac:dyDescent="0.25">
      <c r="A1301" t="s">
        <v>5469</v>
      </c>
      <c r="B1301" t="s">
        <v>1282</v>
      </c>
      <c r="C1301">
        <v>-20</v>
      </c>
      <c r="D1301" s="105">
        <v>5206545.87</v>
      </c>
      <c r="E1301" t="s">
        <v>3074</v>
      </c>
      <c r="F1301" s="105">
        <v>70288.37</v>
      </c>
      <c r="G1301" s="105">
        <v>6579971.3300000001</v>
      </c>
      <c r="H1301" s="711">
        <v>42992.703987037035</v>
      </c>
      <c r="I1301" s="711">
        <v>43357</v>
      </c>
      <c r="J1301" t="s">
        <v>5470</v>
      </c>
      <c r="K1301" t="s">
        <v>1280</v>
      </c>
      <c r="L1301" t="s">
        <v>1280</v>
      </c>
      <c r="M1301">
        <v>201300</v>
      </c>
      <c r="N1301" t="s">
        <v>5457</v>
      </c>
      <c r="O1301" t="s">
        <v>44</v>
      </c>
      <c r="P1301" t="s">
        <v>92</v>
      </c>
      <c r="Q1301" t="s">
        <v>92</v>
      </c>
      <c r="R1301" s="710">
        <f>IF(Table__192.168.1.150_Daily_Delinquency_With_Sectors[[#This Row],[Days in Arrears]] &gt; 0, Table__192.168.1.150_Daily_Delinquency_With_Sectors[[#This Row],[Outstanding Balance]],0)</f>
        <v>0</v>
      </c>
      <c r="S1301" s="105">
        <f>IF(Table__192.168.1.150_Daily_Delinquency_With_Sectors[[#This Row],[Days in Arrears]] &gt; 30, Table__192.168.1.150_Daily_Delinquency_With_Sectors[[#This Row],[Outstanding Balance]],0)</f>
        <v>0</v>
      </c>
      <c r="T1301" s="105">
        <f>IF(Table__192.168.1.150_Daily_Delinquency_With_Sectors[[#This Row],[Days in Arrears]] &gt; 90, Table__192.168.1.150_Daily_Delinquency_With_Sectors[[#This Row],[Outstanding Balance]],0)</f>
        <v>0</v>
      </c>
      <c r="U1301" s="109">
        <f>IF(Table__192.168.1.150_Daily_Delinquency_With_Sectors[[#This Row],[Days in Arrears]] &gt;= 1,1,0)</f>
        <v>0</v>
      </c>
      <c r="V1301" s="109">
        <f>IF(Table__192.168.1.150_Daily_Delinquency_With_Sectors[[#This Row],[Days in Arrears]] &gt; 30,1,0)</f>
        <v>0</v>
      </c>
      <c r="W1301" s="109">
        <f>IF(Table__192.168.1.150_Daily_Delinquency_With_Sectors[[#This Row],[Days in Arrears]] &gt; 90,1,0)</f>
        <v>0</v>
      </c>
    </row>
    <row r="1302" spans="1:23" x14ac:dyDescent="0.25">
      <c r="A1302" t="s">
        <v>5471</v>
      </c>
      <c r="B1302" t="s">
        <v>1282</v>
      </c>
      <c r="C1302">
        <v>-20</v>
      </c>
      <c r="D1302" s="105">
        <v>5206545.87</v>
      </c>
      <c r="E1302" t="s">
        <v>4683</v>
      </c>
      <c r="F1302" s="105">
        <v>70288.37</v>
      </c>
      <c r="G1302" s="105">
        <v>6579971.3300000001</v>
      </c>
      <c r="H1302" s="711">
        <v>42992.742704710647</v>
      </c>
      <c r="I1302" s="711">
        <v>43357</v>
      </c>
      <c r="J1302" t="s">
        <v>5472</v>
      </c>
      <c r="K1302" t="s">
        <v>1280</v>
      </c>
      <c r="L1302" t="s">
        <v>1280</v>
      </c>
      <c r="M1302">
        <v>201301</v>
      </c>
      <c r="N1302" t="s">
        <v>5456</v>
      </c>
      <c r="O1302" t="s">
        <v>25</v>
      </c>
      <c r="P1302" t="s">
        <v>88</v>
      </c>
      <c r="Q1302" t="s">
        <v>285</v>
      </c>
      <c r="R1302" s="710">
        <f>IF(Table__192.168.1.150_Daily_Delinquency_With_Sectors[[#This Row],[Days in Arrears]] &gt; 0, Table__192.168.1.150_Daily_Delinquency_With_Sectors[[#This Row],[Outstanding Balance]],0)</f>
        <v>0</v>
      </c>
      <c r="S1302" s="105">
        <f>IF(Table__192.168.1.150_Daily_Delinquency_With_Sectors[[#This Row],[Days in Arrears]] &gt; 30, Table__192.168.1.150_Daily_Delinquency_With_Sectors[[#This Row],[Outstanding Balance]],0)</f>
        <v>0</v>
      </c>
      <c r="T1302" s="105">
        <f>IF(Table__192.168.1.150_Daily_Delinquency_With_Sectors[[#This Row],[Days in Arrears]] &gt; 90, Table__192.168.1.150_Daily_Delinquency_With_Sectors[[#This Row],[Outstanding Balance]],0)</f>
        <v>0</v>
      </c>
      <c r="U1302" s="109">
        <f>IF(Table__192.168.1.150_Daily_Delinquency_With_Sectors[[#This Row],[Days in Arrears]] &gt;= 1,1,0)</f>
        <v>0</v>
      </c>
      <c r="V1302" s="109">
        <f>IF(Table__192.168.1.150_Daily_Delinquency_With_Sectors[[#This Row],[Days in Arrears]] &gt; 30,1,0)</f>
        <v>0</v>
      </c>
      <c r="W1302" s="109">
        <f>IF(Table__192.168.1.150_Daily_Delinquency_With_Sectors[[#This Row],[Days in Arrears]] &gt; 90,1,0)</f>
        <v>0</v>
      </c>
    </row>
    <row r="1303" spans="1:23" x14ac:dyDescent="0.25">
      <c r="A1303" t="s">
        <v>5481</v>
      </c>
      <c r="B1303" t="s">
        <v>1284</v>
      </c>
      <c r="C1303">
        <v>9</v>
      </c>
      <c r="D1303" s="105">
        <v>15824651.460000001</v>
      </c>
      <c r="E1303" t="s">
        <v>1467</v>
      </c>
      <c r="F1303" s="105">
        <v>657356.15</v>
      </c>
      <c r="G1303" s="105">
        <v>18641506.780000001</v>
      </c>
      <c r="H1303" s="711">
        <v>42993.652268865742</v>
      </c>
      <c r="I1303" s="711">
        <v>43358</v>
      </c>
      <c r="J1303" t="s">
        <v>5482</v>
      </c>
      <c r="K1303" t="s">
        <v>1280</v>
      </c>
      <c r="L1303" t="s">
        <v>5483</v>
      </c>
      <c r="M1303">
        <v>201302</v>
      </c>
      <c r="N1303" t="s">
        <v>5475</v>
      </c>
      <c r="O1303" t="s">
        <v>44</v>
      </c>
      <c r="P1303" t="s">
        <v>75</v>
      </c>
      <c r="Q1303" t="s">
        <v>1442</v>
      </c>
      <c r="R1303" s="710">
        <f>IF(Table__192.168.1.150_Daily_Delinquency_With_Sectors[[#This Row],[Days in Arrears]] &gt; 0, Table__192.168.1.150_Daily_Delinquency_With_Sectors[[#This Row],[Outstanding Balance]],0)</f>
        <v>15824651.460000001</v>
      </c>
      <c r="S1303" s="105">
        <f>IF(Table__192.168.1.150_Daily_Delinquency_With_Sectors[[#This Row],[Days in Arrears]] &gt; 30, Table__192.168.1.150_Daily_Delinquency_With_Sectors[[#This Row],[Outstanding Balance]],0)</f>
        <v>0</v>
      </c>
      <c r="T1303" s="105">
        <f>IF(Table__192.168.1.150_Daily_Delinquency_With_Sectors[[#This Row],[Days in Arrears]] &gt; 90, Table__192.168.1.150_Daily_Delinquency_With_Sectors[[#This Row],[Outstanding Balance]],0)</f>
        <v>0</v>
      </c>
      <c r="U1303" s="109">
        <f>IF(Table__192.168.1.150_Daily_Delinquency_With_Sectors[[#This Row],[Days in Arrears]] &gt;= 1,1,0)</f>
        <v>1</v>
      </c>
      <c r="V1303" s="109">
        <f>IF(Table__192.168.1.150_Daily_Delinquency_With_Sectors[[#This Row],[Days in Arrears]] &gt; 30,1,0)</f>
        <v>0</v>
      </c>
      <c r="W1303" s="109">
        <f>IF(Table__192.168.1.150_Daily_Delinquency_With_Sectors[[#This Row],[Days in Arrears]] &gt; 90,1,0)</f>
        <v>0</v>
      </c>
    </row>
    <row r="1304" spans="1:23" x14ac:dyDescent="0.25">
      <c r="A1304" t="s">
        <v>3419</v>
      </c>
      <c r="B1304" t="s">
        <v>1281</v>
      </c>
      <c r="C1304">
        <v>-21</v>
      </c>
      <c r="D1304" s="105">
        <v>25819054.890000001</v>
      </c>
      <c r="E1304" t="s">
        <v>2034</v>
      </c>
      <c r="F1304" s="105">
        <v>240977.85</v>
      </c>
      <c r="G1304" s="105">
        <v>31045184.780000001</v>
      </c>
      <c r="H1304" s="711">
        <v>42993.746074733797</v>
      </c>
      <c r="I1304" s="711">
        <v>43358</v>
      </c>
      <c r="J1304" t="s">
        <v>3420</v>
      </c>
      <c r="K1304" t="s">
        <v>1280</v>
      </c>
      <c r="L1304" t="s">
        <v>1280</v>
      </c>
      <c r="M1304">
        <v>201303</v>
      </c>
      <c r="N1304" t="s">
        <v>3395</v>
      </c>
      <c r="O1304" t="s">
        <v>25</v>
      </c>
      <c r="P1304" t="s">
        <v>88</v>
      </c>
      <c r="Q1304" t="s">
        <v>285</v>
      </c>
      <c r="R1304" s="710">
        <f>IF(Table__192.168.1.150_Daily_Delinquency_With_Sectors[[#This Row],[Days in Arrears]] &gt; 0, Table__192.168.1.150_Daily_Delinquency_With_Sectors[[#This Row],[Outstanding Balance]],0)</f>
        <v>0</v>
      </c>
      <c r="S1304" s="105">
        <f>IF(Table__192.168.1.150_Daily_Delinquency_With_Sectors[[#This Row],[Days in Arrears]] &gt; 30, Table__192.168.1.150_Daily_Delinquency_With_Sectors[[#This Row],[Outstanding Balance]],0)</f>
        <v>0</v>
      </c>
      <c r="T1304" s="105">
        <f>IF(Table__192.168.1.150_Daily_Delinquency_With_Sectors[[#This Row],[Days in Arrears]] &gt; 90, Table__192.168.1.150_Daily_Delinquency_With_Sectors[[#This Row],[Outstanding Balance]],0)</f>
        <v>0</v>
      </c>
      <c r="U1304" s="109">
        <f>IF(Table__192.168.1.150_Daily_Delinquency_With_Sectors[[#This Row],[Days in Arrears]] &gt;= 1,1,0)</f>
        <v>0</v>
      </c>
      <c r="V1304" s="109">
        <f>IF(Table__192.168.1.150_Daily_Delinquency_With_Sectors[[#This Row],[Days in Arrears]] &gt; 30,1,0)</f>
        <v>0</v>
      </c>
      <c r="W1304" s="109">
        <f>IF(Table__192.168.1.150_Daily_Delinquency_With_Sectors[[#This Row],[Days in Arrears]] &gt; 90,1,0)</f>
        <v>0</v>
      </c>
    </row>
    <row r="1305" spans="1:23" x14ac:dyDescent="0.25">
      <c r="A1305" t="s">
        <v>5504</v>
      </c>
      <c r="B1305" t="s">
        <v>1282</v>
      </c>
      <c r="C1305">
        <v>6</v>
      </c>
      <c r="D1305" s="105">
        <v>4318687.12</v>
      </c>
      <c r="E1305" t="s">
        <v>4683</v>
      </c>
      <c r="F1305" s="105">
        <v>237949.03</v>
      </c>
      <c r="G1305" s="105">
        <v>5205938.46</v>
      </c>
      <c r="H1305" s="711">
        <v>42996.538668321758</v>
      </c>
      <c r="I1305" s="711">
        <v>43299</v>
      </c>
      <c r="J1305" t="s">
        <v>5505</v>
      </c>
      <c r="K1305" t="s">
        <v>1280</v>
      </c>
      <c r="L1305" t="s">
        <v>1280</v>
      </c>
      <c r="M1305">
        <v>201304</v>
      </c>
      <c r="N1305" t="s">
        <v>5496</v>
      </c>
      <c r="O1305" t="s">
        <v>25</v>
      </c>
      <c r="P1305" t="s">
        <v>88</v>
      </c>
      <c r="Q1305" t="s">
        <v>285</v>
      </c>
      <c r="R1305" s="710">
        <f>IF(Table__192.168.1.150_Daily_Delinquency_With_Sectors[[#This Row],[Days in Arrears]] &gt; 0, Table__192.168.1.150_Daily_Delinquency_With_Sectors[[#This Row],[Outstanding Balance]],0)</f>
        <v>4318687.12</v>
      </c>
      <c r="S1305" s="105">
        <f>IF(Table__192.168.1.150_Daily_Delinquency_With_Sectors[[#This Row],[Days in Arrears]] &gt; 30, Table__192.168.1.150_Daily_Delinquency_With_Sectors[[#This Row],[Outstanding Balance]],0)</f>
        <v>0</v>
      </c>
      <c r="T1305" s="105">
        <f>IF(Table__192.168.1.150_Daily_Delinquency_With_Sectors[[#This Row],[Days in Arrears]] &gt; 90, Table__192.168.1.150_Daily_Delinquency_With_Sectors[[#This Row],[Outstanding Balance]],0)</f>
        <v>0</v>
      </c>
      <c r="U1305" s="109">
        <f>IF(Table__192.168.1.150_Daily_Delinquency_With_Sectors[[#This Row],[Days in Arrears]] &gt;= 1,1,0)</f>
        <v>1</v>
      </c>
      <c r="V1305" s="109">
        <f>IF(Table__192.168.1.150_Daily_Delinquency_With_Sectors[[#This Row],[Days in Arrears]] &gt; 30,1,0)</f>
        <v>0</v>
      </c>
      <c r="W1305" s="109">
        <f>IF(Table__192.168.1.150_Daily_Delinquency_With_Sectors[[#This Row],[Days in Arrears]] &gt; 90,1,0)</f>
        <v>0</v>
      </c>
    </row>
    <row r="1306" spans="1:23" x14ac:dyDescent="0.25">
      <c r="A1306" t="s">
        <v>2723</v>
      </c>
      <c r="B1306" t="s">
        <v>1282</v>
      </c>
      <c r="C1306">
        <v>-24</v>
      </c>
      <c r="D1306" s="105">
        <v>6205269.0300000003</v>
      </c>
      <c r="E1306" t="s">
        <v>2557</v>
      </c>
      <c r="F1306" s="105">
        <v>37921.089999999997</v>
      </c>
      <c r="G1306" s="105">
        <v>7524112.8300000001</v>
      </c>
      <c r="H1306" s="711">
        <v>42996.611837037039</v>
      </c>
      <c r="I1306" s="711">
        <v>43361</v>
      </c>
      <c r="J1306" t="s">
        <v>2724</v>
      </c>
      <c r="K1306" t="s">
        <v>2725</v>
      </c>
      <c r="L1306" t="s">
        <v>1280</v>
      </c>
      <c r="M1306">
        <v>201305</v>
      </c>
      <c r="N1306" t="s">
        <v>2715</v>
      </c>
      <c r="O1306" t="s">
        <v>25</v>
      </c>
      <c r="P1306" t="s">
        <v>88</v>
      </c>
      <c r="Q1306" t="s">
        <v>285</v>
      </c>
      <c r="R1306" s="710">
        <f>IF(Table__192.168.1.150_Daily_Delinquency_With_Sectors[[#This Row],[Days in Arrears]] &gt; 0, Table__192.168.1.150_Daily_Delinquency_With_Sectors[[#This Row],[Outstanding Balance]],0)</f>
        <v>0</v>
      </c>
      <c r="S1306" s="105">
        <f>IF(Table__192.168.1.150_Daily_Delinquency_With_Sectors[[#This Row],[Days in Arrears]] &gt; 30, Table__192.168.1.150_Daily_Delinquency_With_Sectors[[#This Row],[Outstanding Balance]],0)</f>
        <v>0</v>
      </c>
      <c r="T1306" s="105">
        <f>IF(Table__192.168.1.150_Daily_Delinquency_With_Sectors[[#This Row],[Days in Arrears]] &gt; 90, Table__192.168.1.150_Daily_Delinquency_With_Sectors[[#This Row],[Outstanding Balance]],0)</f>
        <v>0</v>
      </c>
      <c r="U1306" s="109">
        <f>IF(Table__192.168.1.150_Daily_Delinquency_With_Sectors[[#This Row],[Days in Arrears]] &gt;= 1,1,0)</f>
        <v>0</v>
      </c>
      <c r="V1306" s="109">
        <f>IF(Table__192.168.1.150_Daily_Delinquency_With_Sectors[[#This Row],[Days in Arrears]] &gt; 30,1,0)</f>
        <v>0</v>
      </c>
      <c r="W1306" s="109">
        <f>IF(Table__192.168.1.150_Daily_Delinquency_With_Sectors[[#This Row],[Days in Arrears]] &gt; 90,1,0)</f>
        <v>0</v>
      </c>
    </row>
    <row r="1307" spans="1:23" x14ac:dyDescent="0.25">
      <c r="A1307" t="s">
        <v>3213</v>
      </c>
      <c r="B1307" t="s">
        <v>1284</v>
      </c>
      <c r="C1307">
        <v>-24</v>
      </c>
      <c r="D1307" s="105">
        <v>16035369.15</v>
      </c>
      <c r="E1307" t="s">
        <v>546</v>
      </c>
      <c r="F1307" s="105">
        <v>80176.850000000006</v>
      </c>
      <c r="G1307" s="105">
        <v>19601379.829999998</v>
      </c>
      <c r="H1307" s="711">
        <v>42996.697323379631</v>
      </c>
      <c r="I1307" s="711">
        <v>43452</v>
      </c>
      <c r="J1307" t="s">
        <v>3214</v>
      </c>
      <c r="K1307" t="s">
        <v>1280</v>
      </c>
      <c r="L1307" t="s">
        <v>1280</v>
      </c>
      <c r="M1307">
        <v>201306</v>
      </c>
      <c r="N1307" t="s">
        <v>3204</v>
      </c>
      <c r="O1307" t="s">
        <v>44</v>
      </c>
      <c r="P1307" t="s">
        <v>92</v>
      </c>
      <c r="Q1307" t="s">
        <v>92</v>
      </c>
      <c r="R1307" s="710">
        <f>IF(Table__192.168.1.150_Daily_Delinquency_With_Sectors[[#This Row],[Days in Arrears]] &gt; 0, Table__192.168.1.150_Daily_Delinquency_With_Sectors[[#This Row],[Outstanding Balance]],0)</f>
        <v>0</v>
      </c>
      <c r="S1307" s="105">
        <f>IF(Table__192.168.1.150_Daily_Delinquency_With_Sectors[[#This Row],[Days in Arrears]] &gt; 30, Table__192.168.1.150_Daily_Delinquency_With_Sectors[[#This Row],[Outstanding Balance]],0)</f>
        <v>0</v>
      </c>
      <c r="T1307" s="105">
        <f>IF(Table__192.168.1.150_Daily_Delinquency_With_Sectors[[#This Row],[Days in Arrears]] &gt; 90, Table__192.168.1.150_Daily_Delinquency_With_Sectors[[#This Row],[Outstanding Balance]],0)</f>
        <v>0</v>
      </c>
      <c r="U1307" s="109">
        <f>IF(Table__192.168.1.150_Daily_Delinquency_With_Sectors[[#This Row],[Days in Arrears]] &gt;= 1,1,0)</f>
        <v>0</v>
      </c>
      <c r="V1307" s="109">
        <f>IF(Table__192.168.1.150_Daily_Delinquency_With_Sectors[[#This Row],[Days in Arrears]] &gt; 30,1,0)</f>
        <v>0</v>
      </c>
      <c r="W1307" s="109">
        <f>IF(Table__192.168.1.150_Daily_Delinquency_With_Sectors[[#This Row],[Days in Arrears]] &gt; 90,1,0)</f>
        <v>0</v>
      </c>
    </row>
    <row r="1308" spans="1:23" x14ac:dyDescent="0.25">
      <c r="A1308" t="s">
        <v>4343</v>
      </c>
      <c r="B1308" t="s">
        <v>1279</v>
      </c>
      <c r="C1308">
        <v>-25</v>
      </c>
      <c r="D1308" s="105">
        <v>2490259.4300000002</v>
      </c>
      <c r="E1308" t="s">
        <v>1667</v>
      </c>
      <c r="F1308" s="105">
        <v>13281.38</v>
      </c>
      <c r="G1308" s="105">
        <v>2958982.69</v>
      </c>
      <c r="H1308" s="711">
        <v>42997.60321828704</v>
      </c>
      <c r="I1308" s="711">
        <v>43300</v>
      </c>
      <c r="J1308" t="s">
        <v>4344</v>
      </c>
      <c r="K1308" t="s">
        <v>1280</v>
      </c>
      <c r="L1308" t="s">
        <v>4345</v>
      </c>
      <c r="M1308">
        <v>201307</v>
      </c>
      <c r="N1308" t="s">
        <v>4328</v>
      </c>
      <c r="O1308" t="s">
        <v>25</v>
      </c>
      <c r="P1308" t="s">
        <v>88</v>
      </c>
      <c r="Q1308" t="s">
        <v>285</v>
      </c>
      <c r="R1308" s="710">
        <f>IF(Table__192.168.1.150_Daily_Delinquency_With_Sectors[[#This Row],[Days in Arrears]] &gt; 0, Table__192.168.1.150_Daily_Delinquency_With_Sectors[[#This Row],[Outstanding Balance]],0)</f>
        <v>0</v>
      </c>
      <c r="S1308" s="105">
        <f>IF(Table__192.168.1.150_Daily_Delinquency_With_Sectors[[#This Row],[Days in Arrears]] &gt; 30, Table__192.168.1.150_Daily_Delinquency_With_Sectors[[#This Row],[Outstanding Balance]],0)</f>
        <v>0</v>
      </c>
      <c r="T1308" s="105">
        <f>IF(Table__192.168.1.150_Daily_Delinquency_With_Sectors[[#This Row],[Days in Arrears]] &gt; 90, Table__192.168.1.150_Daily_Delinquency_With_Sectors[[#This Row],[Outstanding Balance]],0)</f>
        <v>0</v>
      </c>
      <c r="U1308" s="109">
        <f>IF(Table__192.168.1.150_Daily_Delinquency_With_Sectors[[#This Row],[Days in Arrears]] &gt;= 1,1,0)</f>
        <v>0</v>
      </c>
      <c r="V1308" s="109">
        <f>IF(Table__192.168.1.150_Daily_Delinquency_With_Sectors[[#This Row],[Days in Arrears]] &gt; 30,1,0)</f>
        <v>0</v>
      </c>
      <c r="W1308" s="109">
        <f>IF(Table__192.168.1.150_Daily_Delinquency_With_Sectors[[#This Row],[Days in Arrears]] &gt; 90,1,0)</f>
        <v>0</v>
      </c>
    </row>
    <row r="1309" spans="1:23" x14ac:dyDescent="0.25">
      <c r="A1309" t="s">
        <v>3031</v>
      </c>
      <c r="B1309" t="s">
        <v>1282</v>
      </c>
      <c r="C1309">
        <v>-25</v>
      </c>
      <c r="D1309" s="105">
        <v>3456934.27</v>
      </c>
      <c r="E1309" t="s">
        <v>1448</v>
      </c>
      <c r="F1309" s="105">
        <v>18436.98</v>
      </c>
      <c r="G1309" s="105">
        <v>4262086.91</v>
      </c>
      <c r="H1309" s="711">
        <v>42997.695235104169</v>
      </c>
      <c r="I1309" s="711">
        <v>43362</v>
      </c>
      <c r="J1309" t="s">
        <v>3032</v>
      </c>
      <c r="K1309" t="s">
        <v>1280</v>
      </c>
      <c r="L1309" t="s">
        <v>1280</v>
      </c>
      <c r="M1309">
        <v>201308</v>
      </c>
      <c r="N1309" t="s">
        <v>3022</v>
      </c>
      <c r="O1309" t="s">
        <v>44</v>
      </c>
      <c r="P1309" t="s">
        <v>92</v>
      </c>
      <c r="Q1309" t="s">
        <v>92</v>
      </c>
      <c r="R1309" s="710">
        <f>IF(Table__192.168.1.150_Daily_Delinquency_With_Sectors[[#This Row],[Days in Arrears]] &gt; 0, Table__192.168.1.150_Daily_Delinquency_With_Sectors[[#This Row],[Outstanding Balance]],0)</f>
        <v>0</v>
      </c>
      <c r="S1309" s="105">
        <f>IF(Table__192.168.1.150_Daily_Delinquency_With_Sectors[[#This Row],[Days in Arrears]] &gt; 30, Table__192.168.1.150_Daily_Delinquency_With_Sectors[[#This Row],[Outstanding Balance]],0)</f>
        <v>0</v>
      </c>
      <c r="T1309" s="105">
        <f>IF(Table__192.168.1.150_Daily_Delinquency_With_Sectors[[#This Row],[Days in Arrears]] &gt; 90, Table__192.168.1.150_Daily_Delinquency_With_Sectors[[#This Row],[Outstanding Balance]],0)</f>
        <v>0</v>
      </c>
      <c r="U1309" s="109">
        <f>IF(Table__192.168.1.150_Daily_Delinquency_With_Sectors[[#This Row],[Days in Arrears]] &gt;= 1,1,0)</f>
        <v>0</v>
      </c>
      <c r="V1309" s="109">
        <f>IF(Table__192.168.1.150_Daily_Delinquency_With_Sectors[[#This Row],[Days in Arrears]] &gt; 30,1,0)</f>
        <v>0</v>
      </c>
      <c r="W1309" s="109">
        <f>IF(Table__192.168.1.150_Daily_Delinquency_With_Sectors[[#This Row],[Days in Arrears]] &gt; 90,1,0)</f>
        <v>0</v>
      </c>
    </row>
    <row r="1310" spans="1:23" x14ac:dyDescent="0.25">
      <c r="A1310" t="s">
        <v>5514</v>
      </c>
      <c r="B1310" t="s">
        <v>1282</v>
      </c>
      <c r="C1310">
        <v>-25</v>
      </c>
      <c r="D1310" s="105">
        <v>5206545.87</v>
      </c>
      <c r="E1310" t="s">
        <v>5386</v>
      </c>
      <c r="F1310" s="105">
        <v>31239.279999999999</v>
      </c>
      <c r="G1310" s="105">
        <v>6579971.3300000001</v>
      </c>
      <c r="H1310" s="711">
        <v>42997.706073807873</v>
      </c>
      <c r="I1310" s="711">
        <v>43362</v>
      </c>
      <c r="J1310" t="s">
        <v>5515</v>
      </c>
      <c r="K1310" t="s">
        <v>1280</v>
      </c>
      <c r="L1310" t="s">
        <v>1280</v>
      </c>
      <c r="M1310">
        <v>201309</v>
      </c>
      <c r="N1310" t="s">
        <v>5509</v>
      </c>
      <c r="O1310" t="s">
        <v>44</v>
      </c>
      <c r="P1310" t="s">
        <v>92</v>
      </c>
      <c r="Q1310" t="s">
        <v>92</v>
      </c>
      <c r="R1310" s="710">
        <f>IF(Table__192.168.1.150_Daily_Delinquency_With_Sectors[[#This Row],[Days in Arrears]] &gt; 0, Table__192.168.1.150_Daily_Delinquency_With_Sectors[[#This Row],[Outstanding Balance]],0)</f>
        <v>0</v>
      </c>
      <c r="S1310" s="105">
        <f>IF(Table__192.168.1.150_Daily_Delinquency_With_Sectors[[#This Row],[Days in Arrears]] &gt; 30, Table__192.168.1.150_Daily_Delinquency_With_Sectors[[#This Row],[Outstanding Balance]],0)</f>
        <v>0</v>
      </c>
      <c r="T1310" s="105">
        <f>IF(Table__192.168.1.150_Daily_Delinquency_With_Sectors[[#This Row],[Days in Arrears]] &gt; 90, Table__192.168.1.150_Daily_Delinquency_With_Sectors[[#This Row],[Outstanding Balance]],0)</f>
        <v>0</v>
      </c>
      <c r="U1310" s="109">
        <f>IF(Table__192.168.1.150_Daily_Delinquency_With_Sectors[[#This Row],[Days in Arrears]] &gt;= 1,1,0)</f>
        <v>0</v>
      </c>
      <c r="V1310" s="109">
        <f>IF(Table__192.168.1.150_Daily_Delinquency_With_Sectors[[#This Row],[Days in Arrears]] &gt; 30,1,0)</f>
        <v>0</v>
      </c>
      <c r="W1310" s="109">
        <f>IF(Table__192.168.1.150_Daily_Delinquency_With_Sectors[[#This Row],[Days in Arrears]] &gt; 90,1,0)</f>
        <v>0</v>
      </c>
    </row>
    <row r="1311" spans="1:23" x14ac:dyDescent="0.25">
      <c r="A1311" t="s">
        <v>5522</v>
      </c>
      <c r="B1311" t="s">
        <v>1282</v>
      </c>
      <c r="C1311">
        <v>4</v>
      </c>
      <c r="D1311" s="105">
        <v>4593105.8899999997</v>
      </c>
      <c r="E1311" t="s">
        <v>2034</v>
      </c>
      <c r="F1311" s="105">
        <v>225445.33</v>
      </c>
      <c r="G1311" s="105">
        <v>5608091.8700000001</v>
      </c>
      <c r="H1311" s="711">
        <v>42998.652610381941</v>
      </c>
      <c r="I1311" s="711">
        <v>43301</v>
      </c>
      <c r="J1311" t="s">
        <v>5523</v>
      </c>
      <c r="K1311" t="s">
        <v>5524</v>
      </c>
      <c r="L1311" t="s">
        <v>1280</v>
      </c>
      <c r="M1311">
        <v>201310</v>
      </c>
      <c r="N1311" t="s">
        <v>5518</v>
      </c>
      <c r="O1311" t="s">
        <v>25</v>
      </c>
      <c r="P1311" t="s">
        <v>88</v>
      </c>
      <c r="Q1311" t="s">
        <v>285</v>
      </c>
      <c r="R1311" s="710">
        <f>IF(Table__192.168.1.150_Daily_Delinquency_With_Sectors[[#This Row],[Days in Arrears]] &gt; 0, Table__192.168.1.150_Daily_Delinquency_With_Sectors[[#This Row],[Outstanding Balance]],0)</f>
        <v>4593105.8899999997</v>
      </c>
      <c r="S1311" s="105">
        <f>IF(Table__192.168.1.150_Daily_Delinquency_With_Sectors[[#This Row],[Days in Arrears]] &gt; 30, Table__192.168.1.150_Daily_Delinquency_With_Sectors[[#This Row],[Outstanding Balance]],0)</f>
        <v>0</v>
      </c>
      <c r="T1311" s="105">
        <f>IF(Table__192.168.1.150_Daily_Delinquency_With_Sectors[[#This Row],[Days in Arrears]] &gt; 90, Table__192.168.1.150_Daily_Delinquency_With_Sectors[[#This Row],[Outstanding Balance]],0)</f>
        <v>0</v>
      </c>
      <c r="U1311" s="109">
        <f>IF(Table__192.168.1.150_Daily_Delinquency_With_Sectors[[#This Row],[Days in Arrears]] &gt;= 1,1,0)</f>
        <v>1</v>
      </c>
      <c r="V1311" s="109">
        <f>IF(Table__192.168.1.150_Daily_Delinquency_With_Sectors[[#This Row],[Days in Arrears]] &gt; 30,1,0)</f>
        <v>0</v>
      </c>
      <c r="W1311" s="109">
        <f>IF(Table__192.168.1.150_Daily_Delinquency_With_Sectors[[#This Row],[Days in Arrears]] &gt; 90,1,0)</f>
        <v>0</v>
      </c>
    </row>
    <row r="1312" spans="1:23" x14ac:dyDescent="0.25">
      <c r="A1312" t="s">
        <v>5535</v>
      </c>
      <c r="B1312" t="s">
        <v>1279</v>
      </c>
      <c r="C1312">
        <v>3</v>
      </c>
      <c r="D1312" s="105">
        <v>1734692.86</v>
      </c>
      <c r="E1312" t="s">
        <v>2557</v>
      </c>
      <c r="F1312" s="105">
        <v>4616.3</v>
      </c>
      <c r="G1312" s="105">
        <v>1911197.58</v>
      </c>
      <c r="H1312" s="711">
        <v>42999.561557488429</v>
      </c>
      <c r="I1312" s="711">
        <v>43180</v>
      </c>
      <c r="J1312" t="s">
        <v>5536</v>
      </c>
      <c r="K1312" t="s">
        <v>1280</v>
      </c>
      <c r="L1312" t="s">
        <v>1280</v>
      </c>
      <c r="M1312">
        <v>201311</v>
      </c>
      <c r="N1312" t="s">
        <v>5531</v>
      </c>
      <c r="O1312" t="s">
        <v>25</v>
      </c>
      <c r="P1312" t="s">
        <v>88</v>
      </c>
      <c r="Q1312" t="s">
        <v>285</v>
      </c>
      <c r="R1312" s="710">
        <f>IF(Table__192.168.1.150_Daily_Delinquency_With_Sectors[[#This Row],[Days in Arrears]] &gt; 0, Table__192.168.1.150_Daily_Delinquency_With_Sectors[[#This Row],[Outstanding Balance]],0)</f>
        <v>1734692.86</v>
      </c>
      <c r="S1312" s="105">
        <f>IF(Table__192.168.1.150_Daily_Delinquency_With_Sectors[[#This Row],[Days in Arrears]] &gt; 30, Table__192.168.1.150_Daily_Delinquency_With_Sectors[[#This Row],[Outstanding Balance]],0)</f>
        <v>0</v>
      </c>
      <c r="T1312" s="105">
        <f>IF(Table__192.168.1.150_Daily_Delinquency_With_Sectors[[#This Row],[Days in Arrears]] &gt; 90, Table__192.168.1.150_Daily_Delinquency_With_Sectors[[#This Row],[Outstanding Balance]],0)</f>
        <v>0</v>
      </c>
      <c r="U1312" s="109">
        <f>IF(Table__192.168.1.150_Daily_Delinquency_With_Sectors[[#This Row],[Days in Arrears]] &gt;= 1,1,0)</f>
        <v>1</v>
      </c>
      <c r="V1312" s="109">
        <f>IF(Table__192.168.1.150_Daily_Delinquency_With_Sectors[[#This Row],[Days in Arrears]] &gt; 30,1,0)</f>
        <v>0</v>
      </c>
      <c r="W1312" s="109">
        <f>IF(Table__192.168.1.150_Daily_Delinquency_With_Sectors[[#This Row],[Days in Arrears]] &gt; 90,1,0)</f>
        <v>0</v>
      </c>
    </row>
    <row r="1313" spans="1:23" x14ac:dyDescent="0.25">
      <c r="A1313" t="s">
        <v>5525</v>
      </c>
      <c r="B1313" t="s">
        <v>1279</v>
      </c>
      <c r="C1313">
        <v>-26</v>
      </c>
      <c r="D1313" s="105">
        <v>2169394.11</v>
      </c>
      <c r="E1313" t="s">
        <v>1447</v>
      </c>
      <c r="F1313" s="105">
        <v>9762.27</v>
      </c>
      <c r="G1313" s="105">
        <v>2741654.71</v>
      </c>
      <c r="H1313" s="711">
        <v>42998.651798263891</v>
      </c>
      <c r="I1313" s="711">
        <v>43363</v>
      </c>
      <c r="J1313" t="s">
        <v>5526</v>
      </c>
      <c r="K1313" t="s">
        <v>1280</v>
      </c>
      <c r="L1313" t="s">
        <v>1280</v>
      </c>
      <c r="M1313">
        <v>201312</v>
      </c>
      <c r="N1313" t="s">
        <v>5517</v>
      </c>
      <c r="O1313" t="s">
        <v>25</v>
      </c>
      <c r="P1313" t="s">
        <v>290</v>
      </c>
      <c r="Q1313" t="s">
        <v>1822</v>
      </c>
      <c r="R1313" s="710">
        <f>IF(Table__192.168.1.150_Daily_Delinquency_With_Sectors[[#This Row],[Days in Arrears]] &gt; 0, Table__192.168.1.150_Daily_Delinquency_With_Sectors[[#This Row],[Outstanding Balance]],0)</f>
        <v>0</v>
      </c>
      <c r="S1313" s="105">
        <f>IF(Table__192.168.1.150_Daily_Delinquency_With_Sectors[[#This Row],[Days in Arrears]] &gt; 30, Table__192.168.1.150_Daily_Delinquency_With_Sectors[[#This Row],[Outstanding Balance]],0)</f>
        <v>0</v>
      </c>
      <c r="T1313" s="105">
        <f>IF(Table__192.168.1.150_Daily_Delinquency_With_Sectors[[#This Row],[Days in Arrears]] &gt; 90, Table__192.168.1.150_Daily_Delinquency_With_Sectors[[#This Row],[Outstanding Balance]],0)</f>
        <v>0</v>
      </c>
      <c r="U1313" s="109">
        <f>IF(Table__192.168.1.150_Daily_Delinquency_With_Sectors[[#This Row],[Days in Arrears]] &gt;= 1,1,0)</f>
        <v>0</v>
      </c>
      <c r="V1313" s="109">
        <f>IF(Table__192.168.1.150_Daily_Delinquency_With_Sectors[[#This Row],[Days in Arrears]] &gt; 30,1,0)</f>
        <v>0</v>
      </c>
      <c r="W1313" s="109">
        <f>IF(Table__192.168.1.150_Daily_Delinquency_With_Sectors[[#This Row],[Days in Arrears]] &gt; 90,1,0)</f>
        <v>0</v>
      </c>
    </row>
    <row r="1314" spans="1:23" x14ac:dyDescent="0.25">
      <c r="A1314" t="s">
        <v>5527</v>
      </c>
      <c r="B1314" t="s">
        <v>1279</v>
      </c>
      <c r="C1314">
        <v>4</v>
      </c>
      <c r="D1314" s="105">
        <v>799402.57</v>
      </c>
      <c r="E1314" t="s">
        <v>4684</v>
      </c>
      <c r="F1314" s="105">
        <v>3518.92</v>
      </c>
      <c r="G1314" s="105">
        <v>927077.24</v>
      </c>
      <c r="H1314" s="711">
        <v>42998.715631562503</v>
      </c>
      <c r="I1314" s="711">
        <v>43240</v>
      </c>
      <c r="J1314" t="s">
        <v>5528</v>
      </c>
      <c r="K1314" t="s">
        <v>5529</v>
      </c>
      <c r="L1314" t="s">
        <v>1280</v>
      </c>
      <c r="M1314">
        <v>201313</v>
      </c>
      <c r="N1314" t="s">
        <v>5516</v>
      </c>
      <c r="O1314" t="s">
        <v>25</v>
      </c>
      <c r="P1314" t="s">
        <v>290</v>
      </c>
      <c r="Q1314" t="s">
        <v>297</v>
      </c>
      <c r="R1314" s="710">
        <f>IF(Table__192.168.1.150_Daily_Delinquency_With_Sectors[[#This Row],[Days in Arrears]] &gt; 0, Table__192.168.1.150_Daily_Delinquency_With_Sectors[[#This Row],[Outstanding Balance]],0)</f>
        <v>799402.57</v>
      </c>
      <c r="S1314" s="105">
        <f>IF(Table__192.168.1.150_Daily_Delinquency_With_Sectors[[#This Row],[Days in Arrears]] &gt; 30, Table__192.168.1.150_Daily_Delinquency_With_Sectors[[#This Row],[Outstanding Balance]],0)</f>
        <v>0</v>
      </c>
      <c r="T1314" s="105">
        <f>IF(Table__192.168.1.150_Daily_Delinquency_With_Sectors[[#This Row],[Days in Arrears]] &gt; 90, Table__192.168.1.150_Daily_Delinquency_With_Sectors[[#This Row],[Outstanding Balance]],0)</f>
        <v>0</v>
      </c>
      <c r="U1314" s="109">
        <f>IF(Table__192.168.1.150_Daily_Delinquency_With_Sectors[[#This Row],[Days in Arrears]] &gt;= 1,1,0)</f>
        <v>1</v>
      </c>
      <c r="V1314" s="109">
        <f>IF(Table__192.168.1.150_Daily_Delinquency_With_Sectors[[#This Row],[Days in Arrears]] &gt; 30,1,0)</f>
        <v>0</v>
      </c>
      <c r="W1314" s="109">
        <f>IF(Table__192.168.1.150_Daily_Delinquency_With_Sectors[[#This Row],[Days in Arrears]] &gt; 90,1,0)</f>
        <v>0</v>
      </c>
    </row>
    <row r="1315" spans="1:23" x14ac:dyDescent="0.25">
      <c r="A1315" t="s">
        <v>5551</v>
      </c>
      <c r="B1315" t="s">
        <v>1282</v>
      </c>
      <c r="C1315">
        <v>32</v>
      </c>
      <c r="D1315" s="105">
        <v>3786877.19</v>
      </c>
      <c r="E1315" t="s">
        <v>2557</v>
      </c>
      <c r="F1315" s="105">
        <v>152268.42000000001</v>
      </c>
      <c r="G1315" s="105">
        <v>4259958.49</v>
      </c>
      <c r="H1315" s="711">
        <v>43000.477500810186</v>
      </c>
      <c r="I1315" s="711">
        <v>43181</v>
      </c>
      <c r="J1315" t="s">
        <v>5552</v>
      </c>
      <c r="K1315" t="s">
        <v>5553</v>
      </c>
      <c r="L1315" t="s">
        <v>1280</v>
      </c>
      <c r="M1315">
        <v>201315</v>
      </c>
      <c r="N1315" t="s">
        <v>5541</v>
      </c>
      <c r="O1315" t="s">
        <v>44</v>
      </c>
      <c r="P1315" t="s">
        <v>92</v>
      </c>
      <c r="Q1315" t="s">
        <v>92</v>
      </c>
      <c r="R1315" s="710">
        <f>IF(Table__192.168.1.150_Daily_Delinquency_With_Sectors[[#This Row],[Days in Arrears]] &gt; 0, Table__192.168.1.150_Daily_Delinquency_With_Sectors[[#This Row],[Outstanding Balance]],0)</f>
        <v>3786877.19</v>
      </c>
      <c r="S1315" s="105">
        <f>IF(Table__192.168.1.150_Daily_Delinquency_With_Sectors[[#This Row],[Days in Arrears]] &gt; 30, Table__192.168.1.150_Daily_Delinquency_With_Sectors[[#This Row],[Outstanding Balance]],0)</f>
        <v>3786877.19</v>
      </c>
      <c r="T1315" s="105">
        <f>IF(Table__192.168.1.150_Daily_Delinquency_With_Sectors[[#This Row],[Days in Arrears]] &gt; 90, Table__192.168.1.150_Daily_Delinquency_With_Sectors[[#This Row],[Outstanding Balance]],0)</f>
        <v>0</v>
      </c>
      <c r="U1315" s="109">
        <f>IF(Table__192.168.1.150_Daily_Delinquency_With_Sectors[[#This Row],[Days in Arrears]] &gt;= 1,1,0)</f>
        <v>1</v>
      </c>
      <c r="V1315" s="109">
        <f>IF(Table__192.168.1.150_Daily_Delinquency_With_Sectors[[#This Row],[Days in Arrears]] &gt; 30,1,0)</f>
        <v>1</v>
      </c>
      <c r="W1315" s="109">
        <f>IF(Table__192.168.1.150_Daily_Delinquency_With_Sectors[[#This Row],[Days in Arrears]] &gt; 90,1,0)</f>
        <v>0</v>
      </c>
    </row>
    <row r="1316" spans="1:23" x14ac:dyDescent="0.25">
      <c r="A1316" t="s">
        <v>3039</v>
      </c>
      <c r="B1316" t="s">
        <v>1281</v>
      </c>
      <c r="C1316">
        <v>-28</v>
      </c>
      <c r="D1316" s="105">
        <v>21515879.079999998</v>
      </c>
      <c r="E1316" t="s">
        <v>2538</v>
      </c>
      <c r="F1316" s="105">
        <v>25101.86</v>
      </c>
      <c r="G1316" s="105">
        <v>25870987.309999999</v>
      </c>
      <c r="H1316" s="711">
        <v>43000.607355011576</v>
      </c>
      <c r="I1316" s="711">
        <v>43365</v>
      </c>
      <c r="J1316" t="s">
        <v>3040</v>
      </c>
      <c r="K1316" t="s">
        <v>1280</v>
      </c>
      <c r="L1316" t="s">
        <v>1280</v>
      </c>
      <c r="M1316">
        <v>201316</v>
      </c>
      <c r="N1316" t="s">
        <v>3038</v>
      </c>
      <c r="O1316" t="s">
        <v>29</v>
      </c>
      <c r="P1316" t="s">
        <v>96</v>
      </c>
      <c r="Q1316" t="s">
        <v>96</v>
      </c>
      <c r="R1316" s="710">
        <f>IF(Table__192.168.1.150_Daily_Delinquency_With_Sectors[[#This Row],[Days in Arrears]] &gt; 0, Table__192.168.1.150_Daily_Delinquency_With_Sectors[[#This Row],[Outstanding Balance]],0)</f>
        <v>0</v>
      </c>
      <c r="S1316" s="105">
        <f>IF(Table__192.168.1.150_Daily_Delinquency_With_Sectors[[#This Row],[Days in Arrears]] &gt; 30, Table__192.168.1.150_Daily_Delinquency_With_Sectors[[#This Row],[Outstanding Balance]],0)</f>
        <v>0</v>
      </c>
      <c r="T1316" s="105">
        <f>IF(Table__192.168.1.150_Daily_Delinquency_With_Sectors[[#This Row],[Days in Arrears]] &gt; 90, Table__192.168.1.150_Daily_Delinquency_With_Sectors[[#This Row],[Outstanding Balance]],0)</f>
        <v>0</v>
      </c>
      <c r="U1316" s="109">
        <f>IF(Table__192.168.1.150_Daily_Delinquency_With_Sectors[[#This Row],[Days in Arrears]] &gt;= 1,1,0)</f>
        <v>0</v>
      </c>
      <c r="V1316" s="109">
        <f>IF(Table__192.168.1.150_Daily_Delinquency_With_Sectors[[#This Row],[Days in Arrears]] &gt; 30,1,0)</f>
        <v>0</v>
      </c>
      <c r="W1316" s="109">
        <f>IF(Table__192.168.1.150_Daily_Delinquency_With_Sectors[[#This Row],[Days in Arrears]] &gt; 90,1,0)</f>
        <v>0</v>
      </c>
    </row>
    <row r="1317" spans="1:23" x14ac:dyDescent="0.25">
      <c r="A1317" t="s">
        <v>4034</v>
      </c>
      <c r="B1317" t="s">
        <v>1284</v>
      </c>
      <c r="C1317">
        <v>2</v>
      </c>
      <c r="D1317" s="106">
        <v>18789731.27</v>
      </c>
      <c r="E1317" t="s">
        <v>2557</v>
      </c>
      <c r="F1317" s="106">
        <v>555088.11</v>
      </c>
      <c r="G1317" s="106">
        <v>23790486.989999998</v>
      </c>
      <c r="H1317" s="711">
        <v>43000.692347881944</v>
      </c>
      <c r="I1317" s="711">
        <v>43546</v>
      </c>
      <c r="J1317" t="s">
        <v>4035</v>
      </c>
      <c r="K1317" t="s">
        <v>1280</v>
      </c>
      <c r="L1317" t="s">
        <v>1280</v>
      </c>
      <c r="M1317">
        <v>201317</v>
      </c>
      <c r="N1317" t="s">
        <v>4016</v>
      </c>
      <c r="O1317" t="s">
        <v>45</v>
      </c>
      <c r="P1317" t="s">
        <v>45</v>
      </c>
      <c r="Q1317" t="s">
        <v>1658</v>
      </c>
      <c r="R1317" s="713">
        <f>IF(Table__192.168.1.150_Daily_Delinquency_With_Sectors[[#This Row],[Days in Arrears]] &gt; 0, Table__192.168.1.150_Daily_Delinquency_With_Sectors[[#This Row],[Outstanding Balance]],0)</f>
        <v>18789731.27</v>
      </c>
      <c r="S1317" s="106">
        <f>IF(Table__192.168.1.150_Daily_Delinquency_With_Sectors[[#This Row],[Days in Arrears]] &gt; 30, Table__192.168.1.150_Daily_Delinquency_With_Sectors[[#This Row],[Outstanding Balance]],0)</f>
        <v>0</v>
      </c>
      <c r="T1317" s="106">
        <f>IF(Table__192.168.1.150_Daily_Delinquency_With_Sectors[[#This Row],[Days in Arrears]] &gt; 90, Table__192.168.1.150_Daily_Delinquency_With_Sectors[[#This Row],[Outstanding Balance]],0)</f>
        <v>0</v>
      </c>
      <c r="U1317" s="380">
        <f>IF(Table__192.168.1.150_Daily_Delinquency_With_Sectors[[#This Row],[Days in Arrears]] &gt;= 1,1,0)</f>
        <v>1</v>
      </c>
      <c r="V1317" s="380">
        <f>IF(Table__192.168.1.150_Daily_Delinquency_With_Sectors[[#This Row],[Days in Arrears]] &gt; 30,1,0)</f>
        <v>0</v>
      </c>
      <c r="W1317" s="380">
        <f>IF(Table__192.168.1.150_Daily_Delinquency_With_Sectors[[#This Row],[Days in Arrears]] &gt; 90,1,0)</f>
        <v>0</v>
      </c>
    </row>
    <row r="1318" spans="1:23" x14ac:dyDescent="0.25">
      <c r="A1318" t="s">
        <v>917</v>
      </c>
      <c r="B1318" t="s">
        <v>1286</v>
      </c>
      <c r="C1318">
        <v>-27</v>
      </c>
      <c r="D1318" s="106">
        <v>5969098.1399999997</v>
      </c>
      <c r="E1318" t="s">
        <v>284</v>
      </c>
      <c r="F1318" s="106">
        <v>8290.41</v>
      </c>
      <c r="G1318" s="106">
        <v>6283193.4500000002</v>
      </c>
      <c r="H1318" s="711">
        <v>43000.754174571761</v>
      </c>
      <c r="I1318" s="711">
        <v>43180</v>
      </c>
      <c r="J1318" t="s">
        <v>1952</v>
      </c>
      <c r="K1318" t="s">
        <v>1280</v>
      </c>
      <c r="L1318" t="s">
        <v>1280</v>
      </c>
      <c r="M1318">
        <v>201320</v>
      </c>
      <c r="N1318" t="s">
        <v>1948</v>
      </c>
      <c r="O1318" t="s">
        <v>28</v>
      </c>
      <c r="P1318" t="s">
        <v>108</v>
      </c>
      <c r="Q1318" t="s">
        <v>26</v>
      </c>
      <c r="R1318" s="713">
        <f>IF(Table__192.168.1.150_Daily_Delinquency_With_Sectors[[#This Row],[Days in Arrears]] &gt; 0, Table__192.168.1.150_Daily_Delinquency_With_Sectors[[#This Row],[Outstanding Balance]],0)</f>
        <v>0</v>
      </c>
      <c r="S1318" s="106">
        <f>IF(Table__192.168.1.150_Daily_Delinquency_With_Sectors[[#This Row],[Days in Arrears]] &gt; 30, Table__192.168.1.150_Daily_Delinquency_With_Sectors[[#This Row],[Outstanding Balance]],0)</f>
        <v>0</v>
      </c>
      <c r="T1318" s="106">
        <f>IF(Table__192.168.1.150_Daily_Delinquency_With_Sectors[[#This Row],[Days in Arrears]] &gt; 90, Table__192.168.1.150_Daily_Delinquency_With_Sectors[[#This Row],[Outstanding Balance]],0)</f>
        <v>0</v>
      </c>
      <c r="U1318" s="380">
        <f>IF(Table__192.168.1.150_Daily_Delinquency_With_Sectors[[#This Row],[Days in Arrears]] &gt;= 1,1,0)</f>
        <v>0</v>
      </c>
      <c r="V1318" s="380">
        <f>IF(Table__192.168.1.150_Daily_Delinquency_With_Sectors[[#This Row],[Days in Arrears]] &gt; 30,1,0)</f>
        <v>0</v>
      </c>
      <c r="W1318" s="380">
        <f>IF(Table__192.168.1.150_Daily_Delinquency_With_Sectors[[#This Row],[Days in Arrears]] &gt; 90,1,0)</f>
        <v>0</v>
      </c>
    </row>
    <row r="1319" spans="1:23" x14ac:dyDescent="0.25">
      <c r="A1319" t="s">
        <v>5560</v>
      </c>
      <c r="B1319" t="s">
        <v>1282</v>
      </c>
      <c r="C1319">
        <v>1</v>
      </c>
      <c r="D1319" s="106">
        <v>1304462.43</v>
      </c>
      <c r="E1319" t="s">
        <v>4685</v>
      </c>
      <c r="F1319" s="106">
        <v>68940.850000000006</v>
      </c>
      <c r="G1319" s="106">
        <v>1448408.16</v>
      </c>
      <c r="H1319" s="711">
        <v>43001.471149502315</v>
      </c>
      <c r="I1319" s="711">
        <v>43182</v>
      </c>
      <c r="J1319" t="s">
        <v>5561</v>
      </c>
      <c r="K1319" t="s">
        <v>1280</v>
      </c>
      <c r="L1319" t="s">
        <v>1280</v>
      </c>
      <c r="M1319">
        <v>201321</v>
      </c>
      <c r="N1319" t="s">
        <v>5555</v>
      </c>
      <c r="O1319" t="s">
        <v>44</v>
      </c>
      <c r="P1319" t="s">
        <v>75</v>
      </c>
      <c r="Q1319" t="s">
        <v>26</v>
      </c>
      <c r="R1319" s="713">
        <f>IF(Table__192.168.1.150_Daily_Delinquency_With_Sectors[[#This Row],[Days in Arrears]] &gt; 0, Table__192.168.1.150_Daily_Delinquency_With_Sectors[[#This Row],[Outstanding Balance]],0)</f>
        <v>1304462.43</v>
      </c>
      <c r="S1319" s="106">
        <f>IF(Table__192.168.1.150_Daily_Delinquency_With_Sectors[[#This Row],[Days in Arrears]] &gt; 30, Table__192.168.1.150_Daily_Delinquency_With_Sectors[[#This Row],[Outstanding Balance]],0)</f>
        <v>0</v>
      </c>
      <c r="T1319" s="106">
        <f>IF(Table__192.168.1.150_Daily_Delinquency_With_Sectors[[#This Row],[Days in Arrears]] &gt; 90, Table__192.168.1.150_Daily_Delinquency_With_Sectors[[#This Row],[Outstanding Balance]],0)</f>
        <v>0</v>
      </c>
      <c r="U1319" s="380">
        <f>IF(Table__192.168.1.150_Daily_Delinquency_With_Sectors[[#This Row],[Days in Arrears]] &gt;= 1,1,0)</f>
        <v>1</v>
      </c>
      <c r="V1319" s="380">
        <f>IF(Table__192.168.1.150_Daily_Delinquency_With_Sectors[[#This Row],[Days in Arrears]] &gt; 30,1,0)</f>
        <v>0</v>
      </c>
      <c r="W1319" s="380">
        <f>IF(Table__192.168.1.150_Daily_Delinquency_With_Sectors[[#This Row],[Days in Arrears]] &gt; 90,1,0)</f>
        <v>0</v>
      </c>
    </row>
    <row r="1320" spans="1:23" x14ac:dyDescent="0.25">
      <c r="A1320" t="s">
        <v>5562</v>
      </c>
      <c r="B1320" t="s">
        <v>1282</v>
      </c>
      <c r="C1320">
        <v>1</v>
      </c>
      <c r="D1320" s="106">
        <v>2755863.53</v>
      </c>
      <c r="E1320" t="s">
        <v>4686</v>
      </c>
      <c r="F1320" s="106">
        <v>124013.86</v>
      </c>
      <c r="G1320" s="106">
        <v>3409775.27</v>
      </c>
      <c r="H1320" s="711">
        <v>43001.50625864583</v>
      </c>
      <c r="I1320" s="711">
        <v>43304</v>
      </c>
      <c r="J1320" t="s">
        <v>5563</v>
      </c>
      <c r="K1320" t="s">
        <v>1280</v>
      </c>
      <c r="L1320" t="s">
        <v>1280</v>
      </c>
      <c r="M1320">
        <v>201322</v>
      </c>
      <c r="N1320" t="s">
        <v>5554</v>
      </c>
      <c r="O1320" t="s">
        <v>25</v>
      </c>
      <c r="P1320" t="s">
        <v>88</v>
      </c>
      <c r="Q1320" t="s">
        <v>285</v>
      </c>
      <c r="R1320" s="713">
        <f>IF(Table__192.168.1.150_Daily_Delinquency_With_Sectors[[#This Row],[Days in Arrears]] &gt; 0, Table__192.168.1.150_Daily_Delinquency_With_Sectors[[#This Row],[Outstanding Balance]],0)</f>
        <v>2755863.53</v>
      </c>
      <c r="S1320" s="106">
        <f>IF(Table__192.168.1.150_Daily_Delinquency_With_Sectors[[#This Row],[Days in Arrears]] &gt; 30, Table__192.168.1.150_Daily_Delinquency_With_Sectors[[#This Row],[Outstanding Balance]],0)</f>
        <v>0</v>
      </c>
      <c r="T1320" s="106">
        <f>IF(Table__192.168.1.150_Daily_Delinquency_With_Sectors[[#This Row],[Days in Arrears]] &gt; 90, Table__192.168.1.150_Daily_Delinquency_With_Sectors[[#This Row],[Outstanding Balance]],0)</f>
        <v>0</v>
      </c>
      <c r="U1320" s="380">
        <f>IF(Table__192.168.1.150_Daily_Delinquency_With_Sectors[[#This Row],[Days in Arrears]] &gt;= 1,1,0)</f>
        <v>1</v>
      </c>
      <c r="V1320" s="380">
        <f>IF(Table__192.168.1.150_Daily_Delinquency_With_Sectors[[#This Row],[Days in Arrears]] &gt; 30,1,0)</f>
        <v>0</v>
      </c>
      <c r="W1320" s="380">
        <f>IF(Table__192.168.1.150_Daily_Delinquency_With_Sectors[[#This Row],[Days in Arrears]] &gt; 90,1,0)</f>
        <v>0</v>
      </c>
    </row>
    <row r="1321" spans="1:23" x14ac:dyDescent="0.25">
      <c r="A1321" t="s">
        <v>3111</v>
      </c>
      <c r="B1321" t="s">
        <v>1866</v>
      </c>
      <c r="C1321">
        <v>-1</v>
      </c>
      <c r="D1321" s="106">
        <v>5592990.5999999996</v>
      </c>
      <c r="E1321" t="s">
        <v>1447</v>
      </c>
      <c r="F1321" s="106">
        <v>191404.57</v>
      </c>
      <c r="G1321" s="106">
        <v>6897103.4199999999</v>
      </c>
      <c r="H1321" s="711">
        <v>43003.48632384259</v>
      </c>
      <c r="I1321" s="711">
        <v>43368</v>
      </c>
      <c r="J1321" t="s">
        <v>3112</v>
      </c>
      <c r="K1321" t="s">
        <v>1280</v>
      </c>
      <c r="L1321" t="s">
        <v>1280</v>
      </c>
      <c r="M1321">
        <v>201323</v>
      </c>
      <c r="N1321" t="s">
        <v>3110</v>
      </c>
      <c r="O1321" t="s">
        <v>44</v>
      </c>
      <c r="P1321" t="s">
        <v>75</v>
      </c>
      <c r="Q1321" t="s">
        <v>26</v>
      </c>
      <c r="R1321" s="713">
        <f>IF(Table__192.168.1.150_Daily_Delinquency_With_Sectors[[#This Row],[Days in Arrears]] &gt; 0, Table__192.168.1.150_Daily_Delinquency_With_Sectors[[#This Row],[Outstanding Balance]],0)</f>
        <v>0</v>
      </c>
      <c r="S1321" s="106">
        <f>IF(Table__192.168.1.150_Daily_Delinquency_With_Sectors[[#This Row],[Days in Arrears]] &gt; 30, Table__192.168.1.150_Daily_Delinquency_With_Sectors[[#This Row],[Outstanding Balance]],0)</f>
        <v>0</v>
      </c>
      <c r="T1321" s="106">
        <f>IF(Table__192.168.1.150_Daily_Delinquency_With_Sectors[[#This Row],[Days in Arrears]] &gt; 90, Table__192.168.1.150_Daily_Delinquency_With_Sectors[[#This Row],[Outstanding Balance]],0)</f>
        <v>0</v>
      </c>
      <c r="U1321" s="380">
        <f>IF(Table__192.168.1.150_Daily_Delinquency_With_Sectors[[#This Row],[Days in Arrears]] &gt;= 1,1,0)</f>
        <v>0</v>
      </c>
      <c r="V1321" s="380">
        <f>IF(Table__192.168.1.150_Daily_Delinquency_With_Sectors[[#This Row],[Days in Arrears]] &gt; 30,1,0)</f>
        <v>0</v>
      </c>
      <c r="W1321" s="380">
        <f>IF(Table__192.168.1.150_Daily_Delinquency_With_Sectors[[#This Row],[Days in Arrears]] &gt; 90,1,0)</f>
        <v>0</v>
      </c>
    </row>
    <row r="1322" spans="1:23" x14ac:dyDescent="0.25">
      <c r="A1322" t="s">
        <v>4301</v>
      </c>
      <c r="B1322" t="s">
        <v>1286</v>
      </c>
      <c r="C1322">
        <v>-27</v>
      </c>
      <c r="D1322" s="106">
        <v>1604784.23</v>
      </c>
      <c r="E1322" t="s">
        <v>284</v>
      </c>
      <c r="F1322" s="106">
        <v>2228.87</v>
      </c>
      <c r="G1322" s="106">
        <v>1689228.34</v>
      </c>
      <c r="H1322" s="711">
        <v>43003.492693749999</v>
      </c>
      <c r="I1322" s="711">
        <v>43180</v>
      </c>
      <c r="J1322" t="s">
        <v>4302</v>
      </c>
      <c r="K1322" t="s">
        <v>1280</v>
      </c>
      <c r="L1322" t="s">
        <v>1280</v>
      </c>
      <c r="M1322">
        <v>201324</v>
      </c>
      <c r="N1322" t="s">
        <v>4284</v>
      </c>
      <c r="O1322" t="s">
        <v>28</v>
      </c>
      <c r="P1322" t="s">
        <v>108</v>
      </c>
      <c r="Q1322" t="s">
        <v>26</v>
      </c>
      <c r="R1322" s="713">
        <f>IF(Table__192.168.1.150_Daily_Delinquency_With_Sectors[[#This Row],[Days in Arrears]] &gt; 0, Table__192.168.1.150_Daily_Delinquency_With_Sectors[[#This Row],[Outstanding Balance]],0)</f>
        <v>0</v>
      </c>
      <c r="S1322" s="106">
        <f>IF(Table__192.168.1.150_Daily_Delinquency_With_Sectors[[#This Row],[Days in Arrears]] &gt; 30, Table__192.168.1.150_Daily_Delinquency_With_Sectors[[#This Row],[Outstanding Balance]],0)</f>
        <v>0</v>
      </c>
      <c r="T1322" s="106">
        <f>IF(Table__192.168.1.150_Daily_Delinquency_With_Sectors[[#This Row],[Days in Arrears]] &gt; 90, Table__192.168.1.150_Daily_Delinquency_With_Sectors[[#This Row],[Outstanding Balance]],0)</f>
        <v>0</v>
      </c>
      <c r="U1322" s="380">
        <f>IF(Table__192.168.1.150_Daily_Delinquency_With_Sectors[[#This Row],[Days in Arrears]] &gt;= 1,1,0)</f>
        <v>0</v>
      </c>
      <c r="V1322" s="380">
        <f>IF(Table__192.168.1.150_Daily_Delinquency_With_Sectors[[#This Row],[Days in Arrears]] &gt; 30,1,0)</f>
        <v>0</v>
      </c>
      <c r="W1322" s="380">
        <f>IF(Table__192.168.1.150_Daily_Delinquency_With_Sectors[[#This Row],[Days in Arrears]] &gt; 90,1,0)</f>
        <v>0</v>
      </c>
    </row>
    <row r="1323" spans="1:23" x14ac:dyDescent="0.25">
      <c r="A1323" t="s">
        <v>5574</v>
      </c>
      <c r="B1323" t="s">
        <v>1284</v>
      </c>
      <c r="C1323">
        <v>-1</v>
      </c>
      <c r="D1323" s="106">
        <v>9308618.5</v>
      </c>
      <c r="E1323" t="s">
        <v>1909</v>
      </c>
      <c r="F1323" s="106">
        <v>289601.46000000002</v>
      </c>
      <c r="G1323" s="106">
        <v>11271863.09</v>
      </c>
      <c r="H1323" s="711">
        <v>43003.53083171296</v>
      </c>
      <c r="I1323" s="711">
        <v>43368</v>
      </c>
      <c r="J1323" t="s">
        <v>5575</v>
      </c>
      <c r="K1323" t="s">
        <v>5576</v>
      </c>
      <c r="L1323" t="s">
        <v>1280</v>
      </c>
      <c r="M1323">
        <v>201325</v>
      </c>
      <c r="N1323" t="s">
        <v>5566</v>
      </c>
      <c r="O1323" t="s">
        <v>44</v>
      </c>
      <c r="P1323" t="s">
        <v>75</v>
      </c>
      <c r="Q1323" t="s">
        <v>26</v>
      </c>
      <c r="R1323" s="713">
        <f>IF(Table__192.168.1.150_Daily_Delinquency_With_Sectors[[#This Row],[Days in Arrears]] &gt; 0, Table__192.168.1.150_Daily_Delinquency_With_Sectors[[#This Row],[Outstanding Balance]],0)</f>
        <v>0</v>
      </c>
      <c r="S1323" s="106">
        <f>IF(Table__192.168.1.150_Daily_Delinquency_With_Sectors[[#This Row],[Days in Arrears]] &gt; 30, Table__192.168.1.150_Daily_Delinquency_With_Sectors[[#This Row],[Outstanding Balance]],0)</f>
        <v>0</v>
      </c>
      <c r="T1323" s="106">
        <f>IF(Table__192.168.1.150_Daily_Delinquency_With_Sectors[[#This Row],[Days in Arrears]] &gt; 90, Table__192.168.1.150_Daily_Delinquency_With_Sectors[[#This Row],[Outstanding Balance]],0)</f>
        <v>0</v>
      </c>
      <c r="U1323" s="380">
        <f>IF(Table__192.168.1.150_Daily_Delinquency_With_Sectors[[#This Row],[Days in Arrears]] &gt;= 1,1,0)</f>
        <v>0</v>
      </c>
      <c r="V1323" s="380">
        <f>IF(Table__192.168.1.150_Daily_Delinquency_With_Sectors[[#This Row],[Days in Arrears]] &gt; 30,1,0)</f>
        <v>0</v>
      </c>
      <c r="W1323" s="380">
        <f>IF(Table__192.168.1.150_Daily_Delinquency_With_Sectors[[#This Row],[Days in Arrears]] &gt; 90,1,0)</f>
        <v>0</v>
      </c>
    </row>
    <row r="1324" spans="1:23" x14ac:dyDescent="0.25">
      <c r="A1324" t="s">
        <v>4193</v>
      </c>
      <c r="B1324" t="s">
        <v>1282</v>
      </c>
      <c r="C1324">
        <v>-1</v>
      </c>
      <c r="D1324" s="106">
        <v>5500254.3300000001</v>
      </c>
      <c r="E1324" t="s">
        <v>2861</v>
      </c>
      <c r="F1324" s="106">
        <v>205342.83</v>
      </c>
      <c r="G1324" s="106">
        <v>6657710.9699999997</v>
      </c>
      <c r="H1324" s="711">
        <v>43003.575624108795</v>
      </c>
      <c r="I1324" s="711">
        <v>43306</v>
      </c>
      <c r="J1324" t="s">
        <v>4194</v>
      </c>
      <c r="K1324" t="s">
        <v>1280</v>
      </c>
      <c r="L1324" t="s">
        <v>1280</v>
      </c>
      <c r="M1324">
        <v>201326</v>
      </c>
      <c r="N1324" t="s">
        <v>4192</v>
      </c>
      <c r="O1324" t="s">
        <v>25</v>
      </c>
      <c r="P1324" t="s">
        <v>88</v>
      </c>
      <c r="Q1324" t="s">
        <v>285</v>
      </c>
      <c r="R1324" s="713">
        <f>IF(Table__192.168.1.150_Daily_Delinquency_With_Sectors[[#This Row],[Days in Arrears]] &gt; 0, Table__192.168.1.150_Daily_Delinquency_With_Sectors[[#This Row],[Outstanding Balance]],0)</f>
        <v>0</v>
      </c>
      <c r="S1324" s="106">
        <f>IF(Table__192.168.1.150_Daily_Delinquency_With_Sectors[[#This Row],[Days in Arrears]] &gt; 30, Table__192.168.1.150_Daily_Delinquency_With_Sectors[[#This Row],[Outstanding Balance]],0)</f>
        <v>0</v>
      </c>
      <c r="T1324" s="106">
        <f>IF(Table__192.168.1.150_Daily_Delinquency_With_Sectors[[#This Row],[Days in Arrears]] &gt; 90, Table__192.168.1.150_Daily_Delinquency_With_Sectors[[#This Row],[Outstanding Balance]],0)</f>
        <v>0</v>
      </c>
      <c r="U1324" s="380">
        <f>IF(Table__192.168.1.150_Daily_Delinquency_With_Sectors[[#This Row],[Days in Arrears]] &gt;= 1,1,0)</f>
        <v>0</v>
      </c>
      <c r="V1324" s="380">
        <f>IF(Table__192.168.1.150_Daily_Delinquency_With_Sectors[[#This Row],[Days in Arrears]] &gt; 30,1,0)</f>
        <v>0</v>
      </c>
      <c r="W1324" s="380">
        <f>IF(Table__192.168.1.150_Daily_Delinquency_With_Sectors[[#This Row],[Days in Arrears]] &gt; 90,1,0)</f>
        <v>0</v>
      </c>
    </row>
    <row r="1325" spans="1:23" x14ac:dyDescent="0.25">
      <c r="A1325" t="s">
        <v>2160</v>
      </c>
      <c r="B1325" t="s">
        <v>1282</v>
      </c>
      <c r="C1325">
        <v>-1</v>
      </c>
      <c r="D1325" s="106">
        <v>5600686.96</v>
      </c>
      <c r="E1325" t="s">
        <v>2557</v>
      </c>
      <c r="F1325" s="106">
        <v>209092.31</v>
      </c>
      <c r="G1325" s="106">
        <v>7032443.3799999999</v>
      </c>
      <c r="H1325" s="711">
        <v>43003.602945335646</v>
      </c>
      <c r="I1325" s="711">
        <v>43368</v>
      </c>
      <c r="J1325" t="s">
        <v>3443</v>
      </c>
      <c r="K1325" t="s">
        <v>1280</v>
      </c>
      <c r="L1325" t="s">
        <v>1280</v>
      </c>
      <c r="M1325">
        <v>201327</v>
      </c>
      <c r="N1325" t="s">
        <v>3441</v>
      </c>
      <c r="O1325" t="s">
        <v>44</v>
      </c>
      <c r="P1325" t="s">
        <v>92</v>
      </c>
      <c r="Q1325" t="s">
        <v>92</v>
      </c>
      <c r="R1325" s="713">
        <f>IF(Table__192.168.1.150_Daily_Delinquency_With_Sectors[[#This Row],[Days in Arrears]] &gt; 0, Table__192.168.1.150_Daily_Delinquency_With_Sectors[[#This Row],[Outstanding Balance]],0)</f>
        <v>0</v>
      </c>
      <c r="S1325" s="106">
        <f>IF(Table__192.168.1.150_Daily_Delinquency_With_Sectors[[#This Row],[Days in Arrears]] &gt; 30, Table__192.168.1.150_Daily_Delinquency_With_Sectors[[#This Row],[Outstanding Balance]],0)</f>
        <v>0</v>
      </c>
      <c r="T1325" s="106">
        <f>IF(Table__192.168.1.150_Daily_Delinquency_With_Sectors[[#This Row],[Days in Arrears]] &gt; 90, Table__192.168.1.150_Daily_Delinquency_With_Sectors[[#This Row],[Outstanding Balance]],0)</f>
        <v>0</v>
      </c>
      <c r="U1325" s="380">
        <f>IF(Table__192.168.1.150_Daily_Delinquency_With_Sectors[[#This Row],[Days in Arrears]] &gt;= 1,1,0)</f>
        <v>0</v>
      </c>
      <c r="V1325" s="380">
        <f>IF(Table__192.168.1.150_Daily_Delinquency_With_Sectors[[#This Row],[Days in Arrears]] &gt; 30,1,0)</f>
        <v>0</v>
      </c>
      <c r="W1325" s="380">
        <f>IF(Table__192.168.1.150_Daily_Delinquency_With_Sectors[[#This Row],[Days in Arrears]] &gt; 90,1,0)</f>
        <v>0</v>
      </c>
    </row>
    <row r="1326" spans="1:23" x14ac:dyDescent="0.25">
      <c r="A1326" t="s">
        <v>5577</v>
      </c>
      <c r="B1326" t="s">
        <v>1286</v>
      </c>
      <c r="C1326">
        <v>-27</v>
      </c>
      <c r="D1326" s="106">
        <v>2374621.64</v>
      </c>
      <c r="E1326" t="s">
        <v>284</v>
      </c>
      <c r="F1326" s="106">
        <v>3298.09</v>
      </c>
      <c r="G1326" s="106">
        <v>2499574.77</v>
      </c>
      <c r="H1326" s="711">
        <v>43003.691176932873</v>
      </c>
      <c r="I1326" s="711">
        <v>43180</v>
      </c>
      <c r="J1326" t="s">
        <v>5578</v>
      </c>
      <c r="K1326" t="s">
        <v>1280</v>
      </c>
      <c r="L1326" t="s">
        <v>1280</v>
      </c>
      <c r="M1326">
        <v>201328</v>
      </c>
      <c r="N1326" t="s">
        <v>5567</v>
      </c>
      <c r="O1326" t="s">
        <v>28</v>
      </c>
      <c r="P1326" t="s">
        <v>108</v>
      </c>
      <c r="Q1326" t="s">
        <v>26</v>
      </c>
      <c r="R1326" s="713">
        <f>IF(Table__192.168.1.150_Daily_Delinquency_With_Sectors[[#This Row],[Days in Arrears]] &gt; 0, Table__192.168.1.150_Daily_Delinquency_With_Sectors[[#This Row],[Outstanding Balance]],0)</f>
        <v>0</v>
      </c>
      <c r="S1326" s="106">
        <f>IF(Table__192.168.1.150_Daily_Delinquency_With_Sectors[[#This Row],[Days in Arrears]] &gt; 30, Table__192.168.1.150_Daily_Delinquency_With_Sectors[[#This Row],[Outstanding Balance]],0)</f>
        <v>0</v>
      </c>
      <c r="T1326" s="106">
        <f>IF(Table__192.168.1.150_Daily_Delinquency_With_Sectors[[#This Row],[Days in Arrears]] &gt; 90, Table__192.168.1.150_Daily_Delinquency_With_Sectors[[#This Row],[Outstanding Balance]],0)</f>
        <v>0</v>
      </c>
      <c r="U1326" s="380">
        <f>IF(Table__192.168.1.150_Daily_Delinquency_With_Sectors[[#This Row],[Days in Arrears]] &gt;= 1,1,0)</f>
        <v>0</v>
      </c>
      <c r="V1326" s="380">
        <f>IF(Table__192.168.1.150_Daily_Delinquency_With_Sectors[[#This Row],[Days in Arrears]] &gt; 30,1,0)</f>
        <v>0</v>
      </c>
      <c r="W1326" s="380">
        <f>IF(Table__192.168.1.150_Daily_Delinquency_With_Sectors[[#This Row],[Days in Arrears]] &gt; 90,1,0)</f>
        <v>0</v>
      </c>
    </row>
    <row r="1327" spans="1:23" x14ac:dyDescent="0.25">
      <c r="A1327" t="s">
        <v>5586</v>
      </c>
      <c r="B1327" t="s">
        <v>1282</v>
      </c>
      <c r="C1327">
        <v>22</v>
      </c>
      <c r="D1327" s="106">
        <v>5000000</v>
      </c>
      <c r="E1327" t="s">
        <v>3074</v>
      </c>
      <c r="F1327" s="106">
        <v>187424.35</v>
      </c>
      <c r="G1327" s="106">
        <v>5648662.79</v>
      </c>
      <c r="H1327" s="711">
        <v>43004.478649571756</v>
      </c>
      <c r="I1327" s="711">
        <v>43192</v>
      </c>
      <c r="J1327" t="s">
        <v>5587</v>
      </c>
      <c r="K1327" t="s">
        <v>1280</v>
      </c>
      <c r="L1327" t="s">
        <v>1280</v>
      </c>
      <c r="M1327">
        <v>201329</v>
      </c>
      <c r="N1327" t="s">
        <v>5580</v>
      </c>
      <c r="O1327" t="s">
        <v>37</v>
      </c>
      <c r="P1327" t="s">
        <v>686</v>
      </c>
      <c r="Q1327" t="s">
        <v>686</v>
      </c>
      <c r="R1327" s="713">
        <f>IF(Table__192.168.1.150_Daily_Delinquency_With_Sectors[[#This Row],[Days in Arrears]] &gt; 0, Table__192.168.1.150_Daily_Delinquency_With_Sectors[[#This Row],[Outstanding Balance]],0)</f>
        <v>5000000</v>
      </c>
      <c r="S1327" s="106">
        <f>IF(Table__192.168.1.150_Daily_Delinquency_With_Sectors[[#This Row],[Days in Arrears]] &gt; 30, Table__192.168.1.150_Daily_Delinquency_With_Sectors[[#This Row],[Outstanding Balance]],0)</f>
        <v>0</v>
      </c>
      <c r="T1327" s="106">
        <f>IF(Table__192.168.1.150_Daily_Delinquency_With_Sectors[[#This Row],[Days in Arrears]] &gt; 90, Table__192.168.1.150_Daily_Delinquency_With_Sectors[[#This Row],[Outstanding Balance]],0)</f>
        <v>0</v>
      </c>
      <c r="U1327" s="380">
        <f>IF(Table__192.168.1.150_Daily_Delinquency_With_Sectors[[#This Row],[Days in Arrears]] &gt;= 1,1,0)</f>
        <v>1</v>
      </c>
      <c r="V1327" s="380">
        <f>IF(Table__192.168.1.150_Daily_Delinquency_With_Sectors[[#This Row],[Days in Arrears]] &gt; 30,1,0)</f>
        <v>0</v>
      </c>
      <c r="W1327" s="380">
        <f>IF(Table__192.168.1.150_Daily_Delinquency_With_Sectors[[#This Row],[Days in Arrears]] &gt; 90,1,0)</f>
        <v>0</v>
      </c>
    </row>
    <row r="1328" spans="1:23" x14ac:dyDescent="0.25">
      <c r="A1328" t="s">
        <v>5588</v>
      </c>
      <c r="B1328" t="s">
        <v>1281</v>
      </c>
      <c r="C1328">
        <v>-8</v>
      </c>
      <c r="D1328" s="106">
        <v>16931307.510000002</v>
      </c>
      <c r="E1328" t="s">
        <v>1667</v>
      </c>
      <c r="F1328" s="106">
        <v>474076.61</v>
      </c>
      <c r="G1328" s="106">
        <v>21259617.329999998</v>
      </c>
      <c r="H1328" s="711">
        <v>43004.653141122682</v>
      </c>
      <c r="I1328" s="711">
        <v>43375</v>
      </c>
      <c r="J1328" t="s">
        <v>5589</v>
      </c>
      <c r="K1328" t="s">
        <v>1280</v>
      </c>
      <c r="L1328" t="s">
        <v>1280</v>
      </c>
      <c r="M1328">
        <v>201330</v>
      </c>
      <c r="N1328" t="s">
        <v>5581</v>
      </c>
      <c r="O1328" t="s">
        <v>37</v>
      </c>
      <c r="P1328" t="s">
        <v>686</v>
      </c>
      <c r="Q1328" t="s">
        <v>686</v>
      </c>
      <c r="R1328" s="713">
        <f>IF(Table__192.168.1.150_Daily_Delinquency_With_Sectors[[#This Row],[Days in Arrears]] &gt; 0, Table__192.168.1.150_Daily_Delinquency_With_Sectors[[#This Row],[Outstanding Balance]],0)</f>
        <v>0</v>
      </c>
      <c r="S1328" s="106">
        <f>IF(Table__192.168.1.150_Daily_Delinquency_With_Sectors[[#This Row],[Days in Arrears]] &gt; 30, Table__192.168.1.150_Daily_Delinquency_With_Sectors[[#This Row],[Outstanding Balance]],0)</f>
        <v>0</v>
      </c>
      <c r="T1328" s="106">
        <f>IF(Table__192.168.1.150_Daily_Delinquency_With_Sectors[[#This Row],[Days in Arrears]] &gt; 90, Table__192.168.1.150_Daily_Delinquency_With_Sectors[[#This Row],[Outstanding Balance]],0)</f>
        <v>0</v>
      </c>
      <c r="U1328" s="380">
        <f>IF(Table__192.168.1.150_Daily_Delinquency_With_Sectors[[#This Row],[Days in Arrears]] &gt;= 1,1,0)</f>
        <v>0</v>
      </c>
      <c r="V1328" s="380">
        <f>IF(Table__192.168.1.150_Daily_Delinquency_With_Sectors[[#This Row],[Days in Arrears]] &gt; 30,1,0)</f>
        <v>0</v>
      </c>
      <c r="W1328" s="380">
        <f>IF(Table__192.168.1.150_Daily_Delinquency_With_Sectors[[#This Row],[Days in Arrears]] &gt; 90,1,0)</f>
        <v>0</v>
      </c>
    </row>
    <row r="1329" spans="1:23" x14ac:dyDescent="0.25">
      <c r="A1329" t="s">
        <v>5590</v>
      </c>
      <c r="B1329" t="s">
        <v>1282</v>
      </c>
      <c r="C1329">
        <v>-8</v>
      </c>
      <c r="D1329" s="106">
        <v>1847521.33</v>
      </c>
      <c r="E1329" t="s">
        <v>1447</v>
      </c>
      <c r="F1329" s="106">
        <v>51730.6</v>
      </c>
      <c r="G1329" s="106">
        <v>2236308.0499999998</v>
      </c>
      <c r="H1329" s="711">
        <v>43004.57486724537</v>
      </c>
      <c r="I1329" s="711">
        <v>43314</v>
      </c>
      <c r="J1329" t="s">
        <v>5591</v>
      </c>
      <c r="K1329" t="s">
        <v>1280</v>
      </c>
      <c r="L1329" t="s">
        <v>1280</v>
      </c>
      <c r="M1329">
        <v>201331</v>
      </c>
      <c r="N1329" t="s">
        <v>5582</v>
      </c>
      <c r="O1329" t="s">
        <v>44</v>
      </c>
      <c r="P1329" t="s">
        <v>75</v>
      </c>
      <c r="Q1329" t="s">
        <v>26</v>
      </c>
      <c r="R1329" s="713">
        <f>IF(Table__192.168.1.150_Daily_Delinquency_With_Sectors[[#This Row],[Days in Arrears]] &gt; 0, Table__192.168.1.150_Daily_Delinquency_With_Sectors[[#This Row],[Outstanding Balance]],0)</f>
        <v>0</v>
      </c>
      <c r="S1329" s="106">
        <f>IF(Table__192.168.1.150_Daily_Delinquency_With_Sectors[[#This Row],[Days in Arrears]] &gt; 30, Table__192.168.1.150_Daily_Delinquency_With_Sectors[[#This Row],[Outstanding Balance]],0)</f>
        <v>0</v>
      </c>
      <c r="T1329" s="106">
        <f>IF(Table__192.168.1.150_Daily_Delinquency_With_Sectors[[#This Row],[Days in Arrears]] &gt; 90, Table__192.168.1.150_Daily_Delinquency_With_Sectors[[#This Row],[Outstanding Balance]],0)</f>
        <v>0</v>
      </c>
      <c r="U1329" s="380">
        <f>IF(Table__192.168.1.150_Daily_Delinquency_With_Sectors[[#This Row],[Days in Arrears]] &gt;= 1,1,0)</f>
        <v>0</v>
      </c>
      <c r="V1329" s="380">
        <f>IF(Table__192.168.1.150_Daily_Delinquency_With_Sectors[[#This Row],[Days in Arrears]] &gt; 30,1,0)</f>
        <v>0</v>
      </c>
      <c r="W1329" s="380">
        <f>IF(Table__192.168.1.150_Daily_Delinquency_With_Sectors[[#This Row],[Days in Arrears]] &gt; 90,1,0)</f>
        <v>0</v>
      </c>
    </row>
    <row r="1330" spans="1:23" x14ac:dyDescent="0.25">
      <c r="A1330" t="s">
        <v>5602</v>
      </c>
      <c r="B1330" t="s">
        <v>1279</v>
      </c>
      <c r="C1330">
        <v>-8</v>
      </c>
      <c r="D1330" s="106">
        <v>1387821.23</v>
      </c>
      <c r="E1330" t="s">
        <v>4919</v>
      </c>
      <c r="F1330" s="106">
        <v>43716.37</v>
      </c>
      <c r="G1330" s="106">
        <v>1718358.94</v>
      </c>
      <c r="H1330" s="711">
        <v>43005.516873611108</v>
      </c>
      <c r="I1330" s="711">
        <v>43314</v>
      </c>
      <c r="J1330" t="s">
        <v>5603</v>
      </c>
      <c r="K1330" t="s">
        <v>1280</v>
      </c>
      <c r="L1330" t="s">
        <v>1280</v>
      </c>
      <c r="M1330">
        <v>201332</v>
      </c>
      <c r="N1330" t="s">
        <v>5593</v>
      </c>
      <c r="O1330" t="s">
        <v>25</v>
      </c>
      <c r="P1330" t="s">
        <v>88</v>
      </c>
      <c r="Q1330" t="s">
        <v>285</v>
      </c>
      <c r="R1330" s="713">
        <f>IF(Table__192.168.1.150_Daily_Delinquency_With_Sectors[[#This Row],[Days in Arrears]] &gt; 0, Table__192.168.1.150_Daily_Delinquency_With_Sectors[[#This Row],[Outstanding Balance]],0)</f>
        <v>0</v>
      </c>
      <c r="S1330" s="106">
        <f>IF(Table__192.168.1.150_Daily_Delinquency_With_Sectors[[#This Row],[Days in Arrears]] &gt; 30, Table__192.168.1.150_Daily_Delinquency_With_Sectors[[#This Row],[Outstanding Balance]],0)</f>
        <v>0</v>
      </c>
      <c r="T1330" s="106">
        <f>IF(Table__192.168.1.150_Daily_Delinquency_With_Sectors[[#This Row],[Days in Arrears]] &gt; 90, Table__192.168.1.150_Daily_Delinquency_With_Sectors[[#This Row],[Outstanding Balance]],0)</f>
        <v>0</v>
      </c>
      <c r="U1330" s="380">
        <f>IF(Table__192.168.1.150_Daily_Delinquency_With_Sectors[[#This Row],[Days in Arrears]] &gt;= 1,1,0)</f>
        <v>0</v>
      </c>
      <c r="V1330" s="380">
        <f>IF(Table__192.168.1.150_Daily_Delinquency_With_Sectors[[#This Row],[Days in Arrears]] &gt; 30,1,0)</f>
        <v>0</v>
      </c>
      <c r="W1330" s="380">
        <f>IF(Table__192.168.1.150_Daily_Delinquency_With_Sectors[[#This Row],[Days in Arrears]] &gt; 90,1,0)</f>
        <v>0</v>
      </c>
    </row>
    <row r="1331" spans="1:23" x14ac:dyDescent="0.25">
      <c r="A1331" t="s">
        <v>5604</v>
      </c>
      <c r="B1331" t="s">
        <v>1279</v>
      </c>
      <c r="C1331">
        <v>-8</v>
      </c>
      <c r="D1331" s="106">
        <v>3149307.84</v>
      </c>
      <c r="E1331" t="s">
        <v>4919</v>
      </c>
      <c r="F1331" s="106">
        <v>99203.199999999997</v>
      </c>
      <c r="G1331" s="106">
        <v>3741095.15</v>
      </c>
      <c r="H1331" s="711">
        <v>43005.514843206016</v>
      </c>
      <c r="I1331" s="711">
        <v>43253</v>
      </c>
      <c r="J1331" t="s">
        <v>5605</v>
      </c>
      <c r="K1331" t="s">
        <v>1280</v>
      </c>
      <c r="L1331" t="s">
        <v>1280</v>
      </c>
      <c r="M1331">
        <v>201333</v>
      </c>
      <c r="N1331" t="s">
        <v>5594</v>
      </c>
      <c r="O1331" t="s">
        <v>25</v>
      </c>
      <c r="P1331" t="s">
        <v>88</v>
      </c>
      <c r="Q1331" t="s">
        <v>285</v>
      </c>
      <c r="R1331" s="713">
        <f>IF(Table__192.168.1.150_Daily_Delinquency_With_Sectors[[#This Row],[Days in Arrears]] &gt; 0, Table__192.168.1.150_Daily_Delinquency_With_Sectors[[#This Row],[Outstanding Balance]],0)</f>
        <v>0</v>
      </c>
      <c r="S1331" s="106">
        <f>IF(Table__192.168.1.150_Daily_Delinquency_With_Sectors[[#This Row],[Days in Arrears]] &gt; 30, Table__192.168.1.150_Daily_Delinquency_With_Sectors[[#This Row],[Outstanding Balance]],0)</f>
        <v>0</v>
      </c>
      <c r="T1331" s="106">
        <f>IF(Table__192.168.1.150_Daily_Delinquency_With_Sectors[[#This Row],[Days in Arrears]] &gt; 90, Table__192.168.1.150_Daily_Delinquency_With_Sectors[[#This Row],[Outstanding Balance]],0)</f>
        <v>0</v>
      </c>
      <c r="U1331" s="380">
        <f>IF(Table__192.168.1.150_Daily_Delinquency_With_Sectors[[#This Row],[Days in Arrears]] &gt;= 1,1,0)</f>
        <v>0</v>
      </c>
      <c r="V1331" s="380">
        <f>IF(Table__192.168.1.150_Daily_Delinquency_With_Sectors[[#This Row],[Days in Arrears]] &gt; 30,1,0)</f>
        <v>0</v>
      </c>
      <c r="W1331" s="380">
        <f>IF(Table__192.168.1.150_Daily_Delinquency_With_Sectors[[#This Row],[Days in Arrears]] &gt; 90,1,0)</f>
        <v>0</v>
      </c>
    </row>
    <row r="1332" spans="1:23" x14ac:dyDescent="0.25">
      <c r="A1332" t="s">
        <v>3516</v>
      </c>
      <c r="B1332" t="s">
        <v>1282</v>
      </c>
      <c r="C1332">
        <v>22</v>
      </c>
      <c r="D1332" s="106">
        <v>3000000</v>
      </c>
      <c r="E1332" t="s">
        <v>2538</v>
      </c>
      <c r="F1332" s="106">
        <v>202439.27</v>
      </c>
      <c r="G1332" s="106">
        <v>3707380.23</v>
      </c>
      <c r="H1332" s="711">
        <v>43005.506766550927</v>
      </c>
      <c r="I1332" s="711">
        <v>43314</v>
      </c>
      <c r="J1332" t="s">
        <v>3517</v>
      </c>
      <c r="K1332" t="s">
        <v>1280</v>
      </c>
      <c r="L1332" t="s">
        <v>3518</v>
      </c>
      <c r="M1332">
        <v>201334</v>
      </c>
      <c r="N1332" t="s">
        <v>3510</v>
      </c>
      <c r="O1332" t="s">
        <v>25</v>
      </c>
      <c r="P1332" t="s">
        <v>32</v>
      </c>
      <c r="Q1332" t="s">
        <v>3369</v>
      </c>
      <c r="R1332" s="713">
        <f>IF(Table__192.168.1.150_Daily_Delinquency_With_Sectors[[#This Row],[Days in Arrears]] &gt; 0, Table__192.168.1.150_Daily_Delinquency_With_Sectors[[#This Row],[Outstanding Balance]],0)</f>
        <v>3000000</v>
      </c>
      <c r="S1332" s="106">
        <f>IF(Table__192.168.1.150_Daily_Delinquency_With_Sectors[[#This Row],[Days in Arrears]] &gt; 30, Table__192.168.1.150_Daily_Delinquency_With_Sectors[[#This Row],[Outstanding Balance]],0)</f>
        <v>0</v>
      </c>
      <c r="T1332" s="106">
        <f>IF(Table__192.168.1.150_Daily_Delinquency_With_Sectors[[#This Row],[Days in Arrears]] &gt; 90, Table__192.168.1.150_Daily_Delinquency_With_Sectors[[#This Row],[Outstanding Balance]],0)</f>
        <v>0</v>
      </c>
      <c r="U1332" s="380">
        <f>IF(Table__192.168.1.150_Daily_Delinquency_With_Sectors[[#This Row],[Days in Arrears]] &gt;= 1,1,0)</f>
        <v>1</v>
      </c>
      <c r="V1332" s="380">
        <f>IF(Table__192.168.1.150_Daily_Delinquency_With_Sectors[[#This Row],[Days in Arrears]] &gt; 30,1,0)</f>
        <v>0</v>
      </c>
      <c r="W1332" s="380">
        <f>IF(Table__192.168.1.150_Daily_Delinquency_With_Sectors[[#This Row],[Days in Arrears]] &gt; 90,1,0)</f>
        <v>0</v>
      </c>
    </row>
    <row r="1333" spans="1:23" x14ac:dyDescent="0.25">
      <c r="A1333" t="s">
        <v>5606</v>
      </c>
      <c r="B1333" t="s">
        <v>1282</v>
      </c>
      <c r="C1333">
        <v>-8</v>
      </c>
      <c r="D1333" s="106">
        <v>13188654.27</v>
      </c>
      <c r="E1333" t="s">
        <v>5410</v>
      </c>
      <c r="F1333" s="106">
        <v>415442.61</v>
      </c>
      <c r="G1333" s="106">
        <v>17009803.039999999</v>
      </c>
      <c r="H1333" s="711">
        <v>43005.5893125</v>
      </c>
      <c r="I1333" s="711">
        <v>43375</v>
      </c>
      <c r="J1333" t="s">
        <v>5607</v>
      </c>
      <c r="K1333" t="s">
        <v>1280</v>
      </c>
      <c r="L1333" t="s">
        <v>1280</v>
      </c>
      <c r="M1333">
        <v>201335</v>
      </c>
      <c r="N1333" t="s">
        <v>5596</v>
      </c>
      <c r="O1333" t="s">
        <v>44</v>
      </c>
      <c r="P1333" t="s">
        <v>75</v>
      </c>
      <c r="Q1333" t="s">
        <v>1442</v>
      </c>
      <c r="R1333" s="713">
        <f>IF(Table__192.168.1.150_Daily_Delinquency_With_Sectors[[#This Row],[Days in Arrears]] &gt; 0, Table__192.168.1.150_Daily_Delinquency_With_Sectors[[#This Row],[Outstanding Balance]],0)</f>
        <v>0</v>
      </c>
      <c r="S1333" s="106">
        <f>IF(Table__192.168.1.150_Daily_Delinquency_With_Sectors[[#This Row],[Days in Arrears]] &gt; 30, Table__192.168.1.150_Daily_Delinquency_With_Sectors[[#This Row],[Outstanding Balance]],0)</f>
        <v>0</v>
      </c>
      <c r="T1333" s="106">
        <f>IF(Table__192.168.1.150_Daily_Delinquency_With_Sectors[[#This Row],[Days in Arrears]] &gt; 90, Table__192.168.1.150_Daily_Delinquency_With_Sectors[[#This Row],[Outstanding Balance]],0)</f>
        <v>0</v>
      </c>
      <c r="U1333" s="380">
        <f>IF(Table__192.168.1.150_Daily_Delinquency_With_Sectors[[#This Row],[Days in Arrears]] &gt;= 1,1,0)</f>
        <v>0</v>
      </c>
      <c r="V1333" s="380">
        <f>IF(Table__192.168.1.150_Daily_Delinquency_With_Sectors[[#This Row],[Days in Arrears]] &gt; 30,1,0)</f>
        <v>0</v>
      </c>
      <c r="W1333" s="380">
        <f>IF(Table__192.168.1.150_Daily_Delinquency_With_Sectors[[#This Row],[Days in Arrears]] &gt; 90,1,0)</f>
        <v>0</v>
      </c>
    </row>
    <row r="1334" spans="1:23" x14ac:dyDescent="0.25">
      <c r="A1334" t="s">
        <v>1904</v>
      </c>
      <c r="B1334" t="s">
        <v>1279</v>
      </c>
      <c r="C1334">
        <v>-8</v>
      </c>
      <c r="D1334" s="105">
        <v>4697157.33</v>
      </c>
      <c r="E1334" t="s">
        <v>1925</v>
      </c>
      <c r="F1334" s="105">
        <v>131520.41</v>
      </c>
      <c r="G1334" s="105">
        <v>5897935.9500000002</v>
      </c>
      <c r="H1334" s="711">
        <v>43005.677940277776</v>
      </c>
      <c r="I1334" s="711">
        <v>43375</v>
      </c>
      <c r="J1334" t="s">
        <v>1905</v>
      </c>
      <c r="K1334" t="s">
        <v>1280</v>
      </c>
      <c r="L1334" t="s">
        <v>1280</v>
      </c>
      <c r="M1334">
        <v>201336</v>
      </c>
      <c r="N1334" t="s">
        <v>1900</v>
      </c>
      <c r="O1334" t="s">
        <v>44</v>
      </c>
      <c r="P1334" t="s">
        <v>75</v>
      </c>
      <c r="Q1334" t="s">
        <v>1442</v>
      </c>
      <c r="R1334" s="710">
        <f>IF(Table__192.168.1.150_Daily_Delinquency_With_Sectors[[#This Row],[Days in Arrears]] &gt; 0, Table__192.168.1.150_Daily_Delinquency_With_Sectors[[#This Row],[Outstanding Balance]],0)</f>
        <v>0</v>
      </c>
      <c r="S1334" s="105">
        <f>IF(Table__192.168.1.150_Daily_Delinquency_With_Sectors[[#This Row],[Days in Arrears]] &gt; 30, Table__192.168.1.150_Daily_Delinquency_With_Sectors[[#This Row],[Outstanding Balance]],0)</f>
        <v>0</v>
      </c>
      <c r="T1334" s="105">
        <f>IF(Table__192.168.1.150_Daily_Delinquency_With_Sectors[[#This Row],[Days in Arrears]] &gt; 90, Table__192.168.1.150_Daily_Delinquency_With_Sectors[[#This Row],[Outstanding Balance]],0)</f>
        <v>0</v>
      </c>
      <c r="U1334" s="109">
        <f>IF(Table__192.168.1.150_Daily_Delinquency_With_Sectors[[#This Row],[Days in Arrears]] &gt;= 1,1,0)</f>
        <v>0</v>
      </c>
      <c r="V1334" s="109">
        <f>IF(Table__192.168.1.150_Daily_Delinquency_With_Sectors[[#This Row],[Days in Arrears]] &gt; 30,1,0)</f>
        <v>0</v>
      </c>
      <c r="W1334" s="109">
        <f>IF(Table__192.168.1.150_Daily_Delinquency_With_Sectors[[#This Row],[Days in Arrears]] &gt; 90,1,0)</f>
        <v>0</v>
      </c>
    </row>
    <row r="1335" spans="1:23" x14ac:dyDescent="0.25">
      <c r="A1335" t="s">
        <v>5623</v>
      </c>
      <c r="B1335" t="s">
        <v>1282</v>
      </c>
      <c r="C1335">
        <v>-8</v>
      </c>
      <c r="D1335" s="105">
        <v>7188158.8899999997</v>
      </c>
      <c r="E1335" t="s">
        <v>1447</v>
      </c>
      <c r="F1335" s="105">
        <v>226427.01</v>
      </c>
      <c r="G1335" s="105">
        <v>8538887.8100000005</v>
      </c>
      <c r="H1335" s="711">
        <v>43006.63448310185</v>
      </c>
      <c r="I1335" s="711">
        <v>43253</v>
      </c>
      <c r="J1335" t="s">
        <v>5624</v>
      </c>
      <c r="K1335" t="s">
        <v>1280</v>
      </c>
      <c r="L1335" t="s">
        <v>1280</v>
      </c>
      <c r="M1335">
        <v>201337</v>
      </c>
      <c r="N1335" t="s">
        <v>5612</v>
      </c>
      <c r="O1335" t="s">
        <v>25</v>
      </c>
      <c r="P1335" t="s">
        <v>88</v>
      </c>
      <c r="Q1335" t="s">
        <v>285</v>
      </c>
      <c r="R1335" s="710">
        <f>IF(Table__192.168.1.150_Daily_Delinquency_With_Sectors[[#This Row],[Days in Arrears]] &gt; 0, Table__192.168.1.150_Daily_Delinquency_With_Sectors[[#This Row],[Outstanding Balance]],0)</f>
        <v>0</v>
      </c>
      <c r="S1335" s="105">
        <f>IF(Table__192.168.1.150_Daily_Delinquency_With_Sectors[[#This Row],[Days in Arrears]] &gt; 30, Table__192.168.1.150_Daily_Delinquency_With_Sectors[[#This Row],[Outstanding Balance]],0)</f>
        <v>0</v>
      </c>
      <c r="T1335" s="105">
        <f>IF(Table__192.168.1.150_Daily_Delinquency_With_Sectors[[#This Row],[Days in Arrears]] &gt; 90, Table__192.168.1.150_Daily_Delinquency_With_Sectors[[#This Row],[Outstanding Balance]],0)</f>
        <v>0</v>
      </c>
      <c r="U1335" s="109">
        <f>IF(Table__192.168.1.150_Daily_Delinquency_With_Sectors[[#This Row],[Days in Arrears]] &gt;= 1,1,0)</f>
        <v>0</v>
      </c>
      <c r="V1335" s="109">
        <f>IF(Table__192.168.1.150_Daily_Delinquency_With_Sectors[[#This Row],[Days in Arrears]] &gt; 30,1,0)</f>
        <v>0</v>
      </c>
      <c r="W1335" s="109">
        <f>IF(Table__192.168.1.150_Daily_Delinquency_With_Sectors[[#This Row],[Days in Arrears]] &gt; 90,1,0)</f>
        <v>0</v>
      </c>
    </row>
    <row r="1336" spans="1:23" x14ac:dyDescent="0.25">
      <c r="A1336" t="s">
        <v>3444</v>
      </c>
      <c r="B1336" t="s">
        <v>1281</v>
      </c>
      <c r="C1336">
        <v>-8</v>
      </c>
      <c r="D1336" s="105">
        <v>21197175.530000001</v>
      </c>
      <c r="E1336" t="s">
        <v>2557</v>
      </c>
      <c r="F1336" s="105">
        <v>519330.8</v>
      </c>
      <c r="G1336" s="105">
        <v>28483349.350000001</v>
      </c>
      <c r="H1336" s="711">
        <v>43006.709984027781</v>
      </c>
      <c r="I1336" s="711">
        <v>43557</v>
      </c>
      <c r="J1336" t="s">
        <v>3445</v>
      </c>
      <c r="K1336" t="s">
        <v>1280</v>
      </c>
      <c r="L1336" t="s">
        <v>1280</v>
      </c>
      <c r="M1336">
        <v>201338</v>
      </c>
      <c r="N1336" t="s">
        <v>3442</v>
      </c>
      <c r="O1336" t="s">
        <v>45</v>
      </c>
      <c r="P1336" t="s">
        <v>45</v>
      </c>
      <c r="Q1336" t="s">
        <v>89</v>
      </c>
      <c r="R1336" s="710">
        <f>IF(Table__192.168.1.150_Daily_Delinquency_With_Sectors[[#This Row],[Days in Arrears]] &gt; 0, Table__192.168.1.150_Daily_Delinquency_With_Sectors[[#This Row],[Outstanding Balance]],0)</f>
        <v>0</v>
      </c>
      <c r="S1336" s="105">
        <f>IF(Table__192.168.1.150_Daily_Delinquency_With_Sectors[[#This Row],[Days in Arrears]] &gt; 30, Table__192.168.1.150_Daily_Delinquency_With_Sectors[[#This Row],[Outstanding Balance]],0)</f>
        <v>0</v>
      </c>
      <c r="T1336" s="105">
        <f>IF(Table__192.168.1.150_Daily_Delinquency_With_Sectors[[#This Row],[Days in Arrears]] &gt; 90, Table__192.168.1.150_Daily_Delinquency_With_Sectors[[#This Row],[Outstanding Balance]],0)</f>
        <v>0</v>
      </c>
      <c r="U1336" s="109">
        <f>IF(Table__192.168.1.150_Daily_Delinquency_With_Sectors[[#This Row],[Days in Arrears]] &gt;= 1,1,0)</f>
        <v>0</v>
      </c>
      <c r="V1336" s="109">
        <f>IF(Table__192.168.1.150_Daily_Delinquency_With_Sectors[[#This Row],[Days in Arrears]] &gt; 30,1,0)</f>
        <v>0</v>
      </c>
      <c r="W1336" s="109">
        <f>IF(Table__192.168.1.150_Daily_Delinquency_With_Sectors[[#This Row],[Days in Arrears]] &gt; 90,1,0)</f>
        <v>0</v>
      </c>
    </row>
    <row r="1337" spans="1:23" x14ac:dyDescent="0.25">
      <c r="A1337" t="s">
        <v>3278</v>
      </c>
      <c r="B1337" t="s">
        <v>1282</v>
      </c>
      <c r="C1337">
        <v>-8</v>
      </c>
      <c r="D1337" s="105">
        <v>12197051.609999999</v>
      </c>
      <c r="E1337" t="s">
        <v>468</v>
      </c>
      <c r="F1337" s="105">
        <v>341517.45</v>
      </c>
      <c r="G1337" s="105">
        <v>15315098.960000001</v>
      </c>
      <c r="H1337" s="711">
        <v>43006.489802777774</v>
      </c>
      <c r="I1337" s="711">
        <v>43375</v>
      </c>
      <c r="J1337" t="s">
        <v>3279</v>
      </c>
      <c r="K1337" t="s">
        <v>1280</v>
      </c>
      <c r="L1337" t="s">
        <v>1280</v>
      </c>
      <c r="M1337">
        <v>201339</v>
      </c>
      <c r="N1337" t="s">
        <v>3270</v>
      </c>
      <c r="O1337" t="s">
        <v>44</v>
      </c>
      <c r="P1337" t="s">
        <v>75</v>
      </c>
      <c r="Q1337" t="s">
        <v>1442</v>
      </c>
      <c r="R1337" s="710">
        <f>IF(Table__192.168.1.150_Daily_Delinquency_With_Sectors[[#This Row],[Days in Arrears]] &gt; 0, Table__192.168.1.150_Daily_Delinquency_With_Sectors[[#This Row],[Outstanding Balance]],0)</f>
        <v>0</v>
      </c>
      <c r="S1337" s="105">
        <f>IF(Table__192.168.1.150_Daily_Delinquency_With_Sectors[[#This Row],[Days in Arrears]] &gt; 30, Table__192.168.1.150_Daily_Delinquency_With_Sectors[[#This Row],[Outstanding Balance]],0)</f>
        <v>0</v>
      </c>
      <c r="T1337" s="105">
        <f>IF(Table__192.168.1.150_Daily_Delinquency_With_Sectors[[#This Row],[Days in Arrears]] &gt; 90, Table__192.168.1.150_Daily_Delinquency_With_Sectors[[#This Row],[Outstanding Balance]],0)</f>
        <v>0</v>
      </c>
      <c r="U1337" s="109">
        <f>IF(Table__192.168.1.150_Daily_Delinquency_With_Sectors[[#This Row],[Days in Arrears]] &gt;= 1,1,0)</f>
        <v>0</v>
      </c>
      <c r="V1337" s="109">
        <f>IF(Table__192.168.1.150_Daily_Delinquency_With_Sectors[[#This Row],[Days in Arrears]] &gt; 30,1,0)</f>
        <v>0</v>
      </c>
      <c r="W1337" s="109">
        <f>IF(Table__192.168.1.150_Daily_Delinquency_With_Sectors[[#This Row],[Days in Arrears]] &gt; 90,1,0)</f>
        <v>0</v>
      </c>
    </row>
    <row r="1338" spans="1:23" x14ac:dyDescent="0.25">
      <c r="A1338" t="s">
        <v>5625</v>
      </c>
      <c r="B1338" t="s">
        <v>1282</v>
      </c>
      <c r="C1338">
        <v>-8</v>
      </c>
      <c r="D1338" s="105">
        <v>4619477.79</v>
      </c>
      <c r="E1338" t="s">
        <v>5384</v>
      </c>
      <c r="F1338" s="105">
        <v>145513.54999999999</v>
      </c>
      <c r="G1338" s="105">
        <v>5719699.8600000003</v>
      </c>
      <c r="H1338" s="711">
        <v>43006.655426192126</v>
      </c>
      <c r="I1338" s="711">
        <v>43314</v>
      </c>
      <c r="J1338" t="s">
        <v>5626</v>
      </c>
      <c r="K1338" t="s">
        <v>1280</v>
      </c>
      <c r="L1338" t="s">
        <v>5627</v>
      </c>
      <c r="M1338">
        <v>201340</v>
      </c>
      <c r="N1338" t="s">
        <v>5614</v>
      </c>
      <c r="O1338" t="s">
        <v>44</v>
      </c>
      <c r="P1338" t="s">
        <v>75</v>
      </c>
      <c r="Q1338" t="s">
        <v>1442</v>
      </c>
      <c r="R1338" s="710">
        <f>IF(Table__192.168.1.150_Daily_Delinquency_With_Sectors[[#This Row],[Days in Arrears]] &gt; 0, Table__192.168.1.150_Daily_Delinquency_With_Sectors[[#This Row],[Outstanding Balance]],0)</f>
        <v>0</v>
      </c>
      <c r="S1338" s="105">
        <f>IF(Table__192.168.1.150_Daily_Delinquency_With_Sectors[[#This Row],[Days in Arrears]] &gt; 30, Table__192.168.1.150_Daily_Delinquency_With_Sectors[[#This Row],[Outstanding Balance]],0)</f>
        <v>0</v>
      </c>
      <c r="T1338" s="105">
        <f>IF(Table__192.168.1.150_Daily_Delinquency_With_Sectors[[#This Row],[Days in Arrears]] &gt; 90, Table__192.168.1.150_Daily_Delinquency_With_Sectors[[#This Row],[Outstanding Balance]],0)</f>
        <v>0</v>
      </c>
      <c r="U1338" s="109">
        <f>IF(Table__192.168.1.150_Daily_Delinquency_With_Sectors[[#This Row],[Days in Arrears]] &gt;= 1,1,0)</f>
        <v>0</v>
      </c>
      <c r="V1338" s="109">
        <f>IF(Table__192.168.1.150_Daily_Delinquency_With_Sectors[[#This Row],[Days in Arrears]] &gt; 30,1,0)</f>
        <v>0</v>
      </c>
      <c r="W1338" s="109">
        <f>IF(Table__192.168.1.150_Daily_Delinquency_With_Sectors[[#This Row],[Days in Arrears]] &gt; 90,1,0)</f>
        <v>0</v>
      </c>
    </row>
    <row r="1339" spans="1:23" x14ac:dyDescent="0.25">
      <c r="A1339" t="s">
        <v>3480</v>
      </c>
      <c r="B1339" t="s">
        <v>1866</v>
      </c>
      <c r="C1339">
        <v>22</v>
      </c>
      <c r="D1339" s="105">
        <v>7000000</v>
      </c>
      <c r="E1339" t="s">
        <v>1039</v>
      </c>
      <c r="F1339" s="105">
        <v>377226.94</v>
      </c>
      <c r="G1339" s="105">
        <v>8737598.2599999998</v>
      </c>
      <c r="H1339" s="711">
        <v>43006.778086342594</v>
      </c>
      <c r="I1339" s="711">
        <v>43375</v>
      </c>
      <c r="J1339" t="s">
        <v>3481</v>
      </c>
      <c r="K1339" t="s">
        <v>1280</v>
      </c>
      <c r="L1339" t="s">
        <v>1280</v>
      </c>
      <c r="M1339">
        <v>201341</v>
      </c>
      <c r="N1339" t="s">
        <v>3463</v>
      </c>
      <c r="O1339" t="s">
        <v>25</v>
      </c>
      <c r="P1339" t="s">
        <v>88</v>
      </c>
      <c r="Q1339" t="s">
        <v>285</v>
      </c>
      <c r="R1339" s="710">
        <f>IF(Table__192.168.1.150_Daily_Delinquency_With_Sectors[[#This Row],[Days in Arrears]] &gt; 0, Table__192.168.1.150_Daily_Delinquency_With_Sectors[[#This Row],[Outstanding Balance]],0)</f>
        <v>7000000</v>
      </c>
      <c r="S1339" s="105">
        <f>IF(Table__192.168.1.150_Daily_Delinquency_With_Sectors[[#This Row],[Days in Arrears]] &gt; 30, Table__192.168.1.150_Daily_Delinquency_With_Sectors[[#This Row],[Outstanding Balance]],0)</f>
        <v>0</v>
      </c>
      <c r="T1339" s="105">
        <f>IF(Table__192.168.1.150_Daily_Delinquency_With_Sectors[[#This Row],[Days in Arrears]] &gt; 90, Table__192.168.1.150_Daily_Delinquency_With_Sectors[[#This Row],[Outstanding Balance]],0)</f>
        <v>0</v>
      </c>
      <c r="U1339" s="109">
        <f>IF(Table__192.168.1.150_Daily_Delinquency_With_Sectors[[#This Row],[Days in Arrears]] &gt;= 1,1,0)</f>
        <v>1</v>
      </c>
      <c r="V1339" s="109">
        <f>IF(Table__192.168.1.150_Daily_Delinquency_With_Sectors[[#This Row],[Days in Arrears]] &gt; 30,1,0)</f>
        <v>0</v>
      </c>
      <c r="W1339" s="109">
        <f>IF(Table__192.168.1.150_Daily_Delinquency_With_Sectors[[#This Row],[Days in Arrears]] &gt; 90,1,0)</f>
        <v>0</v>
      </c>
    </row>
    <row r="1340" spans="1:23" x14ac:dyDescent="0.25">
      <c r="A1340" t="s">
        <v>5628</v>
      </c>
      <c r="B1340" t="s">
        <v>1279</v>
      </c>
      <c r="C1340">
        <v>-8</v>
      </c>
      <c r="D1340" s="105">
        <v>4703520.75</v>
      </c>
      <c r="E1340" t="s">
        <v>5384</v>
      </c>
      <c r="F1340" s="105">
        <v>148160.9</v>
      </c>
      <c r="G1340" s="105">
        <v>6066271.8300000001</v>
      </c>
      <c r="H1340" s="711">
        <v>43006.535467511574</v>
      </c>
      <c r="I1340" s="711">
        <v>43375</v>
      </c>
      <c r="J1340" t="s">
        <v>5629</v>
      </c>
      <c r="K1340" t="s">
        <v>1280</v>
      </c>
      <c r="L1340" t="s">
        <v>1280</v>
      </c>
      <c r="M1340">
        <v>201342</v>
      </c>
      <c r="N1340" t="s">
        <v>5609</v>
      </c>
      <c r="O1340" t="s">
        <v>25</v>
      </c>
      <c r="P1340" t="s">
        <v>88</v>
      </c>
      <c r="Q1340" t="s">
        <v>285</v>
      </c>
      <c r="R1340" s="710">
        <f>IF(Table__192.168.1.150_Daily_Delinquency_With_Sectors[[#This Row],[Days in Arrears]] &gt; 0, Table__192.168.1.150_Daily_Delinquency_With_Sectors[[#This Row],[Outstanding Balance]],0)</f>
        <v>0</v>
      </c>
      <c r="S1340" s="105">
        <f>IF(Table__192.168.1.150_Daily_Delinquency_With_Sectors[[#This Row],[Days in Arrears]] &gt; 30, Table__192.168.1.150_Daily_Delinquency_With_Sectors[[#This Row],[Outstanding Balance]],0)</f>
        <v>0</v>
      </c>
      <c r="T1340" s="105">
        <f>IF(Table__192.168.1.150_Daily_Delinquency_With_Sectors[[#This Row],[Days in Arrears]] &gt; 90, Table__192.168.1.150_Daily_Delinquency_With_Sectors[[#This Row],[Outstanding Balance]],0)</f>
        <v>0</v>
      </c>
      <c r="U1340" s="109">
        <f>IF(Table__192.168.1.150_Daily_Delinquency_With_Sectors[[#This Row],[Days in Arrears]] &gt;= 1,1,0)</f>
        <v>0</v>
      </c>
      <c r="V1340" s="109">
        <f>IF(Table__192.168.1.150_Daily_Delinquency_With_Sectors[[#This Row],[Days in Arrears]] &gt; 30,1,0)</f>
        <v>0</v>
      </c>
      <c r="W1340" s="109">
        <f>IF(Table__192.168.1.150_Daily_Delinquency_With_Sectors[[#This Row],[Days in Arrears]] &gt; 90,1,0)</f>
        <v>0</v>
      </c>
    </row>
    <row r="1341" spans="1:23" x14ac:dyDescent="0.25">
      <c r="A1341" t="s">
        <v>5630</v>
      </c>
      <c r="B1341" t="s">
        <v>1279</v>
      </c>
      <c r="C1341">
        <v>-8</v>
      </c>
      <c r="D1341" s="105">
        <v>856008.44</v>
      </c>
      <c r="E1341" t="s">
        <v>4685</v>
      </c>
      <c r="F1341" s="105">
        <v>26964.27</v>
      </c>
      <c r="G1341" s="105">
        <v>974957.84</v>
      </c>
      <c r="H1341" s="711">
        <v>43006.635618553242</v>
      </c>
      <c r="I1341" s="711">
        <v>43192</v>
      </c>
      <c r="J1341" t="s">
        <v>5631</v>
      </c>
      <c r="K1341" t="s">
        <v>1280</v>
      </c>
      <c r="L1341" t="s">
        <v>5632</v>
      </c>
      <c r="M1341">
        <v>201343</v>
      </c>
      <c r="N1341" t="s">
        <v>5611</v>
      </c>
      <c r="O1341" t="s">
        <v>25</v>
      </c>
      <c r="P1341" t="s">
        <v>88</v>
      </c>
      <c r="Q1341" t="s">
        <v>285</v>
      </c>
      <c r="R1341" s="710">
        <f>IF(Table__192.168.1.150_Daily_Delinquency_With_Sectors[[#This Row],[Days in Arrears]] &gt; 0, Table__192.168.1.150_Daily_Delinquency_With_Sectors[[#This Row],[Outstanding Balance]],0)</f>
        <v>0</v>
      </c>
      <c r="S1341" s="105">
        <f>IF(Table__192.168.1.150_Daily_Delinquency_With_Sectors[[#This Row],[Days in Arrears]] &gt; 30, Table__192.168.1.150_Daily_Delinquency_With_Sectors[[#This Row],[Outstanding Balance]],0)</f>
        <v>0</v>
      </c>
      <c r="T1341" s="105">
        <f>IF(Table__192.168.1.150_Daily_Delinquency_With_Sectors[[#This Row],[Days in Arrears]] &gt; 90, Table__192.168.1.150_Daily_Delinquency_With_Sectors[[#This Row],[Outstanding Balance]],0)</f>
        <v>0</v>
      </c>
      <c r="U1341" s="109">
        <f>IF(Table__192.168.1.150_Daily_Delinquency_With_Sectors[[#This Row],[Days in Arrears]] &gt;= 1,1,0)</f>
        <v>0</v>
      </c>
      <c r="V1341" s="109">
        <f>IF(Table__192.168.1.150_Daily_Delinquency_With_Sectors[[#This Row],[Days in Arrears]] &gt; 30,1,0)</f>
        <v>0</v>
      </c>
      <c r="W1341" s="109">
        <f>IF(Table__192.168.1.150_Daily_Delinquency_With_Sectors[[#This Row],[Days in Arrears]] &gt; 90,1,0)</f>
        <v>0</v>
      </c>
    </row>
    <row r="1342" spans="1:23" x14ac:dyDescent="0.25">
      <c r="A1342" t="s">
        <v>4808</v>
      </c>
      <c r="B1342" t="s">
        <v>1279</v>
      </c>
      <c r="C1342">
        <v>-8</v>
      </c>
      <c r="D1342" s="105">
        <v>2764230.38</v>
      </c>
      <c r="E1342" t="s">
        <v>1467</v>
      </c>
      <c r="F1342" s="105">
        <v>77398.45</v>
      </c>
      <c r="G1342" s="105">
        <v>3345926.55</v>
      </c>
      <c r="H1342" s="711">
        <v>43006.638989236111</v>
      </c>
      <c r="I1342" s="711">
        <v>43314</v>
      </c>
      <c r="J1342" t="s">
        <v>4809</v>
      </c>
      <c r="K1342" t="s">
        <v>1280</v>
      </c>
      <c r="L1342" t="s">
        <v>1280</v>
      </c>
      <c r="M1342">
        <v>201344</v>
      </c>
      <c r="N1342" t="s">
        <v>4799</v>
      </c>
      <c r="O1342" t="s">
        <v>44</v>
      </c>
      <c r="P1342" t="s">
        <v>75</v>
      </c>
      <c r="Q1342" t="s">
        <v>1442</v>
      </c>
      <c r="R1342" s="710">
        <f>IF(Table__192.168.1.150_Daily_Delinquency_With_Sectors[[#This Row],[Days in Arrears]] &gt; 0, Table__192.168.1.150_Daily_Delinquency_With_Sectors[[#This Row],[Outstanding Balance]],0)</f>
        <v>0</v>
      </c>
      <c r="S1342" s="105">
        <f>IF(Table__192.168.1.150_Daily_Delinquency_With_Sectors[[#This Row],[Days in Arrears]] &gt; 30, Table__192.168.1.150_Daily_Delinquency_With_Sectors[[#This Row],[Outstanding Balance]],0)</f>
        <v>0</v>
      </c>
      <c r="T1342" s="105">
        <f>IF(Table__192.168.1.150_Daily_Delinquency_With_Sectors[[#This Row],[Days in Arrears]] &gt; 90, Table__192.168.1.150_Daily_Delinquency_With_Sectors[[#This Row],[Outstanding Balance]],0)</f>
        <v>0</v>
      </c>
      <c r="U1342" s="109">
        <f>IF(Table__192.168.1.150_Daily_Delinquency_With_Sectors[[#This Row],[Days in Arrears]] &gt;= 1,1,0)</f>
        <v>0</v>
      </c>
      <c r="V1342" s="109">
        <f>IF(Table__192.168.1.150_Daily_Delinquency_With_Sectors[[#This Row],[Days in Arrears]] &gt; 30,1,0)</f>
        <v>0</v>
      </c>
      <c r="W1342" s="109">
        <f>IF(Table__192.168.1.150_Daily_Delinquency_With_Sectors[[#This Row],[Days in Arrears]] &gt; 90,1,0)</f>
        <v>0</v>
      </c>
    </row>
    <row r="1343" spans="1:23" x14ac:dyDescent="0.25">
      <c r="A1343" t="s">
        <v>2000</v>
      </c>
      <c r="B1343" t="s">
        <v>1281</v>
      </c>
      <c r="C1343">
        <v>-8</v>
      </c>
      <c r="D1343" s="105">
        <v>26014715.420000002</v>
      </c>
      <c r="E1343" t="s">
        <v>468</v>
      </c>
      <c r="F1343" s="105">
        <v>637360.53</v>
      </c>
      <c r="G1343" s="105">
        <v>34956837.829999998</v>
      </c>
      <c r="H1343" s="711">
        <v>43006.793217789353</v>
      </c>
      <c r="I1343" s="711">
        <v>43557</v>
      </c>
      <c r="J1343" t="s">
        <v>2001</v>
      </c>
      <c r="K1343" t="s">
        <v>1280</v>
      </c>
      <c r="L1343" t="s">
        <v>2002</v>
      </c>
      <c r="M1343">
        <v>201345</v>
      </c>
      <c r="N1343" t="s">
        <v>1999</v>
      </c>
      <c r="O1343" t="s">
        <v>25</v>
      </c>
      <c r="P1343" t="s">
        <v>88</v>
      </c>
      <c r="Q1343" t="s">
        <v>285</v>
      </c>
      <c r="R1343" s="710">
        <f>IF(Table__192.168.1.150_Daily_Delinquency_With_Sectors[[#This Row],[Days in Arrears]] &gt; 0, Table__192.168.1.150_Daily_Delinquency_With_Sectors[[#This Row],[Outstanding Balance]],0)</f>
        <v>0</v>
      </c>
      <c r="S1343" s="105">
        <f>IF(Table__192.168.1.150_Daily_Delinquency_With_Sectors[[#This Row],[Days in Arrears]] &gt; 30, Table__192.168.1.150_Daily_Delinquency_With_Sectors[[#This Row],[Outstanding Balance]],0)</f>
        <v>0</v>
      </c>
      <c r="T1343" s="105">
        <f>IF(Table__192.168.1.150_Daily_Delinquency_With_Sectors[[#This Row],[Days in Arrears]] &gt; 90, Table__192.168.1.150_Daily_Delinquency_With_Sectors[[#This Row],[Outstanding Balance]],0)</f>
        <v>0</v>
      </c>
      <c r="U1343" s="109">
        <f>IF(Table__192.168.1.150_Daily_Delinquency_With_Sectors[[#This Row],[Days in Arrears]] &gt;= 1,1,0)</f>
        <v>0</v>
      </c>
      <c r="V1343" s="109">
        <f>IF(Table__192.168.1.150_Daily_Delinquency_With_Sectors[[#This Row],[Days in Arrears]] &gt; 30,1,0)</f>
        <v>0</v>
      </c>
      <c r="W1343" s="109">
        <f>IF(Table__192.168.1.150_Daily_Delinquency_With_Sectors[[#This Row],[Days in Arrears]] &gt; 90,1,0)</f>
        <v>0</v>
      </c>
    </row>
    <row r="1344" spans="1:23" x14ac:dyDescent="0.25">
      <c r="A1344" t="s">
        <v>4784</v>
      </c>
      <c r="B1344" t="s">
        <v>1284</v>
      </c>
      <c r="C1344">
        <v>-8</v>
      </c>
      <c r="D1344" s="105">
        <v>26908250.329999998</v>
      </c>
      <c r="E1344" t="s">
        <v>491</v>
      </c>
      <c r="F1344" s="105">
        <v>565073.26</v>
      </c>
      <c r="G1344" s="105">
        <v>34743744.469999999</v>
      </c>
      <c r="H1344" s="711">
        <v>43006.777691400464</v>
      </c>
      <c r="I1344" s="711">
        <v>43557</v>
      </c>
      <c r="J1344" t="s">
        <v>4785</v>
      </c>
      <c r="K1344" t="s">
        <v>1280</v>
      </c>
      <c r="L1344" t="s">
        <v>4786</v>
      </c>
      <c r="M1344">
        <v>201346</v>
      </c>
      <c r="N1344" t="s">
        <v>4780</v>
      </c>
      <c r="O1344" t="s">
        <v>25</v>
      </c>
      <c r="P1344" t="s">
        <v>88</v>
      </c>
      <c r="Q1344" t="s">
        <v>285</v>
      </c>
      <c r="R1344" s="710">
        <f>IF(Table__192.168.1.150_Daily_Delinquency_With_Sectors[[#This Row],[Days in Arrears]] &gt; 0, Table__192.168.1.150_Daily_Delinquency_With_Sectors[[#This Row],[Outstanding Balance]],0)</f>
        <v>0</v>
      </c>
      <c r="S1344" s="105">
        <f>IF(Table__192.168.1.150_Daily_Delinquency_With_Sectors[[#This Row],[Days in Arrears]] &gt; 30, Table__192.168.1.150_Daily_Delinquency_With_Sectors[[#This Row],[Outstanding Balance]],0)</f>
        <v>0</v>
      </c>
      <c r="T1344" s="105">
        <f>IF(Table__192.168.1.150_Daily_Delinquency_With_Sectors[[#This Row],[Days in Arrears]] &gt; 90, Table__192.168.1.150_Daily_Delinquency_With_Sectors[[#This Row],[Outstanding Balance]],0)</f>
        <v>0</v>
      </c>
      <c r="U1344" s="109">
        <f>IF(Table__192.168.1.150_Daily_Delinquency_With_Sectors[[#This Row],[Days in Arrears]] &gt;= 1,1,0)</f>
        <v>0</v>
      </c>
      <c r="V1344" s="109">
        <f>IF(Table__192.168.1.150_Daily_Delinquency_With_Sectors[[#This Row],[Days in Arrears]] &gt; 30,1,0)</f>
        <v>0</v>
      </c>
      <c r="W1344" s="109">
        <f>IF(Table__192.168.1.150_Daily_Delinquency_With_Sectors[[#This Row],[Days in Arrears]] &gt; 90,1,0)</f>
        <v>0</v>
      </c>
    </row>
    <row r="1345" spans="1:23" x14ac:dyDescent="0.25">
      <c r="A1345" t="s">
        <v>3970</v>
      </c>
      <c r="B1345" t="s">
        <v>1284</v>
      </c>
      <c r="C1345">
        <v>0</v>
      </c>
      <c r="D1345" s="105">
        <v>31000000</v>
      </c>
      <c r="E1345" t="s">
        <v>491</v>
      </c>
      <c r="F1345" s="105">
        <v>899000</v>
      </c>
      <c r="G1345" s="105">
        <v>3114324.65</v>
      </c>
      <c r="H1345" s="711">
        <v>43032.702154166669</v>
      </c>
      <c r="I1345" s="711">
        <v>43397</v>
      </c>
      <c r="J1345" t="s">
        <v>3971</v>
      </c>
      <c r="K1345" t="s">
        <v>1280</v>
      </c>
      <c r="L1345" t="s">
        <v>3972</v>
      </c>
      <c r="M1345">
        <v>201347</v>
      </c>
      <c r="N1345" t="s">
        <v>3965</v>
      </c>
      <c r="O1345" t="s">
        <v>25</v>
      </c>
      <c r="P1345" t="s">
        <v>88</v>
      </c>
      <c r="Q1345" t="s">
        <v>285</v>
      </c>
      <c r="R1345" s="710">
        <f>IF(Table__192.168.1.150_Daily_Delinquency_With_Sectors[[#This Row],[Days in Arrears]] &gt; 0, Table__192.168.1.150_Daily_Delinquency_With_Sectors[[#This Row],[Outstanding Balance]],0)</f>
        <v>0</v>
      </c>
      <c r="S1345" s="105">
        <f>IF(Table__192.168.1.150_Daily_Delinquency_With_Sectors[[#This Row],[Days in Arrears]] &gt; 30, Table__192.168.1.150_Daily_Delinquency_With_Sectors[[#This Row],[Outstanding Balance]],0)</f>
        <v>0</v>
      </c>
      <c r="T1345" s="105">
        <f>IF(Table__192.168.1.150_Daily_Delinquency_With_Sectors[[#This Row],[Days in Arrears]] &gt; 90, Table__192.168.1.150_Daily_Delinquency_With_Sectors[[#This Row],[Outstanding Balance]],0)</f>
        <v>0</v>
      </c>
      <c r="U1345" s="109">
        <f>IF(Table__192.168.1.150_Daily_Delinquency_With_Sectors[[#This Row],[Days in Arrears]] &gt;= 1,1,0)</f>
        <v>0</v>
      </c>
      <c r="V1345" s="109">
        <f>IF(Table__192.168.1.150_Daily_Delinquency_With_Sectors[[#This Row],[Days in Arrears]] &gt; 30,1,0)</f>
        <v>0</v>
      </c>
      <c r="W1345" s="109">
        <f>IF(Table__192.168.1.150_Daily_Delinquency_With_Sectors[[#This Row],[Days in Arrears]] &gt; 90,1,0)</f>
        <v>0</v>
      </c>
    </row>
    <row r="1346" spans="1:23" x14ac:dyDescent="0.25">
      <c r="A1346" t="s">
        <v>4570</v>
      </c>
      <c r="B1346" t="s">
        <v>1282</v>
      </c>
      <c r="C1346">
        <v>-8</v>
      </c>
      <c r="D1346" s="105">
        <v>3220822.01</v>
      </c>
      <c r="E1346" t="s">
        <v>2538</v>
      </c>
      <c r="F1346" s="105">
        <v>90183.02</v>
      </c>
      <c r="G1346" s="105">
        <v>3898601.92</v>
      </c>
      <c r="H1346" s="711">
        <v>43007.558963692129</v>
      </c>
      <c r="I1346" s="711">
        <v>43314</v>
      </c>
      <c r="J1346" t="s">
        <v>4571</v>
      </c>
      <c r="K1346" t="s">
        <v>1280</v>
      </c>
      <c r="L1346" t="s">
        <v>4572</v>
      </c>
      <c r="M1346">
        <v>201348</v>
      </c>
      <c r="N1346" t="s">
        <v>4566</v>
      </c>
      <c r="O1346" t="s">
        <v>25</v>
      </c>
      <c r="P1346" t="s">
        <v>88</v>
      </c>
      <c r="Q1346" t="s">
        <v>285</v>
      </c>
      <c r="R1346" s="710">
        <f>IF(Table__192.168.1.150_Daily_Delinquency_With_Sectors[[#This Row],[Days in Arrears]] &gt; 0, Table__192.168.1.150_Daily_Delinquency_With_Sectors[[#This Row],[Outstanding Balance]],0)</f>
        <v>0</v>
      </c>
      <c r="S1346" s="105">
        <f>IF(Table__192.168.1.150_Daily_Delinquency_With_Sectors[[#This Row],[Days in Arrears]] &gt; 30, Table__192.168.1.150_Daily_Delinquency_With_Sectors[[#This Row],[Outstanding Balance]],0)</f>
        <v>0</v>
      </c>
      <c r="T1346" s="105">
        <f>IF(Table__192.168.1.150_Daily_Delinquency_With_Sectors[[#This Row],[Days in Arrears]] &gt; 90, Table__192.168.1.150_Daily_Delinquency_With_Sectors[[#This Row],[Outstanding Balance]],0)</f>
        <v>0</v>
      </c>
      <c r="U1346" s="109">
        <f>IF(Table__192.168.1.150_Daily_Delinquency_With_Sectors[[#This Row],[Days in Arrears]] &gt;= 1,1,0)</f>
        <v>0</v>
      </c>
      <c r="V1346" s="109">
        <f>IF(Table__192.168.1.150_Daily_Delinquency_With_Sectors[[#This Row],[Days in Arrears]] &gt; 30,1,0)</f>
        <v>0</v>
      </c>
      <c r="W1346" s="109">
        <f>IF(Table__192.168.1.150_Daily_Delinquency_With_Sectors[[#This Row],[Days in Arrears]] &gt; 90,1,0)</f>
        <v>0</v>
      </c>
    </row>
    <row r="1347" spans="1:23" x14ac:dyDescent="0.25">
      <c r="A1347" t="s">
        <v>5659</v>
      </c>
      <c r="B1347" t="s">
        <v>1284</v>
      </c>
      <c r="C1347">
        <v>-8</v>
      </c>
      <c r="D1347" s="105">
        <v>8404781.6799999997</v>
      </c>
      <c r="E1347" t="s">
        <v>2861</v>
      </c>
      <c r="F1347" s="105">
        <v>196111.57</v>
      </c>
      <c r="G1347" s="105">
        <v>10177401.59</v>
      </c>
      <c r="H1347" s="711">
        <v>43007.564548726848</v>
      </c>
      <c r="I1347" s="711">
        <v>43375</v>
      </c>
      <c r="J1347" t="s">
        <v>5660</v>
      </c>
      <c r="K1347" t="s">
        <v>1280</v>
      </c>
      <c r="L1347" t="s">
        <v>1280</v>
      </c>
      <c r="M1347">
        <v>201349</v>
      </c>
      <c r="N1347" t="s">
        <v>5642</v>
      </c>
      <c r="O1347" t="s">
        <v>44</v>
      </c>
      <c r="P1347" t="s">
        <v>75</v>
      </c>
      <c r="Q1347" t="s">
        <v>1442</v>
      </c>
      <c r="R1347" s="710">
        <f>IF(Table__192.168.1.150_Daily_Delinquency_With_Sectors[[#This Row],[Days in Arrears]] &gt; 0, Table__192.168.1.150_Daily_Delinquency_With_Sectors[[#This Row],[Outstanding Balance]],0)</f>
        <v>0</v>
      </c>
      <c r="S1347" s="105">
        <f>IF(Table__192.168.1.150_Daily_Delinquency_With_Sectors[[#This Row],[Days in Arrears]] &gt; 30, Table__192.168.1.150_Daily_Delinquency_With_Sectors[[#This Row],[Outstanding Balance]],0)</f>
        <v>0</v>
      </c>
      <c r="T1347" s="105">
        <f>IF(Table__192.168.1.150_Daily_Delinquency_With_Sectors[[#This Row],[Days in Arrears]] &gt; 90, Table__192.168.1.150_Daily_Delinquency_With_Sectors[[#This Row],[Outstanding Balance]],0)</f>
        <v>0</v>
      </c>
      <c r="U1347" s="109">
        <f>IF(Table__192.168.1.150_Daily_Delinquency_With_Sectors[[#This Row],[Days in Arrears]] &gt;= 1,1,0)</f>
        <v>0</v>
      </c>
      <c r="V1347" s="109">
        <f>IF(Table__192.168.1.150_Daily_Delinquency_With_Sectors[[#This Row],[Days in Arrears]] &gt; 30,1,0)</f>
        <v>0</v>
      </c>
      <c r="W1347" s="109">
        <f>IF(Table__192.168.1.150_Daily_Delinquency_With_Sectors[[#This Row],[Days in Arrears]] &gt; 90,1,0)</f>
        <v>0</v>
      </c>
    </row>
    <row r="1348" spans="1:23" x14ac:dyDescent="0.25">
      <c r="A1348" t="s">
        <v>4442</v>
      </c>
      <c r="B1348" t="s">
        <v>1284</v>
      </c>
      <c r="C1348">
        <v>-8</v>
      </c>
      <c r="D1348" s="106">
        <v>28802385.940000001</v>
      </c>
      <c r="E1348" t="s">
        <v>491</v>
      </c>
      <c r="F1348" s="106">
        <v>604850.1</v>
      </c>
      <c r="G1348" s="106">
        <v>37189439.100000001</v>
      </c>
      <c r="H1348" s="711">
        <v>43007.569637187502</v>
      </c>
      <c r="I1348" s="711">
        <v>43557</v>
      </c>
      <c r="J1348" t="s">
        <v>4443</v>
      </c>
      <c r="K1348" t="s">
        <v>1280</v>
      </c>
      <c r="L1348" t="s">
        <v>1280</v>
      </c>
      <c r="M1348">
        <v>201350</v>
      </c>
      <c r="N1348" t="s">
        <v>4421</v>
      </c>
      <c r="O1348" t="s">
        <v>29</v>
      </c>
      <c r="P1348" t="s">
        <v>96</v>
      </c>
      <c r="Q1348" t="s">
        <v>96</v>
      </c>
      <c r="R1348" s="713">
        <f>IF(Table__192.168.1.150_Daily_Delinquency_With_Sectors[[#This Row],[Days in Arrears]] &gt; 0, Table__192.168.1.150_Daily_Delinquency_With_Sectors[[#This Row],[Outstanding Balance]],0)</f>
        <v>0</v>
      </c>
      <c r="S1348" s="106">
        <f>IF(Table__192.168.1.150_Daily_Delinquency_With_Sectors[[#This Row],[Days in Arrears]] &gt; 30, Table__192.168.1.150_Daily_Delinquency_With_Sectors[[#This Row],[Outstanding Balance]],0)</f>
        <v>0</v>
      </c>
      <c r="T1348" s="106">
        <f>IF(Table__192.168.1.150_Daily_Delinquency_With_Sectors[[#This Row],[Days in Arrears]] &gt; 90, Table__192.168.1.150_Daily_Delinquency_With_Sectors[[#This Row],[Outstanding Balance]],0)</f>
        <v>0</v>
      </c>
      <c r="U1348" s="380">
        <f>IF(Table__192.168.1.150_Daily_Delinquency_With_Sectors[[#This Row],[Days in Arrears]] &gt;= 1,1,0)</f>
        <v>0</v>
      </c>
      <c r="V1348" s="380">
        <f>IF(Table__192.168.1.150_Daily_Delinquency_With_Sectors[[#This Row],[Days in Arrears]] &gt; 30,1,0)</f>
        <v>0</v>
      </c>
      <c r="W1348" s="380">
        <f>IF(Table__192.168.1.150_Daily_Delinquency_With_Sectors[[#This Row],[Days in Arrears]] &gt; 90,1,0)</f>
        <v>0</v>
      </c>
    </row>
    <row r="1349" spans="1:23" x14ac:dyDescent="0.25">
      <c r="A1349" t="s">
        <v>4383</v>
      </c>
      <c r="B1349" t="s">
        <v>1284</v>
      </c>
      <c r="C1349">
        <v>-11</v>
      </c>
      <c r="D1349" s="106">
        <v>15894195.869999999</v>
      </c>
      <c r="E1349" t="s">
        <v>1448</v>
      </c>
      <c r="F1349" s="106">
        <v>286095.53000000003</v>
      </c>
      <c r="G1349" s="106">
        <v>18895845.379999999</v>
      </c>
      <c r="H1349" s="711">
        <v>43007.79022638889</v>
      </c>
      <c r="I1349" s="711">
        <v>43378</v>
      </c>
      <c r="J1349" t="s">
        <v>4384</v>
      </c>
      <c r="K1349" t="s">
        <v>1280</v>
      </c>
      <c r="L1349" t="s">
        <v>4385</v>
      </c>
      <c r="M1349">
        <v>201352</v>
      </c>
      <c r="N1349" t="s">
        <v>4371</v>
      </c>
      <c r="O1349" t="s">
        <v>25</v>
      </c>
      <c r="P1349" t="s">
        <v>289</v>
      </c>
      <c r="Q1349" t="s">
        <v>26</v>
      </c>
      <c r="R1349" s="713">
        <f>IF(Table__192.168.1.150_Daily_Delinquency_With_Sectors[[#This Row],[Days in Arrears]] &gt; 0, Table__192.168.1.150_Daily_Delinquency_With_Sectors[[#This Row],[Outstanding Balance]],0)</f>
        <v>0</v>
      </c>
      <c r="S1349" s="106">
        <f>IF(Table__192.168.1.150_Daily_Delinquency_With_Sectors[[#This Row],[Days in Arrears]] &gt; 30, Table__192.168.1.150_Daily_Delinquency_With_Sectors[[#This Row],[Outstanding Balance]],0)</f>
        <v>0</v>
      </c>
      <c r="T1349" s="106">
        <f>IF(Table__192.168.1.150_Daily_Delinquency_With_Sectors[[#This Row],[Days in Arrears]] &gt; 90, Table__192.168.1.150_Daily_Delinquency_With_Sectors[[#This Row],[Outstanding Balance]],0)</f>
        <v>0</v>
      </c>
      <c r="U1349" s="380">
        <f>IF(Table__192.168.1.150_Daily_Delinquency_With_Sectors[[#This Row],[Days in Arrears]] &gt;= 1,1,0)</f>
        <v>0</v>
      </c>
      <c r="V1349" s="380">
        <f>IF(Table__192.168.1.150_Daily_Delinquency_With_Sectors[[#This Row],[Days in Arrears]] &gt; 30,1,0)</f>
        <v>0</v>
      </c>
      <c r="W1349" s="380">
        <f>IF(Table__192.168.1.150_Daily_Delinquency_With_Sectors[[#This Row],[Days in Arrears]] &gt; 90,1,0)</f>
        <v>0</v>
      </c>
    </row>
    <row r="1350" spans="1:23" x14ac:dyDescent="0.25">
      <c r="A1350" t="s">
        <v>3127</v>
      </c>
      <c r="B1350" t="s">
        <v>1282</v>
      </c>
      <c r="C1350">
        <v>-8</v>
      </c>
      <c r="D1350" s="106">
        <v>3579603.63</v>
      </c>
      <c r="E1350" t="s">
        <v>2034</v>
      </c>
      <c r="F1350" s="106">
        <v>100228.9</v>
      </c>
      <c r="G1350" s="106">
        <v>4174774.61</v>
      </c>
      <c r="H1350" s="711">
        <v>43007.766183831016</v>
      </c>
      <c r="I1350" s="711">
        <v>43253</v>
      </c>
      <c r="J1350" t="s">
        <v>3128</v>
      </c>
      <c r="K1350" t="s">
        <v>1280</v>
      </c>
      <c r="L1350" t="s">
        <v>1280</v>
      </c>
      <c r="M1350">
        <v>201353</v>
      </c>
      <c r="N1350" t="s">
        <v>3126</v>
      </c>
      <c r="O1350" t="s">
        <v>25</v>
      </c>
      <c r="P1350" t="s">
        <v>88</v>
      </c>
      <c r="Q1350" t="s">
        <v>285</v>
      </c>
      <c r="R1350" s="713">
        <f>IF(Table__192.168.1.150_Daily_Delinquency_With_Sectors[[#This Row],[Days in Arrears]] &gt; 0, Table__192.168.1.150_Daily_Delinquency_With_Sectors[[#This Row],[Outstanding Balance]],0)</f>
        <v>0</v>
      </c>
      <c r="S1350" s="106">
        <f>IF(Table__192.168.1.150_Daily_Delinquency_With_Sectors[[#This Row],[Days in Arrears]] &gt; 30, Table__192.168.1.150_Daily_Delinquency_With_Sectors[[#This Row],[Outstanding Balance]],0)</f>
        <v>0</v>
      </c>
      <c r="T1350" s="106">
        <f>IF(Table__192.168.1.150_Daily_Delinquency_With_Sectors[[#This Row],[Days in Arrears]] &gt; 90, Table__192.168.1.150_Daily_Delinquency_With_Sectors[[#This Row],[Outstanding Balance]],0)</f>
        <v>0</v>
      </c>
      <c r="U1350" s="380">
        <f>IF(Table__192.168.1.150_Daily_Delinquency_With_Sectors[[#This Row],[Days in Arrears]] &gt;= 1,1,0)</f>
        <v>0</v>
      </c>
      <c r="V1350" s="380">
        <f>IF(Table__192.168.1.150_Daily_Delinquency_With_Sectors[[#This Row],[Days in Arrears]] &gt; 30,1,0)</f>
        <v>0</v>
      </c>
      <c r="W1350" s="380">
        <f>IF(Table__192.168.1.150_Daily_Delinquency_With_Sectors[[#This Row],[Days in Arrears]] &gt; 90,1,0)</f>
        <v>0</v>
      </c>
    </row>
    <row r="1351" spans="1:23" x14ac:dyDescent="0.25">
      <c r="A1351" t="s">
        <v>5661</v>
      </c>
      <c r="B1351" t="s">
        <v>1866</v>
      </c>
      <c r="C1351">
        <v>-8</v>
      </c>
      <c r="D1351" s="105">
        <v>5374100.46</v>
      </c>
      <c r="E1351" t="s">
        <v>2861</v>
      </c>
      <c r="F1351" s="105">
        <v>156744.6</v>
      </c>
      <c r="G1351" s="105">
        <v>6306296.7599999998</v>
      </c>
      <c r="H1351" s="711">
        <v>43007.787448379633</v>
      </c>
      <c r="I1351" s="711">
        <v>43253</v>
      </c>
      <c r="J1351" t="s">
        <v>5662</v>
      </c>
      <c r="K1351" t="s">
        <v>1280</v>
      </c>
      <c r="L1351" t="s">
        <v>1280</v>
      </c>
      <c r="M1351">
        <v>201354</v>
      </c>
      <c r="N1351" t="s">
        <v>5638</v>
      </c>
      <c r="O1351" t="s">
        <v>25</v>
      </c>
      <c r="P1351" t="s">
        <v>88</v>
      </c>
      <c r="Q1351" t="s">
        <v>285</v>
      </c>
      <c r="R1351" s="710">
        <f>IF(Table__192.168.1.150_Daily_Delinquency_With_Sectors[[#This Row],[Days in Arrears]] &gt; 0, Table__192.168.1.150_Daily_Delinquency_With_Sectors[[#This Row],[Outstanding Balance]],0)</f>
        <v>0</v>
      </c>
      <c r="S1351" s="105">
        <f>IF(Table__192.168.1.150_Daily_Delinquency_With_Sectors[[#This Row],[Days in Arrears]] &gt; 30, Table__192.168.1.150_Daily_Delinquency_With_Sectors[[#This Row],[Outstanding Balance]],0)</f>
        <v>0</v>
      </c>
      <c r="T1351" s="105">
        <f>IF(Table__192.168.1.150_Daily_Delinquency_With_Sectors[[#This Row],[Days in Arrears]] &gt; 90, Table__192.168.1.150_Daily_Delinquency_With_Sectors[[#This Row],[Outstanding Balance]],0)</f>
        <v>0</v>
      </c>
      <c r="U1351" s="109">
        <f>IF(Table__192.168.1.150_Daily_Delinquency_With_Sectors[[#This Row],[Days in Arrears]] &gt;= 1,1,0)</f>
        <v>0</v>
      </c>
      <c r="V1351" s="109">
        <f>IF(Table__192.168.1.150_Daily_Delinquency_With_Sectors[[#This Row],[Days in Arrears]] &gt; 30,1,0)</f>
        <v>0</v>
      </c>
      <c r="W1351" s="109">
        <f>IF(Table__192.168.1.150_Daily_Delinquency_With_Sectors[[#This Row],[Days in Arrears]] &gt; 90,1,0)</f>
        <v>0</v>
      </c>
    </row>
    <row r="1352" spans="1:23" x14ac:dyDescent="0.25">
      <c r="A1352" t="s">
        <v>5663</v>
      </c>
      <c r="B1352" t="s">
        <v>1282</v>
      </c>
      <c r="C1352">
        <v>-8</v>
      </c>
      <c r="D1352" s="105">
        <v>4612884.82</v>
      </c>
      <c r="E1352" t="s">
        <v>3074</v>
      </c>
      <c r="F1352" s="105">
        <v>145305.87</v>
      </c>
      <c r="G1352" s="105">
        <v>5711536.6799999997</v>
      </c>
      <c r="H1352" s="711">
        <v>43007.777926736111</v>
      </c>
      <c r="I1352" s="711">
        <v>43314</v>
      </c>
      <c r="J1352" t="s">
        <v>5664</v>
      </c>
      <c r="K1352" t="s">
        <v>1280</v>
      </c>
      <c r="L1352" t="s">
        <v>1280</v>
      </c>
      <c r="M1352">
        <v>201355</v>
      </c>
      <c r="N1352" t="s">
        <v>5640</v>
      </c>
      <c r="O1352" t="s">
        <v>25</v>
      </c>
      <c r="P1352" t="s">
        <v>88</v>
      </c>
      <c r="Q1352" t="s">
        <v>285</v>
      </c>
      <c r="R1352" s="710">
        <f>IF(Table__192.168.1.150_Daily_Delinquency_With_Sectors[[#This Row],[Days in Arrears]] &gt; 0, Table__192.168.1.150_Daily_Delinquency_With_Sectors[[#This Row],[Outstanding Balance]],0)</f>
        <v>0</v>
      </c>
      <c r="S1352" s="105">
        <f>IF(Table__192.168.1.150_Daily_Delinquency_With_Sectors[[#This Row],[Days in Arrears]] &gt; 30, Table__192.168.1.150_Daily_Delinquency_With_Sectors[[#This Row],[Outstanding Balance]],0)</f>
        <v>0</v>
      </c>
      <c r="T1352" s="105">
        <f>IF(Table__192.168.1.150_Daily_Delinquency_With_Sectors[[#This Row],[Days in Arrears]] &gt; 90, Table__192.168.1.150_Daily_Delinquency_With_Sectors[[#This Row],[Outstanding Balance]],0)</f>
        <v>0</v>
      </c>
      <c r="U1352" s="109">
        <f>IF(Table__192.168.1.150_Daily_Delinquency_With_Sectors[[#This Row],[Days in Arrears]] &gt;= 1,1,0)</f>
        <v>0</v>
      </c>
      <c r="V1352" s="109">
        <f>IF(Table__192.168.1.150_Daily_Delinquency_With_Sectors[[#This Row],[Days in Arrears]] &gt; 30,1,0)</f>
        <v>0</v>
      </c>
      <c r="W1352" s="109">
        <f>IF(Table__192.168.1.150_Daily_Delinquency_With_Sectors[[#This Row],[Days in Arrears]] &gt; 90,1,0)</f>
        <v>0</v>
      </c>
    </row>
    <row r="1353" spans="1:23" x14ac:dyDescent="0.25">
      <c r="A1353" t="s">
        <v>3973</v>
      </c>
      <c r="B1353" t="s">
        <v>1282</v>
      </c>
      <c r="C1353">
        <v>-8</v>
      </c>
      <c r="D1353" s="105">
        <v>4679206.41</v>
      </c>
      <c r="E1353" t="s">
        <v>1467</v>
      </c>
      <c r="F1353" s="105">
        <v>131017.78</v>
      </c>
      <c r="G1353" s="105">
        <v>5875396.0800000001</v>
      </c>
      <c r="H1353" s="711">
        <v>43008.60329097222</v>
      </c>
      <c r="I1353" s="711">
        <v>43375</v>
      </c>
      <c r="J1353" t="s">
        <v>3974</v>
      </c>
      <c r="K1353" t="s">
        <v>1280</v>
      </c>
      <c r="L1353" t="s">
        <v>3975</v>
      </c>
      <c r="M1353">
        <v>201356</v>
      </c>
      <c r="N1353" t="s">
        <v>3966</v>
      </c>
      <c r="O1353" t="s">
        <v>44</v>
      </c>
      <c r="P1353" t="s">
        <v>75</v>
      </c>
      <c r="Q1353" t="s">
        <v>26</v>
      </c>
      <c r="R1353" s="710">
        <f>IF(Table__192.168.1.150_Daily_Delinquency_With_Sectors[[#This Row],[Days in Arrears]] &gt; 0, Table__192.168.1.150_Daily_Delinquency_With_Sectors[[#This Row],[Outstanding Balance]],0)</f>
        <v>0</v>
      </c>
      <c r="S1353" s="105">
        <f>IF(Table__192.168.1.150_Daily_Delinquency_With_Sectors[[#This Row],[Days in Arrears]] &gt; 30, Table__192.168.1.150_Daily_Delinquency_With_Sectors[[#This Row],[Outstanding Balance]],0)</f>
        <v>0</v>
      </c>
      <c r="T1353" s="105">
        <f>IF(Table__192.168.1.150_Daily_Delinquency_With_Sectors[[#This Row],[Days in Arrears]] &gt; 90, Table__192.168.1.150_Daily_Delinquency_With_Sectors[[#This Row],[Outstanding Balance]],0)</f>
        <v>0</v>
      </c>
      <c r="U1353" s="109">
        <f>IF(Table__192.168.1.150_Daily_Delinquency_With_Sectors[[#This Row],[Days in Arrears]] &gt;= 1,1,0)</f>
        <v>0</v>
      </c>
      <c r="V1353" s="109">
        <f>IF(Table__192.168.1.150_Daily_Delinquency_With_Sectors[[#This Row],[Days in Arrears]] &gt; 30,1,0)</f>
        <v>0</v>
      </c>
      <c r="W1353" s="109">
        <f>IF(Table__192.168.1.150_Daily_Delinquency_With_Sectors[[#This Row],[Days in Arrears]] &gt; 90,1,0)</f>
        <v>0</v>
      </c>
    </row>
    <row r="1354" spans="1:23" x14ac:dyDescent="0.25">
      <c r="A1354" t="s">
        <v>5694</v>
      </c>
      <c r="B1354" t="s">
        <v>1282</v>
      </c>
      <c r="C1354">
        <v>-9</v>
      </c>
      <c r="D1354" s="105">
        <v>3748152.05</v>
      </c>
      <c r="E1354" t="s">
        <v>3074</v>
      </c>
      <c r="F1354" s="105">
        <v>99950.720000000001</v>
      </c>
      <c r="G1354" s="105">
        <v>4706327.51</v>
      </c>
      <c r="H1354" s="711">
        <v>43008.662423530091</v>
      </c>
      <c r="I1354" s="711">
        <v>43376</v>
      </c>
      <c r="J1354" t="s">
        <v>5488</v>
      </c>
      <c r="K1354" t="s">
        <v>1280</v>
      </c>
      <c r="L1354" t="s">
        <v>5489</v>
      </c>
      <c r="M1354">
        <v>201357</v>
      </c>
      <c r="N1354" t="s">
        <v>5487</v>
      </c>
      <c r="O1354" t="s">
        <v>36</v>
      </c>
      <c r="P1354" t="s">
        <v>97</v>
      </c>
      <c r="Q1354" t="s">
        <v>98</v>
      </c>
      <c r="R1354" s="710">
        <f>IF(Table__192.168.1.150_Daily_Delinquency_With_Sectors[[#This Row],[Days in Arrears]] &gt; 0, Table__192.168.1.150_Daily_Delinquency_With_Sectors[[#This Row],[Outstanding Balance]],0)</f>
        <v>0</v>
      </c>
      <c r="S1354" s="105">
        <f>IF(Table__192.168.1.150_Daily_Delinquency_With_Sectors[[#This Row],[Days in Arrears]] &gt; 30, Table__192.168.1.150_Daily_Delinquency_With_Sectors[[#This Row],[Outstanding Balance]],0)</f>
        <v>0</v>
      </c>
      <c r="T1354" s="105">
        <f>IF(Table__192.168.1.150_Daily_Delinquency_With_Sectors[[#This Row],[Days in Arrears]] &gt; 90, Table__192.168.1.150_Daily_Delinquency_With_Sectors[[#This Row],[Outstanding Balance]],0)</f>
        <v>0</v>
      </c>
      <c r="U1354" s="109">
        <f>IF(Table__192.168.1.150_Daily_Delinquency_With_Sectors[[#This Row],[Days in Arrears]] &gt;= 1,1,0)</f>
        <v>0</v>
      </c>
      <c r="V1354" s="109">
        <f>IF(Table__192.168.1.150_Daily_Delinquency_With_Sectors[[#This Row],[Days in Arrears]] &gt; 30,1,0)</f>
        <v>0</v>
      </c>
      <c r="W1354" s="109">
        <f>IF(Table__192.168.1.150_Daily_Delinquency_With_Sectors[[#This Row],[Days in Arrears]] &gt; 90,1,0)</f>
        <v>0</v>
      </c>
    </row>
    <row r="1355" spans="1:23" x14ac:dyDescent="0.25">
      <c r="A1355" t="s">
        <v>5695</v>
      </c>
      <c r="B1355" t="s">
        <v>1279</v>
      </c>
      <c r="C1355">
        <v>-8</v>
      </c>
      <c r="D1355" s="105">
        <v>4690094.9000000004</v>
      </c>
      <c r="E1355" t="s">
        <v>963</v>
      </c>
      <c r="F1355" s="105">
        <v>147737.99</v>
      </c>
      <c r="G1355" s="105">
        <v>6048956.0800000001</v>
      </c>
      <c r="H1355" s="711">
        <v>43008.646953900461</v>
      </c>
      <c r="I1355" s="711">
        <v>43375</v>
      </c>
      <c r="J1355" t="s">
        <v>5696</v>
      </c>
      <c r="K1355" t="s">
        <v>1280</v>
      </c>
      <c r="L1355" t="s">
        <v>5697</v>
      </c>
      <c r="M1355">
        <v>201358</v>
      </c>
      <c r="N1355" t="s">
        <v>5668</v>
      </c>
      <c r="O1355" t="s">
        <v>25</v>
      </c>
      <c r="P1355" t="s">
        <v>88</v>
      </c>
      <c r="Q1355" t="s">
        <v>285</v>
      </c>
      <c r="R1355" s="710">
        <f>IF(Table__192.168.1.150_Daily_Delinquency_With_Sectors[[#This Row],[Days in Arrears]] &gt; 0, Table__192.168.1.150_Daily_Delinquency_With_Sectors[[#This Row],[Outstanding Balance]],0)</f>
        <v>0</v>
      </c>
      <c r="S1355" s="105">
        <f>IF(Table__192.168.1.150_Daily_Delinquency_With_Sectors[[#This Row],[Days in Arrears]] &gt; 30, Table__192.168.1.150_Daily_Delinquency_With_Sectors[[#This Row],[Outstanding Balance]],0)</f>
        <v>0</v>
      </c>
      <c r="T1355" s="105">
        <f>IF(Table__192.168.1.150_Daily_Delinquency_With_Sectors[[#This Row],[Days in Arrears]] &gt; 90, Table__192.168.1.150_Daily_Delinquency_With_Sectors[[#This Row],[Outstanding Balance]],0)</f>
        <v>0</v>
      </c>
      <c r="U1355" s="109">
        <f>IF(Table__192.168.1.150_Daily_Delinquency_With_Sectors[[#This Row],[Days in Arrears]] &gt;= 1,1,0)</f>
        <v>0</v>
      </c>
      <c r="V1355" s="109">
        <f>IF(Table__192.168.1.150_Daily_Delinquency_With_Sectors[[#This Row],[Days in Arrears]] &gt; 30,1,0)</f>
        <v>0</v>
      </c>
      <c r="W1355" s="109">
        <f>IF(Table__192.168.1.150_Daily_Delinquency_With_Sectors[[#This Row],[Days in Arrears]] &gt; 90,1,0)</f>
        <v>0</v>
      </c>
    </row>
    <row r="1356" spans="1:23" x14ac:dyDescent="0.25">
      <c r="A1356" t="s">
        <v>5698</v>
      </c>
      <c r="B1356" t="s">
        <v>1282</v>
      </c>
      <c r="C1356">
        <v>-8</v>
      </c>
      <c r="D1356" s="105">
        <v>1381887.55</v>
      </c>
      <c r="E1356" t="s">
        <v>1448</v>
      </c>
      <c r="F1356" s="105">
        <v>43529.46</v>
      </c>
      <c r="G1356" s="105">
        <v>1711012.01</v>
      </c>
      <c r="H1356" s="711">
        <v>43008.738874189818</v>
      </c>
      <c r="I1356" s="711">
        <v>43314</v>
      </c>
      <c r="J1356" t="s">
        <v>5699</v>
      </c>
      <c r="K1356" t="s">
        <v>1280</v>
      </c>
      <c r="L1356" t="s">
        <v>1280</v>
      </c>
      <c r="M1356">
        <v>201359</v>
      </c>
      <c r="N1356" t="s">
        <v>5674</v>
      </c>
      <c r="O1356" t="s">
        <v>25</v>
      </c>
      <c r="P1356" t="s">
        <v>88</v>
      </c>
      <c r="Q1356" t="s">
        <v>285</v>
      </c>
      <c r="R1356" s="710">
        <f>IF(Table__192.168.1.150_Daily_Delinquency_With_Sectors[[#This Row],[Days in Arrears]] &gt; 0, Table__192.168.1.150_Daily_Delinquency_With_Sectors[[#This Row],[Outstanding Balance]],0)</f>
        <v>0</v>
      </c>
      <c r="S1356" s="105">
        <f>IF(Table__192.168.1.150_Daily_Delinquency_With_Sectors[[#This Row],[Days in Arrears]] &gt; 30, Table__192.168.1.150_Daily_Delinquency_With_Sectors[[#This Row],[Outstanding Balance]],0)</f>
        <v>0</v>
      </c>
      <c r="T1356" s="105">
        <f>IF(Table__192.168.1.150_Daily_Delinquency_With_Sectors[[#This Row],[Days in Arrears]] &gt; 90, Table__192.168.1.150_Daily_Delinquency_With_Sectors[[#This Row],[Outstanding Balance]],0)</f>
        <v>0</v>
      </c>
      <c r="U1356" s="109">
        <f>IF(Table__192.168.1.150_Daily_Delinquency_With_Sectors[[#This Row],[Days in Arrears]] &gt;= 1,1,0)</f>
        <v>0</v>
      </c>
      <c r="V1356" s="109">
        <f>IF(Table__192.168.1.150_Daily_Delinquency_With_Sectors[[#This Row],[Days in Arrears]] &gt; 30,1,0)</f>
        <v>0</v>
      </c>
      <c r="W1356" s="109">
        <f>IF(Table__192.168.1.150_Daily_Delinquency_With_Sectors[[#This Row],[Days in Arrears]] &gt; 90,1,0)</f>
        <v>0</v>
      </c>
    </row>
    <row r="1357" spans="1:23" x14ac:dyDescent="0.25">
      <c r="A1357" t="s">
        <v>5700</v>
      </c>
      <c r="B1357" t="s">
        <v>1282</v>
      </c>
      <c r="C1357">
        <v>-8</v>
      </c>
      <c r="D1357" s="105">
        <v>6448808.5800000001</v>
      </c>
      <c r="E1357" t="s">
        <v>2557</v>
      </c>
      <c r="F1357" s="105">
        <v>203137.47</v>
      </c>
      <c r="G1357" s="105">
        <v>7984722.8200000003</v>
      </c>
      <c r="H1357" s="711">
        <v>43008.752287465279</v>
      </c>
      <c r="I1357" s="711">
        <v>43314</v>
      </c>
      <c r="J1357" t="s">
        <v>5701</v>
      </c>
      <c r="K1357" t="s">
        <v>5702</v>
      </c>
      <c r="L1357" t="s">
        <v>1280</v>
      </c>
      <c r="M1357">
        <v>201360</v>
      </c>
      <c r="N1357" t="s">
        <v>5672</v>
      </c>
      <c r="O1357" t="s">
        <v>25</v>
      </c>
      <c r="P1357" t="s">
        <v>88</v>
      </c>
      <c r="Q1357" t="s">
        <v>285</v>
      </c>
      <c r="R1357" s="710">
        <f>IF(Table__192.168.1.150_Daily_Delinquency_With_Sectors[[#This Row],[Days in Arrears]] &gt; 0, Table__192.168.1.150_Daily_Delinquency_With_Sectors[[#This Row],[Outstanding Balance]],0)</f>
        <v>0</v>
      </c>
      <c r="S1357" s="105">
        <f>IF(Table__192.168.1.150_Daily_Delinquency_With_Sectors[[#This Row],[Days in Arrears]] &gt; 30, Table__192.168.1.150_Daily_Delinquency_With_Sectors[[#This Row],[Outstanding Balance]],0)</f>
        <v>0</v>
      </c>
      <c r="T1357" s="105">
        <f>IF(Table__192.168.1.150_Daily_Delinquency_With_Sectors[[#This Row],[Days in Arrears]] &gt; 90, Table__192.168.1.150_Daily_Delinquency_With_Sectors[[#This Row],[Outstanding Balance]],0)</f>
        <v>0</v>
      </c>
      <c r="U1357" s="109">
        <f>IF(Table__192.168.1.150_Daily_Delinquency_With_Sectors[[#This Row],[Days in Arrears]] &gt;= 1,1,0)</f>
        <v>0</v>
      </c>
      <c r="V1357" s="109">
        <f>IF(Table__192.168.1.150_Daily_Delinquency_With_Sectors[[#This Row],[Days in Arrears]] &gt; 30,1,0)</f>
        <v>0</v>
      </c>
      <c r="W1357" s="109">
        <f>IF(Table__192.168.1.150_Daily_Delinquency_With_Sectors[[#This Row],[Days in Arrears]] &gt; 90,1,0)</f>
        <v>0</v>
      </c>
    </row>
    <row r="1358" spans="1:23" x14ac:dyDescent="0.25">
      <c r="A1358" t="s">
        <v>5703</v>
      </c>
      <c r="B1358" t="s">
        <v>1866</v>
      </c>
      <c r="C1358">
        <v>-8</v>
      </c>
      <c r="D1358" s="105">
        <v>5619434.5999999996</v>
      </c>
      <c r="E1358" t="s">
        <v>468</v>
      </c>
      <c r="F1358" s="105">
        <v>163900.18</v>
      </c>
      <c r="G1358" s="105">
        <v>7119552.8399999999</v>
      </c>
      <c r="H1358" s="711">
        <v>43008.79057665509</v>
      </c>
      <c r="I1358" s="711">
        <v>43375</v>
      </c>
      <c r="J1358" t="s">
        <v>5704</v>
      </c>
      <c r="K1358" t="s">
        <v>1280</v>
      </c>
      <c r="L1358" t="s">
        <v>5705</v>
      </c>
      <c r="M1358">
        <v>201361</v>
      </c>
      <c r="N1358" t="s">
        <v>5667</v>
      </c>
      <c r="O1358" t="s">
        <v>25</v>
      </c>
      <c r="P1358" t="s">
        <v>88</v>
      </c>
      <c r="Q1358" t="s">
        <v>285</v>
      </c>
      <c r="R1358" s="710">
        <f>IF(Table__192.168.1.150_Daily_Delinquency_With_Sectors[[#This Row],[Days in Arrears]] &gt; 0, Table__192.168.1.150_Daily_Delinquency_With_Sectors[[#This Row],[Outstanding Balance]],0)</f>
        <v>0</v>
      </c>
      <c r="S1358" s="105">
        <f>IF(Table__192.168.1.150_Daily_Delinquency_With_Sectors[[#This Row],[Days in Arrears]] &gt; 30, Table__192.168.1.150_Daily_Delinquency_With_Sectors[[#This Row],[Outstanding Balance]],0)</f>
        <v>0</v>
      </c>
      <c r="T1358" s="105">
        <f>IF(Table__192.168.1.150_Daily_Delinquency_With_Sectors[[#This Row],[Days in Arrears]] &gt; 90, Table__192.168.1.150_Daily_Delinquency_With_Sectors[[#This Row],[Outstanding Balance]],0)</f>
        <v>0</v>
      </c>
      <c r="U1358" s="109">
        <f>IF(Table__192.168.1.150_Daily_Delinquency_With_Sectors[[#This Row],[Days in Arrears]] &gt;= 1,1,0)</f>
        <v>0</v>
      </c>
      <c r="V1358" s="109">
        <f>IF(Table__192.168.1.150_Daily_Delinquency_With_Sectors[[#This Row],[Days in Arrears]] &gt; 30,1,0)</f>
        <v>0</v>
      </c>
      <c r="W1358" s="109">
        <f>IF(Table__192.168.1.150_Daily_Delinquency_With_Sectors[[#This Row],[Days in Arrears]] &gt; 90,1,0)</f>
        <v>0</v>
      </c>
    </row>
    <row r="1359" spans="1:23" x14ac:dyDescent="0.25">
      <c r="A1359" t="s">
        <v>2223</v>
      </c>
      <c r="B1359" t="s">
        <v>1282</v>
      </c>
      <c r="C1359">
        <v>22</v>
      </c>
      <c r="D1359" s="105">
        <v>7962980.6299999999</v>
      </c>
      <c r="E1359" t="s">
        <v>1448</v>
      </c>
      <c r="F1359" s="105">
        <v>222730.23</v>
      </c>
      <c r="G1359" s="105">
        <v>9996503.0800000001</v>
      </c>
      <c r="H1359" s="711">
        <v>43008.800173344905</v>
      </c>
      <c r="I1359" s="711">
        <v>43375</v>
      </c>
      <c r="J1359" t="s">
        <v>2224</v>
      </c>
      <c r="K1359" t="s">
        <v>1280</v>
      </c>
      <c r="L1359" t="s">
        <v>2225</v>
      </c>
      <c r="M1359">
        <v>201362</v>
      </c>
      <c r="N1359" t="s">
        <v>2222</v>
      </c>
      <c r="O1359" t="s">
        <v>25</v>
      </c>
      <c r="P1359" t="s">
        <v>88</v>
      </c>
      <c r="Q1359" t="s">
        <v>285</v>
      </c>
      <c r="R1359" s="710">
        <f>IF(Table__192.168.1.150_Daily_Delinquency_With_Sectors[[#This Row],[Days in Arrears]] &gt; 0, Table__192.168.1.150_Daily_Delinquency_With_Sectors[[#This Row],[Outstanding Balance]],0)</f>
        <v>7962980.6299999999</v>
      </c>
      <c r="S1359" s="105">
        <f>IF(Table__192.168.1.150_Daily_Delinquency_With_Sectors[[#This Row],[Days in Arrears]] &gt; 30, Table__192.168.1.150_Daily_Delinquency_With_Sectors[[#This Row],[Outstanding Balance]],0)</f>
        <v>0</v>
      </c>
      <c r="T1359" s="105">
        <f>IF(Table__192.168.1.150_Daily_Delinquency_With_Sectors[[#This Row],[Days in Arrears]] &gt; 90, Table__192.168.1.150_Daily_Delinquency_With_Sectors[[#This Row],[Outstanding Balance]],0)</f>
        <v>0</v>
      </c>
      <c r="U1359" s="109">
        <f>IF(Table__192.168.1.150_Daily_Delinquency_With_Sectors[[#This Row],[Days in Arrears]] &gt;= 1,1,0)</f>
        <v>1</v>
      </c>
      <c r="V1359" s="109">
        <f>IF(Table__192.168.1.150_Daily_Delinquency_With_Sectors[[#This Row],[Days in Arrears]] &gt; 30,1,0)</f>
        <v>0</v>
      </c>
      <c r="W1359" s="109">
        <f>IF(Table__192.168.1.150_Daily_Delinquency_With_Sectors[[#This Row],[Days in Arrears]] &gt; 90,1,0)</f>
        <v>0</v>
      </c>
    </row>
    <row r="1360" spans="1:23" x14ac:dyDescent="0.25">
      <c r="A1360" t="s">
        <v>4550</v>
      </c>
      <c r="B1360" t="s">
        <v>1285</v>
      </c>
      <c r="C1360">
        <v>-27</v>
      </c>
      <c r="D1360" s="105">
        <v>5718054.1200000001</v>
      </c>
      <c r="E1360" t="s">
        <v>284</v>
      </c>
      <c r="F1360" s="105">
        <v>6988.73</v>
      </c>
      <c r="G1360" s="105">
        <v>7734748.1100000003</v>
      </c>
      <c r="H1360" s="711">
        <v>43011.720706365741</v>
      </c>
      <c r="I1360" s="711">
        <v>44095</v>
      </c>
      <c r="J1360" t="s">
        <v>4551</v>
      </c>
      <c r="K1360" t="s">
        <v>1280</v>
      </c>
      <c r="L1360" t="s">
        <v>1280</v>
      </c>
      <c r="M1360">
        <v>201363</v>
      </c>
      <c r="N1360" t="s">
        <v>4548</v>
      </c>
      <c r="O1360" t="s">
        <v>43</v>
      </c>
      <c r="P1360" t="s">
        <v>338</v>
      </c>
      <c r="Q1360" t="s">
        <v>339</v>
      </c>
      <c r="R1360" s="710">
        <f>IF(Table__192.168.1.150_Daily_Delinquency_With_Sectors[[#This Row],[Days in Arrears]] &gt; 0, Table__192.168.1.150_Daily_Delinquency_With_Sectors[[#This Row],[Outstanding Balance]],0)</f>
        <v>0</v>
      </c>
      <c r="S1360" s="105">
        <f>IF(Table__192.168.1.150_Daily_Delinquency_With_Sectors[[#This Row],[Days in Arrears]] &gt; 30, Table__192.168.1.150_Daily_Delinquency_With_Sectors[[#This Row],[Outstanding Balance]],0)</f>
        <v>0</v>
      </c>
      <c r="T1360" s="105">
        <f>IF(Table__192.168.1.150_Daily_Delinquency_With_Sectors[[#This Row],[Days in Arrears]] &gt; 90, Table__192.168.1.150_Daily_Delinquency_With_Sectors[[#This Row],[Outstanding Balance]],0)</f>
        <v>0</v>
      </c>
      <c r="U1360" s="109">
        <f>IF(Table__192.168.1.150_Daily_Delinquency_With_Sectors[[#This Row],[Days in Arrears]] &gt;= 1,1,0)</f>
        <v>0</v>
      </c>
      <c r="V1360" s="109">
        <f>IF(Table__192.168.1.150_Daily_Delinquency_With_Sectors[[#This Row],[Days in Arrears]] &gt; 30,1,0)</f>
        <v>0</v>
      </c>
      <c r="W1360" s="109">
        <f>IF(Table__192.168.1.150_Daily_Delinquency_With_Sectors[[#This Row],[Days in Arrears]] &gt; 90,1,0)</f>
        <v>0</v>
      </c>
    </row>
    <row r="1361" spans="1:23" x14ac:dyDescent="0.25">
      <c r="A1361" t="s">
        <v>2323</v>
      </c>
      <c r="B1361" t="s">
        <v>1281</v>
      </c>
      <c r="C1361">
        <v>-10</v>
      </c>
      <c r="D1361" s="105">
        <v>28775494.780000001</v>
      </c>
      <c r="E1361" t="s">
        <v>1191</v>
      </c>
      <c r="F1361" s="105">
        <v>637856.80000000005</v>
      </c>
      <c r="G1361" s="105">
        <v>38666588.859999999</v>
      </c>
      <c r="H1361" s="711">
        <v>43012.678501041664</v>
      </c>
      <c r="I1361" s="711">
        <v>43559</v>
      </c>
      <c r="J1361" t="s">
        <v>2324</v>
      </c>
      <c r="K1361" t="s">
        <v>1280</v>
      </c>
      <c r="L1361" t="s">
        <v>1280</v>
      </c>
      <c r="M1361">
        <v>201364</v>
      </c>
      <c r="N1361" t="s">
        <v>2311</v>
      </c>
      <c r="O1361" t="s">
        <v>36</v>
      </c>
      <c r="P1361" t="s">
        <v>97</v>
      </c>
      <c r="Q1361" t="s">
        <v>98</v>
      </c>
      <c r="R1361" s="710">
        <f>IF(Table__192.168.1.150_Daily_Delinquency_With_Sectors[[#This Row],[Days in Arrears]] &gt; 0, Table__192.168.1.150_Daily_Delinquency_With_Sectors[[#This Row],[Outstanding Balance]],0)</f>
        <v>0</v>
      </c>
      <c r="S1361" s="105">
        <f>IF(Table__192.168.1.150_Daily_Delinquency_With_Sectors[[#This Row],[Days in Arrears]] &gt; 30, Table__192.168.1.150_Daily_Delinquency_With_Sectors[[#This Row],[Outstanding Balance]],0)</f>
        <v>0</v>
      </c>
      <c r="T1361" s="105">
        <f>IF(Table__192.168.1.150_Daily_Delinquency_With_Sectors[[#This Row],[Days in Arrears]] &gt; 90, Table__192.168.1.150_Daily_Delinquency_With_Sectors[[#This Row],[Outstanding Balance]],0)</f>
        <v>0</v>
      </c>
      <c r="U1361" s="109">
        <f>IF(Table__192.168.1.150_Daily_Delinquency_With_Sectors[[#This Row],[Days in Arrears]] &gt;= 1,1,0)</f>
        <v>0</v>
      </c>
      <c r="V1361" s="109">
        <f>IF(Table__192.168.1.150_Daily_Delinquency_With_Sectors[[#This Row],[Days in Arrears]] &gt; 30,1,0)</f>
        <v>0</v>
      </c>
      <c r="W1361" s="109">
        <f>IF(Table__192.168.1.150_Daily_Delinquency_With_Sectors[[#This Row],[Days in Arrears]] &gt; 90,1,0)</f>
        <v>0</v>
      </c>
    </row>
    <row r="1362" spans="1:23" x14ac:dyDescent="0.25">
      <c r="A1362" t="s">
        <v>2764</v>
      </c>
      <c r="B1362" t="s">
        <v>1281</v>
      </c>
      <c r="C1362">
        <v>-10</v>
      </c>
      <c r="D1362" s="105">
        <v>15170798.890000001</v>
      </c>
      <c r="E1362" t="s">
        <v>2557</v>
      </c>
      <c r="F1362" s="105">
        <v>336286.04</v>
      </c>
      <c r="G1362" s="105">
        <v>19448815.52</v>
      </c>
      <c r="H1362" s="711">
        <v>43012.761587731482</v>
      </c>
      <c r="I1362" s="711">
        <v>43469</v>
      </c>
      <c r="J1362" t="s">
        <v>2765</v>
      </c>
      <c r="K1362" t="s">
        <v>1280</v>
      </c>
      <c r="L1362" t="s">
        <v>1280</v>
      </c>
      <c r="M1362">
        <v>201365</v>
      </c>
      <c r="N1362" t="s">
        <v>2759</v>
      </c>
      <c r="O1362" t="s">
        <v>27</v>
      </c>
      <c r="P1362" t="s">
        <v>81</v>
      </c>
      <c r="Q1362" t="s">
        <v>26</v>
      </c>
      <c r="R1362" s="710">
        <f>IF(Table__192.168.1.150_Daily_Delinquency_With_Sectors[[#This Row],[Days in Arrears]] &gt; 0, Table__192.168.1.150_Daily_Delinquency_With_Sectors[[#This Row],[Outstanding Balance]],0)</f>
        <v>0</v>
      </c>
      <c r="S1362" s="105">
        <f>IF(Table__192.168.1.150_Daily_Delinquency_With_Sectors[[#This Row],[Days in Arrears]] &gt; 30, Table__192.168.1.150_Daily_Delinquency_With_Sectors[[#This Row],[Outstanding Balance]],0)</f>
        <v>0</v>
      </c>
      <c r="T1362" s="105">
        <f>IF(Table__192.168.1.150_Daily_Delinquency_With_Sectors[[#This Row],[Days in Arrears]] &gt; 90, Table__192.168.1.150_Daily_Delinquency_With_Sectors[[#This Row],[Outstanding Balance]],0)</f>
        <v>0</v>
      </c>
      <c r="U1362" s="109">
        <f>IF(Table__192.168.1.150_Daily_Delinquency_With_Sectors[[#This Row],[Days in Arrears]] &gt;= 1,1,0)</f>
        <v>0</v>
      </c>
      <c r="V1362" s="109">
        <f>IF(Table__192.168.1.150_Daily_Delinquency_With_Sectors[[#This Row],[Days in Arrears]] &gt; 30,1,0)</f>
        <v>0</v>
      </c>
      <c r="W1362" s="109">
        <f>IF(Table__192.168.1.150_Daily_Delinquency_With_Sectors[[#This Row],[Days in Arrears]] &gt; 90,1,0)</f>
        <v>0</v>
      </c>
    </row>
    <row r="1363" spans="1:23" x14ac:dyDescent="0.25">
      <c r="A1363" t="s">
        <v>5718</v>
      </c>
      <c r="B1363" t="s">
        <v>1286</v>
      </c>
      <c r="C1363">
        <v>-27</v>
      </c>
      <c r="D1363" s="105">
        <v>1213736.6399999999</v>
      </c>
      <c r="E1363" t="s">
        <v>284</v>
      </c>
      <c r="F1363" s="105">
        <v>1685.75</v>
      </c>
      <c r="G1363" s="105">
        <v>1277603.74</v>
      </c>
      <c r="H1363" s="711">
        <v>43012.759731365739</v>
      </c>
      <c r="I1363" s="711">
        <v>43180</v>
      </c>
      <c r="J1363" t="s">
        <v>5719</v>
      </c>
      <c r="K1363" t="s">
        <v>1280</v>
      </c>
      <c r="L1363" t="s">
        <v>5720</v>
      </c>
      <c r="M1363">
        <v>201366</v>
      </c>
      <c r="N1363" t="s">
        <v>5713</v>
      </c>
      <c r="O1363" t="s">
        <v>28</v>
      </c>
      <c r="P1363" t="s">
        <v>108</v>
      </c>
      <c r="Q1363" t="s">
        <v>26</v>
      </c>
      <c r="R1363" s="710">
        <f>IF(Table__192.168.1.150_Daily_Delinquency_With_Sectors[[#This Row],[Days in Arrears]] &gt; 0, Table__192.168.1.150_Daily_Delinquency_With_Sectors[[#This Row],[Outstanding Balance]],0)</f>
        <v>0</v>
      </c>
      <c r="S1363" s="105">
        <f>IF(Table__192.168.1.150_Daily_Delinquency_With_Sectors[[#This Row],[Days in Arrears]] &gt; 30, Table__192.168.1.150_Daily_Delinquency_With_Sectors[[#This Row],[Outstanding Balance]],0)</f>
        <v>0</v>
      </c>
      <c r="T1363" s="105">
        <f>IF(Table__192.168.1.150_Daily_Delinquency_With_Sectors[[#This Row],[Days in Arrears]] &gt; 90, Table__192.168.1.150_Daily_Delinquency_With_Sectors[[#This Row],[Outstanding Balance]],0)</f>
        <v>0</v>
      </c>
      <c r="U1363" s="109">
        <f>IF(Table__192.168.1.150_Daily_Delinquency_With_Sectors[[#This Row],[Days in Arrears]] &gt;= 1,1,0)</f>
        <v>0</v>
      </c>
      <c r="V1363" s="109">
        <f>IF(Table__192.168.1.150_Daily_Delinquency_With_Sectors[[#This Row],[Days in Arrears]] &gt; 30,1,0)</f>
        <v>0</v>
      </c>
      <c r="W1363" s="109">
        <f>IF(Table__192.168.1.150_Daily_Delinquency_With_Sectors[[#This Row],[Days in Arrears]] &gt; 90,1,0)</f>
        <v>0</v>
      </c>
    </row>
    <row r="1364" spans="1:23" x14ac:dyDescent="0.25">
      <c r="A1364" t="s">
        <v>5721</v>
      </c>
      <c r="B1364" t="s">
        <v>1281</v>
      </c>
      <c r="C1364">
        <v>-10</v>
      </c>
      <c r="D1364" s="105">
        <v>26136539.16</v>
      </c>
      <c r="E1364" t="s">
        <v>1447</v>
      </c>
      <c r="F1364" s="105">
        <v>662125.66</v>
      </c>
      <c r="G1364" s="105">
        <v>32818069.190000001</v>
      </c>
      <c r="H1364" s="711">
        <v>43012.775329050928</v>
      </c>
      <c r="I1364" s="711">
        <v>43377</v>
      </c>
      <c r="J1364" t="s">
        <v>5722</v>
      </c>
      <c r="K1364" t="s">
        <v>1280</v>
      </c>
      <c r="L1364" t="s">
        <v>1280</v>
      </c>
      <c r="M1364">
        <v>201367</v>
      </c>
      <c r="N1364" t="s">
        <v>5712</v>
      </c>
      <c r="O1364" t="s">
        <v>25</v>
      </c>
      <c r="P1364" t="s">
        <v>88</v>
      </c>
      <c r="Q1364" t="s">
        <v>285</v>
      </c>
      <c r="R1364" s="710">
        <f>IF(Table__192.168.1.150_Daily_Delinquency_With_Sectors[[#This Row],[Days in Arrears]] &gt; 0, Table__192.168.1.150_Daily_Delinquency_With_Sectors[[#This Row],[Outstanding Balance]],0)</f>
        <v>0</v>
      </c>
      <c r="S1364" s="105">
        <f>IF(Table__192.168.1.150_Daily_Delinquency_With_Sectors[[#This Row],[Days in Arrears]] &gt; 30, Table__192.168.1.150_Daily_Delinquency_With_Sectors[[#This Row],[Outstanding Balance]],0)</f>
        <v>0</v>
      </c>
      <c r="T1364" s="105">
        <f>IF(Table__192.168.1.150_Daily_Delinquency_With_Sectors[[#This Row],[Days in Arrears]] &gt; 90, Table__192.168.1.150_Daily_Delinquency_With_Sectors[[#This Row],[Outstanding Balance]],0)</f>
        <v>0</v>
      </c>
      <c r="U1364" s="109">
        <f>IF(Table__192.168.1.150_Daily_Delinquency_With_Sectors[[#This Row],[Days in Arrears]] &gt;= 1,1,0)</f>
        <v>0</v>
      </c>
      <c r="V1364" s="109">
        <f>IF(Table__192.168.1.150_Daily_Delinquency_With_Sectors[[#This Row],[Days in Arrears]] &gt; 30,1,0)</f>
        <v>0</v>
      </c>
      <c r="W1364" s="109">
        <f>IF(Table__192.168.1.150_Daily_Delinquency_With_Sectors[[#This Row],[Days in Arrears]] &gt; 90,1,0)</f>
        <v>0</v>
      </c>
    </row>
    <row r="1365" spans="1:23" x14ac:dyDescent="0.25">
      <c r="A1365" t="s">
        <v>5148</v>
      </c>
      <c r="B1365" t="s">
        <v>1286</v>
      </c>
      <c r="C1365">
        <v>-27</v>
      </c>
      <c r="D1365" s="105">
        <v>303290.34999999998</v>
      </c>
      <c r="E1365" t="s">
        <v>284</v>
      </c>
      <c r="F1365" s="105">
        <v>421.24</v>
      </c>
      <c r="G1365" s="105">
        <v>309608.90000000002</v>
      </c>
      <c r="H1365" s="711">
        <v>43013.442692442128</v>
      </c>
      <c r="I1365" s="711">
        <v>43090</v>
      </c>
      <c r="J1365" t="s">
        <v>5149</v>
      </c>
      <c r="K1365" t="s">
        <v>1280</v>
      </c>
      <c r="L1365" t="s">
        <v>1280</v>
      </c>
      <c r="M1365">
        <v>201368</v>
      </c>
      <c r="N1365" t="s">
        <v>5143</v>
      </c>
      <c r="O1365" t="s">
        <v>28</v>
      </c>
      <c r="P1365" t="s">
        <v>108</v>
      </c>
      <c r="Q1365" t="s">
        <v>26</v>
      </c>
      <c r="R1365" s="710">
        <f>IF(Table__192.168.1.150_Daily_Delinquency_With_Sectors[[#This Row],[Days in Arrears]] &gt; 0, Table__192.168.1.150_Daily_Delinquency_With_Sectors[[#This Row],[Outstanding Balance]],0)</f>
        <v>0</v>
      </c>
      <c r="S1365" s="105">
        <f>IF(Table__192.168.1.150_Daily_Delinquency_With_Sectors[[#This Row],[Days in Arrears]] &gt; 30, Table__192.168.1.150_Daily_Delinquency_With_Sectors[[#This Row],[Outstanding Balance]],0)</f>
        <v>0</v>
      </c>
      <c r="T1365" s="105">
        <f>IF(Table__192.168.1.150_Daily_Delinquency_With_Sectors[[#This Row],[Days in Arrears]] &gt; 90, Table__192.168.1.150_Daily_Delinquency_With_Sectors[[#This Row],[Outstanding Balance]],0)</f>
        <v>0</v>
      </c>
      <c r="U1365" s="109">
        <f>IF(Table__192.168.1.150_Daily_Delinquency_With_Sectors[[#This Row],[Days in Arrears]] &gt;= 1,1,0)</f>
        <v>0</v>
      </c>
      <c r="V1365" s="109">
        <f>IF(Table__192.168.1.150_Daily_Delinquency_With_Sectors[[#This Row],[Days in Arrears]] &gt; 30,1,0)</f>
        <v>0</v>
      </c>
      <c r="W1365" s="109">
        <f>IF(Table__192.168.1.150_Daily_Delinquency_With_Sectors[[#This Row],[Days in Arrears]] &gt; 90,1,0)</f>
        <v>0</v>
      </c>
    </row>
    <row r="1366" spans="1:23" x14ac:dyDescent="0.25">
      <c r="A1366" t="s">
        <v>5741</v>
      </c>
      <c r="B1366" t="s">
        <v>1281</v>
      </c>
      <c r="C1366">
        <v>-12</v>
      </c>
      <c r="D1366" s="105">
        <v>23336195.68</v>
      </c>
      <c r="E1366" t="s">
        <v>4683</v>
      </c>
      <c r="F1366" s="105">
        <v>528953.77</v>
      </c>
      <c r="G1366" s="105">
        <v>29301847.48</v>
      </c>
      <c r="H1366" s="711">
        <v>43014.748938344906</v>
      </c>
      <c r="I1366" s="711">
        <v>43379</v>
      </c>
      <c r="J1366" t="s">
        <v>5742</v>
      </c>
      <c r="K1366" t="s">
        <v>5743</v>
      </c>
      <c r="L1366" t="s">
        <v>1280</v>
      </c>
      <c r="M1366">
        <v>201370</v>
      </c>
      <c r="N1366" t="s">
        <v>5731</v>
      </c>
      <c r="O1366" t="s">
        <v>25</v>
      </c>
      <c r="P1366" t="s">
        <v>88</v>
      </c>
      <c r="Q1366" t="s">
        <v>26</v>
      </c>
      <c r="R1366" s="710">
        <f>IF(Table__192.168.1.150_Daily_Delinquency_With_Sectors[[#This Row],[Days in Arrears]] &gt; 0, Table__192.168.1.150_Daily_Delinquency_With_Sectors[[#This Row],[Outstanding Balance]],0)</f>
        <v>0</v>
      </c>
      <c r="S1366" s="105">
        <f>IF(Table__192.168.1.150_Daily_Delinquency_With_Sectors[[#This Row],[Days in Arrears]] &gt; 30, Table__192.168.1.150_Daily_Delinquency_With_Sectors[[#This Row],[Outstanding Balance]],0)</f>
        <v>0</v>
      </c>
      <c r="T1366" s="105">
        <f>IF(Table__192.168.1.150_Daily_Delinquency_With_Sectors[[#This Row],[Days in Arrears]] &gt; 90, Table__192.168.1.150_Daily_Delinquency_With_Sectors[[#This Row],[Outstanding Balance]],0)</f>
        <v>0</v>
      </c>
      <c r="U1366" s="109">
        <f>IF(Table__192.168.1.150_Daily_Delinquency_With_Sectors[[#This Row],[Days in Arrears]] &gt;= 1,1,0)</f>
        <v>0</v>
      </c>
      <c r="V1366" s="109">
        <f>IF(Table__192.168.1.150_Daily_Delinquency_With_Sectors[[#This Row],[Days in Arrears]] &gt; 30,1,0)</f>
        <v>0</v>
      </c>
      <c r="W1366" s="109">
        <f>IF(Table__192.168.1.150_Daily_Delinquency_With_Sectors[[#This Row],[Days in Arrears]] &gt; 90,1,0)</f>
        <v>0</v>
      </c>
    </row>
    <row r="1367" spans="1:23" x14ac:dyDescent="0.25">
      <c r="A1367" t="s">
        <v>5744</v>
      </c>
      <c r="B1367" t="s">
        <v>1286</v>
      </c>
      <c r="C1367">
        <v>-27</v>
      </c>
      <c r="D1367" s="105">
        <v>2481377.81</v>
      </c>
      <c r="E1367" t="s">
        <v>284</v>
      </c>
      <c r="F1367" s="105">
        <v>3446.36</v>
      </c>
      <c r="G1367" s="105">
        <v>2611948.48</v>
      </c>
      <c r="H1367" s="711">
        <v>43014.766459027778</v>
      </c>
      <c r="I1367" s="711">
        <v>43180</v>
      </c>
      <c r="J1367" t="s">
        <v>5745</v>
      </c>
      <c r="K1367" t="s">
        <v>1280</v>
      </c>
      <c r="L1367" t="s">
        <v>5746</v>
      </c>
      <c r="M1367">
        <v>201371</v>
      </c>
      <c r="N1367" t="s">
        <v>5732</v>
      </c>
      <c r="O1367" t="s">
        <v>28</v>
      </c>
      <c r="P1367" t="s">
        <v>108</v>
      </c>
      <c r="Q1367" t="s">
        <v>26</v>
      </c>
      <c r="R1367" s="710">
        <f>IF(Table__192.168.1.150_Daily_Delinquency_With_Sectors[[#This Row],[Days in Arrears]] &gt; 0, Table__192.168.1.150_Daily_Delinquency_With_Sectors[[#This Row],[Outstanding Balance]],0)</f>
        <v>0</v>
      </c>
      <c r="S1367" s="105">
        <f>IF(Table__192.168.1.150_Daily_Delinquency_With_Sectors[[#This Row],[Days in Arrears]] &gt; 30, Table__192.168.1.150_Daily_Delinquency_With_Sectors[[#This Row],[Outstanding Balance]],0)</f>
        <v>0</v>
      </c>
      <c r="T1367" s="105">
        <f>IF(Table__192.168.1.150_Daily_Delinquency_With_Sectors[[#This Row],[Days in Arrears]] &gt; 90, Table__192.168.1.150_Daily_Delinquency_With_Sectors[[#This Row],[Outstanding Balance]],0)</f>
        <v>0</v>
      </c>
      <c r="U1367" s="109">
        <f>IF(Table__192.168.1.150_Daily_Delinquency_With_Sectors[[#This Row],[Days in Arrears]] &gt;= 1,1,0)</f>
        <v>0</v>
      </c>
      <c r="V1367" s="109">
        <f>IF(Table__192.168.1.150_Daily_Delinquency_With_Sectors[[#This Row],[Days in Arrears]] &gt; 30,1,0)</f>
        <v>0</v>
      </c>
      <c r="W1367" s="109">
        <f>IF(Table__192.168.1.150_Daily_Delinquency_With_Sectors[[#This Row],[Days in Arrears]] &gt; 90,1,0)</f>
        <v>0</v>
      </c>
    </row>
    <row r="1368" spans="1:23" x14ac:dyDescent="0.25">
      <c r="A1368" t="s">
        <v>3435</v>
      </c>
      <c r="B1368" t="s">
        <v>1282</v>
      </c>
      <c r="C1368">
        <v>-16</v>
      </c>
      <c r="D1368" s="105">
        <v>7333672.4500000002</v>
      </c>
      <c r="E1368" t="s">
        <v>1447</v>
      </c>
      <c r="F1368" s="105">
        <v>127116.99</v>
      </c>
      <c r="G1368" s="105">
        <v>8876948.0099999998</v>
      </c>
      <c r="H1368" s="711">
        <v>43018.567411145836</v>
      </c>
      <c r="I1368" s="711">
        <v>43322</v>
      </c>
      <c r="J1368" t="s">
        <v>3436</v>
      </c>
      <c r="K1368" t="s">
        <v>1280</v>
      </c>
      <c r="L1368" t="s">
        <v>3437</v>
      </c>
      <c r="M1368">
        <v>201372</v>
      </c>
      <c r="N1368" t="s">
        <v>3427</v>
      </c>
      <c r="O1368" t="s">
        <v>25</v>
      </c>
      <c r="P1368" t="s">
        <v>88</v>
      </c>
      <c r="Q1368" t="s">
        <v>285</v>
      </c>
      <c r="R1368" s="710">
        <f>IF(Table__192.168.1.150_Daily_Delinquency_With_Sectors[[#This Row],[Days in Arrears]] &gt; 0, Table__192.168.1.150_Daily_Delinquency_With_Sectors[[#This Row],[Outstanding Balance]],0)</f>
        <v>0</v>
      </c>
      <c r="S1368" s="105">
        <f>IF(Table__192.168.1.150_Daily_Delinquency_With_Sectors[[#This Row],[Days in Arrears]] &gt; 30, Table__192.168.1.150_Daily_Delinquency_With_Sectors[[#This Row],[Outstanding Balance]],0)</f>
        <v>0</v>
      </c>
      <c r="T1368" s="105">
        <f>IF(Table__192.168.1.150_Daily_Delinquency_With_Sectors[[#This Row],[Days in Arrears]] &gt; 90, Table__192.168.1.150_Daily_Delinquency_With_Sectors[[#This Row],[Outstanding Balance]],0)</f>
        <v>0</v>
      </c>
      <c r="U1368" s="109">
        <f>IF(Table__192.168.1.150_Daily_Delinquency_With_Sectors[[#This Row],[Days in Arrears]] &gt;= 1,1,0)</f>
        <v>0</v>
      </c>
      <c r="V1368" s="109">
        <f>IF(Table__192.168.1.150_Daily_Delinquency_With_Sectors[[#This Row],[Days in Arrears]] &gt; 30,1,0)</f>
        <v>0</v>
      </c>
      <c r="W1368" s="109">
        <f>IF(Table__192.168.1.150_Daily_Delinquency_With_Sectors[[#This Row],[Days in Arrears]] &gt; 90,1,0)</f>
        <v>0</v>
      </c>
    </row>
    <row r="1369" spans="1:23" x14ac:dyDescent="0.25">
      <c r="A1369" t="s">
        <v>5756</v>
      </c>
      <c r="B1369" t="s">
        <v>1279</v>
      </c>
      <c r="C1369">
        <v>-16</v>
      </c>
      <c r="D1369" s="105">
        <v>1340085.52</v>
      </c>
      <c r="E1369" t="s">
        <v>3074</v>
      </c>
      <c r="F1369" s="105">
        <v>26131.67</v>
      </c>
      <c r="G1369" s="105">
        <v>1591901.36</v>
      </c>
      <c r="H1369" s="711">
        <v>43018.709052118058</v>
      </c>
      <c r="I1369" s="711">
        <v>43261</v>
      </c>
      <c r="J1369" t="s">
        <v>5757</v>
      </c>
      <c r="K1369" t="s">
        <v>1280</v>
      </c>
      <c r="L1369" t="s">
        <v>5758</v>
      </c>
      <c r="M1369">
        <v>201373</v>
      </c>
      <c r="N1369" t="s">
        <v>5749</v>
      </c>
      <c r="O1369" t="s">
        <v>25</v>
      </c>
      <c r="P1369" t="s">
        <v>88</v>
      </c>
      <c r="Q1369" t="s">
        <v>285</v>
      </c>
      <c r="R1369" s="710">
        <f>IF(Table__192.168.1.150_Daily_Delinquency_With_Sectors[[#This Row],[Days in Arrears]] &gt; 0, Table__192.168.1.150_Daily_Delinquency_With_Sectors[[#This Row],[Outstanding Balance]],0)</f>
        <v>0</v>
      </c>
      <c r="S1369" s="105">
        <f>IF(Table__192.168.1.150_Daily_Delinquency_With_Sectors[[#This Row],[Days in Arrears]] &gt; 30, Table__192.168.1.150_Daily_Delinquency_With_Sectors[[#This Row],[Outstanding Balance]],0)</f>
        <v>0</v>
      </c>
      <c r="T1369" s="105">
        <f>IF(Table__192.168.1.150_Daily_Delinquency_With_Sectors[[#This Row],[Days in Arrears]] &gt; 90, Table__192.168.1.150_Daily_Delinquency_With_Sectors[[#This Row],[Outstanding Balance]],0)</f>
        <v>0</v>
      </c>
      <c r="U1369" s="109">
        <f>IF(Table__192.168.1.150_Daily_Delinquency_With_Sectors[[#This Row],[Days in Arrears]] &gt;= 1,1,0)</f>
        <v>0</v>
      </c>
      <c r="V1369" s="109">
        <f>IF(Table__192.168.1.150_Daily_Delinquency_With_Sectors[[#This Row],[Days in Arrears]] &gt; 30,1,0)</f>
        <v>0</v>
      </c>
      <c r="W1369" s="109">
        <f>IF(Table__192.168.1.150_Daily_Delinquency_With_Sectors[[#This Row],[Days in Arrears]] &gt; 90,1,0)</f>
        <v>0</v>
      </c>
    </row>
    <row r="1370" spans="1:23" x14ac:dyDescent="0.25">
      <c r="A1370" t="s">
        <v>5759</v>
      </c>
      <c r="B1370" t="s">
        <v>1282</v>
      </c>
      <c r="C1370">
        <v>-16</v>
      </c>
      <c r="D1370" s="105">
        <v>3404486.45</v>
      </c>
      <c r="E1370" t="s">
        <v>4686</v>
      </c>
      <c r="F1370" s="105">
        <v>66387.490000000005</v>
      </c>
      <c r="G1370" s="105">
        <v>3877567.75</v>
      </c>
      <c r="H1370" s="711">
        <v>43018.674467094905</v>
      </c>
      <c r="I1370" s="711">
        <v>43200</v>
      </c>
      <c r="J1370" t="s">
        <v>5760</v>
      </c>
      <c r="K1370" t="s">
        <v>1280</v>
      </c>
      <c r="L1370" t="s">
        <v>5761</v>
      </c>
      <c r="M1370">
        <v>201374</v>
      </c>
      <c r="N1370" t="s">
        <v>5748</v>
      </c>
      <c r="O1370" t="s">
        <v>36</v>
      </c>
      <c r="P1370" t="s">
        <v>97</v>
      </c>
      <c r="Q1370" t="s">
        <v>1811</v>
      </c>
      <c r="R1370" s="710">
        <f>IF(Table__192.168.1.150_Daily_Delinquency_With_Sectors[[#This Row],[Days in Arrears]] &gt; 0, Table__192.168.1.150_Daily_Delinquency_With_Sectors[[#This Row],[Outstanding Balance]],0)</f>
        <v>0</v>
      </c>
      <c r="S1370" s="105">
        <f>IF(Table__192.168.1.150_Daily_Delinquency_With_Sectors[[#This Row],[Days in Arrears]] &gt; 30, Table__192.168.1.150_Daily_Delinquency_With_Sectors[[#This Row],[Outstanding Balance]],0)</f>
        <v>0</v>
      </c>
      <c r="T1370" s="105">
        <f>IF(Table__192.168.1.150_Daily_Delinquency_With_Sectors[[#This Row],[Days in Arrears]] &gt; 90, Table__192.168.1.150_Daily_Delinquency_With_Sectors[[#This Row],[Outstanding Balance]],0)</f>
        <v>0</v>
      </c>
      <c r="U1370" s="109">
        <f>IF(Table__192.168.1.150_Daily_Delinquency_With_Sectors[[#This Row],[Days in Arrears]] &gt;= 1,1,0)</f>
        <v>0</v>
      </c>
      <c r="V1370" s="109">
        <f>IF(Table__192.168.1.150_Daily_Delinquency_With_Sectors[[#This Row],[Days in Arrears]] &gt; 30,1,0)</f>
        <v>0</v>
      </c>
      <c r="W1370" s="109">
        <f>IF(Table__192.168.1.150_Daily_Delinquency_With_Sectors[[#This Row],[Days in Arrears]] &gt; 90,1,0)</f>
        <v>0</v>
      </c>
    </row>
    <row r="1371" spans="1:23" x14ac:dyDescent="0.25">
      <c r="A1371" t="s">
        <v>5762</v>
      </c>
      <c r="B1371" t="s">
        <v>1279</v>
      </c>
      <c r="C1371">
        <v>-16</v>
      </c>
      <c r="D1371" s="105">
        <v>2020966.59</v>
      </c>
      <c r="E1371" t="s">
        <v>4686</v>
      </c>
      <c r="F1371" s="105">
        <v>39408.85</v>
      </c>
      <c r="G1371" s="105">
        <v>2502300.6800000002</v>
      </c>
      <c r="H1371" s="711">
        <v>43018.682332789351</v>
      </c>
      <c r="I1371" s="711">
        <v>43322</v>
      </c>
      <c r="J1371" t="s">
        <v>5763</v>
      </c>
      <c r="K1371" t="s">
        <v>1280</v>
      </c>
      <c r="L1371" t="s">
        <v>1280</v>
      </c>
      <c r="M1371">
        <v>201375</v>
      </c>
      <c r="N1371" t="s">
        <v>5750</v>
      </c>
      <c r="O1371" t="s">
        <v>36</v>
      </c>
      <c r="P1371" t="s">
        <v>97</v>
      </c>
      <c r="Q1371" t="s">
        <v>98</v>
      </c>
      <c r="R1371" s="710">
        <f>IF(Table__192.168.1.150_Daily_Delinquency_With_Sectors[[#This Row],[Days in Arrears]] &gt; 0, Table__192.168.1.150_Daily_Delinquency_With_Sectors[[#This Row],[Outstanding Balance]],0)</f>
        <v>0</v>
      </c>
      <c r="S1371" s="105">
        <f>IF(Table__192.168.1.150_Daily_Delinquency_With_Sectors[[#This Row],[Days in Arrears]] &gt; 30, Table__192.168.1.150_Daily_Delinquency_With_Sectors[[#This Row],[Outstanding Balance]],0)</f>
        <v>0</v>
      </c>
      <c r="T1371" s="105">
        <f>IF(Table__192.168.1.150_Daily_Delinquency_With_Sectors[[#This Row],[Days in Arrears]] &gt; 90, Table__192.168.1.150_Daily_Delinquency_With_Sectors[[#This Row],[Outstanding Balance]],0)</f>
        <v>0</v>
      </c>
      <c r="U1371" s="109">
        <f>IF(Table__192.168.1.150_Daily_Delinquency_With_Sectors[[#This Row],[Days in Arrears]] &gt;= 1,1,0)</f>
        <v>0</v>
      </c>
      <c r="V1371" s="109">
        <f>IF(Table__192.168.1.150_Daily_Delinquency_With_Sectors[[#This Row],[Days in Arrears]] &gt; 30,1,0)</f>
        <v>0</v>
      </c>
      <c r="W1371" s="109">
        <f>IF(Table__192.168.1.150_Daily_Delinquency_With_Sectors[[#This Row],[Days in Arrears]] &gt; 90,1,0)</f>
        <v>0</v>
      </c>
    </row>
    <row r="1372" spans="1:23" x14ac:dyDescent="0.25">
      <c r="A1372" t="s">
        <v>3259</v>
      </c>
      <c r="B1372" t="s">
        <v>1282</v>
      </c>
      <c r="C1372">
        <v>12</v>
      </c>
      <c r="D1372" s="105">
        <v>4883290.75</v>
      </c>
      <c r="E1372" t="s">
        <v>2557</v>
      </c>
      <c r="F1372" s="105">
        <v>68452.84</v>
      </c>
      <c r="G1372" s="105">
        <v>6076421.1299999999</v>
      </c>
      <c r="H1372" s="711">
        <v>43020.638863460648</v>
      </c>
      <c r="I1372" s="711">
        <v>43385</v>
      </c>
      <c r="J1372" t="s">
        <v>3260</v>
      </c>
      <c r="K1372" t="s">
        <v>1280</v>
      </c>
      <c r="L1372" t="s">
        <v>1280</v>
      </c>
      <c r="M1372">
        <v>201376</v>
      </c>
      <c r="N1372" t="s">
        <v>3255</v>
      </c>
      <c r="O1372" t="s">
        <v>45</v>
      </c>
      <c r="P1372" t="s">
        <v>45</v>
      </c>
      <c r="Q1372" t="s">
        <v>1658</v>
      </c>
      <c r="R1372" s="710">
        <f>IF(Table__192.168.1.150_Daily_Delinquency_With_Sectors[[#This Row],[Days in Arrears]] &gt; 0, Table__192.168.1.150_Daily_Delinquency_With_Sectors[[#This Row],[Outstanding Balance]],0)</f>
        <v>4883290.75</v>
      </c>
      <c r="S1372" s="105">
        <f>IF(Table__192.168.1.150_Daily_Delinquency_With_Sectors[[#This Row],[Days in Arrears]] &gt; 30, Table__192.168.1.150_Daily_Delinquency_With_Sectors[[#This Row],[Outstanding Balance]],0)</f>
        <v>0</v>
      </c>
      <c r="T1372" s="105">
        <f>IF(Table__192.168.1.150_Daily_Delinquency_With_Sectors[[#This Row],[Days in Arrears]] &gt; 90, Table__192.168.1.150_Daily_Delinquency_With_Sectors[[#This Row],[Outstanding Balance]],0)</f>
        <v>0</v>
      </c>
      <c r="U1372" s="109">
        <f>IF(Table__192.168.1.150_Daily_Delinquency_With_Sectors[[#This Row],[Days in Arrears]] &gt;= 1,1,0)</f>
        <v>1</v>
      </c>
      <c r="V1372" s="109">
        <f>IF(Table__192.168.1.150_Daily_Delinquency_With_Sectors[[#This Row],[Days in Arrears]] &gt; 30,1,0)</f>
        <v>0</v>
      </c>
      <c r="W1372" s="109">
        <f>IF(Table__192.168.1.150_Daily_Delinquency_With_Sectors[[#This Row],[Days in Arrears]] &gt; 90,1,0)</f>
        <v>0</v>
      </c>
    </row>
    <row r="1373" spans="1:23" x14ac:dyDescent="0.25">
      <c r="A1373" t="s">
        <v>5787</v>
      </c>
      <c r="B1373" t="s">
        <v>1279</v>
      </c>
      <c r="C1373">
        <v>-18</v>
      </c>
      <c r="D1373" s="105">
        <v>918621.18</v>
      </c>
      <c r="E1373" t="s">
        <v>2855</v>
      </c>
      <c r="F1373" s="105">
        <v>15157.25</v>
      </c>
      <c r="G1373" s="105">
        <v>1137409.3899999999</v>
      </c>
      <c r="H1373" s="711">
        <v>43020.46736840278</v>
      </c>
      <c r="I1373" s="711">
        <v>43324</v>
      </c>
      <c r="J1373" t="s">
        <v>5788</v>
      </c>
      <c r="K1373" t="s">
        <v>1280</v>
      </c>
      <c r="L1373" t="s">
        <v>1280</v>
      </c>
      <c r="M1373">
        <v>201377</v>
      </c>
      <c r="N1373" t="s">
        <v>5775</v>
      </c>
      <c r="O1373" t="s">
        <v>25</v>
      </c>
      <c r="P1373" t="s">
        <v>94</v>
      </c>
      <c r="Q1373" t="s">
        <v>95</v>
      </c>
      <c r="R1373" s="710">
        <f>IF(Table__192.168.1.150_Daily_Delinquency_With_Sectors[[#This Row],[Days in Arrears]] &gt; 0, Table__192.168.1.150_Daily_Delinquency_With_Sectors[[#This Row],[Outstanding Balance]],0)</f>
        <v>0</v>
      </c>
      <c r="S1373" s="105">
        <f>IF(Table__192.168.1.150_Daily_Delinquency_With_Sectors[[#This Row],[Days in Arrears]] &gt; 30, Table__192.168.1.150_Daily_Delinquency_With_Sectors[[#This Row],[Outstanding Balance]],0)</f>
        <v>0</v>
      </c>
      <c r="T1373" s="105">
        <f>IF(Table__192.168.1.150_Daily_Delinquency_With_Sectors[[#This Row],[Days in Arrears]] &gt; 90, Table__192.168.1.150_Daily_Delinquency_With_Sectors[[#This Row],[Outstanding Balance]],0)</f>
        <v>0</v>
      </c>
      <c r="U1373" s="109">
        <f>IF(Table__192.168.1.150_Daily_Delinquency_With_Sectors[[#This Row],[Days in Arrears]] &gt;= 1,1,0)</f>
        <v>0</v>
      </c>
      <c r="V1373" s="109">
        <f>IF(Table__192.168.1.150_Daily_Delinquency_With_Sectors[[#This Row],[Days in Arrears]] &gt; 30,1,0)</f>
        <v>0</v>
      </c>
      <c r="W1373" s="109">
        <f>IF(Table__192.168.1.150_Daily_Delinquency_With_Sectors[[#This Row],[Days in Arrears]] &gt; 90,1,0)</f>
        <v>0</v>
      </c>
    </row>
    <row r="1374" spans="1:23" x14ac:dyDescent="0.25">
      <c r="A1374" t="s">
        <v>5789</v>
      </c>
      <c r="B1374" t="s">
        <v>1279</v>
      </c>
      <c r="C1374">
        <v>-18</v>
      </c>
      <c r="D1374" s="105">
        <v>3674484.71</v>
      </c>
      <c r="E1374" t="s">
        <v>4686</v>
      </c>
      <c r="F1374" s="105">
        <v>60629</v>
      </c>
      <c r="G1374" s="105">
        <v>4549637.59</v>
      </c>
      <c r="H1374" s="711">
        <v>43020.595618136576</v>
      </c>
      <c r="I1374" s="711">
        <v>43324</v>
      </c>
      <c r="J1374" t="s">
        <v>5790</v>
      </c>
      <c r="K1374" t="s">
        <v>1280</v>
      </c>
      <c r="L1374" t="s">
        <v>1280</v>
      </c>
      <c r="M1374">
        <v>201378</v>
      </c>
      <c r="N1374" t="s">
        <v>5779</v>
      </c>
      <c r="O1374" t="s">
        <v>25</v>
      </c>
      <c r="P1374" t="s">
        <v>88</v>
      </c>
      <c r="Q1374" t="s">
        <v>285</v>
      </c>
      <c r="R1374" s="710">
        <f>IF(Table__192.168.1.150_Daily_Delinquency_With_Sectors[[#This Row],[Days in Arrears]] &gt; 0, Table__192.168.1.150_Daily_Delinquency_With_Sectors[[#This Row],[Outstanding Balance]],0)</f>
        <v>0</v>
      </c>
      <c r="S1374" s="105">
        <f>IF(Table__192.168.1.150_Daily_Delinquency_With_Sectors[[#This Row],[Days in Arrears]] &gt; 30, Table__192.168.1.150_Daily_Delinquency_With_Sectors[[#This Row],[Outstanding Balance]],0)</f>
        <v>0</v>
      </c>
      <c r="T1374" s="105">
        <f>IF(Table__192.168.1.150_Daily_Delinquency_With_Sectors[[#This Row],[Days in Arrears]] &gt; 90, Table__192.168.1.150_Daily_Delinquency_With_Sectors[[#This Row],[Outstanding Balance]],0)</f>
        <v>0</v>
      </c>
      <c r="U1374" s="109">
        <f>IF(Table__192.168.1.150_Daily_Delinquency_With_Sectors[[#This Row],[Days in Arrears]] &gt;= 1,1,0)</f>
        <v>0</v>
      </c>
      <c r="V1374" s="109">
        <f>IF(Table__192.168.1.150_Daily_Delinquency_With_Sectors[[#This Row],[Days in Arrears]] &gt; 30,1,0)</f>
        <v>0</v>
      </c>
      <c r="W1374" s="109">
        <f>IF(Table__192.168.1.150_Daily_Delinquency_With_Sectors[[#This Row],[Days in Arrears]] &gt; 90,1,0)</f>
        <v>0</v>
      </c>
    </row>
    <row r="1375" spans="1:23" x14ac:dyDescent="0.25">
      <c r="A1375" t="s">
        <v>5791</v>
      </c>
      <c r="B1375" t="s">
        <v>1282</v>
      </c>
      <c r="C1375">
        <v>-18</v>
      </c>
      <c r="D1375" s="105">
        <v>4593105.8899999997</v>
      </c>
      <c r="E1375" t="s">
        <v>963</v>
      </c>
      <c r="F1375" s="105">
        <v>75786.25</v>
      </c>
      <c r="G1375" s="105">
        <v>5687047</v>
      </c>
      <c r="H1375" s="711">
        <v>43020.558276006945</v>
      </c>
      <c r="I1375" s="711">
        <v>43324</v>
      </c>
      <c r="J1375" t="s">
        <v>5792</v>
      </c>
      <c r="K1375" t="s">
        <v>5793</v>
      </c>
      <c r="L1375" t="s">
        <v>1280</v>
      </c>
      <c r="M1375">
        <v>201379</v>
      </c>
      <c r="N1375" t="s">
        <v>5780</v>
      </c>
      <c r="O1375" t="s">
        <v>25</v>
      </c>
      <c r="P1375" t="s">
        <v>88</v>
      </c>
      <c r="Q1375" t="s">
        <v>285</v>
      </c>
      <c r="R1375" s="710">
        <f>IF(Table__192.168.1.150_Daily_Delinquency_With_Sectors[[#This Row],[Days in Arrears]] &gt; 0, Table__192.168.1.150_Daily_Delinquency_With_Sectors[[#This Row],[Outstanding Balance]],0)</f>
        <v>0</v>
      </c>
      <c r="S1375" s="105">
        <f>IF(Table__192.168.1.150_Daily_Delinquency_With_Sectors[[#This Row],[Days in Arrears]] &gt; 30, Table__192.168.1.150_Daily_Delinquency_With_Sectors[[#This Row],[Outstanding Balance]],0)</f>
        <v>0</v>
      </c>
      <c r="T1375" s="105">
        <f>IF(Table__192.168.1.150_Daily_Delinquency_With_Sectors[[#This Row],[Days in Arrears]] &gt; 90, Table__192.168.1.150_Daily_Delinquency_With_Sectors[[#This Row],[Outstanding Balance]],0)</f>
        <v>0</v>
      </c>
      <c r="U1375" s="109">
        <f>IF(Table__192.168.1.150_Daily_Delinquency_With_Sectors[[#This Row],[Days in Arrears]] &gt;= 1,1,0)</f>
        <v>0</v>
      </c>
      <c r="V1375" s="109">
        <f>IF(Table__192.168.1.150_Daily_Delinquency_With_Sectors[[#This Row],[Days in Arrears]] &gt; 30,1,0)</f>
        <v>0</v>
      </c>
      <c r="W1375" s="109">
        <f>IF(Table__192.168.1.150_Daily_Delinquency_With_Sectors[[#This Row],[Days in Arrears]] &gt; 90,1,0)</f>
        <v>0</v>
      </c>
    </row>
    <row r="1376" spans="1:23" x14ac:dyDescent="0.25">
      <c r="A1376" t="s">
        <v>5794</v>
      </c>
      <c r="B1376" t="s">
        <v>1282</v>
      </c>
      <c r="C1376">
        <v>-18</v>
      </c>
      <c r="D1376" s="105">
        <v>2755863.53</v>
      </c>
      <c r="E1376" t="s">
        <v>2034</v>
      </c>
      <c r="F1376" s="105">
        <v>45471.75</v>
      </c>
      <c r="G1376" s="105">
        <v>3412228.18</v>
      </c>
      <c r="H1376" s="711">
        <v>43020.582957754632</v>
      </c>
      <c r="I1376" s="711">
        <v>43324</v>
      </c>
      <c r="J1376" t="s">
        <v>5795</v>
      </c>
      <c r="K1376" t="s">
        <v>1280</v>
      </c>
      <c r="L1376" t="s">
        <v>1280</v>
      </c>
      <c r="M1376">
        <v>201380</v>
      </c>
      <c r="N1376" t="s">
        <v>5777</v>
      </c>
      <c r="O1376" t="s">
        <v>25</v>
      </c>
      <c r="P1376" t="s">
        <v>88</v>
      </c>
      <c r="Q1376" t="s">
        <v>285</v>
      </c>
      <c r="R1376" s="710">
        <f>IF(Table__192.168.1.150_Daily_Delinquency_With_Sectors[[#This Row],[Days in Arrears]] &gt; 0, Table__192.168.1.150_Daily_Delinquency_With_Sectors[[#This Row],[Outstanding Balance]],0)</f>
        <v>0</v>
      </c>
      <c r="S1376" s="105">
        <f>IF(Table__192.168.1.150_Daily_Delinquency_With_Sectors[[#This Row],[Days in Arrears]] &gt; 30, Table__192.168.1.150_Daily_Delinquency_With_Sectors[[#This Row],[Outstanding Balance]],0)</f>
        <v>0</v>
      </c>
      <c r="T1376" s="105">
        <f>IF(Table__192.168.1.150_Daily_Delinquency_With_Sectors[[#This Row],[Days in Arrears]] &gt; 90, Table__192.168.1.150_Daily_Delinquency_With_Sectors[[#This Row],[Outstanding Balance]],0)</f>
        <v>0</v>
      </c>
      <c r="U1376" s="109">
        <f>IF(Table__192.168.1.150_Daily_Delinquency_With_Sectors[[#This Row],[Days in Arrears]] &gt;= 1,1,0)</f>
        <v>0</v>
      </c>
      <c r="V1376" s="109">
        <f>IF(Table__192.168.1.150_Daily_Delinquency_With_Sectors[[#This Row],[Days in Arrears]] &gt; 30,1,0)</f>
        <v>0</v>
      </c>
      <c r="W1376" s="109">
        <f>IF(Table__192.168.1.150_Daily_Delinquency_With_Sectors[[#This Row],[Days in Arrears]] &gt; 90,1,0)</f>
        <v>0</v>
      </c>
    </row>
    <row r="1377" spans="1:23" x14ac:dyDescent="0.25">
      <c r="A1377" t="s">
        <v>5796</v>
      </c>
      <c r="B1377" t="s">
        <v>1279</v>
      </c>
      <c r="C1377">
        <v>-18</v>
      </c>
      <c r="D1377" s="105">
        <v>3267067.4</v>
      </c>
      <c r="E1377" t="s">
        <v>2494</v>
      </c>
      <c r="F1377" s="105">
        <v>47916.99</v>
      </c>
      <c r="G1377" s="105">
        <v>4102258.66</v>
      </c>
      <c r="H1377" s="711">
        <v>43020.633114351855</v>
      </c>
      <c r="I1377" s="711">
        <v>43385</v>
      </c>
      <c r="J1377" t="s">
        <v>5797</v>
      </c>
      <c r="K1377" t="s">
        <v>5798</v>
      </c>
      <c r="L1377" t="s">
        <v>1280</v>
      </c>
      <c r="M1377">
        <v>201381</v>
      </c>
      <c r="N1377" t="s">
        <v>5778</v>
      </c>
      <c r="O1377" t="s">
        <v>25</v>
      </c>
      <c r="P1377" t="s">
        <v>88</v>
      </c>
      <c r="Q1377" t="s">
        <v>285</v>
      </c>
      <c r="R1377" s="710">
        <f>IF(Table__192.168.1.150_Daily_Delinquency_With_Sectors[[#This Row],[Days in Arrears]] &gt; 0, Table__192.168.1.150_Daily_Delinquency_With_Sectors[[#This Row],[Outstanding Balance]],0)</f>
        <v>0</v>
      </c>
      <c r="S1377" s="105">
        <f>IF(Table__192.168.1.150_Daily_Delinquency_With_Sectors[[#This Row],[Days in Arrears]] &gt; 30, Table__192.168.1.150_Daily_Delinquency_With_Sectors[[#This Row],[Outstanding Balance]],0)</f>
        <v>0</v>
      </c>
      <c r="T1377" s="105">
        <f>IF(Table__192.168.1.150_Daily_Delinquency_With_Sectors[[#This Row],[Days in Arrears]] &gt; 90, Table__192.168.1.150_Daily_Delinquency_With_Sectors[[#This Row],[Outstanding Balance]],0)</f>
        <v>0</v>
      </c>
      <c r="U1377" s="109">
        <f>IF(Table__192.168.1.150_Daily_Delinquency_With_Sectors[[#This Row],[Days in Arrears]] &gt;= 1,1,0)</f>
        <v>0</v>
      </c>
      <c r="V1377" s="109">
        <f>IF(Table__192.168.1.150_Daily_Delinquency_With_Sectors[[#This Row],[Days in Arrears]] &gt; 30,1,0)</f>
        <v>0</v>
      </c>
      <c r="W1377" s="109">
        <f>IF(Table__192.168.1.150_Daily_Delinquency_With_Sectors[[#This Row],[Days in Arrears]] &gt; 90,1,0)</f>
        <v>0</v>
      </c>
    </row>
    <row r="1378" spans="1:23" x14ac:dyDescent="0.25">
      <c r="A1378" t="s">
        <v>5799</v>
      </c>
      <c r="B1378" t="s">
        <v>1286</v>
      </c>
      <c r="C1378">
        <v>-27</v>
      </c>
      <c r="D1378" s="105">
        <v>318265.31</v>
      </c>
      <c r="E1378" t="s">
        <v>284</v>
      </c>
      <c r="F1378" s="105">
        <v>442.04</v>
      </c>
      <c r="G1378" s="105">
        <v>324895.84000000003</v>
      </c>
      <c r="H1378" s="711">
        <v>43020.70151053241</v>
      </c>
      <c r="I1378" s="711">
        <v>43090</v>
      </c>
      <c r="J1378" t="s">
        <v>5800</v>
      </c>
      <c r="K1378" t="s">
        <v>1280</v>
      </c>
      <c r="L1378" t="s">
        <v>5801</v>
      </c>
      <c r="M1378">
        <v>201382</v>
      </c>
      <c r="N1378" t="s">
        <v>5781</v>
      </c>
      <c r="O1378" t="s">
        <v>28</v>
      </c>
      <c r="P1378" t="s">
        <v>108</v>
      </c>
      <c r="Q1378" t="s">
        <v>26</v>
      </c>
      <c r="R1378" s="710">
        <f>IF(Table__192.168.1.150_Daily_Delinquency_With_Sectors[[#This Row],[Days in Arrears]] &gt; 0, Table__192.168.1.150_Daily_Delinquency_With_Sectors[[#This Row],[Outstanding Balance]],0)</f>
        <v>0</v>
      </c>
      <c r="S1378" s="105">
        <f>IF(Table__192.168.1.150_Daily_Delinquency_With_Sectors[[#This Row],[Days in Arrears]] &gt; 30, Table__192.168.1.150_Daily_Delinquency_With_Sectors[[#This Row],[Outstanding Balance]],0)</f>
        <v>0</v>
      </c>
      <c r="T1378" s="105">
        <f>IF(Table__192.168.1.150_Daily_Delinquency_With_Sectors[[#This Row],[Days in Arrears]] &gt; 90, Table__192.168.1.150_Daily_Delinquency_With_Sectors[[#This Row],[Outstanding Balance]],0)</f>
        <v>0</v>
      </c>
      <c r="U1378" s="109">
        <f>IF(Table__192.168.1.150_Daily_Delinquency_With_Sectors[[#This Row],[Days in Arrears]] &gt;= 1,1,0)</f>
        <v>0</v>
      </c>
      <c r="V1378" s="109">
        <f>IF(Table__192.168.1.150_Daily_Delinquency_With_Sectors[[#This Row],[Days in Arrears]] &gt; 30,1,0)</f>
        <v>0</v>
      </c>
      <c r="W1378" s="109">
        <f>IF(Table__192.168.1.150_Daily_Delinquency_With_Sectors[[#This Row],[Days in Arrears]] &gt; 90,1,0)</f>
        <v>0</v>
      </c>
    </row>
    <row r="1379" spans="1:23" x14ac:dyDescent="0.25">
      <c r="A1379" t="s">
        <v>2026</v>
      </c>
      <c r="B1379" t="s">
        <v>1282</v>
      </c>
      <c r="C1379">
        <v>-20</v>
      </c>
      <c r="D1379" s="105">
        <v>8401030.4499999993</v>
      </c>
      <c r="E1379" t="s">
        <v>1925</v>
      </c>
      <c r="F1379" s="105">
        <v>100812.37</v>
      </c>
      <c r="G1379" s="105">
        <v>10548665.109999999</v>
      </c>
      <c r="H1379" s="711">
        <v>43022.475865972221</v>
      </c>
      <c r="I1379" s="711">
        <v>43387</v>
      </c>
      <c r="J1379" t="s">
        <v>2027</v>
      </c>
      <c r="K1379" t="s">
        <v>1280</v>
      </c>
      <c r="L1379" t="s">
        <v>1280</v>
      </c>
      <c r="M1379">
        <v>201383</v>
      </c>
      <c r="N1379" t="s">
        <v>1953</v>
      </c>
      <c r="O1379" t="s">
        <v>25</v>
      </c>
      <c r="P1379" t="s">
        <v>88</v>
      </c>
      <c r="Q1379" t="s">
        <v>285</v>
      </c>
      <c r="R1379" s="710">
        <f>IF(Table__192.168.1.150_Daily_Delinquency_With_Sectors[[#This Row],[Days in Arrears]] &gt; 0, Table__192.168.1.150_Daily_Delinquency_With_Sectors[[#This Row],[Outstanding Balance]],0)</f>
        <v>0</v>
      </c>
      <c r="S1379" s="105">
        <f>IF(Table__192.168.1.150_Daily_Delinquency_With_Sectors[[#This Row],[Days in Arrears]] &gt; 30, Table__192.168.1.150_Daily_Delinquency_With_Sectors[[#This Row],[Outstanding Balance]],0)</f>
        <v>0</v>
      </c>
      <c r="T1379" s="105">
        <f>IF(Table__192.168.1.150_Daily_Delinquency_With_Sectors[[#This Row],[Days in Arrears]] &gt; 90, Table__192.168.1.150_Daily_Delinquency_With_Sectors[[#This Row],[Outstanding Balance]],0)</f>
        <v>0</v>
      </c>
      <c r="U1379" s="109">
        <f>IF(Table__192.168.1.150_Daily_Delinquency_With_Sectors[[#This Row],[Days in Arrears]] &gt;= 1,1,0)</f>
        <v>0</v>
      </c>
      <c r="V1379" s="109">
        <f>IF(Table__192.168.1.150_Daily_Delinquency_With_Sectors[[#This Row],[Days in Arrears]] &gt; 30,1,0)</f>
        <v>0</v>
      </c>
      <c r="W1379" s="109">
        <f>IF(Table__192.168.1.150_Daily_Delinquency_With_Sectors[[#This Row],[Days in Arrears]] &gt; 90,1,0)</f>
        <v>0</v>
      </c>
    </row>
    <row r="1380" spans="1:23" x14ac:dyDescent="0.25">
      <c r="A1380" t="s">
        <v>5815</v>
      </c>
      <c r="B1380" t="s">
        <v>1279</v>
      </c>
      <c r="C1380">
        <v>-19</v>
      </c>
      <c r="D1380" s="105">
        <v>1377931.77</v>
      </c>
      <c r="E1380" t="s">
        <v>2855</v>
      </c>
      <c r="F1380" s="105">
        <v>20668.98</v>
      </c>
      <c r="G1380" s="105">
        <v>1706114.12</v>
      </c>
      <c r="H1380" s="711">
        <v>43021.516642974537</v>
      </c>
      <c r="I1380" s="711">
        <v>43325</v>
      </c>
      <c r="J1380" t="s">
        <v>5816</v>
      </c>
      <c r="K1380" t="s">
        <v>1280</v>
      </c>
      <c r="L1380" t="s">
        <v>1280</v>
      </c>
      <c r="M1380">
        <v>201384</v>
      </c>
      <c r="N1380" t="s">
        <v>5802</v>
      </c>
      <c r="O1380" t="s">
        <v>25</v>
      </c>
      <c r="P1380" t="s">
        <v>290</v>
      </c>
      <c r="Q1380" t="s">
        <v>26</v>
      </c>
      <c r="R1380" s="710">
        <f>IF(Table__192.168.1.150_Daily_Delinquency_With_Sectors[[#This Row],[Days in Arrears]] &gt; 0, Table__192.168.1.150_Daily_Delinquency_With_Sectors[[#This Row],[Outstanding Balance]],0)</f>
        <v>0</v>
      </c>
      <c r="S1380" s="105">
        <f>IF(Table__192.168.1.150_Daily_Delinquency_With_Sectors[[#This Row],[Days in Arrears]] &gt; 30, Table__192.168.1.150_Daily_Delinquency_With_Sectors[[#This Row],[Outstanding Balance]],0)</f>
        <v>0</v>
      </c>
      <c r="T1380" s="105">
        <f>IF(Table__192.168.1.150_Daily_Delinquency_With_Sectors[[#This Row],[Days in Arrears]] &gt; 90, Table__192.168.1.150_Daily_Delinquency_With_Sectors[[#This Row],[Outstanding Balance]],0)</f>
        <v>0</v>
      </c>
      <c r="U1380" s="109">
        <f>IF(Table__192.168.1.150_Daily_Delinquency_With_Sectors[[#This Row],[Days in Arrears]] &gt;= 1,1,0)</f>
        <v>0</v>
      </c>
      <c r="V1380" s="109">
        <f>IF(Table__192.168.1.150_Daily_Delinquency_With_Sectors[[#This Row],[Days in Arrears]] &gt; 30,1,0)</f>
        <v>0</v>
      </c>
      <c r="W1380" s="109">
        <f>IF(Table__192.168.1.150_Daily_Delinquency_With_Sectors[[#This Row],[Days in Arrears]] &gt; 90,1,0)</f>
        <v>0</v>
      </c>
    </row>
    <row r="1381" spans="1:23" x14ac:dyDescent="0.25">
      <c r="A1381" t="s">
        <v>5817</v>
      </c>
      <c r="B1381" t="s">
        <v>1282</v>
      </c>
      <c r="C1381">
        <v>-19</v>
      </c>
      <c r="D1381" s="105">
        <v>875298.53</v>
      </c>
      <c r="E1381" t="s">
        <v>4919</v>
      </c>
      <c r="F1381" s="105">
        <v>13129.48</v>
      </c>
      <c r="G1381" s="105">
        <v>1018208.81</v>
      </c>
      <c r="H1381" s="711">
        <v>43021.548038657405</v>
      </c>
      <c r="I1381" s="711">
        <v>43233</v>
      </c>
      <c r="J1381" t="s">
        <v>5818</v>
      </c>
      <c r="K1381" t="s">
        <v>1280</v>
      </c>
      <c r="L1381" t="s">
        <v>5819</v>
      </c>
      <c r="M1381">
        <v>201385</v>
      </c>
      <c r="N1381" t="s">
        <v>5806</v>
      </c>
      <c r="O1381" t="s">
        <v>25</v>
      </c>
      <c r="P1381" t="s">
        <v>88</v>
      </c>
      <c r="Q1381" t="s">
        <v>285</v>
      </c>
      <c r="R1381" s="710">
        <f>IF(Table__192.168.1.150_Daily_Delinquency_With_Sectors[[#This Row],[Days in Arrears]] &gt; 0, Table__192.168.1.150_Daily_Delinquency_With_Sectors[[#This Row],[Outstanding Balance]],0)</f>
        <v>0</v>
      </c>
      <c r="S1381" s="105">
        <f>IF(Table__192.168.1.150_Daily_Delinquency_With_Sectors[[#This Row],[Days in Arrears]] &gt; 30, Table__192.168.1.150_Daily_Delinquency_With_Sectors[[#This Row],[Outstanding Balance]],0)</f>
        <v>0</v>
      </c>
      <c r="T1381" s="105">
        <f>IF(Table__192.168.1.150_Daily_Delinquency_With_Sectors[[#This Row],[Days in Arrears]] &gt; 90, Table__192.168.1.150_Daily_Delinquency_With_Sectors[[#This Row],[Outstanding Balance]],0)</f>
        <v>0</v>
      </c>
      <c r="U1381" s="109">
        <f>IF(Table__192.168.1.150_Daily_Delinquency_With_Sectors[[#This Row],[Days in Arrears]] &gt;= 1,1,0)</f>
        <v>0</v>
      </c>
      <c r="V1381" s="109">
        <f>IF(Table__192.168.1.150_Daily_Delinquency_With_Sectors[[#This Row],[Days in Arrears]] &gt; 30,1,0)</f>
        <v>0</v>
      </c>
      <c r="W1381" s="109">
        <f>IF(Table__192.168.1.150_Daily_Delinquency_With_Sectors[[#This Row],[Days in Arrears]] &gt; 90,1,0)</f>
        <v>0</v>
      </c>
    </row>
    <row r="1382" spans="1:23" x14ac:dyDescent="0.25">
      <c r="A1382" t="s">
        <v>4030</v>
      </c>
      <c r="B1382" t="s">
        <v>1282</v>
      </c>
      <c r="C1382">
        <v>-19</v>
      </c>
      <c r="D1382" s="105">
        <v>9334478.2699999996</v>
      </c>
      <c r="E1382" t="s">
        <v>1447</v>
      </c>
      <c r="F1382" s="105">
        <v>124459.71</v>
      </c>
      <c r="G1382" s="105">
        <v>11720738.99</v>
      </c>
      <c r="H1382" s="711">
        <v>43021.683898877316</v>
      </c>
      <c r="I1382" s="711">
        <v>43386</v>
      </c>
      <c r="J1382" t="s">
        <v>4031</v>
      </c>
      <c r="K1382" t="s">
        <v>1280</v>
      </c>
      <c r="L1382" t="s">
        <v>1280</v>
      </c>
      <c r="M1382">
        <v>201386</v>
      </c>
      <c r="N1382" t="s">
        <v>4011</v>
      </c>
      <c r="O1382" t="s">
        <v>25</v>
      </c>
      <c r="P1382" t="s">
        <v>88</v>
      </c>
      <c r="Q1382" t="s">
        <v>285</v>
      </c>
      <c r="R1382" s="710">
        <f>IF(Table__192.168.1.150_Daily_Delinquency_With_Sectors[[#This Row],[Days in Arrears]] &gt; 0, Table__192.168.1.150_Daily_Delinquency_With_Sectors[[#This Row],[Outstanding Balance]],0)</f>
        <v>0</v>
      </c>
      <c r="S1382" s="105">
        <f>IF(Table__192.168.1.150_Daily_Delinquency_With_Sectors[[#This Row],[Days in Arrears]] &gt; 30, Table__192.168.1.150_Daily_Delinquency_With_Sectors[[#This Row],[Outstanding Balance]],0)</f>
        <v>0</v>
      </c>
      <c r="T1382" s="105">
        <f>IF(Table__192.168.1.150_Daily_Delinquency_With_Sectors[[#This Row],[Days in Arrears]] &gt; 90, Table__192.168.1.150_Daily_Delinquency_With_Sectors[[#This Row],[Outstanding Balance]],0)</f>
        <v>0</v>
      </c>
      <c r="U1382" s="109">
        <f>IF(Table__192.168.1.150_Daily_Delinquency_With_Sectors[[#This Row],[Days in Arrears]] &gt;= 1,1,0)</f>
        <v>0</v>
      </c>
      <c r="V1382" s="109">
        <f>IF(Table__192.168.1.150_Daily_Delinquency_With_Sectors[[#This Row],[Days in Arrears]] &gt; 30,1,0)</f>
        <v>0</v>
      </c>
      <c r="W1382" s="109">
        <f>IF(Table__192.168.1.150_Daily_Delinquency_With_Sectors[[#This Row],[Days in Arrears]] &gt; 90,1,0)</f>
        <v>0</v>
      </c>
    </row>
    <row r="1383" spans="1:23" x14ac:dyDescent="0.25">
      <c r="A1383" t="s">
        <v>3474</v>
      </c>
      <c r="B1383" t="s">
        <v>1279</v>
      </c>
      <c r="C1383">
        <v>-19</v>
      </c>
      <c r="D1383" s="105">
        <v>1698476.19</v>
      </c>
      <c r="E1383" t="s">
        <v>963</v>
      </c>
      <c r="F1383" s="105">
        <v>22646.35</v>
      </c>
      <c r="G1383" s="105">
        <v>1907619.02</v>
      </c>
      <c r="H1383" s="711">
        <v>43021.726803240737</v>
      </c>
      <c r="I1383" s="711">
        <v>43203</v>
      </c>
      <c r="J1383" t="s">
        <v>3475</v>
      </c>
      <c r="K1383" t="s">
        <v>1280</v>
      </c>
      <c r="L1383" t="s">
        <v>3476</v>
      </c>
      <c r="M1383">
        <v>201387</v>
      </c>
      <c r="N1383" t="s">
        <v>3466</v>
      </c>
      <c r="O1383" t="s">
        <v>44</v>
      </c>
      <c r="P1383" t="s">
        <v>75</v>
      </c>
      <c r="Q1383" t="s">
        <v>1442</v>
      </c>
      <c r="R1383" s="710">
        <f>IF(Table__192.168.1.150_Daily_Delinquency_With_Sectors[[#This Row],[Days in Arrears]] &gt; 0, Table__192.168.1.150_Daily_Delinquency_With_Sectors[[#This Row],[Outstanding Balance]],0)</f>
        <v>0</v>
      </c>
      <c r="S1383" s="105">
        <f>IF(Table__192.168.1.150_Daily_Delinquency_With_Sectors[[#This Row],[Days in Arrears]] &gt; 30, Table__192.168.1.150_Daily_Delinquency_With_Sectors[[#This Row],[Outstanding Balance]],0)</f>
        <v>0</v>
      </c>
      <c r="T1383" s="105">
        <f>IF(Table__192.168.1.150_Daily_Delinquency_With_Sectors[[#This Row],[Days in Arrears]] &gt; 90, Table__192.168.1.150_Daily_Delinquency_With_Sectors[[#This Row],[Outstanding Balance]],0)</f>
        <v>0</v>
      </c>
      <c r="U1383" s="109">
        <f>IF(Table__192.168.1.150_Daily_Delinquency_With_Sectors[[#This Row],[Days in Arrears]] &gt;= 1,1,0)</f>
        <v>0</v>
      </c>
      <c r="V1383" s="109">
        <f>IF(Table__192.168.1.150_Daily_Delinquency_With_Sectors[[#This Row],[Days in Arrears]] &gt; 30,1,0)</f>
        <v>0</v>
      </c>
      <c r="W1383" s="109">
        <f>IF(Table__192.168.1.150_Daily_Delinquency_With_Sectors[[#This Row],[Days in Arrears]] &gt; 90,1,0)</f>
        <v>0</v>
      </c>
    </row>
    <row r="1384" spans="1:23" x14ac:dyDescent="0.25">
      <c r="A1384" t="s">
        <v>5825</v>
      </c>
      <c r="B1384" t="s">
        <v>1281</v>
      </c>
      <c r="C1384">
        <v>2</v>
      </c>
      <c r="D1384" s="105">
        <v>19564351.399999999</v>
      </c>
      <c r="E1384" t="s">
        <v>4919</v>
      </c>
      <c r="F1384" s="105">
        <v>85406.24</v>
      </c>
      <c r="G1384" s="105">
        <v>25863749.73</v>
      </c>
      <c r="H1384" s="711">
        <v>43024.580717048608</v>
      </c>
      <c r="I1384" s="711">
        <v>43487</v>
      </c>
      <c r="J1384" t="s">
        <v>5826</v>
      </c>
      <c r="K1384" t="s">
        <v>1280</v>
      </c>
      <c r="L1384" t="s">
        <v>5827</v>
      </c>
      <c r="M1384">
        <v>201388</v>
      </c>
      <c r="N1384" t="s">
        <v>5821</v>
      </c>
      <c r="O1384" t="s">
        <v>25</v>
      </c>
      <c r="P1384" t="s">
        <v>88</v>
      </c>
      <c r="Q1384" t="s">
        <v>285</v>
      </c>
      <c r="R1384" s="710">
        <f>IF(Table__192.168.1.150_Daily_Delinquency_With_Sectors[[#This Row],[Days in Arrears]] &gt; 0, Table__192.168.1.150_Daily_Delinquency_With_Sectors[[#This Row],[Outstanding Balance]],0)</f>
        <v>19564351.399999999</v>
      </c>
      <c r="S1384" s="105">
        <f>IF(Table__192.168.1.150_Daily_Delinquency_With_Sectors[[#This Row],[Days in Arrears]] &gt; 30, Table__192.168.1.150_Daily_Delinquency_With_Sectors[[#This Row],[Outstanding Balance]],0)</f>
        <v>0</v>
      </c>
      <c r="T1384" s="105">
        <f>IF(Table__192.168.1.150_Daily_Delinquency_With_Sectors[[#This Row],[Days in Arrears]] &gt; 90, Table__192.168.1.150_Daily_Delinquency_With_Sectors[[#This Row],[Outstanding Balance]],0)</f>
        <v>0</v>
      </c>
      <c r="U1384" s="109">
        <f>IF(Table__192.168.1.150_Daily_Delinquency_With_Sectors[[#This Row],[Days in Arrears]] &gt;= 1,1,0)</f>
        <v>1</v>
      </c>
      <c r="V1384" s="109">
        <f>IF(Table__192.168.1.150_Daily_Delinquency_With_Sectors[[#This Row],[Days in Arrears]] &gt; 30,1,0)</f>
        <v>0</v>
      </c>
      <c r="W1384" s="109">
        <f>IF(Table__192.168.1.150_Daily_Delinquency_With_Sectors[[#This Row],[Days in Arrears]] &gt; 90,1,0)</f>
        <v>0</v>
      </c>
    </row>
    <row r="1385" spans="1:23" x14ac:dyDescent="0.25">
      <c r="A1385" t="s">
        <v>5828</v>
      </c>
      <c r="B1385" t="s">
        <v>1286</v>
      </c>
      <c r="C1385">
        <v>-27</v>
      </c>
      <c r="D1385" s="105">
        <v>1029856.2</v>
      </c>
      <c r="E1385" t="s">
        <v>284</v>
      </c>
      <c r="F1385" s="105">
        <v>1430.36</v>
      </c>
      <c r="G1385" s="105">
        <v>1084047.46</v>
      </c>
      <c r="H1385" s="711">
        <v>43024.703599652777</v>
      </c>
      <c r="I1385" s="711">
        <v>43180</v>
      </c>
      <c r="J1385" t="s">
        <v>5829</v>
      </c>
      <c r="K1385" t="s">
        <v>1280</v>
      </c>
      <c r="L1385" t="s">
        <v>1280</v>
      </c>
      <c r="M1385">
        <v>201389</v>
      </c>
      <c r="N1385" t="s">
        <v>5822</v>
      </c>
      <c r="O1385" t="s">
        <v>28</v>
      </c>
      <c r="P1385" t="s">
        <v>26</v>
      </c>
      <c r="Q1385" t="s">
        <v>26</v>
      </c>
      <c r="R1385" s="710">
        <f>IF(Table__192.168.1.150_Daily_Delinquency_With_Sectors[[#This Row],[Days in Arrears]] &gt; 0, Table__192.168.1.150_Daily_Delinquency_With_Sectors[[#This Row],[Outstanding Balance]],0)</f>
        <v>0</v>
      </c>
      <c r="S1385" s="105">
        <f>IF(Table__192.168.1.150_Daily_Delinquency_With_Sectors[[#This Row],[Days in Arrears]] &gt; 30, Table__192.168.1.150_Daily_Delinquency_With_Sectors[[#This Row],[Outstanding Balance]],0)</f>
        <v>0</v>
      </c>
      <c r="T1385" s="105">
        <f>IF(Table__192.168.1.150_Daily_Delinquency_With_Sectors[[#This Row],[Days in Arrears]] &gt; 90, Table__192.168.1.150_Daily_Delinquency_With_Sectors[[#This Row],[Outstanding Balance]],0)</f>
        <v>0</v>
      </c>
      <c r="U1385" s="109">
        <f>IF(Table__192.168.1.150_Daily_Delinquency_With_Sectors[[#This Row],[Days in Arrears]] &gt;= 1,1,0)</f>
        <v>0</v>
      </c>
      <c r="V1385" s="109">
        <f>IF(Table__192.168.1.150_Daily_Delinquency_With_Sectors[[#This Row],[Days in Arrears]] &gt; 30,1,0)</f>
        <v>0</v>
      </c>
      <c r="W1385" s="109">
        <f>IF(Table__192.168.1.150_Daily_Delinquency_With_Sectors[[#This Row],[Days in Arrears]] &gt; 90,1,0)</f>
        <v>0</v>
      </c>
    </row>
    <row r="1386" spans="1:23" x14ac:dyDescent="0.25">
      <c r="A1386" t="s">
        <v>5855</v>
      </c>
      <c r="B1386" t="s">
        <v>1281</v>
      </c>
      <c r="C1386">
        <v>-25</v>
      </c>
      <c r="D1386" s="105">
        <v>29232395.059999999</v>
      </c>
      <c r="E1386" t="s">
        <v>4683</v>
      </c>
      <c r="F1386" s="105">
        <v>155906.10999999999</v>
      </c>
      <c r="G1386" s="105">
        <v>45254913.619999997</v>
      </c>
      <c r="H1386" s="711">
        <v>43027.492221956018</v>
      </c>
      <c r="I1386" s="711">
        <v>43757</v>
      </c>
      <c r="J1386" t="s">
        <v>5856</v>
      </c>
      <c r="K1386" t="s">
        <v>1280</v>
      </c>
      <c r="L1386" t="s">
        <v>1280</v>
      </c>
      <c r="M1386">
        <v>201390</v>
      </c>
      <c r="N1386" t="s">
        <v>5848</v>
      </c>
      <c r="O1386" t="s">
        <v>25</v>
      </c>
      <c r="P1386" t="s">
        <v>88</v>
      </c>
      <c r="Q1386" t="s">
        <v>285</v>
      </c>
      <c r="R1386" s="710">
        <f>IF(Table__192.168.1.150_Daily_Delinquency_With_Sectors[[#This Row],[Days in Arrears]] &gt; 0, Table__192.168.1.150_Daily_Delinquency_With_Sectors[[#This Row],[Outstanding Balance]],0)</f>
        <v>0</v>
      </c>
      <c r="S1386" s="105">
        <f>IF(Table__192.168.1.150_Daily_Delinquency_With_Sectors[[#This Row],[Days in Arrears]] &gt; 30, Table__192.168.1.150_Daily_Delinquency_With_Sectors[[#This Row],[Outstanding Balance]],0)</f>
        <v>0</v>
      </c>
      <c r="T1386" s="105">
        <f>IF(Table__192.168.1.150_Daily_Delinquency_With_Sectors[[#This Row],[Days in Arrears]] &gt; 90, Table__192.168.1.150_Daily_Delinquency_With_Sectors[[#This Row],[Outstanding Balance]],0)</f>
        <v>0</v>
      </c>
      <c r="U1386" s="109">
        <f>IF(Table__192.168.1.150_Daily_Delinquency_With_Sectors[[#This Row],[Days in Arrears]] &gt;= 1,1,0)</f>
        <v>0</v>
      </c>
      <c r="V1386" s="109">
        <f>IF(Table__192.168.1.150_Daily_Delinquency_With_Sectors[[#This Row],[Days in Arrears]] &gt; 30,1,0)</f>
        <v>0</v>
      </c>
      <c r="W1386" s="109">
        <f>IF(Table__192.168.1.150_Daily_Delinquency_With_Sectors[[#This Row],[Days in Arrears]] &gt; 90,1,0)</f>
        <v>0</v>
      </c>
    </row>
    <row r="1387" spans="1:23" x14ac:dyDescent="0.25">
      <c r="A1387" t="s">
        <v>4639</v>
      </c>
      <c r="B1387" t="s">
        <v>1279</v>
      </c>
      <c r="C1387">
        <v>-23</v>
      </c>
      <c r="D1387" s="105">
        <v>1833418.11</v>
      </c>
      <c r="E1387" t="s">
        <v>1447</v>
      </c>
      <c r="F1387" s="105">
        <v>14667.34</v>
      </c>
      <c r="G1387" s="105">
        <v>2219237</v>
      </c>
      <c r="H1387" s="711">
        <v>43025.653137349538</v>
      </c>
      <c r="I1387" s="711">
        <v>43329</v>
      </c>
      <c r="J1387" t="s">
        <v>4640</v>
      </c>
      <c r="K1387" t="s">
        <v>1280</v>
      </c>
      <c r="L1387" t="s">
        <v>1280</v>
      </c>
      <c r="M1387">
        <v>201391</v>
      </c>
      <c r="N1387" t="s">
        <v>4630</v>
      </c>
      <c r="O1387" t="s">
        <v>25</v>
      </c>
      <c r="P1387" t="s">
        <v>88</v>
      </c>
      <c r="Q1387" t="s">
        <v>285</v>
      </c>
      <c r="R1387" s="710">
        <f>IF(Table__192.168.1.150_Daily_Delinquency_With_Sectors[[#This Row],[Days in Arrears]] &gt; 0, Table__192.168.1.150_Daily_Delinquency_With_Sectors[[#This Row],[Outstanding Balance]],0)</f>
        <v>0</v>
      </c>
      <c r="S1387" s="105">
        <f>IF(Table__192.168.1.150_Daily_Delinquency_With_Sectors[[#This Row],[Days in Arrears]] &gt; 30, Table__192.168.1.150_Daily_Delinquency_With_Sectors[[#This Row],[Outstanding Balance]],0)</f>
        <v>0</v>
      </c>
      <c r="T1387" s="105">
        <f>IF(Table__192.168.1.150_Daily_Delinquency_With_Sectors[[#This Row],[Days in Arrears]] &gt; 90, Table__192.168.1.150_Daily_Delinquency_With_Sectors[[#This Row],[Outstanding Balance]],0)</f>
        <v>0</v>
      </c>
      <c r="U1387" s="109">
        <f>IF(Table__192.168.1.150_Daily_Delinquency_With_Sectors[[#This Row],[Days in Arrears]] &gt;= 1,1,0)</f>
        <v>0</v>
      </c>
      <c r="V1387" s="109">
        <f>IF(Table__192.168.1.150_Daily_Delinquency_With_Sectors[[#This Row],[Days in Arrears]] &gt; 30,1,0)</f>
        <v>0</v>
      </c>
      <c r="W1387" s="109">
        <f>IF(Table__192.168.1.150_Daily_Delinquency_With_Sectors[[#This Row],[Days in Arrears]] &gt; 90,1,0)</f>
        <v>0</v>
      </c>
    </row>
    <row r="1388" spans="1:23" x14ac:dyDescent="0.25">
      <c r="A1388" t="s">
        <v>5839</v>
      </c>
      <c r="B1388" t="s">
        <v>1282</v>
      </c>
      <c r="C1388">
        <v>7</v>
      </c>
      <c r="D1388" s="105">
        <v>8462910.6300000008</v>
      </c>
      <c r="E1388" t="s">
        <v>5385</v>
      </c>
      <c r="F1388" s="105">
        <v>75762.039999999994</v>
      </c>
      <c r="G1388" s="105">
        <v>10901859</v>
      </c>
      <c r="H1388" s="711">
        <v>43025.641603854165</v>
      </c>
      <c r="I1388" s="711">
        <v>43390</v>
      </c>
      <c r="J1388" t="s">
        <v>5840</v>
      </c>
      <c r="K1388" t="s">
        <v>5841</v>
      </c>
      <c r="L1388" t="s">
        <v>1280</v>
      </c>
      <c r="M1388">
        <v>201392</v>
      </c>
      <c r="N1388" t="s">
        <v>5831</v>
      </c>
      <c r="O1388" t="s">
        <v>25</v>
      </c>
      <c r="P1388" t="s">
        <v>88</v>
      </c>
      <c r="Q1388" t="s">
        <v>285</v>
      </c>
      <c r="R1388" s="710">
        <f>IF(Table__192.168.1.150_Daily_Delinquency_With_Sectors[[#This Row],[Days in Arrears]] &gt; 0, Table__192.168.1.150_Daily_Delinquency_With_Sectors[[#This Row],[Outstanding Balance]],0)</f>
        <v>8462910.6300000008</v>
      </c>
      <c r="S1388" s="105">
        <f>IF(Table__192.168.1.150_Daily_Delinquency_With_Sectors[[#This Row],[Days in Arrears]] &gt; 30, Table__192.168.1.150_Daily_Delinquency_With_Sectors[[#This Row],[Outstanding Balance]],0)</f>
        <v>0</v>
      </c>
      <c r="T1388" s="105">
        <f>IF(Table__192.168.1.150_Daily_Delinquency_With_Sectors[[#This Row],[Days in Arrears]] &gt; 90, Table__192.168.1.150_Daily_Delinquency_With_Sectors[[#This Row],[Outstanding Balance]],0)</f>
        <v>0</v>
      </c>
      <c r="U1388" s="109">
        <f>IF(Table__192.168.1.150_Daily_Delinquency_With_Sectors[[#This Row],[Days in Arrears]] &gt;= 1,1,0)</f>
        <v>1</v>
      </c>
      <c r="V1388" s="109">
        <f>IF(Table__192.168.1.150_Daily_Delinquency_With_Sectors[[#This Row],[Days in Arrears]] &gt; 30,1,0)</f>
        <v>0</v>
      </c>
      <c r="W1388" s="109">
        <f>IF(Table__192.168.1.150_Daily_Delinquency_With_Sectors[[#This Row],[Days in Arrears]] &gt; 90,1,0)</f>
        <v>0</v>
      </c>
    </row>
    <row r="1389" spans="1:23" x14ac:dyDescent="0.25">
      <c r="A1389" t="s">
        <v>1547</v>
      </c>
      <c r="B1389" t="s">
        <v>1285</v>
      </c>
      <c r="C1389">
        <v>-27</v>
      </c>
      <c r="D1389" s="105">
        <v>18372668.670000002</v>
      </c>
      <c r="E1389" t="s">
        <v>284</v>
      </c>
      <c r="F1389" s="105">
        <v>22455.48</v>
      </c>
      <c r="G1389" s="105">
        <v>25055652.140000001</v>
      </c>
      <c r="H1389" s="711">
        <v>43025.633398993057</v>
      </c>
      <c r="I1389" s="711">
        <v>44125</v>
      </c>
      <c r="J1389" t="s">
        <v>1548</v>
      </c>
      <c r="K1389" t="s">
        <v>1280</v>
      </c>
      <c r="L1389" t="s">
        <v>1280</v>
      </c>
      <c r="M1389">
        <v>201393</v>
      </c>
      <c r="N1389" t="s">
        <v>5543</v>
      </c>
      <c r="O1389" t="s">
        <v>43</v>
      </c>
      <c r="P1389" t="s">
        <v>338</v>
      </c>
      <c r="Q1389" t="s">
        <v>339</v>
      </c>
      <c r="R1389" s="710">
        <f>IF(Table__192.168.1.150_Daily_Delinquency_With_Sectors[[#This Row],[Days in Arrears]] &gt; 0, Table__192.168.1.150_Daily_Delinquency_With_Sectors[[#This Row],[Outstanding Balance]],0)</f>
        <v>0</v>
      </c>
      <c r="S1389" s="105">
        <f>IF(Table__192.168.1.150_Daily_Delinquency_With_Sectors[[#This Row],[Days in Arrears]] &gt; 30, Table__192.168.1.150_Daily_Delinquency_With_Sectors[[#This Row],[Outstanding Balance]],0)</f>
        <v>0</v>
      </c>
      <c r="T1389" s="105">
        <f>IF(Table__192.168.1.150_Daily_Delinquency_With_Sectors[[#This Row],[Days in Arrears]] &gt; 90, Table__192.168.1.150_Daily_Delinquency_With_Sectors[[#This Row],[Outstanding Balance]],0)</f>
        <v>0</v>
      </c>
      <c r="U1389" s="109">
        <f>IF(Table__192.168.1.150_Daily_Delinquency_With_Sectors[[#This Row],[Days in Arrears]] &gt;= 1,1,0)</f>
        <v>0</v>
      </c>
      <c r="V1389" s="109">
        <f>IF(Table__192.168.1.150_Daily_Delinquency_With_Sectors[[#This Row],[Days in Arrears]] &gt; 30,1,0)</f>
        <v>0</v>
      </c>
      <c r="W1389" s="109">
        <f>IF(Table__192.168.1.150_Daily_Delinquency_With_Sectors[[#This Row],[Days in Arrears]] &gt; 90,1,0)</f>
        <v>0</v>
      </c>
    </row>
    <row r="1390" spans="1:23" x14ac:dyDescent="0.25">
      <c r="A1390" t="s">
        <v>4734</v>
      </c>
      <c r="B1390" t="s">
        <v>1281</v>
      </c>
      <c r="C1390">
        <v>-24</v>
      </c>
      <c r="D1390" s="105">
        <v>26082449.420000002</v>
      </c>
      <c r="E1390" t="s">
        <v>1467</v>
      </c>
      <c r="F1390" s="105">
        <v>152147.62</v>
      </c>
      <c r="G1390" s="105">
        <v>31873056.379999999</v>
      </c>
      <c r="H1390" s="711">
        <v>43026.664325578706</v>
      </c>
      <c r="I1390" s="711">
        <v>43391</v>
      </c>
      <c r="J1390" t="s">
        <v>4735</v>
      </c>
      <c r="K1390" t="s">
        <v>1280</v>
      </c>
      <c r="L1390" t="s">
        <v>4736</v>
      </c>
      <c r="M1390">
        <v>201394</v>
      </c>
      <c r="N1390" t="s">
        <v>4731</v>
      </c>
      <c r="O1390" t="s">
        <v>35</v>
      </c>
      <c r="P1390" t="s">
        <v>121</v>
      </c>
      <c r="Q1390" t="s">
        <v>26</v>
      </c>
      <c r="R1390" s="710">
        <f>IF(Table__192.168.1.150_Daily_Delinquency_With_Sectors[[#This Row],[Days in Arrears]] &gt; 0, Table__192.168.1.150_Daily_Delinquency_With_Sectors[[#This Row],[Outstanding Balance]],0)</f>
        <v>0</v>
      </c>
      <c r="S1390" s="105">
        <f>IF(Table__192.168.1.150_Daily_Delinquency_With_Sectors[[#This Row],[Days in Arrears]] &gt; 30, Table__192.168.1.150_Daily_Delinquency_With_Sectors[[#This Row],[Outstanding Balance]],0)</f>
        <v>0</v>
      </c>
      <c r="T1390" s="105">
        <f>IF(Table__192.168.1.150_Daily_Delinquency_With_Sectors[[#This Row],[Days in Arrears]] &gt; 90, Table__192.168.1.150_Daily_Delinquency_With_Sectors[[#This Row],[Outstanding Balance]],0)</f>
        <v>0</v>
      </c>
      <c r="U1390" s="109">
        <f>IF(Table__192.168.1.150_Daily_Delinquency_With_Sectors[[#This Row],[Days in Arrears]] &gt;= 1,1,0)</f>
        <v>0</v>
      </c>
      <c r="V1390" s="109">
        <f>IF(Table__192.168.1.150_Daily_Delinquency_With_Sectors[[#This Row],[Days in Arrears]] &gt; 30,1,0)</f>
        <v>0</v>
      </c>
      <c r="W1390" s="109">
        <f>IF(Table__192.168.1.150_Daily_Delinquency_With_Sectors[[#This Row],[Days in Arrears]] &gt; 90,1,0)</f>
        <v>0</v>
      </c>
    </row>
    <row r="1391" spans="1:23" x14ac:dyDescent="0.25">
      <c r="A1391" t="s">
        <v>4068</v>
      </c>
      <c r="B1391" t="s">
        <v>1282</v>
      </c>
      <c r="C1391">
        <v>-25</v>
      </c>
      <c r="D1391" s="105">
        <v>5600686.96</v>
      </c>
      <c r="E1391" t="s">
        <v>1039</v>
      </c>
      <c r="F1391" s="105">
        <v>29870.33</v>
      </c>
      <c r="G1391" s="105">
        <v>7032443.3799999999</v>
      </c>
      <c r="H1391" s="711">
        <v>43027.532977083334</v>
      </c>
      <c r="I1391" s="711">
        <v>43392</v>
      </c>
      <c r="J1391" t="s">
        <v>4069</v>
      </c>
      <c r="K1391" t="s">
        <v>1280</v>
      </c>
      <c r="L1391" t="s">
        <v>1280</v>
      </c>
      <c r="M1391">
        <v>201395</v>
      </c>
      <c r="N1391" t="s">
        <v>4067</v>
      </c>
      <c r="O1391" t="s">
        <v>36</v>
      </c>
      <c r="P1391" t="s">
        <v>97</v>
      </c>
      <c r="Q1391" t="s">
        <v>98</v>
      </c>
      <c r="R1391" s="710">
        <f>IF(Table__192.168.1.150_Daily_Delinquency_With_Sectors[[#This Row],[Days in Arrears]] &gt; 0, Table__192.168.1.150_Daily_Delinquency_With_Sectors[[#This Row],[Outstanding Balance]],0)</f>
        <v>0</v>
      </c>
      <c r="S1391" s="105">
        <f>IF(Table__192.168.1.150_Daily_Delinquency_With_Sectors[[#This Row],[Days in Arrears]] &gt; 30, Table__192.168.1.150_Daily_Delinquency_With_Sectors[[#This Row],[Outstanding Balance]],0)</f>
        <v>0</v>
      </c>
      <c r="T1391" s="105">
        <f>IF(Table__192.168.1.150_Daily_Delinquency_With_Sectors[[#This Row],[Days in Arrears]] &gt; 90, Table__192.168.1.150_Daily_Delinquency_With_Sectors[[#This Row],[Outstanding Balance]],0)</f>
        <v>0</v>
      </c>
      <c r="U1391" s="109">
        <f>IF(Table__192.168.1.150_Daily_Delinquency_With_Sectors[[#This Row],[Days in Arrears]] &gt;= 1,1,0)</f>
        <v>0</v>
      </c>
      <c r="V1391" s="109">
        <f>IF(Table__192.168.1.150_Daily_Delinquency_With_Sectors[[#This Row],[Days in Arrears]] &gt; 30,1,0)</f>
        <v>0</v>
      </c>
      <c r="W1391" s="109">
        <f>IF(Table__192.168.1.150_Daily_Delinquency_With_Sectors[[#This Row],[Days in Arrears]] &gt; 90,1,0)</f>
        <v>0</v>
      </c>
    </row>
    <row r="1392" spans="1:23" x14ac:dyDescent="0.25">
      <c r="A1392" t="s">
        <v>4317</v>
      </c>
      <c r="B1392" t="s">
        <v>1282</v>
      </c>
      <c r="C1392">
        <v>4</v>
      </c>
      <c r="D1392" s="105">
        <v>6000000</v>
      </c>
      <c r="E1392" t="s">
        <v>2538</v>
      </c>
      <c r="F1392" s="105">
        <v>252072.42</v>
      </c>
      <c r="G1392" s="105">
        <v>7120013.0099999998</v>
      </c>
      <c r="H1392" s="711">
        <v>43028.621682986108</v>
      </c>
      <c r="I1392" s="711">
        <v>43271</v>
      </c>
      <c r="J1392" t="s">
        <v>4318</v>
      </c>
      <c r="K1392" t="s">
        <v>1280</v>
      </c>
      <c r="L1392" t="s">
        <v>4319</v>
      </c>
      <c r="M1392">
        <v>201396</v>
      </c>
      <c r="N1392" t="s">
        <v>4309</v>
      </c>
      <c r="O1392" t="s">
        <v>25</v>
      </c>
      <c r="P1392" t="s">
        <v>88</v>
      </c>
      <c r="Q1392" t="s">
        <v>285</v>
      </c>
      <c r="R1392" s="710">
        <f>IF(Table__192.168.1.150_Daily_Delinquency_With_Sectors[[#This Row],[Days in Arrears]] &gt; 0, Table__192.168.1.150_Daily_Delinquency_With_Sectors[[#This Row],[Outstanding Balance]],0)</f>
        <v>6000000</v>
      </c>
      <c r="S1392" s="105">
        <f>IF(Table__192.168.1.150_Daily_Delinquency_With_Sectors[[#This Row],[Days in Arrears]] &gt; 30, Table__192.168.1.150_Daily_Delinquency_With_Sectors[[#This Row],[Outstanding Balance]],0)</f>
        <v>0</v>
      </c>
      <c r="T1392" s="105">
        <f>IF(Table__192.168.1.150_Daily_Delinquency_With_Sectors[[#This Row],[Days in Arrears]] &gt; 90, Table__192.168.1.150_Daily_Delinquency_With_Sectors[[#This Row],[Outstanding Balance]],0)</f>
        <v>0</v>
      </c>
      <c r="U1392" s="109">
        <f>IF(Table__192.168.1.150_Daily_Delinquency_With_Sectors[[#This Row],[Days in Arrears]] &gt;= 1,1,0)</f>
        <v>1</v>
      </c>
      <c r="V1392" s="109">
        <f>IF(Table__192.168.1.150_Daily_Delinquency_With_Sectors[[#This Row],[Days in Arrears]] &gt; 30,1,0)</f>
        <v>0</v>
      </c>
      <c r="W1392" s="109">
        <f>IF(Table__192.168.1.150_Daily_Delinquency_With_Sectors[[#This Row],[Days in Arrears]] &gt; 90,1,0)</f>
        <v>0</v>
      </c>
    </row>
    <row r="1393" spans="1:23" x14ac:dyDescent="0.25">
      <c r="A1393" t="s">
        <v>5857</v>
      </c>
      <c r="B1393" t="s">
        <v>1279</v>
      </c>
      <c r="C1393">
        <v>-25</v>
      </c>
      <c r="D1393" s="105">
        <v>4593105.8899999997</v>
      </c>
      <c r="E1393" t="s">
        <v>4683</v>
      </c>
      <c r="F1393" s="105">
        <v>27558.639999999999</v>
      </c>
      <c r="G1393" s="105">
        <v>5687047</v>
      </c>
      <c r="H1393" s="711">
        <v>43027.61984540509</v>
      </c>
      <c r="I1393" s="711">
        <v>43331</v>
      </c>
      <c r="J1393" t="s">
        <v>5858</v>
      </c>
      <c r="K1393" t="s">
        <v>1280</v>
      </c>
      <c r="L1393" t="s">
        <v>1280</v>
      </c>
      <c r="M1393">
        <v>201397</v>
      </c>
      <c r="N1393" t="s">
        <v>5846</v>
      </c>
      <c r="O1393" t="s">
        <v>25</v>
      </c>
      <c r="P1393" t="s">
        <v>88</v>
      </c>
      <c r="Q1393" t="s">
        <v>285</v>
      </c>
      <c r="R1393" s="710">
        <f>IF(Table__192.168.1.150_Daily_Delinquency_With_Sectors[[#This Row],[Days in Arrears]] &gt; 0, Table__192.168.1.150_Daily_Delinquency_With_Sectors[[#This Row],[Outstanding Balance]],0)</f>
        <v>0</v>
      </c>
      <c r="S1393" s="105">
        <f>IF(Table__192.168.1.150_Daily_Delinquency_With_Sectors[[#This Row],[Days in Arrears]] &gt; 30, Table__192.168.1.150_Daily_Delinquency_With_Sectors[[#This Row],[Outstanding Balance]],0)</f>
        <v>0</v>
      </c>
      <c r="T1393" s="105">
        <f>IF(Table__192.168.1.150_Daily_Delinquency_With_Sectors[[#This Row],[Days in Arrears]] &gt; 90, Table__192.168.1.150_Daily_Delinquency_With_Sectors[[#This Row],[Outstanding Balance]],0)</f>
        <v>0</v>
      </c>
      <c r="U1393" s="109">
        <f>IF(Table__192.168.1.150_Daily_Delinquency_With_Sectors[[#This Row],[Days in Arrears]] &gt;= 1,1,0)</f>
        <v>0</v>
      </c>
      <c r="V1393" s="109">
        <f>IF(Table__192.168.1.150_Daily_Delinquency_With_Sectors[[#This Row],[Days in Arrears]] &gt; 30,1,0)</f>
        <v>0</v>
      </c>
      <c r="W1393" s="109">
        <f>IF(Table__192.168.1.150_Daily_Delinquency_With_Sectors[[#This Row],[Days in Arrears]] &gt; 90,1,0)</f>
        <v>0</v>
      </c>
    </row>
    <row r="1394" spans="1:23" x14ac:dyDescent="0.25">
      <c r="A1394" t="s">
        <v>5859</v>
      </c>
      <c r="B1394" t="s">
        <v>1282</v>
      </c>
      <c r="C1394">
        <v>5</v>
      </c>
      <c r="D1394" s="105">
        <v>4999790.24</v>
      </c>
      <c r="E1394" t="s">
        <v>5386</v>
      </c>
      <c r="F1394" s="105">
        <v>26801.71</v>
      </c>
      <c r="G1394" s="105">
        <v>5839176.3600000003</v>
      </c>
      <c r="H1394" s="711">
        <v>43027.643940162037</v>
      </c>
      <c r="I1394" s="711">
        <v>43270</v>
      </c>
      <c r="J1394" t="s">
        <v>5860</v>
      </c>
      <c r="K1394" t="s">
        <v>5861</v>
      </c>
      <c r="L1394" t="s">
        <v>1280</v>
      </c>
      <c r="M1394">
        <v>201398</v>
      </c>
      <c r="N1394" t="s">
        <v>5849</v>
      </c>
      <c r="O1394" t="s">
        <v>25</v>
      </c>
      <c r="P1394" t="s">
        <v>88</v>
      </c>
      <c r="Q1394" t="s">
        <v>285</v>
      </c>
      <c r="R1394" s="710">
        <f>IF(Table__192.168.1.150_Daily_Delinquency_With_Sectors[[#This Row],[Days in Arrears]] &gt; 0, Table__192.168.1.150_Daily_Delinquency_With_Sectors[[#This Row],[Outstanding Balance]],0)</f>
        <v>4999790.24</v>
      </c>
      <c r="S1394" s="105">
        <f>IF(Table__192.168.1.150_Daily_Delinquency_With_Sectors[[#This Row],[Days in Arrears]] &gt; 30, Table__192.168.1.150_Daily_Delinquency_With_Sectors[[#This Row],[Outstanding Balance]],0)</f>
        <v>0</v>
      </c>
      <c r="T1394" s="105">
        <f>IF(Table__192.168.1.150_Daily_Delinquency_With_Sectors[[#This Row],[Days in Arrears]] &gt; 90, Table__192.168.1.150_Daily_Delinquency_With_Sectors[[#This Row],[Outstanding Balance]],0)</f>
        <v>0</v>
      </c>
      <c r="U1394" s="109">
        <f>IF(Table__192.168.1.150_Daily_Delinquency_With_Sectors[[#This Row],[Days in Arrears]] &gt;= 1,1,0)</f>
        <v>1</v>
      </c>
      <c r="V1394" s="109">
        <f>IF(Table__192.168.1.150_Daily_Delinquency_With_Sectors[[#This Row],[Days in Arrears]] &gt; 30,1,0)</f>
        <v>0</v>
      </c>
      <c r="W1394" s="109">
        <f>IF(Table__192.168.1.150_Daily_Delinquency_With_Sectors[[#This Row],[Days in Arrears]] &gt; 90,1,0)</f>
        <v>0</v>
      </c>
    </row>
    <row r="1395" spans="1:23" x14ac:dyDescent="0.25">
      <c r="A1395" t="s">
        <v>2568</v>
      </c>
      <c r="B1395" t="s">
        <v>1282</v>
      </c>
      <c r="C1395">
        <v>-25</v>
      </c>
      <c r="D1395" s="105">
        <v>7467582.6200000001</v>
      </c>
      <c r="E1395" t="s">
        <v>2855</v>
      </c>
      <c r="F1395" s="105">
        <v>39827.11</v>
      </c>
      <c r="G1395" s="105">
        <v>9376591.1899999995</v>
      </c>
      <c r="H1395" s="711">
        <v>43027.636032291666</v>
      </c>
      <c r="I1395" s="711">
        <v>43392</v>
      </c>
      <c r="J1395" t="s">
        <v>2569</v>
      </c>
      <c r="K1395" t="s">
        <v>1280</v>
      </c>
      <c r="L1395" t="s">
        <v>1280</v>
      </c>
      <c r="M1395">
        <v>201399</v>
      </c>
      <c r="N1395" t="s">
        <v>2555</v>
      </c>
      <c r="O1395" t="s">
        <v>25</v>
      </c>
      <c r="P1395" t="s">
        <v>94</v>
      </c>
      <c r="Q1395" t="s">
        <v>95</v>
      </c>
      <c r="R1395" s="710">
        <f>IF(Table__192.168.1.150_Daily_Delinquency_With_Sectors[[#This Row],[Days in Arrears]] &gt; 0, Table__192.168.1.150_Daily_Delinquency_With_Sectors[[#This Row],[Outstanding Balance]],0)</f>
        <v>0</v>
      </c>
      <c r="S1395" s="105">
        <f>IF(Table__192.168.1.150_Daily_Delinquency_With_Sectors[[#This Row],[Days in Arrears]] &gt; 30, Table__192.168.1.150_Daily_Delinquency_With_Sectors[[#This Row],[Outstanding Balance]],0)</f>
        <v>0</v>
      </c>
      <c r="T1395" s="105">
        <f>IF(Table__192.168.1.150_Daily_Delinquency_With_Sectors[[#This Row],[Days in Arrears]] &gt; 90, Table__192.168.1.150_Daily_Delinquency_With_Sectors[[#This Row],[Outstanding Balance]],0)</f>
        <v>0</v>
      </c>
      <c r="U1395" s="109">
        <f>IF(Table__192.168.1.150_Daily_Delinquency_With_Sectors[[#This Row],[Days in Arrears]] &gt;= 1,1,0)</f>
        <v>0</v>
      </c>
      <c r="V1395" s="109">
        <f>IF(Table__192.168.1.150_Daily_Delinquency_With_Sectors[[#This Row],[Days in Arrears]] &gt; 30,1,0)</f>
        <v>0</v>
      </c>
      <c r="W1395" s="109">
        <f>IF(Table__192.168.1.150_Daily_Delinquency_With_Sectors[[#This Row],[Days in Arrears]] &gt; 90,1,0)</f>
        <v>0</v>
      </c>
    </row>
    <row r="1396" spans="1:23" x14ac:dyDescent="0.25">
      <c r="A1396" t="s">
        <v>5862</v>
      </c>
      <c r="B1396" t="s">
        <v>1282</v>
      </c>
      <c r="C1396">
        <v>-25</v>
      </c>
      <c r="D1396" s="105">
        <v>4593105.8899999997</v>
      </c>
      <c r="E1396" t="s">
        <v>491</v>
      </c>
      <c r="F1396" s="105">
        <v>27558.639999999999</v>
      </c>
      <c r="G1396" s="105">
        <v>5687047</v>
      </c>
      <c r="H1396" s="711">
        <v>43027.657996145834</v>
      </c>
      <c r="I1396" s="711">
        <v>43331</v>
      </c>
      <c r="J1396" t="s">
        <v>5863</v>
      </c>
      <c r="K1396" t="s">
        <v>1280</v>
      </c>
      <c r="L1396" t="s">
        <v>1280</v>
      </c>
      <c r="M1396">
        <v>201400</v>
      </c>
      <c r="N1396" t="s">
        <v>5850</v>
      </c>
      <c r="O1396" t="s">
        <v>25</v>
      </c>
      <c r="P1396" t="s">
        <v>88</v>
      </c>
      <c r="Q1396" t="s">
        <v>285</v>
      </c>
      <c r="R1396" s="710">
        <f>IF(Table__192.168.1.150_Daily_Delinquency_With_Sectors[[#This Row],[Days in Arrears]] &gt; 0, Table__192.168.1.150_Daily_Delinquency_With_Sectors[[#This Row],[Outstanding Balance]],0)</f>
        <v>0</v>
      </c>
      <c r="S1396" s="105">
        <f>IF(Table__192.168.1.150_Daily_Delinquency_With_Sectors[[#This Row],[Days in Arrears]] &gt; 30, Table__192.168.1.150_Daily_Delinquency_With_Sectors[[#This Row],[Outstanding Balance]],0)</f>
        <v>0</v>
      </c>
      <c r="T1396" s="105">
        <f>IF(Table__192.168.1.150_Daily_Delinquency_With_Sectors[[#This Row],[Days in Arrears]] &gt; 90, Table__192.168.1.150_Daily_Delinquency_With_Sectors[[#This Row],[Outstanding Balance]],0)</f>
        <v>0</v>
      </c>
      <c r="U1396" s="109">
        <f>IF(Table__192.168.1.150_Daily_Delinquency_With_Sectors[[#This Row],[Days in Arrears]] &gt;= 1,1,0)</f>
        <v>0</v>
      </c>
      <c r="V1396" s="109">
        <f>IF(Table__192.168.1.150_Daily_Delinquency_With_Sectors[[#This Row],[Days in Arrears]] &gt; 30,1,0)</f>
        <v>0</v>
      </c>
      <c r="W1396" s="109">
        <f>IF(Table__192.168.1.150_Daily_Delinquency_With_Sectors[[#This Row],[Days in Arrears]] &gt; 90,1,0)</f>
        <v>0</v>
      </c>
    </row>
    <row r="1397" spans="1:23" x14ac:dyDescent="0.25">
      <c r="A1397" t="s">
        <v>2579</v>
      </c>
      <c r="B1397" t="s">
        <v>1866</v>
      </c>
      <c r="C1397">
        <v>-25</v>
      </c>
      <c r="D1397" s="105">
        <v>7923403.3499999996</v>
      </c>
      <c r="E1397" t="s">
        <v>1667</v>
      </c>
      <c r="F1397" s="105">
        <v>38736.639999999999</v>
      </c>
      <c r="G1397" s="105">
        <v>9770896.5099999998</v>
      </c>
      <c r="H1397" s="711">
        <v>43027.699184224541</v>
      </c>
      <c r="I1397" s="711">
        <v>43392</v>
      </c>
      <c r="J1397" t="s">
        <v>2580</v>
      </c>
      <c r="K1397" t="s">
        <v>1280</v>
      </c>
      <c r="L1397" t="s">
        <v>1280</v>
      </c>
      <c r="M1397">
        <v>201401</v>
      </c>
      <c r="N1397" t="s">
        <v>2575</v>
      </c>
      <c r="O1397" t="s">
        <v>44</v>
      </c>
      <c r="P1397" t="s">
        <v>75</v>
      </c>
      <c r="Q1397" t="s">
        <v>1442</v>
      </c>
      <c r="R1397" s="710">
        <f>IF(Table__192.168.1.150_Daily_Delinquency_With_Sectors[[#This Row],[Days in Arrears]] &gt; 0, Table__192.168.1.150_Daily_Delinquency_With_Sectors[[#This Row],[Outstanding Balance]],0)</f>
        <v>0</v>
      </c>
      <c r="S1397" s="105">
        <f>IF(Table__192.168.1.150_Daily_Delinquency_With_Sectors[[#This Row],[Days in Arrears]] &gt; 30, Table__192.168.1.150_Daily_Delinquency_With_Sectors[[#This Row],[Outstanding Balance]],0)</f>
        <v>0</v>
      </c>
      <c r="T1397" s="105">
        <f>IF(Table__192.168.1.150_Daily_Delinquency_With_Sectors[[#This Row],[Days in Arrears]] &gt; 90, Table__192.168.1.150_Daily_Delinquency_With_Sectors[[#This Row],[Outstanding Balance]],0)</f>
        <v>0</v>
      </c>
      <c r="U1397" s="109">
        <f>IF(Table__192.168.1.150_Daily_Delinquency_With_Sectors[[#This Row],[Days in Arrears]] &gt;= 1,1,0)</f>
        <v>0</v>
      </c>
      <c r="V1397" s="109">
        <f>IF(Table__192.168.1.150_Daily_Delinquency_With_Sectors[[#This Row],[Days in Arrears]] &gt; 30,1,0)</f>
        <v>0</v>
      </c>
      <c r="W1397" s="109">
        <f>IF(Table__192.168.1.150_Daily_Delinquency_With_Sectors[[#This Row],[Days in Arrears]] &gt; 90,1,0)</f>
        <v>0</v>
      </c>
    </row>
    <row r="1398" spans="1:23" x14ac:dyDescent="0.25">
      <c r="A1398" t="s">
        <v>5864</v>
      </c>
      <c r="B1398" t="s">
        <v>1282</v>
      </c>
      <c r="C1398">
        <v>-25</v>
      </c>
      <c r="D1398" s="105">
        <v>7950337.4000000004</v>
      </c>
      <c r="E1398" t="s">
        <v>2557</v>
      </c>
      <c r="F1398" s="105">
        <v>47702.02</v>
      </c>
      <c r="G1398" s="105">
        <v>10253788.66</v>
      </c>
      <c r="H1398" s="711">
        <v>43027.709482905091</v>
      </c>
      <c r="I1398" s="711">
        <v>43392</v>
      </c>
      <c r="J1398" t="s">
        <v>5865</v>
      </c>
      <c r="K1398" t="s">
        <v>5866</v>
      </c>
      <c r="L1398" t="s">
        <v>1280</v>
      </c>
      <c r="M1398">
        <v>201402</v>
      </c>
      <c r="N1398" t="s">
        <v>5851</v>
      </c>
      <c r="O1398" t="s">
        <v>25</v>
      </c>
      <c r="P1398" t="s">
        <v>88</v>
      </c>
      <c r="Q1398" t="s">
        <v>285</v>
      </c>
      <c r="R1398" s="710">
        <f>IF(Table__192.168.1.150_Daily_Delinquency_With_Sectors[[#This Row],[Days in Arrears]] &gt; 0, Table__192.168.1.150_Daily_Delinquency_With_Sectors[[#This Row],[Outstanding Balance]],0)</f>
        <v>0</v>
      </c>
      <c r="S1398" s="105">
        <f>IF(Table__192.168.1.150_Daily_Delinquency_With_Sectors[[#This Row],[Days in Arrears]] &gt; 30, Table__192.168.1.150_Daily_Delinquency_With_Sectors[[#This Row],[Outstanding Balance]],0)</f>
        <v>0</v>
      </c>
      <c r="T1398" s="105">
        <f>IF(Table__192.168.1.150_Daily_Delinquency_With_Sectors[[#This Row],[Days in Arrears]] &gt; 90, Table__192.168.1.150_Daily_Delinquency_With_Sectors[[#This Row],[Outstanding Balance]],0)</f>
        <v>0</v>
      </c>
      <c r="U1398" s="109">
        <f>IF(Table__192.168.1.150_Daily_Delinquency_With_Sectors[[#This Row],[Days in Arrears]] &gt;= 1,1,0)</f>
        <v>0</v>
      </c>
      <c r="V1398" s="109">
        <f>IF(Table__192.168.1.150_Daily_Delinquency_With_Sectors[[#This Row],[Days in Arrears]] &gt; 30,1,0)</f>
        <v>0</v>
      </c>
      <c r="W1398" s="109">
        <f>IF(Table__192.168.1.150_Daily_Delinquency_With_Sectors[[#This Row],[Days in Arrears]] &gt; 90,1,0)</f>
        <v>0</v>
      </c>
    </row>
    <row r="1399" spans="1:23" x14ac:dyDescent="0.25">
      <c r="A1399" t="s">
        <v>5875</v>
      </c>
      <c r="B1399" t="s">
        <v>1282</v>
      </c>
      <c r="C1399">
        <v>4</v>
      </c>
      <c r="D1399" s="105">
        <v>6000000</v>
      </c>
      <c r="E1399" t="s">
        <v>491</v>
      </c>
      <c r="F1399" s="105">
        <v>286254.01</v>
      </c>
      <c r="G1399" s="105">
        <v>7886965.5899999999</v>
      </c>
      <c r="H1399" s="711">
        <v>43028.537628506943</v>
      </c>
      <c r="I1399" s="711">
        <v>43393</v>
      </c>
      <c r="J1399" t="s">
        <v>5876</v>
      </c>
      <c r="K1399" t="s">
        <v>1280</v>
      </c>
      <c r="L1399" t="s">
        <v>1280</v>
      </c>
      <c r="M1399">
        <v>201403</v>
      </c>
      <c r="N1399" t="s">
        <v>5870</v>
      </c>
      <c r="O1399" t="s">
        <v>25</v>
      </c>
      <c r="P1399" t="s">
        <v>88</v>
      </c>
      <c r="Q1399" t="s">
        <v>285</v>
      </c>
      <c r="R1399" s="710">
        <f>IF(Table__192.168.1.150_Daily_Delinquency_With_Sectors[[#This Row],[Days in Arrears]] &gt; 0, Table__192.168.1.150_Daily_Delinquency_With_Sectors[[#This Row],[Outstanding Balance]],0)</f>
        <v>6000000</v>
      </c>
      <c r="S1399" s="105">
        <f>IF(Table__192.168.1.150_Daily_Delinquency_With_Sectors[[#This Row],[Days in Arrears]] &gt; 30, Table__192.168.1.150_Daily_Delinquency_With_Sectors[[#This Row],[Outstanding Balance]],0)</f>
        <v>0</v>
      </c>
      <c r="T1399" s="105">
        <f>IF(Table__192.168.1.150_Daily_Delinquency_With_Sectors[[#This Row],[Days in Arrears]] &gt; 90, Table__192.168.1.150_Daily_Delinquency_With_Sectors[[#This Row],[Outstanding Balance]],0)</f>
        <v>0</v>
      </c>
      <c r="U1399" s="109">
        <f>IF(Table__192.168.1.150_Daily_Delinquency_With_Sectors[[#This Row],[Days in Arrears]] &gt;= 1,1,0)</f>
        <v>1</v>
      </c>
      <c r="V1399" s="109">
        <f>IF(Table__192.168.1.150_Daily_Delinquency_With_Sectors[[#This Row],[Days in Arrears]] &gt; 30,1,0)</f>
        <v>0</v>
      </c>
      <c r="W1399" s="109">
        <f>IF(Table__192.168.1.150_Daily_Delinquency_With_Sectors[[#This Row],[Days in Arrears]] &gt; 90,1,0)</f>
        <v>0</v>
      </c>
    </row>
    <row r="1400" spans="1:23" x14ac:dyDescent="0.25">
      <c r="A1400" t="s">
        <v>3732</v>
      </c>
      <c r="B1400" t="s">
        <v>1282</v>
      </c>
      <c r="C1400">
        <v>4</v>
      </c>
      <c r="D1400" s="105">
        <v>2341823.39</v>
      </c>
      <c r="E1400" t="s">
        <v>2538</v>
      </c>
      <c r="F1400" s="105">
        <v>9167.09</v>
      </c>
      <c r="G1400" s="105">
        <v>2824097.01</v>
      </c>
      <c r="H1400" s="711">
        <v>43028.558704976851</v>
      </c>
      <c r="I1400" s="711">
        <v>43332</v>
      </c>
      <c r="J1400" t="s">
        <v>3733</v>
      </c>
      <c r="K1400" t="s">
        <v>1280</v>
      </c>
      <c r="L1400" t="s">
        <v>3734</v>
      </c>
      <c r="M1400">
        <v>201404</v>
      </c>
      <c r="N1400" t="s">
        <v>3726</v>
      </c>
      <c r="O1400" t="s">
        <v>25</v>
      </c>
      <c r="P1400" t="s">
        <v>88</v>
      </c>
      <c r="Q1400" t="s">
        <v>285</v>
      </c>
      <c r="R1400" s="710">
        <f>IF(Table__192.168.1.150_Daily_Delinquency_With_Sectors[[#This Row],[Days in Arrears]] &gt; 0, Table__192.168.1.150_Daily_Delinquency_With_Sectors[[#This Row],[Outstanding Balance]],0)</f>
        <v>2341823.39</v>
      </c>
      <c r="S1400" s="105">
        <f>IF(Table__192.168.1.150_Daily_Delinquency_With_Sectors[[#This Row],[Days in Arrears]] &gt; 30, Table__192.168.1.150_Daily_Delinquency_With_Sectors[[#This Row],[Outstanding Balance]],0)</f>
        <v>0</v>
      </c>
      <c r="T1400" s="105">
        <f>IF(Table__192.168.1.150_Daily_Delinquency_With_Sectors[[#This Row],[Days in Arrears]] &gt; 90, Table__192.168.1.150_Daily_Delinquency_With_Sectors[[#This Row],[Outstanding Balance]],0)</f>
        <v>0</v>
      </c>
      <c r="U1400" s="109">
        <f>IF(Table__192.168.1.150_Daily_Delinquency_With_Sectors[[#This Row],[Days in Arrears]] &gt;= 1,1,0)</f>
        <v>1</v>
      </c>
      <c r="V1400" s="109">
        <f>IF(Table__192.168.1.150_Daily_Delinquency_With_Sectors[[#This Row],[Days in Arrears]] &gt; 30,1,0)</f>
        <v>0</v>
      </c>
      <c r="W1400" s="109">
        <f>IF(Table__192.168.1.150_Daily_Delinquency_With_Sectors[[#This Row],[Days in Arrears]] &gt; 90,1,0)</f>
        <v>0</v>
      </c>
    </row>
    <row r="1401" spans="1:23" x14ac:dyDescent="0.25">
      <c r="A1401" t="s">
        <v>5877</v>
      </c>
      <c r="B1401" t="s">
        <v>1279</v>
      </c>
      <c r="C1401">
        <v>-26</v>
      </c>
      <c r="D1401" s="105">
        <v>1469793.89</v>
      </c>
      <c r="E1401" t="s">
        <v>1667</v>
      </c>
      <c r="F1401" s="105">
        <v>6614.07</v>
      </c>
      <c r="G1401" s="105">
        <v>1819855.06</v>
      </c>
      <c r="H1401" s="711">
        <v>43028.582934918981</v>
      </c>
      <c r="I1401" s="711">
        <v>43332</v>
      </c>
      <c r="J1401" t="s">
        <v>5878</v>
      </c>
      <c r="K1401" t="s">
        <v>5879</v>
      </c>
      <c r="L1401" t="s">
        <v>1280</v>
      </c>
      <c r="M1401">
        <v>201405</v>
      </c>
      <c r="N1401" t="s">
        <v>5868</v>
      </c>
      <c r="O1401" t="s">
        <v>25</v>
      </c>
      <c r="P1401" t="s">
        <v>88</v>
      </c>
      <c r="Q1401" t="s">
        <v>285</v>
      </c>
      <c r="R1401" s="710">
        <f>IF(Table__192.168.1.150_Daily_Delinquency_With_Sectors[[#This Row],[Days in Arrears]] &gt; 0, Table__192.168.1.150_Daily_Delinquency_With_Sectors[[#This Row],[Outstanding Balance]],0)</f>
        <v>0</v>
      </c>
      <c r="S1401" s="105">
        <f>IF(Table__192.168.1.150_Daily_Delinquency_With_Sectors[[#This Row],[Days in Arrears]] &gt; 30, Table__192.168.1.150_Daily_Delinquency_With_Sectors[[#This Row],[Outstanding Balance]],0)</f>
        <v>0</v>
      </c>
      <c r="T1401" s="105">
        <f>IF(Table__192.168.1.150_Daily_Delinquency_With_Sectors[[#This Row],[Days in Arrears]] &gt; 90, Table__192.168.1.150_Daily_Delinquency_With_Sectors[[#This Row],[Outstanding Balance]],0)</f>
        <v>0</v>
      </c>
      <c r="U1401" s="109">
        <f>IF(Table__192.168.1.150_Daily_Delinquency_With_Sectors[[#This Row],[Days in Arrears]] &gt;= 1,1,0)</f>
        <v>0</v>
      </c>
      <c r="V1401" s="109">
        <f>IF(Table__192.168.1.150_Daily_Delinquency_With_Sectors[[#This Row],[Days in Arrears]] &gt; 30,1,0)</f>
        <v>0</v>
      </c>
      <c r="W1401" s="109">
        <f>IF(Table__192.168.1.150_Daily_Delinquency_With_Sectors[[#This Row],[Days in Arrears]] &gt; 90,1,0)</f>
        <v>0</v>
      </c>
    </row>
    <row r="1402" spans="1:23" x14ac:dyDescent="0.25">
      <c r="A1402" t="s">
        <v>5880</v>
      </c>
      <c r="B1402" t="s">
        <v>1282</v>
      </c>
      <c r="C1402">
        <v>-26</v>
      </c>
      <c r="D1402" s="105">
        <v>3573561.39</v>
      </c>
      <c r="E1402" t="s">
        <v>5384</v>
      </c>
      <c r="F1402" s="105">
        <v>16081.03</v>
      </c>
      <c r="G1402" s="105">
        <v>4245070.3</v>
      </c>
      <c r="H1402" s="711">
        <v>43028.653854745367</v>
      </c>
      <c r="I1402" s="711">
        <v>43271</v>
      </c>
      <c r="J1402" t="s">
        <v>5881</v>
      </c>
      <c r="K1402" t="s">
        <v>1280</v>
      </c>
      <c r="L1402" t="s">
        <v>1280</v>
      </c>
      <c r="M1402">
        <v>201406</v>
      </c>
      <c r="N1402" t="s">
        <v>5871</v>
      </c>
      <c r="O1402" t="s">
        <v>25</v>
      </c>
      <c r="P1402" t="s">
        <v>88</v>
      </c>
      <c r="Q1402" t="s">
        <v>285</v>
      </c>
      <c r="R1402" s="710">
        <f>IF(Table__192.168.1.150_Daily_Delinquency_With_Sectors[[#This Row],[Days in Arrears]] &gt; 0, Table__192.168.1.150_Daily_Delinquency_With_Sectors[[#This Row],[Outstanding Balance]],0)</f>
        <v>0</v>
      </c>
      <c r="S1402" s="105">
        <f>IF(Table__192.168.1.150_Daily_Delinquency_With_Sectors[[#This Row],[Days in Arrears]] &gt; 30, Table__192.168.1.150_Daily_Delinquency_With_Sectors[[#This Row],[Outstanding Balance]],0)</f>
        <v>0</v>
      </c>
      <c r="T1402" s="105">
        <f>IF(Table__192.168.1.150_Daily_Delinquency_With_Sectors[[#This Row],[Days in Arrears]] &gt; 90, Table__192.168.1.150_Daily_Delinquency_With_Sectors[[#This Row],[Outstanding Balance]],0)</f>
        <v>0</v>
      </c>
      <c r="U1402" s="109">
        <f>IF(Table__192.168.1.150_Daily_Delinquency_With_Sectors[[#This Row],[Days in Arrears]] &gt;= 1,1,0)</f>
        <v>0</v>
      </c>
      <c r="V1402" s="109">
        <f>IF(Table__192.168.1.150_Daily_Delinquency_With_Sectors[[#This Row],[Days in Arrears]] &gt; 30,1,0)</f>
        <v>0</v>
      </c>
      <c r="W1402" s="109">
        <f>IF(Table__192.168.1.150_Daily_Delinquency_With_Sectors[[#This Row],[Days in Arrears]] &gt; 90,1,0)</f>
        <v>0</v>
      </c>
    </row>
    <row r="1403" spans="1:23" x14ac:dyDescent="0.25">
      <c r="A1403" t="s">
        <v>5882</v>
      </c>
      <c r="B1403" t="s">
        <v>1866</v>
      </c>
      <c r="C1403">
        <v>-26</v>
      </c>
      <c r="D1403" s="105">
        <v>5504103.9900000002</v>
      </c>
      <c r="E1403" t="s">
        <v>1467</v>
      </c>
      <c r="F1403" s="105">
        <v>22933.77</v>
      </c>
      <c r="G1403" s="105">
        <v>6713064.1200000001</v>
      </c>
      <c r="H1403" s="711">
        <v>43028.603793946757</v>
      </c>
      <c r="I1403" s="711">
        <v>43332</v>
      </c>
      <c r="J1403" t="s">
        <v>5883</v>
      </c>
      <c r="K1403" t="s">
        <v>1280</v>
      </c>
      <c r="L1403" t="s">
        <v>1280</v>
      </c>
      <c r="M1403">
        <v>201407</v>
      </c>
      <c r="N1403" t="s">
        <v>5867</v>
      </c>
      <c r="O1403" t="s">
        <v>27</v>
      </c>
      <c r="P1403" t="s">
        <v>81</v>
      </c>
      <c r="Q1403" t="s">
        <v>1685</v>
      </c>
      <c r="R1403" s="710">
        <f>IF(Table__192.168.1.150_Daily_Delinquency_With_Sectors[[#This Row],[Days in Arrears]] &gt; 0, Table__192.168.1.150_Daily_Delinquency_With_Sectors[[#This Row],[Outstanding Balance]],0)</f>
        <v>0</v>
      </c>
      <c r="S1403" s="105">
        <f>IF(Table__192.168.1.150_Daily_Delinquency_With_Sectors[[#This Row],[Days in Arrears]] &gt; 30, Table__192.168.1.150_Daily_Delinquency_With_Sectors[[#This Row],[Outstanding Balance]],0)</f>
        <v>0</v>
      </c>
      <c r="T1403" s="105">
        <f>IF(Table__192.168.1.150_Daily_Delinquency_With_Sectors[[#This Row],[Days in Arrears]] &gt; 90, Table__192.168.1.150_Daily_Delinquency_With_Sectors[[#This Row],[Outstanding Balance]],0)</f>
        <v>0</v>
      </c>
      <c r="U1403" s="109">
        <f>IF(Table__192.168.1.150_Daily_Delinquency_With_Sectors[[#This Row],[Days in Arrears]] &gt;= 1,1,0)</f>
        <v>0</v>
      </c>
      <c r="V1403" s="109">
        <f>IF(Table__192.168.1.150_Daily_Delinquency_With_Sectors[[#This Row],[Days in Arrears]] &gt; 30,1,0)</f>
        <v>0</v>
      </c>
      <c r="W1403" s="109">
        <f>IF(Table__192.168.1.150_Daily_Delinquency_With_Sectors[[#This Row],[Days in Arrears]] &gt; 90,1,0)</f>
        <v>0</v>
      </c>
    </row>
    <row r="1404" spans="1:23" x14ac:dyDescent="0.25">
      <c r="A1404" t="s">
        <v>2275</v>
      </c>
      <c r="B1404" t="s">
        <v>1284</v>
      </c>
      <c r="C1404">
        <v>-26</v>
      </c>
      <c r="D1404" s="105">
        <v>19145826.079999998</v>
      </c>
      <c r="E1404" t="s">
        <v>1925</v>
      </c>
      <c r="F1404" s="105">
        <v>57437.48</v>
      </c>
      <c r="G1404" s="105">
        <v>24720956.579999998</v>
      </c>
      <c r="H1404" s="711">
        <v>43028.695226076386</v>
      </c>
      <c r="I1404" s="711">
        <v>43575</v>
      </c>
      <c r="J1404" t="s">
        <v>2276</v>
      </c>
      <c r="K1404" t="s">
        <v>1280</v>
      </c>
      <c r="L1404" t="s">
        <v>2277</v>
      </c>
      <c r="M1404">
        <v>201408</v>
      </c>
      <c r="N1404" t="s">
        <v>2270</v>
      </c>
      <c r="O1404" t="s">
        <v>44</v>
      </c>
      <c r="P1404" t="s">
        <v>75</v>
      </c>
      <c r="Q1404" t="s">
        <v>1442</v>
      </c>
      <c r="R1404" s="710">
        <f>IF(Table__192.168.1.150_Daily_Delinquency_With_Sectors[[#This Row],[Days in Arrears]] &gt; 0, Table__192.168.1.150_Daily_Delinquency_With_Sectors[[#This Row],[Outstanding Balance]],0)</f>
        <v>0</v>
      </c>
      <c r="S1404" s="105">
        <f>IF(Table__192.168.1.150_Daily_Delinquency_With_Sectors[[#This Row],[Days in Arrears]] &gt; 30, Table__192.168.1.150_Daily_Delinquency_With_Sectors[[#This Row],[Outstanding Balance]],0)</f>
        <v>0</v>
      </c>
      <c r="T1404" s="105">
        <f>IF(Table__192.168.1.150_Daily_Delinquency_With_Sectors[[#This Row],[Days in Arrears]] &gt; 90, Table__192.168.1.150_Daily_Delinquency_With_Sectors[[#This Row],[Outstanding Balance]],0)</f>
        <v>0</v>
      </c>
      <c r="U1404" s="109">
        <f>IF(Table__192.168.1.150_Daily_Delinquency_With_Sectors[[#This Row],[Days in Arrears]] &gt;= 1,1,0)</f>
        <v>0</v>
      </c>
      <c r="V1404" s="109">
        <f>IF(Table__192.168.1.150_Daily_Delinquency_With_Sectors[[#This Row],[Days in Arrears]] &gt; 30,1,0)</f>
        <v>0</v>
      </c>
      <c r="W1404" s="109">
        <f>IF(Table__192.168.1.150_Daily_Delinquency_With_Sectors[[#This Row],[Days in Arrears]] &gt; 90,1,0)</f>
        <v>0</v>
      </c>
    </row>
    <row r="1405" spans="1:23" x14ac:dyDescent="0.25">
      <c r="A1405" t="s">
        <v>5884</v>
      </c>
      <c r="B1405" t="s">
        <v>1282</v>
      </c>
      <c r="C1405">
        <v>-26</v>
      </c>
      <c r="D1405" s="105">
        <v>4593105.8899999997</v>
      </c>
      <c r="E1405" t="s">
        <v>4686</v>
      </c>
      <c r="F1405" s="105">
        <v>20668.98</v>
      </c>
      <c r="G1405" s="105">
        <v>5687047</v>
      </c>
      <c r="H1405" s="711">
        <v>43028.682979282406</v>
      </c>
      <c r="I1405" s="711">
        <v>43332</v>
      </c>
      <c r="J1405" t="s">
        <v>5885</v>
      </c>
      <c r="K1405" t="s">
        <v>1280</v>
      </c>
      <c r="L1405" t="s">
        <v>1280</v>
      </c>
      <c r="M1405">
        <v>201409</v>
      </c>
      <c r="N1405" t="s">
        <v>5872</v>
      </c>
      <c r="O1405" t="s">
        <v>44</v>
      </c>
      <c r="P1405" t="s">
        <v>75</v>
      </c>
      <c r="Q1405" t="s">
        <v>1442</v>
      </c>
      <c r="R1405" s="710">
        <f>IF(Table__192.168.1.150_Daily_Delinquency_With_Sectors[[#This Row],[Days in Arrears]] &gt; 0, Table__192.168.1.150_Daily_Delinquency_With_Sectors[[#This Row],[Outstanding Balance]],0)</f>
        <v>0</v>
      </c>
      <c r="S1405" s="105">
        <f>IF(Table__192.168.1.150_Daily_Delinquency_With_Sectors[[#This Row],[Days in Arrears]] &gt; 30, Table__192.168.1.150_Daily_Delinquency_With_Sectors[[#This Row],[Outstanding Balance]],0)</f>
        <v>0</v>
      </c>
      <c r="T1405" s="105">
        <f>IF(Table__192.168.1.150_Daily_Delinquency_With_Sectors[[#This Row],[Days in Arrears]] &gt; 90, Table__192.168.1.150_Daily_Delinquency_With_Sectors[[#This Row],[Outstanding Balance]],0)</f>
        <v>0</v>
      </c>
      <c r="U1405" s="109">
        <f>IF(Table__192.168.1.150_Daily_Delinquency_With_Sectors[[#This Row],[Days in Arrears]] &gt;= 1,1,0)</f>
        <v>0</v>
      </c>
      <c r="V1405" s="109">
        <f>IF(Table__192.168.1.150_Daily_Delinquency_With_Sectors[[#This Row],[Days in Arrears]] &gt; 30,1,0)</f>
        <v>0</v>
      </c>
      <c r="W1405" s="109">
        <f>IF(Table__192.168.1.150_Daily_Delinquency_With_Sectors[[#This Row],[Days in Arrears]] &gt; 90,1,0)</f>
        <v>0</v>
      </c>
    </row>
    <row r="1406" spans="1:23" x14ac:dyDescent="0.25">
      <c r="A1406" t="s">
        <v>4386</v>
      </c>
      <c r="B1406" t="s">
        <v>1284</v>
      </c>
      <c r="C1406">
        <v>-26</v>
      </c>
      <c r="D1406" s="105">
        <v>8516100.7799999993</v>
      </c>
      <c r="E1406" t="s">
        <v>2175</v>
      </c>
      <c r="F1406" s="105">
        <v>25548.3</v>
      </c>
      <c r="G1406" s="105">
        <v>10554589.16</v>
      </c>
      <c r="H1406" s="711">
        <v>43028.716241585651</v>
      </c>
      <c r="I1406" s="711">
        <v>43485</v>
      </c>
      <c r="J1406" t="s">
        <v>4387</v>
      </c>
      <c r="K1406" t="s">
        <v>1280</v>
      </c>
      <c r="L1406" t="s">
        <v>4388</v>
      </c>
      <c r="M1406">
        <v>201410</v>
      </c>
      <c r="N1406" t="s">
        <v>4372</v>
      </c>
      <c r="O1406" t="s">
        <v>25</v>
      </c>
      <c r="P1406" t="s">
        <v>88</v>
      </c>
      <c r="Q1406" t="s">
        <v>285</v>
      </c>
      <c r="R1406" s="710">
        <f>IF(Table__192.168.1.150_Daily_Delinquency_With_Sectors[[#This Row],[Days in Arrears]] &gt; 0, Table__192.168.1.150_Daily_Delinquency_With_Sectors[[#This Row],[Outstanding Balance]],0)</f>
        <v>0</v>
      </c>
      <c r="S1406" s="105">
        <f>IF(Table__192.168.1.150_Daily_Delinquency_With_Sectors[[#This Row],[Days in Arrears]] &gt; 30, Table__192.168.1.150_Daily_Delinquency_With_Sectors[[#This Row],[Outstanding Balance]],0)</f>
        <v>0</v>
      </c>
      <c r="T1406" s="105">
        <f>IF(Table__192.168.1.150_Daily_Delinquency_With_Sectors[[#This Row],[Days in Arrears]] &gt; 90, Table__192.168.1.150_Daily_Delinquency_With_Sectors[[#This Row],[Outstanding Balance]],0)</f>
        <v>0</v>
      </c>
      <c r="U1406" s="109">
        <f>IF(Table__192.168.1.150_Daily_Delinquency_With_Sectors[[#This Row],[Days in Arrears]] &gt;= 1,1,0)</f>
        <v>0</v>
      </c>
      <c r="V1406" s="109">
        <f>IF(Table__192.168.1.150_Daily_Delinquency_With_Sectors[[#This Row],[Days in Arrears]] &gt; 30,1,0)</f>
        <v>0</v>
      </c>
      <c r="W1406" s="109">
        <f>IF(Table__192.168.1.150_Daily_Delinquency_With_Sectors[[#This Row],[Days in Arrears]] &gt; 90,1,0)</f>
        <v>0</v>
      </c>
    </row>
    <row r="1407" spans="1:23" x14ac:dyDescent="0.25">
      <c r="A1407" t="s">
        <v>5887</v>
      </c>
      <c r="B1407" t="s">
        <v>1279</v>
      </c>
      <c r="C1407">
        <v>-27</v>
      </c>
      <c r="D1407" s="105">
        <v>2806001.43</v>
      </c>
      <c r="E1407" t="s">
        <v>2034</v>
      </c>
      <c r="F1407" s="105">
        <v>8418</v>
      </c>
      <c r="G1407" s="105">
        <v>3618984.2</v>
      </c>
      <c r="H1407" s="711">
        <v>43029.559149537039</v>
      </c>
      <c r="I1407" s="711">
        <v>43394</v>
      </c>
      <c r="J1407" t="s">
        <v>5888</v>
      </c>
      <c r="K1407" t="s">
        <v>1280</v>
      </c>
      <c r="L1407" t="s">
        <v>1280</v>
      </c>
      <c r="M1407">
        <v>201411</v>
      </c>
      <c r="N1407" t="s">
        <v>5886</v>
      </c>
      <c r="O1407" t="s">
        <v>25</v>
      </c>
      <c r="P1407" t="s">
        <v>94</v>
      </c>
      <c r="Q1407" t="s">
        <v>95</v>
      </c>
      <c r="R1407" s="710">
        <f>IF(Table__192.168.1.150_Daily_Delinquency_With_Sectors[[#This Row],[Days in Arrears]] &gt; 0, Table__192.168.1.150_Daily_Delinquency_With_Sectors[[#This Row],[Outstanding Balance]],0)</f>
        <v>0</v>
      </c>
      <c r="S1407" s="105">
        <f>IF(Table__192.168.1.150_Daily_Delinquency_With_Sectors[[#This Row],[Days in Arrears]] &gt; 30, Table__192.168.1.150_Daily_Delinquency_With_Sectors[[#This Row],[Outstanding Balance]],0)</f>
        <v>0</v>
      </c>
      <c r="T1407" s="105">
        <f>IF(Table__192.168.1.150_Daily_Delinquency_With_Sectors[[#This Row],[Days in Arrears]] &gt; 90, Table__192.168.1.150_Daily_Delinquency_With_Sectors[[#This Row],[Outstanding Balance]],0)</f>
        <v>0</v>
      </c>
      <c r="U1407" s="109">
        <f>IF(Table__192.168.1.150_Daily_Delinquency_With_Sectors[[#This Row],[Days in Arrears]] &gt;= 1,1,0)</f>
        <v>0</v>
      </c>
      <c r="V1407" s="109">
        <f>IF(Table__192.168.1.150_Daily_Delinquency_With_Sectors[[#This Row],[Days in Arrears]] &gt; 30,1,0)</f>
        <v>0</v>
      </c>
      <c r="W1407" s="109">
        <f>IF(Table__192.168.1.150_Daily_Delinquency_With_Sectors[[#This Row],[Days in Arrears]] &gt; 90,1,0)</f>
        <v>0</v>
      </c>
    </row>
    <row r="1408" spans="1:23" x14ac:dyDescent="0.25">
      <c r="A1408" t="s">
        <v>5909</v>
      </c>
      <c r="B1408" t="s">
        <v>1282</v>
      </c>
      <c r="C1408">
        <v>-29</v>
      </c>
      <c r="D1408" s="105">
        <v>3215174.12</v>
      </c>
      <c r="E1408" t="s">
        <v>5384</v>
      </c>
      <c r="F1408" s="105">
        <v>157500</v>
      </c>
      <c r="G1408" s="105">
        <v>3980932.86</v>
      </c>
      <c r="H1408" s="711">
        <v>43031.60994328704</v>
      </c>
      <c r="I1408" s="711">
        <v>43335</v>
      </c>
      <c r="J1408" t="s">
        <v>5910</v>
      </c>
      <c r="K1408" t="s">
        <v>1280</v>
      </c>
      <c r="L1408" t="s">
        <v>1280</v>
      </c>
      <c r="M1408">
        <v>201412</v>
      </c>
      <c r="N1408" t="s">
        <v>5894</v>
      </c>
      <c r="O1408" t="s">
        <v>25</v>
      </c>
      <c r="P1408" t="s">
        <v>88</v>
      </c>
      <c r="Q1408" t="s">
        <v>285</v>
      </c>
      <c r="R1408" s="710">
        <f>IF(Table__192.168.1.150_Daily_Delinquency_With_Sectors[[#This Row],[Days in Arrears]] &gt; 0, Table__192.168.1.150_Daily_Delinquency_With_Sectors[[#This Row],[Outstanding Balance]],0)</f>
        <v>0</v>
      </c>
      <c r="S1408" s="105">
        <f>IF(Table__192.168.1.150_Daily_Delinquency_With_Sectors[[#This Row],[Days in Arrears]] &gt; 30, Table__192.168.1.150_Daily_Delinquency_With_Sectors[[#This Row],[Outstanding Balance]],0)</f>
        <v>0</v>
      </c>
      <c r="T1408" s="105">
        <f>IF(Table__192.168.1.150_Daily_Delinquency_With_Sectors[[#This Row],[Days in Arrears]] &gt; 90, Table__192.168.1.150_Daily_Delinquency_With_Sectors[[#This Row],[Outstanding Balance]],0)</f>
        <v>0</v>
      </c>
      <c r="U1408" s="109">
        <f>IF(Table__192.168.1.150_Daily_Delinquency_With_Sectors[[#This Row],[Days in Arrears]] &gt;= 1,1,0)</f>
        <v>0</v>
      </c>
      <c r="V1408" s="109">
        <f>IF(Table__192.168.1.150_Daily_Delinquency_With_Sectors[[#This Row],[Days in Arrears]] &gt; 30,1,0)</f>
        <v>0</v>
      </c>
      <c r="W1408" s="109">
        <f>IF(Table__192.168.1.150_Daily_Delinquency_With_Sectors[[#This Row],[Days in Arrears]] &gt; 90,1,0)</f>
        <v>0</v>
      </c>
    </row>
    <row r="1409" spans="1:23" x14ac:dyDescent="0.25">
      <c r="A1409" t="s">
        <v>5911</v>
      </c>
      <c r="B1409" t="s">
        <v>1281</v>
      </c>
      <c r="C1409">
        <v>-29</v>
      </c>
      <c r="D1409" s="105">
        <v>15868613.060000001</v>
      </c>
      <c r="E1409" t="s">
        <v>5410</v>
      </c>
      <c r="F1409" s="105">
        <v>680000</v>
      </c>
      <c r="G1409" s="105">
        <v>19925256.280000001</v>
      </c>
      <c r="H1409" s="711">
        <v>43031.470546099539</v>
      </c>
      <c r="I1409" s="711">
        <v>43396</v>
      </c>
      <c r="J1409" t="s">
        <v>5912</v>
      </c>
      <c r="K1409" t="s">
        <v>5913</v>
      </c>
      <c r="L1409" t="s">
        <v>1280</v>
      </c>
      <c r="M1409">
        <v>201413</v>
      </c>
      <c r="N1409" t="s">
        <v>5893</v>
      </c>
      <c r="O1409" t="s">
        <v>25</v>
      </c>
      <c r="P1409" t="s">
        <v>88</v>
      </c>
      <c r="Q1409" t="s">
        <v>285</v>
      </c>
      <c r="R1409" s="710">
        <f>IF(Table__192.168.1.150_Daily_Delinquency_With_Sectors[[#This Row],[Days in Arrears]] &gt; 0, Table__192.168.1.150_Daily_Delinquency_With_Sectors[[#This Row],[Outstanding Balance]],0)</f>
        <v>0</v>
      </c>
      <c r="S1409" s="105">
        <f>IF(Table__192.168.1.150_Daily_Delinquency_With_Sectors[[#This Row],[Days in Arrears]] &gt; 30, Table__192.168.1.150_Daily_Delinquency_With_Sectors[[#This Row],[Outstanding Balance]],0)</f>
        <v>0</v>
      </c>
      <c r="T1409" s="105">
        <f>IF(Table__192.168.1.150_Daily_Delinquency_With_Sectors[[#This Row],[Days in Arrears]] &gt; 90, Table__192.168.1.150_Daily_Delinquency_With_Sectors[[#This Row],[Outstanding Balance]],0)</f>
        <v>0</v>
      </c>
      <c r="U1409" s="109">
        <f>IF(Table__192.168.1.150_Daily_Delinquency_With_Sectors[[#This Row],[Days in Arrears]] &gt;= 1,1,0)</f>
        <v>0</v>
      </c>
      <c r="V1409" s="109">
        <f>IF(Table__192.168.1.150_Daily_Delinquency_With_Sectors[[#This Row],[Days in Arrears]] &gt; 30,1,0)</f>
        <v>0</v>
      </c>
      <c r="W1409" s="109">
        <f>IF(Table__192.168.1.150_Daily_Delinquency_With_Sectors[[#This Row],[Days in Arrears]] &gt; 90,1,0)</f>
        <v>0</v>
      </c>
    </row>
    <row r="1410" spans="1:23" x14ac:dyDescent="0.25">
      <c r="A1410" t="s">
        <v>4795</v>
      </c>
      <c r="B1410" t="s">
        <v>1281</v>
      </c>
      <c r="C1410">
        <v>-29</v>
      </c>
      <c r="D1410" s="105">
        <v>23725290.16</v>
      </c>
      <c r="E1410" t="s">
        <v>2861</v>
      </c>
      <c r="F1410" s="105">
        <v>980000</v>
      </c>
      <c r="G1410" s="105">
        <v>26273549.219999999</v>
      </c>
      <c r="H1410" s="711">
        <v>43031.617362581019</v>
      </c>
      <c r="I1410" s="711">
        <v>43213</v>
      </c>
      <c r="J1410" t="s">
        <v>4796</v>
      </c>
      <c r="K1410" t="s">
        <v>1280</v>
      </c>
      <c r="L1410" t="s">
        <v>1280</v>
      </c>
      <c r="M1410">
        <v>201415</v>
      </c>
      <c r="N1410" t="s">
        <v>4776</v>
      </c>
      <c r="O1410" t="s">
        <v>45</v>
      </c>
      <c r="P1410" t="s">
        <v>45</v>
      </c>
      <c r="Q1410" t="s">
        <v>89</v>
      </c>
      <c r="R1410" s="710">
        <f>IF(Table__192.168.1.150_Daily_Delinquency_With_Sectors[[#This Row],[Days in Arrears]] &gt; 0, Table__192.168.1.150_Daily_Delinquency_With_Sectors[[#This Row],[Outstanding Balance]],0)</f>
        <v>0</v>
      </c>
      <c r="S1410" s="105">
        <f>IF(Table__192.168.1.150_Daily_Delinquency_With_Sectors[[#This Row],[Days in Arrears]] &gt; 30, Table__192.168.1.150_Daily_Delinquency_With_Sectors[[#This Row],[Outstanding Balance]],0)</f>
        <v>0</v>
      </c>
      <c r="T1410" s="105">
        <f>IF(Table__192.168.1.150_Daily_Delinquency_With_Sectors[[#This Row],[Days in Arrears]] &gt; 90, Table__192.168.1.150_Daily_Delinquency_With_Sectors[[#This Row],[Outstanding Balance]],0)</f>
        <v>0</v>
      </c>
      <c r="U1410" s="109">
        <f>IF(Table__192.168.1.150_Daily_Delinquency_With_Sectors[[#This Row],[Days in Arrears]] &gt;= 1,1,0)</f>
        <v>0</v>
      </c>
      <c r="V1410" s="109">
        <f>IF(Table__192.168.1.150_Daily_Delinquency_With_Sectors[[#This Row],[Days in Arrears]] &gt; 30,1,0)</f>
        <v>0</v>
      </c>
      <c r="W1410" s="109">
        <f>IF(Table__192.168.1.150_Daily_Delinquency_With_Sectors[[#This Row],[Days in Arrears]] &gt; 90,1,0)</f>
        <v>0</v>
      </c>
    </row>
    <row r="1411" spans="1:23" x14ac:dyDescent="0.25">
      <c r="A1411" t="s">
        <v>5914</v>
      </c>
      <c r="B1411" t="s">
        <v>1284</v>
      </c>
      <c r="C1411">
        <v>-29</v>
      </c>
      <c r="D1411" s="105">
        <v>5585171.0999999996</v>
      </c>
      <c r="E1411" t="s">
        <v>2861</v>
      </c>
      <c r="F1411" s="105">
        <v>200000</v>
      </c>
      <c r="G1411" s="105">
        <v>6763117.8600000003</v>
      </c>
      <c r="H1411" s="711">
        <v>43031.723029629633</v>
      </c>
      <c r="I1411" s="711">
        <v>43396</v>
      </c>
      <c r="J1411" t="s">
        <v>5915</v>
      </c>
      <c r="K1411" t="s">
        <v>1280</v>
      </c>
      <c r="L1411" t="s">
        <v>1280</v>
      </c>
      <c r="M1411">
        <v>201416</v>
      </c>
      <c r="N1411" t="s">
        <v>5895</v>
      </c>
      <c r="O1411" t="s">
        <v>44</v>
      </c>
      <c r="P1411" t="s">
        <v>92</v>
      </c>
      <c r="Q1411" t="s">
        <v>92</v>
      </c>
      <c r="R1411" s="710">
        <f>IF(Table__192.168.1.150_Daily_Delinquency_With_Sectors[[#This Row],[Days in Arrears]] &gt; 0, Table__192.168.1.150_Daily_Delinquency_With_Sectors[[#This Row],[Outstanding Balance]],0)</f>
        <v>0</v>
      </c>
      <c r="S1411" s="105">
        <f>IF(Table__192.168.1.150_Daily_Delinquency_With_Sectors[[#This Row],[Days in Arrears]] &gt; 30, Table__192.168.1.150_Daily_Delinquency_With_Sectors[[#This Row],[Outstanding Balance]],0)</f>
        <v>0</v>
      </c>
      <c r="T1411" s="105">
        <f>IF(Table__192.168.1.150_Daily_Delinquency_With_Sectors[[#This Row],[Days in Arrears]] &gt; 90, Table__192.168.1.150_Daily_Delinquency_With_Sectors[[#This Row],[Outstanding Balance]],0)</f>
        <v>0</v>
      </c>
      <c r="U1411" s="109">
        <f>IF(Table__192.168.1.150_Daily_Delinquency_With_Sectors[[#This Row],[Days in Arrears]] &gt;= 1,1,0)</f>
        <v>0</v>
      </c>
      <c r="V1411" s="109">
        <f>IF(Table__192.168.1.150_Daily_Delinquency_With_Sectors[[#This Row],[Days in Arrears]] &gt; 30,1,0)</f>
        <v>0</v>
      </c>
      <c r="W1411" s="109">
        <f>IF(Table__192.168.1.150_Daily_Delinquency_With_Sectors[[#This Row],[Days in Arrears]] &gt; 90,1,0)</f>
        <v>0</v>
      </c>
    </row>
    <row r="1412" spans="1:23" x14ac:dyDescent="0.25">
      <c r="A1412" t="s">
        <v>5931</v>
      </c>
      <c r="B1412" t="s">
        <v>1279</v>
      </c>
      <c r="C1412">
        <v>0</v>
      </c>
      <c r="D1412" s="105">
        <v>2000000</v>
      </c>
      <c r="E1412" t="s">
        <v>1667</v>
      </c>
      <c r="F1412" s="105">
        <v>87000</v>
      </c>
      <c r="G1412" s="105">
        <v>252757.64</v>
      </c>
      <c r="H1412" s="711">
        <v>43032.744100543983</v>
      </c>
      <c r="I1412" s="711">
        <v>43336</v>
      </c>
      <c r="J1412" t="s">
        <v>5932</v>
      </c>
      <c r="K1412" t="s">
        <v>1280</v>
      </c>
      <c r="L1412" t="s">
        <v>1280</v>
      </c>
      <c r="M1412">
        <v>201418</v>
      </c>
      <c r="N1412" t="s">
        <v>5919</v>
      </c>
      <c r="O1412" t="s">
        <v>25</v>
      </c>
      <c r="P1412" t="s">
        <v>88</v>
      </c>
      <c r="Q1412" t="s">
        <v>285</v>
      </c>
      <c r="R1412" s="710">
        <f>IF(Table__192.168.1.150_Daily_Delinquency_With_Sectors[[#This Row],[Days in Arrears]] &gt; 0, Table__192.168.1.150_Daily_Delinquency_With_Sectors[[#This Row],[Outstanding Balance]],0)</f>
        <v>0</v>
      </c>
      <c r="S1412" s="105">
        <f>IF(Table__192.168.1.150_Daily_Delinquency_With_Sectors[[#This Row],[Days in Arrears]] &gt; 30, Table__192.168.1.150_Daily_Delinquency_With_Sectors[[#This Row],[Outstanding Balance]],0)</f>
        <v>0</v>
      </c>
      <c r="T1412" s="105">
        <f>IF(Table__192.168.1.150_Daily_Delinquency_With_Sectors[[#This Row],[Days in Arrears]] &gt; 90, Table__192.168.1.150_Daily_Delinquency_With_Sectors[[#This Row],[Outstanding Balance]],0)</f>
        <v>0</v>
      </c>
      <c r="U1412" s="109">
        <f>IF(Table__192.168.1.150_Daily_Delinquency_With_Sectors[[#This Row],[Days in Arrears]] &gt;= 1,1,0)</f>
        <v>0</v>
      </c>
      <c r="V1412" s="109">
        <f>IF(Table__192.168.1.150_Daily_Delinquency_With_Sectors[[#This Row],[Days in Arrears]] &gt; 30,1,0)</f>
        <v>0</v>
      </c>
      <c r="W1412" s="109">
        <f>IF(Table__192.168.1.150_Daily_Delinquency_With_Sectors[[#This Row],[Days in Arrears]] &gt; 90,1,0)</f>
        <v>0</v>
      </c>
    </row>
    <row r="1413" spans="1:23" x14ac:dyDescent="0.25">
      <c r="A1413" t="s">
        <v>5933</v>
      </c>
      <c r="B1413" t="s">
        <v>1279</v>
      </c>
      <c r="C1413">
        <v>0</v>
      </c>
      <c r="D1413" s="105">
        <v>4500000</v>
      </c>
      <c r="E1413" t="s">
        <v>5047</v>
      </c>
      <c r="F1413" s="105">
        <v>195750</v>
      </c>
      <c r="G1413" s="105">
        <v>568704.69999999995</v>
      </c>
      <c r="H1413" s="711">
        <v>43032.733813692132</v>
      </c>
      <c r="I1413" s="711">
        <v>43336</v>
      </c>
      <c r="J1413" t="s">
        <v>5934</v>
      </c>
      <c r="K1413" t="s">
        <v>5935</v>
      </c>
      <c r="L1413" t="s">
        <v>1280</v>
      </c>
      <c r="M1413">
        <v>201419</v>
      </c>
      <c r="N1413" t="s">
        <v>5920</v>
      </c>
      <c r="O1413" t="s">
        <v>25</v>
      </c>
      <c r="P1413" t="s">
        <v>88</v>
      </c>
      <c r="Q1413" t="s">
        <v>285</v>
      </c>
      <c r="R1413" s="710">
        <f>IF(Table__192.168.1.150_Daily_Delinquency_With_Sectors[[#This Row],[Days in Arrears]] &gt; 0, Table__192.168.1.150_Daily_Delinquency_With_Sectors[[#This Row],[Outstanding Balance]],0)</f>
        <v>0</v>
      </c>
      <c r="S1413" s="105">
        <f>IF(Table__192.168.1.150_Daily_Delinquency_With_Sectors[[#This Row],[Days in Arrears]] &gt; 30, Table__192.168.1.150_Daily_Delinquency_With_Sectors[[#This Row],[Outstanding Balance]],0)</f>
        <v>0</v>
      </c>
      <c r="T1413" s="105">
        <f>IF(Table__192.168.1.150_Daily_Delinquency_With_Sectors[[#This Row],[Days in Arrears]] &gt; 90, Table__192.168.1.150_Daily_Delinquency_With_Sectors[[#This Row],[Outstanding Balance]],0)</f>
        <v>0</v>
      </c>
      <c r="U1413" s="109">
        <f>IF(Table__192.168.1.150_Daily_Delinquency_With_Sectors[[#This Row],[Days in Arrears]] &gt;= 1,1,0)</f>
        <v>0</v>
      </c>
      <c r="V1413" s="109">
        <f>IF(Table__192.168.1.150_Daily_Delinquency_With_Sectors[[#This Row],[Days in Arrears]] &gt; 30,1,0)</f>
        <v>0</v>
      </c>
      <c r="W1413" s="109">
        <f>IF(Table__192.168.1.150_Daily_Delinquency_With_Sectors[[#This Row],[Days in Arrears]] &gt; 90,1,0)</f>
        <v>0</v>
      </c>
    </row>
    <row r="1414" spans="1:23" x14ac:dyDescent="0.25">
      <c r="A1414" t="s">
        <v>5936</v>
      </c>
      <c r="B1414" t="s">
        <v>1282</v>
      </c>
      <c r="C1414">
        <v>0</v>
      </c>
      <c r="D1414" s="105">
        <v>5000000</v>
      </c>
      <c r="E1414" t="s">
        <v>5410</v>
      </c>
      <c r="F1414" s="105">
        <v>217500</v>
      </c>
      <c r="G1414" s="105">
        <v>631894.11</v>
      </c>
      <c r="H1414" s="711">
        <v>43032.650605868053</v>
      </c>
      <c r="I1414" s="711">
        <v>43336</v>
      </c>
      <c r="J1414" t="s">
        <v>5937</v>
      </c>
      <c r="K1414" t="s">
        <v>5938</v>
      </c>
      <c r="L1414" t="s">
        <v>1280</v>
      </c>
      <c r="M1414">
        <v>201420</v>
      </c>
      <c r="N1414" t="s">
        <v>5916</v>
      </c>
      <c r="O1414" t="s">
        <v>25</v>
      </c>
      <c r="P1414" t="s">
        <v>106</v>
      </c>
      <c r="Q1414" t="s">
        <v>107</v>
      </c>
      <c r="R1414" s="710">
        <f>IF(Table__192.168.1.150_Daily_Delinquency_With_Sectors[[#This Row],[Days in Arrears]] &gt; 0, Table__192.168.1.150_Daily_Delinquency_With_Sectors[[#This Row],[Outstanding Balance]],0)</f>
        <v>0</v>
      </c>
      <c r="S1414" s="105">
        <f>IF(Table__192.168.1.150_Daily_Delinquency_With_Sectors[[#This Row],[Days in Arrears]] &gt; 30, Table__192.168.1.150_Daily_Delinquency_With_Sectors[[#This Row],[Outstanding Balance]],0)</f>
        <v>0</v>
      </c>
      <c r="T1414" s="105">
        <f>IF(Table__192.168.1.150_Daily_Delinquency_With_Sectors[[#This Row],[Days in Arrears]] &gt; 90, Table__192.168.1.150_Daily_Delinquency_With_Sectors[[#This Row],[Outstanding Balance]],0)</f>
        <v>0</v>
      </c>
      <c r="U1414" s="109">
        <f>IF(Table__192.168.1.150_Daily_Delinquency_With_Sectors[[#This Row],[Days in Arrears]] &gt;= 1,1,0)</f>
        <v>0</v>
      </c>
      <c r="V1414" s="109">
        <f>IF(Table__192.168.1.150_Daily_Delinquency_With_Sectors[[#This Row],[Days in Arrears]] &gt; 30,1,0)</f>
        <v>0</v>
      </c>
      <c r="W1414" s="109">
        <f>IF(Table__192.168.1.150_Daily_Delinquency_With_Sectors[[#This Row],[Days in Arrears]] &gt; 90,1,0)</f>
        <v>0</v>
      </c>
    </row>
    <row r="1415" spans="1:23" x14ac:dyDescent="0.25">
      <c r="A1415" t="s">
        <v>5939</v>
      </c>
      <c r="B1415" t="s">
        <v>1282</v>
      </c>
      <c r="C1415">
        <v>0</v>
      </c>
      <c r="D1415" s="105">
        <v>2000000</v>
      </c>
      <c r="E1415" t="s">
        <v>2557</v>
      </c>
      <c r="F1415" s="105">
        <v>87000</v>
      </c>
      <c r="G1415" s="105">
        <v>252757.64</v>
      </c>
      <c r="H1415" s="711">
        <v>43032.691087037034</v>
      </c>
      <c r="I1415" s="711">
        <v>43336</v>
      </c>
      <c r="J1415" t="s">
        <v>5940</v>
      </c>
      <c r="K1415" t="s">
        <v>1280</v>
      </c>
      <c r="L1415" t="s">
        <v>1280</v>
      </c>
      <c r="M1415">
        <v>201421</v>
      </c>
      <c r="N1415" t="s">
        <v>5922</v>
      </c>
      <c r="O1415" t="s">
        <v>25</v>
      </c>
      <c r="P1415" t="s">
        <v>88</v>
      </c>
      <c r="Q1415" t="s">
        <v>285</v>
      </c>
      <c r="R1415" s="710">
        <f>IF(Table__192.168.1.150_Daily_Delinquency_With_Sectors[[#This Row],[Days in Arrears]] &gt; 0, Table__192.168.1.150_Daily_Delinquency_With_Sectors[[#This Row],[Outstanding Balance]],0)</f>
        <v>0</v>
      </c>
      <c r="S1415" s="105">
        <f>IF(Table__192.168.1.150_Daily_Delinquency_With_Sectors[[#This Row],[Days in Arrears]] &gt; 30, Table__192.168.1.150_Daily_Delinquency_With_Sectors[[#This Row],[Outstanding Balance]],0)</f>
        <v>0</v>
      </c>
      <c r="T1415" s="105">
        <f>IF(Table__192.168.1.150_Daily_Delinquency_With_Sectors[[#This Row],[Days in Arrears]] &gt; 90, Table__192.168.1.150_Daily_Delinquency_With_Sectors[[#This Row],[Outstanding Balance]],0)</f>
        <v>0</v>
      </c>
      <c r="U1415" s="109">
        <f>IF(Table__192.168.1.150_Daily_Delinquency_With_Sectors[[#This Row],[Days in Arrears]] &gt;= 1,1,0)</f>
        <v>0</v>
      </c>
      <c r="V1415" s="109">
        <f>IF(Table__192.168.1.150_Daily_Delinquency_With_Sectors[[#This Row],[Days in Arrears]] &gt; 30,1,0)</f>
        <v>0</v>
      </c>
      <c r="W1415" s="109">
        <f>IF(Table__192.168.1.150_Daily_Delinquency_With_Sectors[[#This Row],[Days in Arrears]] &gt; 90,1,0)</f>
        <v>0</v>
      </c>
    </row>
    <row r="1416" spans="1:23" x14ac:dyDescent="0.25">
      <c r="A1416" t="s">
        <v>4669</v>
      </c>
      <c r="B1416" t="s">
        <v>1866</v>
      </c>
      <c r="C1416">
        <v>-1</v>
      </c>
      <c r="D1416" s="105">
        <v>10000000</v>
      </c>
      <c r="E1416" t="s">
        <v>2557</v>
      </c>
      <c r="F1416" s="105">
        <v>342222.23</v>
      </c>
      <c r="G1416" s="105">
        <v>1045015.67</v>
      </c>
      <c r="H1416" s="711">
        <v>43033.665487071761</v>
      </c>
      <c r="I1416" s="711">
        <v>43398</v>
      </c>
      <c r="J1416" t="s">
        <v>4670</v>
      </c>
      <c r="K1416" t="s">
        <v>1280</v>
      </c>
      <c r="L1416" t="s">
        <v>1280</v>
      </c>
      <c r="M1416">
        <v>201422</v>
      </c>
      <c r="N1416" t="s">
        <v>4667</v>
      </c>
      <c r="O1416" t="s">
        <v>25</v>
      </c>
      <c r="P1416" t="s">
        <v>88</v>
      </c>
      <c r="Q1416" t="s">
        <v>285</v>
      </c>
      <c r="R1416" s="710">
        <f>IF(Table__192.168.1.150_Daily_Delinquency_With_Sectors[[#This Row],[Days in Arrears]] &gt; 0, Table__192.168.1.150_Daily_Delinquency_With_Sectors[[#This Row],[Outstanding Balance]],0)</f>
        <v>0</v>
      </c>
      <c r="S1416" s="105">
        <f>IF(Table__192.168.1.150_Daily_Delinquency_With_Sectors[[#This Row],[Days in Arrears]] &gt; 30, Table__192.168.1.150_Daily_Delinquency_With_Sectors[[#This Row],[Outstanding Balance]],0)</f>
        <v>0</v>
      </c>
      <c r="T1416" s="105">
        <f>IF(Table__192.168.1.150_Daily_Delinquency_With_Sectors[[#This Row],[Days in Arrears]] &gt; 90, Table__192.168.1.150_Daily_Delinquency_With_Sectors[[#This Row],[Outstanding Balance]],0)</f>
        <v>0</v>
      </c>
      <c r="U1416" s="109">
        <f>IF(Table__192.168.1.150_Daily_Delinquency_With_Sectors[[#This Row],[Days in Arrears]] &gt;= 1,1,0)</f>
        <v>0</v>
      </c>
      <c r="V1416" s="109">
        <f>IF(Table__192.168.1.150_Daily_Delinquency_With_Sectors[[#This Row],[Days in Arrears]] &gt; 30,1,0)</f>
        <v>0</v>
      </c>
      <c r="W1416" s="109">
        <f>IF(Table__192.168.1.150_Daily_Delinquency_With_Sectors[[#This Row],[Days in Arrears]] &gt; 90,1,0)</f>
        <v>0</v>
      </c>
    </row>
    <row r="1417" spans="1:23" x14ac:dyDescent="0.25">
      <c r="A1417" t="s">
        <v>5948</v>
      </c>
      <c r="B1417" t="s">
        <v>1279</v>
      </c>
      <c r="C1417">
        <v>-1</v>
      </c>
      <c r="D1417" s="105">
        <v>4000000</v>
      </c>
      <c r="E1417" t="s">
        <v>4685</v>
      </c>
      <c r="F1417" s="105">
        <v>168000</v>
      </c>
      <c r="G1417" s="105">
        <v>505515.29</v>
      </c>
      <c r="H1417" s="711">
        <v>43033.59846241898</v>
      </c>
      <c r="I1417" s="711">
        <v>43337</v>
      </c>
      <c r="J1417" t="s">
        <v>5949</v>
      </c>
      <c r="K1417" t="s">
        <v>1280</v>
      </c>
      <c r="L1417" t="s">
        <v>5950</v>
      </c>
      <c r="M1417">
        <v>201423</v>
      </c>
      <c r="N1417" t="s">
        <v>5941</v>
      </c>
      <c r="O1417" t="s">
        <v>25</v>
      </c>
      <c r="P1417" t="s">
        <v>88</v>
      </c>
      <c r="Q1417" t="s">
        <v>285</v>
      </c>
      <c r="R1417" s="710">
        <f>IF(Table__192.168.1.150_Daily_Delinquency_With_Sectors[[#This Row],[Days in Arrears]] &gt; 0, Table__192.168.1.150_Daily_Delinquency_With_Sectors[[#This Row],[Outstanding Balance]],0)</f>
        <v>0</v>
      </c>
      <c r="S1417" s="105">
        <f>IF(Table__192.168.1.150_Daily_Delinquency_With_Sectors[[#This Row],[Days in Arrears]] &gt; 30, Table__192.168.1.150_Daily_Delinquency_With_Sectors[[#This Row],[Outstanding Balance]],0)</f>
        <v>0</v>
      </c>
      <c r="T1417" s="105">
        <f>IF(Table__192.168.1.150_Daily_Delinquency_With_Sectors[[#This Row],[Days in Arrears]] &gt; 90, Table__192.168.1.150_Daily_Delinquency_With_Sectors[[#This Row],[Outstanding Balance]],0)</f>
        <v>0</v>
      </c>
      <c r="U1417" s="109">
        <f>IF(Table__192.168.1.150_Daily_Delinquency_With_Sectors[[#This Row],[Days in Arrears]] &gt;= 1,1,0)</f>
        <v>0</v>
      </c>
      <c r="V1417" s="109">
        <f>IF(Table__192.168.1.150_Daily_Delinquency_With_Sectors[[#This Row],[Days in Arrears]] &gt; 30,1,0)</f>
        <v>0</v>
      </c>
      <c r="W1417" s="109">
        <f>IF(Table__192.168.1.150_Daily_Delinquency_With_Sectors[[#This Row],[Days in Arrears]] &gt; 90,1,0)</f>
        <v>0</v>
      </c>
    </row>
    <row r="1418" spans="1:23" x14ac:dyDescent="0.25">
      <c r="A1418" t="s">
        <v>5951</v>
      </c>
      <c r="B1418" t="s">
        <v>1281</v>
      </c>
      <c r="C1418">
        <v>-1</v>
      </c>
      <c r="D1418" s="105">
        <v>25000000</v>
      </c>
      <c r="E1418" t="s">
        <v>4686</v>
      </c>
      <c r="F1418" s="105">
        <v>933333.33</v>
      </c>
      <c r="G1418" s="105">
        <v>3082273.61</v>
      </c>
      <c r="H1418" s="711">
        <v>43033.736196840277</v>
      </c>
      <c r="I1418" s="711">
        <v>43337</v>
      </c>
      <c r="J1418" t="s">
        <v>5952</v>
      </c>
      <c r="K1418" t="s">
        <v>1280</v>
      </c>
      <c r="L1418" t="s">
        <v>1280</v>
      </c>
      <c r="M1418">
        <v>201424</v>
      </c>
      <c r="N1418" t="s">
        <v>5944</v>
      </c>
      <c r="O1418" t="s">
        <v>44</v>
      </c>
      <c r="P1418" t="s">
        <v>75</v>
      </c>
      <c r="Q1418" t="s">
        <v>1442</v>
      </c>
      <c r="R1418" s="710">
        <f>IF(Table__192.168.1.150_Daily_Delinquency_With_Sectors[[#This Row],[Days in Arrears]] &gt; 0, Table__192.168.1.150_Daily_Delinquency_With_Sectors[[#This Row],[Outstanding Balance]],0)</f>
        <v>0</v>
      </c>
      <c r="S1418" s="105">
        <f>IF(Table__192.168.1.150_Daily_Delinquency_With_Sectors[[#This Row],[Days in Arrears]] &gt; 30, Table__192.168.1.150_Daily_Delinquency_With_Sectors[[#This Row],[Outstanding Balance]],0)</f>
        <v>0</v>
      </c>
      <c r="T1418" s="105">
        <f>IF(Table__192.168.1.150_Daily_Delinquency_With_Sectors[[#This Row],[Days in Arrears]] &gt; 90, Table__192.168.1.150_Daily_Delinquency_With_Sectors[[#This Row],[Outstanding Balance]],0)</f>
        <v>0</v>
      </c>
      <c r="U1418" s="109">
        <f>IF(Table__192.168.1.150_Daily_Delinquency_With_Sectors[[#This Row],[Days in Arrears]] &gt;= 1,1,0)</f>
        <v>0</v>
      </c>
      <c r="V1418" s="109">
        <f>IF(Table__192.168.1.150_Daily_Delinquency_With_Sectors[[#This Row],[Days in Arrears]] &gt; 30,1,0)</f>
        <v>0</v>
      </c>
      <c r="W1418" s="109">
        <f>IF(Table__192.168.1.150_Daily_Delinquency_With_Sectors[[#This Row],[Days in Arrears]] &gt; 90,1,0)</f>
        <v>0</v>
      </c>
    </row>
    <row r="1419" spans="1:23" x14ac:dyDescent="0.25">
      <c r="A1419" t="s">
        <v>3066</v>
      </c>
      <c r="B1419" t="s">
        <v>1282</v>
      </c>
      <c r="C1419">
        <v>-1</v>
      </c>
      <c r="D1419" s="105">
        <v>10000000</v>
      </c>
      <c r="E1419" t="s">
        <v>2855</v>
      </c>
      <c r="F1419" s="105">
        <v>373333.33</v>
      </c>
      <c r="G1419" s="105">
        <v>1065521.73</v>
      </c>
      <c r="H1419" s="711">
        <v>43033.744951122688</v>
      </c>
      <c r="I1419" s="711">
        <v>43398</v>
      </c>
      <c r="J1419" t="s">
        <v>3067</v>
      </c>
      <c r="K1419" t="s">
        <v>1280</v>
      </c>
      <c r="L1419" t="s">
        <v>1280</v>
      </c>
      <c r="M1419">
        <v>201425</v>
      </c>
      <c r="N1419" t="s">
        <v>3047</v>
      </c>
      <c r="O1419" t="s">
        <v>25</v>
      </c>
      <c r="P1419" t="s">
        <v>88</v>
      </c>
      <c r="Q1419" t="s">
        <v>285</v>
      </c>
      <c r="R1419" s="710">
        <f>IF(Table__192.168.1.150_Daily_Delinquency_With_Sectors[[#This Row],[Days in Arrears]] &gt; 0, Table__192.168.1.150_Daily_Delinquency_With_Sectors[[#This Row],[Outstanding Balance]],0)</f>
        <v>0</v>
      </c>
      <c r="S1419" s="105">
        <f>IF(Table__192.168.1.150_Daily_Delinquency_With_Sectors[[#This Row],[Days in Arrears]] &gt; 30, Table__192.168.1.150_Daily_Delinquency_With_Sectors[[#This Row],[Outstanding Balance]],0)</f>
        <v>0</v>
      </c>
      <c r="T1419" s="105">
        <f>IF(Table__192.168.1.150_Daily_Delinquency_With_Sectors[[#This Row],[Days in Arrears]] &gt; 90, Table__192.168.1.150_Daily_Delinquency_With_Sectors[[#This Row],[Outstanding Balance]],0)</f>
        <v>0</v>
      </c>
      <c r="U1419" s="109">
        <f>IF(Table__192.168.1.150_Daily_Delinquency_With_Sectors[[#This Row],[Days in Arrears]] &gt;= 1,1,0)</f>
        <v>0</v>
      </c>
      <c r="V1419" s="109">
        <f>IF(Table__192.168.1.150_Daily_Delinquency_With_Sectors[[#This Row],[Days in Arrears]] &gt; 30,1,0)</f>
        <v>0</v>
      </c>
      <c r="W1419" s="109">
        <f>IF(Table__192.168.1.150_Daily_Delinquency_With_Sectors[[#This Row],[Days in Arrears]] &gt; 90,1,0)</f>
        <v>0</v>
      </c>
    </row>
    <row r="1420" spans="1:23" x14ac:dyDescent="0.25">
      <c r="A1420" t="s">
        <v>5953</v>
      </c>
      <c r="B1420" t="s">
        <v>1279</v>
      </c>
      <c r="C1420">
        <v>-1</v>
      </c>
      <c r="D1420" s="105">
        <v>1800000</v>
      </c>
      <c r="E1420" t="s">
        <v>2855</v>
      </c>
      <c r="F1420" s="105">
        <v>75600</v>
      </c>
      <c r="G1420" s="105">
        <v>227481.88</v>
      </c>
      <c r="H1420" s="711">
        <v>43033.749620451388</v>
      </c>
      <c r="I1420" s="711">
        <v>43337</v>
      </c>
      <c r="J1420" t="s">
        <v>5954</v>
      </c>
      <c r="K1420" t="s">
        <v>1280</v>
      </c>
      <c r="L1420" t="s">
        <v>1280</v>
      </c>
      <c r="M1420">
        <v>201426</v>
      </c>
      <c r="N1420" t="s">
        <v>5942</v>
      </c>
      <c r="O1420" t="s">
        <v>25</v>
      </c>
      <c r="P1420" t="s">
        <v>88</v>
      </c>
      <c r="Q1420" t="s">
        <v>285</v>
      </c>
      <c r="R1420" s="710">
        <f>IF(Table__192.168.1.150_Daily_Delinquency_With_Sectors[[#This Row],[Days in Arrears]] &gt; 0, Table__192.168.1.150_Daily_Delinquency_With_Sectors[[#This Row],[Outstanding Balance]],0)</f>
        <v>0</v>
      </c>
      <c r="S1420" s="105">
        <f>IF(Table__192.168.1.150_Daily_Delinquency_With_Sectors[[#This Row],[Days in Arrears]] &gt; 30, Table__192.168.1.150_Daily_Delinquency_With_Sectors[[#This Row],[Outstanding Balance]],0)</f>
        <v>0</v>
      </c>
      <c r="T1420" s="105">
        <f>IF(Table__192.168.1.150_Daily_Delinquency_With_Sectors[[#This Row],[Days in Arrears]] &gt; 90, Table__192.168.1.150_Daily_Delinquency_With_Sectors[[#This Row],[Outstanding Balance]],0)</f>
        <v>0</v>
      </c>
      <c r="U1420" s="109">
        <f>IF(Table__192.168.1.150_Daily_Delinquency_With_Sectors[[#This Row],[Days in Arrears]] &gt;= 1,1,0)</f>
        <v>0</v>
      </c>
      <c r="V1420" s="109">
        <f>IF(Table__192.168.1.150_Daily_Delinquency_With_Sectors[[#This Row],[Days in Arrears]] &gt; 30,1,0)</f>
        <v>0</v>
      </c>
      <c r="W1420" s="109">
        <f>IF(Table__192.168.1.150_Daily_Delinquency_With_Sectors[[#This Row],[Days in Arrears]] &gt; 90,1,0)</f>
        <v>0</v>
      </c>
    </row>
    <row r="1421" spans="1:23" x14ac:dyDescent="0.25">
      <c r="A1421" t="s">
        <v>2756</v>
      </c>
      <c r="B1421" t="s">
        <v>1286</v>
      </c>
      <c r="C1421">
        <v>-27</v>
      </c>
      <c r="D1421" s="105">
        <v>3093610.93</v>
      </c>
      <c r="E1421" t="s">
        <v>284</v>
      </c>
      <c r="F1421" s="105">
        <v>4296.68</v>
      </c>
      <c r="G1421" s="105">
        <v>3289618.97</v>
      </c>
      <c r="H1421" s="711">
        <v>43033.711786307867</v>
      </c>
      <c r="I1421" s="711">
        <v>43211</v>
      </c>
      <c r="J1421" t="s">
        <v>2757</v>
      </c>
      <c r="K1421" t="s">
        <v>1280</v>
      </c>
      <c r="L1421" t="s">
        <v>1280</v>
      </c>
      <c r="M1421">
        <v>201427</v>
      </c>
      <c r="N1421" t="s">
        <v>1738</v>
      </c>
      <c r="O1421" t="s">
        <v>28</v>
      </c>
      <c r="P1421" t="s">
        <v>108</v>
      </c>
      <c r="Q1421" t="s">
        <v>26</v>
      </c>
      <c r="R1421" s="710">
        <f>IF(Table__192.168.1.150_Daily_Delinquency_With_Sectors[[#This Row],[Days in Arrears]] &gt; 0, Table__192.168.1.150_Daily_Delinquency_With_Sectors[[#This Row],[Outstanding Balance]],0)</f>
        <v>0</v>
      </c>
      <c r="S1421" s="105">
        <f>IF(Table__192.168.1.150_Daily_Delinquency_With_Sectors[[#This Row],[Days in Arrears]] &gt; 30, Table__192.168.1.150_Daily_Delinquency_With_Sectors[[#This Row],[Outstanding Balance]],0)</f>
        <v>0</v>
      </c>
      <c r="T1421" s="105">
        <f>IF(Table__192.168.1.150_Daily_Delinquency_With_Sectors[[#This Row],[Days in Arrears]] &gt; 90, Table__192.168.1.150_Daily_Delinquency_With_Sectors[[#This Row],[Outstanding Balance]],0)</f>
        <v>0</v>
      </c>
      <c r="U1421" s="109">
        <f>IF(Table__192.168.1.150_Daily_Delinquency_With_Sectors[[#This Row],[Days in Arrears]] &gt;= 1,1,0)</f>
        <v>0</v>
      </c>
      <c r="V1421" s="109">
        <f>IF(Table__192.168.1.150_Daily_Delinquency_With_Sectors[[#This Row],[Days in Arrears]] &gt; 30,1,0)</f>
        <v>0</v>
      </c>
      <c r="W1421" s="109">
        <f>IF(Table__192.168.1.150_Daily_Delinquency_With_Sectors[[#This Row],[Days in Arrears]] &gt; 90,1,0)</f>
        <v>0</v>
      </c>
    </row>
    <row r="1422" spans="1:23" x14ac:dyDescent="0.25">
      <c r="A1422" t="s">
        <v>4558</v>
      </c>
      <c r="B1422" t="s">
        <v>1286</v>
      </c>
      <c r="C1422">
        <v>-27</v>
      </c>
      <c r="D1422" s="105">
        <v>1610825.38</v>
      </c>
      <c r="E1422" t="s">
        <v>284</v>
      </c>
      <c r="F1422" s="105">
        <v>2237.2600000000002</v>
      </c>
      <c r="G1422" s="105">
        <v>1695587.38</v>
      </c>
      <c r="H1422" s="711">
        <v>43034.410622766205</v>
      </c>
      <c r="I1422" s="711">
        <v>43180</v>
      </c>
      <c r="J1422" t="s">
        <v>4559</v>
      </c>
      <c r="K1422" t="s">
        <v>4560</v>
      </c>
      <c r="L1422" t="s">
        <v>1280</v>
      </c>
      <c r="M1422">
        <v>201428</v>
      </c>
      <c r="N1422" t="s">
        <v>4549</v>
      </c>
      <c r="O1422" t="s">
        <v>28</v>
      </c>
      <c r="P1422" t="s">
        <v>108</v>
      </c>
      <c r="Q1422" t="s">
        <v>26</v>
      </c>
      <c r="R1422" s="710">
        <f>IF(Table__192.168.1.150_Daily_Delinquency_With_Sectors[[#This Row],[Days in Arrears]] &gt; 0, Table__192.168.1.150_Daily_Delinquency_With_Sectors[[#This Row],[Outstanding Balance]],0)</f>
        <v>0</v>
      </c>
      <c r="S1422" s="105">
        <f>IF(Table__192.168.1.150_Daily_Delinquency_With_Sectors[[#This Row],[Days in Arrears]] &gt; 30, Table__192.168.1.150_Daily_Delinquency_With_Sectors[[#This Row],[Outstanding Balance]],0)</f>
        <v>0</v>
      </c>
      <c r="T1422" s="105">
        <f>IF(Table__192.168.1.150_Daily_Delinquency_With_Sectors[[#This Row],[Days in Arrears]] &gt; 90, Table__192.168.1.150_Daily_Delinquency_With_Sectors[[#This Row],[Outstanding Balance]],0)</f>
        <v>0</v>
      </c>
      <c r="U1422" s="109">
        <f>IF(Table__192.168.1.150_Daily_Delinquency_With_Sectors[[#This Row],[Days in Arrears]] &gt;= 1,1,0)</f>
        <v>0</v>
      </c>
      <c r="V1422" s="109">
        <f>IF(Table__192.168.1.150_Daily_Delinquency_With_Sectors[[#This Row],[Days in Arrears]] &gt; 30,1,0)</f>
        <v>0</v>
      </c>
      <c r="W1422" s="109">
        <f>IF(Table__192.168.1.150_Daily_Delinquency_With_Sectors[[#This Row],[Days in Arrears]] &gt; 90,1,0)</f>
        <v>0</v>
      </c>
    </row>
    <row r="1423" spans="1:23" x14ac:dyDescent="0.25">
      <c r="A1423" t="s">
        <v>3343</v>
      </c>
      <c r="B1423" t="s">
        <v>1284</v>
      </c>
      <c r="C1423">
        <v>-8</v>
      </c>
      <c r="D1423" s="105">
        <v>20000000</v>
      </c>
      <c r="E1423" t="s">
        <v>5167</v>
      </c>
      <c r="F1423" s="105">
        <v>540000</v>
      </c>
      <c r="G1423" s="105">
        <v>1462644.83</v>
      </c>
      <c r="H1423" s="711">
        <v>43034.539215659723</v>
      </c>
      <c r="I1423" s="711">
        <v>43587</v>
      </c>
      <c r="J1423" t="s">
        <v>3344</v>
      </c>
      <c r="K1423" t="s">
        <v>1280</v>
      </c>
      <c r="L1423" t="s">
        <v>3345</v>
      </c>
      <c r="M1423">
        <v>201429</v>
      </c>
      <c r="N1423" t="s">
        <v>3330</v>
      </c>
      <c r="O1423" t="s">
        <v>44</v>
      </c>
      <c r="P1423" t="s">
        <v>75</v>
      </c>
      <c r="Q1423" t="s">
        <v>1442</v>
      </c>
      <c r="R1423" s="710">
        <f>IF(Table__192.168.1.150_Daily_Delinquency_With_Sectors[[#This Row],[Days in Arrears]] &gt; 0, Table__192.168.1.150_Daily_Delinquency_With_Sectors[[#This Row],[Outstanding Balance]],0)</f>
        <v>0</v>
      </c>
      <c r="S1423" s="105">
        <f>IF(Table__192.168.1.150_Daily_Delinquency_With_Sectors[[#This Row],[Days in Arrears]] &gt; 30, Table__192.168.1.150_Daily_Delinquency_With_Sectors[[#This Row],[Outstanding Balance]],0)</f>
        <v>0</v>
      </c>
      <c r="T1423" s="105">
        <f>IF(Table__192.168.1.150_Daily_Delinquency_With_Sectors[[#This Row],[Days in Arrears]] &gt; 90, Table__192.168.1.150_Daily_Delinquency_With_Sectors[[#This Row],[Outstanding Balance]],0)</f>
        <v>0</v>
      </c>
      <c r="U1423" s="109">
        <f>IF(Table__192.168.1.150_Daily_Delinquency_With_Sectors[[#This Row],[Days in Arrears]] &gt;= 1,1,0)</f>
        <v>0</v>
      </c>
      <c r="V1423" s="109">
        <f>IF(Table__192.168.1.150_Daily_Delinquency_With_Sectors[[#This Row],[Days in Arrears]] &gt; 30,1,0)</f>
        <v>0</v>
      </c>
      <c r="W1423" s="109">
        <f>IF(Table__192.168.1.150_Daily_Delinquency_With_Sectors[[#This Row],[Days in Arrears]] &gt; 90,1,0)</f>
        <v>0</v>
      </c>
    </row>
    <row r="1424" spans="1:23" x14ac:dyDescent="0.25">
      <c r="A1424" t="s">
        <v>2685</v>
      </c>
      <c r="B1424" t="s">
        <v>1284</v>
      </c>
      <c r="C1424">
        <v>-8</v>
      </c>
      <c r="D1424" s="105">
        <v>19500000</v>
      </c>
      <c r="E1424" t="s">
        <v>1925</v>
      </c>
      <c r="F1424" s="105">
        <v>526500</v>
      </c>
      <c r="G1424" s="105">
        <v>1426078.71</v>
      </c>
      <c r="H1424" s="711">
        <v>43034.727116006943</v>
      </c>
      <c r="I1424" s="711">
        <v>43587</v>
      </c>
      <c r="J1424" t="s">
        <v>2686</v>
      </c>
      <c r="K1424" t="s">
        <v>2687</v>
      </c>
      <c r="L1424" t="s">
        <v>1280</v>
      </c>
      <c r="M1424">
        <v>201430</v>
      </c>
      <c r="N1424" t="s">
        <v>2677</v>
      </c>
      <c r="O1424" t="s">
        <v>36</v>
      </c>
      <c r="P1424" t="s">
        <v>1023</v>
      </c>
      <c r="Q1424" t="s">
        <v>1810</v>
      </c>
      <c r="R1424" s="710">
        <f>IF(Table__192.168.1.150_Daily_Delinquency_With_Sectors[[#This Row],[Days in Arrears]] &gt; 0, Table__192.168.1.150_Daily_Delinquency_With_Sectors[[#This Row],[Outstanding Balance]],0)</f>
        <v>0</v>
      </c>
      <c r="S1424" s="105">
        <f>IF(Table__192.168.1.150_Daily_Delinquency_With_Sectors[[#This Row],[Days in Arrears]] &gt; 30, Table__192.168.1.150_Daily_Delinquency_With_Sectors[[#This Row],[Outstanding Balance]],0)</f>
        <v>0</v>
      </c>
      <c r="T1424" s="105">
        <f>IF(Table__192.168.1.150_Daily_Delinquency_With_Sectors[[#This Row],[Days in Arrears]] &gt; 90, Table__192.168.1.150_Daily_Delinquency_With_Sectors[[#This Row],[Outstanding Balance]],0)</f>
        <v>0</v>
      </c>
      <c r="U1424" s="109">
        <f>IF(Table__192.168.1.150_Daily_Delinquency_With_Sectors[[#This Row],[Days in Arrears]] &gt;= 1,1,0)</f>
        <v>0</v>
      </c>
      <c r="V1424" s="109">
        <f>IF(Table__192.168.1.150_Daily_Delinquency_With_Sectors[[#This Row],[Days in Arrears]] &gt; 30,1,0)</f>
        <v>0</v>
      </c>
      <c r="W1424" s="109">
        <f>IF(Table__192.168.1.150_Daily_Delinquency_With_Sectors[[#This Row],[Days in Arrears]] &gt; 90,1,0)</f>
        <v>0</v>
      </c>
    </row>
    <row r="1425" spans="1:23" x14ac:dyDescent="0.25">
      <c r="A1425" t="s">
        <v>3221</v>
      </c>
      <c r="B1425" t="s">
        <v>1282</v>
      </c>
      <c r="C1425">
        <v>-8</v>
      </c>
      <c r="D1425" s="105">
        <v>5000000</v>
      </c>
      <c r="E1425" t="s">
        <v>2557</v>
      </c>
      <c r="F1425" s="105">
        <v>153333.32999999999</v>
      </c>
      <c r="G1425" s="105">
        <v>534081.29</v>
      </c>
      <c r="H1425" s="711">
        <v>43039.472468287036</v>
      </c>
      <c r="I1425" s="711">
        <v>43405</v>
      </c>
      <c r="J1425" t="s">
        <v>3222</v>
      </c>
      <c r="K1425" t="s">
        <v>1280</v>
      </c>
      <c r="L1425" t="s">
        <v>1280</v>
      </c>
      <c r="M1425">
        <v>201431</v>
      </c>
      <c r="N1425" t="s">
        <v>3218</v>
      </c>
      <c r="O1425" t="s">
        <v>25</v>
      </c>
      <c r="P1425" t="s">
        <v>88</v>
      </c>
      <c r="Q1425" t="s">
        <v>285</v>
      </c>
      <c r="R1425" s="710">
        <f>IF(Table__192.168.1.150_Daily_Delinquency_With_Sectors[[#This Row],[Days in Arrears]] &gt; 0, Table__192.168.1.150_Daily_Delinquency_With_Sectors[[#This Row],[Outstanding Balance]],0)</f>
        <v>0</v>
      </c>
      <c r="S1425" s="105">
        <f>IF(Table__192.168.1.150_Daily_Delinquency_With_Sectors[[#This Row],[Days in Arrears]] &gt; 30, Table__192.168.1.150_Daily_Delinquency_With_Sectors[[#This Row],[Outstanding Balance]],0)</f>
        <v>0</v>
      </c>
      <c r="T1425" s="105">
        <f>IF(Table__192.168.1.150_Daily_Delinquency_With_Sectors[[#This Row],[Days in Arrears]] &gt; 90, Table__192.168.1.150_Daily_Delinquency_With_Sectors[[#This Row],[Outstanding Balance]],0)</f>
        <v>0</v>
      </c>
      <c r="U1425" s="109">
        <f>IF(Table__192.168.1.150_Daily_Delinquency_With_Sectors[[#This Row],[Days in Arrears]] &gt;= 1,1,0)</f>
        <v>0</v>
      </c>
      <c r="V1425" s="109">
        <f>IF(Table__192.168.1.150_Daily_Delinquency_With_Sectors[[#This Row],[Days in Arrears]] &gt; 30,1,0)</f>
        <v>0</v>
      </c>
      <c r="W1425" s="109">
        <f>IF(Table__192.168.1.150_Daily_Delinquency_With_Sectors[[#This Row],[Days in Arrears]] &gt; 90,1,0)</f>
        <v>0</v>
      </c>
    </row>
    <row r="1426" spans="1:23" x14ac:dyDescent="0.25">
      <c r="A1426" t="s">
        <v>2249</v>
      </c>
      <c r="B1426" t="s">
        <v>1284</v>
      </c>
      <c r="C1426">
        <v>-8</v>
      </c>
      <c r="D1426" s="105">
        <v>28000000</v>
      </c>
      <c r="E1426" t="s">
        <v>2175</v>
      </c>
      <c r="F1426" s="105">
        <v>728000</v>
      </c>
      <c r="G1426" s="105">
        <v>2826593.43</v>
      </c>
      <c r="H1426" s="711">
        <v>43035.58486909722</v>
      </c>
      <c r="I1426" s="711">
        <v>43406</v>
      </c>
      <c r="J1426" t="s">
        <v>2250</v>
      </c>
      <c r="K1426" t="s">
        <v>1280</v>
      </c>
      <c r="L1426" t="s">
        <v>2251</v>
      </c>
      <c r="M1426">
        <v>201432</v>
      </c>
      <c r="N1426" t="s">
        <v>2248</v>
      </c>
      <c r="O1426" t="s">
        <v>29</v>
      </c>
      <c r="P1426" t="s">
        <v>30</v>
      </c>
      <c r="Q1426" t="s">
        <v>437</v>
      </c>
      <c r="R1426" s="710">
        <f>IF(Table__192.168.1.150_Daily_Delinquency_With_Sectors[[#This Row],[Days in Arrears]] &gt; 0, Table__192.168.1.150_Daily_Delinquency_With_Sectors[[#This Row],[Outstanding Balance]],0)</f>
        <v>0</v>
      </c>
      <c r="S1426" s="105">
        <f>IF(Table__192.168.1.150_Daily_Delinquency_With_Sectors[[#This Row],[Days in Arrears]] &gt; 30, Table__192.168.1.150_Daily_Delinquency_With_Sectors[[#This Row],[Outstanding Balance]],0)</f>
        <v>0</v>
      </c>
      <c r="T1426" s="105">
        <f>IF(Table__192.168.1.150_Daily_Delinquency_With_Sectors[[#This Row],[Days in Arrears]] &gt; 90, Table__192.168.1.150_Daily_Delinquency_With_Sectors[[#This Row],[Outstanding Balance]],0)</f>
        <v>0</v>
      </c>
      <c r="U1426" s="109">
        <f>IF(Table__192.168.1.150_Daily_Delinquency_With_Sectors[[#This Row],[Days in Arrears]] &gt;= 1,1,0)</f>
        <v>0</v>
      </c>
      <c r="V1426" s="109">
        <f>IF(Table__192.168.1.150_Daily_Delinquency_With_Sectors[[#This Row],[Days in Arrears]] &gt; 30,1,0)</f>
        <v>0</v>
      </c>
      <c r="W1426" s="109">
        <f>IF(Table__192.168.1.150_Daily_Delinquency_With_Sectors[[#This Row],[Days in Arrears]] &gt; 90,1,0)</f>
        <v>0</v>
      </c>
    </row>
    <row r="1427" spans="1:23" x14ac:dyDescent="0.25">
      <c r="A1427" t="s">
        <v>4380</v>
      </c>
      <c r="B1427" t="s">
        <v>1282</v>
      </c>
      <c r="C1427">
        <v>-8</v>
      </c>
      <c r="D1427" s="105">
        <v>10000000</v>
      </c>
      <c r="E1427" t="s">
        <v>1909</v>
      </c>
      <c r="F1427" s="105">
        <v>333333.33</v>
      </c>
      <c r="G1427" s="105">
        <v>1070985.94</v>
      </c>
      <c r="H1427" s="711">
        <v>43036.471182754627</v>
      </c>
      <c r="I1427" s="711">
        <v>43406</v>
      </c>
      <c r="J1427" t="s">
        <v>4381</v>
      </c>
      <c r="K1427" t="s">
        <v>1280</v>
      </c>
      <c r="L1427" t="s">
        <v>4382</v>
      </c>
      <c r="M1427">
        <v>201434</v>
      </c>
      <c r="N1427" t="s">
        <v>4373</v>
      </c>
      <c r="O1427" t="s">
        <v>43</v>
      </c>
      <c r="P1427" t="s">
        <v>338</v>
      </c>
      <c r="Q1427" t="s">
        <v>26</v>
      </c>
      <c r="R1427" s="710">
        <f>IF(Table__192.168.1.150_Daily_Delinquency_With_Sectors[[#This Row],[Days in Arrears]] &gt; 0, Table__192.168.1.150_Daily_Delinquency_With_Sectors[[#This Row],[Outstanding Balance]],0)</f>
        <v>0</v>
      </c>
      <c r="S1427" s="105">
        <f>IF(Table__192.168.1.150_Daily_Delinquency_With_Sectors[[#This Row],[Days in Arrears]] &gt; 30, Table__192.168.1.150_Daily_Delinquency_With_Sectors[[#This Row],[Outstanding Balance]],0)</f>
        <v>0</v>
      </c>
      <c r="T1427" s="105">
        <f>IF(Table__192.168.1.150_Daily_Delinquency_With_Sectors[[#This Row],[Days in Arrears]] &gt; 90, Table__192.168.1.150_Daily_Delinquency_With_Sectors[[#This Row],[Outstanding Balance]],0)</f>
        <v>0</v>
      </c>
      <c r="U1427" s="109">
        <f>IF(Table__192.168.1.150_Daily_Delinquency_With_Sectors[[#This Row],[Days in Arrears]] &gt;= 1,1,0)</f>
        <v>0</v>
      </c>
      <c r="V1427" s="109">
        <f>IF(Table__192.168.1.150_Daily_Delinquency_With_Sectors[[#This Row],[Days in Arrears]] &gt; 30,1,0)</f>
        <v>0</v>
      </c>
      <c r="W1427" s="109">
        <f>IF(Table__192.168.1.150_Daily_Delinquency_With_Sectors[[#This Row],[Days in Arrears]] &gt; 90,1,0)</f>
        <v>0</v>
      </c>
    </row>
    <row r="1428" spans="1:23" x14ac:dyDescent="0.25">
      <c r="A1428" t="s">
        <v>5966</v>
      </c>
      <c r="B1428" t="s">
        <v>1282</v>
      </c>
      <c r="C1428">
        <v>-8</v>
      </c>
      <c r="D1428" s="105">
        <v>10000000</v>
      </c>
      <c r="E1428" t="s">
        <v>2557</v>
      </c>
      <c r="F1428" s="105">
        <v>375000</v>
      </c>
      <c r="G1428" s="105">
        <v>1102958.51</v>
      </c>
      <c r="H1428" s="711">
        <v>43036.508972685187</v>
      </c>
      <c r="I1428" s="711">
        <v>43406</v>
      </c>
      <c r="J1428" t="s">
        <v>5967</v>
      </c>
      <c r="K1428" t="s">
        <v>1280</v>
      </c>
      <c r="L1428" t="s">
        <v>1280</v>
      </c>
      <c r="M1428">
        <v>201435</v>
      </c>
      <c r="N1428" t="s">
        <v>5965</v>
      </c>
      <c r="O1428" t="s">
        <v>25</v>
      </c>
      <c r="P1428" t="s">
        <v>88</v>
      </c>
      <c r="Q1428" t="s">
        <v>285</v>
      </c>
      <c r="R1428" s="710">
        <f>IF(Table__192.168.1.150_Daily_Delinquency_With_Sectors[[#This Row],[Days in Arrears]] &gt; 0, Table__192.168.1.150_Daily_Delinquency_With_Sectors[[#This Row],[Outstanding Balance]],0)</f>
        <v>0</v>
      </c>
      <c r="S1428" s="105">
        <f>IF(Table__192.168.1.150_Daily_Delinquency_With_Sectors[[#This Row],[Days in Arrears]] &gt; 30, Table__192.168.1.150_Daily_Delinquency_With_Sectors[[#This Row],[Outstanding Balance]],0)</f>
        <v>0</v>
      </c>
      <c r="T1428" s="105">
        <f>IF(Table__192.168.1.150_Daily_Delinquency_With_Sectors[[#This Row],[Days in Arrears]] &gt; 90, Table__192.168.1.150_Daily_Delinquency_With_Sectors[[#This Row],[Outstanding Balance]],0)</f>
        <v>0</v>
      </c>
      <c r="U1428" s="109">
        <f>IF(Table__192.168.1.150_Daily_Delinquency_With_Sectors[[#This Row],[Days in Arrears]] &gt;= 1,1,0)</f>
        <v>0</v>
      </c>
      <c r="V1428" s="109">
        <f>IF(Table__192.168.1.150_Daily_Delinquency_With_Sectors[[#This Row],[Days in Arrears]] &gt; 30,1,0)</f>
        <v>0</v>
      </c>
      <c r="W1428" s="109">
        <f>IF(Table__192.168.1.150_Daily_Delinquency_With_Sectors[[#This Row],[Days in Arrears]] &gt; 90,1,0)</f>
        <v>0</v>
      </c>
    </row>
    <row r="1429" spans="1:23" x14ac:dyDescent="0.25">
      <c r="A1429" t="s">
        <v>3115</v>
      </c>
      <c r="B1429" t="s">
        <v>1281</v>
      </c>
      <c r="C1429">
        <v>-8</v>
      </c>
      <c r="D1429" s="105">
        <v>22000000</v>
      </c>
      <c r="E1429" t="s">
        <v>2034</v>
      </c>
      <c r="F1429" s="105">
        <v>641666.67000000004</v>
      </c>
      <c r="G1429" s="105">
        <v>2286911.96</v>
      </c>
      <c r="H1429" s="711">
        <v>43036.492605555555</v>
      </c>
      <c r="I1429" s="711">
        <v>43406</v>
      </c>
      <c r="J1429" t="s">
        <v>3116</v>
      </c>
      <c r="K1429" t="s">
        <v>1280</v>
      </c>
      <c r="L1429" t="s">
        <v>1280</v>
      </c>
      <c r="M1429">
        <v>201436</v>
      </c>
      <c r="N1429" t="s">
        <v>3114</v>
      </c>
      <c r="O1429" t="s">
        <v>25</v>
      </c>
      <c r="P1429" t="s">
        <v>88</v>
      </c>
      <c r="Q1429" t="s">
        <v>285</v>
      </c>
      <c r="R1429" s="710">
        <f>IF(Table__192.168.1.150_Daily_Delinquency_With_Sectors[[#This Row],[Days in Arrears]] &gt; 0, Table__192.168.1.150_Daily_Delinquency_With_Sectors[[#This Row],[Outstanding Balance]],0)</f>
        <v>0</v>
      </c>
      <c r="S1429" s="105">
        <f>IF(Table__192.168.1.150_Daily_Delinquency_With_Sectors[[#This Row],[Days in Arrears]] &gt; 30, Table__192.168.1.150_Daily_Delinquency_With_Sectors[[#This Row],[Outstanding Balance]],0)</f>
        <v>0</v>
      </c>
      <c r="T1429" s="105">
        <f>IF(Table__192.168.1.150_Daily_Delinquency_With_Sectors[[#This Row],[Days in Arrears]] &gt; 90, Table__192.168.1.150_Daily_Delinquency_With_Sectors[[#This Row],[Outstanding Balance]],0)</f>
        <v>0</v>
      </c>
      <c r="U1429" s="109">
        <f>IF(Table__192.168.1.150_Daily_Delinquency_With_Sectors[[#This Row],[Days in Arrears]] &gt;= 1,1,0)</f>
        <v>0</v>
      </c>
      <c r="V1429" s="109">
        <f>IF(Table__192.168.1.150_Daily_Delinquency_With_Sectors[[#This Row],[Days in Arrears]] &gt; 30,1,0)</f>
        <v>0</v>
      </c>
      <c r="W1429" s="109">
        <f>IF(Table__192.168.1.150_Daily_Delinquency_With_Sectors[[#This Row],[Days in Arrears]] &gt; 90,1,0)</f>
        <v>0</v>
      </c>
    </row>
    <row r="1430" spans="1:23" x14ac:dyDescent="0.25">
      <c r="A1430" t="s">
        <v>4552</v>
      </c>
      <c r="B1430" t="s">
        <v>1281</v>
      </c>
      <c r="C1430">
        <v>-8</v>
      </c>
      <c r="D1430" s="105">
        <v>17000000</v>
      </c>
      <c r="E1430" t="s">
        <v>3074</v>
      </c>
      <c r="F1430" s="105">
        <v>456166.67</v>
      </c>
      <c r="G1430" s="105">
        <v>1763193.19</v>
      </c>
      <c r="H1430" s="711">
        <v>43039.73473827546</v>
      </c>
      <c r="I1430" s="711">
        <v>43406</v>
      </c>
      <c r="J1430" t="s">
        <v>4553</v>
      </c>
      <c r="K1430" t="s">
        <v>1280</v>
      </c>
      <c r="L1430" t="s">
        <v>4554</v>
      </c>
      <c r="M1430">
        <v>201437</v>
      </c>
      <c r="N1430" t="s">
        <v>4546</v>
      </c>
      <c r="O1430" t="s">
        <v>36</v>
      </c>
      <c r="P1430" t="s">
        <v>118</v>
      </c>
      <c r="Q1430" t="s">
        <v>119</v>
      </c>
      <c r="R1430" s="710">
        <f>IF(Table__192.168.1.150_Daily_Delinquency_With_Sectors[[#This Row],[Days in Arrears]] &gt; 0, Table__192.168.1.150_Daily_Delinquency_With_Sectors[[#This Row],[Outstanding Balance]],0)</f>
        <v>0</v>
      </c>
      <c r="S1430" s="105">
        <f>IF(Table__192.168.1.150_Daily_Delinquency_With_Sectors[[#This Row],[Days in Arrears]] &gt; 30, Table__192.168.1.150_Daily_Delinquency_With_Sectors[[#This Row],[Outstanding Balance]],0)</f>
        <v>0</v>
      </c>
      <c r="T1430" s="105">
        <f>IF(Table__192.168.1.150_Daily_Delinquency_With_Sectors[[#This Row],[Days in Arrears]] &gt; 90, Table__192.168.1.150_Daily_Delinquency_With_Sectors[[#This Row],[Outstanding Balance]],0)</f>
        <v>0</v>
      </c>
      <c r="U1430" s="109">
        <f>IF(Table__192.168.1.150_Daily_Delinquency_With_Sectors[[#This Row],[Days in Arrears]] &gt;= 1,1,0)</f>
        <v>0</v>
      </c>
      <c r="V1430" s="109">
        <f>IF(Table__192.168.1.150_Daily_Delinquency_With_Sectors[[#This Row],[Days in Arrears]] &gt; 30,1,0)</f>
        <v>0</v>
      </c>
      <c r="W1430" s="109">
        <f>IF(Table__192.168.1.150_Daily_Delinquency_With_Sectors[[#This Row],[Days in Arrears]] &gt; 90,1,0)</f>
        <v>0</v>
      </c>
    </row>
    <row r="1431" spans="1:23" x14ac:dyDescent="0.25">
      <c r="A1431" t="s">
        <v>5983</v>
      </c>
      <c r="B1431" t="s">
        <v>1281</v>
      </c>
      <c r="C1431">
        <v>-8</v>
      </c>
      <c r="D1431" s="105">
        <v>17000000</v>
      </c>
      <c r="E1431" t="s">
        <v>1447</v>
      </c>
      <c r="F1431" s="105">
        <v>521333.33</v>
      </c>
      <c r="G1431" s="105">
        <v>1816031.52</v>
      </c>
      <c r="H1431" s="711">
        <v>43039.714177233793</v>
      </c>
      <c r="I1431" s="711">
        <v>43406</v>
      </c>
      <c r="J1431" t="s">
        <v>5984</v>
      </c>
      <c r="K1431" t="s">
        <v>5985</v>
      </c>
      <c r="L1431" t="s">
        <v>1280</v>
      </c>
      <c r="M1431">
        <v>201438</v>
      </c>
      <c r="N1431" t="s">
        <v>5973</v>
      </c>
      <c r="O1431" t="s">
        <v>37</v>
      </c>
      <c r="P1431" t="s">
        <v>38</v>
      </c>
      <c r="Q1431" t="s">
        <v>39</v>
      </c>
      <c r="R1431" s="710">
        <f>IF(Table__192.168.1.150_Daily_Delinquency_With_Sectors[[#This Row],[Days in Arrears]] &gt; 0, Table__192.168.1.150_Daily_Delinquency_With_Sectors[[#This Row],[Outstanding Balance]],0)</f>
        <v>0</v>
      </c>
      <c r="S1431" s="105">
        <f>IF(Table__192.168.1.150_Daily_Delinquency_With_Sectors[[#This Row],[Days in Arrears]] &gt; 30, Table__192.168.1.150_Daily_Delinquency_With_Sectors[[#This Row],[Outstanding Balance]],0)</f>
        <v>0</v>
      </c>
      <c r="T1431" s="105">
        <f>IF(Table__192.168.1.150_Daily_Delinquency_With_Sectors[[#This Row],[Days in Arrears]] &gt; 90, Table__192.168.1.150_Daily_Delinquency_With_Sectors[[#This Row],[Outstanding Balance]],0)</f>
        <v>0</v>
      </c>
      <c r="U1431" s="109">
        <f>IF(Table__192.168.1.150_Daily_Delinquency_With_Sectors[[#This Row],[Days in Arrears]] &gt;= 1,1,0)</f>
        <v>0</v>
      </c>
      <c r="V1431" s="109">
        <f>IF(Table__192.168.1.150_Daily_Delinquency_With_Sectors[[#This Row],[Days in Arrears]] &gt; 30,1,0)</f>
        <v>0</v>
      </c>
      <c r="W1431" s="109">
        <f>IF(Table__192.168.1.150_Daily_Delinquency_With_Sectors[[#This Row],[Days in Arrears]] &gt; 90,1,0)</f>
        <v>0</v>
      </c>
    </row>
    <row r="1432" spans="1:23" x14ac:dyDescent="0.25">
      <c r="A1432" t="s">
        <v>5986</v>
      </c>
      <c r="B1432" t="s">
        <v>1281</v>
      </c>
      <c r="C1432">
        <v>-8</v>
      </c>
      <c r="D1432" s="105">
        <v>20000000</v>
      </c>
      <c r="E1432" t="s">
        <v>1909</v>
      </c>
      <c r="F1432" s="105">
        <v>613333.32999999996</v>
      </c>
      <c r="G1432" s="105">
        <v>1583917.5</v>
      </c>
      <c r="H1432" s="711">
        <v>43039.705528240738</v>
      </c>
      <c r="I1432" s="711">
        <v>43587</v>
      </c>
      <c r="J1432" t="s">
        <v>5987</v>
      </c>
      <c r="K1432" t="s">
        <v>1280</v>
      </c>
      <c r="L1432" t="s">
        <v>5988</v>
      </c>
      <c r="M1432">
        <v>201439</v>
      </c>
      <c r="N1432" t="s">
        <v>5969</v>
      </c>
      <c r="O1432" t="s">
        <v>25</v>
      </c>
      <c r="P1432" t="s">
        <v>88</v>
      </c>
      <c r="Q1432" t="s">
        <v>285</v>
      </c>
      <c r="R1432" s="710">
        <f>IF(Table__192.168.1.150_Daily_Delinquency_With_Sectors[[#This Row],[Days in Arrears]] &gt; 0, Table__192.168.1.150_Daily_Delinquency_With_Sectors[[#This Row],[Outstanding Balance]],0)</f>
        <v>0</v>
      </c>
      <c r="S1432" s="105">
        <f>IF(Table__192.168.1.150_Daily_Delinquency_With_Sectors[[#This Row],[Days in Arrears]] &gt; 30, Table__192.168.1.150_Daily_Delinquency_With_Sectors[[#This Row],[Outstanding Balance]],0)</f>
        <v>0</v>
      </c>
      <c r="T1432" s="105">
        <f>IF(Table__192.168.1.150_Daily_Delinquency_With_Sectors[[#This Row],[Days in Arrears]] &gt; 90, Table__192.168.1.150_Daily_Delinquency_With_Sectors[[#This Row],[Outstanding Balance]],0)</f>
        <v>0</v>
      </c>
      <c r="U1432" s="109">
        <f>IF(Table__192.168.1.150_Daily_Delinquency_With_Sectors[[#This Row],[Days in Arrears]] &gt;= 1,1,0)</f>
        <v>0</v>
      </c>
      <c r="V1432" s="109">
        <f>IF(Table__192.168.1.150_Daily_Delinquency_With_Sectors[[#This Row],[Days in Arrears]] &gt; 30,1,0)</f>
        <v>0</v>
      </c>
      <c r="W1432" s="109">
        <f>IF(Table__192.168.1.150_Daily_Delinquency_With_Sectors[[#This Row],[Days in Arrears]] &gt; 90,1,0)</f>
        <v>0</v>
      </c>
    </row>
    <row r="1433" spans="1:23" x14ac:dyDescent="0.25">
      <c r="A1433" t="s">
        <v>5989</v>
      </c>
      <c r="B1433" t="s">
        <v>1282</v>
      </c>
      <c r="C1433">
        <v>-8</v>
      </c>
      <c r="D1433" s="105">
        <v>2500000</v>
      </c>
      <c r="E1433" t="s">
        <v>4683</v>
      </c>
      <c r="F1433" s="105">
        <v>86250</v>
      </c>
      <c r="G1433" s="105">
        <v>380112.24</v>
      </c>
      <c r="H1433" s="711">
        <v>43039.751634490742</v>
      </c>
      <c r="I1433" s="711">
        <v>43283</v>
      </c>
      <c r="J1433" t="s">
        <v>5990</v>
      </c>
      <c r="K1433" t="s">
        <v>1280</v>
      </c>
      <c r="L1433" t="s">
        <v>1280</v>
      </c>
      <c r="M1433">
        <v>201440</v>
      </c>
      <c r="N1433" t="s">
        <v>5971</v>
      </c>
      <c r="O1433" t="s">
        <v>25</v>
      </c>
      <c r="P1433" t="s">
        <v>88</v>
      </c>
      <c r="Q1433" t="s">
        <v>285</v>
      </c>
      <c r="R1433" s="710">
        <f>IF(Table__192.168.1.150_Daily_Delinquency_With_Sectors[[#This Row],[Days in Arrears]] &gt; 0, Table__192.168.1.150_Daily_Delinquency_With_Sectors[[#This Row],[Outstanding Balance]],0)</f>
        <v>0</v>
      </c>
      <c r="S1433" s="105">
        <f>IF(Table__192.168.1.150_Daily_Delinquency_With_Sectors[[#This Row],[Days in Arrears]] &gt; 30, Table__192.168.1.150_Daily_Delinquency_With_Sectors[[#This Row],[Outstanding Balance]],0)</f>
        <v>0</v>
      </c>
      <c r="T1433" s="105">
        <f>IF(Table__192.168.1.150_Daily_Delinquency_With_Sectors[[#This Row],[Days in Arrears]] &gt; 90, Table__192.168.1.150_Daily_Delinquency_With_Sectors[[#This Row],[Outstanding Balance]],0)</f>
        <v>0</v>
      </c>
      <c r="U1433" s="109">
        <f>IF(Table__192.168.1.150_Daily_Delinquency_With_Sectors[[#This Row],[Days in Arrears]] &gt;= 1,1,0)</f>
        <v>0</v>
      </c>
      <c r="V1433" s="109">
        <f>IF(Table__192.168.1.150_Daily_Delinquency_With_Sectors[[#This Row],[Days in Arrears]] &gt; 30,1,0)</f>
        <v>0</v>
      </c>
      <c r="W1433" s="109">
        <f>IF(Table__192.168.1.150_Daily_Delinquency_With_Sectors[[#This Row],[Days in Arrears]] &gt; 90,1,0)</f>
        <v>0</v>
      </c>
    </row>
    <row r="1434" spans="1:23" x14ac:dyDescent="0.25">
      <c r="A1434" t="s">
        <v>5991</v>
      </c>
      <c r="B1434" t="s">
        <v>1281</v>
      </c>
      <c r="C1434">
        <v>-8</v>
      </c>
      <c r="D1434" s="105">
        <v>28000000</v>
      </c>
      <c r="E1434" t="s">
        <v>5382</v>
      </c>
      <c r="F1434" s="105">
        <v>858666.67</v>
      </c>
      <c r="G1434" s="105">
        <v>5355029</v>
      </c>
      <c r="H1434" s="711">
        <v>43039.797131331019</v>
      </c>
      <c r="I1434" s="711">
        <v>43222</v>
      </c>
      <c r="J1434" t="s">
        <v>6034</v>
      </c>
      <c r="K1434" t="s">
        <v>1280</v>
      </c>
      <c r="L1434" t="s">
        <v>1280</v>
      </c>
      <c r="M1434">
        <v>201441</v>
      </c>
      <c r="N1434" t="s">
        <v>5970</v>
      </c>
      <c r="O1434" t="s">
        <v>25</v>
      </c>
      <c r="P1434" t="s">
        <v>88</v>
      </c>
      <c r="Q1434" t="s">
        <v>285</v>
      </c>
      <c r="R1434" s="710">
        <f>IF(Table__192.168.1.150_Daily_Delinquency_With_Sectors[[#This Row],[Days in Arrears]] &gt; 0, Table__192.168.1.150_Daily_Delinquency_With_Sectors[[#This Row],[Outstanding Balance]],0)</f>
        <v>0</v>
      </c>
      <c r="S1434" s="105">
        <f>IF(Table__192.168.1.150_Daily_Delinquency_With_Sectors[[#This Row],[Days in Arrears]] &gt; 30, Table__192.168.1.150_Daily_Delinquency_With_Sectors[[#This Row],[Outstanding Balance]],0)</f>
        <v>0</v>
      </c>
      <c r="T1434" s="105">
        <f>IF(Table__192.168.1.150_Daily_Delinquency_With_Sectors[[#This Row],[Days in Arrears]] &gt; 90, Table__192.168.1.150_Daily_Delinquency_With_Sectors[[#This Row],[Outstanding Balance]],0)</f>
        <v>0</v>
      </c>
      <c r="U1434" s="109">
        <f>IF(Table__192.168.1.150_Daily_Delinquency_With_Sectors[[#This Row],[Days in Arrears]] &gt;= 1,1,0)</f>
        <v>0</v>
      </c>
      <c r="V1434" s="109">
        <f>IF(Table__192.168.1.150_Daily_Delinquency_With_Sectors[[#This Row],[Days in Arrears]] &gt; 30,1,0)</f>
        <v>0</v>
      </c>
      <c r="W1434" s="109">
        <f>IF(Table__192.168.1.150_Daily_Delinquency_With_Sectors[[#This Row],[Days in Arrears]] &gt; 90,1,0)</f>
        <v>0</v>
      </c>
    </row>
    <row r="1435" spans="1:23" x14ac:dyDescent="0.25">
      <c r="A1435" t="s">
        <v>3318</v>
      </c>
      <c r="B1435" t="s">
        <v>1281</v>
      </c>
      <c r="C1435">
        <v>-8</v>
      </c>
      <c r="D1435" s="105">
        <v>18000000</v>
      </c>
      <c r="E1435" t="s">
        <v>1925</v>
      </c>
      <c r="F1435" s="105">
        <v>441000</v>
      </c>
      <c r="G1435" s="105">
        <v>1562851.25</v>
      </c>
      <c r="H1435" s="711">
        <v>43041.570559953703</v>
      </c>
      <c r="I1435" s="711">
        <v>43498</v>
      </c>
      <c r="J1435" t="s">
        <v>3319</v>
      </c>
      <c r="K1435" t="s">
        <v>1280</v>
      </c>
      <c r="L1435" t="s">
        <v>3320</v>
      </c>
      <c r="M1435">
        <v>201442</v>
      </c>
      <c r="N1435" t="s">
        <v>3312</v>
      </c>
      <c r="O1435" t="s">
        <v>25</v>
      </c>
      <c r="P1435" t="s">
        <v>88</v>
      </c>
      <c r="Q1435" t="s">
        <v>285</v>
      </c>
      <c r="R1435" s="710">
        <f>IF(Table__192.168.1.150_Daily_Delinquency_With_Sectors[[#This Row],[Days in Arrears]] &gt; 0, Table__192.168.1.150_Daily_Delinquency_With_Sectors[[#This Row],[Outstanding Balance]],0)</f>
        <v>0</v>
      </c>
      <c r="S1435" s="105">
        <f>IF(Table__192.168.1.150_Daily_Delinquency_With_Sectors[[#This Row],[Days in Arrears]] &gt; 30, Table__192.168.1.150_Daily_Delinquency_With_Sectors[[#This Row],[Outstanding Balance]],0)</f>
        <v>0</v>
      </c>
      <c r="T1435" s="105">
        <f>IF(Table__192.168.1.150_Daily_Delinquency_With_Sectors[[#This Row],[Days in Arrears]] &gt; 90, Table__192.168.1.150_Daily_Delinquency_With_Sectors[[#This Row],[Outstanding Balance]],0)</f>
        <v>0</v>
      </c>
      <c r="U1435" s="109">
        <f>IF(Table__192.168.1.150_Daily_Delinquency_With_Sectors[[#This Row],[Days in Arrears]] &gt;= 1,1,0)</f>
        <v>0</v>
      </c>
      <c r="V1435" s="109">
        <f>IF(Table__192.168.1.150_Daily_Delinquency_With_Sectors[[#This Row],[Days in Arrears]] &gt; 30,1,0)</f>
        <v>0</v>
      </c>
      <c r="W1435" s="109">
        <f>IF(Table__192.168.1.150_Daily_Delinquency_With_Sectors[[#This Row],[Days in Arrears]] &gt; 90,1,0)</f>
        <v>0</v>
      </c>
    </row>
    <row r="1436" spans="1:23" x14ac:dyDescent="0.25">
      <c r="A1436" t="s">
        <v>1889</v>
      </c>
      <c r="B1436" t="s">
        <v>1286</v>
      </c>
      <c r="C1436">
        <v>-27</v>
      </c>
      <c r="D1436" s="105">
        <v>7336894.8300000001</v>
      </c>
      <c r="E1436" t="s">
        <v>284</v>
      </c>
      <c r="F1436" s="105">
        <v>10190.129999999999</v>
      </c>
      <c r="G1436" s="105">
        <v>7801753</v>
      </c>
      <c r="H1436" s="711">
        <v>43041.55247800926</v>
      </c>
      <c r="I1436" s="711">
        <v>43211</v>
      </c>
      <c r="J1436" t="s">
        <v>1890</v>
      </c>
      <c r="K1436" t="s">
        <v>1280</v>
      </c>
      <c r="L1436" t="s">
        <v>1280</v>
      </c>
      <c r="M1436">
        <v>201443</v>
      </c>
      <c r="N1436" t="s">
        <v>1886</v>
      </c>
      <c r="O1436" t="s">
        <v>28</v>
      </c>
      <c r="P1436" t="s">
        <v>26</v>
      </c>
      <c r="Q1436" t="s">
        <v>26</v>
      </c>
      <c r="R1436" s="710">
        <f>IF(Table__192.168.1.150_Daily_Delinquency_With_Sectors[[#This Row],[Days in Arrears]] &gt; 0, Table__192.168.1.150_Daily_Delinquency_With_Sectors[[#This Row],[Outstanding Balance]],0)</f>
        <v>0</v>
      </c>
      <c r="S1436" s="105">
        <f>IF(Table__192.168.1.150_Daily_Delinquency_With_Sectors[[#This Row],[Days in Arrears]] &gt; 30, Table__192.168.1.150_Daily_Delinquency_With_Sectors[[#This Row],[Outstanding Balance]],0)</f>
        <v>0</v>
      </c>
      <c r="T1436" s="105">
        <f>IF(Table__192.168.1.150_Daily_Delinquency_With_Sectors[[#This Row],[Days in Arrears]] &gt; 90, Table__192.168.1.150_Daily_Delinquency_With_Sectors[[#This Row],[Outstanding Balance]],0)</f>
        <v>0</v>
      </c>
      <c r="U1436" s="109">
        <f>IF(Table__192.168.1.150_Daily_Delinquency_With_Sectors[[#This Row],[Days in Arrears]] &gt;= 1,1,0)</f>
        <v>0</v>
      </c>
      <c r="V1436" s="109">
        <f>IF(Table__192.168.1.150_Daily_Delinquency_With_Sectors[[#This Row],[Days in Arrears]] &gt; 30,1,0)</f>
        <v>0</v>
      </c>
      <c r="W1436" s="109">
        <f>IF(Table__192.168.1.150_Daily_Delinquency_With_Sectors[[#This Row],[Days in Arrears]] &gt; 90,1,0)</f>
        <v>0</v>
      </c>
    </row>
    <row r="1437" spans="1:23" x14ac:dyDescent="0.25">
      <c r="A1437" t="s">
        <v>2752</v>
      </c>
      <c r="B1437" t="s">
        <v>1286</v>
      </c>
      <c r="C1437">
        <v>-27</v>
      </c>
      <c r="D1437" s="105">
        <v>3337442.36</v>
      </c>
      <c r="E1437" t="s">
        <v>284</v>
      </c>
      <c r="F1437" s="105">
        <v>4635.34</v>
      </c>
      <c r="G1437" s="105">
        <v>3548899.3</v>
      </c>
      <c r="H1437" s="711">
        <v>43043.446434490739</v>
      </c>
      <c r="I1437" s="711">
        <v>43211</v>
      </c>
      <c r="J1437" t="s">
        <v>2753</v>
      </c>
      <c r="K1437" t="s">
        <v>1280</v>
      </c>
      <c r="L1437" t="s">
        <v>1280</v>
      </c>
      <c r="M1437">
        <v>201445</v>
      </c>
      <c r="N1437" t="s">
        <v>2748</v>
      </c>
      <c r="O1437" t="s">
        <v>28</v>
      </c>
      <c r="P1437" t="s">
        <v>108</v>
      </c>
      <c r="Q1437" t="s">
        <v>26</v>
      </c>
      <c r="R1437" s="710">
        <f>IF(Table__192.168.1.150_Daily_Delinquency_With_Sectors[[#This Row],[Days in Arrears]] &gt; 0, Table__192.168.1.150_Daily_Delinquency_With_Sectors[[#This Row],[Outstanding Balance]],0)</f>
        <v>0</v>
      </c>
      <c r="S1437" s="105">
        <f>IF(Table__192.168.1.150_Daily_Delinquency_With_Sectors[[#This Row],[Days in Arrears]] &gt; 30, Table__192.168.1.150_Daily_Delinquency_With_Sectors[[#This Row],[Outstanding Balance]],0)</f>
        <v>0</v>
      </c>
      <c r="T1437" s="105">
        <f>IF(Table__192.168.1.150_Daily_Delinquency_With_Sectors[[#This Row],[Days in Arrears]] &gt; 90, Table__192.168.1.150_Daily_Delinquency_With_Sectors[[#This Row],[Outstanding Balance]],0)</f>
        <v>0</v>
      </c>
      <c r="U1437" s="109">
        <f>IF(Table__192.168.1.150_Daily_Delinquency_With_Sectors[[#This Row],[Days in Arrears]] &gt;= 1,1,0)</f>
        <v>0</v>
      </c>
      <c r="V1437" s="109">
        <f>IF(Table__192.168.1.150_Daily_Delinquency_With_Sectors[[#This Row],[Days in Arrears]] &gt; 30,1,0)</f>
        <v>0</v>
      </c>
      <c r="W1437" s="109">
        <f>IF(Table__192.168.1.150_Daily_Delinquency_With_Sectors[[#This Row],[Days in Arrears]] &gt; 90,1,0)</f>
        <v>0</v>
      </c>
    </row>
    <row r="1438" spans="1:23" x14ac:dyDescent="0.25">
      <c r="A1438" t="s">
        <v>6002</v>
      </c>
      <c r="B1438" t="s">
        <v>1286</v>
      </c>
      <c r="C1438">
        <v>-27</v>
      </c>
      <c r="D1438" s="105">
        <v>3835466.65</v>
      </c>
      <c r="E1438" t="s">
        <v>284</v>
      </c>
      <c r="F1438" s="105">
        <v>5327.04</v>
      </c>
      <c r="G1438" s="105">
        <v>4078477.91</v>
      </c>
      <c r="H1438" s="711">
        <v>43046.41154591435</v>
      </c>
      <c r="I1438" s="711">
        <v>43211</v>
      </c>
      <c r="J1438" t="s">
        <v>6003</v>
      </c>
      <c r="K1438" t="s">
        <v>1280</v>
      </c>
      <c r="L1438" t="s">
        <v>1280</v>
      </c>
      <c r="M1438">
        <v>201447</v>
      </c>
      <c r="N1438" t="s">
        <v>6000</v>
      </c>
      <c r="O1438" t="s">
        <v>28</v>
      </c>
      <c r="P1438" t="s">
        <v>108</v>
      </c>
      <c r="Q1438" t="s">
        <v>26</v>
      </c>
      <c r="R1438" s="710">
        <f>IF(Table__192.168.1.150_Daily_Delinquency_With_Sectors[[#This Row],[Days in Arrears]] &gt; 0, Table__192.168.1.150_Daily_Delinquency_With_Sectors[[#This Row],[Outstanding Balance]],0)</f>
        <v>0</v>
      </c>
      <c r="S1438" s="105">
        <f>IF(Table__192.168.1.150_Daily_Delinquency_With_Sectors[[#This Row],[Days in Arrears]] &gt; 30, Table__192.168.1.150_Daily_Delinquency_With_Sectors[[#This Row],[Outstanding Balance]],0)</f>
        <v>0</v>
      </c>
      <c r="T1438" s="105">
        <f>IF(Table__192.168.1.150_Daily_Delinquency_With_Sectors[[#This Row],[Days in Arrears]] &gt; 90, Table__192.168.1.150_Daily_Delinquency_With_Sectors[[#This Row],[Outstanding Balance]],0)</f>
        <v>0</v>
      </c>
      <c r="U1438" s="109">
        <f>IF(Table__192.168.1.150_Daily_Delinquency_With_Sectors[[#This Row],[Days in Arrears]] &gt;= 1,1,0)</f>
        <v>0</v>
      </c>
      <c r="V1438" s="109">
        <f>IF(Table__192.168.1.150_Daily_Delinquency_With_Sectors[[#This Row],[Days in Arrears]] &gt; 30,1,0)</f>
        <v>0</v>
      </c>
      <c r="W1438" s="109">
        <f>IF(Table__192.168.1.150_Daily_Delinquency_With_Sectors[[#This Row],[Days in Arrears]] &gt; 90,1,0)</f>
        <v>0</v>
      </c>
    </row>
    <row r="1439" spans="1:23" x14ac:dyDescent="0.25">
      <c r="A1439" t="s">
        <v>4865</v>
      </c>
      <c r="B1439" t="s">
        <v>1282</v>
      </c>
      <c r="C1439">
        <v>-13</v>
      </c>
      <c r="D1439" s="105">
        <v>10000000</v>
      </c>
      <c r="E1439" t="s">
        <v>2861</v>
      </c>
      <c r="F1439" s="105">
        <v>213333.33</v>
      </c>
      <c r="G1439" s="105">
        <v>1065521.73</v>
      </c>
      <c r="H1439" s="711">
        <v>43046.715636423614</v>
      </c>
      <c r="I1439" s="711">
        <v>43411</v>
      </c>
      <c r="J1439" t="s">
        <v>4866</v>
      </c>
      <c r="K1439" t="s">
        <v>1280</v>
      </c>
      <c r="L1439" t="s">
        <v>4867</v>
      </c>
      <c r="M1439">
        <v>201448</v>
      </c>
      <c r="N1439" t="s">
        <v>4861</v>
      </c>
      <c r="O1439" t="s">
        <v>46</v>
      </c>
      <c r="P1439" t="s">
        <v>46</v>
      </c>
      <c r="Q1439" t="s">
        <v>112</v>
      </c>
      <c r="R1439" s="710">
        <f>IF(Table__192.168.1.150_Daily_Delinquency_With_Sectors[[#This Row],[Days in Arrears]] &gt; 0, Table__192.168.1.150_Daily_Delinquency_With_Sectors[[#This Row],[Outstanding Balance]],0)</f>
        <v>0</v>
      </c>
      <c r="S1439" s="105">
        <f>IF(Table__192.168.1.150_Daily_Delinquency_With_Sectors[[#This Row],[Days in Arrears]] &gt; 30, Table__192.168.1.150_Daily_Delinquency_With_Sectors[[#This Row],[Outstanding Balance]],0)</f>
        <v>0</v>
      </c>
      <c r="T1439" s="105">
        <f>IF(Table__192.168.1.150_Daily_Delinquency_With_Sectors[[#This Row],[Days in Arrears]] &gt; 90, Table__192.168.1.150_Daily_Delinquency_With_Sectors[[#This Row],[Outstanding Balance]],0)</f>
        <v>0</v>
      </c>
      <c r="U1439" s="109">
        <f>IF(Table__192.168.1.150_Daily_Delinquency_With_Sectors[[#This Row],[Days in Arrears]] &gt;= 1,1,0)</f>
        <v>0</v>
      </c>
      <c r="V1439" s="109">
        <f>IF(Table__192.168.1.150_Daily_Delinquency_With_Sectors[[#This Row],[Days in Arrears]] &gt; 30,1,0)</f>
        <v>0</v>
      </c>
      <c r="W1439" s="109">
        <f>IF(Table__192.168.1.150_Daily_Delinquency_With_Sectors[[#This Row],[Days in Arrears]] &gt; 90,1,0)</f>
        <v>0</v>
      </c>
    </row>
    <row r="1440" spans="1:23" x14ac:dyDescent="0.25">
      <c r="A1440" t="s">
        <v>6023</v>
      </c>
      <c r="B1440" t="s">
        <v>1282</v>
      </c>
      <c r="C1440">
        <v>-15</v>
      </c>
      <c r="D1440" s="105">
        <v>3000000</v>
      </c>
      <c r="E1440" t="s">
        <v>2861</v>
      </c>
      <c r="F1440" s="105">
        <v>56000</v>
      </c>
      <c r="G1440" s="105">
        <v>369872.83</v>
      </c>
      <c r="H1440" s="711">
        <v>43048.43716577546</v>
      </c>
      <c r="I1440" s="711">
        <v>43352</v>
      </c>
      <c r="J1440" t="s">
        <v>6024</v>
      </c>
      <c r="K1440" t="s">
        <v>1280</v>
      </c>
      <c r="L1440" t="s">
        <v>6025</v>
      </c>
      <c r="M1440">
        <v>201449</v>
      </c>
      <c r="N1440" t="s">
        <v>6017</v>
      </c>
      <c r="O1440" t="s">
        <v>44</v>
      </c>
      <c r="P1440" t="s">
        <v>75</v>
      </c>
      <c r="Q1440" t="s">
        <v>1442</v>
      </c>
      <c r="R1440" s="710">
        <f>IF(Table__192.168.1.150_Daily_Delinquency_With_Sectors[[#This Row],[Days in Arrears]] &gt; 0, Table__192.168.1.150_Daily_Delinquency_With_Sectors[[#This Row],[Outstanding Balance]],0)</f>
        <v>0</v>
      </c>
      <c r="S1440" s="105">
        <f>IF(Table__192.168.1.150_Daily_Delinquency_With_Sectors[[#This Row],[Days in Arrears]] &gt; 30, Table__192.168.1.150_Daily_Delinquency_With_Sectors[[#This Row],[Outstanding Balance]],0)</f>
        <v>0</v>
      </c>
      <c r="T1440" s="105">
        <f>IF(Table__192.168.1.150_Daily_Delinquency_With_Sectors[[#This Row],[Days in Arrears]] &gt; 90, Table__192.168.1.150_Daily_Delinquency_With_Sectors[[#This Row],[Outstanding Balance]],0)</f>
        <v>0</v>
      </c>
      <c r="U1440" s="109">
        <f>IF(Table__192.168.1.150_Daily_Delinquency_With_Sectors[[#This Row],[Days in Arrears]] &gt;= 1,1,0)</f>
        <v>0</v>
      </c>
      <c r="V1440" s="109">
        <f>IF(Table__192.168.1.150_Daily_Delinquency_With_Sectors[[#This Row],[Days in Arrears]] &gt; 30,1,0)</f>
        <v>0</v>
      </c>
      <c r="W1440" s="109">
        <f>IF(Table__192.168.1.150_Daily_Delinquency_With_Sectors[[#This Row],[Days in Arrears]] &gt; 90,1,0)</f>
        <v>0</v>
      </c>
    </row>
    <row r="1441" spans="1:23" x14ac:dyDescent="0.25">
      <c r="A1441" t="s">
        <v>6004</v>
      </c>
      <c r="B1441" t="s">
        <v>1284</v>
      </c>
      <c r="C1441">
        <v>-13</v>
      </c>
      <c r="D1441" s="105">
        <v>6000000</v>
      </c>
      <c r="E1441" t="s">
        <v>5335</v>
      </c>
      <c r="F1441" s="105">
        <v>106666.67</v>
      </c>
      <c r="G1441" s="105">
        <v>614828.9</v>
      </c>
      <c r="H1441" s="711">
        <v>43046.70612318287</v>
      </c>
      <c r="I1441" s="711">
        <v>43411</v>
      </c>
      <c r="J1441" t="s">
        <v>6005</v>
      </c>
      <c r="K1441" t="s">
        <v>1280</v>
      </c>
      <c r="L1441" t="s">
        <v>1280</v>
      </c>
      <c r="M1441">
        <v>201450</v>
      </c>
      <c r="N1441" t="s">
        <v>6001</v>
      </c>
      <c r="O1441" t="s">
        <v>25</v>
      </c>
      <c r="P1441" t="s">
        <v>88</v>
      </c>
      <c r="Q1441" t="s">
        <v>285</v>
      </c>
      <c r="R1441" s="710">
        <f>IF(Table__192.168.1.150_Daily_Delinquency_With_Sectors[[#This Row],[Days in Arrears]] &gt; 0, Table__192.168.1.150_Daily_Delinquency_With_Sectors[[#This Row],[Outstanding Balance]],0)</f>
        <v>0</v>
      </c>
      <c r="S1441" s="105">
        <f>IF(Table__192.168.1.150_Daily_Delinquency_With_Sectors[[#This Row],[Days in Arrears]] &gt; 30, Table__192.168.1.150_Daily_Delinquency_With_Sectors[[#This Row],[Outstanding Balance]],0)</f>
        <v>0</v>
      </c>
      <c r="T1441" s="105">
        <f>IF(Table__192.168.1.150_Daily_Delinquency_With_Sectors[[#This Row],[Days in Arrears]] &gt; 90, Table__192.168.1.150_Daily_Delinquency_With_Sectors[[#This Row],[Outstanding Balance]],0)</f>
        <v>0</v>
      </c>
      <c r="U1441" s="109">
        <f>IF(Table__192.168.1.150_Daily_Delinquency_With_Sectors[[#This Row],[Days in Arrears]] &gt;= 1,1,0)</f>
        <v>0</v>
      </c>
      <c r="V1441" s="109">
        <f>IF(Table__192.168.1.150_Daily_Delinquency_With_Sectors[[#This Row],[Days in Arrears]] &gt; 30,1,0)</f>
        <v>0</v>
      </c>
      <c r="W1441" s="109">
        <f>IF(Table__192.168.1.150_Daily_Delinquency_With_Sectors[[#This Row],[Days in Arrears]] &gt; 90,1,0)</f>
        <v>0</v>
      </c>
    </row>
    <row r="1442" spans="1:23" x14ac:dyDescent="0.25">
      <c r="A1442" t="s">
        <v>2474</v>
      </c>
      <c r="B1442" t="s">
        <v>1866</v>
      </c>
      <c r="C1442">
        <v>-14</v>
      </c>
      <c r="D1442" s="105">
        <v>6500000</v>
      </c>
      <c r="E1442" t="s">
        <v>2861</v>
      </c>
      <c r="F1442" s="105">
        <v>119166.67</v>
      </c>
      <c r="G1442" s="105">
        <v>952186.86</v>
      </c>
      <c r="H1442" s="711">
        <v>43047.486772303244</v>
      </c>
      <c r="I1442" s="711">
        <v>43289</v>
      </c>
      <c r="J1442" t="s">
        <v>2475</v>
      </c>
      <c r="K1442" t="s">
        <v>1280</v>
      </c>
      <c r="L1442" t="s">
        <v>2476</v>
      </c>
      <c r="M1442">
        <v>201451</v>
      </c>
      <c r="N1442" t="s">
        <v>2473</v>
      </c>
      <c r="O1442" t="s">
        <v>25</v>
      </c>
      <c r="P1442" t="s">
        <v>88</v>
      </c>
      <c r="Q1442" t="s">
        <v>285</v>
      </c>
      <c r="R1442" s="710">
        <f>IF(Table__192.168.1.150_Daily_Delinquency_With_Sectors[[#This Row],[Days in Arrears]] &gt; 0, Table__192.168.1.150_Daily_Delinquency_With_Sectors[[#This Row],[Outstanding Balance]],0)</f>
        <v>0</v>
      </c>
      <c r="S1442" s="105">
        <f>IF(Table__192.168.1.150_Daily_Delinquency_With_Sectors[[#This Row],[Days in Arrears]] &gt; 30, Table__192.168.1.150_Daily_Delinquency_With_Sectors[[#This Row],[Outstanding Balance]],0)</f>
        <v>0</v>
      </c>
      <c r="T1442" s="105">
        <f>IF(Table__192.168.1.150_Daily_Delinquency_With_Sectors[[#This Row],[Days in Arrears]] &gt; 90, Table__192.168.1.150_Daily_Delinquency_With_Sectors[[#This Row],[Outstanding Balance]],0)</f>
        <v>0</v>
      </c>
      <c r="U1442" s="109">
        <f>IF(Table__192.168.1.150_Daily_Delinquency_With_Sectors[[#This Row],[Days in Arrears]] &gt;= 1,1,0)</f>
        <v>0</v>
      </c>
      <c r="V1442" s="109">
        <f>IF(Table__192.168.1.150_Daily_Delinquency_With_Sectors[[#This Row],[Days in Arrears]] &gt; 30,1,0)</f>
        <v>0</v>
      </c>
      <c r="W1442" s="109">
        <f>IF(Table__192.168.1.150_Daily_Delinquency_With_Sectors[[#This Row],[Days in Arrears]] &gt; 90,1,0)</f>
        <v>0</v>
      </c>
    </row>
    <row r="1443" spans="1:23" x14ac:dyDescent="0.25">
      <c r="A1443" t="s">
        <v>6009</v>
      </c>
      <c r="B1443" t="s">
        <v>1279</v>
      </c>
      <c r="C1443">
        <v>-14</v>
      </c>
      <c r="D1443" s="105">
        <v>3000000</v>
      </c>
      <c r="E1443" t="s">
        <v>4686</v>
      </c>
      <c r="F1443" s="105">
        <v>67500</v>
      </c>
      <c r="G1443" s="105">
        <v>379136.47</v>
      </c>
      <c r="H1443" s="711">
        <v>43047.499046840276</v>
      </c>
      <c r="I1443" s="711">
        <v>43351</v>
      </c>
      <c r="J1443" t="s">
        <v>6010</v>
      </c>
      <c r="K1443" t="s">
        <v>1280</v>
      </c>
      <c r="L1443" t="s">
        <v>1280</v>
      </c>
      <c r="M1443">
        <v>201452</v>
      </c>
      <c r="N1443" t="s">
        <v>6006</v>
      </c>
      <c r="O1443" t="s">
        <v>25</v>
      </c>
      <c r="P1443" t="s">
        <v>88</v>
      </c>
      <c r="Q1443" t="s">
        <v>285</v>
      </c>
      <c r="R1443" s="710">
        <f>IF(Table__192.168.1.150_Daily_Delinquency_With_Sectors[[#This Row],[Days in Arrears]] &gt; 0, Table__192.168.1.150_Daily_Delinquency_With_Sectors[[#This Row],[Outstanding Balance]],0)</f>
        <v>0</v>
      </c>
      <c r="S1443" s="105">
        <f>IF(Table__192.168.1.150_Daily_Delinquency_With_Sectors[[#This Row],[Days in Arrears]] &gt; 30, Table__192.168.1.150_Daily_Delinquency_With_Sectors[[#This Row],[Outstanding Balance]],0)</f>
        <v>0</v>
      </c>
      <c r="T1443" s="105">
        <f>IF(Table__192.168.1.150_Daily_Delinquency_With_Sectors[[#This Row],[Days in Arrears]] &gt; 90, Table__192.168.1.150_Daily_Delinquency_With_Sectors[[#This Row],[Outstanding Balance]],0)</f>
        <v>0</v>
      </c>
      <c r="U1443" s="109">
        <f>IF(Table__192.168.1.150_Daily_Delinquency_With_Sectors[[#This Row],[Days in Arrears]] &gt;= 1,1,0)</f>
        <v>0</v>
      </c>
      <c r="V1443" s="109">
        <f>IF(Table__192.168.1.150_Daily_Delinquency_With_Sectors[[#This Row],[Days in Arrears]] &gt; 30,1,0)</f>
        <v>0</v>
      </c>
      <c r="W1443" s="109">
        <f>IF(Table__192.168.1.150_Daily_Delinquency_With_Sectors[[#This Row],[Days in Arrears]] &gt; 90,1,0)</f>
        <v>0</v>
      </c>
    </row>
    <row r="1444" spans="1:23" x14ac:dyDescent="0.25">
      <c r="A1444" t="s">
        <v>6011</v>
      </c>
      <c r="B1444" t="s">
        <v>1279</v>
      </c>
      <c r="C1444">
        <v>-14</v>
      </c>
      <c r="D1444" s="105">
        <v>4000000</v>
      </c>
      <c r="E1444" t="s">
        <v>5386</v>
      </c>
      <c r="F1444" s="105">
        <v>90000</v>
      </c>
      <c r="G1444" s="105">
        <v>505515.29</v>
      </c>
      <c r="H1444" s="711">
        <v>43047.549877511578</v>
      </c>
      <c r="I1444" s="711">
        <v>43351</v>
      </c>
      <c r="J1444" t="s">
        <v>6012</v>
      </c>
      <c r="K1444" t="s">
        <v>6013</v>
      </c>
      <c r="L1444" t="s">
        <v>1280</v>
      </c>
      <c r="M1444">
        <v>201453</v>
      </c>
      <c r="N1444" t="s">
        <v>6007</v>
      </c>
      <c r="O1444" t="s">
        <v>25</v>
      </c>
      <c r="P1444" t="s">
        <v>88</v>
      </c>
      <c r="Q1444" t="s">
        <v>285</v>
      </c>
      <c r="R1444" s="710">
        <f>IF(Table__192.168.1.150_Daily_Delinquency_With_Sectors[[#This Row],[Days in Arrears]] &gt; 0, Table__192.168.1.150_Daily_Delinquency_With_Sectors[[#This Row],[Outstanding Balance]],0)</f>
        <v>0</v>
      </c>
      <c r="S1444" s="105">
        <f>IF(Table__192.168.1.150_Daily_Delinquency_With_Sectors[[#This Row],[Days in Arrears]] &gt; 30, Table__192.168.1.150_Daily_Delinquency_With_Sectors[[#This Row],[Outstanding Balance]],0)</f>
        <v>0</v>
      </c>
      <c r="T1444" s="105">
        <f>IF(Table__192.168.1.150_Daily_Delinquency_With_Sectors[[#This Row],[Days in Arrears]] &gt; 90, Table__192.168.1.150_Daily_Delinquency_With_Sectors[[#This Row],[Outstanding Balance]],0)</f>
        <v>0</v>
      </c>
      <c r="U1444" s="109">
        <f>IF(Table__192.168.1.150_Daily_Delinquency_With_Sectors[[#This Row],[Days in Arrears]] &gt;= 1,1,0)</f>
        <v>0</v>
      </c>
      <c r="V1444" s="109">
        <f>IF(Table__192.168.1.150_Daily_Delinquency_With_Sectors[[#This Row],[Days in Arrears]] &gt; 30,1,0)</f>
        <v>0</v>
      </c>
      <c r="W1444" s="109">
        <f>IF(Table__192.168.1.150_Daily_Delinquency_With_Sectors[[#This Row],[Days in Arrears]] &gt; 90,1,0)</f>
        <v>0</v>
      </c>
    </row>
    <row r="1445" spans="1:23" x14ac:dyDescent="0.25">
      <c r="A1445" t="s">
        <v>6014</v>
      </c>
      <c r="B1445" t="s">
        <v>1866</v>
      </c>
      <c r="C1445">
        <v>-14</v>
      </c>
      <c r="D1445" s="105">
        <v>6000000</v>
      </c>
      <c r="E1445" t="s">
        <v>4686</v>
      </c>
      <c r="F1445" s="105">
        <v>125000</v>
      </c>
      <c r="G1445" s="105">
        <v>745896.01</v>
      </c>
      <c r="H1445" s="711">
        <v>43047.583961724536</v>
      </c>
      <c r="I1445" s="711">
        <v>43351</v>
      </c>
      <c r="J1445" t="s">
        <v>6015</v>
      </c>
      <c r="K1445" t="s">
        <v>1280</v>
      </c>
      <c r="L1445" t="s">
        <v>1280</v>
      </c>
      <c r="M1445">
        <v>201454</v>
      </c>
      <c r="N1445" t="s">
        <v>6008</v>
      </c>
      <c r="O1445" t="s">
        <v>25</v>
      </c>
      <c r="P1445" t="s">
        <v>88</v>
      </c>
      <c r="Q1445" t="s">
        <v>285</v>
      </c>
      <c r="R1445" s="710">
        <f>IF(Table__192.168.1.150_Daily_Delinquency_With_Sectors[[#This Row],[Days in Arrears]] &gt; 0, Table__192.168.1.150_Daily_Delinquency_With_Sectors[[#This Row],[Outstanding Balance]],0)</f>
        <v>0</v>
      </c>
      <c r="S1445" s="105">
        <f>IF(Table__192.168.1.150_Daily_Delinquency_With_Sectors[[#This Row],[Days in Arrears]] &gt; 30, Table__192.168.1.150_Daily_Delinquency_With_Sectors[[#This Row],[Outstanding Balance]],0)</f>
        <v>0</v>
      </c>
      <c r="T1445" s="105">
        <f>IF(Table__192.168.1.150_Daily_Delinquency_With_Sectors[[#This Row],[Days in Arrears]] &gt; 90, Table__192.168.1.150_Daily_Delinquency_With_Sectors[[#This Row],[Outstanding Balance]],0)</f>
        <v>0</v>
      </c>
      <c r="U1445" s="109">
        <f>IF(Table__192.168.1.150_Daily_Delinquency_With_Sectors[[#This Row],[Days in Arrears]] &gt;= 1,1,0)</f>
        <v>0</v>
      </c>
      <c r="V1445" s="109">
        <f>IF(Table__192.168.1.150_Daily_Delinquency_With_Sectors[[#This Row],[Days in Arrears]] &gt; 30,1,0)</f>
        <v>0</v>
      </c>
      <c r="W1445" s="109">
        <f>IF(Table__192.168.1.150_Daily_Delinquency_With_Sectors[[#This Row],[Days in Arrears]] &gt; 90,1,0)</f>
        <v>0</v>
      </c>
    </row>
    <row r="1446" spans="1:23" x14ac:dyDescent="0.25">
      <c r="A1446" t="s">
        <v>5181</v>
      </c>
      <c r="B1446" t="s">
        <v>1286</v>
      </c>
      <c r="C1446">
        <v>-27</v>
      </c>
      <c r="D1446" s="105">
        <v>831497.3</v>
      </c>
      <c r="E1446" t="s">
        <v>284</v>
      </c>
      <c r="F1446" s="105">
        <v>1154.8599999999999</v>
      </c>
      <c r="G1446" s="105">
        <v>884180.13</v>
      </c>
      <c r="H1446" s="711">
        <v>43048.486365081022</v>
      </c>
      <c r="I1446" s="711">
        <v>43211</v>
      </c>
      <c r="J1446" t="s">
        <v>5182</v>
      </c>
      <c r="K1446" t="s">
        <v>1280</v>
      </c>
      <c r="L1446" t="s">
        <v>1280</v>
      </c>
      <c r="M1446">
        <v>201455</v>
      </c>
      <c r="N1446" t="s">
        <v>5180</v>
      </c>
      <c r="O1446" t="s">
        <v>28</v>
      </c>
      <c r="P1446" t="s">
        <v>108</v>
      </c>
      <c r="Q1446" t="s">
        <v>26</v>
      </c>
      <c r="R1446" s="710">
        <f>IF(Table__192.168.1.150_Daily_Delinquency_With_Sectors[[#This Row],[Days in Arrears]] &gt; 0, Table__192.168.1.150_Daily_Delinquency_With_Sectors[[#This Row],[Outstanding Balance]],0)</f>
        <v>0</v>
      </c>
      <c r="S1446" s="710">
        <f>IF(Table__192.168.1.150_Daily_Delinquency_With_Sectors[[#This Row],[Days in Arrears]] &gt; 30, Table__192.168.1.150_Daily_Delinquency_With_Sectors[[#This Row],[Outstanding Balance]],0)</f>
        <v>0</v>
      </c>
      <c r="T1446" s="710">
        <f>IF(Table__192.168.1.150_Daily_Delinquency_With_Sectors[[#This Row],[Days in Arrears]] &gt; 90, Table__192.168.1.150_Daily_Delinquency_With_Sectors[[#This Row],[Outstanding Balance]],0)</f>
        <v>0</v>
      </c>
      <c r="U1446" s="109">
        <f>IF(Table__192.168.1.150_Daily_Delinquency_With_Sectors[[#This Row],[Days in Arrears]] &gt;= 1,1,0)</f>
        <v>0</v>
      </c>
      <c r="V1446" s="109">
        <f>IF(Table__192.168.1.150_Daily_Delinquency_With_Sectors[[#This Row],[Days in Arrears]] &gt; 30,1,0)</f>
        <v>0</v>
      </c>
      <c r="W1446" s="109">
        <f>IF(Table__192.168.1.150_Daily_Delinquency_With_Sectors[[#This Row],[Days in Arrears]] &gt; 90,1,0)</f>
        <v>0</v>
      </c>
    </row>
    <row r="1447" spans="1:23" x14ac:dyDescent="0.25">
      <c r="A1447" t="s">
        <v>6026</v>
      </c>
      <c r="B1447" t="s">
        <v>1279</v>
      </c>
      <c r="C1447">
        <v>-15</v>
      </c>
      <c r="D1447" s="105">
        <v>4000000</v>
      </c>
      <c r="E1447" t="s">
        <v>5047</v>
      </c>
      <c r="F1447" s="105">
        <v>84000</v>
      </c>
      <c r="G1447" s="105">
        <v>505515.29</v>
      </c>
      <c r="H1447" s="711">
        <v>43048.546624768518</v>
      </c>
      <c r="I1447" s="711">
        <v>43352</v>
      </c>
      <c r="J1447" t="s">
        <v>6027</v>
      </c>
      <c r="K1447" t="s">
        <v>1280</v>
      </c>
      <c r="L1447" t="s">
        <v>1280</v>
      </c>
      <c r="M1447">
        <v>201456</v>
      </c>
      <c r="N1447" t="s">
        <v>6019</v>
      </c>
      <c r="O1447" t="s">
        <v>25</v>
      </c>
      <c r="P1447" t="s">
        <v>88</v>
      </c>
      <c r="Q1447" t="s">
        <v>26</v>
      </c>
      <c r="R1447" s="710">
        <f>IF(Table__192.168.1.150_Daily_Delinquency_With_Sectors[[#This Row],[Days in Arrears]] &gt; 0, Table__192.168.1.150_Daily_Delinquency_With_Sectors[[#This Row],[Outstanding Balance]],0)</f>
        <v>0</v>
      </c>
      <c r="S1447" s="710">
        <f>IF(Table__192.168.1.150_Daily_Delinquency_With_Sectors[[#This Row],[Days in Arrears]] &gt; 30, Table__192.168.1.150_Daily_Delinquency_With_Sectors[[#This Row],[Outstanding Balance]],0)</f>
        <v>0</v>
      </c>
      <c r="T1447" s="710">
        <f>IF(Table__192.168.1.150_Daily_Delinquency_With_Sectors[[#This Row],[Days in Arrears]] &gt; 90, Table__192.168.1.150_Daily_Delinquency_With_Sectors[[#This Row],[Outstanding Balance]],0)</f>
        <v>0</v>
      </c>
      <c r="U1447" s="109">
        <f>IF(Table__192.168.1.150_Daily_Delinquency_With_Sectors[[#This Row],[Days in Arrears]] &gt;= 1,1,0)</f>
        <v>0</v>
      </c>
      <c r="V1447" s="109">
        <f>IF(Table__192.168.1.150_Daily_Delinquency_With_Sectors[[#This Row],[Days in Arrears]] &gt; 30,1,0)</f>
        <v>0</v>
      </c>
      <c r="W1447" s="109">
        <f>IF(Table__192.168.1.150_Daily_Delinquency_With_Sectors[[#This Row],[Days in Arrears]] &gt; 90,1,0)</f>
        <v>0</v>
      </c>
    </row>
    <row r="1448" spans="1:23" x14ac:dyDescent="0.25">
      <c r="A1448" t="s">
        <v>2032</v>
      </c>
      <c r="B1448" t="s">
        <v>1866</v>
      </c>
      <c r="C1448">
        <v>-16</v>
      </c>
      <c r="D1448" s="105">
        <v>10000000</v>
      </c>
      <c r="E1448" t="s">
        <v>963</v>
      </c>
      <c r="F1448" s="105">
        <v>158888.89000000001</v>
      </c>
      <c r="G1448" s="105">
        <v>1045015.67</v>
      </c>
      <c r="H1448" s="711">
        <v>43049.507392245374</v>
      </c>
      <c r="I1448" s="711">
        <v>43414</v>
      </c>
      <c r="J1448" t="s">
        <v>2033</v>
      </c>
      <c r="K1448" t="s">
        <v>1280</v>
      </c>
      <c r="L1448" t="s">
        <v>1280</v>
      </c>
      <c r="M1448">
        <v>201457</v>
      </c>
      <c r="N1448" t="s">
        <v>1957</v>
      </c>
      <c r="O1448" t="s">
        <v>44</v>
      </c>
      <c r="P1448" t="s">
        <v>75</v>
      </c>
      <c r="Q1448" t="s">
        <v>1442</v>
      </c>
      <c r="R1448" s="710">
        <f>IF(Table__192.168.1.150_Daily_Delinquency_With_Sectors[[#This Row],[Days in Arrears]] &gt; 0, Table__192.168.1.150_Daily_Delinquency_With_Sectors[[#This Row],[Outstanding Balance]],0)</f>
        <v>0</v>
      </c>
      <c r="S1448" s="710">
        <f>IF(Table__192.168.1.150_Daily_Delinquency_With_Sectors[[#This Row],[Days in Arrears]] &gt; 30, Table__192.168.1.150_Daily_Delinquency_With_Sectors[[#This Row],[Outstanding Balance]],0)</f>
        <v>0</v>
      </c>
      <c r="T1448" s="710">
        <f>IF(Table__192.168.1.150_Daily_Delinquency_With_Sectors[[#This Row],[Days in Arrears]] &gt; 90, Table__192.168.1.150_Daily_Delinquency_With_Sectors[[#This Row],[Outstanding Balance]],0)</f>
        <v>0</v>
      </c>
      <c r="U1448" s="109">
        <f>IF(Table__192.168.1.150_Daily_Delinquency_With_Sectors[[#This Row],[Days in Arrears]] &gt;= 1,1,0)</f>
        <v>0</v>
      </c>
      <c r="V1448" s="109">
        <f>IF(Table__192.168.1.150_Daily_Delinquency_With_Sectors[[#This Row],[Days in Arrears]] &gt; 30,1,0)</f>
        <v>0</v>
      </c>
      <c r="W1448" s="109">
        <f>IF(Table__192.168.1.150_Daily_Delinquency_With_Sectors[[#This Row],[Days in Arrears]] &gt; 90,1,0)</f>
        <v>0</v>
      </c>
    </row>
    <row r="1449" spans="1:23" x14ac:dyDescent="0.25">
      <c r="A1449" t="s">
        <v>6028</v>
      </c>
      <c r="B1449" t="s">
        <v>1279</v>
      </c>
      <c r="C1449">
        <v>-17</v>
      </c>
      <c r="D1449" s="105">
        <v>2000000</v>
      </c>
      <c r="E1449" t="s">
        <v>4686</v>
      </c>
      <c r="F1449" s="105">
        <v>36000</v>
      </c>
      <c r="G1449" s="105">
        <v>252757.64</v>
      </c>
      <c r="H1449" s="711">
        <v>43050.456770868055</v>
      </c>
      <c r="I1449" s="711">
        <v>43354</v>
      </c>
      <c r="J1449" t="s">
        <v>6029</v>
      </c>
      <c r="K1449" t="s">
        <v>1280</v>
      </c>
      <c r="L1449" t="s">
        <v>1280</v>
      </c>
      <c r="M1449">
        <v>201458</v>
      </c>
      <c r="N1449" t="s">
        <v>6018</v>
      </c>
      <c r="O1449" t="s">
        <v>25</v>
      </c>
      <c r="P1449" t="s">
        <v>286</v>
      </c>
      <c r="Q1449" t="s">
        <v>287</v>
      </c>
      <c r="R1449" s="710">
        <f>IF(Table__192.168.1.150_Daily_Delinquency_With_Sectors[[#This Row],[Days in Arrears]] &gt; 0, Table__192.168.1.150_Daily_Delinquency_With_Sectors[[#This Row],[Outstanding Balance]],0)</f>
        <v>0</v>
      </c>
      <c r="S1449" s="710">
        <f>IF(Table__192.168.1.150_Daily_Delinquency_With_Sectors[[#This Row],[Days in Arrears]] &gt; 30, Table__192.168.1.150_Daily_Delinquency_With_Sectors[[#This Row],[Outstanding Balance]],0)</f>
        <v>0</v>
      </c>
      <c r="T1449" s="710">
        <f>IF(Table__192.168.1.150_Daily_Delinquency_With_Sectors[[#This Row],[Days in Arrears]] &gt; 90, Table__192.168.1.150_Daily_Delinquency_With_Sectors[[#This Row],[Outstanding Balance]],0)</f>
        <v>0</v>
      </c>
      <c r="U1449" s="109">
        <f>IF(Table__192.168.1.150_Daily_Delinquency_With_Sectors[[#This Row],[Days in Arrears]] &gt;= 1,1,0)</f>
        <v>0</v>
      </c>
      <c r="V1449" s="109">
        <f>IF(Table__192.168.1.150_Daily_Delinquency_With_Sectors[[#This Row],[Days in Arrears]] &gt; 30,1,0)</f>
        <v>0</v>
      </c>
      <c r="W1449" s="109">
        <f>IF(Table__192.168.1.150_Daily_Delinquency_With_Sectors[[#This Row],[Days in Arrears]] &gt; 90,1,0)</f>
        <v>0</v>
      </c>
    </row>
    <row r="1450" spans="1:23" x14ac:dyDescent="0.25">
      <c r="A1450" t="s">
        <v>6031</v>
      </c>
      <c r="B1450" t="s">
        <v>1279</v>
      </c>
      <c r="C1450">
        <v>-21</v>
      </c>
      <c r="D1450" s="105">
        <v>1500000</v>
      </c>
      <c r="E1450" t="s">
        <v>491</v>
      </c>
      <c r="F1450" s="105">
        <v>18000</v>
      </c>
      <c r="G1450" s="105">
        <v>189568.23</v>
      </c>
      <c r="H1450" s="711">
        <v>43054.660704282411</v>
      </c>
      <c r="I1450" s="711">
        <v>43358</v>
      </c>
      <c r="J1450" t="s">
        <v>6032</v>
      </c>
      <c r="K1450" t="s">
        <v>6033</v>
      </c>
      <c r="L1450" t="s">
        <v>1280</v>
      </c>
      <c r="M1450">
        <v>201459</v>
      </c>
      <c r="N1450" t="s">
        <v>6030</v>
      </c>
      <c r="O1450" t="s">
        <v>25</v>
      </c>
      <c r="P1450" t="s">
        <v>290</v>
      </c>
      <c r="Q1450" t="s">
        <v>1824</v>
      </c>
      <c r="R1450" s="710">
        <f>IF(Table__192.168.1.150_Daily_Delinquency_With_Sectors[[#This Row],[Days in Arrears]] &gt; 0, Table__192.168.1.150_Daily_Delinquency_With_Sectors[[#This Row],[Outstanding Balance]],0)</f>
        <v>0</v>
      </c>
      <c r="S1450" s="710">
        <f>IF(Table__192.168.1.150_Daily_Delinquency_With_Sectors[[#This Row],[Days in Arrears]] &gt; 30, Table__192.168.1.150_Daily_Delinquency_With_Sectors[[#This Row],[Outstanding Balance]],0)</f>
        <v>0</v>
      </c>
      <c r="T1450" s="710">
        <f>IF(Table__192.168.1.150_Daily_Delinquency_With_Sectors[[#This Row],[Days in Arrears]] &gt; 90, Table__192.168.1.150_Daily_Delinquency_With_Sectors[[#This Row],[Outstanding Balance]],0)</f>
        <v>0</v>
      </c>
      <c r="U1450" s="109">
        <f>IF(Table__192.168.1.150_Daily_Delinquency_With_Sectors[[#This Row],[Days in Arrears]] &gt;= 1,1,0)</f>
        <v>0</v>
      </c>
      <c r="V1450" s="109">
        <f>IF(Table__192.168.1.150_Daily_Delinquency_With_Sectors[[#This Row],[Days in Arrears]] &gt; 30,1,0)</f>
        <v>0</v>
      </c>
      <c r="W1450" s="109">
        <f>IF(Table__192.168.1.150_Daily_Delinquency_With_Sectors[[#This Row],[Days in Arrears]] &gt; 90,1,0)</f>
        <v>0</v>
      </c>
    </row>
    <row r="1451" spans="1:23" x14ac:dyDescent="0.25">
      <c r="A1451" t="s">
        <v>1192</v>
      </c>
      <c r="B1451" t="s">
        <v>1285</v>
      </c>
      <c r="C1451">
        <v>-27</v>
      </c>
      <c r="D1451" s="105">
        <v>8902000</v>
      </c>
      <c r="E1451" t="s">
        <v>284</v>
      </c>
      <c r="F1451" s="105">
        <v>38080.78</v>
      </c>
      <c r="G1451" s="105">
        <v>463205.04</v>
      </c>
      <c r="H1451" s="711">
        <v>43055.710180821756</v>
      </c>
      <c r="I1451" s="711">
        <v>43790</v>
      </c>
      <c r="J1451" t="s">
        <v>4573</v>
      </c>
      <c r="K1451" t="s">
        <v>1280</v>
      </c>
      <c r="L1451" t="s">
        <v>1280</v>
      </c>
      <c r="M1451">
        <v>201460</v>
      </c>
      <c r="N1451" t="s">
        <v>4567</v>
      </c>
      <c r="O1451" t="s">
        <v>43</v>
      </c>
      <c r="P1451" t="s">
        <v>338</v>
      </c>
      <c r="Q1451" t="s">
        <v>339</v>
      </c>
      <c r="R1451" s="710">
        <f>IF(Table__192.168.1.150_Daily_Delinquency_With_Sectors[[#This Row],[Days in Arrears]] &gt; 0, Table__192.168.1.150_Daily_Delinquency_With_Sectors[[#This Row],[Outstanding Balance]],0)</f>
        <v>0</v>
      </c>
      <c r="S1451" s="710">
        <f>IF(Table__192.168.1.150_Daily_Delinquency_With_Sectors[[#This Row],[Days in Arrears]] &gt; 30, Table__192.168.1.150_Daily_Delinquency_With_Sectors[[#This Row],[Outstanding Balance]],0)</f>
        <v>0</v>
      </c>
      <c r="T1451" s="710">
        <f>IF(Table__192.168.1.150_Daily_Delinquency_With_Sectors[[#This Row],[Days in Arrears]] &gt; 90, Table__192.168.1.150_Daily_Delinquency_With_Sectors[[#This Row],[Outstanding Balance]],0)</f>
        <v>0</v>
      </c>
      <c r="U1451" s="109">
        <f>IF(Table__192.168.1.150_Daily_Delinquency_With_Sectors[[#This Row],[Days in Arrears]] &gt;= 1,1,0)</f>
        <v>0</v>
      </c>
      <c r="V1451" s="109">
        <f>IF(Table__192.168.1.150_Daily_Delinquency_With_Sectors[[#This Row],[Days in Arrears]] &gt; 30,1,0)</f>
        <v>0</v>
      </c>
      <c r="W1451" s="109">
        <f>IF(Table__192.168.1.150_Daily_Delinquency_With_Sectors[[#This Row],[Days in Arrears]] &gt; 90,1,0)</f>
        <v>0</v>
      </c>
    </row>
    <row r="1452" spans="1:23" x14ac:dyDescent="0.25">
      <c r="A1452" t="s">
        <v>5155</v>
      </c>
      <c r="B1452" t="s">
        <v>1285</v>
      </c>
      <c r="C1452">
        <v>-27</v>
      </c>
      <c r="D1452" s="105">
        <v>11880000</v>
      </c>
      <c r="E1452" t="s">
        <v>284</v>
      </c>
      <c r="F1452" s="105">
        <v>50820</v>
      </c>
      <c r="G1452" s="105">
        <v>618161.75</v>
      </c>
      <c r="H1452" s="711">
        <v>43055.720786886573</v>
      </c>
      <c r="I1452" s="711">
        <v>43790</v>
      </c>
      <c r="J1452" t="s">
        <v>5156</v>
      </c>
      <c r="K1452" t="s">
        <v>1280</v>
      </c>
      <c r="L1452" t="s">
        <v>5157</v>
      </c>
      <c r="M1452">
        <v>201461</v>
      </c>
      <c r="N1452" t="s">
        <v>5152</v>
      </c>
      <c r="O1452" t="s">
        <v>25</v>
      </c>
      <c r="P1452" t="s">
        <v>88</v>
      </c>
      <c r="Q1452" t="s">
        <v>285</v>
      </c>
      <c r="R1452" s="710">
        <f>IF(Table__192.168.1.150_Daily_Delinquency_With_Sectors[[#This Row],[Days in Arrears]] &gt; 0, Table__192.168.1.150_Daily_Delinquency_With_Sectors[[#This Row],[Outstanding Balance]],0)</f>
        <v>0</v>
      </c>
      <c r="S1452" s="710">
        <f>IF(Table__192.168.1.150_Daily_Delinquency_With_Sectors[[#This Row],[Days in Arrears]] &gt; 30, Table__192.168.1.150_Daily_Delinquency_With_Sectors[[#This Row],[Outstanding Balance]],0)</f>
        <v>0</v>
      </c>
      <c r="T1452" s="710">
        <f>IF(Table__192.168.1.150_Daily_Delinquency_With_Sectors[[#This Row],[Days in Arrears]] &gt; 90, Table__192.168.1.150_Daily_Delinquency_With_Sectors[[#This Row],[Outstanding Balance]],0)</f>
        <v>0</v>
      </c>
      <c r="U1452" s="109">
        <f>IF(Table__192.168.1.150_Daily_Delinquency_With_Sectors[[#This Row],[Days in Arrears]] &gt;= 1,1,0)</f>
        <v>0</v>
      </c>
      <c r="V1452" s="109">
        <f>IF(Table__192.168.1.150_Daily_Delinquency_With_Sectors[[#This Row],[Days in Arrears]] &gt; 30,1,0)</f>
        <v>0</v>
      </c>
      <c r="W1452" s="109">
        <f>IF(Table__192.168.1.150_Daily_Delinquency_With_Sectors[[#This Row],[Days in Arrears]] &gt; 90,1,0)</f>
        <v>0</v>
      </c>
    </row>
  </sheetData>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E114"/>
  <sheetViews>
    <sheetView topLeftCell="A56" workbookViewId="0">
      <selection activeCell="A68" sqref="A68"/>
    </sheetView>
  </sheetViews>
  <sheetFormatPr defaultRowHeight="13.2" x14ac:dyDescent="0.25"/>
  <cols>
    <col min="1" max="1" width="22.5546875" customWidth="1"/>
    <col min="2" max="2" width="19.33203125" style="47" customWidth="1"/>
    <col min="3" max="3" width="20.6640625" customWidth="1"/>
    <col min="4" max="4" width="9" customWidth="1"/>
    <col min="5" max="5" width="22.5546875" customWidth="1"/>
  </cols>
  <sheetData>
    <row r="1" spans="1:5" ht="0.75" customHeight="1" x14ac:dyDescent="0.25">
      <c r="A1" s="47" t="s">
        <v>1697</v>
      </c>
      <c r="B1" s="84" t="s">
        <v>958</v>
      </c>
      <c r="C1" s="47" t="s">
        <v>740</v>
      </c>
      <c r="D1">
        <v>0</v>
      </c>
      <c r="E1">
        <v>0</v>
      </c>
    </row>
    <row r="2" spans="1:5" hidden="1" x14ac:dyDescent="0.25">
      <c r="A2" t="s">
        <v>1697</v>
      </c>
      <c r="B2" s="84" t="s">
        <v>958</v>
      </c>
      <c r="C2" s="47" t="s">
        <v>300</v>
      </c>
      <c r="D2">
        <v>0</v>
      </c>
      <c r="E2">
        <v>0</v>
      </c>
    </row>
    <row r="3" spans="1:5" hidden="1" x14ac:dyDescent="0.25">
      <c r="A3" s="47" t="s">
        <v>1697</v>
      </c>
      <c r="B3" s="84" t="s">
        <v>958</v>
      </c>
      <c r="C3" s="47" t="s">
        <v>117</v>
      </c>
      <c r="D3">
        <v>1</v>
      </c>
      <c r="E3">
        <v>1</v>
      </c>
    </row>
    <row r="4" spans="1:5" x14ac:dyDescent="0.25">
      <c r="A4" s="47" t="s">
        <v>971</v>
      </c>
      <c r="B4" s="84" t="s">
        <v>959</v>
      </c>
      <c r="C4" s="47" t="s">
        <v>546</v>
      </c>
      <c r="D4">
        <v>15</v>
      </c>
      <c r="E4">
        <v>100000000</v>
      </c>
    </row>
    <row r="5" spans="1:5" ht="12" customHeight="1" x14ac:dyDescent="0.25">
      <c r="A5" s="47" t="s">
        <v>1635</v>
      </c>
      <c r="B5" s="84" t="s">
        <v>959</v>
      </c>
      <c r="C5" s="47" t="s">
        <v>491</v>
      </c>
      <c r="D5">
        <v>15</v>
      </c>
      <c r="E5">
        <v>100000000</v>
      </c>
    </row>
    <row r="6" spans="1:5" hidden="1" x14ac:dyDescent="0.25">
      <c r="A6" s="47" t="s">
        <v>1697</v>
      </c>
      <c r="B6" s="84" t="s">
        <v>959</v>
      </c>
      <c r="C6" s="47" t="s">
        <v>964</v>
      </c>
      <c r="D6">
        <v>0</v>
      </c>
      <c r="E6">
        <v>0</v>
      </c>
    </row>
    <row r="7" spans="1:5" hidden="1" x14ac:dyDescent="0.25">
      <c r="A7" s="47" t="s">
        <v>1697</v>
      </c>
      <c r="B7" s="84" t="s">
        <v>959</v>
      </c>
      <c r="C7" s="47" t="s">
        <v>123</v>
      </c>
      <c r="D7">
        <v>0</v>
      </c>
      <c r="E7">
        <v>0</v>
      </c>
    </row>
    <row r="8" spans="1:5" hidden="1" x14ac:dyDescent="0.25">
      <c r="A8" t="s">
        <v>1697</v>
      </c>
      <c r="B8" s="84" t="s">
        <v>959</v>
      </c>
      <c r="C8" s="47" t="s">
        <v>115</v>
      </c>
      <c r="D8">
        <v>0</v>
      </c>
      <c r="E8">
        <v>0</v>
      </c>
    </row>
    <row r="9" spans="1:5" x14ac:dyDescent="0.25">
      <c r="A9" s="47" t="s">
        <v>1697</v>
      </c>
      <c r="B9" s="84" t="s">
        <v>961</v>
      </c>
      <c r="C9" s="47" t="s">
        <v>960</v>
      </c>
      <c r="D9">
        <v>0</v>
      </c>
      <c r="E9">
        <v>0</v>
      </c>
    </row>
    <row r="10" spans="1:5" x14ac:dyDescent="0.25">
      <c r="A10" s="47" t="s">
        <v>966</v>
      </c>
      <c r="B10" s="84" t="s">
        <v>959</v>
      </c>
      <c r="C10" s="47" t="s">
        <v>1039</v>
      </c>
      <c r="D10">
        <v>15</v>
      </c>
      <c r="E10">
        <v>100000000</v>
      </c>
    </row>
    <row r="11" spans="1:5" ht="12.75" hidden="1" customHeight="1" x14ac:dyDescent="0.25">
      <c r="A11" s="47" t="s">
        <v>1697</v>
      </c>
      <c r="B11" s="84" t="s">
        <v>961</v>
      </c>
      <c r="C11" s="47" t="s">
        <v>903</v>
      </c>
      <c r="D11">
        <v>0</v>
      </c>
      <c r="E11">
        <v>150000000</v>
      </c>
    </row>
    <row r="12" spans="1:5" ht="12.75" customHeight="1" x14ac:dyDescent="0.25">
      <c r="A12" t="s">
        <v>1697</v>
      </c>
      <c r="B12" s="84" t="s">
        <v>958</v>
      </c>
      <c r="C12" s="47" t="s">
        <v>754</v>
      </c>
    </row>
    <row r="13" spans="1:5" ht="0.75" customHeight="1" x14ac:dyDescent="0.25">
      <c r="A13" s="47" t="s">
        <v>1697</v>
      </c>
      <c r="B13" s="84" t="s">
        <v>958</v>
      </c>
      <c r="C13" s="47" t="s">
        <v>391</v>
      </c>
      <c r="D13">
        <v>0</v>
      </c>
      <c r="E13">
        <v>125000000</v>
      </c>
    </row>
    <row r="14" spans="1:5" ht="12.75" hidden="1" customHeight="1" x14ac:dyDescent="0.25">
      <c r="A14" s="47" t="s">
        <v>1697</v>
      </c>
      <c r="B14" s="84" t="s">
        <v>958</v>
      </c>
      <c r="C14" s="47" t="s">
        <v>918</v>
      </c>
      <c r="D14">
        <v>0</v>
      </c>
      <c r="E14">
        <v>125000000</v>
      </c>
    </row>
    <row r="15" spans="1:5" x14ac:dyDescent="0.25">
      <c r="A15" s="47" t="s">
        <v>1697</v>
      </c>
      <c r="B15" s="84" t="s">
        <v>958</v>
      </c>
      <c r="C15" s="47" t="s">
        <v>580</v>
      </c>
      <c r="D15">
        <v>0</v>
      </c>
    </row>
    <row r="16" spans="1:5" ht="12.75" customHeight="1" x14ac:dyDescent="0.25">
      <c r="A16" s="47" t="s">
        <v>1697</v>
      </c>
      <c r="B16" s="84" t="s">
        <v>958</v>
      </c>
      <c r="C16" s="47" t="s">
        <v>409</v>
      </c>
      <c r="D16">
        <v>0</v>
      </c>
      <c r="E16">
        <v>0</v>
      </c>
    </row>
    <row r="17" spans="1:5" ht="12.75" hidden="1" customHeight="1" x14ac:dyDescent="0.25">
      <c r="A17" s="47" t="s">
        <v>1697</v>
      </c>
      <c r="B17" s="84" t="s">
        <v>961</v>
      </c>
      <c r="C17" s="47" t="s">
        <v>766</v>
      </c>
      <c r="E17">
        <v>125000000</v>
      </c>
    </row>
    <row r="18" spans="1:5" ht="12.75" hidden="1" customHeight="1" x14ac:dyDescent="0.25">
      <c r="A18" s="47" t="s">
        <v>1697</v>
      </c>
      <c r="B18" s="84" t="s">
        <v>961</v>
      </c>
      <c r="C18" s="47" t="s">
        <v>779</v>
      </c>
      <c r="D18">
        <v>1</v>
      </c>
      <c r="E18">
        <v>125000000</v>
      </c>
    </row>
    <row r="19" spans="1:5" ht="12.75" customHeight="1" x14ac:dyDescent="0.25">
      <c r="A19" t="s">
        <v>1697</v>
      </c>
      <c r="B19" s="84" t="s">
        <v>958</v>
      </c>
      <c r="C19" s="47" t="s">
        <v>571</v>
      </c>
      <c r="D19">
        <v>0</v>
      </c>
      <c r="E19">
        <v>0</v>
      </c>
    </row>
    <row r="20" spans="1:5" ht="12.75" customHeight="1" x14ac:dyDescent="0.25">
      <c r="A20" s="47" t="s">
        <v>1697</v>
      </c>
      <c r="B20" s="84" t="s">
        <v>958</v>
      </c>
      <c r="C20" s="47" t="s">
        <v>738</v>
      </c>
      <c r="D20">
        <v>0</v>
      </c>
      <c r="E20">
        <v>0</v>
      </c>
    </row>
    <row r="21" spans="1:5" ht="12.75" customHeight="1" x14ac:dyDescent="0.25">
      <c r="A21" t="s">
        <v>971</v>
      </c>
      <c r="B21" s="84" t="s">
        <v>958</v>
      </c>
      <c r="C21" s="47" t="s">
        <v>468</v>
      </c>
      <c r="D21">
        <v>15</v>
      </c>
      <c r="E21">
        <v>100000000</v>
      </c>
    </row>
    <row r="22" spans="1:5" ht="12.75" customHeight="1" x14ac:dyDescent="0.25">
      <c r="A22" s="47" t="s">
        <v>1697</v>
      </c>
      <c r="B22" s="84" t="s">
        <v>958</v>
      </c>
      <c r="C22" s="47" t="s">
        <v>469</v>
      </c>
      <c r="D22">
        <v>0</v>
      </c>
      <c r="E22">
        <v>0</v>
      </c>
    </row>
    <row r="23" spans="1:5" ht="12.75" customHeight="1" x14ac:dyDescent="0.25">
      <c r="A23" t="s">
        <v>1697</v>
      </c>
      <c r="B23" s="84" t="s">
        <v>958</v>
      </c>
      <c r="C23" s="47" t="s">
        <v>1086</v>
      </c>
      <c r="D23">
        <v>0</v>
      </c>
      <c r="E23">
        <v>0</v>
      </c>
    </row>
    <row r="24" spans="1:5" ht="12.75" customHeight="1" x14ac:dyDescent="0.25">
      <c r="A24" t="s">
        <v>1697</v>
      </c>
      <c r="B24" s="84" t="s">
        <v>958</v>
      </c>
      <c r="C24" s="47" t="s">
        <v>716</v>
      </c>
      <c r="D24">
        <v>0</v>
      </c>
      <c r="E24">
        <v>0</v>
      </c>
    </row>
    <row r="25" spans="1:5" ht="12.75" customHeight="1" x14ac:dyDescent="0.25">
      <c r="A25" s="47" t="s">
        <v>966</v>
      </c>
      <c r="B25" s="84" t="s">
        <v>958</v>
      </c>
      <c r="C25" s="47" t="s">
        <v>86</v>
      </c>
      <c r="D25">
        <v>15</v>
      </c>
      <c r="E25">
        <v>100000000</v>
      </c>
    </row>
    <row r="26" spans="1:5" ht="12.75" customHeight="1" x14ac:dyDescent="0.25">
      <c r="A26" s="47" t="s">
        <v>968</v>
      </c>
      <c r="B26" s="84" t="s">
        <v>958</v>
      </c>
      <c r="C26" s="47" t="s">
        <v>90</v>
      </c>
      <c r="D26">
        <v>15</v>
      </c>
      <c r="E26">
        <v>100000000</v>
      </c>
    </row>
    <row r="27" spans="1:5" ht="12.75" customHeight="1" x14ac:dyDescent="0.25">
      <c r="A27" s="47" t="s">
        <v>969</v>
      </c>
      <c r="B27" s="84" t="s">
        <v>958</v>
      </c>
      <c r="C27" s="47" t="s">
        <v>963</v>
      </c>
      <c r="D27">
        <v>15</v>
      </c>
      <c r="E27">
        <v>100000000</v>
      </c>
    </row>
    <row r="28" spans="1:5" ht="12.75" customHeight="1" x14ac:dyDescent="0.25">
      <c r="A28" s="47" t="s">
        <v>1697</v>
      </c>
      <c r="B28" s="84" t="s">
        <v>961</v>
      </c>
      <c r="C28" s="47" t="s">
        <v>962</v>
      </c>
      <c r="D28">
        <v>0</v>
      </c>
      <c r="E28">
        <v>0</v>
      </c>
    </row>
    <row r="29" spans="1:5" ht="12.75" customHeight="1" x14ac:dyDescent="0.25">
      <c r="A29" s="47" t="s">
        <v>1697</v>
      </c>
      <c r="B29" s="84"/>
      <c r="C29" s="47" t="s">
        <v>541</v>
      </c>
      <c r="D29">
        <v>0</v>
      </c>
      <c r="E29">
        <v>0</v>
      </c>
    </row>
    <row r="30" spans="1:5" ht="12.75" customHeight="1" x14ac:dyDescent="0.25">
      <c r="A30" t="s">
        <v>2079</v>
      </c>
      <c r="B30" s="84"/>
      <c r="C30" s="47" t="s">
        <v>284</v>
      </c>
      <c r="D30">
        <v>0</v>
      </c>
      <c r="E30">
        <v>0</v>
      </c>
    </row>
    <row r="31" spans="1:5" ht="12.75" customHeight="1" x14ac:dyDescent="0.25">
      <c r="A31" s="47" t="s">
        <v>1697</v>
      </c>
      <c r="B31" s="47" t="s">
        <v>959</v>
      </c>
      <c r="C31" s="47" t="s">
        <v>1054</v>
      </c>
      <c r="D31">
        <v>0</v>
      </c>
      <c r="E31">
        <v>0</v>
      </c>
    </row>
    <row r="32" spans="1:5" ht="12.75" customHeight="1" x14ac:dyDescent="0.25">
      <c r="A32" s="47" t="s">
        <v>966</v>
      </c>
      <c r="B32" s="84" t="s">
        <v>958</v>
      </c>
      <c r="C32" s="47" t="s">
        <v>1191</v>
      </c>
      <c r="D32">
        <v>15</v>
      </c>
      <c r="E32">
        <v>100000000</v>
      </c>
    </row>
    <row r="33" spans="1:5" ht="11.25" hidden="1" customHeight="1" x14ac:dyDescent="0.25">
      <c r="A33" s="47" t="s">
        <v>1697</v>
      </c>
      <c r="B33" s="84" t="s">
        <v>958</v>
      </c>
      <c r="C33" s="47" t="s">
        <v>1243</v>
      </c>
      <c r="D33">
        <v>0</v>
      </c>
      <c r="E33">
        <v>0</v>
      </c>
    </row>
    <row r="34" spans="1:5" hidden="1" x14ac:dyDescent="0.25">
      <c r="A34" s="47" t="s">
        <v>1697</v>
      </c>
      <c r="B34" s="84" t="s">
        <v>958</v>
      </c>
      <c r="C34" s="47" t="s">
        <v>1273</v>
      </c>
      <c r="D34">
        <v>0</v>
      </c>
      <c r="E34">
        <v>0</v>
      </c>
    </row>
    <row r="35" spans="1:5" ht="12.75" hidden="1" customHeight="1" x14ac:dyDescent="0.25">
      <c r="A35" s="47" t="s">
        <v>1697</v>
      </c>
      <c r="B35" s="84" t="s">
        <v>961</v>
      </c>
      <c r="C35" s="47" t="s">
        <v>1317</v>
      </c>
      <c r="D35">
        <v>0</v>
      </c>
      <c r="E35">
        <v>0</v>
      </c>
    </row>
    <row r="36" spans="1:5" ht="12.75" hidden="1" customHeight="1" x14ac:dyDescent="0.25">
      <c r="A36" s="47" t="s">
        <v>1697</v>
      </c>
      <c r="B36" s="84" t="s">
        <v>961</v>
      </c>
      <c r="C36" s="47" t="s">
        <v>1324</v>
      </c>
      <c r="D36">
        <v>0</v>
      </c>
      <c r="E36">
        <v>0</v>
      </c>
    </row>
    <row r="37" spans="1:5" ht="12.75" hidden="1" customHeight="1" x14ac:dyDescent="0.25">
      <c r="A37" s="47" t="s">
        <v>1697</v>
      </c>
      <c r="B37" s="84" t="s">
        <v>961</v>
      </c>
      <c r="C37" s="47" t="s">
        <v>1323</v>
      </c>
      <c r="D37">
        <v>0</v>
      </c>
      <c r="E37">
        <v>0</v>
      </c>
    </row>
    <row r="38" spans="1:5" ht="12.75" hidden="1" customHeight="1" x14ac:dyDescent="0.25">
      <c r="A38" s="47" t="s">
        <v>1697</v>
      </c>
      <c r="B38" s="84" t="s">
        <v>961</v>
      </c>
      <c r="C38" s="47" t="s">
        <v>1335</v>
      </c>
      <c r="D38">
        <v>0</v>
      </c>
      <c r="E38">
        <v>0</v>
      </c>
    </row>
    <row r="39" spans="1:5" ht="12.75" hidden="1" customHeight="1" x14ac:dyDescent="0.25">
      <c r="A39" s="47" t="s">
        <v>1697</v>
      </c>
      <c r="B39" s="84" t="s">
        <v>961</v>
      </c>
      <c r="C39" s="47" t="s">
        <v>1320</v>
      </c>
    </row>
    <row r="40" spans="1:5" ht="12.75" hidden="1" customHeight="1" x14ac:dyDescent="0.25">
      <c r="A40" s="47" t="s">
        <v>1697</v>
      </c>
      <c r="B40" s="84" t="s">
        <v>961</v>
      </c>
      <c r="C40" s="47" t="s">
        <v>1321</v>
      </c>
      <c r="D40">
        <v>0</v>
      </c>
      <c r="E40">
        <v>0</v>
      </c>
    </row>
    <row r="41" spans="1:5" ht="12.75" customHeight="1" x14ac:dyDescent="0.25">
      <c r="A41" s="47" t="s">
        <v>1697</v>
      </c>
      <c r="B41" s="84" t="s">
        <v>959</v>
      </c>
      <c r="C41" s="47" t="s">
        <v>1480</v>
      </c>
      <c r="D41">
        <v>0</v>
      </c>
      <c r="E41">
        <v>0</v>
      </c>
    </row>
    <row r="42" spans="1:5" ht="12.75" hidden="1" customHeight="1" x14ac:dyDescent="0.25">
      <c r="A42" s="47" t="s">
        <v>1697</v>
      </c>
      <c r="B42" s="84" t="s">
        <v>961</v>
      </c>
      <c r="C42" s="47" t="s">
        <v>1322</v>
      </c>
      <c r="D42">
        <v>0</v>
      </c>
      <c r="E42">
        <v>0</v>
      </c>
    </row>
    <row r="43" spans="1:5" ht="12.75" hidden="1" customHeight="1" x14ac:dyDescent="0.25">
      <c r="A43" s="47" t="s">
        <v>1697</v>
      </c>
      <c r="B43" s="84" t="s">
        <v>961</v>
      </c>
      <c r="C43" t="s">
        <v>1325</v>
      </c>
      <c r="D43">
        <v>0</v>
      </c>
      <c r="E43">
        <v>0</v>
      </c>
    </row>
    <row r="44" spans="1:5" hidden="1" x14ac:dyDescent="0.25">
      <c r="A44" s="47" t="s">
        <v>1697</v>
      </c>
      <c r="B44" s="84" t="s">
        <v>961</v>
      </c>
      <c r="C44" s="47" t="s">
        <v>1540</v>
      </c>
      <c r="D44">
        <v>8</v>
      </c>
      <c r="E44">
        <v>0</v>
      </c>
    </row>
    <row r="45" spans="1:5" hidden="1" x14ac:dyDescent="0.25">
      <c r="A45" s="47" t="s">
        <v>1697</v>
      </c>
      <c r="B45" s="84" t="s">
        <v>961</v>
      </c>
      <c r="C45" s="47" t="s">
        <v>1733</v>
      </c>
      <c r="D45">
        <v>8</v>
      </c>
      <c r="E45">
        <v>0</v>
      </c>
    </row>
    <row r="46" spans="1:5" x14ac:dyDescent="0.25">
      <c r="A46" s="47" t="s">
        <v>967</v>
      </c>
      <c r="B46" s="84" t="s">
        <v>958</v>
      </c>
      <c r="C46" s="47" t="s">
        <v>1448</v>
      </c>
    </row>
    <row r="47" spans="1:5" x14ac:dyDescent="0.25">
      <c r="A47" s="47" t="s">
        <v>968</v>
      </c>
      <c r="B47" s="47" t="s">
        <v>958</v>
      </c>
      <c r="C47" s="47" t="s">
        <v>1447</v>
      </c>
      <c r="D47">
        <v>15</v>
      </c>
      <c r="E47">
        <v>100000000</v>
      </c>
    </row>
    <row r="48" spans="1:5" hidden="1" x14ac:dyDescent="0.25">
      <c r="A48" s="47" t="s">
        <v>1697</v>
      </c>
      <c r="B48" s="47" t="s">
        <v>959</v>
      </c>
      <c r="C48" s="47" t="s">
        <v>1560</v>
      </c>
      <c r="D48" s="47">
        <v>10</v>
      </c>
      <c r="E48" s="47">
        <v>100000000</v>
      </c>
    </row>
    <row r="49" spans="1:5" hidden="1" x14ac:dyDescent="0.25">
      <c r="A49" s="47" t="s">
        <v>1697</v>
      </c>
      <c r="B49" s="47" t="s">
        <v>959</v>
      </c>
      <c r="C49" s="47" t="s">
        <v>1513</v>
      </c>
      <c r="D49" s="47">
        <v>10</v>
      </c>
      <c r="E49" s="47">
        <v>100000000</v>
      </c>
    </row>
    <row r="50" spans="1:5" x14ac:dyDescent="0.25">
      <c r="A50" s="47" t="s">
        <v>969</v>
      </c>
      <c r="B50" s="47" t="s">
        <v>961</v>
      </c>
      <c r="C50" s="47" t="s">
        <v>1667</v>
      </c>
      <c r="D50">
        <v>15</v>
      </c>
      <c r="E50">
        <v>100000000</v>
      </c>
    </row>
    <row r="51" spans="1:5" ht="0.75" customHeight="1" x14ac:dyDescent="0.25">
      <c r="A51" s="47" t="s">
        <v>1697</v>
      </c>
      <c r="B51" s="47" t="s">
        <v>961</v>
      </c>
      <c r="C51" s="47" t="s">
        <v>1913</v>
      </c>
      <c r="D51" s="47">
        <v>10</v>
      </c>
      <c r="E51" s="47">
        <v>100000000</v>
      </c>
    </row>
    <row r="52" spans="1:5" hidden="1" x14ac:dyDescent="0.25">
      <c r="A52" s="47" t="s">
        <v>1697</v>
      </c>
      <c r="B52" s="47" t="s">
        <v>959</v>
      </c>
      <c r="C52" s="47" t="s">
        <v>1686</v>
      </c>
      <c r="D52" s="47">
        <v>10</v>
      </c>
      <c r="E52" s="47">
        <v>100000000</v>
      </c>
    </row>
    <row r="53" spans="1:5" x14ac:dyDescent="0.25">
      <c r="A53" s="47" t="s">
        <v>1635</v>
      </c>
      <c r="B53" s="47" t="s">
        <v>959</v>
      </c>
      <c r="C53" s="47" t="s">
        <v>1467</v>
      </c>
      <c r="D53">
        <v>15</v>
      </c>
      <c r="E53">
        <v>100000000</v>
      </c>
    </row>
    <row r="54" spans="1:5" x14ac:dyDescent="0.25">
      <c r="A54" s="47" t="s">
        <v>1697</v>
      </c>
      <c r="B54" s="47" t="s">
        <v>961</v>
      </c>
      <c r="C54" s="47" t="s">
        <v>1564</v>
      </c>
      <c r="D54">
        <v>15</v>
      </c>
      <c r="E54" s="47">
        <v>0</v>
      </c>
    </row>
    <row r="55" spans="1:5" x14ac:dyDescent="0.25">
      <c r="A55" s="47" t="s">
        <v>1697</v>
      </c>
      <c r="B55" s="47" t="s">
        <v>961</v>
      </c>
      <c r="C55" s="47" t="s">
        <v>1707</v>
      </c>
      <c r="D55" s="47">
        <v>0</v>
      </c>
      <c r="E55" s="47">
        <v>0</v>
      </c>
    </row>
    <row r="56" spans="1:5" x14ac:dyDescent="0.25">
      <c r="A56" s="47" t="s">
        <v>1697</v>
      </c>
      <c r="B56" s="47" t="s">
        <v>961</v>
      </c>
      <c r="C56" s="47" t="s">
        <v>1868</v>
      </c>
      <c r="D56" s="47">
        <v>0</v>
      </c>
      <c r="E56" s="47">
        <v>0</v>
      </c>
    </row>
    <row r="57" spans="1:5" x14ac:dyDescent="0.25">
      <c r="A57" s="47" t="s">
        <v>970</v>
      </c>
      <c r="B57" s="47" t="s">
        <v>961</v>
      </c>
      <c r="C57" s="47" t="s">
        <v>1925</v>
      </c>
      <c r="D57">
        <v>15</v>
      </c>
      <c r="E57">
        <v>100000000</v>
      </c>
    </row>
    <row r="58" spans="1:5" x14ac:dyDescent="0.25">
      <c r="A58" s="47" t="s">
        <v>1635</v>
      </c>
      <c r="B58" s="47" t="s">
        <v>961</v>
      </c>
      <c r="C58" s="47" t="s">
        <v>1909</v>
      </c>
      <c r="D58">
        <v>15</v>
      </c>
      <c r="E58">
        <v>100000000</v>
      </c>
    </row>
    <row r="59" spans="1:5" x14ac:dyDescent="0.25">
      <c r="A59" s="47" t="s">
        <v>971</v>
      </c>
      <c r="B59" s="47" t="s">
        <v>961</v>
      </c>
      <c r="C59" s="47" t="s">
        <v>2034</v>
      </c>
      <c r="D59">
        <v>15</v>
      </c>
      <c r="E59">
        <v>100000000</v>
      </c>
    </row>
    <row r="60" spans="1:5" x14ac:dyDescent="0.25">
      <c r="A60" s="47" t="s">
        <v>1697</v>
      </c>
      <c r="B60" s="47" t="s">
        <v>961</v>
      </c>
      <c r="C60" s="47" t="s">
        <v>1929</v>
      </c>
      <c r="D60" s="47">
        <v>0</v>
      </c>
      <c r="E60" s="47">
        <v>0</v>
      </c>
    </row>
    <row r="61" spans="1:5" x14ac:dyDescent="0.25">
      <c r="A61" s="47" t="s">
        <v>1697</v>
      </c>
      <c r="B61" s="47" t="s">
        <v>961</v>
      </c>
      <c r="C61" s="47" t="s">
        <v>2125</v>
      </c>
      <c r="D61" s="47">
        <v>0</v>
      </c>
      <c r="E61" s="47">
        <v>0</v>
      </c>
    </row>
    <row r="62" spans="1:5" x14ac:dyDescent="0.25">
      <c r="A62" s="47" t="s">
        <v>1697</v>
      </c>
      <c r="B62" s="47" t="s">
        <v>2232</v>
      </c>
      <c r="C62" s="47" t="s">
        <v>2131</v>
      </c>
      <c r="D62" s="47">
        <v>0</v>
      </c>
      <c r="E62" s="47">
        <v>0</v>
      </c>
    </row>
    <row r="63" spans="1:5" x14ac:dyDescent="0.25">
      <c r="A63" s="47" t="s">
        <v>1697</v>
      </c>
      <c r="B63" s="47" t="s">
        <v>961</v>
      </c>
      <c r="C63" s="47" t="s">
        <v>1930</v>
      </c>
      <c r="D63" s="47">
        <v>0</v>
      </c>
      <c r="E63" s="47">
        <v>0</v>
      </c>
    </row>
    <row r="64" spans="1:5" x14ac:dyDescent="0.25">
      <c r="A64" s="47" t="s">
        <v>971</v>
      </c>
      <c r="B64" s="84" t="s">
        <v>959</v>
      </c>
      <c r="C64" s="47" t="s">
        <v>2175</v>
      </c>
      <c r="D64">
        <v>15</v>
      </c>
      <c r="E64">
        <v>100000000</v>
      </c>
    </row>
    <row r="65" spans="1:5" x14ac:dyDescent="0.25">
      <c r="A65" s="47" t="s">
        <v>1697</v>
      </c>
      <c r="B65" s="84" t="s">
        <v>961</v>
      </c>
      <c r="C65" s="47" t="s">
        <v>2165</v>
      </c>
      <c r="D65" s="47">
        <v>0</v>
      </c>
      <c r="E65" s="47">
        <v>0</v>
      </c>
    </row>
    <row r="66" spans="1:5" x14ac:dyDescent="0.25">
      <c r="A66" s="47" t="s">
        <v>1697</v>
      </c>
      <c r="B66" s="47" t="s">
        <v>961</v>
      </c>
      <c r="C66" s="47" t="s">
        <v>2183</v>
      </c>
      <c r="D66" s="47">
        <v>0</v>
      </c>
      <c r="E66" s="47">
        <v>0</v>
      </c>
    </row>
    <row r="67" spans="1:5" x14ac:dyDescent="0.25">
      <c r="A67" s="47" t="s">
        <v>1697</v>
      </c>
      <c r="B67" s="47" t="s">
        <v>959</v>
      </c>
      <c r="C67" s="47" t="s">
        <v>2184</v>
      </c>
      <c r="D67" s="47">
        <v>0</v>
      </c>
      <c r="E67" s="47">
        <v>0</v>
      </c>
    </row>
    <row r="68" spans="1:5" x14ac:dyDescent="0.25">
      <c r="A68" s="47" t="s">
        <v>1697</v>
      </c>
      <c r="B68" s="47" t="s">
        <v>2232</v>
      </c>
      <c r="C68" s="47" t="s">
        <v>2185</v>
      </c>
      <c r="D68" s="47">
        <v>0</v>
      </c>
      <c r="E68" s="47">
        <v>0</v>
      </c>
    </row>
    <row r="69" spans="1:5" x14ac:dyDescent="0.25">
      <c r="A69" s="47" t="s">
        <v>1697</v>
      </c>
      <c r="B69" s="47" t="s">
        <v>2232</v>
      </c>
      <c r="C69" s="47" t="s">
        <v>2186</v>
      </c>
      <c r="D69" s="47">
        <v>0</v>
      </c>
      <c r="E69" s="47">
        <v>0</v>
      </c>
    </row>
    <row r="70" spans="1:5" x14ac:dyDescent="0.25">
      <c r="A70" s="47" t="s">
        <v>1697</v>
      </c>
      <c r="B70" s="47" t="s">
        <v>2232</v>
      </c>
      <c r="C70" s="47" t="s">
        <v>2634</v>
      </c>
      <c r="D70" s="47">
        <v>0</v>
      </c>
      <c r="E70" s="47">
        <v>0</v>
      </c>
    </row>
    <row r="71" spans="1:5" x14ac:dyDescent="0.25">
      <c r="A71" s="47" t="s">
        <v>1697</v>
      </c>
      <c r="B71" s="47" t="s">
        <v>2232</v>
      </c>
      <c r="C71" s="47" t="s">
        <v>2237</v>
      </c>
      <c r="D71" s="47">
        <v>0</v>
      </c>
      <c r="E71" s="47">
        <v>0</v>
      </c>
    </row>
    <row r="72" spans="1:5" x14ac:dyDescent="0.25">
      <c r="A72" s="47" t="s">
        <v>1697</v>
      </c>
      <c r="B72" s="47" t="s">
        <v>2232</v>
      </c>
      <c r="C72" s="47" t="s">
        <v>2700</v>
      </c>
      <c r="D72" s="47">
        <v>0</v>
      </c>
      <c r="E72" s="47">
        <v>0</v>
      </c>
    </row>
    <row r="73" spans="1:5" x14ac:dyDescent="0.25">
      <c r="A73" s="47" t="s">
        <v>2079</v>
      </c>
      <c r="C73" s="47" t="s">
        <v>5726</v>
      </c>
      <c r="D73" s="47">
        <v>0</v>
      </c>
      <c r="E73" s="47">
        <v>0</v>
      </c>
    </row>
    <row r="74" spans="1:5" x14ac:dyDescent="0.25">
      <c r="A74" s="47" t="s">
        <v>2079</v>
      </c>
      <c r="C74" s="47" t="s">
        <v>5724</v>
      </c>
      <c r="D74" s="47">
        <v>0</v>
      </c>
      <c r="E74" s="47">
        <v>0</v>
      </c>
    </row>
    <row r="75" spans="1:5" x14ac:dyDescent="0.25">
      <c r="A75" s="47" t="s">
        <v>2079</v>
      </c>
      <c r="C75" s="47" t="s">
        <v>5725</v>
      </c>
      <c r="D75" s="47">
        <v>0</v>
      </c>
      <c r="E75" s="47">
        <v>0</v>
      </c>
    </row>
    <row r="76" spans="1:5" x14ac:dyDescent="0.25">
      <c r="A76" s="47" t="s">
        <v>2079</v>
      </c>
      <c r="C76" s="47" t="s">
        <v>2419</v>
      </c>
      <c r="D76" s="47">
        <v>0</v>
      </c>
      <c r="E76" s="47">
        <v>0</v>
      </c>
    </row>
    <row r="77" spans="1:5" x14ac:dyDescent="0.25">
      <c r="A77" s="47" t="s">
        <v>967</v>
      </c>
      <c r="B77" s="47" t="s">
        <v>2232</v>
      </c>
      <c r="C77" s="47" t="s">
        <v>2494</v>
      </c>
      <c r="D77">
        <v>15</v>
      </c>
      <c r="E77">
        <v>100000000</v>
      </c>
    </row>
    <row r="78" spans="1:5" x14ac:dyDescent="0.25">
      <c r="A78" s="47" t="s">
        <v>969</v>
      </c>
      <c r="B78" s="47" t="s">
        <v>2232</v>
      </c>
      <c r="C78" s="47" t="s">
        <v>2538</v>
      </c>
      <c r="D78">
        <v>15</v>
      </c>
      <c r="E78">
        <v>100000000</v>
      </c>
    </row>
    <row r="79" spans="1:5" x14ac:dyDescent="0.25">
      <c r="A79" s="47" t="s">
        <v>1635</v>
      </c>
      <c r="B79" s="47" t="s">
        <v>2232</v>
      </c>
      <c r="C79" s="47" t="s">
        <v>2557</v>
      </c>
      <c r="D79">
        <v>15</v>
      </c>
      <c r="E79">
        <v>100000000</v>
      </c>
    </row>
    <row r="80" spans="1:5" x14ac:dyDescent="0.25">
      <c r="A80" s="47" t="s">
        <v>1697</v>
      </c>
      <c r="B80" s="47" t="s">
        <v>2232</v>
      </c>
      <c r="C80" s="47" t="s">
        <v>2573</v>
      </c>
      <c r="D80" s="47">
        <v>0</v>
      </c>
      <c r="E80" s="47">
        <v>0</v>
      </c>
    </row>
    <row r="81" spans="1:5" x14ac:dyDescent="0.25">
      <c r="A81" s="47" t="s">
        <v>1697</v>
      </c>
      <c r="B81" s="47" t="s">
        <v>2232</v>
      </c>
      <c r="C81" s="47" t="s">
        <v>2613</v>
      </c>
      <c r="D81" s="47">
        <v>0</v>
      </c>
      <c r="E81" s="47">
        <v>0</v>
      </c>
    </row>
    <row r="82" spans="1:5" x14ac:dyDescent="0.25">
      <c r="A82" s="47" t="s">
        <v>1697</v>
      </c>
      <c r="C82" s="47" t="s">
        <v>541</v>
      </c>
      <c r="D82" s="47">
        <v>0</v>
      </c>
      <c r="E82" s="47">
        <v>0</v>
      </c>
    </row>
    <row r="83" spans="1:5" x14ac:dyDescent="0.25">
      <c r="A83" s="47" t="s">
        <v>1697</v>
      </c>
      <c r="B83" s="47" t="s">
        <v>2232</v>
      </c>
      <c r="C83" s="47" t="s">
        <v>2809</v>
      </c>
      <c r="D83" s="47"/>
      <c r="E83" s="47">
        <v>0</v>
      </c>
    </row>
    <row r="84" spans="1:5" x14ac:dyDescent="0.25">
      <c r="A84" s="47" t="s">
        <v>1697</v>
      </c>
      <c r="B84" s="47" t="s">
        <v>2232</v>
      </c>
      <c r="C84" s="47" t="s">
        <v>3399</v>
      </c>
      <c r="D84" s="47">
        <v>0</v>
      </c>
      <c r="E84" s="47">
        <v>0</v>
      </c>
    </row>
    <row r="85" spans="1:5" x14ac:dyDescent="0.25">
      <c r="A85" s="47" t="s">
        <v>1697</v>
      </c>
      <c r="B85" s="47" t="s">
        <v>2232</v>
      </c>
      <c r="C85" s="47" t="s">
        <v>2876</v>
      </c>
      <c r="D85" s="47">
        <v>0</v>
      </c>
      <c r="E85" s="47">
        <v>0</v>
      </c>
    </row>
    <row r="86" spans="1:5" x14ac:dyDescent="0.25">
      <c r="A86" s="47" t="s">
        <v>1635</v>
      </c>
      <c r="B86" s="47" t="s">
        <v>2232</v>
      </c>
      <c r="C86" s="47" t="s">
        <v>2855</v>
      </c>
      <c r="D86">
        <v>15</v>
      </c>
      <c r="E86">
        <v>100000000</v>
      </c>
    </row>
    <row r="87" spans="1:5" x14ac:dyDescent="0.25">
      <c r="A87" s="47" t="s">
        <v>1697</v>
      </c>
      <c r="B87" s="47" t="s">
        <v>2232</v>
      </c>
      <c r="C87" s="47" t="s">
        <v>3227</v>
      </c>
      <c r="D87" s="47">
        <v>0</v>
      </c>
      <c r="E87" s="47">
        <v>0</v>
      </c>
    </row>
    <row r="88" spans="1:5" x14ac:dyDescent="0.25">
      <c r="A88" s="47" t="s">
        <v>968</v>
      </c>
      <c r="B88" s="47" t="s">
        <v>2232</v>
      </c>
      <c r="C88" s="47" t="s">
        <v>2861</v>
      </c>
      <c r="D88">
        <v>15</v>
      </c>
      <c r="E88">
        <v>100000000</v>
      </c>
    </row>
    <row r="89" spans="1:5" x14ac:dyDescent="0.25">
      <c r="A89" s="47" t="s">
        <v>1635</v>
      </c>
      <c r="B89" s="47" t="s">
        <v>2232</v>
      </c>
      <c r="C89" s="47" t="s">
        <v>5417</v>
      </c>
      <c r="D89" s="47">
        <v>10</v>
      </c>
      <c r="E89" s="47">
        <v>85000000</v>
      </c>
    </row>
    <row r="90" spans="1:5" x14ac:dyDescent="0.25">
      <c r="A90" s="47" t="s">
        <v>970</v>
      </c>
      <c r="B90" s="47" t="s">
        <v>2232</v>
      </c>
      <c r="C90" s="47" t="s">
        <v>3074</v>
      </c>
      <c r="D90">
        <v>15</v>
      </c>
      <c r="E90">
        <v>100000000</v>
      </c>
    </row>
    <row r="91" spans="1:5" x14ac:dyDescent="0.25">
      <c r="A91" s="47" t="s">
        <v>1635</v>
      </c>
      <c r="B91" s="47" t="s">
        <v>2232</v>
      </c>
      <c r="C91" s="47" t="s">
        <v>5410</v>
      </c>
      <c r="D91" s="47">
        <v>10</v>
      </c>
      <c r="E91" s="47">
        <v>85000000</v>
      </c>
    </row>
    <row r="92" spans="1:5" x14ac:dyDescent="0.25">
      <c r="A92" s="47" t="s">
        <v>970</v>
      </c>
      <c r="B92" s="47" t="s">
        <v>2232</v>
      </c>
      <c r="C92" s="47" t="s">
        <v>4683</v>
      </c>
      <c r="D92" s="47">
        <v>10</v>
      </c>
      <c r="E92" s="47">
        <v>85000000</v>
      </c>
    </row>
    <row r="93" spans="1:5" x14ac:dyDescent="0.25">
      <c r="A93" s="47" t="s">
        <v>4682</v>
      </c>
      <c r="B93" s="47" t="s">
        <v>2232</v>
      </c>
      <c r="C93" s="47" t="s">
        <v>4919</v>
      </c>
      <c r="D93" s="47">
        <v>10</v>
      </c>
      <c r="E93" s="47">
        <v>85000000</v>
      </c>
    </row>
    <row r="94" spans="1:5" x14ac:dyDescent="0.25">
      <c r="A94" s="47" t="s">
        <v>967</v>
      </c>
      <c r="B94" s="47" t="s">
        <v>2232</v>
      </c>
      <c r="C94" s="47" t="s">
        <v>4684</v>
      </c>
      <c r="D94" s="47">
        <v>10</v>
      </c>
      <c r="E94" s="47">
        <v>85000000</v>
      </c>
    </row>
    <row r="95" spans="1:5" x14ac:dyDescent="0.25">
      <c r="A95" s="47" t="s">
        <v>4682</v>
      </c>
      <c r="B95" s="47" t="s">
        <v>2232</v>
      </c>
      <c r="C95" s="47" t="s">
        <v>4685</v>
      </c>
      <c r="D95" s="47">
        <v>10</v>
      </c>
      <c r="E95" s="47">
        <v>85000000</v>
      </c>
    </row>
    <row r="96" spans="1:5" x14ac:dyDescent="0.25">
      <c r="A96" s="47" t="s">
        <v>4682</v>
      </c>
      <c r="B96" s="47" t="s">
        <v>2232</v>
      </c>
      <c r="C96" s="47" t="s">
        <v>4686</v>
      </c>
      <c r="D96" s="47">
        <v>10</v>
      </c>
      <c r="E96" s="47">
        <v>85000000</v>
      </c>
    </row>
    <row r="97" spans="1:5" x14ac:dyDescent="0.25">
      <c r="A97" s="47" t="s">
        <v>970</v>
      </c>
      <c r="B97" s="47" t="s">
        <v>2232</v>
      </c>
      <c r="C97" s="47" t="s">
        <v>4844</v>
      </c>
      <c r="D97" s="47">
        <v>10</v>
      </c>
      <c r="E97" s="47">
        <v>85000000</v>
      </c>
    </row>
    <row r="98" spans="1:5" x14ac:dyDescent="0.25">
      <c r="A98" s="47" t="s">
        <v>1697</v>
      </c>
      <c r="B98" s="47" t="s">
        <v>2232</v>
      </c>
      <c r="C98" s="47" t="s">
        <v>2613</v>
      </c>
      <c r="D98" s="47"/>
      <c r="E98" s="47"/>
    </row>
    <row r="99" spans="1:5" x14ac:dyDescent="0.25">
      <c r="A99" s="47" t="s">
        <v>1697</v>
      </c>
      <c r="B99" s="47" t="s">
        <v>2232</v>
      </c>
      <c r="C99" s="47" t="s">
        <v>4845</v>
      </c>
      <c r="D99" s="47">
        <v>0</v>
      </c>
      <c r="E99" s="47">
        <v>0</v>
      </c>
    </row>
    <row r="100" spans="1:5" x14ac:dyDescent="0.25">
      <c r="A100" s="47" t="s">
        <v>969</v>
      </c>
      <c r="B100" s="47" t="s">
        <v>2232</v>
      </c>
      <c r="C100" s="47" t="s">
        <v>5047</v>
      </c>
      <c r="D100" s="47">
        <v>10</v>
      </c>
      <c r="E100" s="47">
        <v>85000000</v>
      </c>
    </row>
    <row r="101" spans="1:5" x14ac:dyDescent="0.25">
      <c r="A101" s="47" t="s">
        <v>967</v>
      </c>
      <c r="B101" s="47" t="s">
        <v>2232</v>
      </c>
      <c r="C101" s="47" t="s">
        <v>5124</v>
      </c>
      <c r="D101" s="47">
        <v>10</v>
      </c>
      <c r="E101" s="47">
        <v>85000000</v>
      </c>
    </row>
    <row r="102" spans="1:5" x14ac:dyDescent="0.25">
      <c r="A102" s="47" t="s">
        <v>966</v>
      </c>
      <c r="B102" s="47" t="s">
        <v>2232</v>
      </c>
      <c r="C102" s="47" t="s">
        <v>5167</v>
      </c>
      <c r="D102" s="47">
        <v>10</v>
      </c>
      <c r="E102" s="47">
        <v>85000000</v>
      </c>
    </row>
    <row r="103" spans="1:5" x14ac:dyDescent="0.25">
      <c r="A103" s="47" t="s">
        <v>1697</v>
      </c>
      <c r="B103" s="47" t="s">
        <v>2232</v>
      </c>
      <c r="C103" s="47" t="s">
        <v>5242</v>
      </c>
      <c r="D103" s="47"/>
      <c r="E103" s="47"/>
    </row>
    <row r="104" spans="1:5" x14ac:dyDescent="0.25">
      <c r="A104" s="47" t="s">
        <v>968</v>
      </c>
      <c r="B104" s="47" t="s">
        <v>2232</v>
      </c>
      <c r="C104" s="47" t="s">
        <v>5335</v>
      </c>
      <c r="D104" s="47">
        <v>10</v>
      </c>
      <c r="E104" s="47">
        <v>85000000</v>
      </c>
    </row>
    <row r="105" spans="1:5" x14ac:dyDescent="0.25">
      <c r="A105" s="47" t="s">
        <v>967</v>
      </c>
      <c r="B105" s="47" t="s">
        <v>2232</v>
      </c>
      <c r="C105" s="47" t="s">
        <v>5352</v>
      </c>
      <c r="D105" s="47">
        <v>10</v>
      </c>
      <c r="E105" s="47">
        <v>85000000</v>
      </c>
    </row>
    <row r="106" spans="1:5" x14ac:dyDescent="0.25">
      <c r="A106" s="47" t="s">
        <v>4682</v>
      </c>
      <c r="B106" s="47" t="s">
        <v>2232</v>
      </c>
      <c r="C106" s="47" t="s">
        <v>5382</v>
      </c>
      <c r="D106" s="47">
        <v>10</v>
      </c>
      <c r="E106" s="47">
        <v>85000000</v>
      </c>
    </row>
    <row r="107" spans="1:5" x14ac:dyDescent="0.25">
      <c r="A107" s="47" t="s">
        <v>970</v>
      </c>
      <c r="B107" s="47" t="s">
        <v>2232</v>
      </c>
      <c r="C107" s="47" t="s">
        <v>5491</v>
      </c>
      <c r="D107" s="47">
        <v>10</v>
      </c>
      <c r="E107" s="47">
        <v>85000000</v>
      </c>
    </row>
    <row r="108" spans="1:5" x14ac:dyDescent="0.25">
      <c r="A108" s="47" t="s">
        <v>969</v>
      </c>
      <c r="B108" s="47" t="s">
        <v>2232</v>
      </c>
      <c r="C108" s="47" t="s">
        <v>5383</v>
      </c>
      <c r="D108" s="47">
        <v>10</v>
      </c>
      <c r="E108" s="47">
        <v>85000000</v>
      </c>
    </row>
    <row r="109" spans="1:5" x14ac:dyDescent="0.25">
      <c r="A109" s="47" t="s">
        <v>4682</v>
      </c>
      <c r="B109" s="47" t="s">
        <v>2232</v>
      </c>
      <c r="C109" s="47" t="s">
        <v>5384</v>
      </c>
      <c r="D109" s="47">
        <v>10</v>
      </c>
      <c r="E109" s="47">
        <v>85000000</v>
      </c>
    </row>
    <row r="110" spans="1:5" x14ac:dyDescent="0.25">
      <c r="A110" s="47" t="s">
        <v>971</v>
      </c>
      <c r="B110" s="47" t="s">
        <v>2232</v>
      </c>
      <c r="C110" s="47" t="s">
        <v>5385</v>
      </c>
      <c r="D110" s="47">
        <v>10</v>
      </c>
      <c r="E110" s="47">
        <v>85000000</v>
      </c>
    </row>
    <row r="111" spans="1:5" x14ac:dyDescent="0.25">
      <c r="A111" s="47" t="s">
        <v>969</v>
      </c>
      <c r="B111" s="47" t="s">
        <v>2232</v>
      </c>
      <c r="C111" s="47" t="s">
        <v>5386</v>
      </c>
      <c r="D111" s="47">
        <v>10</v>
      </c>
      <c r="E111" s="47">
        <v>85000000</v>
      </c>
    </row>
    <row r="112" spans="1:5" x14ac:dyDescent="0.25">
      <c r="A112" s="47" t="s">
        <v>968</v>
      </c>
      <c r="B112" s="47" t="s">
        <v>2232</v>
      </c>
      <c r="C112" s="47" t="s">
        <v>5387</v>
      </c>
      <c r="D112" s="47">
        <v>10</v>
      </c>
      <c r="E112" s="47">
        <v>85000000</v>
      </c>
    </row>
    <row r="113" spans="1:5" x14ac:dyDescent="0.25">
      <c r="A113" s="47"/>
      <c r="C113" s="47"/>
      <c r="D113" s="47"/>
      <c r="E113" s="47"/>
    </row>
    <row r="114" spans="1:5" x14ac:dyDescent="0.25">
      <c r="E114" s="47"/>
    </row>
  </sheetData>
  <autoFilter ref="A1:A94" xr:uid="{00000000-0009-0000-0000-00000F000000}"/>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W66"/>
  <sheetViews>
    <sheetView workbookViewId="0">
      <selection activeCell="I6" sqref="I6"/>
    </sheetView>
  </sheetViews>
  <sheetFormatPr defaultRowHeight="13.2" x14ac:dyDescent="0.25"/>
  <cols>
    <col min="1" max="1" width="14.33203125" customWidth="1"/>
    <col min="2" max="2" width="13.5546875" customWidth="1"/>
    <col min="3" max="3" width="16.88671875" customWidth="1"/>
    <col min="4" max="4" width="22" customWidth="1"/>
    <col min="5" max="5" width="14.33203125" customWidth="1"/>
    <col min="6" max="6" width="9.88671875" customWidth="1"/>
    <col min="7" max="7" width="14.6640625" customWidth="1"/>
    <col min="8" max="8" width="18.88671875" customWidth="1"/>
    <col min="9" max="9" width="17" customWidth="1"/>
    <col min="10" max="12" width="13.5546875" customWidth="1"/>
    <col min="13" max="13" width="16.109375" customWidth="1"/>
    <col min="14" max="14" width="16" customWidth="1"/>
    <col min="15" max="15" width="9.6640625" customWidth="1"/>
    <col min="16" max="16" width="13.6640625" customWidth="1"/>
    <col min="17" max="17" width="17.44140625" customWidth="1"/>
    <col min="19" max="20" width="9.5546875" customWidth="1"/>
    <col min="21" max="21" width="17" customWidth="1"/>
    <col min="22" max="23" width="18" customWidth="1"/>
  </cols>
  <sheetData>
    <row r="1" spans="1:23" x14ac:dyDescent="0.25">
      <c r="A1" t="s">
        <v>51</v>
      </c>
      <c r="B1" t="s">
        <v>52</v>
      </c>
      <c r="C1" t="s">
        <v>54</v>
      </c>
      <c r="D1" t="s">
        <v>55</v>
      </c>
      <c r="E1" t="s">
        <v>56</v>
      </c>
      <c r="F1" t="s">
        <v>57</v>
      </c>
      <c r="G1" t="s">
        <v>53</v>
      </c>
      <c r="H1" t="s">
        <v>58</v>
      </c>
      <c r="I1" t="s">
        <v>59</v>
      </c>
      <c r="J1" t="s">
        <v>60</v>
      </c>
      <c r="K1" t="s">
        <v>61</v>
      </c>
      <c r="L1" t="s">
        <v>62</v>
      </c>
      <c r="M1" t="s">
        <v>11</v>
      </c>
      <c r="N1" t="s">
        <v>12</v>
      </c>
      <c r="O1" t="s">
        <v>21</v>
      </c>
      <c r="P1" t="s">
        <v>22</v>
      </c>
      <c r="Q1" t="s">
        <v>23</v>
      </c>
      <c r="R1" t="s">
        <v>1202</v>
      </c>
      <c r="S1" t="s">
        <v>1203</v>
      </c>
      <c r="T1" t="s">
        <v>1204</v>
      </c>
      <c r="U1" t="s">
        <v>1221</v>
      </c>
      <c r="V1" t="s">
        <v>1222</v>
      </c>
      <c r="W1" t="s">
        <v>1223</v>
      </c>
    </row>
    <row r="2" spans="1:23" x14ac:dyDescent="0.25">
      <c r="A2" t="s">
        <v>2266</v>
      </c>
      <c r="B2" t="s">
        <v>1281</v>
      </c>
      <c r="C2">
        <v>-16</v>
      </c>
      <c r="D2">
        <v>13262004.26</v>
      </c>
      <c r="E2" t="s">
        <v>1191</v>
      </c>
      <c r="F2">
        <v>229874.74</v>
      </c>
      <c r="G2">
        <v>17891988.899999999</v>
      </c>
      <c r="H2" s="406">
        <v>42536.693506944444</v>
      </c>
      <c r="I2" s="539">
        <v>43084</v>
      </c>
      <c r="J2" t="s">
        <v>2267</v>
      </c>
      <c r="K2" t="s">
        <v>1280</v>
      </c>
      <c r="L2" t="s">
        <v>1280</v>
      </c>
      <c r="M2">
        <v>200202</v>
      </c>
      <c r="N2" t="s">
        <v>2257</v>
      </c>
      <c r="O2" t="s">
        <v>25</v>
      </c>
      <c r="P2" t="s">
        <v>88</v>
      </c>
      <c r="Q2" t="s">
        <v>285</v>
      </c>
      <c r="R2">
        <v>0</v>
      </c>
      <c r="S2">
        <v>0</v>
      </c>
      <c r="T2">
        <v>0</v>
      </c>
      <c r="U2">
        <v>0</v>
      </c>
      <c r="V2">
        <v>0</v>
      </c>
      <c r="W2">
        <v>0</v>
      </c>
    </row>
    <row r="3" spans="1:23" x14ac:dyDescent="0.25">
      <c r="A3" t="s">
        <v>2004</v>
      </c>
      <c r="B3" t="s">
        <v>1283</v>
      </c>
      <c r="C3">
        <v>-2</v>
      </c>
      <c r="D3">
        <v>35618036.310000002</v>
      </c>
      <c r="E3" t="s">
        <v>1191</v>
      </c>
      <c r="F3">
        <v>1068541.0900000001</v>
      </c>
      <c r="G3">
        <v>41164888.189999998</v>
      </c>
      <c r="H3" s="406">
        <v>42487.72378472222</v>
      </c>
      <c r="I3" s="539">
        <v>42856</v>
      </c>
      <c r="J3" t="s">
        <v>882</v>
      </c>
      <c r="K3" t="s">
        <v>1280</v>
      </c>
      <c r="L3" t="s">
        <v>1280</v>
      </c>
      <c r="M3">
        <v>200109</v>
      </c>
      <c r="N3" t="s">
        <v>2003</v>
      </c>
      <c r="O3" t="s">
        <v>25</v>
      </c>
      <c r="P3" t="s">
        <v>26</v>
      </c>
      <c r="Q3" t="s">
        <v>26</v>
      </c>
      <c r="R3">
        <v>0</v>
      </c>
      <c r="S3">
        <v>0</v>
      </c>
      <c r="T3">
        <v>0</v>
      </c>
      <c r="U3">
        <v>0</v>
      </c>
      <c r="V3">
        <v>0</v>
      </c>
      <c r="W3">
        <v>0</v>
      </c>
    </row>
    <row r="4" spans="1:23" x14ac:dyDescent="0.25">
      <c r="A4" t="s">
        <v>1755</v>
      </c>
      <c r="B4" t="s">
        <v>1283</v>
      </c>
      <c r="C4">
        <v>-11</v>
      </c>
      <c r="D4">
        <v>31338541.109999999</v>
      </c>
      <c r="E4" t="s">
        <v>1191</v>
      </c>
      <c r="F4">
        <v>564093.74</v>
      </c>
      <c r="G4">
        <v>40464104.869999997</v>
      </c>
      <c r="H4" s="406">
        <v>42402.394444444442</v>
      </c>
      <c r="I4" s="539">
        <v>43141</v>
      </c>
      <c r="J4" t="s">
        <v>1756</v>
      </c>
      <c r="K4" t="s">
        <v>1838</v>
      </c>
      <c r="L4" t="s">
        <v>1280</v>
      </c>
      <c r="M4">
        <v>200041</v>
      </c>
      <c r="N4" t="s">
        <v>1754</v>
      </c>
      <c r="O4" t="s">
        <v>44</v>
      </c>
      <c r="P4" t="s">
        <v>92</v>
      </c>
      <c r="Q4" t="s">
        <v>92</v>
      </c>
      <c r="R4">
        <v>0</v>
      </c>
      <c r="S4">
        <v>0</v>
      </c>
      <c r="T4">
        <v>0</v>
      </c>
      <c r="U4">
        <v>0</v>
      </c>
      <c r="V4">
        <v>0</v>
      </c>
      <c r="W4">
        <v>0</v>
      </c>
    </row>
    <row r="5" spans="1:23" x14ac:dyDescent="0.25">
      <c r="A5" t="s">
        <v>2667</v>
      </c>
      <c r="B5" t="s">
        <v>1279</v>
      </c>
      <c r="C5">
        <v>-12</v>
      </c>
      <c r="D5">
        <v>3741335.25</v>
      </c>
      <c r="E5" t="s">
        <v>1191</v>
      </c>
      <c r="F5">
        <v>95404.05</v>
      </c>
      <c r="G5">
        <v>4825312.3099999996</v>
      </c>
      <c r="H5" s="406">
        <v>42593.525868055556</v>
      </c>
      <c r="I5" s="539">
        <v>42958</v>
      </c>
      <c r="J5" t="s">
        <v>2668</v>
      </c>
      <c r="K5" t="s">
        <v>1280</v>
      </c>
      <c r="L5" t="s">
        <v>2669</v>
      </c>
      <c r="M5">
        <v>102768</v>
      </c>
      <c r="N5" t="s">
        <v>2666</v>
      </c>
      <c r="O5" t="s">
        <v>35</v>
      </c>
      <c r="P5" t="s">
        <v>121</v>
      </c>
      <c r="Q5" t="s">
        <v>26</v>
      </c>
      <c r="R5">
        <v>0</v>
      </c>
      <c r="S5">
        <v>0</v>
      </c>
      <c r="T5">
        <v>0</v>
      </c>
      <c r="U5">
        <v>0</v>
      </c>
      <c r="V5">
        <v>0</v>
      </c>
      <c r="W5">
        <v>0</v>
      </c>
    </row>
    <row r="6" spans="1:23" x14ac:dyDescent="0.25">
      <c r="A6" t="s">
        <v>771</v>
      </c>
      <c r="B6" t="s">
        <v>1281</v>
      </c>
      <c r="C6">
        <v>-11</v>
      </c>
      <c r="D6">
        <v>19613188.140000001</v>
      </c>
      <c r="E6" t="s">
        <v>1191</v>
      </c>
      <c r="F6">
        <v>470716.52</v>
      </c>
      <c r="G6">
        <v>30363339.510000002</v>
      </c>
      <c r="H6" s="406">
        <v>42587.712256944447</v>
      </c>
      <c r="I6" s="539">
        <v>43322</v>
      </c>
      <c r="J6" t="s">
        <v>772</v>
      </c>
      <c r="K6" t="s">
        <v>1280</v>
      </c>
      <c r="L6" t="s">
        <v>1280</v>
      </c>
      <c r="M6">
        <v>102761</v>
      </c>
      <c r="N6" t="s">
        <v>767</v>
      </c>
      <c r="O6" t="s">
        <v>44</v>
      </c>
      <c r="P6" t="s">
        <v>92</v>
      </c>
      <c r="Q6" t="s">
        <v>26</v>
      </c>
      <c r="R6">
        <v>0</v>
      </c>
      <c r="S6">
        <v>0</v>
      </c>
      <c r="T6">
        <v>0</v>
      </c>
      <c r="U6">
        <v>0</v>
      </c>
      <c r="V6">
        <v>0</v>
      </c>
      <c r="W6">
        <v>0</v>
      </c>
    </row>
    <row r="7" spans="1:23" x14ac:dyDescent="0.25">
      <c r="A7" t="s">
        <v>986</v>
      </c>
      <c r="B7" t="s">
        <v>1282</v>
      </c>
      <c r="C7">
        <v>-2</v>
      </c>
      <c r="D7">
        <v>14452061.869999999</v>
      </c>
      <c r="E7" t="s">
        <v>1191</v>
      </c>
      <c r="F7">
        <v>520274.23</v>
      </c>
      <c r="G7">
        <v>20194948.109999999</v>
      </c>
      <c r="H7" s="406">
        <v>42580.717210648145</v>
      </c>
      <c r="I7" s="539">
        <v>43132</v>
      </c>
      <c r="J7" t="s">
        <v>987</v>
      </c>
      <c r="K7" t="s">
        <v>1280</v>
      </c>
      <c r="L7" t="s">
        <v>1280</v>
      </c>
      <c r="M7">
        <v>102747</v>
      </c>
      <c r="N7" t="s">
        <v>985</v>
      </c>
      <c r="O7" t="s">
        <v>44</v>
      </c>
      <c r="P7" t="s">
        <v>75</v>
      </c>
      <c r="Q7" t="s">
        <v>26</v>
      </c>
      <c r="R7">
        <v>0</v>
      </c>
      <c r="S7">
        <v>0</v>
      </c>
      <c r="T7">
        <v>0</v>
      </c>
      <c r="U7">
        <v>0</v>
      </c>
      <c r="V7">
        <v>0</v>
      </c>
      <c r="W7">
        <v>0</v>
      </c>
    </row>
    <row r="8" spans="1:23" x14ac:dyDescent="0.25">
      <c r="A8" t="s">
        <v>2534</v>
      </c>
      <c r="B8" t="s">
        <v>1283</v>
      </c>
      <c r="C8">
        <v>-26</v>
      </c>
      <c r="D8">
        <v>34918336.960000001</v>
      </c>
      <c r="E8" t="s">
        <v>1191</v>
      </c>
      <c r="F8">
        <v>116394.46</v>
      </c>
      <c r="G8">
        <v>58886824.75</v>
      </c>
      <c r="H8" s="406">
        <v>42576.562905092593</v>
      </c>
      <c r="I8" s="539">
        <v>43671</v>
      </c>
      <c r="J8" t="s">
        <v>2535</v>
      </c>
      <c r="K8" t="s">
        <v>1280</v>
      </c>
      <c r="L8" t="s">
        <v>2536</v>
      </c>
      <c r="M8">
        <v>102735</v>
      </c>
      <c r="N8" t="s">
        <v>2531</v>
      </c>
      <c r="O8" t="s">
        <v>44</v>
      </c>
      <c r="P8" t="s">
        <v>75</v>
      </c>
      <c r="Q8" t="s">
        <v>26</v>
      </c>
      <c r="R8">
        <v>0</v>
      </c>
      <c r="S8">
        <v>0</v>
      </c>
      <c r="T8">
        <v>0</v>
      </c>
      <c r="U8">
        <v>0</v>
      </c>
      <c r="V8">
        <v>0</v>
      </c>
      <c r="W8">
        <v>0</v>
      </c>
    </row>
    <row r="9" spans="1:23" x14ac:dyDescent="0.25">
      <c r="A9" t="s">
        <v>2509</v>
      </c>
      <c r="B9" t="s">
        <v>1283</v>
      </c>
      <c r="C9">
        <v>-23</v>
      </c>
      <c r="D9">
        <v>34021390.43</v>
      </c>
      <c r="E9" t="s">
        <v>1191</v>
      </c>
      <c r="F9">
        <v>226809.27</v>
      </c>
      <c r="G9">
        <v>57374200.270000003</v>
      </c>
      <c r="H9" s="406">
        <v>42571.776238425926</v>
      </c>
      <c r="I9" s="539">
        <v>43668</v>
      </c>
      <c r="J9" t="s">
        <v>2510</v>
      </c>
      <c r="K9" t="s">
        <v>1280</v>
      </c>
      <c r="L9" t="s">
        <v>1280</v>
      </c>
      <c r="M9">
        <v>102726</v>
      </c>
      <c r="N9" t="s">
        <v>2506</v>
      </c>
      <c r="O9" t="s">
        <v>45</v>
      </c>
      <c r="P9" t="s">
        <v>45</v>
      </c>
      <c r="Q9" t="s">
        <v>1658</v>
      </c>
      <c r="R9">
        <v>0</v>
      </c>
      <c r="S9">
        <v>0</v>
      </c>
      <c r="T9">
        <v>0</v>
      </c>
      <c r="U9">
        <v>0</v>
      </c>
      <c r="V9">
        <v>0</v>
      </c>
      <c r="W9">
        <v>0</v>
      </c>
    </row>
    <row r="10" spans="1:23" x14ac:dyDescent="0.25">
      <c r="A10" t="s">
        <v>2507</v>
      </c>
      <c r="B10" t="s">
        <v>1866</v>
      </c>
      <c r="C10">
        <v>-21</v>
      </c>
      <c r="D10">
        <v>5529594.3399999999</v>
      </c>
      <c r="E10" t="s">
        <v>1191</v>
      </c>
      <c r="F10">
        <v>61439.94</v>
      </c>
      <c r="G10">
        <v>7686444.3499999996</v>
      </c>
      <c r="H10" s="406">
        <v>42571.536053240743</v>
      </c>
      <c r="I10" s="539">
        <v>43120</v>
      </c>
      <c r="J10" t="s">
        <v>2508</v>
      </c>
      <c r="K10" t="s">
        <v>1280</v>
      </c>
      <c r="L10" t="s">
        <v>1280</v>
      </c>
      <c r="M10">
        <v>102725</v>
      </c>
      <c r="N10" t="s">
        <v>2504</v>
      </c>
      <c r="O10" t="s">
        <v>27</v>
      </c>
      <c r="P10" t="s">
        <v>116</v>
      </c>
      <c r="Q10" t="s">
        <v>1739</v>
      </c>
      <c r="R10">
        <v>0</v>
      </c>
      <c r="S10">
        <v>0</v>
      </c>
      <c r="T10">
        <v>0</v>
      </c>
      <c r="U10">
        <v>0</v>
      </c>
      <c r="V10">
        <v>0</v>
      </c>
      <c r="W10">
        <v>0</v>
      </c>
    </row>
    <row r="11" spans="1:23" x14ac:dyDescent="0.25">
      <c r="A11" t="s">
        <v>1140</v>
      </c>
      <c r="B11" t="s">
        <v>1279</v>
      </c>
      <c r="C11">
        <v>-10</v>
      </c>
      <c r="D11">
        <v>8709878.7699999996</v>
      </c>
      <c r="E11" t="s">
        <v>1191</v>
      </c>
      <c r="F11">
        <v>202262.74</v>
      </c>
      <c r="G11">
        <v>10561042.59</v>
      </c>
      <c r="H11" s="406">
        <v>42551.219756944447</v>
      </c>
      <c r="I11" s="539">
        <v>42925</v>
      </c>
      <c r="J11" t="s">
        <v>1141</v>
      </c>
      <c r="K11" t="s">
        <v>1280</v>
      </c>
      <c r="L11" t="s">
        <v>1280</v>
      </c>
      <c r="M11">
        <v>102699</v>
      </c>
      <c r="N11" t="s">
        <v>1139</v>
      </c>
      <c r="O11" t="s">
        <v>44</v>
      </c>
      <c r="P11" t="s">
        <v>75</v>
      </c>
      <c r="Q11" t="s">
        <v>1818</v>
      </c>
      <c r="R11">
        <v>0</v>
      </c>
      <c r="S11">
        <v>0</v>
      </c>
      <c r="T11">
        <v>0</v>
      </c>
      <c r="U11">
        <v>0</v>
      </c>
      <c r="V11">
        <v>0</v>
      </c>
      <c r="W11">
        <v>0</v>
      </c>
    </row>
    <row r="12" spans="1:23" x14ac:dyDescent="0.25">
      <c r="A12" t="s">
        <v>1228</v>
      </c>
      <c r="B12" t="s">
        <v>1282</v>
      </c>
      <c r="C12">
        <v>-26</v>
      </c>
      <c r="D12">
        <v>5595524.7599999998</v>
      </c>
      <c r="E12" t="s">
        <v>1191</v>
      </c>
      <c r="F12">
        <v>22382.1</v>
      </c>
      <c r="G12">
        <v>6773029.8399999999</v>
      </c>
      <c r="H12" s="406">
        <v>42539.549687500003</v>
      </c>
      <c r="I12" s="539">
        <v>42911</v>
      </c>
      <c r="J12" t="s">
        <v>1229</v>
      </c>
      <c r="K12" t="s">
        <v>1230</v>
      </c>
      <c r="L12" t="s">
        <v>1280</v>
      </c>
      <c r="M12">
        <v>102669</v>
      </c>
      <c r="N12" t="s">
        <v>438</v>
      </c>
      <c r="O12" t="s">
        <v>44</v>
      </c>
      <c r="P12" t="s">
        <v>75</v>
      </c>
      <c r="Q12" t="s">
        <v>1442</v>
      </c>
      <c r="R12">
        <v>0</v>
      </c>
      <c r="S12">
        <v>0</v>
      </c>
      <c r="T12">
        <v>0</v>
      </c>
      <c r="U12">
        <v>0</v>
      </c>
      <c r="V12">
        <v>0</v>
      </c>
      <c r="W12">
        <v>0</v>
      </c>
    </row>
    <row r="13" spans="1:23" x14ac:dyDescent="0.25">
      <c r="A13" t="s">
        <v>788</v>
      </c>
      <c r="B13" t="s">
        <v>1283</v>
      </c>
      <c r="C13">
        <v>-11</v>
      </c>
      <c r="D13">
        <v>41951298.700000003</v>
      </c>
      <c r="E13" t="s">
        <v>1191</v>
      </c>
      <c r="F13">
        <v>755123.38</v>
      </c>
      <c r="G13">
        <v>57150560.729999997</v>
      </c>
      <c r="H13" s="406">
        <v>42529.736863425926</v>
      </c>
      <c r="I13" s="539">
        <v>43261</v>
      </c>
      <c r="J13" t="s">
        <v>789</v>
      </c>
      <c r="K13" t="s">
        <v>1280</v>
      </c>
      <c r="L13" t="s">
        <v>1280</v>
      </c>
      <c r="M13">
        <v>102655</v>
      </c>
      <c r="N13" t="s">
        <v>786</v>
      </c>
      <c r="O13" t="s">
        <v>25</v>
      </c>
      <c r="P13" t="s">
        <v>88</v>
      </c>
      <c r="Q13" t="s">
        <v>26</v>
      </c>
      <c r="R13">
        <v>0</v>
      </c>
      <c r="S13">
        <v>0</v>
      </c>
      <c r="T13">
        <v>0</v>
      </c>
      <c r="U13">
        <v>0</v>
      </c>
      <c r="V13">
        <v>0</v>
      </c>
      <c r="W13">
        <v>0</v>
      </c>
    </row>
    <row r="14" spans="1:23" x14ac:dyDescent="0.25">
      <c r="A14" t="s">
        <v>135</v>
      </c>
      <c r="B14" t="s">
        <v>1283</v>
      </c>
      <c r="C14">
        <v>28</v>
      </c>
      <c r="D14">
        <v>29285335.600000001</v>
      </c>
      <c r="E14" t="s">
        <v>1191</v>
      </c>
      <c r="F14">
        <v>1643370.63</v>
      </c>
      <c r="G14">
        <v>40426727.240000002</v>
      </c>
      <c r="H14" s="406">
        <v>42517.672847222224</v>
      </c>
      <c r="I14" s="539">
        <v>43252</v>
      </c>
      <c r="J14" t="s">
        <v>136</v>
      </c>
      <c r="K14" t="s">
        <v>137</v>
      </c>
      <c r="L14" t="s">
        <v>138</v>
      </c>
      <c r="M14">
        <v>102626</v>
      </c>
      <c r="N14" t="s">
        <v>134</v>
      </c>
      <c r="O14" t="s">
        <v>25</v>
      </c>
      <c r="P14" t="s">
        <v>103</v>
      </c>
      <c r="Q14" t="s">
        <v>104</v>
      </c>
      <c r="R14">
        <v>29285335.600000001</v>
      </c>
      <c r="S14">
        <v>0</v>
      </c>
      <c r="T14">
        <v>0</v>
      </c>
      <c r="U14">
        <v>1</v>
      </c>
      <c r="V14">
        <v>0</v>
      </c>
      <c r="W14">
        <v>0</v>
      </c>
    </row>
    <row r="15" spans="1:23" x14ac:dyDescent="0.25">
      <c r="A15" t="s">
        <v>2167</v>
      </c>
      <c r="B15" t="s">
        <v>1282</v>
      </c>
      <c r="C15">
        <v>-2</v>
      </c>
      <c r="D15">
        <v>4777881.3899999997</v>
      </c>
      <c r="E15" t="s">
        <v>1191</v>
      </c>
      <c r="F15">
        <v>172003.73</v>
      </c>
      <c r="G15">
        <v>5783324.1100000003</v>
      </c>
      <c r="H15" s="406">
        <v>42517.613726851851</v>
      </c>
      <c r="I15" s="539">
        <v>42887</v>
      </c>
      <c r="J15" t="s">
        <v>2168</v>
      </c>
      <c r="K15" t="s">
        <v>1280</v>
      </c>
      <c r="L15" t="s">
        <v>1280</v>
      </c>
      <c r="M15">
        <v>102625</v>
      </c>
      <c r="N15" t="s">
        <v>972</v>
      </c>
      <c r="O15" t="s">
        <v>25</v>
      </c>
      <c r="P15" t="s">
        <v>88</v>
      </c>
      <c r="Q15" t="s">
        <v>285</v>
      </c>
      <c r="R15">
        <v>0</v>
      </c>
      <c r="S15">
        <v>0</v>
      </c>
      <c r="T15">
        <v>0</v>
      </c>
      <c r="U15">
        <v>0</v>
      </c>
      <c r="V15">
        <v>0</v>
      </c>
      <c r="W15">
        <v>0</v>
      </c>
    </row>
    <row r="16" spans="1:23" x14ac:dyDescent="0.25">
      <c r="A16" t="s">
        <v>1482</v>
      </c>
      <c r="B16" t="s">
        <v>1866</v>
      </c>
      <c r="C16">
        <v>-2</v>
      </c>
      <c r="D16">
        <v>5926726.9900000002</v>
      </c>
      <c r="E16" t="s">
        <v>1191</v>
      </c>
      <c r="F16">
        <v>195581.99</v>
      </c>
      <c r="G16">
        <v>7432227.0800000001</v>
      </c>
      <c r="H16" s="406">
        <v>42515.504710648151</v>
      </c>
      <c r="I16" s="539">
        <v>42979</v>
      </c>
      <c r="J16" t="s">
        <v>1483</v>
      </c>
      <c r="K16" t="s">
        <v>1280</v>
      </c>
      <c r="L16" t="s">
        <v>1280</v>
      </c>
      <c r="M16">
        <v>102618</v>
      </c>
      <c r="N16" t="s">
        <v>199</v>
      </c>
      <c r="O16" t="s">
        <v>44</v>
      </c>
      <c r="P16" t="s">
        <v>92</v>
      </c>
      <c r="Q16" t="s">
        <v>92</v>
      </c>
      <c r="R16">
        <v>0</v>
      </c>
      <c r="S16">
        <v>0</v>
      </c>
      <c r="T16">
        <v>0</v>
      </c>
      <c r="U16">
        <v>0</v>
      </c>
      <c r="V16">
        <v>0</v>
      </c>
      <c r="W16">
        <v>0</v>
      </c>
    </row>
    <row r="17" spans="1:23" x14ac:dyDescent="0.25">
      <c r="A17" t="s">
        <v>2142</v>
      </c>
      <c r="B17" t="s">
        <v>1281</v>
      </c>
      <c r="C17">
        <v>-3</v>
      </c>
      <c r="D17">
        <v>24240403.510000002</v>
      </c>
      <c r="E17" t="s">
        <v>1191</v>
      </c>
      <c r="F17">
        <v>840333.99</v>
      </c>
      <c r="G17">
        <v>44079178.579999998</v>
      </c>
      <c r="H17" s="406">
        <v>42514.757372685184</v>
      </c>
      <c r="I17" s="539">
        <v>43618</v>
      </c>
      <c r="J17" t="s">
        <v>2143</v>
      </c>
      <c r="K17" t="s">
        <v>1280</v>
      </c>
      <c r="L17" t="s">
        <v>1280</v>
      </c>
      <c r="M17">
        <v>102615</v>
      </c>
      <c r="N17" t="s">
        <v>2137</v>
      </c>
      <c r="O17" t="s">
        <v>46</v>
      </c>
      <c r="P17" t="s">
        <v>46</v>
      </c>
      <c r="Q17" t="s">
        <v>1812</v>
      </c>
      <c r="R17">
        <v>0</v>
      </c>
      <c r="S17">
        <v>0</v>
      </c>
      <c r="T17">
        <v>0</v>
      </c>
      <c r="U17">
        <v>0</v>
      </c>
      <c r="V17">
        <v>0</v>
      </c>
      <c r="W17">
        <v>0</v>
      </c>
    </row>
    <row r="18" spans="1:23" x14ac:dyDescent="0.25">
      <c r="A18" t="s">
        <v>2089</v>
      </c>
      <c r="B18" t="s">
        <v>1281</v>
      </c>
      <c r="C18">
        <v>101</v>
      </c>
      <c r="D18">
        <v>20000000</v>
      </c>
      <c r="E18" t="s">
        <v>1191</v>
      </c>
      <c r="F18">
        <v>1401560.11</v>
      </c>
      <c r="G18">
        <v>29890958.460000001</v>
      </c>
      <c r="H18" s="406">
        <v>42508.752129629633</v>
      </c>
      <c r="I18" s="539">
        <v>43238</v>
      </c>
      <c r="J18" t="s">
        <v>2090</v>
      </c>
      <c r="K18" t="s">
        <v>1280</v>
      </c>
      <c r="L18" t="s">
        <v>1280</v>
      </c>
      <c r="M18">
        <v>102599</v>
      </c>
      <c r="N18" t="s">
        <v>352</v>
      </c>
      <c r="O18" t="s">
        <v>44</v>
      </c>
      <c r="P18" t="s">
        <v>92</v>
      </c>
      <c r="Q18" t="s">
        <v>92</v>
      </c>
      <c r="R18">
        <v>20000000</v>
      </c>
      <c r="S18">
        <v>20000000</v>
      </c>
      <c r="T18">
        <v>20000000</v>
      </c>
      <c r="U18">
        <v>0</v>
      </c>
      <c r="V18">
        <v>0</v>
      </c>
      <c r="W18">
        <v>1</v>
      </c>
    </row>
    <row r="19" spans="1:23" x14ac:dyDescent="0.25">
      <c r="A19" t="s">
        <v>497</v>
      </c>
      <c r="B19" t="s">
        <v>1283</v>
      </c>
      <c r="C19">
        <v>-16</v>
      </c>
      <c r="D19">
        <v>48229501.090000004</v>
      </c>
      <c r="E19" t="s">
        <v>1191</v>
      </c>
      <c r="F19">
        <v>626983.51</v>
      </c>
      <c r="G19">
        <v>87493777.349999994</v>
      </c>
      <c r="H19" s="406">
        <v>42500.515138888892</v>
      </c>
      <c r="I19" s="539">
        <v>43966</v>
      </c>
      <c r="J19" t="s">
        <v>498</v>
      </c>
      <c r="K19" t="s">
        <v>499</v>
      </c>
      <c r="L19" t="s">
        <v>1280</v>
      </c>
      <c r="M19">
        <v>102576</v>
      </c>
      <c r="N19" t="s">
        <v>492</v>
      </c>
      <c r="O19" t="s">
        <v>27</v>
      </c>
      <c r="P19" t="s">
        <v>81</v>
      </c>
      <c r="Q19" t="s">
        <v>1685</v>
      </c>
      <c r="R19">
        <v>0</v>
      </c>
      <c r="S19">
        <v>0</v>
      </c>
      <c r="T19">
        <v>0</v>
      </c>
      <c r="U19">
        <v>0</v>
      </c>
      <c r="V19">
        <v>0</v>
      </c>
      <c r="W19">
        <v>0</v>
      </c>
    </row>
    <row r="20" spans="1:23" x14ac:dyDescent="0.25">
      <c r="A20" t="s">
        <v>1975</v>
      </c>
      <c r="B20" t="s">
        <v>1866</v>
      </c>
      <c r="C20">
        <v>23</v>
      </c>
      <c r="D20">
        <v>6038937</v>
      </c>
      <c r="E20" t="s">
        <v>1191</v>
      </c>
      <c r="F20">
        <v>430478.42</v>
      </c>
      <c r="G20">
        <v>9178869.0600000005</v>
      </c>
      <c r="H20" s="406">
        <v>42490.545034722221</v>
      </c>
      <c r="I20" s="539">
        <v>43226</v>
      </c>
      <c r="J20" t="s">
        <v>1976</v>
      </c>
      <c r="K20" t="s">
        <v>1280</v>
      </c>
      <c r="L20" t="s">
        <v>1977</v>
      </c>
      <c r="M20">
        <v>102552</v>
      </c>
      <c r="N20" t="s">
        <v>1974</v>
      </c>
      <c r="O20" t="s">
        <v>44</v>
      </c>
      <c r="P20" t="s">
        <v>75</v>
      </c>
      <c r="Q20" t="s">
        <v>26</v>
      </c>
      <c r="R20">
        <v>6038937</v>
      </c>
      <c r="S20">
        <v>0</v>
      </c>
      <c r="T20">
        <v>0</v>
      </c>
      <c r="U20">
        <v>1</v>
      </c>
      <c r="V20">
        <v>0</v>
      </c>
      <c r="W20">
        <v>0</v>
      </c>
    </row>
    <row r="21" spans="1:23" x14ac:dyDescent="0.25">
      <c r="A21" t="s">
        <v>1330</v>
      </c>
      <c r="B21" t="s">
        <v>1866</v>
      </c>
      <c r="C21">
        <v>-2</v>
      </c>
      <c r="D21">
        <v>5727133.9699999997</v>
      </c>
      <c r="E21" t="s">
        <v>1191</v>
      </c>
      <c r="F21">
        <v>188995.42</v>
      </c>
      <c r="G21">
        <v>6711755.9699999997</v>
      </c>
      <c r="H21" s="406">
        <v>42488.550219907411</v>
      </c>
      <c r="I21" s="539">
        <v>42856</v>
      </c>
      <c r="J21" t="s">
        <v>1331</v>
      </c>
      <c r="K21" t="s">
        <v>1280</v>
      </c>
      <c r="L21" t="s">
        <v>1280</v>
      </c>
      <c r="M21">
        <v>102540</v>
      </c>
      <c r="N21" t="s">
        <v>1329</v>
      </c>
      <c r="O21" t="s">
        <v>27</v>
      </c>
      <c r="P21" t="s">
        <v>116</v>
      </c>
      <c r="Q21" t="s">
        <v>1825</v>
      </c>
      <c r="R21">
        <v>0</v>
      </c>
      <c r="S21">
        <v>0</v>
      </c>
      <c r="T21">
        <v>0</v>
      </c>
      <c r="U21">
        <v>0</v>
      </c>
      <c r="V21">
        <v>0</v>
      </c>
      <c r="W21">
        <v>0</v>
      </c>
    </row>
    <row r="22" spans="1:23" x14ac:dyDescent="0.25">
      <c r="A22" t="s">
        <v>881</v>
      </c>
      <c r="B22" t="s">
        <v>1283</v>
      </c>
      <c r="C22">
        <v>-2</v>
      </c>
      <c r="D22">
        <v>35397580.409999996</v>
      </c>
      <c r="E22" t="s">
        <v>1191</v>
      </c>
      <c r="F22">
        <v>955734.67</v>
      </c>
      <c r="G22">
        <v>40340891.82</v>
      </c>
      <c r="H22" s="406">
        <v>42487.71502314815</v>
      </c>
      <c r="I22" s="539">
        <v>42856</v>
      </c>
      <c r="J22" t="s">
        <v>882</v>
      </c>
      <c r="K22" t="s">
        <v>1280</v>
      </c>
      <c r="L22" t="s">
        <v>1280</v>
      </c>
      <c r="M22">
        <v>102538</v>
      </c>
      <c r="N22" t="s">
        <v>880</v>
      </c>
      <c r="O22" t="s">
        <v>44</v>
      </c>
      <c r="P22" t="s">
        <v>92</v>
      </c>
      <c r="Q22" t="s">
        <v>92</v>
      </c>
      <c r="R22">
        <v>0</v>
      </c>
      <c r="S22">
        <v>0</v>
      </c>
      <c r="T22">
        <v>0</v>
      </c>
      <c r="U22">
        <v>0</v>
      </c>
      <c r="V22">
        <v>0</v>
      </c>
      <c r="W22">
        <v>0</v>
      </c>
    </row>
    <row r="23" spans="1:23" x14ac:dyDescent="0.25">
      <c r="A23" t="s">
        <v>874</v>
      </c>
      <c r="B23" t="s">
        <v>1866</v>
      </c>
      <c r="C23">
        <v>9</v>
      </c>
      <c r="D23">
        <v>4713271.54</v>
      </c>
      <c r="E23" t="s">
        <v>1191</v>
      </c>
      <c r="F23">
        <v>215428.62</v>
      </c>
      <c r="G23">
        <v>5812261</v>
      </c>
      <c r="H23" s="406">
        <v>42478.593124999999</v>
      </c>
      <c r="I23" s="539">
        <v>42936</v>
      </c>
      <c r="J23" t="s">
        <v>875</v>
      </c>
      <c r="K23" t="s">
        <v>876</v>
      </c>
      <c r="L23" t="s">
        <v>1280</v>
      </c>
      <c r="M23">
        <v>102515</v>
      </c>
      <c r="N23" t="s">
        <v>873</v>
      </c>
      <c r="O23" t="s">
        <v>44</v>
      </c>
      <c r="P23" t="s">
        <v>75</v>
      </c>
      <c r="Q23" t="s">
        <v>26</v>
      </c>
      <c r="R23">
        <v>4713271.54</v>
      </c>
      <c r="S23">
        <v>0</v>
      </c>
      <c r="T23">
        <v>0</v>
      </c>
      <c r="U23">
        <v>1</v>
      </c>
      <c r="V23">
        <v>0</v>
      </c>
      <c r="W23">
        <v>0</v>
      </c>
    </row>
    <row r="24" spans="1:23" x14ac:dyDescent="0.25">
      <c r="A24" t="s">
        <v>1260</v>
      </c>
      <c r="B24" t="s">
        <v>1283</v>
      </c>
      <c r="C24">
        <v>54</v>
      </c>
      <c r="D24">
        <v>34779355.799999997</v>
      </c>
      <c r="E24" t="s">
        <v>1191</v>
      </c>
      <c r="F24">
        <v>2067167.2</v>
      </c>
      <c r="G24">
        <v>55269683.579999998</v>
      </c>
      <c r="H24" s="406">
        <v>42460.504652777781</v>
      </c>
      <c r="I24" s="539">
        <v>43560</v>
      </c>
      <c r="J24" t="s">
        <v>1261</v>
      </c>
      <c r="K24" t="s">
        <v>1280</v>
      </c>
      <c r="L24" t="s">
        <v>1280</v>
      </c>
      <c r="M24">
        <v>102482</v>
      </c>
      <c r="N24" t="s">
        <v>1259</v>
      </c>
      <c r="O24" t="s">
        <v>35</v>
      </c>
      <c r="P24" t="s">
        <v>121</v>
      </c>
      <c r="Q24" t="s">
        <v>299</v>
      </c>
      <c r="R24">
        <v>34779355.799999997</v>
      </c>
      <c r="S24">
        <v>34779355.799999997</v>
      </c>
      <c r="T24">
        <v>0</v>
      </c>
      <c r="U24">
        <v>0</v>
      </c>
      <c r="V24">
        <v>1</v>
      </c>
      <c r="W24">
        <v>0</v>
      </c>
    </row>
    <row r="25" spans="1:23" x14ac:dyDescent="0.25">
      <c r="A25" t="s">
        <v>1336</v>
      </c>
      <c r="B25" t="s">
        <v>1282</v>
      </c>
      <c r="C25">
        <v>-26</v>
      </c>
      <c r="D25">
        <v>7632738.4299999997</v>
      </c>
      <c r="E25" t="s">
        <v>1191</v>
      </c>
      <c r="F25">
        <v>30530.95</v>
      </c>
      <c r="G25">
        <v>13242060.619999999</v>
      </c>
      <c r="H25" s="406">
        <v>42459.717662037037</v>
      </c>
      <c r="I25" s="539">
        <v>43549</v>
      </c>
      <c r="J25" t="s">
        <v>1337</v>
      </c>
      <c r="K25" t="s">
        <v>1280</v>
      </c>
      <c r="L25" t="s">
        <v>1280</v>
      </c>
      <c r="M25">
        <v>102481</v>
      </c>
      <c r="N25" t="s">
        <v>935</v>
      </c>
      <c r="O25" t="s">
        <v>43</v>
      </c>
      <c r="P25" t="s">
        <v>338</v>
      </c>
      <c r="Q25" t="s">
        <v>26</v>
      </c>
      <c r="R25">
        <v>0</v>
      </c>
      <c r="S25">
        <v>0</v>
      </c>
      <c r="T25">
        <v>0</v>
      </c>
      <c r="U25">
        <v>0</v>
      </c>
      <c r="V25">
        <v>0</v>
      </c>
      <c r="W25">
        <v>0</v>
      </c>
    </row>
    <row r="26" spans="1:23" x14ac:dyDescent="0.25">
      <c r="A26" t="s">
        <v>682</v>
      </c>
      <c r="B26" t="s">
        <v>1281</v>
      </c>
      <c r="C26">
        <v>24</v>
      </c>
      <c r="D26">
        <v>21103695.75</v>
      </c>
      <c r="E26" t="s">
        <v>1191</v>
      </c>
      <c r="F26">
        <v>1295035.03</v>
      </c>
      <c r="G26">
        <v>35414705.990000002</v>
      </c>
      <c r="H26" s="406">
        <v>42459.616793981484</v>
      </c>
      <c r="I26" s="539">
        <v>43560</v>
      </c>
      <c r="J26" t="s">
        <v>683</v>
      </c>
      <c r="K26" t="s">
        <v>684</v>
      </c>
      <c r="L26" t="s">
        <v>1280</v>
      </c>
      <c r="M26">
        <v>102479</v>
      </c>
      <c r="N26" t="s">
        <v>681</v>
      </c>
      <c r="O26" t="s">
        <v>25</v>
      </c>
      <c r="P26" t="s">
        <v>88</v>
      </c>
      <c r="Q26" t="s">
        <v>26</v>
      </c>
      <c r="R26">
        <v>21103695.75</v>
      </c>
      <c r="S26">
        <v>0</v>
      </c>
      <c r="T26">
        <v>0</v>
      </c>
      <c r="U26">
        <v>1</v>
      </c>
      <c r="V26">
        <v>0</v>
      </c>
      <c r="W26">
        <v>0</v>
      </c>
    </row>
    <row r="27" spans="1:23" x14ac:dyDescent="0.25">
      <c r="A27" t="s">
        <v>1892</v>
      </c>
      <c r="B27" t="s">
        <v>1279</v>
      </c>
      <c r="C27">
        <v>-3</v>
      </c>
      <c r="D27">
        <v>3268254.36</v>
      </c>
      <c r="E27" t="s">
        <v>1191</v>
      </c>
      <c r="F27">
        <v>127461.92</v>
      </c>
      <c r="G27">
        <v>3882392.93</v>
      </c>
      <c r="H27" s="406">
        <v>42453.661782407406</v>
      </c>
      <c r="I27" s="539">
        <v>42827</v>
      </c>
      <c r="J27" t="s">
        <v>1893</v>
      </c>
      <c r="K27" t="s">
        <v>1280</v>
      </c>
      <c r="L27" t="s">
        <v>1280</v>
      </c>
      <c r="M27">
        <v>102471</v>
      </c>
      <c r="N27" t="s">
        <v>1891</v>
      </c>
      <c r="O27" t="s">
        <v>44</v>
      </c>
      <c r="P27" t="s">
        <v>75</v>
      </c>
      <c r="Q27" t="s">
        <v>26</v>
      </c>
      <c r="R27">
        <v>0</v>
      </c>
      <c r="S27">
        <v>0</v>
      </c>
      <c r="T27">
        <v>0</v>
      </c>
      <c r="U27">
        <v>0</v>
      </c>
      <c r="V27">
        <v>0</v>
      </c>
      <c r="W27">
        <v>0</v>
      </c>
    </row>
    <row r="28" spans="1:23" x14ac:dyDescent="0.25">
      <c r="A28" t="s">
        <v>1873</v>
      </c>
      <c r="B28" t="s">
        <v>1279</v>
      </c>
      <c r="C28">
        <v>-21</v>
      </c>
      <c r="D28">
        <v>2526414.71</v>
      </c>
      <c r="E28" t="s">
        <v>1191</v>
      </c>
      <c r="F28">
        <v>26948.42</v>
      </c>
      <c r="G28">
        <v>2891662.07</v>
      </c>
      <c r="H28" s="406">
        <v>42445.630474537036</v>
      </c>
      <c r="I28" s="539">
        <v>42814</v>
      </c>
      <c r="J28" t="s">
        <v>1874</v>
      </c>
      <c r="K28" t="s">
        <v>1875</v>
      </c>
      <c r="L28" t="s">
        <v>1280</v>
      </c>
      <c r="M28">
        <v>102456</v>
      </c>
      <c r="N28" t="s">
        <v>110</v>
      </c>
      <c r="O28" t="s">
        <v>25</v>
      </c>
      <c r="P28" t="s">
        <v>290</v>
      </c>
      <c r="Q28" t="s">
        <v>297</v>
      </c>
      <c r="R28">
        <v>0</v>
      </c>
      <c r="S28">
        <v>0</v>
      </c>
      <c r="T28">
        <v>0</v>
      </c>
      <c r="U28">
        <v>0</v>
      </c>
      <c r="V28">
        <v>0</v>
      </c>
      <c r="W28">
        <v>0</v>
      </c>
    </row>
    <row r="29" spans="1:23" x14ac:dyDescent="0.25">
      <c r="A29" t="s">
        <v>797</v>
      </c>
      <c r="B29" t="s">
        <v>1282</v>
      </c>
      <c r="C29">
        <v>25</v>
      </c>
      <c r="D29">
        <v>3851950.24</v>
      </c>
      <c r="E29" t="s">
        <v>1191</v>
      </c>
      <c r="F29">
        <v>261734.21</v>
      </c>
      <c r="G29">
        <v>4492403.5599999996</v>
      </c>
      <c r="H29" s="406">
        <v>42430.493796296294</v>
      </c>
      <c r="I29" s="539">
        <v>42798</v>
      </c>
      <c r="J29" t="s">
        <v>798</v>
      </c>
      <c r="K29" t="s">
        <v>1280</v>
      </c>
      <c r="L29" t="s">
        <v>1280</v>
      </c>
      <c r="M29">
        <v>102432</v>
      </c>
      <c r="N29" t="s">
        <v>796</v>
      </c>
      <c r="O29" t="s">
        <v>25</v>
      </c>
      <c r="P29" t="s">
        <v>88</v>
      </c>
      <c r="Q29" t="s">
        <v>285</v>
      </c>
      <c r="R29">
        <v>3851950.24</v>
      </c>
      <c r="S29">
        <v>0</v>
      </c>
      <c r="T29">
        <v>0</v>
      </c>
      <c r="U29">
        <v>1</v>
      </c>
      <c r="V29">
        <v>0</v>
      </c>
      <c r="W29">
        <v>0</v>
      </c>
    </row>
    <row r="30" spans="1:23" x14ac:dyDescent="0.25">
      <c r="A30" t="s">
        <v>908</v>
      </c>
      <c r="B30" t="s">
        <v>1283</v>
      </c>
      <c r="C30">
        <v>-25</v>
      </c>
      <c r="D30">
        <v>41083529.189999998</v>
      </c>
      <c r="E30" t="s">
        <v>1191</v>
      </c>
      <c r="F30">
        <v>164334.12</v>
      </c>
      <c r="G30">
        <v>53046765.289999999</v>
      </c>
      <c r="H30" s="406">
        <v>42427.581273148149</v>
      </c>
      <c r="I30" s="539">
        <v>43155</v>
      </c>
      <c r="J30" t="s">
        <v>909</v>
      </c>
      <c r="K30" t="s">
        <v>910</v>
      </c>
      <c r="L30" t="s">
        <v>1280</v>
      </c>
      <c r="M30">
        <v>102424</v>
      </c>
      <c r="N30" t="s">
        <v>902</v>
      </c>
      <c r="O30" t="s">
        <v>25</v>
      </c>
      <c r="P30" t="s">
        <v>106</v>
      </c>
      <c r="Q30" t="s">
        <v>107</v>
      </c>
      <c r="R30">
        <v>0</v>
      </c>
      <c r="S30">
        <v>0</v>
      </c>
      <c r="T30">
        <v>0</v>
      </c>
      <c r="U30">
        <v>0</v>
      </c>
      <c r="V30">
        <v>0</v>
      </c>
      <c r="W30">
        <v>0</v>
      </c>
    </row>
    <row r="31" spans="1:23" x14ac:dyDescent="0.25">
      <c r="A31" t="s">
        <v>1773</v>
      </c>
      <c r="B31" t="s">
        <v>1281</v>
      </c>
      <c r="C31">
        <v>9</v>
      </c>
      <c r="D31">
        <v>16245336.890000001</v>
      </c>
      <c r="E31" t="s">
        <v>1191</v>
      </c>
      <c r="F31">
        <v>709826.18</v>
      </c>
      <c r="G31">
        <v>20173579.420000002</v>
      </c>
      <c r="H31" s="406">
        <v>42413.487210648149</v>
      </c>
      <c r="I31" s="539">
        <v>42967</v>
      </c>
      <c r="J31" t="s">
        <v>1774</v>
      </c>
      <c r="K31" t="s">
        <v>1835</v>
      </c>
      <c r="L31" t="s">
        <v>1280</v>
      </c>
      <c r="M31">
        <v>102409</v>
      </c>
      <c r="N31" t="s">
        <v>1772</v>
      </c>
      <c r="O31" t="s">
        <v>25</v>
      </c>
      <c r="P31" t="s">
        <v>26</v>
      </c>
      <c r="Q31" t="s">
        <v>26</v>
      </c>
      <c r="R31">
        <v>16245336.890000001</v>
      </c>
      <c r="S31">
        <v>0</v>
      </c>
      <c r="T31">
        <v>0</v>
      </c>
      <c r="U31">
        <v>1</v>
      </c>
      <c r="V31">
        <v>0</v>
      </c>
      <c r="W31">
        <v>0</v>
      </c>
    </row>
    <row r="32" spans="1:23" x14ac:dyDescent="0.25">
      <c r="A32" t="s">
        <v>877</v>
      </c>
      <c r="B32" t="s">
        <v>1281</v>
      </c>
      <c r="C32">
        <v>-17</v>
      </c>
      <c r="D32">
        <v>23267124.620000001</v>
      </c>
      <c r="E32" t="s">
        <v>1191</v>
      </c>
      <c r="F32">
        <v>325739.74</v>
      </c>
      <c r="G32">
        <v>37411584</v>
      </c>
      <c r="H32" s="406">
        <v>42410.706990740742</v>
      </c>
      <c r="I32" s="539">
        <v>43512</v>
      </c>
      <c r="J32" t="s">
        <v>878</v>
      </c>
      <c r="K32" t="s">
        <v>879</v>
      </c>
      <c r="L32" t="s">
        <v>1280</v>
      </c>
      <c r="M32">
        <v>102405</v>
      </c>
      <c r="N32" t="s">
        <v>872</v>
      </c>
      <c r="O32" t="s">
        <v>25</v>
      </c>
      <c r="P32" t="s">
        <v>26</v>
      </c>
      <c r="Q32" t="s">
        <v>26</v>
      </c>
      <c r="R32">
        <v>0</v>
      </c>
      <c r="S32">
        <v>0</v>
      </c>
      <c r="T32">
        <v>0</v>
      </c>
      <c r="U32">
        <v>0</v>
      </c>
      <c r="V32">
        <v>0</v>
      </c>
      <c r="W32">
        <v>0</v>
      </c>
    </row>
    <row r="33" spans="1:23" x14ac:dyDescent="0.25">
      <c r="A33" t="s">
        <v>140</v>
      </c>
      <c r="B33" t="s">
        <v>1281</v>
      </c>
      <c r="C33">
        <v>-2</v>
      </c>
      <c r="D33">
        <v>10023316.960000001</v>
      </c>
      <c r="E33" t="s">
        <v>1191</v>
      </c>
      <c r="F33">
        <v>315734.48</v>
      </c>
      <c r="G33">
        <v>13678852.1</v>
      </c>
      <c r="H33" s="406">
        <v>42061.50341435185</v>
      </c>
      <c r="I33" s="539">
        <v>43160</v>
      </c>
      <c r="J33" t="s">
        <v>141</v>
      </c>
      <c r="K33" t="s">
        <v>142</v>
      </c>
      <c r="L33" t="s">
        <v>143</v>
      </c>
      <c r="M33">
        <v>101313</v>
      </c>
      <c r="N33" t="s">
        <v>139</v>
      </c>
      <c r="O33" t="s">
        <v>28</v>
      </c>
      <c r="P33" t="s">
        <v>755</v>
      </c>
      <c r="Q33" t="s">
        <v>26</v>
      </c>
      <c r="R33">
        <v>0</v>
      </c>
      <c r="S33">
        <v>0</v>
      </c>
      <c r="T33">
        <v>0</v>
      </c>
      <c r="U33">
        <v>0</v>
      </c>
      <c r="V33">
        <v>0</v>
      </c>
      <c r="W33">
        <v>0</v>
      </c>
    </row>
    <row r="34" spans="1:23" x14ac:dyDescent="0.25">
      <c r="A34" t="s">
        <v>1758</v>
      </c>
      <c r="B34" t="s">
        <v>1282</v>
      </c>
      <c r="C34">
        <v>24</v>
      </c>
      <c r="D34">
        <v>2792805.38</v>
      </c>
      <c r="E34" t="s">
        <v>1191</v>
      </c>
      <c r="F34">
        <v>184446.09</v>
      </c>
      <c r="G34">
        <v>3196565.22</v>
      </c>
      <c r="H34" s="406">
        <v>42405.568958333337</v>
      </c>
      <c r="I34" s="539">
        <v>42771</v>
      </c>
      <c r="J34" t="s">
        <v>1759</v>
      </c>
      <c r="K34" t="s">
        <v>1280</v>
      </c>
      <c r="L34" t="s">
        <v>1280</v>
      </c>
      <c r="M34">
        <v>102399</v>
      </c>
      <c r="N34" t="s">
        <v>1757</v>
      </c>
      <c r="O34" t="s">
        <v>44</v>
      </c>
      <c r="P34" t="s">
        <v>75</v>
      </c>
      <c r="Q34" t="s">
        <v>1442</v>
      </c>
      <c r="R34">
        <v>2792805.38</v>
      </c>
      <c r="S34">
        <v>0</v>
      </c>
      <c r="T34">
        <v>0</v>
      </c>
      <c r="U34">
        <v>1</v>
      </c>
      <c r="V34">
        <v>0</v>
      </c>
      <c r="W34">
        <v>0</v>
      </c>
    </row>
    <row r="35" spans="1:23" x14ac:dyDescent="0.25">
      <c r="A35" t="s">
        <v>678</v>
      </c>
      <c r="B35" t="s">
        <v>1283</v>
      </c>
      <c r="C35">
        <v>-15</v>
      </c>
      <c r="D35">
        <v>42973367.57</v>
      </c>
      <c r="E35" t="s">
        <v>1191</v>
      </c>
      <c r="F35">
        <v>601627.15</v>
      </c>
      <c r="G35">
        <v>64125311.869999997</v>
      </c>
      <c r="H35" s="406">
        <v>42383.680833333332</v>
      </c>
      <c r="I35" s="539">
        <v>43479</v>
      </c>
      <c r="J35" t="s">
        <v>679</v>
      </c>
      <c r="K35" t="s">
        <v>680</v>
      </c>
      <c r="L35" t="s">
        <v>1280</v>
      </c>
      <c r="M35">
        <v>102374</v>
      </c>
      <c r="N35" t="s">
        <v>677</v>
      </c>
      <c r="O35" t="s">
        <v>29</v>
      </c>
      <c r="P35" t="s">
        <v>96</v>
      </c>
      <c r="Q35" t="s">
        <v>96</v>
      </c>
      <c r="R35">
        <v>0</v>
      </c>
      <c r="S35">
        <v>0</v>
      </c>
      <c r="T35">
        <v>0</v>
      </c>
      <c r="U35">
        <v>0</v>
      </c>
      <c r="V35">
        <v>0</v>
      </c>
      <c r="W35">
        <v>0</v>
      </c>
    </row>
    <row r="36" spans="1:23" x14ac:dyDescent="0.25">
      <c r="A36" t="s">
        <v>673</v>
      </c>
      <c r="B36" t="s">
        <v>1282</v>
      </c>
      <c r="C36">
        <v>46</v>
      </c>
      <c r="D36">
        <v>3630646.99</v>
      </c>
      <c r="E36" t="s">
        <v>1191</v>
      </c>
      <c r="F36">
        <v>267798.23</v>
      </c>
      <c r="G36">
        <v>4155534.78</v>
      </c>
      <c r="H36" s="406">
        <v>42382.710520833331</v>
      </c>
      <c r="I36" s="539">
        <v>42748</v>
      </c>
      <c r="J36" t="s">
        <v>674</v>
      </c>
      <c r="K36" t="s">
        <v>675</v>
      </c>
      <c r="L36" t="s">
        <v>1280</v>
      </c>
      <c r="M36">
        <v>102373</v>
      </c>
      <c r="N36" t="s">
        <v>672</v>
      </c>
      <c r="O36" t="s">
        <v>25</v>
      </c>
      <c r="P36" t="s">
        <v>289</v>
      </c>
      <c r="Q36" t="s">
        <v>26</v>
      </c>
      <c r="R36">
        <v>3630646.99</v>
      </c>
      <c r="S36">
        <v>3630646.99</v>
      </c>
      <c r="T36">
        <v>0</v>
      </c>
      <c r="U36">
        <v>0</v>
      </c>
      <c r="V36">
        <v>1</v>
      </c>
      <c r="W36">
        <v>0</v>
      </c>
    </row>
    <row r="37" spans="1:23" x14ac:dyDescent="0.25">
      <c r="A37" t="s">
        <v>169</v>
      </c>
      <c r="B37" t="s">
        <v>1282</v>
      </c>
      <c r="C37">
        <v>11</v>
      </c>
      <c r="D37">
        <v>2900799.13</v>
      </c>
      <c r="E37" t="s">
        <v>1191</v>
      </c>
      <c r="F37">
        <v>145601.17000000001</v>
      </c>
      <c r="G37">
        <v>3196565.13</v>
      </c>
      <c r="H37" s="406">
        <v>42356.527199074073</v>
      </c>
      <c r="I37" s="539">
        <v>42722</v>
      </c>
      <c r="J37" t="s">
        <v>170</v>
      </c>
      <c r="K37" t="s">
        <v>171</v>
      </c>
      <c r="L37" t="s">
        <v>172</v>
      </c>
      <c r="M37">
        <v>102343</v>
      </c>
      <c r="N37" t="s">
        <v>168</v>
      </c>
      <c r="O37" t="s">
        <v>25</v>
      </c>
      <c r="P37" t="s">
        <v>295</v>
      </c>
      <c r="Q37" t="s">
        <v>296</v>
      </c>
      <c r="R37">
        <v>2900799.13</v>
      </c>
      <c r="S37">
        <v>0</v>
      </c>
      <c r="T37">
        <v>0</v>
      </c>
      <c r="U37">
        <v>1</v>
      </c>
      <c r="V37">
        <v>0</v>
      </c>
      <c r="W37">
        <v>0</v>
      </c>
    </row>
    <row r="38" spans="1:23" x14ac:dyDescent="0.25">
      <c r="A38" t="s">
        <v>193</v>
      </c>
      <c r="B38" t="s">
        <v>1282</v>
      </c>
      <c r="C38">
        <v>12</v>
      </c>
      <c r="D38">
        <v>6477976.8499999996</v>
      </c>
      <c r="E38" t="s">
        <v>1191</v>
      </c>
      <c r="F38">
        <v>342100.18</v>
      </c>
      <c r="G38">
        <v>7555052.4800000004</v>
      </c>
      <c r="H38" s="406">
        <v>42355.782673611109</v>
      </c>
      <c r="I38" s="539">
        <v>42811</v>
      </c>
      <c r="J38" t="s">
        <v>194</v>
      </c>
      <c r="K38" t="s">
        <v>1280</v>
      </c>
      <c r="L38" t="s">
        <v>1280</v>
      </c>
      <c r="M38">
        <v>102342</v>
      </c>
      <c r="N38" t="s">
        <v>192</v>
      </c>
      <c r="O38" t="s">
        <v>45</v>
      </c>
      <c r="P38" t="s">
        <v>45</v>
      </c>
      <c r="Q38" t="s">
        <v>89</v>
      </c>
      <c r="R38">
        <v>6477976.8499999996</v>
      </c>
      <c r="S38">
        <v>0</v>
      </c>
      <c r="T38">
        <v>0</v>
      </c>
      <c r="U38">
        <v>1</v>
      </c>
      <c r="V38">
        <v>0</v>
      </c>
      <c r="W38">
        <v>0</v>
      </c>
    </row>
    <row r="39" spans="1:23" x14ac:dyDescent="0.25">
      <c r="A39" t="s">
        <v>608</v>
      </c>
      <c r="B39" t="s">
        <v>1283</v>
      </c>
      <c r="C39">
        <v>14</v>
      </c>
      <c r="D39">
        <v>37365992.240000002</v>
      </c>
      <c r="E39" t="s">
        <v>1191</v>
      </c>
      <c r="F39">
        <v>1595422.8</v>
      </c>
      <c r="G39">
        <v>55757927.25</v>
      </c>
      <c r="H39" s="406">
        <v>42353.615312499998</v>
      </c>
      <c r="I39" s="539">
        <v>43449</v>
      </c>
      <c r="J39" t="s">
        <v>609</v>
      </c>
      <c r="K39" t="s">
        <v>610</v>
      </c>
      <c r="L39" t="s">
        <v>1280</v>
      </c>
      <c r="M39">
        <v>102325</v>
      </c>
      <c r="N39" t="s">
        <v>606</v>
      </c>
      <c r="O39" t="s">
        <v>27</v>
      </c>
      <c r="P39" t="s">
        <v>26</v>
      </c>
      <c r="Q39" t="s">
        <v>26</v>
      </c>
      <c r="R39">
        <v>37365992.240000002</v>
      </c>
      <c r="S39">
        <v>0</v>
      </c>
      <c r="T39">
        <v>0</v>
      </c>
      <c r="U39">
        <v>1</v>
      </c>
      <c r="V39">
        <v>0</v>
      </c>
      <c r="W39">
        <v>0</v>
      </c>
    </row>
    <row r="40" spans="1:23" x14ac:dyDescent="0.25">
      <c r="A40" t="s">
        <v>1133</v>
      </c>
      <c r="B40" t="s">
        <v>1283</v>
      </c>
      <c r="C40">
        <v>-13</v>
      </c>
      <c r="D40">
        <v>50366854.68</v>
      </c>
      <c r="E40" t="s">
        <v>1191</v>
      </c>
      <c r="F40">
        <v>805869.67</v>
      </c>
      <c r="G40">
        <v>74202146.640000001</v>
      </c>
      <c r="H40" s="406">
        <v>42350.529942129629</v>
      </c>
      <c r="I40" s="539">
        <v>43446</v>
      </c>
      <c r="J40" t="s">
        <v>1134</v>
      </c>
      <c r="K40" t="s">
        <v>1716</v>
      </c>
      <c r="L40" t="s">
        <v>1280</v>
      </c>
      <c r="M40">
        <v>102319</v>
      </c>
      <c r="N40" t="s">
        <v>1129</v>
      </c>
      <c r="O40" t="s">
        <v>44</v>
      </c>
      <c r="P40" t="s">
        <v>75</v>
      </c>
      <c r="Q40" t="s">
        <v>26</v>
      </c>
      <c r="R40">
        <v>0</v>
      </c>
      <c r="S40">
        <v>0</v>
      </c>
      <c r="T40">
        <v>0</v>
      </c>
      <c r="U40">
        <v>0</v>
      </c>
      <c r="V40">
        <v>0</v>
      </c>
      <c r="W40">
        <v>0</v>
      </c>
    </row>
    <row r="41" spans="1:23" x14ac:dyDescent="0.25">
      <c r="A41" t="s">
        <v>1431</v>
      </c>
      <c r="B41" t="s">
        <v>1283</v>
      </c>
      <c r="C41">
        <v>19</v>
      </c>
      <c r="D41">
        <v>57752033.840000004</v>
      </c>
      <c r="E41" t="s">
        <v>1191</v>
      </c>
      <c r="F41">
        <v>2747883.46</v>
      </c>
      <c r="G41">
        <v>86178193.430000007</v>
      </c>
      <c r="H41" s="406">
        <v>42345.649085648147</v>
      </c>
      <c r="I41" s="539">
        <v>43444</v>
      </c>
      <c r="J41" t="s">
        <v>1432</v>
      </c>
      <c r="K41" t="s">
        <v>1280</v>
      </c>
      <c r="L41" t="s">
        <v>1433</v>
      </c>
      <c r="M41">
        <v>102308</v>
      </c>
      <c r="N41" t="s">
        <v>1430</v>
      </c>
      <c r="O41" t="s">
        <v>27</v>
      </c>
      <c r="P41" t="s">
        <v>81</v>
      </c>
      <c r="Q41" t="s">
        <v>26</v>
      </c>
      <c r="R41">
        <v>57752033.840000004</v>
      </c>
      <c r="S41">
        <v>0</v>
      </c>
      <c r="T41">
        <v>0</v>
      </c>
      <c r="U41">
        <v>1</v>
      </c>
      <c r="V41">
        <v>0</v>
      </c>
      <c r="W41">
        <v>0</v>
      </c>
    </row>
    <row r="42" spans="1:23" x14ac:dyDescent="0.25">
      <c r="A42" t="s">
        <v>501</v>
      </c>
      <c r="B42" t="s">
        <v>1281</v>
      </c>
      <c r="C42">
        <v>13</v>
      </c>
      <c r="D42">
        <v>13402708.34</v>
      </c>
      <c r="E42" t="s">
        <v>1191</v>
      </c>
      <c r="F42">
        <v>647785.22</v>
      </c>
      <c r="G42">
        <v>17731210.73</v>
      </c>
      <c r="H42" s="406">
        <v>42339.717164351852</v>
      </c>
      <c r="I42" s="539">
        <v>43085</v>
      </c>
      <c r="J42" t="s">
        <v>502</v>
      </c>
      <c r="K42" t="s">
        <v>503</v>
      </c>
      <c r="L42" t="s">
        <v>1280</v>
      </c>
      <c r="M42">
        <v>102295</v>
      </c>
      <c r="N42" t="s">
        <v>500</v>
      </c>
      <c r="O42" t="s">
        <v>36</v>
      </c>
      <c r="P42" t="s">
        <v>97</v>
      </c>
      <c r="Q42" t="s">
        <v>98</v>
      </c>
      <c r="R42">
        <v>13402708.34</v>
      </c>
      <c r="S42">
        <v>0</v>
      </c>
      <c r="T42">
        <v>0</v>
      </c>
      <c r="U42">
        <v>1</v>
      </c>
      <c r="V42">
        <v>0</v>
      </c>
      <c r="W42">
        <v>0</v>
      </c>
    </row>
    <row r="43" spans="1:23" x14ac:dyDescent="0.25">
      <c r="A43" t="s">
        <v>1571</v>
      </c>
      <c r="B43" t="s">
        <v>1283</v>
      </c>
      <c r="C43">
        <v>27</v>
      </c>
      <c r="D43">
        <v>56245045.43</v>
      </c>
      <c r="E43" t="s">
        <v>1191</v>
      </c>
      <c r="F43">
        <v>3115659.19</v>
      </c>
      <c r="G43">
        <v>83929449.299999997</v>
      </c>
      <c r="H43" s="406">
        <v>42333.675671296296</v>
      </c>
      <c r="I43" s="539">
        <v>43436</v>
      </c>
      <c r="J43" t="s">
        <v>1572</v>
      </c>
      <c r="K43" t="s">
        <v>1573</v>
      </c>
      <c r="L43" t="s">
        <v>1280</v>
      </c>
      <c r="M43">
        <v>102274</v>
      </c>
      <c r="N43" t="s">
        <v>452</v>
      </c>
      <c r="O43" t="s">
        <v>25</v>
      </c>
      <c r="P43" t="s">
        <v>88</v>
      </c>
      <c r="Q43" t="s">
        <v>26</v>
      </c>
      <c r="R43">
        <v>56245045.43</v>
      </c>
      <c r="S43">
        <v>0</v>
      </c>
      <c r="T43">
        <v>0</v>
      </c>
      <c r="U43">
        <v>1</v>
      </c>
      <c r="V43">
        <v>0</v>
      </c>
      <c r="W43">
        <v>0</v>
      </c>
    </row>
    <row r="44" spans="1:23" x14ac:dyDescent="0.25">
      <c r="A44" t="s">
        <v>1544</v>
      </c>
      <c r="B44" t="s">
        <v>1282</v>
      </c>
      <c r="C44">
        <v>-9</v>
      </c>
      <c r="D44">
        <v>6949401.1100000003</v>
      </c>
      <c r="E44" t="s">
        <v>1191</v>
      </c>
      <c r="F44">
        <v>185317.36</v>
      </c>
      <c r="G44">
        <v>8257435.8399999999</v>
      </c>
      <c r="H44" s="406">
        <v>42312.525266203702</v>
      </c>
      <c r="I44" s="539">
        <v>42863</v>
      </c>
      <c r="J44" t="s">
        <v>1545</v>
      </c>
      <c r="K44" t="s">
        <v>1546</v>
      </c>
      <c r="L44" t="s">
        <v>1280</v>
      </c>
      <c r="M44">
        <v>102214</v>
      </c>
      <c r="N44" t="s">
        <v>1542</v>
      </c>
      <c r="O44" t="s">
        <v>27</v>
      </c>
      <c r="P44" t="s">
        <v>81</v>
      </c>
      <c r="Q44" t="s">
        <v>26</v>
      </c>
      <c r="R44">
        <v>0</v>
      </c>
      <c r="S44">
        <v>0</v>
      </c>
      <c r="T44">
        <v>0</v>
      </c>
      <c r="U44">
        <v>0</v>
      </c>
      <c r="V44">
        <v>0</v>
      </c>
      <c r="W44">
        <v>0</v>
      </c>
    </row>
    <row r="45" spans="1:23" x14ac:dyDescent="0.25">
      <c r="A45" t="s">
        <v>1152</v>
      </c>
      <c r="B45" t="s">
        <v>1283</v>
      </c>
      <c r="C45">
        <v>57</v>
      </c>
      <c r="D45">
        <v>61813285.119999997</v>
      </c>
      <c r="E45" t="s">
        <v>1191</v>
      </c>
      <c r="F45">
        <v>3664119.14</v>
      </c>
      <c r="G45">
        <v>92238435.379999995</v>
      </c>
      <c r="H45" s="406">
        <v>42306.654780092591</v>
      </c>
      <c r="I45" s="539">
        <v>43406</v>
      </c>
      <c r="J45" t="s">
        <v>1153</v>
      </c>
      <c r="K45" t="s">
        <v>1280</v>
      </c>
      <c r="L45" t="s">
        <v>1280</v>
      </c>
      <c r="M45">
        <v>102192</v>
      </c>
      <c r="N45" t="s">
        <v>1151</v>
      </c>
      <c r="O45" t="s">
        <v>35</v>
      </c>
      <c r="P45" t="s">
        <v>121</v>
      </c>
      <c r="Q45" t="s">
        <v>26</v>
      </c>
      <c r="R45">
        <v>61813285.119999997</v>
      </c>
      <c r="S45">
        <v>61813285.119999997</v>
      </c>
      <c r="T45">
        <v>0</v>
      </c>
      <c r="U45">
        <v>0</v>
      </c>
      <c r="V45">
        <v>1</v>
      </c>
      <c r="W45">
        <v>0</v>
      </c>
    </row>
    <row r="46" spans="1:23" x14ac:dyDescent="0.25">
      <c r="A46" t="s">
        <v>751</v>
      </c>
      <c r="B46" t="s">
        <v>1283</v>
      </c>
      <c r="C46">
        <v>-3</v>
      </c>
      <c r="D46">
        <v>19182769.039999999</v>
      </c>
      <c r="E46" t="s">
        <v>1191</v>
      </c>
      <c r="F46">
        <v>498752</v>
      </c>
      <c r="G46">
        <v>22805471.940000001</v>
      </c>
      <c r="H46" s="406">
        <v>42292.512708333335</v>
      </c>
      <c r="I46" s="539">
        <v>42949</v>
      </c>
      <c r="J46" t="s">
        <v>752</v>
      </c>
      <c r="K46" t="s">
        <v>1280</v>
      </c>
      <c r="L46" t="s">
        <v>1280</v>
      </c>
      <c r="M46">
        <v>102142</v>
      </c>
      <c r="N46" t="s">
        <v>747</v>
      </c>
      <c r="O46" t="s">
        <v>37</v>
      </c>
      <c r="P46" t="s">
        <v>288</v>
      </c>
      <c r="Q46" t="s">
        <v>26</v>
      </c>
      <c r="R46">
        <v>0</v>
      </c>
      <c r="S46">
        <v>0</v>
      </c>
      <c r="T46">
        <v>0</v>
      </c>
      <c r="U46">
        <v>0</v>
      </c>
      <c r="V46">
        <v>0</v>
      </c>
      <c r="W46">
        <v>0</v>
      </c>
    </row>
    <row r="47" spans="1:23" x14ac:dyDescent="0.25">
      <c r="A47" t="s">
        <v>527</v>
      </c>
      <c r="B47" t="s">
        <v>1281</v>
      </c>
      <c r="C47">
        <v>-16</v>
      </c>
      <c r="D47">
        <v>9282159.3900000006</v>
      </c>
      <c r="E47" t="s">
        <v>1191</v>
      </c>
      <c r="F47">
        <v>140779.42000000001</v>
      </c>
      <c r="G47">
        <v>10626322.41</v>
      </c>
      <c r="H47" s="406">
        <v>42291.480787037035</v>
      </c>
      <c r="I47" s="539">
        <v>42840</v>
      </c>
      <c r="J47" t="s">
        <v>528</v>
      </c>
      <c r="K47" t="s">
        <v>1280</v>
      </c>
      <c r="L47" t="s">
        <v>1280</v>
      </c>
      <c r="M47">
        <v>102136</v>
      </c>
      <c r="N47" t="s">
        <v>523</v>
      </c>
      <c r="O47" t="s">
        <v>25</v>
      </c>
      <c r="P47" t="s">
        <v>26</v>
      </c>
      <c r="Q47" t="s">
        <v>26</v>
      </c>
      <c r="R47">
        <v>0</v>
      </c>
      <c r="S47">
        <v>0</v>
      </c>
      <c r="T47">
        <v>0</v>
      </c>
      <c r="U47">
        <v>0</v>
      </c>
      <c r="V47">
        <v>0</v>
      </c>
      <c r="W47">
        <v>0</v>
      </c>
    </row>
    <row r="48" spans="1:23" x14ac:dyDescent="0.25">
      <c r="A48" t="s">
        <v>178</v>
      </c>
      <c r="B48" t="s">
        <v>1281</v>
      </c>
      <c r="C48">
        <v>17</v>
      </c>
      <c r="D48">
        <v>11560879.07</v>
      </c>
      <c r="E48" t="s">
        <v>1191</v>
      </c>
      <c r="F48">
        <v>608225.71</v>
      </c>
      <c r="G48">
        <v>14820933.720000001</v>
      </c>
      <c r="H48" s="406">
        <v>42289.511817129627</v>
      </c>
      <c r="I48" s="539">
        <v>43020</v>
      </c>
      <c r="J48" t="s">
        <v>179</v>
      </c>
      <c r="K48" t="s">
        <v>180</v>
      </c>
      <c r="L48" t="s">
        <v>1280</v>
      </c>
      <c r="M48">
        <v>102128</v>
      </c>
      <c r="N48" t="s">
        <v>177</v>
      </c>
      <c r="O48" t="s">
        <v>25</v>
      </c>
      <c r="P48" t="s">
        <v>88</v>
      </c>
      <c r="Q48" t="s">
        <v>26</v>
      </c>
      <c r="R48">
        <v>11560879.07</v>
      </c>
      <c r="S48">
        <v>0</v>
      </c>
      <c r="T48">
        <v>0</v>
      </c>
      <c r="U48">
        <v>1</v>
      </c>
      <c r="V48">
        <v>0</v>
      </c>
      <c r="W48">
        <v>0</v>
      </c>
    </row>
    <row r="49" spans="1:23" x14ac:dyDescent="0.25">
      <c r="A49" t="s">
        <v>1412</v>
      </c>
      <c r="B49" t="s">
        <v>1281</v>
      </c>
      <c r="C49">
        <v>-4</v>
      </c>
      <c r="D49">
        <v>9790162.3399999999</v>
      </c>
      <c r="E49" t="s">
        <v>1191</v>
      </c>
      <c r="F49">
        <v>285546.40000000002</v>
      </c>
      <c r="G49">
        <v>11207889.99</v>
      </c>
      <c r="H49" s="406">
        <v>42275.530243055553</v>
      </c>
      <c r="I49" s="539">
        <v>42828</v>
      </c>
      <c r="J49" t="s">
        <v>1413</v>
      </c>
      <c r="K49" t="s">
        <v>1414</v>
      </c>
      <c r="L49" t="s">
        <v>1280</v>
      </c>
      <c r="M49">
        <v>102084</v>
      </c>
      <c r="N49" t="s">
        <v>1411</v>
      </c>
      <c r="O49" t="s">
        <v>37</v>
      </c>
      <c r="P49" t="s">
        <v>38</v>
      </c>
      <c r="Q49" t="s">
        <v>39</v>
      </c>
      <c r="R49">
        <v>0</v>
      </c>
      <c r="S49">
        <v>0</v>
      </c>
      <c r="T49">
        <v>0</v>
      </c>
      <c r="U49">
        <v>0</v>
      </c>
      <c r="V49">
        <v>0</v>
      </c>
      <c r="W49">
        <v>0</v>
      </c>
    </row>
    <row r="50" spans="1:23" x14ac:dyDescent="0.25">
      <c r="A50" t="s">
        <v>381</v>
      </c>
      <c r="B50" t="s">
        <v>1282</v>
      </c>
      <c r="C50">
        <v>-24</v>
      </c>
      <c r="D50">
        <v>12095464.16</v>
      </c>
      <c r="E50" t="s">
        <v>1191</v>
      </c>
      <c r="F50">
        <v>80636.429999999993</v>
      </c>
      <c r="G50">
        <v>19039276.010000002</v>
      </c>
      <c r="H50" s="406">
        <v>42270.711504629631</v>
      </c>
      <c r="I50" s="539">
        <v>43366</v>
      </c>
      <c r="J50" t="s">
        <v>382</v>
      </c>
      <c r="K50" t="s">
        <v>383</v>
      </c>
      <c r="L50" t="s">
        <v>1280</v>
      </c>
      <c r="M50">
        <v>102079</v>
      </c>
      <c r="N50" t="s">
        <v>369</v>
      </c>
      <c r="O50" t="s">
        <v>44</v>
      </c>
      <c r="P50" t="s">
        <v>75</v>
      </c>
      <c r="Q50" t="s">
        <v>26</v>
      </c>
      <c r="R50">
        <v>0</v>
      </c>
      <c r="S50">
        <v>0</v>
      </c>
      <c r="T50">
        <v>0</v>
      </c>
      <c r="U50">
        <v>0</v>
      </c>
      <c r="V50">
        <v>0</v>
      </c>
      <c r="W50">
        <v>0</v>
      </c>
    </row>
    <row r="51" spans="1:23" x14ac:dyDescent="0.25">
      <c r="A51" t="s">
        <v>1371</v>
      </c>
      <c r="B51" t="s">
        <v>1283</v>
      </c>
      <c r="C51">
        <v>9</v>
      </c>
      <c r="D51">
        <v>35996008.719999999</v>
      </c>
      <c r="E51" t="s">
        <v>1191</v>
      </c>
      <c r="F51">
        <v>1359949.98</v>
      </c>
      <c r="G51">
        <v>51679353.600000001</v>
      </c>
      <c r="H51" s="406">
        <v>42264.720439814817</v>
      </c>
      <c r="I51" s="539">
        <v>43363</v>
      </c>
      <c r="J51" t="s">
        <v>1372</v>
      </c>
      <c r="K51" t="s">
        <v>1715</v>
      </c>
      <c r="L51" t="s">
        <v>1280</v>
      </c>
      <c r="M51">
        <v>102056</v>
      </c>
      <c r="N51" t="s">
        <v>1370</v>
      </c>
      <c r="O51" t="s">
        <v>44</v>
      </c>
      <c r="P51" t="s">
        <v>75</v>
      </c>
      <c r="Q51" t="s">
        <v>26</v>
      </c>
      <c r="R51">
        <v>35996008.719999999</v>
      </c>
      <c r="S51">
        <v>0</v>
      </c>
      <c r="T51">
        <v>0</v>
      </c>
      <c r="U51">
        <v>1</v>
      </c>
      <c r="V51">
        <v>0</v>
      </c>
      <c r="W51">
        <v>0</v>
      </c>
    </row>
    <row r="52" spans="1:23" x14ac:dyDescent="0.25">
      <c r="A52" t="s">
        <v>375</v>
      </c>
      <c r="B52" t="s">
        <v>1281</v>
      </c>
      <c r="C52">
        <v>-13</v>
      </c>
      <c r="D52">
        <v>3892037.19</v>
      </c>
      <c r="E52" t="s">
        <v>1191</v>
      </c>
      <c r="F52">
        <v>72651.360000000001</v>
      </c>
      <c r="G52">
        <v>4167603.31</v>
      </c>
      <c r="H52" s="406">
        <v>42259.554502314815</v>
      </c>
      <c r="I52" s="539">
        <v>42716</v>
      </c>
      <c r="J52" t="s">
        <v>376</v>
      </c>
      <c r="K52" t="s">
        <v>377</v>
      </c>
      <c r="L52" t="s">
        <v>1280</v>
      </c>
      <c r="M52">
        <v>102046</v>
      </c>
      <c r="N52" t="s">
        <v>363</v>
      </c>
      <c r="O52" t="s">
        <v>25</v>
      </c>
      <c r="P52" t="s">
        <v>106</v>
      </c>
      <c r="Q52" t="s">
        <v>26</v>
      </c>
      <c r="R52">
        <v>0</v>
      </c>
      <c r="S52">
        <v>0</v>
      </c>
      <c r="T52">
        <v>0</v>
      </c>
      <c r="U52">
        <v>0</v>
      </c>
      <c r="V52">
        <v>0</v>
      </c>
      <c r="W52">
        <v>0</v>
      </c>
    </row>
    <row r="53" spans="1:23" x14ac:dyDescent="0.25">
      <c r="A53" t="s">
        <v>1299</v>
      </c>
      <c r="B53" t="s">
        <v>1283</v>
      </c>
      <c r="C53">
        <v>-2</v>
      </c>
      <c r="D53">
        <v>54458000.880000003</v>
      </c>
      <c r="E53" t="s">
        <v>1191</v>
      </c>
      <c r="F53">
        <v>1470366.02</v>
      </c>
      <c r="G53">
        <v>77174501.519999996</v>
      </c>
      <c r="H53" s="406">
        <v>42244.726180555554</v>
      </c>
      <c r="I53" s="539">
        <v>43344</v>
      </c>
      <c r="J53" t="s">
        <v>1300</v>
      </c>
      <c r="K53" t="s">
        <v>1280</v>
      </c>
      <c r="L53" t="s">
        <v>1280</v>
      </c>
      <c r="M53">
        <v>101989</v>
      </c>
      <c r="N53" t="s">
        <v>1298</v>
      </c>
      <c r="O53" t="s">
        <v>27</v>
      </c>
      <c r="P53" t="s">
        <v>116</v>
      </c>
      <c r="Q53" t="s">
        <v>26</v>
      </c>
      <c r="R53">
        <v>0</v>
      </c>
      <c r="S53">
        <v>0</v>
      </c>
      <c r="T53">
        <v>0</v>
      </c>
      <c r="U53">
        <v>0</v>
      </c>
      <c r="V53">
        <v>0</v>
      </c>
      <c r="W53">
        <v>0</v>
      </c>
    </row>
    <row r="54" spans="1:23" x14ac:dyDescent="0.25">
      <c r="A54" t="s">
        <v>642</v>
      </c>
      <c r="B54" t="s">
        <v>1283</v>
      </c>
      <c r="C54">
        <v>24</v>
      </c>
      <c r="D54">
        <v>45948051.479999997</v>
      </c>
      <c r="E54" t="s">
        <v>1191</v>
      </c>
      <c r="F54">
        <v>2406260.81</v>
      </c>
      <c r="G54">
        <v>65967469.43</v>
      </c>
      <c r="H54" s="406">
        <v>42240.662766203706</v>
      </c>
      <c r="I54" s="539">
        <v>43348</v>
      </c>
      <c r="J54" t="s">
        <v>643</v>
      </c>
      <c r="K54" t="s">
        <v>644</v>
      </c>
      <c r="L54" t="s">
        <v>1280</v>
      </c>
      <c r="M54">
        <v>101962</v>
      </c>
      <c r="N54" t="s">
        <v>638</v>
      </c>
      <c r="O54" t="s">
        <v>27</v>
      </c>
      <c r="P54" t="s">
        <v>26</v>
      </c>
      <c r="Q54" t="s">
        <v>26</v>
      </c>
      <c r="R54">
        <v>45948051.479999997</v>
      </c>
      <c r="S54">
        <v>0</v>
      </c>
      <c r="T54">
        <v>0</v>
      </c>
      <c r="U54">
        <v>1</v>
      </c>
      <c r="V54">
        <v>0</v>
      </c>
      <c r="W54">
        <v>0</v>
      </c>
    </row>
    <row r="55" spans="1:23" x14ac:dyDescent="0.25">
      <c r="A55" t="s">
        <v>1252</v>
      </c>
      <c r="B55" t="s">
        <v>1283</v>
      </c>
      <c r="C55">
        <v>74</v>
      </c>
      <c r="D55">
        <v>25457576.5</v>
      </c>
      <c r="E55" t="s">
        <v>1191</v>
      </c>
      <c r="F55">
        <v>1506264.13</v>
      </c>
      <c r="G55">
        <v>37025385.939999998</v>
      </c>
      <c r="H55" s="406">
        <v>42228.610578703701</v>
      </c>
      <c r="I55" s="539">
        <v>43327</v>
      </c>
      <c r="J55" t="s">
        <v>1253</v>
      </c>
      <c r="K55" t="s">
        <v>1254</v>
      </c>
      <c r="L55" t="s">
        <v>1280</v>
      </c>
      <c r="M55">
        <v>101925</v>
      </c>
      <c r="N55" t="s">
        <v>1240</v>
      </c>
      <c r="O55" t="s">
        <v>44</v>
      </c>
      <c r="P55" t="s">
        <v>75</v>
      </c>
      <c r="Q55" t="s">
        <v>26</v>
      </c>
      <c r="R55">
        <v>25457576.5</v>
      </c>
      <c r="S55">
        <v>25457576.5</v>
      </c>
      <c r="T55">
        <v>0</v>
      </c>
      <c r="U55">
        <v>0</v>
      </c>
      <c r="V55">
        <v>1</v>
      </c>
      <c r="W55">
        <v>0</v>
      </c>
    </row>
    <row r="56" spans="1:23" x14ac:dyDescent="0.25">
      <c r="A56" t="s">
        <v>1193</v>
      </c>
      <c r="B56" t="s">
        <v>1283</v>
      </c>
      <c r="C56">
        <v>-3</v>
      </c>
      <c r="D56">
        <v>23556047.77</v>
      </c>
      <c r="E56" t="s">
        <v>1191</v>
      </c>
      <c r="F56">
        <v>612457.24</v>
      </c>
      <c r="G56">
        <v>30415404.010000002</v>
      </c>
      <c r="H56" s="406">
        <v>42216.752013888887</v>
      </c>
      <c r="I56" s="539">
        <v>43133</v>
      </c>
      <c r="J56" t="s">
        <v>1194</v>
      </c>
      <c r="K56" t="s">
        <v>1280</v>
      </c>
      <c r="L56" t="s">
        <v>1280</v>
      </c>
      <c r="M56">
        <v>101899</v>
      </c>
      <c r="N56" t="s">
        <v>1188</v>
      </c>
      <c r="O56" t="s">
        <v>41</v>
      </c>
      <c r="P56" t="s">
        <v>1189</v>
      </c>
      <c r="Q56" t="s">
        <v>1190</v>
      </c>
      <c r="R56">
        <v>0</v>
      </c>
      <c r="S56">
        <v>0</v>
      </c>
      <c r="T56">
        <v>0</v>
      </c>
      <c r="U56">
        <v>0</v>
      </c>
      <c r="V56">
        <v>0</v>
      </c>
      <c r="W56">
        <v>0</v>
      </c>
    </row>
    <row r="57" spans="1:23" x14ac:dyDescent="0.25">
      <c r="A57" t="s">
        <v>430</v>
      </c>
      <c r="B57" t="s">
        <v>1281</v>
      </c>
      <c r="C57">
        <v>-6</v>
      </c>
      <c r="D57">
        <v>11274227.359999999</v>
      </c>
      <c r="E57" t="s">
        <v>1191</v>
      </c>
      <c r="F57">
        <v>302525.09999999998</v>
      </c>
      <c r="G57">
        <v>13777236.859999999</v>
      </c>
      <c r="H57" s="406">
        <v>42216.431840277779</v>
      </c>
      <c r="I57" s="539">
        <v>42952</v>
      </c>
      <c r="J57" t="s">
        <v>431</v>
      </c>
      <c r="K57" t="s">
        <v>1280</v>
      </c>
      <c r="L57" t="s">
        <v>1280</v>
      </c>
      <c r="M57">
        <v>101890</v>
      </c>
      <c r="N57" t="s">
        <v>429</v>
      </c>
      <c r="O57" t="s">
        <v>37</v>
      </c>
      <c r="P57" t="s">
        <v>38</v>
      </c>
      <c r="Q57" t="s">
        <v>26</v>
      </c>
      <c r="R57">
        <v>0</v>
      </c>
      <c r="S57">
        <v>0</v>
      </c>
      <c r="T57">
        <v>0</v>
      </c>
      <c r="U57">
        <v>0</v>
      </c>
      <c r="V57">
        <v>0</v>
      </c>
      <c r="W57">
        <v>0</v>
      </c>
    </row>
    <row r="58" spans="1:23" x14ac:dyDescent="0.25">
      <c r="A58" t="s">
        <v>1161</v>
      </c>
      <c r="B58" t="s">
        <v>1282</v>
      </c>
      <c r="C58">
        <v>-19</v>
      </c>
      <c r="D58">
        <v>10922258.25</v>
      </c>
      <c r="E58" t="s">
        <v>1191</v>
      </c>
      <c r="F58">
        <v>145630.10999999999</v>
      </c>
      <c r="G58">
        <v>16548861.380000001</v>
      </c>
      <c r="H58" s="406">
        <v>42210.528611111113</v>
      </c>
      <c r="I58" s="539">
        <v>43330</v>
      </c>
      <c r="J58" t="s">
        <v>1162</v>
      </c>
      <c r="K58" t="s">
        <v>1280</v>
      </c>
      <c r="L58" t="s">
        <v>1280</v>
      </c>
      <c r="M58">
        <v>101863</v>
      </c>
      <c r="N58" t="s">
        <v>1157</v>
      </c>
      <c r="O58" t="s">
        <v>46</v>
      </c>
      <c r="P58" t="s">
        <v>46</v>
      </c>
      <c r="Q58" t="s">
        <v>26</v>
      </c>
      <c r="R58">
        <v>0</v>
      </c>
      <c r="S58">
        <v>0</v>
      </c>
      <c r="T58">
        <v>0</v>
      </c>
      <c r="U58">
        <v>0</v>
      </c>
      <c r="V58">
        <v>0</v>
      </c>
      <c r="W58">
        <v>0</v>
      </c>
    </row>
    <row r="59" spans="1:23" x14ac:dyDescent="0.25">
      <c r="A59" t="s">
        <v>1159</v>
      </c>
      <c r="B59" t="s">
        <v>1282</v>
      </c>
      <c r="C59">
        <v>28</v>
      </c>
      <c r="D59">
        <v>2137874.9</v>
      </c>
      <c r="E59" t="s">
        <v>1191</v>
      </c>
      <c r="F59">
        <v>137823.35</v>
      </c>
      <c r="G59">
        <v>2311140.29</v>
      </c>
      <c r="H59" s="406">
        <v>42210.51394675926</v>
      </c>
      <c r="I59" s="539">
        <v>42675</v>
      </c>
      <c r="J59" t="s">
        <v>1160</v>
      </c>
      <c r="K59" t="s">
        <v>1280</v>
      </c>
      <c r="L59" t="s">
        <v>1280</v>
      </c>
      <c r="M59">
        <v>101862</v>
      </c>
      <c r="N59" t="s">
        <v>1158</v>
      </c>
      <c r="O59" t="s">
        <v>27</v>
      </c>
      <c r="P59" t="s">
        <v>81</v>
      </c>
      <c r="Q59" t="s">
        <v>26</v>
      </c>
      <c r="R59">
        <v>2137874.9</v>
      </c>
      <c r="S59">
        <v>0</v>
      </c>
      <c r="T59">
        <v>0</v>
      </c>
      <c r="U59">
        <v>1</v>
      </c>
      <c r="V59">
        <v>0</v>
      </c>
      <c r="W59">
        <v>0</v>
      </c>
    </row>
    <row r="60" spans="1:23" x14ac:dyDescent="0.25">
      <c r="A60" t="s">
        <v>424</v>
      </c>
      <c r="B60" t="s">
        <v>1282</v>
      </c>
      <c r="C60">
        <v>-6</v>
      </c>
      <c r="D60">
        <v>9549665.5</v>
      </c>
      <c r="E60" t="s">
        <v>1191</v>
      </c>
      <c r="F60">
        <v>292856.40999999997</v>
      </c>
      <c r="G60">
        <v>14783916.460000001</v>
      </c>
      <c r="H60" s="406">
        <v>42210.480358796296</v>
      </c>
      <c r="I60" s="539">
        <v>43317</v>
      </c>
      <c r="J60" t="s">
        <v>425</v>
      </c>
      <c r="K60" t="s">
        <v>426</v>
      </c>
      <c r="L60" t="s">
        <v>1280</v>
      </c>
      <c r="M60">
        <v>101861</v>
      </c>
      <c r="N60" t="s">
        <v>423</v>
      </c>
      <c r="O60" t="s">
        <v>44</v>
      </c>
      <c r="P60" t="s">
        <v>75</v>
      </c>
      <c r="Q60" t="s">
        <v>26</v>
      </c>
      <c r="R60">
        <v>0</v>
      </c>
      <c r="S60">
        <v>0</v>
      </c>
      <c r="T60">
        <v>0</v>
      </c>
      <c r="U60">
        <v>0</v>
      </c>
      <c r="V60">
        <v>0</v>
      </c>
      <c r="W60">
        <v>0</v>
      </c>
    </row>
    <row r="61" spans="1:23" x14ac:dyDescent="0.25">
      <c r="A61" t="s">
        <v>588</v>
      </c>
      <c r="B61" t="s">
        <v>1281</v>
      </c>
      <c r="C61">
        <v>-6</v>
      </c>
      <c r="D61">
        <v>13033223.65</v>
      </c>
      <c r="E61" t="s">
        <v>1191</v>
      </c>
      <c r="F61">
        <v>349724.83</v>
      </c>
      <c r="G61">
        <v>1297276.6200000001</v>
      </c>
      <c r="H61" s="406">
        <v>42209.544374999998</v>
      </c>
      <c r="I61" s="539">
        <v>43317</v>
      </c>
      <c r="J61" t="s">
        <v>589</v>
      </c>
      <c r="K61" t="s">
        <v>1280</v>
      </c>
      <c r="L61" t="s">
        <v>1280</v>
      </c>
      <c r="M61">
        <v>101858</v>
      </c>
      <c r="N61" t="s">
        <v>587</v>
      </c>
      <c r="O61" t="s">
        <v>44</v>
      </c>
      <c r="P61" t="s">
        <v>75</v>
      </c>
      <c r="Q61" t="s">
        <v>26</v>
      </c>
      <c r="R61">
        <v>0</v>
      </c>
      <c r="S61">
        <v>0</v>
      </c>
      <c r="T61">
        <v>0</v>
      </c>
      <c r="U61">
        <v>0</v>
      </c>
      <c r="V61">
        <v>0</v>
      </c>
      <c r="W61">
        <v>0</v>
      </c>
    </row>
    <row r="62" spans="1:23" x14ac:dyDescent="0.25">
      <c r="A62" t="s">
        <v>485</v>
      </c>
      <c r="B62" t="s">
        <v>1279</v>
      </c>
      <c r="C62">
        <v>-4</v>
      </c>
      <c r="D62">
        <v>520886.63</v>
      </c>
      <c r="E62" t="s">
        <v>1191</v>
      </c>
      <c r="F62">
        <v>17362.89</v>
      </c>
      <c r="G62">
        <v>541722.1</v>
      </c>
      <c r="H62" s="406">
        <v>42185.587465277778</v>
      </c>
      <c r="I62" s="539">
        <v>42646</v>
      </c>
      <c r="J62" t="s">
        <v>486</v>
      </c>
      <c r="K62" t="s">
        <v>1280</v>
      </c>
      <c r="L62" t="s">
        <v>1280</v>
      </c>
      <c r="M62">
        <v>101796</v>
      </c>
      <c r="N62" t="s">
        <v>481</v>
      </c>
      <c r="O62" t="s">
        <v>44</v>
      </c>
      <c r="P62" t="s">
        <v>75</v>
      </c>
      <c r="Q62" t="s">
        <v>26</v>
      </c>
      <c r="R62">
        <v>0</v>
      </c>
      <c r="S62">
        <v>0</v>
      </c>
      <c r="T62">
        <v>0</v>
      </c>
      <c r="U62">
        <v>0</v>
      </c>
      <c r="V62">
        <v>0</v>
      </c>
      <c r="W62">
        <v>0</v>
      </c>
    </row>
    <row r="63" spans="1:23" x14ac:dyDescent="0.25">
      <c r="A63" t="s">
        <v>228</v>
      </c>
      <c r="B63" t="s">
        <v>1283</v>
      </c>
      <c r="C63">
        <v>64</v>
      </c>
      <c r="D63">
        <v>18220504.699999999</v>
      </c>
      <c r="E63" t="s">
        <v>1191</v>
      </c>
      <c r="F63">
        <v>1052030.22</v>
      </c>
      <c r="G63">
        <v>21965638.829999998</v>
      </c>
      <c r="H63" s="406">
        <v>42180.627303240741</v>
      </c>
      <c r="I63" s="539">
        <v>42911</v>
      </c>
      <c r="J63" t="s">
        <v>229</v>
      </c>
      <c r="K63" t="s">
        <v>1280</v>
      </c>
      <c r="L63" t="s">
        <v>1280</v>
      </c>
      <c r="M63">
        <v>101774</v>
      </c>
      <c r="N63" t="s">
        <v>227</v>
      </c>
      <c r="O63" t="s">
        <v>44</v>
      </c>
      <c r="P63" t="s">
        <v>26</v>
      </c>
      <c r="Q63" t="s">
        <v>26</v>
      </c>
      <c r="R63">
        <v>18220504.699999999</v>
      </c>
      <c r="S63">
        <v>18220504.699999999</v>
      </c>
      <c r="T63">
        <v>0</v>
      </c>
      <c r="U63">
        <v>0</v>
      </c>
      <c r="V63">
        <v>1</v>
      </c>
      <c r="W63">
        <v>0</v>
      </c>
    </row>
    <row r="64" spans="1:23" x14ac:dyDescent="0.25">
      <c r="A64" t="s">
        <v>412</v>
      </c>
      <c r="B64" t="s">
        <v>1283</v>
      </c>
      <c r="C64">
        <v>6</v>
      </c>
      <c r="D64">
        <v>4869405.93</v>
      </c>
      <c r="E64" t="s">
        <v>1191</v>
      </c>
      <c r="F64">
        <v>158435.6</v>
      </c>
      <c r="G64">
        <v>5089608.62</v>
      </c>
      <c r="H64" s="406">
        <v>42117.564918981479</v>
      </c>
      <c r="I64" s="539">
        <v>42666</v>
      </c>
      <c r="J64" t="s">
        <v>413</v>
      </c>
      <c r="K64" t="s">
        <v>414</v>
      </c>
      <c r="L64" t="s">
        <v>1280</v>
      </c>
      <c r="M64">
        <v>101512</v>
      </c>
      <c r="N64" t="s">
        <v>408</v>
      </c>
      <c r="O64" t="s">
        <v>31</v>
      </c>
      <c r="P64" t="s">
        <v>26</v>
      </c>
      <c r="Q64" t="s">
        <v>26</v>
      </c>
      <c r="R64">
        <v>4869405.93</v>
      </c>
      <c r="S64">
        <v>0</v>
      </c>
      <c r="T64">
        <v>0</v>
      </c>
      <c r="U64">
        <v>1</v>
      </c>
      <c r="V64">
        <v>0</v>
      </c>
      <c r="W64">
        <v>0</v>
      </c>
    </row>
    <row r="65" spans="1:23" x14ac:dyDescent="0.25">
      <c r="A65" t="s">
        <v>887</v>
      </c>
      <c r="B65" t="s">
        <v>1283</v>
      </c>
      <c r="C65">
        <v>-2</v>
      </c>
      <c r="D65">
        <v>48560929.509999998</v>
      </c>
      <c r="E65" t="s">
        <v>1191</v>
      </c>
      <c r="F65">
        <v>1311145.1000000001</v>
      </c>
      <c r="G65">
        <v>66154909.009999998</v>
      </c>
      <c r="H65" s="406">
        <v>42174.690659722219</v>
      </c>
      <c r="I65" s="539">
        <v>43252</v>
      </c>
      <c r="J65" t="s">
        <v>888</v>
      </c>
      <c r="K65" t="s">
        <v>889</v>
      </c>
      <c r="L65" t="s">
        <v>1280</v>
      </c>
      <c r="M65">
        <v>101757</v>
      </c>
      <c r="N65" t="s">
        <v>886</v>
      </c>
      <c r="O65" t="s">
        <v>44</v>
      </c>
      <c r="P65" t="s">
        <v>75</v>
      </c>
      <c r="Q65" t="s">
        <v>26</v>
      </c>
      <c r="R65">
        <v>0</v>
      </c>
      <c r="S65">
        <v>0</v>
      </c>
      <c r="T65">
        <v>0</v>
      </c>
      <c r="U65">
        <v>0</v>
      </c>
      <c r="V65">
        <v>0</v>
      </c>
      <c r="W65">
        <v>0</v>
      </c>
    </row>
    <row r="66" spans="1:23" x14ac:dyDescent="0.25">
      <c r="A66" t="s">
        <v>1060</v>
      </c>
      <c r="B66" t="s">
        <v>1283</v>
      </c>
      <c r="C66">
        <v>9</v>
      </c>
      <c r="D66">
        <v>51246816.549999997</v>
      </c>
      <c r="E66" t="s">
        <v>1191</v>
      </c>
      <c r="F66">
        <v>1933953.43</v>
      </c>
      <c r="G66">
        <v>70743293.060000002</v>
      </c>
      <c r="H66" s="406">
        <v>42172.648541666669</v>
      </c>
      <c r="I66" s="539">
        <v>43271</v>
      </c>
      <c r="J66" t="s">
        <v>1061</v>
      </c>
      <c r="K66" t="s">
        <v>1062</v>
      </c>
      <c r="L66" t="s">
        <v>1280</v>
      </c>
      <c r="M66">
        <v>101747</v>
      </c>
      <c r="N66" t="s">
        <v>1055</v>
      </c>
      <c r="O66" t="s">
        <v>27</v>
      </c>
      <c r="P66" t="s">
        <v>26</v>
      </c>
      <c r="Q66" t="s">
        <v>26</v>
      </c>
      <c r="R66">
        <v>51246816.549999997</v>
      </c>
      <c r="S66">
        <v>0</v>
      </c>
      <c r="T66">
        <v>0</v>
      </c>
      <c r="U66">
        <v>1</v>
      </c>
      <c r="V66">
        <v>0</v>
      </c>
      <c r="W66">
        <v>0</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W64"/>
  <sheetViews>
    <sheetView topLeftCell="A7" workbookViewId="0">
      <selection activeCell="C28" sqref="C28"/>
    </sheetView>
  </sheetViews>
  <sheetFormatPr defaultRowHeight="13.2" x14ac:dyDescent="0.25"/>
  <cols>
    <col min="1" max="1" width="14.33203125" customWidth="1"/>
    <col min="2" max="2" width="13.5546875" customWidth="1"/>
    <col min="3" max="3" width="16.88671875" customWidth="1"/>
    <col min="4" max="4" width="22" customWidth="1"/>
    <col min="5" max="5" width="14.33203125" customWidth="1"/>
    <col min="6" max="6" width="9.88671875" customWidth="1"/>
    <col min="7" max="7" width="14.6640625" customWidth="1"/>
    <col min="8" max="8" width="18.88671875" customWidth="1"/>
    <col min="9" max="9" width="17" customWidth="1"/>
    <col min="10" max="12" width="13.5546875" customWidth="1"/>
    <col min="13" max="13" width="16.109375" customWidth="1"/>
    <col min="14" max="14" width="16" customWidth="1"/>
    <col min="15" max="15" width="9.6640625" customWidth="1"/>
    <col min="16" max="16" width="13.6640625" customWidth="1"/>
    <col min="17" max="17" width="17.44140625" customWidth="1"/>
    <col min="19" max="20" width="9.5546875" customWidth="1"/>
    <col min="21" max="21" width="17" customWidth="1"/>
    <col min="22" max="23" width="18" customWidth="1"/>
  </cols>
  <sheetData>
    <row r="1" spans="1:23" x14ac:dyDescent="0.25">
      <c r="A1" t="s">
        <v>51</v>
      </c>
      <c r="B1" t="s">
        <v>52</v>
      </c>
      <c r="C1" t="s">
        <v>54</v>
      </c>
      <c r="D1" t="s">
        <v>55</v>
      </c>
      <c r="E1" t="s">
        <v>56</v>
      </c>
      <c r="F1" t="s">
        <v>57</v>
      </c>
      <c r="G1" t="s">
        <v>53</v>
      </c>
      <c r="H1" t="s">
        <v>58</v>
      </c>
      <c r="I1" t="s">
        <v>59</v>
      </c>
      <c r="J1" t="s">
        <v>60</v>
      </c>
      <c r="K1" t="s">
        <v>61</v>
      </c>
      <c r="L1" t="s">
        <v>62</v>
      </c>
      <c r="M1" t="s">
        <v>11</v>
      </c>
      <c r="N1" t="s">
        <v>12</v>
      </c>
      <c r="O1" t="s">
        <v>21</v>
      </c>
      <c r="P1" t="s">
        <v>22</v>
      </c>
      <c r="Q1" t="s">
        <v>23</v>
      </c>
      <c r="R1" t="s">
        <v>1202</v>
      </c>
      <c r="S1" t="s">
        <v>1203</v>
      </c>
      <c r="T1" t="s">
        <v>1204</v>
      </c>
      <c r="U1" t="s">
        <v>1221</v>
      </c>
      <c r="V1" t="s">
        <v>1222</v>
      </c>
      <c r="W1" t="s">
        <v>1223</v>
      </c>
    </row>
    <row r="2" spans="1:23" x14ac:dyDescent="0.25">
      <c r="A2" t="s">
        <v>2741</v>
      </c>
      <c r="B2" t="s">
        <v>1281</v>
      </c>
      <c r="C2">
        <v>-23</v>
      </c>
      <c r="D2">
        <v>15376106.75</v>
      </c>
      <c r="E2" t="s">
        <v>716</v>
      </c>
      <c r="F2">
        <v>123008.85</v>
      </c>
      <c r="G2">
        <v>21486185.27</v>
      </c>
      <c r="H2" s="406">
        <v>42604.483715277776</v>
      </c>
      <c r="I2" s="539">
        <v>43153</v>
      </c>
      <c r="J2" t="s">
        <v>2742</v>
      </c>
      <c r="K2" t="s">
        <v>1280</v>
      </c>
      <c r="L2" t="s">
        <v>1280</v>
      </c>
      <c r="M2">
        <v>200372</v>
      </c>
      <c r="N2" t="s">
        <v>2740</v>
      </c>
      <c r="O2" t="s">
        <v>29</v>
      </c>
      <c r="P2" t="s">
        <v>30</v>
      </c>
      <c r="Q2" t="s">
        <v>30</v>
      </c>
      <c r="R2">
        <v>0</v>
      </c>
      <c r="S2">
        <v>0</v>
      </c>
      <c r="T2">
        <v>0</v>
      </c>
      <c r="U2">
        <v>0</v>
      </c>
      <c r="V2">
        <v>0</v>
      </c>
      <c r="W2">
        <v>0</v>
      </c>
    </row>
    <row r="3" spans="1:23" x14ac:dyDescent="0.25">
      <c r="A3" t="s">
        <v>2597</v>
      </c>
      <c r="B3" t="s">
        <v>1283</v>
      </c>
      <c r="C3">
        <v>-26</v>
      </c>
      <c r="D3">
        <v>31913014</v>
      </c>
      <c r="E3" t="s">
        <v>716</v>
      </c>
      <c r="F3">
        <v>106376.71</v>
      </c>
      <c r="G3">
        <v>41692858.979999997</v>
      </c>
      <c r="H3" s="406">
        <v>42580.43445601852</v>
      </c>
      <c r="I3" s="539">
        <v>43125</v>
      </c>
      <c r="J3" t="s">
        <v>2598</v>
      </c>
      <c r="K3" t="s">
        <v>1280</v>
      </c>
      <c r="L3" t="s">
        <v>1280</v>
      </c>
      <c r="M3">
        <v>200310</v>
      </c>
      <c r="N3" t="s">
        <v>2591</v>
      </c>
      <c r="O3" t="s">
        <v>37</v>
      </c>
      <c r="P3" t="s">
        <v>38</v>
      </c>
      <c r="Q3" t="s">
        <v>39</v>
      </c>
      <c r="R3">
        <v>0</v>
      </c>
      <c r="S3">
        <v>0</v>
      </c>
      <c r="T3">
        <v>0</v>
      </c>
      <c r="U3">
        <v>0</v>
      </c>
      <c r="V3">
        <v>0</v>
      </c>
      <c r="W3">
        <v>0</v>
      </c>
    </row>
    <row r="4" spans="1:23" x14ac:dyDescent="0.25">
      <c r="A4" t="s">
        <v>2562</v>
      </c>
      <c r="B4" t="s">
        <v>1281</v>
      </c>
      <c r="C4">
        <v>-2</v>
      </c>
      <c r="D4">
        <v>29382304.780000001</v>
      </c>
      <c r="E4" t="s">
        <v>716</v>
      </c>
      <c r="F4">
        <v>1057762.97</v>
      </c>
      <c r="G4">
        <v>45486990.119999997</v>
      </c>
      <c r="H4" s="406">
        <v>42578.591157407405</v>
      </c>
      <c r="I4" s="539">
        <v>43313</v>
      </c>
      <c r="J4" t="s">
        <v>2563</v>
      </c>
      <c r="K4" t="s">
        <v>2564</v>
      </c>
      <c r="L4" t="s">
        <v>1280</v>
      </c>
      <c r="M4">
        <v>200300</v>
      </c>
      <c r="N4" t="s">
        <v>2553</v>
      </c>
      <c r="O4" t="s">
        <v>37</v>
      </c>
      <c r="P4" t="s">
        <v>288</v>
      </c>
      <c r="Q4" t="s">
        <v>26</v>
      </c>
      <c r="R4">
        <v>0</v>
      </c>
      <c r="S4">
        <v>0</v>
      </c>
      <c r="T4">
        <v>0</v>
      </c>
      <c r="U4">
        <v>0</v>
      </c>
      <c r="V4">
        <v>0</v>
      </c>
      <c r="W4">
        <v>0</v>
      </c>
    </row>
    <row r="5" spans="1:23" x14ac:dyDescent="0.25">
      <c r="A5" t="s">
        <v>2414</v>
      </c>
      <c r="B5" t="s">
        <v>1282</v>
      </c>
      <c r="C5">
        <v>28</v>
      </c>
      <c r="D5">
        <v>14030007.17</v>
      </c>
      <c r="E5" t="s">
        <v>716</v>
      </c>
      <c r="F5">
        <v>1158513.0900000001</v>
      </c>
      <c r="G5">
        <v>18094921.129999999</v>
      </c>
      <c r="H5" s="406">
        <v>42552.537129629629</v>
      </c>
      <c r="I5" s="539">
        <v>42917</v>
      </c>
      <c r="J5" t="s">
        <v>2415</v>
      </c>
      <c r="K5" t="s">
        <v>1280</v>
      </c>
      <c r="L5" t="s">
        <v>1280</v>
      </c>
      <c r="M5">
        <v>200251</v>
      </c>
      <c r="N5" t="s">
        <v>2413</v>
      </c>
      <c r="O5" t="s">
        <v>25</v>
      </c>
      <c r="P5" t="s">
        <v>26</v>
      </c>
      <c r="Q5" t="s">
        <v>26</v>
      </c>
      <c r="R5">
        <v>14030007.17</v>
      </c>
      <c r="S5">
        <v>0</v>
      </c>
      <c r="T5">
        <v>0</v>
      </c>
      <c r="U5">
        <v>1</v>
      </c>
      <c r="V5">
        <v>0</v>
      </c>
      <c r="W5">
        <v>0</v>
      </c>
    </row>
    <row r="6" spans="1:23" x14ac:dyDescent="0.25">
      <c r="A6" t="s">
        <v>2833</v>
      </c>
      <c r="B6" t="s">
        <v>1281</v>
      </c>
      <c r="C6">
        <v>-4</v>
      </c>
      <c r="D6">
        <v>28000000</v>
      </c>
      <c r="E6" t="s">
        <v>716</v>
      </c>
      <c r="F6">
        <v>1045333.33</v>
      </c>
      <c r="G6">
        <v>1843494.47</v>
      </c>
      <c r="H6" s="406">
        <v>42613.480891203704</v>
      </c>
      <c r="I6" s="539">
        <v>43346</v>
      </c>
      <c r="J6" t="s">
        <v>2834</v>
      </c>
      <c r="K6" t="s">
        <v>1280</v>
      </c>
      <c r="L6" t="s">
        <v>1280</v>
      </c>
      <c r="M6">
        <v>102793</v>
      </c>
      <c r="N6" t="s">
        <v>2831</v>
      </c>
      <c r="O6" t="s">
        <v>44</v>
      </c>
      <c r="P6" t="s">
        <v>75</v>
      </c>
      <c r="Q6" t="s">
        <v>26</v>
      </c>
      <c r="R6">
        <v>0</v>
      </c>
      <c r="S6">
        <v>0</v>
      </c>
      <c r="T6">
        <v>0</v>
      </c>
      <c r="U6">
        <v>0</v>
      </c>
      <c r="V6">
        <v>0</v>
      </c>
      <c r="W6">
        <v>0</v>
      </c>
    </row>
    <row r="7" spans="1:23" x14ac:dyDescent="0.25">
      <c r="A7" t="s">
        <v>2772</v>
      </c>
      <c r="B7" t="s">
        <v>1282</v>
      </c>
      <c r="C7">
        <v>-4</v>
      </c>
      <c r="D7">
        <v>15000000</v>
      </c>
      <c r="E7" t="s">
        <v>716</v>
      </c>
      <c r="F7">
        <v>630000</v>
      </c>
      <c r="G7">
        <v>1652076.53</v>
      </c>
      <c r="H7" s="406">
        <v>42613.426064814812</v>
      </c>
      <c r="I7" s="539">
        <v>42981</v>
      </c>
      <c r="J7" t="s">
        <v>2773</v>
      </c>
      <c r="K7" t="s">
        <v>1280</v>
      </c>
      <c r="L7" t="s">
        <v>1280</v>
      </c>
      <c r="M7">
        <v>102792</v>
      </c>
      <c r="N7" t="s">
        <v>2770</v>
      </c>
      <c r="O7" t="s">
        <v>44</v>
      </c>
      <c r="P7" t="s">
        <v>75</v>
      </c>
      <c r="Q7" t="s">
        <v>26</v>
      </c>
      <c r="R7">
        <v>0</v>
      </c>
      <c r="S7">
        <v>0</v>
      </c>
      <c r="T7">
        <v>0</v>
      </c>
      <c r="U7">
        <v>0</v>
      </c>
      <c r="V7">
        <v>0</v>
      </c>
      <c r="W7">
        <v>0</v>
      </c>
    </row>
    <row r="8" spans="1:23" x14ac:dyDescent="0.25">
      <c r="A8" t="s">
        <v>2780</v>
      </c>
      <c r="B8" t="s">
        <v>1282</v>
      </c>
      <c r="C8">
        <v>-6</v>
      </c>
      <c r="D8">
        <v>6000000</v>
      </c>
      <c r="E8" t="s">
        <v>716</v>
      </c>
      <c r="F8">
        <v>256000</v>
      </c>
      <c r="G8">
        <v>646689.72</v>
      </c>
      <c r="H8" s="406">
        <v>42608.558159722219</v>
      </c>
      <c r="I8" s="539">
        <v>42983</v>
      </c>
      <c r="J8" t="s">
        <v>2781</v>
      </c>
      <c r="K8" t="s">
        <v>2782</v>
      </c>
      <c r="L8" t="s">
        <v>1280</v>
      </c>
      <c r="M8">
        <v>102781</v>
      </c>
      <c r="N8" t="s">
        <v>760</v>
      </c>
      <c r="O8" t="s">
        <v>44</v>
      </c>
      <c r="P8" t="s">
        <v>75</v>
      </c>
      <c r="Q8" t="s">
        <v>26</v>
      </c>
      <c r="R8">
        <v>0</v>
      </c>
      <c r="S8">
        <v>0</v>
      </c>
      <c r="T8">
        <v>0</v>
      </c>
      <c r="U8">
        <v>0</v>
      </c>
      <c r="V8">
        <v>0</v>
      </c>
      <c r="W8">
        <v>0</v>
      </c>
    </row>
    <row r="9" spans="1:23" x14ac:dyDescent="0.25">
      <c r="A9" t="s">
        <v>2702</v>
      </c>
      <c r="B9" t="s">
        <v>1866</v>
      </c>
      <c r="C9">
        <v>-14</v>
      </c>
      <c r="D9">
        <v>7692796.2999999998</v>
      </c>
      <c r="E9" t="s">
        <v>716</v>
      </c>
      <c r="F9">
        <v>160266.59</v>
      </c>
      <c r="G9">
        <v>10889129.470000001</v>
      </c>
      <c r="H9" s="406">
        <v>42595.561828703707</v>
      </c>
      <c r="I9" s="539">
        <v>43144</v>
      </c>
      <c r="J9" t="s">
        <v>2703</v>
      </c>
      <c r="K9" t="s">
        <v>1280</v>
      </c>
      <c r="L9" t="s">
        <v>1280</v>
      </c>
      <c r="M9">
        <v>102769</v>
      </c>
      <c r="N9" t="s">
        <v>2701</v>
      </c>
      <c r="O9" t="s">
        <v>44</v>
      </c>
      <c r="P9" t="s">
        <v>75</v>
      </c>
      <c r="Q9" t="s">
        <v>26</v>
      </c>
      <c r="R9">
        <v>0</v>
      </c>
      <c r="S9">
        <v>0</v>
      </c>
      <c r="T9">
        <v>0</v>
      </c>
      <c r="U9">
        <v>0</v>
      </c>
      <c r="V9">
        <v>0</v>
      </c>
      <c r="W9">
        <v>0</v>
      </c>
    </row>
    <row r="10" spans="1:23" x14ac:dyDescent="0.25">
      <c r="A10" t="s">
        <v>2660</v>
      </c>
      <c r="B10" t="s">
        <v>1279</v>
      </c>
      <c r="C10">
        <v>-9</v>
      </c>
      <c r="D10">
        <v>5604489.29</v>
      </c>
      <c r="E10" t="s">
        <v>716</v>
      </c>
      <c r="F10">
        <v>155680.26</v>
      </c>
      <c r="G10">
        <v>7100617.8300000001</v>
      </c>
      <c r="H10" s="406">
        <v>42590.682511574072</v>
      </c>
      <c r="I10" s="539">
        <v>42955</v>
      </c>
      <c r="J10" t="s">
        <v>2661</v>
      </c>
      <c r="K10" t="s">
        <v>1280</v>
      </c>
      <c r="L10" t="s">
        <v>1280</v>
      </c>
      <c r="M10">
        <v>102765</v>
      </c>
      <c r="N10" t="s">
        <v>2659</v>
      </c>
      <c r="O10" t="s">
        <v>27</v>
      </c>
      <c r="P10" t="s">
        <v>81</v>
      </c>
      <c r="R10">
        <v>0</v>
      </c>
      <c r="S10">
        <v>0</v>
      </c>
      <c r="T10">
        <v>0</v>
      </c>
      <c r="U10">
        <v>0</v>
      </c>
      <c r="V10">
        <v>0</v>
      </c>
      <c r="W10">
        <v>0</v>
      </c>
    </row>
    <row r="11" spans="1:23" x14ac:dyDescent="0.25">
      <c r="A11" t="s">
        <v>1551</v>
      </c>
      <c r="B11" t="s">
        <v>1281</v>
      </c>
      <c r="C11">
        <v>-6</v>
      </c>
      <c r="D11">
        <v>15346930.550000001</v>
      </c>
      <c r="E11" t="s">
        <v>716</v>
      </c>
      <c r="F11">
        <v>411809.3</v>
      </c>
      <c r="G11">
        <v>20622180.75</v>
      </c>
      <c r="H11" s="406">
        <v>42587.479861111111</v>
      </c>
      <c r="I11" s="539">
        <v>43136</v>
      </c>
      <c r="J11" t="s">
        <v>1552</v>
      </c>
      <c r="K11" t="s">
        <v>1280</v>
      </c>
      <c r="L11" t="s">
        <v>1280</v>
      </c>
      <c r="M11">
        <v>102760</v>
      </c>
      <c r="N11" t="s">
        <v>1541</v>
      </c>
      <c r="O11" t="s">
        <v>44</v>
      </c>
      <c r="P11" t="s">
        <v>92</v>
      </c>
      <c r="Q11" t="s">
        <v>26</v>
      </c>
      <c r="R11">
        <v>0</v>
      </c>
      <c r="S11">
        <v>0</v>
      </c>
      <c r="T11">
        <v>0</v>
      </c>
      <c r="U11">
        <v>0</v>
      </c>
      <c r="V11">
        <v>0</v>
      </c>
      <c r="W11">
        <v>0</v>
      </c>
    </row>
    <row r="12" spans="1:23" x14ac:dyDescent="0.25">
      <c r="A12" t="s">
        <v>2542</v>
      </c>
      <c r="B12" t="s">
        <v>1281</v>
      </c>
      <c r="C12">
        <v>28</v>
      </c>
      <c r="D12">
        <v>25000000</v>
      </c>
      <c r="E12" t="s">
        <v>716</v>
      </c>
      <c r="F12">
        <v>2049260.14</v>
      </c>
      <c r="G12">
        <v>39604355.890000001</v>
      </c>
      <c r="H12" s="406">
        <v>42577.447789351849</v>
      </c>
      <c r="I12" s="539">
        <v>43313</v>
      </c>
      <c r="J12" t="s">
        <v>2543</v>
      </c>
      <c r="K12" t="s">
        <v>2544</v>
      </c>
      <c r="L12" t="s">
        <v>1280</v>
      </c>
      <c r="M12">
        <v>102736</v>
      </c>
      <c r="N12" t="s">
        <v>2539</v>
      </c>
      <c r="O12" t="s">
        <v>27</v>
      </c>
      <c r="P12" t="s">
        <v>26</v>
      </c>
      <c r="Q12" t="s">
        <v>26</v>
      </c>
      <c r="R12">
        <v>25000000</v>
      </c>
      <c r="S12">
        <v>0</v>
      </c>
      <c r="T12">
        <v>0</v>
      </c>
      <c r="U12">
        <v>1</v>
      </c>
      <c r="V12">
        <v>0</v>
      </c>
      <c r="W12">
        <v>0</v>
      </c>
    </row>
    <row r="13" spans="1:23" x14ac:dyDescent="0.25">
      <c r="A13" t="s">
        <v>2430</v>
      </c>
      <c r="B13" t="s">
        <v>1281</v>
      </c>
      <c r="C13">
        <v>-15</v>
      </c>
      <c r="D13">
        <v>17082323.920000002</v>
      </c>
      <c r="E13" t="s">
        <v>716</v>
      </c>
      <c r="F13">
        <v>318870.05</v>
      </c>
      <c r="G13">
        <v>26005683.09</v>
      </c>
      <c r="H13" s="406">
        <v>42564.684340277781</v>
      </c>
      <c r="I13" s="539">
        <v>43295</v>
      </c>
      <c r="J13" t="s">
        <v>2431</v>
      </c>
      <c r="K13" t="s">
        <v>2432</v>
      </c>
      <c r="L13" t="s">
        <v>1280</v>
      </c>
      <c r="M13">
        <v>102712</v>
      </c>
      <c r="N13" t="s">
        <v>2429</v>
      </c>
      <c r="O13" t="s">
        <v>37</v>
      </c>
      <c r="P13" t="s">
        <v>38</v>
      </c>
      <c r="Q13" t="s">
        <v>26</v>
      </c>
      <c r="R13">
        <v>0</v>
      </c>
      <c r="S13">
        <v>0</v>
      </c>
      <c r="T13">
        <v>0</v>
      </c>
      <c r="U13">
        <v>0</v>
      </c>
      <c r="V13">
        <v>0</v>
      </c>
      <c r="W13">
        <v>0</v>
      </c>
    </row>
    <row r="14" spans="1:23" x14ac:dyDescent="0.25">
      <c r="A14" t="s">
        <v>2394</v>
      </c>
      <c r="B14" t="s">
        <v>1283</v>
      </c>
      <c r="C14">
        <v>-11</v>
      </c>
      <c r="D14">
        <v>43861294.420000002</v>
      </c>
      <c r="E14" t="s">
        <v>716</v>
      </c>
      <c r="F14">
        <v>877225.89</v>
      </c>
      <c r="G14">
        <v>62587816.130000003</v>
      </c>
      <c r="H14" s="406">
        <v>42551.364525462966</v>
      </c>
      <c r="I14" s="539">
        <v>43291</v>
      </c>
      <c r="J14" t="s">
        <v>2395</v>
      </c>
      <c r="K14" t="s">
        <v>2396</v>
      </c>
      <c r="L14" t="s">
        <v>1280</v>
      </c>
      <c r="M14">
        <v>102701</v>
      </c>
      <c r="N14" t="s">
        <v>2381</v>
      </c>
      <c r="O14" t="s">
        <v>37</v>
      </c>
      <c r="P14" t="s">
        <v>288</v>
      </c>
      <c r="Q14" t="s">
        <v>1829</v>
      </c>
      <c r="R14">
        <v>0</v>
      </c>
      <c r="S14">
        <v>0</v>
      </c>
      <c r="T14">
        <v>0</v>
      </c>
      <c r="U14">
        <v>0</v>
      </c>
      <c r="V14">
        <v>0</v>
      </c>
      <c r="W14">
        <v>0</v>
      </c>
    </row>
    <row r="15" spans="1:23" x14ac:dyDescent="0.25">
      <c r="A15" t="s">
        <v>1076</v>
      </c>
      <c r="B15" t="s">
        <v>1283</v>
      </c>
      <c r="C15">
        <v>-20</v>
      </c>
      <c r="D15">
        <v>43504127.219999999</v>
      </c>
      <c r="E15" t="s">
        <v>716</v>
      </c>
      <c r="F15">
        <v>391537.14</v>
      </c>
      <c r="G15">
        <v>79844556.670000002</v>
      </c>
      <c r="H15" s="406">
        <v>42545.381423611114</v>
      </c>
      <c r="I15" s="539">
        <v>44001</v>
      </c>
      <c r="J15" t="s">
        <v>1077</v>
      </c>
      <c r="K15" t="s">
        <v>1078</v>
      </c>
      <c r="L15" t="s">
        <v>1280</v>
      </c>
      <c r="M15">
        <v>102681</v>
      </c>
      <c r="N15" t="s">
        <v>1072</v>
      </c>
      <c r="O15" t="s">
        <v>25</v>
      </c>
      <c r="P15" t="s">
        <v>295</v>
      </c>
      <c r="Q15" t="s">
        <v>26</v>
      </c>
      <c r="R15">
        <v>0</v>
      </c>
      <c r="S15">
        <v>0</v>
      </c>
      <c r="T15">
        <v>0</v>
      </c>
      <c r="U15">
        <v>0</v>
      </c>
      <c r="V15">
        <v>0</v>
      </c>
      <c r="W15">
        <v>0</v>
      </c>
    </row>
    <row r="16" spans="1:23" x14ac:dyDescent="0.25">
      <c r="A16" t="s">
        <v>2315</v>
      </c>
      <c r="B16" t="s">
        <v>1283</v>
      </c>
      <c r="C16">
        <v>7</v>
      </c>
      <c r="D16">
        <v>40950375.890000001</v>
      </c>
      <c r="E16" t="s">
        <v>716</v>
      </c>
      <c r="F16">
        <v>1634340.4</v>
      </c>
      <c r="G16">
        <v>72815925.640000001</v>
      </c>
      <c r="H16" s="406">
        <v>42543.779444444444</v>
      </c>
      <c r="I16" s="539">
        <v>43760</v>
      </c>
      <c r="J16" t="s">
        <v>2316</v>
      </c>
      <c r="K16" t="s">
        <v>1280</v>
      </c>
      <c r="L16" t="s">
        <v>2317</v>
      </c>
      <c r="M16">
        <v>102677</v>
      </c>
      <c r="N16" t="s">
        <v>2308</v>
      </c>
      <c r="O16" t="s">
        <v>44</v>
      </c>
      <c r="P16" t="s">
        <v>75</v>
      </c>
      <c r="Q16" t="s">
        <v>26</v>
      </c>
      <c r="R16">
        <v>40950375.890000001</v>
      </c>
      <c r="S16">
        <v>0</v>
      </c>
      <c r="T16">
        <v>0</v>
      </c>
      <c r="U16">
        <v>1</v>
      </c>
      <c r="V16">
        <v>0</v>
      </c>
      <c r="W16">
        <v>0</v>
      </c>
    </row>
    <row r="17" spans="1:23" x14ac:dyDescent="0.25">
      <c r="A17" t="s">
        <v>2273</v>
      </c>
      <c r="B17" t="s">
        <v>1282</v>
      </c>
      <c r="C17">
        <v>12</v>
      </c>
      <c r="D17">
        <v>11086206.539999999</v>
      </c>
      <c r="E17" t="s">
        <v>716</v>
      </c>
      <c r="F17">
        <v>673750.3</v>
      </c>
      <c r="G17">
        <v>15789484.33</v>
      </c>
      <c r="H17" s="406">
        <v>42538.625914351855</v>
      </c>
      <c r="I17" s="539">
        <v>43086</v>
      </c>
      <c r="J17" t="s">
        <v>2274</v>
      </c>
      <c r="K17" t="s">
        <v>1280</v>
      </c>
      <c r="L17" t="s">
        <v>1280</v>
      </c>
      <c r="M17">
        <v>102667</v>
      </c>
      <c r="N17" t="s">
        <v>2268</v>
      </c>
      <c r="O17" t="s">
        <v>36</v>
      </c>
      <c r="P17" t="s">
        <v>97</v>
      </c>
      <c r="Q17" t="s">
        <v>98</v>
      </c>
      <c r="R17">
        <v>11086206.539999999</v>
      </c>
      <c r="S17">
        <v>0</v>
      </c>
      <c r="T17">
        <v>0</v>
      </c>
      <c r="U17">
        <v>1</v>
      </c>
      <c r="V17">
        <v>0</v>
      </c>
      <c r="W17">
        <v>0</v>
      </c>
    </row>
    <row r="18" spans="1:23" x14ac:dyDescent="0.25">
      <c r="A18" t="s">
        <v>220</v>
      </c>
      <c r="B18" t="s">
        <v>1282</v>
      </c>
      <c r="C18">
        <v>-13</v>
      </c>
      <c r="D18">
        <v>5939028.1799999997</v>
      </c>
      <c r="E18" t="s">
        <v>716</v>
      </c>
      <c r="F18">
        <v>126699.27</v>
      </c>
      <c r="G18">
        <v>7593796.2699999996</v>
      </c>
      <c r="H18" s="406">
        <v>42529.706238425926</v>
      </c>
      <c r="I18" s="539">
        <v>42990</v>
      </c>
      <c r="J18" t="s">
        <v>221</v>
      </c>
      <c r="K18" t="s">
        <v>222</v>
      </c>
      <c r="L18" t="s">
        <v>1280</v>
      </c>
      <c r="M18">
        <v>102653</v>
      </c>
      <c r="N18" t="s">
        <v>219</v>
      </c>
      <c r="O18" t="s">
        <v>25</v>
      </c>
      <c r="P18" t="s">
        <v>88</v>
      </c>
      <c r="Q18" t="s">
        <v>26</v>
      </c>
      <c r="R18">
        <v>0</v>
      </c>
      <c r="S18">
        <v>0</v>
      </c>
      <c r="T18">
        <v>0</v>
      </c>
      <c r="U18">
        <v>0</v>
      </c>
      <c r="V18">
        <v>0</v>
      </c>
      <c r="W18">
        <v>0</v>
      </c>
    </row>
    <row r="19" spans="1:23" x14ac:dyDescent="0.25">
      <c r="A19" t="s">
        <v>1709</v>
      </c>
      <c r="B19" t="s">
        <v>1283</v>
      </c>
      <c r="C19">
        <v>-2</v>
      </c>
      <c r="D19">
        <v>33996836.68</v>
      </c>
      <c r="E19" t="s">
        <v>716</v>
      </c>
      <c r="F19">
        <v>917914.59</v>
      </c>
      <c r="G19">
        <v>62395513.060000002</v>
      </c>
      <c r="H19" s="406">
        <v>42521.684421296297</v>
      </c>
      <c r="I19" s="539">
        <v>43983</v>
      </c>
      <c r="J19" t="s">
        <v>1710</v>
      </c>
      <c r="K19" t="s">
        <v>1280</v>
      </c>
      <c r="L19" t="s">
        <v>1280</v>
      </c>
      <c r="M19">
        <v>102635</v>
      </c>
      <c r="N19" t="s">
        <v>1708</v>
      </c>
      <c r="O19" t="s">
        <v>27</v>
      </c>
      <c r="P19" t="s">
        <v>26</v>
      </c>
      <c r="Q19" t="s">
        <v>26</v>
      </c>
      <c r="R19">
        <v>0</v>
      </c>
      <c r="S19">
        <v>0</v>
      </c>
      <c r="T19">
        <v>0</v>
      </c>
      <c r="U19">
        <v>0</v>
      </c>
      <c r="V19">
        <v>0</v>
      </c>
      <c r="W19">
        <v>0</v>
      </c>
    </row>
    <row r="20" spans="1:23" x14ac:dyDescent="0.25">
      <c r="A20" t="s">
        <v>1406</v>
      </c>
      <c r="B20" t="s">
        <v>1282</v>
      </c>
      <c r="C20">
        <v>4</v>
      </c>
      <c r="D20">
        <v>8749004.3200000003</v>
      </c>
      <c r="E20" t="s">
        <v>716</v>
      </c>
      <c r="F20">
        <v>383208.45</v>
      </c>
      <c r="G20">
        <v>11803426.109999999</v>
      </c>
      <c r="H20" s="406">
        <v>42518.499780092592</v>
      </c>
      <c r="I20" s="539">
        <v>43064</v>
      </c>
      <c r="J20" t="s">
        <v>1407</v>
      </c>
      <c r="K20" t="s">
        <v>1408</v>
      </c>
      <c r="L20" t="s">
        <v>1280</v>
      </c>
      <c r="M20">
        <v>102628</v>
      </c>
      <c r="N20" t="s">
        <v>1405</v>
      </c>
      <c r="O20" t="s">
        <v>44</v>
      </c>
      <c r="P20" t="s">
        <v>75</v>
      </c>
      <c r="Q20" t="s">
        <v>26</v>
      </c>
      <c r="R20">
        <v>8749004.3200000003</v>
      </c>
      <c r="S20">
        <v>0</v>
      </c>
      <c r="T20">
        <v>0</v>
      </c>
      <c r="U20">
        <v>1</v>
      </c>
      <c r="V20">
        <v>0</v>
      </c>
      <c r="W20">
        <v>0</v>
      </c>
    </row>
    <row r="21" spans="1:23" x14ac:dyDescent="0.25">
      <c r="A21" t="s">
        <v>1363</v>
      </c>
      <c r="B21" t="s">
        <v>1283</v>
      </c>
      <c r="C21">
        <v>-21</v>
      </c>
      <c r="D21">
        <v>35939050.5</v>
      </c>
      <c r="E21" t="s">
        <v>716</v>
      </c>
      <c r="F21">
        <v>287512.40000000002</v>
      </c>
      <c r="G21">
        <v>74635721.269999996</v>
      </c>
      <c r="H21" s="406">
        <v>42510.540636574071</v>
      </c>
      <c r="I21" s="539">
        <v>44336</v>
      </c>
      <c r="J21" t="s">
        <v>1364</v>
      </c>
      <c r="K21" t="s">
        <v>1365</v>
      </c>
      <c r="L21" t="s">
        <v>1280</v>
      </c>
      <c r="M21">
        <v>102601</v>
      </c>
      <c r="N21" t="s">
        <v>1362</v>
      </c>
      <c r="O21" t="s">
        <v>35</v>
      </c>
      <c r="P21" t="s">
        <v>121</v>
      </c>
      <c r="Q21" t="s">
        <v>299</v>
      </c>
      <c r="R21">
        <v>0</v>
      </c>
      <c r="S21">
        <v>0</v>
      </c>
      <c r="T21">
        <v>0</v>
      </c>
      <c r="U21">
        <v>0</v>
      </c>
      <c r="V21">
        <v>0</v>
      </c>
      <c r="W21">
        <v>0</v>
      </c>
    </row>
    <row r="22" spans="1:23" x14ac:dyDescent="0.25">
      <c r="A22" t="s">
        <v>2039</v>
      </c>
      <c r="B22" t="s">
        <v>1283</v>
      </c>
      <c r="C22">
        <v>-11</v>
      </c>
      <c r="D22">
        <v>26928043.809999999</v>
      </c>
      <c r="E22" t="s">
        <v>716</v>
      </c>
      <c r="F22">
        <v>538560.88</v>
      </c>
      <c r="G22">
        <v>37324518.729999997</v>
      </c>
      <c r="H22" s="406">
        <v>42500.735625000001</v>
      </c>
      <c r="I22" s="539">
        <v>43230</v>
      </c>
      <c r="J22" t="s">
        <v>2040</v>
      </c>
      <c r="K22" t="s">
        <v>2041</v>
      </c>
      <c r="L22" t="s">
        <v>1280</v>
      </c>
      <c r="M22">
        <v>102580</v>
      </c>
      <c r="N22" t="s">
        <v>2035</v>
      </c>
      <c r="O22" t="s">
        <v>37</v>
      </c>
      <c r="P22" t="s">
        <v>288</v>
      </c>
      <c r="Q22" t="s">
        <v>1829</v>
      </c>
      <c r="R22">
        <v>0</v>
      </c>
      <c r="S22">
        <v>0</v>
      </c>
      <c r="T22">
        <v>0</v>
      </c>
      <c r="U22">
        <v>0</v>
      </c>
      <c r="V22">
        <v>0</v>
      </c>
      <c r="W22">
        <v>0</v>
      </c>
    </row>
    <row r="23" spans="1:23" x14ac:dyDescent="0.25">
      <c r="A23" t="s">
        <v>862</v>
      </c>
      <c r="B23" t="s">
        <v>1282</v>
      </c>
      <c r="C23">
        <v>19</v>
      </c>
      <c r="D23">
        <v>13251910.02</v>
      </c>
      <c r="E23" t="s">
        <v>716</v>
      </c>
      <c r="F23">
        <v>843318.61</v>
      </c>
      <c r="G23">
        <v>24097507.449999999</v>
      </c>
      <c r="H23" s="406">
        <v>42500.666354166664</v>
      </c>
      <c r="I23" s="539">
        <v>43595</v>
      </c>
      <c r="J23" t="s">
        <v>863</v>
      </c>
      <c r="K23" t="s">
        <v>864</v>
      </c>
      <c r="L23" t="s">
        <v>1280</v>
      </c>
      <c r="M23">
        <v>102579</v>
      </c>
      <c r="N23" t="s">
        <v>860</v>
      </c>
      <c r="O23" t="s">
        <v>44</v>
      </c>
      <c r="P23" t="s">
        <v>75</v>
      </c>
      <c r="Q23" t="s">
        <v>26</v>
      </c>
      <c r="R23">
        <v>13251910.02</v>
      </c>
      <c r="S23">
        <v>0</v>
      </c>
      <c r="T23">
        <v>0</v>
      </c>
      <c r="U23">
        <v>1</v>
      </c>
      <c r="V23">
        <v>0</v>
      </c>
      <c r="W23">
        <v>0</v>
      </c>
    </row>
    <row r="24" spans="1:23" x14ac:dyDescent="0.25">
      <c r="A24" t="s">
        <v>1098</v>
      </c>
      <c r="B24" t="s">
        <v>1283</v>
      </c>
      <c r="C24">
        <v>-11</v>
      </c>
      <c r="D24">
        <v>36931832.109999999</v>
      </c>
      <c r="E24" t="s">
        <v>716</v>
      </c>
      <c r="F24">
        <v>664772.98</v>
      </c>
      <c r="G24">
        <v>49647984.579999998</v>
      </c>
      <c r="H24" s="406">
        <v>42499.786678240744</v>
      </c>
      <c r="I24" s="539">
        <v>43230</v>
      </c>
      <c r="J24" t="s">
        <v>1099</v>
      </c>
      <c r="K24" t="s">
        <v>1280</v>
      </c>
      <c r="L24" t="s">
        <v>1280</v>
      </c>
      <c r="M24">
        <v>102575</v>
      </c>
      <c r="N24" t="s">
        <v>1097</v>
      </c>
      <c r="O24" t="s">
        <v>27</v>
      </c>
      <c r="P24" t="s">
        <v>81</v>
      </c>
      <c r="Q24" t="s">
        <v>26</v>
      </c>
      <c r="R24">
        <v>0</v>
      </c>
      <c r="S24">
        <v>0</v>
      </c>
      <c r="T24">
        <v>0</v>
      </c>
      <c r="U24">
        <v>0</v>
      </c>
      <c r="V24">
        <v>0</v>
      </c>
      <c r="W24">
        <v>0</v>
      </c>
    </row>
    <row r="25" spans="1:23" x14ac:dyDescent="0.25">
      <c r="A25" t="s">
        <v>1989</v>
      </c>
      <c r="B25" t="s">
        <v>1282</v>
      </c>
      <c r="C25">
        <v>-10</v>
      </c>
      <c r="D25">
        <v>3586942.99</v>
      </c>
      <c r="E25" t="s">
        <v>716</v>
      </c>
      <c r="F25">
        <v>90869.22</v>
      </c>
      <c r="G25">
        <v>4262086.9400000004</v>
      </c>
      <c r="H25" s="406">
        <v>42499.767418981479</v>
      </c>
      <c r="I25" s="539">
        <v>42864</v>
      </c>
      <c r="J25" t="s">
        <v>1990</v>
      </c>
      <c r="K25" t="s">
        <v>1991</v>
      </c>
      <c r="L25" t="s">
        <v>1280</v>
      </c>
      <c r="M25">
        <v>102574</v>
      </c>
      <c r="N25" t="s">
        <v>173</v>
      </c>
      <c r="O25" t="s">
        <v>44</v>
      </c>
      <c r="P25" t="s">
        <v>92</v>
      </c>
      <c r="Q25" t="s">
        <v>26</v>
      </c>
      <c r="R25">
        <v>0</v>
      </c>
      <c r="S25">
        <v>0</v>
      </c>
      <c r="T25">
        <v>0</v>
      </c>
      <c r="U25">
        <v>0</v>
      </c>
      <c r="V25">
        <v>0</v>
      </c>
      <c r="W25">
        <v>0</v>
      </c>
    </row>
    <row r="26" spans="1:23" x14ac:dyDescent="0.25">
      <c r="A26" t="s">
        <v>1983</v>
      </c>
      <c r="B26" t="s">
        <v>1279</v>
      </c>
      <c r="C26">
        <v>-16</v>
      </c>
      <c r="D26">
        <v>8622727.1899999995</v>
      </c>
      <c r="E26" t="s">
        <v>716</v>
      </c>
      <c r="F26">
        <v>130778.03</v>
      </c>
      <c r="G26">
        <v>10035243.49</v>
      </c>
      <c r="H26" s="406">
        <v>42496.54047453704</v>
      </c>
      <c r="I26" s="539">
        <v>42870</v>
      </c>
      <c r="J26" t="s">
        <v>1984</v>
      </c>
      <c r="K26" t="s">
        <v>1985</v>
      </c>
      <c r="L26" t="s">
        <v>1280</v>
      </c>
      <c r="M26">
        <v>102566</v>
      </c>
      <c r="N26" t="s">
        <v>973</v>
      </c>
      <c r="O26" t="s">
        <v>44</v>
      </c>
      <c r="P26" t="s">
        <v>75</v>
      </c>
      <c r="Q26" t="s">
        <v>1442</v>
      </c>
      <c r="R26">
        <v>0</v>
      </c>
      <c r="S26">
        <v>0</v>
      </c>
      <c r="T26">
        <v>0</v>
      </c>
      <c r="U26">
        <v>0</v>
      </c>
      <c r="V26">
        <v>0</v>
      </c>
      <c r="W26">
        <v>0</v>
      </c>
    </row>
    <row r="27" spans="1:23" x14ac:dyDescent="0.25">
      <c r="A27" t="s">
        <v>1981</v>
      </c>
      <c r="B27" t="s">
        <v>1283</v>
      </c>
      <c r="C27">
        <v>-5</v>
      </c>
      <c r="D27">
        <v>28372397.239999998</v>
      </c>
      <c r="E27" t="s">
        <v>716</v>
      </c>
      <c r="F27">
        <v>756597.26</v>
      </c>
      <c r="G27">
        <v>32790874.539999999</v>
      </c>
      <c r="H27" s="406">
        <v>42494.734849537039</v>
      </c>
      <c r="I27" s="539">
        <v>42859</v>
      </c>
      <c r="J27" t="s">
        <v>1982</v>
      </c>
      <c r="K27" t="s">
        <v>1280</v>
      </c>
      <c r="L27" t="s">
        <v>1280</v>
      </c>
      <c r="M27">
        <v>102564</v>
      </c>
      <c r="N27" t="s">
        <v>1955</v>
      </c>
      <c r="O27" t="s">
        <v>25</v>
      </c>
      <c r="P27" t="s">
        <v>103</v>
      </c>
      <c r="Q27" t="s">
        <v>104</v>
      </c>
      <c r="R27">
        <v>0</v>
      </c>
      <c r="S27">
        <v>0</v>
      </c>
      <c r="T27">
        <v>0</v>
      </c>
      <c r="U27">
        <v>0</v>
      </c>
      <c r="V27">
        <v>0</v>
      </c>
      <c r="W27">
        <v>0</v>
      </c>
    </row>
    <row r="28" spans="1:23" x14ac:dyDescent="0.25">
      <c r="A28" t="s">
        <v>1219</v>
      </c>
      <c r="B28" t="s">
        <v>1283</v>
      </c>
      <c r="C28">
        <v>52</v>
      </c>
      <c r="D28">
        <v>37350401.649999999</v>
      </c>
      <c r="E28" t="s">
        <v>716</v>
      </c>
      <c r="F28">
        <v>2229014.09</v>
      </c>
      <c r="G28">
        <v>69347621.969999999</v>
      </c>
      <c r="H28" s="406">
        <v>42490.803993055553</v>
      </c>
      <c r="I28" s="539">
        <v>43958</v>
      </c>
      <c r="J28" t="s">
        <v>1220</v>
      </c>
      <c r="K28" t="s">
        <v>1280</v>
      </c>
      <c r="L28" t="s">
        <v>1280</v>
      </c>
      <c r="M28">
        <v>102561</v>
      </c>
      <c r="N28" t="s">
        <v>1218</v>
      </c>
      <c r="O28" t="s">
        <v>25</v>
      </c>
      <c r="P28" t="s">
        <v>88</v>
      </c>
      <c r="Q28" t="s">
        <v>26</v>
      </c>
      <c r="R28">
        <v>37350401.649999999</v>
      </c>
      <c r="S28">
        <v>37350401.649999999</v>
      </c>
      <c r="T28">
        <v>0</v>
      </c>
      <c r="U28">
        <v>0</v>
      </c>
      <c r="V28">
        <v>1</v>
      </c>
      <c r="W28">
        <v>0</v>
      </c>
    </row>
    <row r="29" spans="1:23" x14ac:dyDescent="0.25">
      <c r="A29" t="s">
        <v>1971</v>
      </c>
      <c r="B29" t="s">
        <v>1281</v>
      </c>
      <c r="C29">
        <v>21</v>
      </c>
      <c r="D29">
        <v>13767015.48</v>
      </c>
      <c r="E29" t="s">
        <v>716</v>
      </c>
      <c r="F29">
        <v>896675.54</v>
      </c>
      <c r="G29">
        <v>18077260.030000001</v>
      </c>
      <c r="H29" s="406">
        <v>42489.791909722226</v>
      </c>
      <c r="I29" s="539">
        <v>43017</v>
      </c>
      <c r="J29" t="s">
        <v>1972</v>
      </c>
      <c r="K29" t="s">
        <v>1280</v>
      </c>
      <c r="L29" t="s">
        <v>1280</v>
      </c>
      <c r="M29">
        <v>102548</v>
      </c>
      <c r="N29" t="s">
        <v>1970</v>
      </c>
      <c r="O29" t="s">
        <v>44</v>
      </c>
      <c r="P29" t="s">
        <v>75</v>
      </c>
      <c r="Q29" t="s">
        <v>26</v>
      </c>
      <c r="R29">
        <v>13767015.48</v>
      </c>
      <c r="S29">
        <v>0</v>
      </c>
      <c r="T29">
        <v>0</v>
      </c>
      <c r="U29">
        <v>1</v>
      </c>
      <c r="V29">
        <v>0</v>
      </c>
      <c r="W29">
        <v>0</v>
      </c>
    </row>
    <row r="30" spans="1:23" x14ac:dyDescent="0.25">
      <c r="A30" t="s">
        <v>471</v>
      </c>
      <c r="B30" t="s">
        <v>1281</v>
      </c>
      <c r="C30">
        <v>76</v>
      </c>
      <c r="D30">
        <v>3218638.16</v>
      </c>
      <c r="E30" t="s">
        <v>716</v>
      </c>
      <c r="F30">
        <v>168037.43</v>
      </c>
      <c r="G30">
        <v>3390495.25</v>
      </c>
      <c r="H30" s="406">
        <v>42033.4841087963</v>
      </c>
      <c r="I30" s="539">
        <v>42596</v>
      </c>
      <c r="J30" t="s">
        <v>472</v>
      </c>
      <c r="K30" t="s">
        <v>473</v>
      </c>
      <c r="L30" t="s">
        <v>1280</v>
      </c>
      <c r="M30">
        <v>101231</v>
      </c>
      <c r="N30" t="s">
        <v>470</v>
      </c>
      <c r="O30" t="s">
        <v>31</v>
      </c>
      <c r="P30" t="s">
        <v>509</v>
      </c>
      <c r="Q30" t="s">
        <v>26</v>
      </c>
      <c r="R30">
        <v>3218638.16</v>
      </c>
      <c r="S30">
        <v>3218638.16</v>
      </c>
      <c r="T30">
        <v>0</v>
      </c>
      <c r="U30">
        <v>0</v>
      </c>
      <c r="V30">
        <v>1</v>
      </c>
      <c r="W30">
        <v>0</v>
      </c>
    </row>
    <row r="31" spans="1:23" x14ac:dyDescent="0.25">
      <c r="A31" t="s">
        <v>483</v>
      </c>
      <c r="B31" t="s">
        <v>1279</v>
      </c>
      <c r="C31">
        <v>-6</v>
      </c>
      <c r="D31">
        <v>2895306.79</v>
      </c>
      <c r="E31" t="s">
        <v>716</v>
      </c>
      <c r="F31">
        <v>216687.12</v>
      </c>
      <c r="G31">
        <v>3440269.13</v>
      </c>
      <c r="H31" s="406">
        <v>42488.684155092589</v>
      </c>
      <c r="I31" s="539">
        <v>42860</v>
      </c>
      <c r="J31" t="s">
        <v>484</v>
      </c>
      <c r="K31" t="s">
        <v>1280</v>
      </c>
      <c r="L31" t="s">
        <v>1280</v>
      </c>
      <c r="M31">
        <v>102543</v>
      </c>
      <c r="N31" t="s">
        <v>482</v>
      </c>
      <c r="O31" t="s">
        <v>44</v>
      </c>
      <c r="P31" t="s">
        <v>75</v>
      </c>
      <c r="Q31" t="s">
        <v>1442</v>
      </c>
      <c r="R31">
        <v>0</v>
      </c>
      <c r="S31">
        <v>0</v>
      </c>
      <c r="T31">
        <v>0</v>
      </c>
      <c r="U31">
        <v>0</v>
      </c>
      <c r="V31">
        <v>0</v>
      </c>
      <c r="W31">
        <v>0</v>
      </c>
    </row>
    <row r="32" spans="1:23" x14ac:dyDescent="0.25">
      <c r="A32" t="s">
        <v>479</v>
      </c>
      <c r="B32" t="s">
        <v>1282</v>
      </c>
      <c r="C32">
        <v>-3</v>
      </c>
      <c r="D32">
        <v>2895306.79</v>
      </c>
      <c r="E32" t="s">
        <v>716</v>
      </c>
      <c r="F32">
        <v>100370.64</v>
      </c>
      <c r="G32">
        <v>3440269.13</v>
      </c>
      <c r="H32" s="406">
        <v>42485.623159722221</v>
      </c>
      <c r="I32" s="539">
        <v>42857</v>
      </c>
      <c r="J32" t="s">
        <v>480</v>
      </c>
      <c r="K32" t="s">
        <v>1280</v>
      </c>
      <c r="L32" t="s">
        <v>1280</v>
      </c>
      <c r="M32">
        <v>102530</v>
      </c>
      <c r="N32" t="s">
        <v>478</v>
      </c>
      <c r="O32" t="s">
        <v>25</v>
      </c>
      <c r="P32" t="s">
        <v>88</v>
      </c>
      <c r="Q32" t="s">
        <v>285</v>
      </c>
      <c r="R32">
        <v>0</v>
      </c>
      <c r="S32">
        <v>0</v>
      </c>
      <c r="T32">
        <v>0</v>
      </c>
      <c r="U32">
        <v>0</v>
      </c>
      <c r="V32">
        <v>0</v>
      </c>
      <c r="W32">
        <v>0</v>
      </c>
    </row>
    <row r="33" spans="1:23" x14ac:dyDescent="0.25">
      <c r="A33" t="s">
        <v>1927</v>
      </c>
      <c r="B33" t="s">
        <v>1281</v>
      </c>
      <c r="C33">
        <v>-21</v>
      </c>
      <c r="D33">
        <v>13437497.880000001</v>
      </c>
      <c r="E33" t="s">
        <v>716</v>
      </c>
      <c r="F33">
        <v>143333.31</v>
      </c>
      <c r="G33">
        <v>19439137.91</v>
      </c>
      <c r="H33" s="406">
        <v>42475.65761574074</v>
      </c>
      <c r="I33" s="539">
        <v>43210</v>
      </c>
      <c r="J33" t="s">
        <v>1928</v>
      </c>
      <c r="K33" t="s">
        <v>1280</v>
      </c>
      <c r="L33" t="s">
        <v>1280</v>
      </c>
      <c r="M33">
        <v>102513</v>
      </c>
      <c r="N33" t="s">
        <v>1926</v>
      </c>
      <c r="O33" t="s">
        <v>44</v>
      </c>
      <c r="P33" t="s">
        <v>75</v>
      </c>
      <c r="Q33" t="s">
        <v>26</v>
      </c>
      <c r="R33">
        <v>0</v>
      </c>
      <c r="S33">
        <v>0</v>
      </c>
      <c r="T33">
        <v>0</v>
      </c>
      <c r="U33">
        <v>0</v>
      </c>
      <c r="V33">
        <v>0</v>
      </c>
      <c r="W33">
        <v>0</v>
      </c>
    </row>
    <row r="34" spans="1:23" x14ac:dyDescent="0.25">
      <c r="A34" t="s">
        <v>756</v>
      </c>
      <c r="B34" t="s">
        <v>1282</v>
      </c>
      <c r="C34">
        <v>-2</v>
      </c>
      <c r="D34">
        <v>4152229</v>
      </c>
      <c r="E34" t="s">
        <v>716</v>
      </c>
      <c r="F34">
        <v>149480.24</v>
      </c>
      <c r="G34">
        <v>4752522.62</v>
      </c>
      <c r="H34" s="406">
        <v>42061.570324074077</v>
      </c>
      <c r="I34" s="539">
        <v>42795</v>
      </c>
      <c r="J34" t="s">
        <v>757</v>
      </c>
      <c r="K34" t="s">
        <v>758</v>
      </c>
      <c r="L34" t="s">
        <v>1280</v>
      </c>
      <c r="M34">
        <v>101314</v>
      </c>
      <c r="N34" t="s">
        <v>753</v>
      </c>
      <c r="O34" t="s">
        <v>31</v>
      </c>
      <c r="P34" t="s">
        <v>293</v>
      </c>
      <c r="Q34" t="s">
        <v>294</v>
      </c>
      <c r="R34">
        <v>0</v>
      </c>
      <c r="S34">
        <v>0</v>
      </c>
      <c r="T34">
        <v>0</v>
      </c>
      <c r="U34">
        <v>0</v>
      </c>
      <c r="V34">
        <v>0</v>
      </c>
      <c r="W34">
        <v>0</v>
      </c>
    </row>
    <row r="35" spans="1:23" x14ac:dyDescent="0.25">
      <c r="A35" t="s">
        <v>1579</v>
      </c>
      <c r="B35" t="s">
        <v>1283</v>
      </c>
      <c r="C35">
        <v>-12</v>
      </c>
      <c r="D35">
        <v>30377905</v>
      </c>
      <c r="E35" t="s">
        <v>716</v>
      </c>
      <c r="F35">
        <v>516424.39</v>
      </c>
      <c r="G35">
        <v>47084743.93</v>
      </c>
      <c r="H35" s="406">
        <v>42466.533935185187</v>
      </c>
      <c r="I35" s="539">
        <v>43566</v>
      </c>
      <c r="J35" t="s">
        <v>1580</v>
      </c>
      <c r="K35" t="s">
        <v>1280</v>
      </c>
      <c r="L35" t="s">
        <v>1581</v>
      </c>
      <c r="M35">
        <v>102495</v>
      </c>
      <c r="N35" t="s">
        <v>1557</v>
      </c>
      <c r="O35" t="s">
        <v>25</v>
      </c>
      <c r="P35" t="s">
        <v>289</v>
      </c>
      <c r="Q35" t="s">
        <v>26</v>
      </c>
      <c r="R35">
        <v>0</v>
      </c>
      <c r="S35">
        <v>0</v>
      </c>
      <c r="T35">
        <v>0</v>
      </c>
      <c r="U35">
        <v>0</v>
      </c>
      <c r="V35">
        <v>0</v>
      </c>
      <c r="W35">
        <v>0</v>
      </c>
    </row>
    <row r="36" spans="1:23" x14ac:dyDescent="0.25">
      <c r="A36" t="s">
        <v>264</v>
      </c>
      <c r="B36" t="s">
        <v>1282</v>
      </c>
      <c r="C36">
        <v>4</v>
      </c>
      <c r="D36">
        <v>9218525.6099999994</v>
      </c>
      <c r="E36" t="s">
        <v>716</v>
      </c>
      <c r="F36">
        <v>404993.6</v>
      </c>
      <c r="G36">
        <v>16247798.220000001</v>
      </c>
      <c r="H36" s="406">
        <v>42462.467638888891</v>
      </c>
      <c r="I36" s="539">
        <v>43549</v>
      </c>
      <c r="J36" t="s">
        <v>265</v>
      </c>
      <c r="K36" t="s">
        <v>266</v>
      </c>
      <c r="L36" t="s">
        <v>1280</v>
      </c>
      <c r="M36">
        <v>102491</v>
      </c>
      <c r="N36" t="s">
        <v>105</v>
      </c>
      <c r="O36" t="s">
        <v>25</v>
      </c>
      <c r="P36" t="s">
        <v>26</v>
      </c>
      <c r="Q36" t="s">
        <v>26</v>
      </c>
      <c r="R36">
        <v>9218525.6099999994</v>
      </c>
      <c r="S36">
        <v>0</v>
      </c>
      <c r="T36">
        <v>0</v>
      </c>
      <c r="U36">
        <v>1</v>
      </c>
      <c r="V36">
        <v>0</v>
      </c>
      <c r="W36">
        <v>0</v>
      </c>
    </row>
    <row r="37" spans="1:23" x14ac:dyDescent="0.25">
      <c r="A37" t="s">
        <v>1275</v>
      </c>
      <c r="B37" t="s">
        <v>1282</v>
      </c>
      <c r="C37">
        <v>-20</v>
      </c>
      <c r="D37">
        <v>4448149.26</v>
      </c>
      <c r="E37" t="s">
        <v>716</v>
      </c>
      <c r="F37">
        <v>53377.79</v>
      </c>
      <c r="G37">
        <v>5687519.6100000003</v>
      </c>
      <c r="H37" s="406">
        <v>42448.527175925927</v>
      </c>
      <c r="I37" s="539">
        <v>42997</v>
      </c>
      <c r="J37" t="s">
        <v>1276</v>
      </c>
      <c r="K37" t="s">
        <v>1280</v>
      </c>
      <c r="L37" t="s">
        <v>1280</v>
      </c>
      <c r="M37">
        <v>102463</v>
      </c>
      <c r="N37" t="s">
        <v>1274</v>
      </c>
      <c r="O37" t="s">
        <v>37</v>
      </c>
      <c r="P37" t="s">
        <v>26</v>
      </c>
      <c r="Q37" t="s">
        <v>26</v>
      </c>
      <c r="R37">
        <v>0</v>
      </c>
      <c r="S37">
        <v>0</v>
      </c>
      <c r="T37">
        <v>0</v>
      </c>
      <c r="U37">
        <v>0</v>
      </c>
      <c r="V37">
        <v>0</v>
      </c>
      <c r="W37">
        <v>0</v>
      </c>
    </row>
    <row r="38" spans="1:23" x14ac:dyDescent="0.25">
      <c r="A38" t="s">
        <v>936</v>
      </c>
      <c r="B38" t="s">
        <v>1282</v>
      </c>
      <c r="C38">
        <v>-18</v>
      </c>
      <c r="D38">
        <v>5930865.6500000004</v>
      </c>
      <c r="E38" t="s">
        <v>716</v>
      </c>
      <c r="F38">
        <v>86986.03</v>
      </c>
      <c r="G38">
        <v>7583359.4500000002</v>
      </c>
      <c r="H38" s="406">
        <v>42446.405486111114</v>
      </c>
      <c r="I38" s="539">
        <v>42995</v>
      </c>
      <c r="J38" t="s">
        <v>937</v>
      </c>
      <c r="K38" t="s">
        <v>938</v>
      </c>
      <c r="L38" t="s">
        <v>1280</v>
      </c>
      <c r="M38">
        <v>102458</v>
      </c>
      <c r="N38" t="s">
        <v>933</v>
      </c>
      <c r="O38" t="s">
        <v>44</v>
      </c>
      <c r="P38" t="s">
        <v>75</v>
      </c>
      <c r="Q38" t="s">
        <v>26</v>
      </c>
      <c r="R38">
        <v>0</v>
      </c>
      <c r="S38">
        <v>0</v>
      </c>
      <c r="T38">
        <v>0</v>
      </c>
      <c r="U38">
        <v>0</v>
      </c>
      <c r="V38">
        <v>0</v>
      </c>
      <c r="W38">
        <v>0</v>
      </c>
    </row>
    <row r="39" spans="1:23" x14ac:dyDescent="0.25">
      <c r="A39" t="s">
        <v>1876</v>
      </c>
      <c r="B39" t="s">
        <v>1281</v>
      </c>
      <c r="C39">
        <v>-17</v>
      </c>
      <c r="D39">
        <v>23247928.890000001</v>
      </c>
      <c r="E39" t="s">
        <v>716</v>
      </c>
      <c r="F39">
        <v>371966.86</v>
      </c>
      <c r="G39">
        <v>33055762.949999999</v>
      </c>
      <c r="H39" s="406">
        <v>42445.698321759257</v>
      </c>
      <c r="I39" s="539">
        <v>43175</v>
      </c>
      <c r="J39" t="s">
        <v>1877</v>
      </c>
      <c r="K39" t="s">
        <v>1280</v>
      </c>
      <c r="L39" t="s">
        <v>1280</v>
      </c>
      <c r="M39">
        <v>102457</v>
      </c>
      <c r="N39" t="s">
        <v>1869</v>
      </c>
      <c r="O39" t="s">
        <v>25</v>
      </c>
      <c r="P39" t="s">
        <v>26</v>
      </c>
      <c r="Q39" t="s">
        <v>26</v>
      </c>
      <c r="R39">
        <v>0</v>
      </c>
      <c r="S39">
        <v>0</v>
      </c>
      <c r="T39">
        <v>0</v>
      </c>
      <c r="U39">
        <v>0</v>
      </c>
      <c r="V39">
        <v>0</v>
      </c>
      <c r="W39">
        <v>0</v>
      </c>
    </row>
    <row r="40" spans="1:23" x14ac:dyDescent="0.25">
      <c r="A40" t="s">
        <v>1769</v>
      </c>
      <c r="B40" t="s">
        <v>1281</v>
      </c>
      <c r="C40">
        <v>-4</v>
      </c>
      <c r="D40">
        <v>10919506.630000001</v>
      </c>
      <c r="E40" t="s">
        <v>716</v>
      </c>
      <c r="F40">
        <v>318485.61</v>
      </c>
      <c r="G40">
        <v>13343764.050000001</v>
      </c>
      <c r="H40" s="406">
        <v>42403.724803240744</v>
      </c>
      <c r="I40" s="539">
        <v>42950</v>
      </c>
      <c r="J40" t="s">
        <v>1770</v>
      </c>
      <c r="K40" t="s">
        <v>1833</v>
      </c>
      <c r="L40" t="s">
        <v>1280</v>
      </c>
      <c r="M40">
        <v>102397</v>
      </c>
      <c r="N40" t="s">
        <v>530</v>
      </c>
      <c r="O40" t="s">
        <v>25</v>
      </c>
      <c r="P40" t="s">
        <v>290</v>
      </c>
      <c r="Q40" t="s">
        <v>1768</v>
      </c>
      <c r="R40">
        <v>0</v>
      </c>
      <c r="S40">
        <v>0</v>
      </c>
      <c r="T40">
        <v>0</v>
      </c>
      <c r="U40">
        <v>0</v>
      </c>
      <c r="V40">
        <v>0</v>
      </c>
      <c r="W40">
        <v>0</v>
      </c>
    </row>
    <row r="41" spans="1:23" x14ac:dyDescent="0.25">
      <c r="A41" t="s">
        <v>1722</v>
      </c>
      <c r="B41" t="s">
        <v>1282</v>
      </c>
      <c r="C41">
        <v>167</v>
      </c>
      <c r="D41">
        <v>5185401.4000000004</v>
      </c>
      <c r="E41" t="s">
        <v>716</v>
      </c>
      <c r="F41">
        <v>400650.42</v>
      </c>
      <c r="G41">
        <v>6393130.3399999999</v>
      </c>
      <c r="H41" s="406">
        <v>42381.445590277777</v>
      </c>
      <c r="I41" s="539">
        <v>42747</v>
      </c>
      <c r="J41" t="s">
        <v>1723</v>
      </c>
      <c r="K41" t="s">
        <v>1280</v>
      </c>
      <c r="L41" t="s">
        <v>1724</v>
      </c>
      <c r="M41">
        <v>102370</v>
      </c>
      <c r="N41" t="s">
        <v>1721</v>
      </c>
      <c r="O41" t="s">
        <v>44</v>
      </c>
      <c r="P41" t="s">
        <v>92</v>
      </c>
      <c r="Q41" t="s">
        <v>92</v>
      </c>
      <c r="R41">
        <v>5185401.4000000004</v>
      </c>
      <c r="S41">
        <v>5185401.4000000004</v>
      </c>
      <c r="T41">
        <v>5185401.4000000004</v>
      </c>
      <c r="U41">
        <v>0</v>
      </c>
      <c r="V41">
        <v>0</v>
      </c>
      <c r="W41">
        <v>1</v>
      </c>
    </row>
    <row r="42" spans="1:23" x14ac:dyDescent="0.25">
      <c r="A42" t="s">
        <v>1712</v>
      </c>
      <c r="B42" t="s">
        <v>1283</v>
      </c>
      <c r="C42">
        <v>49</v>
      </c>
      <c r="D42">
        <v>25419812.91</v>
      </c>
      <c r="E42" t="s">
        <v>716</v>
      </c>
      <c r="F42">
        <v>1491501.15</v>
      </c>
      <c r="G42">
        <v>33268346.030000001</v>
      </c>
      <c r="H42" s="406">
        <v>42368.74560185185</v>
      </c>
      <c r="I42" s="539">
        <v>43110</v>
      </c>
      <c r="J42" t="s">
        <v>1713</v>
      </c>
      <c r="K42" t="s">
        <v>1714</v>
      </c>
      <c r="L42" t="s">
        <v>1280</v>
      </c>
      <c r="M42">
        <v>102358</v>
      </c>
      <c r="N42" t="s">
        <v>676</v>
      </c>
      <c r="O42" t="s">
        <v>44</v>
      </c>
      <c r="P42" t="s">
        <v>75</v>
      </c>
      <c r="Q42" t="s">
        <v>26</v>
      </c>
      <c r="R42">
        <v>25419812.91</v>
      </c>
      <c r="S42">
        <v>25419812.91</v>
      </c>
      <c r="T42">
        <v>0</v>
      </c>
      <c r="U42">
        <v>0</v>
      </c>
      <c r="V42">
        <v>1</v>
      </c>
      <c r="W42">
        <v>0</v>
      </c>
    </row>
    <row r="43" spans="1:23" x14ac:dyDescent="0.25">
      <c r="A43" t="s">
        <v>1690</v>
      </c>
      <c r="B43" t="s">
        <v>1283</v>
      </c>
      <c r="C43">
        <v>-2</v>
      </c>
      <c r="D43">
        <v>44934095.579999998</v>
      </c>
      <c r="E43" t="s">
        <v>716</v>
      </c>
      <c r="F43">
        <v>1213220.58</v>
      </c>
      <c r="G43">
        <v>57235864.159999996</v>
      </c>
      <c r="H43" s="406">
        <v>42359.423009259262</v>
      </c>
      <c r="I43" s="539">
        <v>43101</v>
      </c>
      <c r="J43" t="s">
        <v>1691</v>
      </c>
      <c r="K43" t="s">
        <v>1280</v>
      </c>
      <c r="L43" t="s">
        <v>1280</v>
      </c>
      <c r="M43">
        <v>102349</v>
      </c>
      <c r="N43" t="s">
        <v>1688</v>
      </c>
      <c r="O43" t="s">
        <v>44</v>
      </c>
      <c r="P43" t="s">
        <v>75</v>
      </c>
      <c r="Q43" t="s">
        <v>1442</v>
      </c>
      <c r="R43">
        <v>0</v>
      </c>
      <c r="S43">
        <v>0</v>
      </c>
      <c r="T43">
        <v>0</v>
      </c>
      <c r="U43">
        <v>0</v>
      </c>
      <c r="V43">
        <v>0</v>
      </c>
      <c r="W43">
        <v>0</v>
      </c>
    </row>
    <row r="44" spans="1:23" x14ac:dyDescent="0.25">
      <c r="A44" t="s">
        <v>1650</v>
      </c>
      <c r="B44" t="s">
        <v>1282</v>
      </c>
      <c r="C44">
        <v>49</v>
      </c>
      <c r="D44">
        <v>3083283.75</v>
      </c>
      <c r="E44" t="s">
        <v>716</v>
      </c>
      <c r="F44">
        <v>223103.01</v>
      </c>
      <c r="G44">
        <v>3462945.66</v>
      </c>
      <c r="H44" s="406">
        <v>42348.73710648148</v>
      </c>
      <c r="I44" s="539">
        <v>42714</v>
      </c>
      <c r="J44" t="s">
        <v>1651</v>
      </c>
      <c r="K44" t="s">
        <v>1280</v>
      </c>
      <c r="L44" t="s">
        <v>1652</v>
      </c>
      <c r="M44">
        <v>102317</v>
      </c>
      <c r="N44" t="s">
        <v>1647</v>
      </c>
      <c r="O44" t="s">
        <v>31</v>
      </c>
      <c r="P44" t="s">
        <v>293</v>
      </c>
      <c r="Q44" t="s">
        <v>1648</v>
      </c>
      <c r="R44">
        <v>3083283.75</v>
      </c>
      <c r="S44">
        <v>3083283.75</v>
      </c>
      <c r="T44">
        <v>0</v>
      </c>
      <c r="U44">
        <v>0</v>
      </c>
      <c r="V44">
        <v>1</v>
      </c>
      <c r="W44">
        <v>0</v>
      </c>
    </row>
    <row r="45" spans="1:23" x14ac:dyDescent="0.25">
      <c r="A45" t="s">
        <v>838</v>
      </c>
      <c r="B45" t="s">
        <v>1279</v>
      </c>
      <c r="C45">
        <v>175</v>
      </c>
      <c r="D45">
        <v>516867.37</v>
      </c>
      <c r="E45" t="s">
        <v>716</v>
      </c>
      <c r="F45">
        <v>20674.689999999999</v>
      </c>
      <c r="G45">
        <v>537542.06000000006</v>
      </c>
      <c r="H45" s="406">
        <v>42090.709583333337</v>
      </c>
      <c r="I45" s="539">
        <v>42464</v>
      </c>
      <c r="J45" t="s">
        <v>839</v>
      </c>
      <c r="K45" t="s">
        <v>840</v>
      </c>
      <c r="L45" t="s">
        <v>1280</v>
      </c>
      <c r="M45">
        <v>101418</v>
      </c>
      <c r="N45" t="s">
        <v>835</v>
      </c>
      <c r="O45" t="s">
        <v>44</v>
      </c>
      <c r="P45" t="s">
        <v>92</v>
      </c>
      <c r="Q45" t="s">
        <v>92</v>
      </c>
      <c r="R45">
        <v>516867.37</v>
      </c>
      <c r="S45">
        <v>516867.37</v>
      </c>
      <c r="T45">
        <v>516867.37</v>
      </c>
      <c r="U45">
        <v>0</v>
      </c>
      <c r="V45">
        <v>0</v>
      </c>
      <c r="W45">
        <v>1</v>
      </c>
    </row>
    <row r="46" spans="1:23" x14ac:dyDescent="0.25">
      <c r="A46" t="s">
        <v>309</v>
      </c>
      <c r="B46" t="s">
        <v>1282</v>
      </c>
      <c r="C46">
        <v>-6</v>
      </c>
      <c r="D46">
        <v>1929390.12</v>
      </c>
      <c r="E46" t="s">
        <v>716</v>
      </c>
      <c r="F46">
        <v>160115.76999999999</v>
      </c>
      <c r="G46">
        <v>2085758.72</v>
      </c>
      <c r="H46" s="406">
        <v>42340.530173611114</v>
      </c>
      <c r="I46" s="539">
        <v>42709</v>
      </c>
      <c r="J46" t="s">
        <v>310</v>
      </c>
      <c r="K46" t="s">
        <v>311</v>
      </c>
      <c r="L46" t="s">
        <v>1280</v>
      </c>
      <c r="M46">
        <v>102296</v>
      </c>
      <c r="N46" t="s">
        <v>308</v>
      </c>
      <c r="O46" t="s">
        <v>44</v>
      </c>
      <c r="P46" t="s">
        <v>26</v>
      </c>
      <c r="Q46" t="s">
        <v>26</v>
      </c>
      <c r="R46">
        <v>0</v>
      </c>
      <c r="S46">
        <v>0</v>
      </c>
      <c r="T46">
        <v>0</v>
      </c>
      <c r="U46">
        <v>0</v>
      </c>
      <c r="V46">
        <v>0</v>
      </c>
      <c r="W46">
        <v>0</v>
      </c>
    </row>
    <row r="47" spans="1:23" x14ac:dyDescent="0.25">
      <c r="A47" t="s">
        <v>1295</v>
      </c>
      <c r="B47" t="s">
        <v>1283</v>
      </c>
      <c r="C47">
        <v>53</v>
      </c>
      <c r="D47">
        <v>53041431.280000001</v>
      </c>
      <c r="E47" t="s">
        <v>716</v>
      </c>
      <c r="F47">
        <v>3146087.88</v>
      </c>
      <c r="G47">
        <v>80162865.769999996</v>
      </c>
      <c r="H47" s="406">
        <v>42338.819571759261</v>
      </c>
      <c r="I47" s="539">
        <v>43440</v>
      </c>
      <c r="J47" t="s">
        <v>1296</v>
      </c>
      <c r="K47" t="s">
        <v>1297</v>
      </c>
      <c r="L47" t="s">
        <v>1280</v>
      </c>
      <c r="M47">
        <v>102292</v>
      </c>
      <c r="N47" t="s">
        <v>1294</v>
      </c>
      <c r="O47" t="s">
        <v>37</v>
      </c>
      <c r="P47" t="s">
        <v>26</v>
      </c>
      <c r="Q47" t="s">
        <v>26</v>
      </c>
      <c r="R47">
        <v>53041431.280000001</v>
      </c>
      <c r="S47">
        <v>53041431.280000001</v>
      </c>
      <c r="T47">
        <v>0</v>
      </c>
      <c r="U47">
        <v>0</v>
      </c>
      <c r="V47">
        <v>1</v>
      </c>
      <c r="W47">
        <v>0</v>
      </c>
    </row>
    <row r="48" spans="1:23" x14ac:dyDescent="0.25">
      <c r="A48" t="s">
        <v>442</v>
      </c>
      <c r="B48" t="s">
        <v>1283</v>
      </c>
      <c r="C48">
        <v>-11</v>
      </c>
      <c r="D48">
        <v>53841951.579999998</v>
      </c>
      <c r="E48" t="s">
        <v>716</v>
      </c>
      <c r="F48">
        <v>2626664.63</v>
      </c>
      <c r="G48">
        <v>77614724.200000003</v>
      </c>
      <c r="H48" s="406">
        <v>42333.538263888891</v>
      </c>
      <c r="I48" s="539">
        <v>43398</v>
      </c>
      <c r="J48" t="s">
        <v>443</v>
      </c>
      <c r="K48" t="s">
        <v>444</v>
      </c>
      <c r="L48" t="s">
        <v>1280</v>
      </c>
      <c r="M48">
        <v>102273</v>
      </c>
      <c r="N48" t="s">
        <v>441</v>
      </c>
      <c r="O48" t="s">
        <v>45</v>
      </c>
      <c r="P48" t="s">
        <v>45</v>
      </c>
      <c r="Q48" t="s">
        <v>26</v>
      </c>
      <c r="R48">
        <v>0</v>
      </c>
      <c r="S48">
        <v>0</v>
      </c>
      <c r="T48">
        <v>0</v>
      </c>
      <c r="U48">
        <v>0</v>
      </c>
      <c r="V48">
        <v>0</v>
      </c>
      <c r="W48">
        <v>0</v>
      </c>
    </row>
    <row r="49" spans="1:23" x14ac:dyDescent="0.25">
      <c r="A49" t="s">
        <v>741</v>
      </c>
      <c r="B49" t="s">
        <v>1282</v>
      </c>
      <c r="C49">
        <v>-2</v>
      </c>
      <c r="D49">
        <v>1013855.21</v>
      </c>
      <c r="E49" t="s">
        <v>716</v>
      </c>
      <c r="F49">
        <v>36498.79</v>
      </c>
      <c r="G49">
        <v>1075084.1100000001</v>
      </c>
      <c r="H49" s="406">
        <v>42301.507719907408</v>
      </c>
      <c r="I49" s="539">
        <v>42675</v>
      </c>
      <c r="J49" t="s">
        <v>742</v>
      </c>
      <c r="K49" t="s">
        <v>743</v>
      </c>
      <c r="L49" t="s">
        <v>1280</v>
      </c>
      <c r="M49">
        <v>102177</v>
      </c>
      <c r="N49" t="s">
        <v>739</v>
      </c>
      <c r="O49" t="s">
        <v>25</v>
      </c>
      <c r="P49" t="s">
        <v>26</v>
      </c>
      <c r="Q49" t="s">
        <v>26</v>
      </c>
      <c r="R49">
        <v>0</v>
      </c>
      <c r="S49">
        <v>0</v>
      </c>
      <c r="T49">
        <v>0</v>
      </c>
      <c r="U49">
        <v>0</v>
      </c>
      <c r="V49">
        <v>0</v>
      </c>
      <c r="W49">
        <v>0</v>
      </c>
    </row>
    <row r="50" spans="1:23" x14ac:dyDescent="0.25">
      <c r="A50" t="s">
        <v>1505</v>
      </c>
      <c r="B50" t="s">
        <v>1283</v>
      </c>
      <c r="C50">
        <v>-2</v>
      </c>
      <c r="D50">
        <v>54462344.229999997</v>
      </c>
      <c r="E50" t="s">
        <v>716</v>
      </c>
      <c r="F50">
        <v>1470483.29</v>
      </c>
      <c r="G50">
        <v>79209790.879999995</v>
      </c>
      <c r="H50" s="406">
        <v>42300.557245370372</v>
      </c>
      <c r="I50" s="539">
        <v>43405</v>
      </c>
      <c r="J50" t="s">
        <v>1506</v>
      </c>
      <c r="K50" t="s">
        <v>1280</v>
      </c>
      <c r="L50" t="s">
        <v>1280</v>
      </c>
      <c r="M50">
        <v>102172</v>
      </c>
      <c r="N50" t="s">
        <v>1504</v>
      </c>
      <c r="O50" t="s">
        <v>44</v>
      </c>
      <c r="P50" t="s">
        <v>92</v>
      </c>
      <c r="Q50" t="s">
        <v>26</v>
      </c>
      <c r="R50">
        <v>0</v>
      </c>
      <c r="S50">
        <v>0</v>
      </c>
      <c r="T50">
        <v>0</v>
      </c>
      <c r="U50">
        <v>0</v>
      </c>
      <c r="V50">
        <v>0</v>
      </c>
      <c r="W50">
        <v>0</v>
      </c>
    </row>
    <row r="51" spans="1:23" x14ac:dyDescent="0.25">
      <c r="A51" t="s">
        <v>445</v>
      </c>
      <c r="B51" t="s">
        <v>1279</v>
      </c>
      <c r="C51">
        <v>-23</v>
      </c>
      <c r="D51">
        <v>1644940.7</v>
      </c>
      <c r="E51" t="s">
        <v>716</v>
      </c>
      <c r="F51">
        <v>13159.53</v>
      </c>
      <c r="G51">
        <v>1812659.16</v>
      </c>
      <c r="H51" s="406">
        <v>42293.560601851852</v>
      </c>
      <c r="I51" s="539">
        <v>42757</v>
      </c>
      <c r="J51" t="s">
        <v>446</v>
      </c>
      <c r="K51" t="s">
        <v>447</v>
      </c>
      <c r="L51" t="s">
        <v>1280</v>
      </c>
      <c r="M51">
        <v>102149</v>
      </c>
      <c r="N51" t="s">
        <v>439</v>
      </c>
      <c r="O51" t="s">
        <v>44</v>
      </c>
      <c r="P51" t="s">
        <v>26</v>
      </c>
      <c r="Q51" t="s">
        <v>26</v>
      </c>
      <c r="R51">
        <v>0</v>
      </c>
      <c r="S51">
        <v>0</v>
      </c>
      <c r="T51">
        <v>0</v>
      </c>
      <c r="U51">
        <v>0</v>
      </c>
      <c r="V51">
        <v>0</v>
      </c>
      <c r="W51">
        <v>0</v>
      </c>
    </row>
    <row r="52" spans="1:23" x14ac:dyDescent="0.25">
      <c r="A52" t="s">
        <v>1451</v>
      </c>
      <c r="B52" t="s">
        <v>1283</v>
      </c>
      <c r="C52">
        <v>-7</v>
      </c>
      <c r="D52">
        <v>19466965.620000001</v>
      </c>
      <c r="E52" t="s">
        <v>716</v>
      </c>
      <c r="F52">
        <v>428273.24</v>
      </c>
      <c r="G52">
        <v>23796108.719999999</v>
      </c>
      <c r="H52" s="406">
        <v>42283.682303240741</v>
      </c>
      <c r="I52" s="539">
        <v>43014</v>
      </c>
      <c r="J52" t="s">
        <v>1452</v>
      </c>
      <c r="K52" t="s">
        <v>1453</v>
      </c>
      <c r="L52" t="s">
        <v>1280</v>
      </c>
      <c r="M52">
        <v>102119</v>
      </c>
      <c r="N52" t="s">
        <v>1443</v>
      </c>
      <c r="O52" t="s">
        <v>37</v>
      </c>
      <c r="P52" t="s">
        <v>288</v>
      </c>
      <c r="Q52" t="s">
        <v>26</v>
      </c>
      <c r="R52">
        <v>0</v>
      </c>
      <c r="S52">
        <v>0</v>
      </c>
      <c r="T52">
        <v>0</v>
      </c>
      <c r="U52">
        <v>0</v>
      </c>
      <c r="V52">
        <v>0</v>
      </c>
      <c r="W52">
        <v>0</v>
      </c>
    </row>
    <row r="53" spans="1:23" x14ac:dyDescent="0.25">
      <c r="A53" t="s">
        <v>241</v>
      </c>
      <c r="B53" t="s">
        <v>1283</v>
      </c>
      <c r="C53">
        <v>-17</v>
      </c>
      <c r="D53">
        <v>25260985.77</v>
      </c>
      <c r="E53" t="s">
        <v>716</v>
      </c>
      <c r="F53">
        <v>303131.83</v>
      </c>
      <c r="G53">
        <v>33060479.949999999</v>
      </c>
      <c r="H53" s="406">
        <v>42263.668587962966</v>
      </c>
      <c r="I53" s="539">
        <v>43175</v>
      </c>
      <c r="J53" t="s">
        <v>242</v>
      </c>
      <c r="K53" t="s">
        <v>1280</v>
      </c>
      <c r="L53" t="s">
        <v>1280</v>
      </c>
      <c r="M53">
        <v>102054</v>
      </c>
      <c r="N53" t="s">
        <v>79</v>
      </c>
      <c r="O53" t="s">
        <v>27</v>
      </c>
      <c r="P53" t="s">
        <v>26</v>
      </c>
      <c r="Q53" t="s">
        <v>26</v>
      </c>
      <c r="R53">
        <v>0</v>
      </c>
      <c r="S53">
        <v>0</v>
      </c>
      <c r="T53">
        <v>0</v>
      </c>
      <c r="U53">
        <v>0</v>
      </c>
      <c r="V53">
        <v>0</v>
      </c>
      <c r="W53">
        <v>0</v>
      </c>
    </row>
    <row r="54" spans="1:23" x14ac:dyDescent="0.25">
      <c r="A54" t="s">
        <v>216</v>
      </c>
      <c r="B54" t="s">
        <v>1283</v>
      </c>
      <c r="C54">
        <v>28</v>
      </c>
      <c r="D54">
        <v>48087601.25</v>
      </c>
      <c r="E54" t="s">
        <v>716</v>
      </c>
      <c r="F54">
        <v>2705381.88</v>
      </c>
      <c r="G54">
        <v>69039214.150000006</v>
      </c>
      <c r="H54" s="406">
        <v>42242.439895833333</v>
      </c>
      <c r="I54" s="539">
        <v>43344</v>
      </c>
      <c r="J54" t="s">
        <v>217</v>
      </c>
      <c r="K54" t="s">
        <v>218</v>
      </c>
      <c r="L54" t="s">
        <v>1280</v>
      </c>
      <c r="M54">
        <v>101971</v>
      </c>
      <c r="N54" t="s">
        <v>215</v>
      </c>
      <c r="O54" t="s">
        <v>45</v>
      </c>
      <c r="P54" t="s">
        <v>45</v>
      </c>
      <c r="Q54" t="s">
        <v>26</v>
      </c>
      <c r="R54">
        <v>48087601.25</v>
      </c>
      <c r="S54">
        <v>0</v>
      </c>
      <c r="T54">
        <v>0</v>
      </c>
      <c r="U54">
        <v>1</v>
      </c>
      <c r="V54">
        <v>0</v>
      </c>
      <c r="W54">
        <v>0</v>
      </c>
    </row>
    <row r="55" spans="1:23" x14ac:dyDescent="0.25">
      <c r="A55" t="s">
        <v>1267</v>
      </c>
      <c r="B55" t="s">
        <v>1283</v>
      </c>
      <c r="C55">
        <v>-22</v>
      </c>
      <c r="D55">
        <v>45526080.189999998</v>
      </c>
      <c r="E55" t="s">
        <v>716</v>
      </c>
      <c r="F55">
        <v>318682.56</v>
      </c>
      <c r="G55">
        <v>63946647.490000002</v>
      </c>
      <c r="H55" s="406">
        <v>42234.675011574072</v>
      </c>
      <c r="I55" s="539">
        <v>43333</v>
      </c>
      <c r="J55" t="s">
        <v>1268</v>
      </c>
      <c r="K55" t="s">
        <v>1269</v>
      </c>
      <c r="L55" t="s">
        <v>1280</v>
      </c>
      <c r="M55">
        <v>101943</v>
      </c>
      <c r="N55" t="s">
        <v>1266</v>
      </c>
      <c r="O55" t="s">
        <v>25</v>
      </c>
      <c r="P55" t="s">
        <v>26</v>
      </c>
      <c r="Q55" t="s">
        <v>26</v>
      </c>
      <c r="R55">
        <v>0</v>
      </c>
      <c r="S55">
        <v>0</v>
      </c>
      <c r="T55">
        <v>0</v>
      </c>
      <c r="U55">
        <v>0</v>
      </c>
      <c r="V55">
        <v>0</v>
      </c>
      <c r="W55">
        <v>0</v>
      </c>
    </row>
    <row r="56" spans="1:23" x14ac:dyDescent="0.25">
      <c r="A56" t="s">
        <v>1250</v>
      </c>
      <c r="B56" t="s">
        <v>1282</v>
      </c>
      <c r="C56">
        <v>-18</v>
      </c>
      <c r="D56">
        <v>854711.73</v>
      </c>
      <c r="E56" t="s">
        <v>716</v>
      </c>
      <c r="F56">
        <v>12535.77</v>
      </c>
      <c r="G56">
        <v>906329.62</v>
      </c>
      <c r="H56" s="406">
        <v>42227.715486111112</v>
      </c>
      <c r="I56" s="539">
        <v>42691</v>
      </c>
      <c r="J56" t="s">
        <v>1251</v>
      </c>
      <c r="K56" t="s">
        <v>1280</v>
      </c>
      <c r="L56" t="s">
        <v>1280</v>
      </c>
      <c r="M56">
        <v>101922</v>
      </c>
      <c r="N56" t="s">
        <v>1237</v>
      </c>
      <c r="O56" t="s">
        <v>36</v>
      </c>
      <c r="P56" t="s">
        <v>118</v>
      </c>
      <c r="Q56" t="s">
        <v>26</v>
      </c>
      <c r="R56">
        <v>0</v>
      </c>
      <c r="S56">
        <v>0</v>
      </c>
      <c r="T56">
        <v>0</v>
      </c>
      <c r="U56">
        <v>0</v>
      </c>
      <c r="V56">
        <v>0</v>
      </c>
      <c r="W56">
        <v>0</v>
      </c>
    </row>
    <row r="57" spans="1:23" x14ac:dyDescent="0.25">
      <c r="A57" t="s">
        <v>726</v>
      </c>
      <c r="B57" t="s">
        <v>1279</v>
      </c>
      <c r="C57">
        <v>134</v>
      </c>
      <c r="D57">
        <v>2332540.1</v>
      </c>
      <c r="E57" t="s">
        <v>716</v>
      </c>
      <c r="F57">
        <v>162253.94</v>
      </c>
      <c r="G57">
        <v>2570366.31</v>
      </c>
      <c r="H57" s="406">
        <v>42227.698935185188</v>
      </c>
      <c r="I57" s="539">
        <v>42597</v>
      </c>
      <c r="J57" t="s">
        <v>727</v>
      </c>
      <c r="K57" t="s">
        <v>728</v>
      </c>
      <c r="L57" t="s">
        <v>1280</v>
      </c>
      <c r="M57">
        <v>101921</v>
      </c>
      <c r="N57" t="s">
        <v>722</v>
      </c>
      <c r="O57" t="s">
        <v>36</v>
      </c>
      <c r="P57" t="s">
        <v>97</v>
      </c>
      <c r="Q57" t="s">
        <v>98</v>
      </c>
      <c r="R57">
        <v>2332540.1</v>
      </c>
      <c r="S57">
        <v>2332540.1</v>
      </c>
      <c r="T57">
        <v>2332540.1</v>
      </c>
      <c r="U57">
        <v>0</v>
      </c>
      <c r="V57">
        <v>0</v>
      </c>
      <c r="W57">
        <v>1</v>
      </c>
    </row>
    <row r="58" spans="1:23" x14ac:dyDescent="0.25">
      <c r="A58" t="s">
        <v>1215</v>
      </c>
      <c r="B58" t="s">
        <v>1281</v>
      </c>
      <c r="C58">
        <v>23</v>
      </c>
      <c r="D58">
        <v>6268966.3799999999</v>
      </c>
      <c r="E58" t="s">
        <v>716</v>
      </c>
      <c r="F58">
        <v>355752.45</v>
      </c>
      <c r="G58">
        <v>7058914.1399999997</v>
      </c>
      <c r="H58" s="406">
        <v>42221.693055555559</v>
      </c>
      <c r="I58" s="539">
        <v>42772</v>
      </c>
      <c r="J58" t="s">
        <v>1216</v>
      </c>
      <c r="K58" t="s">
        <v>1217</v>
      </c>
      <c r="L58" t="s">
        <v>1280</v>
      </c>
      <c r="M58">
        <v>101911</v>
      </c>
      <c r="N58" t="s">
        <v>1212</v>
      </c>
      <c r="O58" t="s">
        <v>44</v>
      </c>
      <c r="P58" t="s">
        <v>75</v>
      </c>
      <c r="Q58" t="s">
        <v>26</v>
      </c>
      <c r="R58">
        <v>6268966.3799999999</v>
      </c>
      <c r="S58">
        <v>0</v>
      </c>
      <c r="T58">
        <v>0</v>
      </c>
      <c r="U58">
        <v>1</v>
      </c>
      <c r="V58">
        <v>0</v>
      </c>
      <c r="W58">
        <v>0</v>
      </c>
    </row>
    <row r="59" spans="1:23" x14ac:dyDescent="0.25">
      <c r="A59" t="s">
        <v>884</v>
      </c>
      <c r="B59" t="s">
        <v>1279</v>
      </c>
      <c r="C59">
        <v>-19</v>
      </c>
      <c r="D59">
        <v>259613.58</v>
      </c>
      <c r="E59" t="s">
        <v>716</v>
      </c>
      <c r="F59">
        <v>3461.51</v>
      </c>
      <c r="G59">
        <v>269998.12</v>
      </c>
      <c r="H59" s="406">
        <v>42112.472291666665</v>
      </c>
      <c r="I59" s="539">
        <v>42661</v>
      </c>
      <c r="J59" t="s">
        <v>885</v>
      </c>
      <c r="K59" t="s">
        <v>1280</v>
      </c>
      <c r="L59" t="s">
        <v>1280</v>
      </c>
      <c r="M59">
        <v>101492</v>
      </c>
      <c r="N59" t="s">
        <v>883</v>
      </c>
      <c r="O59" t="s">
        <v>44</v>
      </c>
      <c r="P59" t="s">
        <v>92</v>
      </c>
      <c r="Q59" t="s">
        <v>26</v>
      </c>
      <c r="R59">
        <v>0</v>
      </c>
      <c r="S59">
        <v>0</v>
      </c>
      <c r="T59">
        <v>0</v>
      </c>
      <c r="U59">
        <v>0</v>
      </c>
      <c r="V59">
        <v>0</v>
      </c>
      <c r="W59">
        <v>0</v>
      </c>
    </row>
    <row r="60" spans="1:23" x14ac:dyDescent="0.25">
      <c r="A60" t="s">
        <v>1181</v>
      </c>
      <c r="B60" t="s">
        <v>1282</v>
      </c>
      <c r="C60">
        <v>147</v>
      </c>
      <c r="D60">
        <v>2329564.9</v>
      </c>
      <c r="E60" t="s">
        <v>716</v>
      </c>
      <c r="F60">
        <v>94046.99</v>
      </c>
      <c r="G60">
        <v>2499087.77</v>
      </c>
      <c r="H60" s="406">
        <v>42214.735798611109</v>
      </c>
      <c r="I60" s="539">
        <v>42584</v>
      </c>
      <c r="J60" t="s">
        <v>1182</v>
      </c>
      <c r="K60" t="s">
        <v>1183</v>
      </c>
      <c r="L60" t="s">
        <v>1280</v>
      </c>
      <c r="M60">
        <v>101882</v>
      </c>
      <c r="N60" t="s">
        <v>1171</v>
      </c>
      <c r="O60" t="s">
        <v>25</v>
      </c>
      <c r="P60" t="s">
        <v>26</v>
      </c>
      <c r="Q60" t="s">
        <v>26</v>
      </c>
      <c r="R60">
        <v>2329564.9</v>
      </c>
      <c r="S60">
        <v>2329564.9</v>
      </c>
      <c r="T60">
        <v>2329564.9</v>
      </c>
      <c r="U60">
        <v>0</v>
      </c>
      <c r="V60">
        <v>0</v>
      </c>
      <c r="W60">
        <v>1</v>
      </c>
    </row>
    <row r="61" spans="1:23" x14ac:dyDescent="0.25">
      <c r="A61" t="s">
        <v>1033</v>
      </c>
      <c r="B61" t="s">
        <v>1283</v>
      </c>
      <c r="C61">
        <v>14</v>
      </c>
      <c r="D61">
        <v>54176285.670000002</v>
      </c>
      <c r="E61" t="s">
        <v>716</v>
      </c>
      <c r="F61">
        <v>2307878.31</v>
      </c>
      <c r="G61">
        <v>75777441.439999998</v>
      </c>
      <c r="H61" s="406">
        <v>42201.683379629627</v>
      </c>
      <c r="I61" s="539">
        <v>43296</v>
      </c>
      <c r="J61" t="s">
        <v>1034</v>
      </c>
      <c r="K61" t="s">
        <v>1035</v>
      </c>
      <c r="L61" t="s">
        <v>1280</v>
      </c>
      <c r="M61">
        <v>101840</v>
      </c>
      <c r="N61" t="s">
        <v>1032</v>
      </c>
      <c r="O61" t="s">
        <v>36</v>
      </c>
      <c r="P61" t="s">
        <v>97</v>
      </c>
      <c r="Q61" t="s">
        <v>98</v>
      </c>
      <c r="R61">
        <v>54176285.670000002</v>
      </c>
      <c r="S61">
        <v>0</v>
      </c>
      <c r="T61">
        <v>0</v>
      </c>
      <c r="U61">
        <v>1</v>
      </c>
      <c r="V61">
        <v>0</v>
      </c>
      <c r="W61">
        <v>0</v>
      </c>
    </row>
    <row r="62" spans="1:23" x14ac:dyDescent="0.25">
      <c r="A62" t="s">
        <v>356</v>
      </c>
      <c r="B62" t="s">
        <v>1282</v>
      </c>
      <c r="C62">
        <v>-5</v>
      </c>
      <c r="D62">
        <v>7989749.3899999997</v>
      </c>
      <c r="E62" t="s">
        <v>716</v>
      </c>
      <c r="F62">
        <v>255671.98</v>
      </c>
      <c r="G62">
        <v>9850637.4399999995</v>
      </c>
      <c r="H62" s="406">
        <v>42188.52</v>
      </c>
      <c r="I62" s="539">
        <v>42920</v>
      </c>
      <c r="J62" t="s">
        <v>357</v>
      </c>
      <c r="K62" t="s">
        <v>358</v>
      </c>
      <c r="L62" t="s">
        <v>1280</v>
      </c>
      <c r="M62">
        <v>101813</v>
      </c>
      <c r="N62" t="s">
        <v>355</v>
      </c>
      <c r="O62" t="s">
        <v>31</v>
      </c>
      <c r="P62" t="s">
        <v>291</v>
      </c>
      <c r="Q62" t="s">
        <v>292</v>
      </c>
      <c r="R62">
        <v>0</v>
      </c>
      <c r="S62">
        <v>0</v>
      </c>
      <c r="T62">
        <v>0</v>
      </c>
      <c r="U62">
        <v>0</v>
      </c>
      <c r="V62">
        <v>0</v>
      </c>
      <c r="W62">
        <v>0</v>
      </c>
    </row>
    <row r="63" spans="1:23" x14ac:dyDescent="0.25">
      <c r="A63" t="s">
        <v>956</v>
      </c>
      <c r="B63" t="s">
        <v>1282</v>
      </c>
      <c r="C63">
        <v>4</v>
      </c>
      <c r="D63">
        <v>1767199.54</v>
      </c>
      <c r="E63" t="s">
        <v>716</v>
      </c>
      <c r="F63">
        <v>75492.3</v>
      </c>
      <c r="G63">
        <v>1910423.32</v>
      </c>
      <c r="H63" s="406">
        <v>42143.646527777775</v>
      </c>
      <c r="I63" s="539">
        <v>42699</v>
      </c>
      <c r="J63" t="s">
        <v>957</v>
      </c>
      <c r="K63" t="s">
        <v>1280</v>
      </c>
      <c r="L63" t="s">
        <v>1280</v>
      </c>
      <c r="M63">
        <v>101642</v>
      </c>
      <c r="N63" t="s">
        <v>928</v>
      </c>
      <c r="O63" t="s">
        <v>25</v>
      </c>
      <c r="P63" t="s">
        <v>26</v>
      </c>
      <c r="Q63" t="s">
        <v>26</v>
      </c>
      <c r="R63">
        <v>1767199.54</v>
      </c>
      <c r="S63">
        <v>0</v>
      </c>
      <c r="T63">
        <v>0</v>
      </c>
      <c r="U63">
        <v>1</v>
      </c>
      <c r="V63">
        <v>0</v>
      </c>
      <c r="W63">
        <v>0</v>
      </c>
    </row>
    <row r="64" spans="1:23" x14ac:dyDescent="0.25">
      <c r="A64" t="s">
        <v>924</v>
      </c>
      <c r="B64" t="s">
        <v>1281</v>
      </c>
      <c r="C64">
        <v>80</v>
      </c>
      <c r="D64">
        <v>6161706.21</v>
      </c>
      <c r="E64" t="s">
        <v>716</v>
      </c>
      <c r="F64">
        <v>388279.41</v>
      </c>
      <c r="G64">
        <v>6823515.7800000003</v>
      </c>
      <c r="H64" s="406">
        <v>42133.502650462964</v>
      </c>
      <c r="I64" s="539">
        <v>42683</v>
      </c>
      <c r="J64" t="s">
        <v>925</v>
      </c>
      <c r="K64" t="s">
        <v>1280</v>
      </c>
      <c r="L64" t="s">
        <v>1280</v>
      </c>
      <c r="M64">
        <v>101606</v>
      </c>
      <c r="N64" t="s">
        <v>923</v>
      </c>
      <c r="O64" t="s">
        <v>44</v>
      </c>
      <c r="P64" t="s">
        <v>75</v>
      </c>
      <c r="Q64" t="s">
        <v>26</v>
      </c>
      <c r="R64">
        <v>6161706.21</v>
      </c>
      <c r="S64">
        <v>6161706.21</v>
      </c>
      <c r="T64">
        <v>0</v>
      </c>
      <c r="U64">
        <v>0</v>
      </c>
      <c r="V64">
        <v>1</v>
      </c>
      <c r="W64">
        <v>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J55"/>
  <sheetViews>
    <sheetView workbookViewId="0">
      <selection activeCell="C8" sqref="C8"/>
    </sheetView>
  </sheetViews>
  <sheetFormatPr defaultColWidth="0" defaultRowHeight="13.2" x14ac:dyDescent="0.25"/>
  <cols>
    <col min="1" max="1" width="19.44140625" customWidth="1"/>
    <col min="2" max="2" width="28.5546875" style="108" bestFit="1" customWidth="1"/>
    <col min="3" max="4" width="16.5546875" customWidth="1"/>
    <col min="5" max="5" width="15.6640625" bestFit="1" customWidth="1"/>
    <col min="6" max="6" width="20.5546875" bestFit="1" customWidth="1"/>
    <col min="7" max="7" width="22.33203125" bestFit="1" customWidth="1"/>
    <col min="8" max="9" width="23.33203125" bestFit="1" customWidth="1"/>
    <col min="10" max="10" width="16.6640625" bestFit="1" customWidth="1"/>
    <col min="11" max="16384" width="9.109375" hidden="1"/>
  </cols>
  <sheetData>
    <row r="1" spans="1:9" x14ac:dyDescent="0.25">
      <c r="A1" s="103" t="s">
        <v>52</v>
      </c>
      <c r="B1" s="108" t="s">
        <v>1205</v>
      </c>
    </row>
    <row r="3" spans="1:9" x14ac:dyDescent="0.25">
      <c r="B3"/>
    </row>
    <row r="4" spans="1:9" x14ac:dyDescent="0.25">
      <c r="B4" s="107" t="s">
        <v>1209</v>
      </c>
      <c r="C4" s="107" t="s">
        <v>1206</v>
      </c>
      <c r="D4" s="107" t="s">
        <v>1207</v>
      </c>
      <c r="E4" s="107" t="s">
        <v>1208</v>
      </c>
      <c r="F4" t="s">
        <v>1210</v>
      </c>
      <c r="G4" t="s">
        <v>1224</v>
      </c>
      <c r="H4" s="104" t="s">
        <v>1225</v>
      </c>
      <c r="I4" t="s">
        <v>1226</v>
      </c>
    </row>
    <row r="5" spans="1:9" x14ac:dyDescent="0.25">
      <c r="A5" t="s">
        <v>1191</v>
      </c>
      <c r="B5" s="107">
        <v>856613579.40999985</v>
      </c>
      <c r="C5" s="107">
        <v>343911630.41999996</v>
      </c>
      <c r="D5" s="107">
        <v>149168421.61000001</v>
      </c>
      <c r="E5" s="107">
        <v>5419200.4000000004</v>
      </c>
      <c r="F5" s="104">
        <v>61</v>
      </c>
      <c r="G5" s="104">
        <v>32</v>
      </c>
      <c r="H5" s="104">
        <v>10</v>
      </c>
      <c r="I5" s="104">
        <v>2</v>
      </c>
    </row>
    <row r="6" spans="1:9" x14ac:dyDescent="0.25">
      <c r="A6" t="s">
        <v>1039</v>
      </c>
      <c r="B6" s="107">
        <v>879337646.79999995</v>
      </c>
      <c r="C6" s="107">
        <v>443850437.74000001</v>
      </c>
      <c r="D6" s="107">
        <v>214741007.49000001</v>
      </c>
      <c r="E6" s="107">
        <v>54041186.899999999</v>
      </c>
      <c r="F6" s="104">
        <v>63</v>
      </c>
      <c r="G6" s="104">
        <v>35</v>
      </c>
      <c r="H6" s="104">
        <v>19</v>
      </c>
      <c r="I6" s="104">
        <v>5</v>
      </c>
    </row>
    <row r="7" spans="1:9" x14ac:dyDescent="0.25">
      <c r="A7" t="s">
        <v>86</v>
      </c>
      <c r="B7" s="107">
        <v>1054426157.9600002</v>
      </c>
      <c r="C7" s="107">
        <v>477262815.49000001</v>
      </c>
      <c r="D7" s="107">
        <v>50769242.25</v>
      </c>
      <c r="E7" s="107">
        <v>12643443.600000001</v>
      </c>
      <c r="F7" s="104">
        <v>66</v>
      </c>
      <c r="G7" s="104">
        <v>31</v>
      </c>
      <c r="H7" s="104">
        <v>6</v>
      </c>
      <c r="I7" s="104">
        <v>3</v>
      </c>
    </row>
    <row r="8" spans="1:9" x14ac:dyDescent="0.25">
      <c r="A8" t="s">
        <v>546</v>
      </c>
      <c r="B8" s="107">
        <v>989799505.65999985</v>
      </c>
      <c r="C8" s="107">
        <v>541175657.01999998</v>
      </c>
      <c r="D8" s="107">
        <v>31450096.879999999</v>
      </c>
      <c r="E8" s="107">
        <v>3750488.76</v>
      </c>
      <c r="F8" s="104">
        <v>46</v>
      </c>
      <c r="G8" s="104">
        <v>23</v>
      </c>
      <c r="H8" s="104">
        <v>4</v>
      </c>
      <c r="I8" s="104">
        <v>1</v>
      </c>
    </row>
    <row r="9" spans="1:9" x14ac:dyDescent="0.25">
      <c r="A9" t="s">
        <v>90</v>
      </c>
      <c r="B9" s="107">
        <v>860800525.74000025</v>
      </c>
      <c r="C9" s="107">
        <v>349377738.57999998</v>
      </c>
      <c r="D9" s="107">
        <v>107902580.52</v>
      </c>
      <c r="E9" s="107">
        <v>35802784.18</v>
      </c>
      <c r="F9" s="104">
        <v>48</v>
      </c>
      <c r="G9" s="104">
        <v>25</v>
      </c>
      <c r="H9" s="104">
        <v>11</v>
      </c>
      <c r="I9" s="104">
        <v>3</v>
      </c>
    </row>
    <row r="10" spans="1:9" x14ac:dyDescent="0.25">
      <c r="A10" t="s">
        <v>963</v>
      </c>
      <c r="B10" s="107">
        <v>559228043.03999996</v>
      </c>
      <c r="C10" s="107">
        <v>272117348.38</v>
      </c>
      <c r="D10" s="107">
        <v>76049978.970000014</v>
      </c>
      <c r="E10" s="107">
        <v>14750739.07</v>
      </c>
      <c r="F10" s="104">
        <v>56</v>
      </c>
      <c r="G10" s="104">
        <v>30</v>
      </c>
      <c r="H10" s="104">
        <v>12</v>
      </c>
      <c r="I10" s="104">
        <v>2</v>
      </c>
    </row>
    <row r="11" spans="1:9" x14ac:dyDescent="0.25">
      <c r="A11" t="s">
        <v>491</v>
      </c>
      <c r="B11" s="107">
        <v>1442789885.3900003</v>
      </c>
      <c r="C11" s="107">
        <v>607912363.26999986</v>
      </c>
      <c r="D11" s="107">
        <v>58451993.770000003</v>
      </c>
      <c r="E11" s="107">
        <v>23336195.68</v>
      </c>
      <c r="F11" s="104">
        <v>78</v>
      </c>
      <c r="G11" s="104">
        <v>31</v>
      </c>
      <c r="H11" s="104">
        <v>5</v>
      </c>
      <c r="I11" s="104">
        <v>1</v>
      </c>
    </row>
    <row r="12" spans="1:9" x14ac:dyDescent="0.25">
      <c r="A12" t="s">
        <v>468</v>
      </c>
      <c r="B12" s="107">
        <v>941963442.4799999</v>
      </c>
      <c r="C12" s="107">
        <v>366990261.96999997</v>
      </c>
      <c r="D12" s="107">
        <v>95588072.420000017</v>
      </c>
      <c r="E12" s="107">
        <v>39900939.060000002</v>
      </c>
      <c r="F12" s="104">
        <v>66</v>
      </c>
      <c r="G12" s="104">
        <v>28</v>
      </c>
      <c r="H12" s="104">
        <v>11</v>
      </c>
      <c r="I12" s="104">
        <v>4</v>
      </c>
    </row>
    <row r="13" spans="1:9" x14ac:dyDescent="0.25">
      <c r="A13" t="s">
        <v>284</v>
      </c>
      <c r="B13" s="107">
        <v>371108544.91000003</v>
      </c>
      <c r="C13" s="107">
        <v>36560150.299999997</v>
      </c>
      <c r="D13" s="107">
        <v>0</v>
      </c>
      <c r="E13" s="107">
        <v>0</v>
      </c>
      <c r="F13" s="104">
        <v>44</v>
      </c>
      <c r="G13" s="104">
        <v>1</v>
      </c>
      <c r="H13" s="104">
        <v>0</v>
      </c>
      <c r="I13" s="104">
        <v>0</v>
      </c>
    </row>
    <row r="14" spans="1:9" x14ac:dyDescent="0.25">
      <c r="A14" t="s">
        <v>1467</v>
      </c>
      <c r="B14" s="107">
        <v>740997277.19999993</v>
      </c>
      <c r="C14" s="107">
        <v>275749788.52999997</v>
      </c>
      <c r="D14" s="107">
        <v>66705499.640000008</v>
      </c>
      <c r="E14" s="107">
        <v>7087443.7699999996</v>
      </c>
      <c r="F14" s="104">
        <v>61</v>
      </c>
      <c r="G14" s="104">
        <v>29</v>
      </c>
      <c r="H14" s="104">
        <v>12</v>
      </c>
      <c r="I14" s="104">
        <v>3</v>
      </c>
    </row>
    <row r="15" spans="1:9" x14ac:dyDescent="0.25">
      <c r="A15" t="s">
        <v>1447</v>
      </c>
      <c r="B15" s="107">
        <v>892951518.10000002</v>
      </c>
      <c r="C15" s="107">
        <v>387345827.67999995</v>
      </c>
      <c r="D15" s="107">
        <v>166444320.34999999</v>
      </c>
      <c r="E15" s="107">
        <v>7591799.4199999999</v>
      </c>
      <c r="F15" s="104">
        <v>79</v>
      </c>
      <c r="G15" s="104">
        <v>34</v>
      </c>
      <c r="H15" s="104">
        <v>8</v>
      </c>
      <c r="I15" s="104">
        <v>2</v>
      </c>
    </row>
    <row r="16" spans="1:9" x14ac:dyDescent="0.25">
      <c r="A16" t="s">
        <v>1448</v>
      </c>
      <c r="B16" s="107">
        <v>529185088.19999999</v>
      </c>
      <c r="C16" s="107">
        <v>236559345.88000005</v>
      </c>
      <c r="D16" s="107">
        <v>29623159.649999999</v>
      </c>
      <c r="E16" s="107">
        <v>2428380.9700000002</v>
      </c>
      <c r="F16" s="104">
        <v>55</v>
      </c>
      <c r="G16" s="104">
        <v>30</v>
      </c>
      <c r="H16" s="104">
        <v>5</v>
      </c>
      <c r="I16" s="104">
        <v>2</v>
      </c>
    </row>
    <row r="17" spans="1:9" x14ac:dyDescent="0.25">
      <c r="A17" t="s">
        <v>1667</v>
      </c>
      <c r="B17" s="107">
        <v>200949572.57999995</v>
      </c>
      <c r="C17" s="107">
        <v>71052732.789999992</v>
      </c>
      <c r="D17" s="107">
        <v>13628519.77</v>
      </c>
      <c r="E17" s="107">
        <v>622995.24</v>
      </c>
      <c r="F17" s="104">
        <v>32</v>
      </c>
      <c r="G17" s="104">
        <v>9</v>
      </c>
      <c r="H17" s="104">
        <v>2</v>
      </c>
      <c r="I17" s="104">
        <v>1</v>
      </c>
    </row>
    <row r="18" spans="1:9" x14ac:dyDescent="0.25">
      <c r="A18" t="s">
        <v>1925</v>
      </c>
      <c r="B18" s="107">
        <v>643659427.20000017</v>
      </c>
      <c r="C18" s="107">
        <v>291819394.94999993</v>
      </c>
      <c r="D18" s="107">
        <v>49354258.730000004</v>
      </c>
      <c r="E18" s="107">
        <v>2500826.6</v>
      </c>
      <c r="F18" s="104">
        <v>54</v>
      </c>
      <c r="G18" s="104">
        <v>22</v>
      </c>
      <c r="H18" s="104">
        <v>5</v>
      </c>
      <c r="I18" s="104">
        <v>2</v>
      </c>
    </row>
    <row r="19" spans="1:9" x14ac:dyDescent="0.25">
      <c r="A19" t="s">
        <v>1909</v>
      </c>
      <c r="B19" s="107">
        <v>316441784.88999999</v>
      </c>
      <c r="C19" s="107">
        <v>120924914.65000001</v>
      </c>
      <c r="D19" s="107">
        <v>41073427.619999997</v>
      </c>
      <c r="E19" s="107">
        <v>38300691.909999996</v>
      </c>
      <c r="F19" s="104">
        <v>38</v>
      </c>
      <c r="G19" s="104">
        <v>8</v>
      </c>
      <c r="H19" s="104">
        <v>3</v>
      </c>
      <c r="I19" s="104">
        <v>1</v>
      </c>
    </row>
    <row r="20" spans="1:9" x14ac:dyDescent="0.25">
      <c r="A20" t="s">
        <v>2034</v>
      </c>
      <c r="B20" s="107">
        <v>255053825.1399999</v>
      </c>
      <c r="C20" s="107">
        <v>96031092.560000002</v>
      </c>
      <c r="D20" s="107">
        <v>38795573.939999998</v>
      </c>
      <c r="E20" s="107">
        <v>23235984.68</v>
      </c>
      <c r="F20" s="104">
        <v>42</v>
      </c>
      <c r="G20" s="104">
        <v>18</v>
      </c>
      <c r="H20" s="104">
        <v>9</v>
      </c>
      <c r="I20" s="104">
        <v>4</v>
      </c>
    </row>
    <row r="21" spans="1:9" x14ac:dyDescent="0.25">
      <c r="A21" t="s">
        <v>2175</v>
      </c>
      <c r="B21" s="107">
        <v>423072634.89000005</v>
      </c>
      <c r="C21" s="107">
        <v>166072426.91000003</v>
      </c>
      <c r="D21" s="107">
        <v>35393837.07</v>
      </c>
      <c r="E21" s="107">
        <v>7276647.7599999998</v>
      </c>
      <c r="F21" s="104">
        <v>45</v>
      </c>
      <c r="G21" s="104">
        <v>17</v>
      </c>
      <c r="H21" s="104">
        <v>7</v>
      </c>
      <c r="I21" s="104">
        <v>5</v>
      </c>
    </row>
    <row r="22" spans="1:9" x14ac:dyDescent="0.25">
      <c r="A22" t="s">
        <v>2419</v>
      </c>
      <c r="B22" s="107">
        <v>1026841.7</v>
      </c>
      <c r="C22" s="107">
        <v>1026841.7</v>
      </c>
      <c r="D22" s="107">
        <v>1026841.7</v>
      </c>
      <c r="E22" s="107">
        <v>1026841.7</v>
      </c>
      <c r="F22" s="104">
        <v>1</v>
      </c>
      <c r="G22" s="104">
        <v>1</v>
      </c>
      <c r="H22" s="104">
        <v>1</v>
      </c>
      <c r="I22" s="104">
        <v>1</v>
      </c>
    </row>
    <row r="23" spans="1:9" x14ac:dyDescent="0.25">
      <c r="A23" t="s">
        <v>2494</v>
      </c>
      <c r="B23" s="107">
        <v>239728219.64999998</v>
      </c>
      <c r="C23" s="107">
        <v>125829927.23</v>
      </c>
      <c r="D23" s="107">
        <v>8622247.7400000002</v>
      </c>
      <c r="E23" s="107">
        <v>5406767.9400000004</v>
      </c>
      <c r="F23" s="104">
        <v>37</v>
      </c>
      <c r="G23" s="104">
        <v>19</v>
      </c>
      <c r="H23" s="104">
        <v>3</v>
      </c>
      <c r="I23" s="104">
        <v>2</v>
      </c>
    </row>
    <row r="24" spans="1:9" x14ac:dyDescent="0.25">
      <c r="A24" t="s">
        <v>2538</v>
      </c>
      <c r="B24" s="107">
        <v>430612364.48999965</v>
      </c>
      <c r="C24" s="107">
        <v>104030040.67999999</v>
      </c>
      <c r="D24" s="107">
        <v>41891032.920000002</v>
      </c>
      <c r="E24" s="107">
        <v>19992521.800000001</v>
      </c>
      <c r="F24" s="104">
        <v>57</v>
      </c>
      <c r="G24" s="104">
        <v>25</v>
      </c>
      <c r="H24" s="104">
        <v>11</v>
      </c>
      <c r="I24" s="104">
        <v>5</v>
      </c>
    </row>
    <row r="25" spans="1:9" x14ac:dyDescent="0.25">
      <c r="A25" t="s">
        <v>2557</v>
      </c>
      <c r="B25" s="107">
        <v>250091294.17000005</v>
      </c>
      <c r="C25" s="107">
        <v>49712828.609999999</v>
      </c>
      <c r="D25" s="107">
        <v>5298863.2699999996</v>
      </c>
      <c r="E25" s="107">
        <v>0</v>
      </c>
      <c r="F25" s="104">
        <v>32</v>
      </c>
      <c r="G25" s="104">
        <v>7</v>
      </c>
      <c r="H25" s="104">
        <v>3</v>
      </c>
      <c r="I25" s="104">
        <v>0</v>
      </c>
    </row>
    <row r="26" spans="1:9" x14ac:dyDescent="0.25">
      <c r="A26" t="s">
        <v>2855</v>
      </c>
      <c r="B26" s="107">
        <v>600511317.5999999</v>
      </c>
      <c r="C26" s="107">
        <v>273368220.68000001</v>
      </c>
      <c r="D26" s="107">
        <v>20454994.979999997</v>
      </c>
      <c r="E26" s="107">
        <v>10333377.51</v>
      </c>
      <c r="F26" s="104">
        <v>50</v>
      </c>
      <c r="G26" s="104">
        <v>22</v>
      </c>
      <c r="H26" s="104">
        <v>4</v>
      </c>
      <c r="I26" s="104">
        <v>2</v>
      </c>
    </row>
    <row r="27" spans="1:9" x14ac:dyDescent="0.25">
      <c r="A27" t="s">
        <v>2861</v>
      </c>
      <c r="B27" s="107">
        <v>454602484.25999999</v>
      </c>
      <c r="C27" s="107">
        <v>129086998.56</v>
      </c>
      <c r="D27" s="107">
        <v>72719927.870000005</v>
      </c>
      <c r="E27" s="107">
        <v>19887807.82</v>
      </c>
      <c r="F27" s="104">
        <v>52</v>
      </c>
      <c r="G27" s="104">
        <v>17</v>
      </c>
      <c r="H27" s="104">
        <v>11</v>
      </c>
      <c r="I27" s="104">
        <v>2</v>
      </c>
    </row>
    <row r="28" spans="1:9" x14ac:dyDescent="0.25">
      <c r="A28" t="s">
        <v>3074</v>
      </c>
      <c r="B28" s="107">
        <v>117634329.41000003</v>
      </c>
      <c r="C28" s="107">
        <v>53954061.609999999</v>
      </c>
      <c r="D28" s="107">
        <v>16647914.049999999</v>
      </c>
      <c r="E28" s="107">
        <v>10362625.59</v>
      </c>
      <c r="F28" s="104">
        <v>31</v>
      </c>
      <c r="G28" s="104">
        <v>16</v>
      </c>
      <c r="H28" s="104">
        <v>8</v>
      </c>
      <c r="I28" s="104">
        <v>5</v>
      </c>
    </row>
    <row r="29" spans="1:9" x14ac:dyDescent="0.25">
      <c r="A29" t="s">
        <v>4683</v>
      </c>
      <c r="B29" s="107">
        <v>99532654.689999998</v>
      </c>
      <c r="C29" s="107">
        <v>8330261.0700000003</v>
      </c>
      <c r="D29" s="107">
        <v>1551997.65</v>
      </c>
      <c r="E29" s="107">
        <v>0</v>
      </c>
      <c r="F29" s="104">
        <v>16</v>
      </c>
      <c r="G29" s="104">
        <v>4</v>
      </c>
      <c r="H29" s="104">
        <v>1</v>
      </c>
      <c r="I29" s="104">
        <v>0</v>
      </c>
    </row>
    <row r="30" spans="1:9" x14ac:dyDescent="0.25">
      <c r="A30" t="s">
        <v>4684</v>
      </c>
      <c r="B30" s="107">
        <v>355320352.86000001</v>
      </c>
      <c r="C30" s="107">
        <v>174526976.84999999</v>
      </c>
      <c r="D30" s="107">
        <v>851743.54</v>
      </c>
      <c r="E30" s="107">
        <v>0</v>
      </c>
      <c r="F30" s="104">
        <v>32</v>
      </c>
      <c r="G30" s="104">
        <v>13</v>
      </c>
      <c r="H30" s="104">
        <v>1</v>
      </c>
      <c r="I30" s="104">
        <v>0</v>
      </c>
    </row>
    <row r="31" spans="1:9" x14ac:dyDescent="0.25">
      <c r="A31" t="s">
        <v>4685</v>
      </c>
      <c r="B31" s="107">
        <v>33967997.820000008</v>
      </c>
      <c r="C31" s="107">
        <v>3210991.8</v>
      </c>
      <c r="D31" s="107">
        <v>1906529.37</v>
      </c>
      <c r="E31" s="107">
        <v>0</v>
      </c>
      <c r="F31" s="104">
        <v>8</v>
      </c>
      <c r="G31" s="104">
        <v>2</v>
      </c>
      <c r="H31" s="104">
        <v>1</v>
      </c>
      <c r="I31" s="104">
        <v>0</v>
      </c>
    </row>
    <row r="32" spans="1:9" x14ac:dyDescent="0.25">
      <c r="A32" t="s">
        <v>4919</v>
      </c>
      <c r="B32" s="107">
        <v>43122545.950000003</v>
      </c>
      <c r="C32" s="107">
        <v>20472025.91</v>
      </c>
      <c r="D32" s="107">
        <v>0</v>
      </c>
      <c r="E32" s="107">
        <v>0</v>
      </c>
      <c r="F32" s="104">
        <v>13</v>
      </c>
      <c r="G32" s="104">
        <v>2</v>
      </c>
      <c r="H32" s="104">
        <v>0</v>
      </c>
      <c r="I32" s="104">
        <v>0</v>
      </c>
    </row>
    <row r="33" spans="1:9" x14ac:dyDescent="0.25">
      <c r="A33" t="s">
        <v>4686</v>
      </c>
      <c r="B33" s="107">
        <v>77678449.719999999</v>
      </c>
      <c r="C33" s="107">
        <v>8530362.4100000001</v>
      </c>
      <c r="D33" s="107">
        <v>0</v>
      </c>
      <c r="E33" s="107">
        <v>0</v>
      </c>
      <c r="F33" s="104">
        <v>18</v>
      </c>
      <c r="G33" s="104">
        <v>3</v>
      </c>
      <c r="H33" s="104">
        <v>0</v>
      </c>
      <c r="I33" s="104">
        <v>0</v>
      </c>
    </row>
    <row r="34" spans="1:9" x14ac:dyDescent="0.25">
      <c r="A34" t="s">
        <v>4844</v>
      </c>
      <c r="B34" s="107">
        <v>28858136.609999996</v>
      </c>
      <c r="C34" s="107">
        <v>5534898.3200000003</v>
      </c>
      <c r="D34" s="107">
        <v>0</v>
      </c>
      <c r="E34" s="107">
        <v>0</v>
      </c>
      <c r="F34" s="104">
        <v>7</v>
      </c>
      <c r="G34" s="104">
        <v>3</v>
      </c>
      <c r="H34" s="104">
        <v>0</v>
      </c>
      <c r="I34" s="104">
        <v>0</v>
      </c>
    </row>
    <row r="35" spans="1:9" x14ac:dyDescent="0.25">
      <c r="A35" t="s">
        <v>5047</v>
      </c>
      <c r="B35" s="107">
        <v>22870432.119999997</v>
      </c>
      <c r="C35" s="107">
        <v>8622398.8900000006</v>
      </c>
      <c r="D35" s="107">
        <v>0</v>
      </c>
      <c r="E35" s="107">
        <v>0</v>
      </c>
      <c r="F35" s="104">
        <v>7</v>
      </c>
      <c r="G35" s="104">
        <v>2</v>
      </c>
      <c r="H35" s="104">
        <v>0</v>
      </c>
      <c r="I35" s="104">
        <v>0</v>
      </c>
    </row>
    <row r="36" spans="1:9" x14ac:dyDescent="0.25">
      <c r="A36" t="s">
        <v>5124</v>
      </c>
      <c r="B36" s="107">
        <v>79369980.579999998</v>
      </c>
      <c r="C36" s="107">
        <v>5529745.4399999995</v>
      </c>
      <c r="D36" s="107">
        <v>0</v>
      </c>
      <c r="E36" s="107">
        <v>0</v>
      </c>
      <c r="F36" s="104">
        <v>18</v>
      </c>
      <c r="G36" s="104">
        <v>4</v>
      </c>
      <c r="H36" s="104">
        <v>0</v>
      </c>
      <c r="I36" s="104">
        <v>0</v>
      </c>
    </row>
    <row r="37" spans="1:9" x14ac:dyDescent="0.25">
      <c r="A37" t="s">
        <v>5167</v>
      </c>
      <c r="B37" s="107">
        <v>391351832.3900001</v>
      </c>
      <c r="C37" s="107">
        <v>169114770.28999996</v>
      </c>
      <c r="D37" s="107">
        <v>49951285.649999999</v>
      </c>
      <c r="E37" s="107">
        <v>0</v>
      </c>
      <c r="F37" s="104">
        <v>31</v>
      </c>
      <c r="G37" s="104">
        <v>14</v>
      </c>
      <c r="H37" s="104">
        <v>3</v>
      </c>
      <c r="I37" s="104">
        <v>0</v>
      </c>
    </row>
    <row r="38" spans="1:9" x14ac:dyDescent="0.25">
      <c r="A38" t="s">
        <v>5335</v>
      </c>
      <c r="B38" s="107">
        <v>23603396.260000002</v>
      </c>
      <c r="C38" s="107">
        <v>0</v>
      </c>
      <c r="D38" s="107">
        <v>0</v>
      </c>
      <c r="E38" s="107">
        <v>0</v>
      </c>
      <c r="F38" s="104">
        <v>3</v>
      </c>
      <c r="G38" s="104">
        <v>0</v>
      </c>
      <c r="H38" s="104">
        <v>0</v>
      </c>
      <c r="I38" s="104">
        <v>0</v>
      </c>
    </row>
    <row r="39" spans="1:9" x14ac:dyDescent="0.25">
      <c r="A39" t="s">
        <v>5352</v>
      </c>
      <c r="B39" s="107">
        <v>31379515.800000001</v>
      </c>
      <c r="C39" s="107">
        <v>0</v>
      </c>
      <c r="D39" s="107">
        <v>0</v>
      </c>
      <c r="E39" s="107">
        <v>0</v>
      </c>
      <c r="F39" s="104">
        <v>8</v>
      </c>
      <c r="G39" s="104">
        <v>0</v>
      </c>
      <c r="H39" s="104">
        <v>0</v>
      </c>
      <c r="I39" s="104">
        <v>0</v>
      </c>
    </row>
    <row r="40" spans="1:9" x14ac:dyDescent="0.25">
      <c r="A40" t="s">
        <v>5410</v>
      </c>
      <c r="B40" s="107">
        <v>36291405.119999997</v>
      </c>
      <c r="C40" s="107">
        <v>0</v>
      </c>
      <c r="D40" s="107">
        <v>0</v>
      </c>
      <c r="E40" s="107">
        <v>0</v>
      </c>
      <c r="F40" s="104">
        <v>4</v>
      </c>
      <c r="G40" s="104">
        <v>0</v>
      </c>
      <c r="H40" s="104">
        <v>0</v>
      </c>
      <c r="I40" s="104">
        <v>0</v>
      </c>
    </row>
    <row r="41" spans="1:9" x14ac:dyDescent="0.25">
      <c r="A41" t="s">
        <v>5491</v>
      </c>
      <c r="B41" s="107">
        <v>10553962.350000001</v>
      </c>
      <c r="C41" s="107">
        <v>0</v>
      </c>
      <c r="D41" s="107">
        <v>0</v>
      </c>
      <c r="E41" s="107">
        <v>0</v>
      </c>
      <c r="F41" s="104">
        <v>3</v>
      </c>
      <c r="G41" s="104">
        <v>0</v>
      </c>
      <c r="H41" s="104">
        <v>0</v>
      </c>
      <c r="I41" s="104">
        <v>0</v>
      </c>
    </row>
    <row r="42" spans="1:9" x14ac:dyDescent="0.25">
      <c r="A42" t="s">
        <v>5386</v>
      </c>
      <c r="B42" s="107">
        <v>14206336.109999999</v>
      </c>
      <c r="C42" s="107">
        <v>4999790.24</v>
      </c>
      <c r="D42" s="107">
        <v>0</v>
      </c>
      <c r="E42" s="107">
        <v>0</v>
      </c>
      <c r="F42" s="104">
        <v>3</v>
      </c>
      <c r="G42" s="104">
        <v>1</v>
      </c>
      <c r="H42" s="104">
        <v>0</v>
      </c>
      <c r="I42" s="104">
        <v>0</v>
      </c>
    </row>
    <row r="43" spans="1:9" x14ac:dyDescent="0.25">
      <c r="A43" t="s">
        <v>5385</v>
      </c>
      <c r="B43" s="107">
        <v>33483017.32</v>
      </c>
      <c r="C43" s="107">
        <v>11589776.84</v>
      </c>
      <c r="D43" s="107">
        <v>0</v>
      </c>
      <c r="E43" s="107">
        <v>0</v>
      </c>
      <c r="F43" s="104">
        <v>9</v>
      </c>
      <c r="G43" s="104">
        <v>2</v>
      </c>
      <c r="H43" s="104">
        <v>0</v>
      </c>
      <c r="I43" s="104">
        <v>0</v>
      </c>
    </row>
    <row r="44" spans="1:9" x14ac:dyDescent="0.25">
      <c r="A44" t="s">
        <v>5382</v>
      </c>
      <c r="B44" s="107">
        <v>63828061.129999995</v>
      </c>
      <c r="C44" s="107">
        <v>12685999.300000001</v>
      </c>
      <c r="D44" s="107">
        <v>0</v>
      </c>
      <c r="E44" s="107">
        <v>0</v>
      </c>
      <c r="F44" s="104">
        <v>5</v>
      </c>
      <c r="G44" s="104">
        <v>1</v>
      </c>
      <c r="H44" s="104">
        <v>0</v>
      </c>
      <c r="I44" s="104">
        <v>0</v>
      </c>
    </row>
    <row r="45" spans="1:9" x14ac:dyDescent="0.25">
      <c r="A45" t="s">
        <v>5384</v>
      </c>
      <c r="B45" s="107">
        <v>16111734.050000001</v>
      </c>
      <c r="C45" s="107">
        <v>0</v>
      </c>
      <c r="D45" s="107">
        <v>0</v>
      </c>
      <c r="E45" s="107">
        <v>0</v>
      </c>
      <c r="F45" s="104">
        <v>4</v>
      </c>
      <c r="G45" s="104">
        <v>0</v>
      </c>
      <c r="H45" s="104">
        <v>0</v>
      </c>
      <c r="I45" s="104">
        <v>0</v>
      </c>
    </row>
    <row r="46" spans="1:9" x14ac:dyDescent="0.25">
      <c r="A46" t="s">
        <v>5724</v>
      </c>
      <c r="B46" s="107">
        <v>320294864.88000005</v>
      </c>
      <c r="C46" s="107">
        <v>304445159.66000003</v>
      </c>
      <c r="D46" s="107">
        <v>304445159.66000003</v>
      </c>
      <c r="E46" s="107">
        <v>174072975.39000002</v>
      </c>
      <c r="F46" s="104">
        <v>16</v>
      </c>
      <c r="G46" s="104">
        <v>15</v>
      </c>
      <c r="H46" s="104">
        <v>15</v>
      </c>
      <c r="I46" s="104">
        <v>8</v>
      </c>
    </row>
    <row r="47" spans="1:9" x14ac:dyDescent="0.25">
      <c r="A47" t="s">
        <v>5725</v>
      </c>
      <c r="B47" s="107">
        <v>701285492.84999979</v>
      </c>
      <c r="C47" s="107">
        <v>686142650.31999969</v>
      </c>
      <c r="D47" s="107">
        <v>538782380.67000008</v>
      </c>
      <c r="E47" s="107">
        <v>218095179.54999998</v>
      </c>
      <c r="F47" s="104">
        <v>42</v>
      </c>
      <c r="G47" s="104">
        <v>40</v>
      </c>
      <c r="H47" s="104">
        <v>34</v>
      </c>
      <c r="I47" s="104">
        <v>19</v>
      </c>
    </row>
    <row r="48" spans="1:9" x14ac:dyDescent="0.25">
      <c r="A48" t="s">
        <v>5726</v>
      </c>
      <c r="B48" s="107">
        <v>130259908.71000001</v>
      </c>
      <c r="C48" s="107">
        <v>130259908.71000001</v>
      </c>
      <c r="D48" s="107">
        <v>125633163.75</v>
      </c>
      <c r="E48" s="107">
        <v>76153281.560000002</v>
      </c>
      <c r="F48" s="104">
        <v>10</v>
      </c>
      <c r="G48" s="104">
        <v>10</v>
      </c>
      <c r="H48" s="104">
        <v>9</v>
      </c>
      <c r="I48" s="104">
        <v>5</v>
      </c>
    </row>
    <row r="49" spans="1:9" x14ac:dyDescent="0.25">
      <c r="A49" t="s">
        <v>321</v>
      </c>
      <c r="B49" s="107">
        <v>16565955388.190046</v>
      </c>
      <c r="C49" s="107">
        <v>7375718562.239995</v>
      </c>
      <c r="D49" s="107">
        <v>2414924073.5</v>
      </c>
      <c r="E49" s="107">
        <v>814021126.86000001</v>
      </c>
      <c r="F49" s="104">
        <v>1451</v>
      </c>
      <c r="G49" s="104">
        <v>626</v>
      </c>
      <c r="H49" s="104">
        <v>234</v>
      </c>
      <c r="I49" s="104">
        <v>90</v>
      </c>
    </row>
    <row r="50" spans="1:9" x14ac:dyDescent="0.25">
      <c r="B50"/>
    </row>
    <row r="51" spans="1:9" x14ac:dyDescent="0.25">
      <c r="B51"/>
    </row>
    <row r="52" spans="1:9" x14ac:dyDescent="0.25">
      <c r="B52"/>
    </row>
    <row r="53" spans="1:9" x14ac:dyDescent="0.25">
      <c r="B53"/>
    </row>
    <row r="54" spans="1:9" x14ac:dyDescent="0.25">
      <c r="B54"/>
    </row>
    <row r="55" spans="1:9" x14ac:dyDescent="0.25">
      <c r="B55"/>
    </row>
  </sheetData>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AB1492"/>
  <sheetViews>
    <sheetView topLeftCell="P1" workbookViewId="0">
      <selection activeCell="U4" sqref="U4"/>
    </sheetView>
  </sheetViews>
  <sheetFormatPr defaultRowHeight="13.2" x14ac:dyDescent="0.25"/>
  <cols>
    <col min="1" max="1" width="11.6640625" bestFit="1" customWidth="1"/>
    <col min="2" max="2" width="12" bestFit="1" customWidth="1"/>
    <col min="3" max="3" width="68.5546875" bestFit="1" customWidth="1"/>
    <col min="4" max="4" width="35.6640625" bestFit="1" customWidth="1"/>
    <col min="5" max="5" width="17.109375" bestFit="1" customWidth="1"/>
    <col min="6" max="6" width="16" bestFit="1" customWidth="1"/>
    <col min="7" max="7" width="22.44140625" bestFit="1" customWidth="1"/>
    <col min="8" max="8" width="20.6640625" bestFit="1" customWidth="1"/>
    <col min="9" max="9" width="19.44140625" bestFit="1" customWidth="1"/>
    <col min="10" max="10" width="26.5546875" bestFit="1" customWidth="1"/>
    <col min="11" max="11" width="16.33203125" bestFit="1" customWidth="1"/>
    <col min="12" max="12" width="11" bestFit="1" customWidth="1"/>
    <col min="13" max="13" width="14.88671875" bestFit="1" customWidth="1"/>
    <col min="14" max="14" width="19.109375" bestFit="1" customWidth="1"/>
    <col min="15" max="15" width="17.33203125" bestFit="1" customWidth="1"/>
    <col min="16" max="19" width="13.6640625" bestFit="1" customWidth="1"/>
    <col min="20" max="20" width="17.33203125" bestFit="1" customWidth="1"/>
    <col min="21" max="21" width="14.6640625" bestFit="1" customWidth="1"/>
    <col min="22" max="25" width="14" style="105" bestFit="1" customWidth="1"/>
    <col min="26" max="26" width="37.44140625" bestFit="1" customWidth="1"/>
    <col min="27" max="27" width="37" bestFit="1" customWidth="1"/>
    <col min="28" max="28" width="46.44140625" bestFit="1" customWidth="1"/>
  </cols>
  <sheetData>
    <row r="1" spans="1:28" x14ac:dyDescent="0.25">
      <c r="A1" t="s">
        <v>49</v>
      </c>
      <c r="B1" t="s">
        <v>50</v>
      </c>
      <c r="C1" t="s">
        <v>51</v>
      </c>
      <c r="D1" t="s">
        <v>52</v>
      </c>
      <c r="E1" t="s">
        <v>54</v>
      </c>
      <c r="F1" t="s">
        <v>1342</v>
      </c>
      <c r="G1" t="s">
        <v>55</v>
      </c>
      <c r="H1" t="s">
        <v>1343</v>
      </c>
      <c r="I1" t="s">
        <v>56</v>
      </c>
      <c r="J1" t="s">
        <v>1344</v>
      </c>
      <c r="K1" t="s">
        <v>1345</v>
      </c>
      <c r="L1" t="s">
        <v>57</v>
      </c>
      <c r="M1" t="s">
        <v>53</v>
      </c>
      <c r="N1" t="s">
        <v>58</v>
      </c>
      <c r="O1" t="s">
        <v>59</v>
      </c>
      <c r="P1" t="s">
        <v>60</v>
      </c>
      <c r="Q1" t="s">
        <v>61</v>
      </c>
      <c r="R1" t="s">
        <v>62</v>
      </c>
      <c r="S1" t="s">
        <v>1346</v>
      </c>
      <c r="T1" t="s">
        <v>1347</v>
      </c>
      <c r="U1" s="47" t="s">
        <v>1348</v>
      </c>
      <c r="V1" s="106" t="s">
        <v>1349</v>
      </c>
      <c r="W1" s="106" t="s">
        <v>1350</v>
      </c>
      <c r="X1" s="106" t="s">
        <v>1352</v>
      </c>
      <c r="Y1" s="106" t="s">
        <v>1351</v>
      </c>
      <c r="Z1" s="47" t="s">
        <v>21</v>
      </c>
      <c r="AA1" s="47" t="s">
        <v>1353</v>
      </c>
      <c r="AB1" s="47" t="s">
        <v>1354</v>
      </c>
    </row>
    <row r="2" spans="1:28" x14ac:dyDescent="0.25">
      <c r="A2">
        <v>100993</v>
      </c>
      <c r="B2" t="s">
        <v>581</v>
      </c>
      <c r="C2" t="s">
        <v>582</v>
      </c>
      <c r="D2" t="s">
        <v>1284</v>
      </c>
      <c r="E2">
        <v>0</v>
      </c>
      <c r="F2">
        <v>30000000</v>
      </c>
      <c r="G2">
        <v>1335386.1599999999</v>
      </c>
      <c r="H2">
        <v>1375447.92</v>
      </c>
      <c r="I2" t="s">
        <v>1467</v>
      </c>
      <c r="J2">
        <v>1197711.24</v>
      </c>
      <c r="K2">
        <v>0</v>
      </c>
      <c r="L2">
        <v>38726.199999999997</v>
      </c>
      <c r="M2">
        <v>1375447.74</v>
      </c>
      <c r="N2" s="143">
        <v>41942.493048842596</v>
      </c>
      <c r="O2" s="143">
        <v>43040</v>
      </c>
      <c r="P2" t="s">
        <v>583</v>
      </c>
      <c r="Q2" t="s">
        <v>1280</v>
      </c>
      <c r="R2" t="s">
        <v>1280</v>
      </c>
      <c r="S2" t="s">
        <v>1510</v>
      </c>
      <c r="T2">
        <v>36</v>
      </c>
      <c r="U2">
        <f>IF(Table__192.168.1.150_M_CONSOLIDATED_Delinquency_Compulsory_EOM[[#This Row],[Days in Arrears]] &lt; 8, Table__192.168.1.150_M_CONSOLIDATED_Delinquency_Compulsory_EOM[[#This Row],[Outstanding Balance]], 0 )</f>
        <v>1335386.1599999999</v>
      </c>
      <c r="V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 s="106" t="e">
        <f>VLOOKUP(Table__192.168.1.150_M_CONSOLIDATED_Delinquency_Compulsory_EOM[[#This Row],[Client No]],'Global Portfolio'!$B$2:$N$2500,10,FALSE)</f>
        <v>#N/A</v>
      </c>
      <c r="AA2" s="106" t="e">
        <f>VLOOKUP(Table__192.168.1.150_M_CONSOLIDATED_Delinquency_Compulsory_EOM[[#This Row],[Client No]],'Global Portfolio'!$B$2:$N$2500,11,FALSE)</f>
        <v>#N/A</v>
      </c>
      <c r="AB2" s="106" t="e">
        <f>VLOOKUP(Table__192.168.1.150_M_CONSOLIDATED_Delinquency_Compulsory_EOM[[#This Row],[Client No]],'Global Portfolio'!$B$2:$N$2500,12,FALSE)</f>
        <v>#N/A</v>
      </c>
    </row>
    <row r="3" spans="1:28" x14ac:dyDescent="0.25">
      <c r="A3">
        <v>101042</v>
      </c>
      <c r="B3" t="s">
        <v>326</v>
      </c>
      <c r="C3" t="s">
        <v>333</v>
      </c>
      <c r="D3" t="s">
        <v>1282</v>
      </c>
      <c r="E3">
        <v>17</v>
      </c>
      <c r="F3">
        <v>15000000</v>
      </c>
      <c r="G3">
        <v>1496244.82</v>
      </c>
      <c r="H3">
        <v>793303.17</v>
      </c>
      <c r="I3" t="s">
        <v>5724</v>
      </c>
      <c r="J3">
        <v>0</v>
      </c>
      <c r="K3">
        <v>0</v>
      </c>
      <c r="L3">
        <v>76122.67</v>
      </c>
      <c r="M3">
        <v>1586606.27</v>
      </c>
      <c r="N3" s="143">
        <v>41957.638357060183</v>
      </c>
      <c r="O3" s="143">
        <v>43053</v>
      </c>
      <c r="P3" t="s">
        <v>334</v>
      </c>
      <c r="Q3" t="s">
        <v>1280</v>
      </c>
      <c r="R3" t="s">
        <v>1280</v>
      </c>
      <c r="S3" t="s">
        <v>1510</v>
      </c>
      <c r="T3">
        <v>48</v>
      </c>
      <c r="U3">
        <f>IF(Table__192.168.1.150_M_CONSOLIDATED_Delinquency_Compulsory_EOM[[#This Row],[Days in Arrears]] &lt; 8, Table__192.168.1.150_M_CONSOLIDATED_Delinquency_Compulsory_EOM[[#This Row],[Outstanding Balance]], 0 )</f>
        <v>0</v>
      </c>
      <c r="V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1496244.82</v>
      </c>
      <c r="W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 s="105" t="str">
        <f>VLOOKUP(Table__192.168.1.150_M_CONSOLIDATED_Delinquency_Compulsory_EOM[[#This Row],[Client No]],'Global Portfolio'!$B$2:$N$2500,10,FALSE)</f>
        <v>Agriculture, Forestry, Fishing and Hunting</v>
      </c>
      <c r="AA3" s="105" t="str">
        <f>VLOOKUP(Table__192.168.1.150_M_CONSOLIDATED_Delinquency_Compulsory_EOM[[#This Row],[Client No]],'Global Portfolio'!$B$2:$N$2500,11,FALSE)</f>
        <v>Animal Production</v>
      </c>
      <c r="AB3" s="105" t="str">
        <f>VLOOKUP(Table__192.168.1.150_M_CONSOLIDATED_Delinquency_Compulsory_EOM[[#This Row],[Client No]],'Global Portfolio'!$B$2:$N$2500,12,FALSE)</f>
        <v>Poultry &amp; Egg Production</v>
      </c>
    </row>
    <row r="4" spans="1:28" x14ac:dyDescent="0.25">
      <c r="A4">
        <v>101068</v>
      </c>
      <c r="B4" t="s">
        <v>602</v>
      </c>
      <c r="C4" t="s">
        <v>603</v>
      </c>
      <c r="D4" t="s">
        <v>1284</v>
      </c>
      <c r="E4">
        <v>-1</v>
      </c>
      <c r="F4">
        <v>40000000</v>
      </c>
      <c r="G4">
        <v>3522785.08</v>
      </c>
      <c r="H4">
        <v>1841045.71</v>
      </c>
      <c r="I4" t="s">
        <v>491</v>
      </c>
      <c r="J4">
        <v>95908.58</v>
      </c>
      <c r="K4">
        <v>0</v>
      </c>
      <c r="L4">
        <v>98637.98</v>
      </c>
      <c r="M4">
        <v>3682091.32</v>
      </c>
      <c r="N4" s="143">
        <v>41970.484529710651</v>
      </c>
      <c r="O4" s="143">
        <v>43071</v>
      </c>
      <c r="P4" t="s">
        <v>604</v>
      </c>
      <c r="Q4" t="s">
        <v>605</v>
      </c>
      <c r="R4" t="s">
        <v>1280</v>
      </c>
      <c r="S4" t="s">
        <v>1510</v>
      </c>
      <c r="T4">
        <v>36</v>
      </c>
      <c r="U4">
        <f>IF(Table__192.168.1.150_M_CONSOLIDATED_Delinquency_Compulsory_EOM[[#This Row],[Days in Arrears]] &lt; 8, Table__192.168.1.150_M_CONSOLIDATED_Delinquency_Compulsory_EOM[[#This Row],[Outstanding Balance]], 0 )</f>
        <v>3522785.08</v>
      </c>
      <c r="V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 s="105" t="str">
        <f>VLOOKUP(Table__192.168.1.150_M_CONSOLIDATED_Delinquency_Compulsory_EOM[[#This Row],[Client No]],'Global Portfolio'!$B$2:$N$2500,10,FALSE)</f>
        <v>Real Estate and Rental</v>
      </c>
      <c r="AA4" s="105" t="str">
        <f>VLOOKUP(Table__192.168.1.150_M_CONSOLIDATED_Delinquency_Compulsory_EOM[[#This Row],[Client No]],'Global Portfolio'!$B$2:$N$2500,11,FALSE)</f>
        <v>Rental</v>
      </c>
      <c r="AB4" s="105" t="str">
        <f>VLOOKUP(Table__192.168.1.150_M_CONSOLIDATED_Delinquency_Compulsory_EOM[[#This Row],[Client No]],'Global Portfolio'!$B$2:$N$2500,12,FALSE)</f>
        <v>Others</v>
      </c>
    </row>
    <row r="5" spans="1:28" x14ac:dyDescent="0.25">
      <c r="A5">
        <v>101114</v>
      </c>
      <c r="B5" t="s">
        <v>595</v>
      </c>
      <c r="C5" t="s">
        <v>596</v>
      </c>
      <c r="D5" t="s">
        <v>1284</v>
      </c>
      <c r="E5">
        <v>-17</v>
      </c>
      <c r="F5">
        <v>30000000</v>
      </c>
      <c r="G5">
        <v>2636983.2999999998</v>
      </c>
      <c r="H5">
        <v>1378116.1</v>
      </c>
      <c r="I5" t="s">
        <v>546</v>
      </c>
      <c r="J5">
        <v>0</v>
      </c>
      <c r="K5">
        <v>0</v>
      </c>
      <c r="L5">
        <v>31643.8</v>
      </c>
      <c r="M5">
        <v>2756232.1</v>
      </c>
      <c r="N5" s="143">
        <v>41988.481454317131</v>
      </c>
      <c r="O5" s="143">
        <v>43087</v>
      </c>
      <c r="P5" t="s">
        <v>597</v>
      </c>
      <c r="Q5" t="s">
        <v>1280</v>
      </c>
      <c r="R5" t="s">
        <v>1280</v>
      </c>
      <c r="S5" t="s">
        <v>1510</v>
      </c>
      <c r="T5">
        <v>36</v>
      </c>
      <c r="U5">
        <f>IF(Table__192.168.1.150_M_CONSOLIDATED_Delinquency_Compulsory_EOM[[#This Row],[Days in Arrears]] &lt; 8, Table__192.168.1.150_M_CONSOLIDATED_Delinquency_Compulsory_EOM[[#This Row],[Outstanding Balance]], 0 )</f>
        <v>2636983.2999999998</v>
      </c>
      <c r="V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 s="105" t="str">
        <f>VLOOKUP(Table__192.168.1.150_M_CONSOLIDATED_Delinquency_Compulsory_EOM[[#This Row],[Client No]],'Global Portfolio'!$B$2:$N$2500,10,FALSE)</f>
        <v>Real Estate and Rental</v>
      </c>
      <c r="AA5" s="105" t="str">
        <f>VLOOKUP(Table__192.168.1.150_M_CONSOLIDATED_Delinquency_Compulsory_EOM[[#This Row],[Client No]],'Global Portfolio'!$B$2:$N$2500,11,FALSE)</f>
        <v>Rental</v>
      </c>
      <c r="AB5" s="105" t="str">
        <f>VLOOKUP(Table__192.168.1.150_M_CONSOLIDATED_Delinquency_Compulsory_EOM[[#This Row],[Client No]],'Global Portfolio'!$B$2:$N$2500,12,FALSE)</f>
        <v>Others</v>
      </c>
    </row>
    <row r="6" spans="1:28" x14ac:dyDescent="0.25">
      <c r="A6">
        <v>101181</v>
      </c>
      <c r="B6" t="s">
        <v>120</v>
      </c>
      <c r="C6" t="s">
        <v>279</v>
      </c>
      <c r="D6" t="s">
        <v>1284</v>
      </c>
      <c r="E6">
        <v>46</v>
      </c>
      <c r="F6">
        <v>40000000</v>
      </c>
      <c r="G6">
        <v>8496621.0800000001</v>
      </c>
      <c r="H6">
        <v>1855276.01</v>
      </c>
      <c r="I6" t="s">
        <v>1039</v>
      </c>
      <c r="J6">
        <v>0</v>
      </c>
      <c r="K6">
        <v>0</v>
      </c>
      <c r="L6">
        <v>461785.93</v>
      </c>
      <c r="M6">
        <v>9276380.2799999993</v>
      </c>
      <c r="N6" s="143">
        <v>42006.451877627318</v>
      </c>
      <c r="O6" s="143">
        <v>43115</v>
      </c>
      <c r="P6" t="s">
        <v>280</v>
      </c>
      <c r="Q6" t="s">
        <v>281</v>
      </c>
      <c r="R6" t="s">
        <v>1280</v>
      </c>
      <c r="S6" t="s">
        <v>1510</v>
      </c>
      <c r="T6">
        <v>36</v>
      </c>
      <c r="U6">
        <f>IF(Table__192.168.1.150_M_CONSOLIDATED_Delinquency_Compulsory_EOM[[#This Row],[Days in Arrears]] &lt; 8, Table__192.168.1.150_M_CONSOLIDATED_Delinquency_Compulsory_EOM[[#This Row],[Outstanding Balance]], 0 )</f>
        <v>0</v>
      </c>
      <c r="V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8496621.0800000001</v>
      </c>
      <c r="X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 s="105" t="str">
        <f>VLOOKUP(Table__192.168.1.150_M_CONSOLIDATED_Delinquency_Compulsory_EOM[[#This Row],[Client No]],'Global Portfolio'!$B$2:$N$2500,10,FALSE)</f>
        <v>Real Estate and Rental</v>
      </c>
      <c r="AA6" s="105" t="str">
        <f>VLOOKUP(Table__192.168.1.150_M_CONSOLIDATED_Delinquency_Compulsory_EOM[[#This Row],[Client No]],'Global Portfolio'!$B$2:$N$2500,11,FALSE)</f>
        <v>Real Estate</v>
      </c>
      <c r="AB6" s="105" t="str">
        <f>VLOOKUP(Table__192.168.1.150_M_CONSOLIDATED_Delinquency_Compulsory_EOM[[#This Row],[Client No]],'Global Portfolio'!$B$2:$N$2500,12,FALSE)</f>
        <v>Others</v>
      </c>
    </row>
    <row r="7" spans="1:28" x14ac:dyDescent="0.25">
      <c r="A7">
        <v>101304</v>
      </c>
      <c r="B7" t="s">
        <v>744</v>
      </c>
      <c r="C7" t="s">
        <v>745</v>
      </c>
      <c r="D7" t="s">
        <v>1283</v>
      </c>
      <c r="E7">
        <v>0</v>
      </c>
      <c r="F7">
        <v>45000000</v>
      </c>
      <c r="G7">
        <v>9503711.0600000005</v>
      </c>
      <c r="H7">
        <v>2075178.69</v>
      </c>
      <c r="I7" t="s">
        <v>468</v>
      </c>
      <c r="J7">
        <v>358819.11</v>
      </c>
      <c r="K7">
        <v>0</v>
      </c>
      <c r="L7">
        <v>275607.62</v>
      </c>
      <c r="M7">
        <v>10375893.800000001</v>
      </c>
      <c r="N7" s="143">
        <v>42059.636060914352</v>
      </c>
      <c r="O7" s="143">
        <v>43160</v>
      </c>
      <c r="P7" t="s">
        <v>746</v>
      </c>
      <c r="Q7" t="s">
        <v>1280</v>
      </c>
      <c r="R7" t="s">
        <v>1280</v>
      </c>
      <c r="S7" t="s">
        <v>1510</v>
      </c>
      <c r="T7">
        <v>36</v>
      </c>
      <c r="U7">
        <f>IF(Table__192.168.1.150_M_CONSOLIDATED_Delinquency_Compulsory_EOM[[#This Row],[Days in Arrears]] &lt; 8, Table__192.168.1.150_M_CONSOLIDATED_Delinquency_Compulsory_EOM[[#This Row],[Outstanding Balance]], 0 )</f>
        <v>9503711.0600000005</v>
      </c>
      <c r="V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 s="105" t="str">
        <f>VLOOKUP(Table__192.168.1.150_M_CONSOLIDATED_Delinquency_Compulsory_EOM[[#This Row],[Client No]],'Global Portfolio'!$B$2:$N$2500,10,FALSE)</f>
        <v>Real Estate and Rental</v>
      </c>
      <c r="AA7" s="105" t="str">
        <f>VLOOKUP(Table__192.168.1.150_M_CONSOLIDATED_Delinquency_Compulsory_EOM[[#This Row],[Client No]],'Global Portfolio'!$B$2:$N$2500,11,FALSE)</f>
        <v>Rental</v>
      </c>
      <c r="AB7" s="105" t="str">
        <f>VLOOKUP(Table__192.168.1.150_M_CONSOLIDATED_Delinquency_Compulsory_EOM[[#This Row],[Client No]],'Global Portfolio'!$B$2:$N$2500,12,FALSE)</f>
        <v>Others</v>
      </c>
    </row>
    <row r="8" spans="1:28" x14ac:dyDescent="0.25">
      <c r="A8">
        <v>101313</v>
      </c>
      <c r="B8" t="s">
        <v>139</v>
      </c>
      <c r="C8" t="s">
        <v>140</v>
      </c>
      <c r="D8" t="s">
        <v>1281</v>
      </c>
      <c r="E8">
        <v>30</v>
      </c>
      <c r="F8">
        <v>15333063</v>
      </c>
      <c r="G8">
        <v>4049360.56</v>
      </c>
      <c r="H8">
        <v>759936.22</v>
      </c>
      <c r="I8" t="s">
        <v>1191</v>
      </c>
      <c r="J8">
        <v>0</v>
      </c>
      <c r="K8">
        <v>0</v>
      </c>
      <c r="L8">
        <v>210996.31</v>
      </c>
      <c r="M8">
        <v>4512798.84</v>
      </c>
      <c r="N8" s="143">
        <v>42061.503410300924</v>
      </c>
      <c r="O8" s="143">
        <v>43160</v>
      </c>
      <c r="P8" t="s">
        <v>141</v>
      </c>
      <c r="Q8" t="s">
        <v>142</v>
      </c>
      <c r="R8" t="s">
        <v>143</v>
      </c>
      <c r="S8" t="s">
        <v>1510</v>
      </c>
      <c r="T8">
        <v>42</v>
      </c>
      <c r="U8">
        <f>IF(Table__192.168.1.150_M_CONSOLIDATED_Delinquency_Compulsory_EOM[[#This Row],[Days in Arrears]] &lt; 8, Table__192.168.1.150_M_CONSOLIDATED_Delinquency_Compulsory_EOM[[#This Row],[Outstanding Balance]], 0 )</f>
        <v>0</v>
      </c>
      <c r="V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4049360.56</v>
      </c>
      <c r="X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 s="105" t="str">
        <f>VLOOKUP(Table__192.168.1.150_M_CONSOLIDATED_Delinquency_Compulsory_EOM[[#This Row],[Client No]],'Global Portfolio'!$B$2:$N$2500,10,FALSE)</f>
        <v>Other Services</v>
      </c>
      <c r="AA8" s="105" t="str">
        <f>VLOOKUP(Table__192.168.1.150_M_CONSOLIDATED_Delinquency_Compulsory_EOM[[#This Row],[Client No]],'Global Portfolio'!$B$2:$N$2500,11,FALSE)</f>
        <v>Religious</v>
      </c>
      <c r="AB8" s="105" t="str">
        <f>VLOOKUP(Table__192.168.1.150_M_CONSOLIDATED_Delinquency_Compulsory_EOM[[#This Row],[Client No]],'Global Portfolio'!$B$2:$N$2500,12,FALSE)</f>
        <v>Others</v>
      </c>
    </row>
    <row r="9" spans="1:28" x14ac:dyDescent="0.25">
      <c r="A9">
        <v>101339</v>
      </c>
      <c r="B9" t="s">
        <v>203</v>
      </c>
      <c r="C9" t="s">
        <v>204</v>
      </c>
      <c r="D9" t="s">
        <v>1283</v>
      </c>
      <c r="E9">
        <v>-1</v>
      </c>
      <c r="F9">
        <v>32000000</v>
      </c>
      <c r="G9">
        <v>6421224</v>
      </c>
      <c r="H9">
        <v>1471413.54</v>
      </c>
      <c r="I9" t="s">
        <v>3074</v>
      </c>
      <c r="J9">
        <v>0</v>
      </c>
      <c r="K9">
        <v>0</v>
      </c>
      <c r="L9">
        <v>179794.27</v>
      </c>
      <c r="M9">
        <v>6989091.8899999997</v>
      </c>
      <c r="N9" s="143">
        <v>42067.607975578707</v>
      </c>
      <c r="O9" s="143">
        <v>43161</v>
      </c>
      <c r="P9" t="s">
        <v>205</v>
      </c>
      <c r="Q9" t="s">
        <v>206</v>
      </c>
      <c r="R9" t="s">
        <v>1280</v>
      </c>
      <c r="S9" t="s">
        <v>1510</v>
      </c>
      <c r="T9">
        <v>36</v>
      </c>
      <c r="U9">
        <f>IF(Table__192.168.1.150_M_CONSOLIDATED_Delinquency_Compulsory_EOM[[#This Row],[Days in Arrears]] &lt; 8, Table__192.168.1.150_M_CONSOLIDATED_Delinquency_Compulsory_EOM[[#This Row],[Outstanding Balance]], 0 )</f>
        <v>6421224</v>
      </c>
      <c r="V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 s="105" t="str">
        <f>VLOOKUP(Table__192.168.1.150_M_CONSOLIDATED_Delinquency_Compulsory_EOM[[#This Row],[Client No]],'Global Portfolio'!$B$2:$N$2500,10,FALSE)</f>
        <v>Real Estate and Rental</v>
      </c>
      <c r="AA9" s="105" t="str">
        <f>VLOOKUP(Table__192.168.1.150_M_CONSOLIDATED_Delinquency_Compulsory_EOM[[#This Row],[Client No]],'Global Portfolio'!$B$2:$N$2500,11,FALSE)</f>
        <v>Rental</v>
      </c>
      <c r="AB9" s="105" t="str">
        <f>VLOOKUP(Table__192.168.1.150_M_CONSOLIDATED_Delinquency_Compulsory_EOM[[#This Row],[Client No]],'Global Portfolio'!$B$2:$N$2500,12,FALSE)</f>
        <v>Others</v>
      </c>
    </row>
    <row r="10" spans="1:28" x14ac:dyDescent="0.25">
      <c r="A10">
        <v>101385</v>
      </c>
      <c r="B10" t="s">
        <v>809</v>
      </c>
      <c r="C10" t="s">
        <v>814</v>
      </c>
      <c r="D10" t="s">
        <v>1283</v>
      </c>
      <c r="E10">
        <v>-16</v>
      </c>
      <c r="F10">
        <v>82000000</v>
      </c>
      <c r="G10">
        <v>17200973.329999998</v>
      </c>
      <c r="H10">
        <v>3755911.12</v>
      </c>
      <c r="I10" t="s">
        <v>468</v>
      </c>
      <c r="J10">
        <v>0</v>
      </c>
      <c r="K10">
        <v>0</v>
      </c>
      <c r="L10">
        <v>223612.65</v>
      </c>
      <c r="M10">
        <v>18779555.809999999</v>
      </c>
      <c r="N10" s="143">
        <v>42080.653667743056</v>
      </c>
      <c r="O10" s="143">
        <v>43176</v>
      </c>
      <c r="P10" t="s">
        <v>815</v>
      </c>
      <c r="Q10" t="s">
        <v>1280</v>
      </c>
      <c r="R10" t="s">
        <v>1280</v>
      </c>
      <c r="S10" t="s">
        <v>1510</v>
      </c>
      <c r="T10">
        <v>36</v>
      </c>
      <c r="U10">
        <f>IF(Table__192.168.1.150_M_CONSOLIDATED_Delinquency_Compulsory_EOM[[#This Row],[Days in Arrears]] &lt; 8, Table__192.168.1.150_M_CONSOLIDATED_Delinquency_Compulsory_EOM[[#This Row],[Outstanding Balance]], 0 )</f>
        <v>17200973.329999998</v>
      </c>
      <c r="V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 s="105" t="str">
        <f>VLOOKUP(Table__192.168.1.150_M_CONSOLIDATED_Delinquency_Compulsory_EOM[[#This Row],[Client No]],'Global Portfolio'!$B$2:$N$2500,10,FALSE)</f>
        <v>Retail</v>
      </c>
      <c r="AA10" s="105" t="str">
        <f>VLOOKUP(Table__192.168.1.150_M_CONSOLIDATED_Delinquency_Compulsory_EOM[[#This Row],[Client No]],'Global Portfolio'!$B$2:$N$2500,11,FALSE)</f>
        <v>Food and Beverage Stores</v>
      </c>
      <c r="AB10" s="105" t="str">
        <f>VLOOKUP(Table__192.168.1.150_M_CONSOLIDATED_Delinquency_Compulsory_EOM[[#This Row],[Client No]],'Global Portfolio'!$B$2:$N$2500,12,FALSE)</f>
        <v>Others</v>
      </c>
    </row>
    <row r="11" spans="1:28" x14ac:dyDescent="0.25">
      <c r="A11">
        <v>101518</v>
      </c>
      <c r="B11" t="s">
        <v>626</v>
      </c>
      <c r="C11" t="s">
        <v>627</v>
      </c>
      <c r="D11" t="s">
        <v>1283</v>
      </c>
      <c r="E11">
        <v>47</v>
      </c>
      <c r="F11">
        <v>62000000</v>
      </c>
      <c r="G11">
        <v>22098462.16</v>
      </c>
      <c r="H11">
        <v>2894977.67</v>
      </c>
      <c r="I11" t="s">
        <v>5725</v>
      </c>
      <c r="J11">
        <v>0</v>
      </c>
      <c r="K11">
        <v>0</v>
      </c>
      <c r="L11">
        <v>1258947.01</v>
      </c>
      <c r="M11">
        <v>25477894.449999999</v>
      </c>
      <c r="N11" s="143">
        <v>42118.63092635417</v>
      </c>
      <c r="O11" s="143">
        <v>43234</v>
      </c>
      <c r="P11" t="s">
        <v>628</v>
      </c>
      <c r="Q11" t="s">
        <v>629</v>
      </c>
      <c r="R11" t="s">
        <v>1280</v>
      </c>
      <c r="S11" t="s">
        <v>1510</v>
      </c>
      <c r="T11">
        <v>36</v>
      </c>
      <c r="U11">
        <f>IF(Table__192.168.1.150_M_CONSOLIDATED_Delinquency_Compulsory_EOM[[#This Row],[Days in Arrears]] &lt; 8, Table__192.168.1.150_M_CONSOLIDATED_Delinquency_Compulsory_EOM[[#This Row],[Outstanding Balance]], 0 )</f>
        <v>0</v>
      </c>
      <c r="V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22098462.16</v>
      </c>
      <c r="X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 s="105" t="str">
        <f>VLOOKUP(Table__192.168.1.150_M_CONSOLIDATED_Delinquency_Compulsory_EOM[[#This Row],[Client No]],'Global Portfolio'!$B$2:$N$2500,10,FALSE)</f>
        <v>Educational Services</v>
      </c>
      <c r="AA11" s="105" t="str">
        <f>VLOOKUP(Table__192.168.1.150_M_CONSOLIDATED_Delinquency_Compulsory_EOM[[#This Row],[Client No]],'Global Portfolio'!$B$2:$N$2500,11,FALSE)</f>
        <v>Educational Services</v>
      </c>
      <c r="AB11" s="105" t="str">
        <f>VLOOKUP(Table__192.168.1.150_M_CONSOLIDATED_Delinquency_Compulsory_EOM[[#This Row],[Client No]],'Global Portfolio'!$B$2:$N$2500,12,FALSE)</f>
        <v>Others</v>
      </c>
    </row>
    <row r="12" spans="1:28" x14ac:dyDescent="0.25">
      <c r="A12">
        <v>101540</v>
      </c>
      <c r="B12" t="s">
        <v>904</v>
      </c>
      <c r="C12" t="s">
        <v>905</v>
      </c>
      <c r="D12" t="s">
        <v>1284</v>
      </c>
      <c r="E12">
        <v>82</v>
      </c>
      <c r="F12">
        <v>65000000</v>
      </c>
      <c r="G12">
        <v>25643085.670000002</v>
      </c>
      <c r="H12">
        <v>3006151.93</v>
      </c>
      <c r="I12" t="s">
        <v>546</v>
      </c>
      <c r="J12">
        <v>0</v>
      </c>
      <c r="K12">
        <v>0</v>
      </c>
      <c r="L12">
        <v>1447225.06</v>
      </c>
      <c r="M12">
        <v>30060671.16</v>
      </c>
      <c r="N12" s="143">
        <v>42123.626142094909</v>
      </c>
      <c r="O12" s="143">
        <v>43229</v>
      </c>
      <c r="P12" t="s">
        <v>906</v>
      </c>
      <c r="Q12" t="s">
        <v>907</v>
      </c>
      <c r="R12" t="s">
        <v>1280</v>
      </c>
      <c r="S12" t="s">
        <v>1510</v>
      </c>
      <c r="T12">
        <v>36</v>
      </c>
      <c r="U12">
        <f>IF(Table__192.168.1.150_M_CONSOLIDATED_Delinquency_Compulsory_EOM[[#This Row],[Days in Arrears]] &lt; 8, Table__192.168.1.150_M_CONSOLIDATED_Delinquency_Compulsory_EOM[[#This Row],[Outstanding Balance]], 0 )</f>
        <v>0</v>
      </c>
      <c r="V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25643085.670000002</v>
      </c>
      <c r="Y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 s="105" t="str">
        <f>VLOOKUP(Table__192.168.1.150_M_CONSOLIDATED_Delinquency_Compulsory_EOM[[#This Row],[Client No]],'Global Portfolio'!$B$2:$N$2500,10,FALSE)</f>
        <v>Real Estate and Rental</v>
      </c>
      <c r="AA12" s="105" t="str">
        <f>VLOOKUP(Table__192.168.1.150_M_CONSOLIDATED_Delinquency_Compulsory_EOM[[#This Row],[Client No]],'Global Portfolio'!$B$2:$N$2500,11,FALSE)</f>
        <v>Rental</v>
      </c>
      <c r="AB12" s="105" t="str">
        <f>VLOOKUP(Table__192.168.1.150_M_CONSOLIDATED_Delinquency_Compulsory_EOM[[#This Row],[Client No]],'Global Portfolio'!$B$2:$N$2500,12,FALSE)</f>
        <v>Others</v>
      </c>
    </row>
    <row r="13" spans="1:28" x14ac:dyDescent="0.25">
      <c r="A13">
        <v>101541</v>
      </c>
      <c r="B13" t="s">
        <v>534</v>
      </c>
      <c r="C13" t="s">
        <v>536</v>
      </c>
      <c r="D13" t="s">
        <v>1284</v>
      </c>
      <c r="E13">
        <v>56</v>
      </c>
      <c r="F13">
        <v>70000000</v>
      </c>
      <c r="G13">
        <v>25109756.34</v>
      </c>
      <c r="H13">
        <v>3224942.87</v>
      </c>
      <c r="I13" t="s">
        <v>491</v>
      </c>
      <c r="J13">
        <v>0</v>
      </c>
      <c r="K13">
        <v>0</v>
      </c>
      <c r="L13">
        <v>728182.93</v>
      </c>
      <c r="M13">
        <v>29024485.68</v>
      </c>
      <c r="N13" s="143">
        <v>42123.651579201389</v>
      </c>
      <c r="O13" s="143">
        <v>43225</v>
      </c>
      <c r="P13" t="s">
        <v>537</v>
      </c>
      <c r="Q13" t="s">
        <v>1280</v>
      </c>
      <c r="R13" t="s">
        <v>1280</v>
      </c>
      <c r="S13" t="s">
        <v>1510</v>
      </c>
      <c r="T13">
        <v>36</v>
      </c>
      <c r="U13">
        <f>IF(Table__192.168.1.150_M_CONSOLIDATED_Delinquency_Compulsory_EOM[[#This Row],[Days in Arrears]] &lt; 8, Table__192.168.1.150_M_CONSOLIDATED_Delinquency_Compulsory_EOM[[#This Row],[Outstanding Balance]], 0 )</f>
        <v>0</v>
      </c>
      <c r="V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25109756.34</v>
      </c>
      <c r="X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 s="105" t="str">
        <f>VLOOKUP(Table__192.168.1.150_M_CONSOLIDATED_Delinquency_Compulsory_EOM[[#This Row],[Client No]],'Global Portfolio'!$B$2:$N$2500,10,FALSE)</f>
        <v>Retail</v>
      </c>
      <c r="AA13" s="105" t="str">
        <f>VLOOKUP(Table__192.168.1.150_M_CONSOLIDATED_Delinquency_Compulsory_EOM[[#This Row],[Client No]],'Global Portfolio'!$B$2:$N$2500,11,FALSE)</f>
        <v>Electronics Stores</v>
      </c>
      <c r="AB13" s="105" t="str">
        <f>VLOOKUP(Table__192.168.1.150_M_CONSOLIDATED_Delinquency_Compulsory_EOM[[#This Row],[Client No]],'Global Portfolio'!$B$2:$N$2500,12,FALSE)</f>
        <v>Others</v>
      </c>
    </row>
    <row r="14" spans="1:28" x14ac:dyDescent="0.25">
      <c r="A14">
        <v>101547</v>
      </c>
      <c r="B14" t="s">
        <v>912</v>
      </c>
      <c r="C14" t="s">
        <v>915</v>
      </c>
      <c r="D14" t="s">
        <v>1283</v>
      </c>
      <c r="E14">
        <v>150</v>
      </c>
      <c r="F14">
        <v>72000000</v>
      </c>
      <c r="G14">
        <v>32858913.73</v>
      </c>
      <c r="H14">
        <v>3301075</v>
      </c>
      <c r="I14" t="s">
        <v>5726</v>
      </c>
      <c r="J14">
        <v>0</v>
      </c>
      <c r="K14">
        <v>0</v>
      </c>
      <c r="L14">
        <v>1899575.59</v>
      </c>
      <c r="M14">
        <v>39610400.009999998</v>
      </c>
      <c r="N14" s="143">
        <v>42124.534045405089</v>
      </c>
      <c r="O14" s="143">
        <v>43221</v>
      </c>
      <c r="P14" t="s">
        <v>916</v>
      </c>
      <c r="Q14" t="s">
        <v>1280</v>
      </c>
      <c r="R14" t="s">
        <v>1280</v>
      </c>
      <c r="S14" t="s">
        <v>1510</v>
      </c>
      <c r="T14">
        <v>36</v>
      </c>
      <c r="U14">
        <f>IF(Table__192.168.1.150_M_CONSOLIDATED_Delinquency_Compulsory_EOM[[#This Row],[Days in Arrears]] &lt; 8, Table__192.168.1.150_M_CONSOLIDATED_Delinquency_Compulsory_EOM[[#This Row],[Outstanding Balance]], 0 )</f>
        <v>0</v>
      </c>
      <c r="V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32858913.73</v>
      </c>
      <c r="Z14" s="105" t="str">
        <f>VLOOKUP(Table__192.168.1.150_M_CONSOLIDATED_Delinquency_Compulsory_EOM[[#This Row],[Client No]],'Global Portfolio'!$B$2:$N$2500,10,FALSE)</f>
        <v>Real Estate and Rental</v>
      </c>
      <c r="AA14" s="105" t="str">
        <f>VLOOKUP(Table__192.168.1.150_M_CONSOLIDATED_Delinquency_Compulsory_EOM[[#This Row],[Client No]],'Global Portfolio'!$B$2:$N$2500,11,FALSE)</f>
        <v>Real Estate</v>
      </c>
      <c r="AB14" s="105" t="str">
        <f>VLOOKUP(Table__192.168.1.150_M_CONSOLIDATED_Delinquency_Compulsory_EOM[[#This Row],[Client No]],'Global Portfolio'!$B$2:$N$2500,12,FALSE)</f>
        <v>Others</v>
      </c>
    </row>
    <row r="15" spans="1:28" x14ac:dyDescent="0.25">
      <c r="A15">
        <v>101581</v>
      </c>
      <c r="B15" t="s">
        <v>236</v>
      </c>
      <c r="C15" t="s">
        <v>237</v>
      </c>
      <c r="D15" t="s">
        <v>1284</v>
      </c>
      <c r="E15">
        <v>-2</v>
      </c>
      <c r="F15">
        <v>66000000</v>
      </c>
      <c r="G15">
        <v>3278717.24</v>
      </c>
      <c r="H15">
        <v>3377078.7</v>
      </c>
      <c r="I15" t="s">
        <v>491</v>
      </c>
      <c r="J15">
        <v>2323269.34</v>
      </c>
      <c r="K15">
        <v>0</v>
      </c>
      <c r="L15">
        <v>88525.37</v>
      </c>
      <c r="M15">
        <v>3377078.76</v>
      </c>
      <c r="N15" s="143">
        <v>42124.82427222222</v>
      </c>
      <c r="O15" s="143">
        <v>43042</v>
      </c>
      <c r="P15" t="s">
        <v>238</v>
      </c>
      <c r="Q15" t="s">
        <v>239</v>
      </c>
      <c r="R15" t="s">
        <v>240</v>
      </c>
      <c r="S15" t="s">
        <v>1510</v>
      </c>
      <c r="T15">
        <v>36</v>
      </c>
      <c r="U15">
        <f>IF(Table__192.168.1.150_M_CONSOLIDATED_Delinquency_Compulsory_EOM[[#This Row],[Days in Arrears]] &lt; 8, Table__192.168.1.150_M_CONSOLIDATED_Delinquency_Compulsory_EOM[[#This Row],[Outstanding Balance]], 0 )</f>
        <v>3278717.24</v>
      </c>
      <c r="V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 s="105" t="e">
        <f>VLOOKUP(Table__192.168.1.150_M_CONSOLIDATED_Delinquency_Compulsory_EOM[[#This Row],[Client No]],'Global Portfolio'!$B$2:$N$2500,10,FALSE)</f>
        <v>#N/A</v>
      </c>
      <c r="AA15" s="105" t="e">
        <f>VLOOKUP(Table__192.168.1.150_M_CONSOLIDATED_Delinquency_Compulsory_EOM[[#This Row],[Client No]],'Global Portfolio'!$B$2:$N$2500,11,FALSE)</f>
        <v>#N/A</v>
      </c>
      <c r="AB15" s="105" t="e">
        <f>VLOOKUP(Table__192.168.1.150_M_CONSOLIDATED_Delinquency_Compulsory_EOM[[#This Row],[Client No]],'Global Portfolio'!$B$2:$N$2500,12,FALSE)</f>
        <v>#N/A</v>
      </c>
    </row>
    <row r="16" spans="1:28" x14ac:dyDescent="0.25">
      <c r="A16">
        <v>101605</v>
      </c>
      <c r="B16" t="s">
        <v>325</v>
      </c>
      <c r="C16" t="s">
        <v>328</v>
      </c>
      <c r="D16" t="s">
        <v>1283</v>
      </c>
      <c r="E16">
        <v>-8</v>
      </c>
      <c r="F16">
        <v>75000000</v>
      </c>
      <c r="G16">
        <v>21402795.050000001</v>
      </c>
      <c r="H16">
        <v>3435284.56</v>
      </c>
      <c r="I16" t="s">
        <v>86</v>
      </c>
      <c r="J16">
        <v>0</v>
      </c>
      <c r="K16">
        <v>0</v>
      </c>
      <c r="L16">
        <v>449458.7</v>
      </c>
      <c r="M16">
        <v>24020310.350000001</v>
      </c>
      <c r="N16" s="143">
        <v>42133.476330324076</v>
      </c>
      <c r="O16" s="143">
        <v>43221</v>
      </c>
      <c r="P16" t="s">
        <v>329</v>
      </c>
      <c r="Q16" t="s">
        <v>1280</v>
      </c>
      <c r="R16" t="s">
        <v>1280</v>
      </c>
      <c r="S16" t="s">
        <v>1510</v>
      </c>
      <c r="T16">
        <v>36</v>
      </c>
      <c r="U16">
        <f>IF(Table__192.168.1.150_M_CONSOLIDATED_Delinquency_Compulsory_EOM[[#This Row],[Days in Arrears]] &lt; 8, Table__192.168.1.150_M_CONSOLIDATED_Delinquency_Compulsory_EOM[[#This Row],[Outstanding Balance]], 0 )</f>
        <v>21402795.050000001</v>
      </c>
      <c r="V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6" s="105" t="str">
        <f>VLOOKUP(Table__192.168.1.150_M_CONSOLIDATED_Delinquency_Compulsory_EOM[[#This Row],[Client No]],'Global Portfolio'!$B$2:$N$2500,10,FALSE)</f>
        <v>Retail</v>
      </c>
      <c r="AA16" s="105" t="str">
        <f>VLOOKUP(Table__192.168.1.150_M_CONSOLIDATED_Delinquency_Compulsory_EOM[[#This Row],[Client No]],'Global Portfolio'!$B$2:$N$2500,11,FALSE)</f>
        <v>General Merchandise Stores</v>
      </c>
      <c r="AB16" s="105" t="str">
        <f>VLOOKUP(Table__192.168.1.150_M_CONSOLIDATED_Delinquency_Compulsory_EOM[[#This Row],[Client No]],'Global Portfolio'!$B$2:$N$2500,12,FALSE)</f>
        <v>General Stores</v>
      </c>
    </row>
    <row r="17" spans="1:28" x14ac:dyDescent="0.25">
      <c r="A17">
        <v>101670</v>
      </c>
      <c r="B17" t="s">
        <v>994</v>
      </c>
      <c r="C17" t="s">
        <v>995</v>
      </c>
      <c r="D17" t="s">
        <v>1282</v>
      </c>
      <c r="E17">
        <v>-3</v>
      </c>
      <c r="F17">
        <v>13000000</v>
      </c>
      <c r="G17">
        <v>4682370.9800000004</v>
      </c>
      <c r="H17">
        <v>695462.45</v>
      </c>
      <c r="I17" t="s">
        <v>86</v>
      </c>
      <c r="J17">
        <v>1564763.84</v>
      </c>
      <c r="K17">
        <v>0</v>
      </c>
      <c r="L17">
        <v>162322.19</v>
      </c>
      <c r="M17">
        <v>5563699.2300000004</v>
      </c>
      <c r="N17" s="143">
        <v>42149.685221527776</v>
      </c>
      <c r="O17" s="143">
        <v>43255</v>
      </c>
      <c r="P17" t="s">
        <v>996</v>
      </c>
      <c r="Q17" t="s">
        <v>997</v>
      </c>
      <c r="R17" t="s">
        <v>1280</v>
      </c>
      <c r="S17" t="s">
        <v>1510</v>
      </c>
      <c r="T17">
        <v>48</v>
      </c>
      <c r="U17">
        <f>IF(Table__192.168.1.150_M_CONSOLIDATED_Delinquency_Compulsory_EOM[[#This Row],[Days in Arrears]] &lt; 8, Table__192.168.1.150_M_CONSOLIDATED_Delinquency_Compulsory_EOM[[#This Row],[Outstanding Balance]], 0 )</f>
        <v>4682370.9800000004</v>
      </c>
      <c r="V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 s="105" t="str">
        <f>VLOOKUP(Table__192.168.1.150_M_CONSOLIDATED_Delinquency_Compulsory_EOM[[#This Row],[Client No]],'Global Portfolio'!$B$2:$N$2500,10,FALSE)</f>
        <v>Real Estate and Rental</v>
      </c>
      <c r="AA17" s="105" t="str">
        <f>VLOOKUP(Table__192.168.1.150_M_CONSOLIDATED_Delinquency_Compulsory_EOM[[#This Row],[Client No]],'Global Portfolio'!$B$2:$N$2500,11,FALSE)</f>
        <v>Rental</v>
      </c>
      <c r="AB17" s="105" t="str">
        <f>VLOOKUP(Table__192.168.1.150_M_CONSOLIDATED_Delinquency_Compulsory_EOM[[#This Row],[Client No]],'Global Portfolio'!$B$2:$N$2500,12,FALSE)</f>
        <v>Others</v>
      </c>
    </row>
    <row r="18" spans="1:28" x14ac:dyDescent="0.25">
      <c r="A18">
        <v>101674</v>
      </c>
      <c r="B18" t="s">
        <v>1005</v>
      </c>
      <c r="C18" t="s">
        <v>1007</v>
      </c>
      <c r="D18" t="s">
        <v>1281</v>
      </c>
      <c r="E18">
        <v>-9</v>
      </c>
      <c r="F18">
        <v>30000000</v>
      </c>
      <c r="G18">
        <v>10227141.359999999</v>
      </c>
      <c r="H18">
        <v>1501857.48</v>
      </c>
      <c r="I18" t="s">
        <v>963</v>
      </c>
      <c r="J18">
        <v>3369836.27</v>
      </c>
      <c r="K18">
        <v>0</v>
      </c>
      <c r="L18">
        <v>238633.3</v>
      </c>
      <c r="M18">
        <v>11887708.52</v>
      </c>
      <c r="N18" s="143">
        <v>42150.471053935187</v>
      </c>
      <c r="O18" s="143">
        <v>43261</v>
      </c>
      <c r="P18" t="s">
        <v>1008</v>
      </c>
      <c r="Q18" t="s">
        <v>1280</v>
      </c>
      <c r="R18" t="s">
        <v>1280</v>
      </c>
      <c r="S18" t="s">
        <v>1510</v>
      </c>
      <c r="T18">
        <v>42</v>
      </c>
      <c r="U18">
        <f>IF(Table__192.168.1.150_M_CONSOLIDATED_Delinquency_Compulsory_EOM[[#This Row],[Days in Arrears]] &lt; 8, Table__192.168.1.150_M_CONSOLIDATED_Delinquency_Compulsory_EOM[[#This Row],[Outstanding Balance]], 0 )</f>
        <v>10227141.359999999</v>
      </c>
      <c r="V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 s="105" t="str">
        <f>VLOOKUP(Table__192.168.1.150_M_CONSOLIDATED_Delinquency_Compulsory_EOM[[#This Row],[Client No]],'Global Portfolio'!$B$2:$N$2500,10,FALSE)</f>
        <v>Real Estate and Rental</v>
      </c>
      <c r="AA18" s="105" t="str">
        <f>VLOOKUP(Table__192.168.1.150_M_CONSOLIDATED_Delinquency_Compulsory_EOM[[#This Row],[Client No]],'Global Portfolio'!$B$2:$N$2500,11,FALSE)</f>
        <v>Real Estate</v>
      </c>
      <c r="AB18" s="105" t="str">
        <f>VLOOKUP(Table__192.168.1.150_M_CONSOLIDATED_Delinquency_Compulsory_EOM[[#This Row],[Client No]],'Global Portfolio'!$B$2:$N$2500,12,FALSE)</f>
        <v>Real Estate</v>
      </c>
    </row>
    <row r="19" spans="1:28" x14ac:dyDescent="0.25">
      <c r="A19">
        <v>101704</v>
      </c>
      <c r="B19" t="s">
        <v>687</v>
      </c>
      <c r="C19" t="s">
        <v>688</v>
      </c>
      <c r="D19" t="s">
        <v>1281</v>
      </c>
      <c r="E19">
        <v>-14</v>
      </c>
      <c r="F19">
        <v>25000000</v>
      </c>
      <c r="G19">
        <v>8461842.9600000009</v>
      </c>
      <c r="H19">
        <v>1252936.75</v>
      </c>
      <c r="I19" t="s">
        <v>963</v>
      </c>
      <c r="J19">
        <v>0</v>
      </c>
      <c r="K19">
        <v>3750000</v>
      </c>
      <c r="L19">
        <v>148082.25</v>
      </c>
      <c r="M19">
        <v>9824934.2699999996</v>
      </c>
      <c r="N19" s="143">
        <v>42154.480922106479</v>
      </c>
      <c r="O19" s="143">
        <v>43266</v>
      </c>
      <c r="P19" t="s">
        <v>689</v>
      </c>
      <c r="Q19" t="s">
        <v>1280</v>
      </c>
      <c r="R19" t="s">
        <v>1280</v>
      </c>
      <c r="S19" t="s">
        <v>1510</v>
      </c>
      <c r="T19">
        <v>42</v>
      </c>
      <c r="U19">
        <f>IF(Table__192.168.1.150_M_CONSOLIDATED_Delinquency_Compulsory_EOM[[#This Row],[Days in Arrears]] &lt; 8, Table__192.168.1.150_M_CONSOLIDATED_Delinquency_Compulsory_EOM[[#This Row],[Outstanding Balance]], 0 )</f>
        <v>8461842.9600000009</v>
      </c>
      <c r="V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 s="105" t="str">
        <f>VLOOKUP(Table__192.168.1.150_M_CONSOLIDATED_Delinquency_Compulsory_EOM[[#This Row],[Client No]],'Global Portfolio'!$B$2:$N$2500,10,FALSE)</f>
        <v>Retail</v>
      </c>
      <c r="AA19" s="105" t="str">
        <f>VLOOKUP(Table__192.168.1.150_M_CONSOLIDATED_Delinquency_Compulsory_EOM[[#This Row],[Client No]],'Global Portfolio'!$B$2:$N$2500,11,FALSE)</f>
        <v>Motor Vehicle and Parts Dealers</v>
      </c>
      <c r="AB19" s="105" t="str">
        <f>VLOOKUP(Table__192.168.1.150_M_CONSOLIDATED_Delinquency_Compulsory_EOM[[#This Row],[Client No]],'Global Portfolio'!$B$2:$N$2500,12,FALSE)</f>
        <v>Others</v>
      </c>
    </row>
    <row r="20" spans="1:28" x14ac:dyDescent="0.25">
      <c r="A20">
        <v>101711</v>
      </c>
      <c r="B20" t="s">
        <v>730</v>
      </c>
      <c r="C20" t="s">
        <v>733</v>
      </c>
      <c r="D20" t="s">
        <v>1284</v>
      </c>
      <c r="E20">
        <v>-3</v>
      </c>
      <c r="F20">
        <v>49219081.039999999</v>
      </c>
      <c r="G20">
        <v>14326640.18</v>
      </c>
      <c r="H20">
        <v>2299516.7799999998</v>
      </c>
      <c r="I20" t="s">
        <v>1467</v>
      </c>
      <c r="J20">
        <v>0</v>
      </c>
      <c r="K20">
        <v>0</v>
      </c>
      <c r="L20">
        <v>372492.64</v>
      </c>
      <c r="M20">
        <v>16096617.449999999</v>
      </c>
      <c r="N20" s="143">
        <v>42154.654883796298</v>
      </c>
      <c r="O20" s="143">
        <v>43224</v>
      </c>
      <c r="P20" t="s">
        <v>734</v>
      </c>
      <c r="Q20" t="s">
        <v>1280</v>
      </c>
      <c r="R20" t="s">
        <v>1280</v>
      </c>
      <c r="S20" t="s">
        <v>1510</v>
      </c>
      <c r="T20">
        <v>36</v>
      </c>
      <c r="U20">
        <f>IF(Table__192.168.1.150_M_CONSOLIDATED_Delinquency_Compulsory_EOM[[#This Row],[Days in Arrears]] &lt; 8, Table__192.168.1.150_M_CONSOLIDATED_Delinquency_Compulsory_EOM[[#This Row],[Outstanding Balance]], 0 )</f>
        <v>14326640.18</v>
      </c>
      <c r="V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 s="105" t="str">
        <f>VLOOKUP(Table__192.168.1.150_M_CONSOLIDATED_Delinquency_Compulsory_EOM[[#This Row],[Client No]],'Global Portfolio'!$B$2:$N$2500,10,FALSE)</f>
        <v>Retail</v>
      </c>
      <c r="AA20" s="105" t="str">
        <f>VLOOKUP(Table__192.168.1.150_M_CONSOLIDATED_Delinquency_Compulsory_EOM[[#This Row],[Client No]],'Global Portfolio'!$B$2:$N$2500,11,FALSE)</f>
        <v>Others</v>
      </c>
      <c r="AB20" s="105" t="str">
        <f>VLOOKUP(Table__192.168.1.150_M_CONSOLIDATED_Delinquency_Compulsory_EOM[[#This Row],[Client No]],'Global Portfolio'!$B$2:$N$2500,12,FALSE)</f>
        <v>Others</v>
      </c>
    </row>
    <row r="21" spans="1:28" x14ac:dyDescent="0.25">
      <c r="A21">
        <v>101730</v>
      </c>
      <c r="B21" t="s">
        <v>1047</v>
      </c>
      <c r="C21" t="s">
        <v>1048</v>
      </c>
      <c r="D21" t="s">
        <v>1284</v>
      </c>
      <c r="E21">
        <v>11</v>
      </c>
      <c r="F21">
        <v>50000000</v>
      </c>
      <c r="G21">
        <v>17774668.739999998</v>
      </c>
      <c r="H21">
        <v>2307977.59</v>
      </c>
      <c r="I21" t="s">
        <v>1039</v>
      </c>
      <c r="J21">
        <v>0</v>
      </c>
      <c r="K21">
        <v>0</v>
      </c>
      <c r="L21">
        <v>701117.87</v>
      </c>
      <c r="M21">
        <v>20037197.199999999</v>
      </c>
      <c r="N21" s="143">
        <v>42167.549388113424</v>
      </c>
      <c r="O21" s="143">
        <v>43271</v>
      </c>
      <c r="P21" t="s">
        <v>1049</v>
      </c>
      <c r="Q21" t="s">
        <v>1050</v>
      </c>
      <c r="R21" t="s">
        <v>1280</v>
      </c>
      <c r="S21" t="s">
        <v>1510</v>
      </c>
      <c r="T21">
        <v>36</v>
      </c>
      <c r="U21">
        <f>IF(Table__192.168.1.150_M_CONSOLIDATED_Delinquency_Compulsory_EOM[[#This Row],[Days in Arrears]] &lt; 8, Table__192.168.1.150_M_CONSOLIDATED_Delinquency_Compulsory_EOM[[#This Row],[Outstanding Balance]], 0 )</f>
        <v>0</v>
      </c>
      <c r="V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17774668.739999998</v>
      </c>
      <c r="W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 s="105" t="str">
        <f>VLOOKUP(Table__192.168.1.150_M_CONSOLIDATED_Delinquency_Compulsory_EOM[[#This Row],[Client No]],'Global Portfolio'!$B$2:$N$2500,10,FALSE)</f>
        <v>Wholesale Trade</v>
      </c>
      <c r="AA21" s="105" t="str">
        <f>VLOOKUP(Table__192.168.1.150_M_CONSOLIDATED_Delinquency_Compulsory_EOM[[#This Row],[Client No]],'Global Portfolio'!$B$2:$N$2500,11,FALSE)</f>
        <v>Others</v>
      </c>
      <c r="AB21" s="105" t="str">
        <f>VLOOKUP(Table__192.168.1.150_M_CONSOLIDATED_Delinquency_Compulsory_EOM[[#This Row],[Client No]],'Global Portfolio'!$B$2:$N$2500,12,FALSE)</f>
        <v>Others</v>
      </c>
    </row>
    <row r="22" spans="1:28" x14ac:dyDescent="0.25">
      <c r="A22">
        <v>101743</v>
      </c>
      <c r="B22" t="s">
        <v>420</v>
      </c>
      <c r="C22" t="s">
        <v>421</v>
      </c>
      <c r="D22" t="s">
        <v>1284</v>
      </c>
      <c r="E22">
        <v>-22</v>
      </c>
      <c r="F22">
        <v>30000000</v>
      </c>
      <c r="G22">
        <v>9702045.6300000008</v>
      </c>
      <c r="H22">
        <v>1382118.37</v>
      </c>
      <c r="I22" t="s">
        <v>546</v>
      </c>
      <c r="J22">
        <v>0</v>
      </c>
      <c r="K22">
        <v>0</v>
      </c>
      <c r="L22">
        <v>67914.320000000007</v>
      </c>
      <c r="M22">
        <v>11058288.960000001</v>
      </c>
      <c r="N22" s="143">
        <v>42172.712030243056</v>
      </c>
      <c r="O22" s="143">
        <v>43275</v>
      </c>
      <c r="P22" t="s">
        <v>422</v>
      </c>
      <c r="Q22" t="s">
        <v>1280</v>
      </c>
      <c r="R22" t="s">
        <v>1280</v>
      </c>
      <c r="S22" t="s">
        <v>1510</v>
      </c>
      <c r="T22">
        <v>36</v>
      </c>
      <c r="U22">
        <f>IF(Table__192.168.1.150_M_CONSOLIDATED_Delinquency_Compulsory_EOM[[#This Row],[Days in Arrears]] &lt; 8, Table__192.168.1.150_M_CONSOLIDATED_Delinquency_Compulsory_EOM[[#This Row],[Outstanding Balance]], 0 )</f>
        <v>9702045.6300000008</v>
      </c>
      <c r="V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 s="105" t="str">
        <f>VLOOKUP(Table__192.168.1.150_M_CONSOLIDATED_Delinquency_Compulsory_EOM[[#This Row],[Client No]],'Global Portfolio'!$B$2:$N$2500,10,FALSE)</f>
        <v>Real Estate and Rental</v>
      </c>
      <c r="AA22" s="105" t="str">
        <f>VLOOKUP(Table__192.168.1.150_M_CONSOLIDATED_Delinquency_Compulsory_EOM[[#This Row],[Client No]],'Global Portfolio'!$B$2:$N$2500,11,FALSE)</f>
        <v>Rental</v>
      </c>
      <c r="AB22" s="105" t="str">
        <f>VLOOKUP(Table__192.168.1.150_M_CONSOLIDATED_Delinquency_Compulsory_EOM[[#This Row],[Client No]],'Global Portfolio'!$B$2:$N$2500,12,FALSE)</f>
        <v>Others</v>
      </c>
    </row>
    <row r="23" spans="1:28" x14ac:dyDescent="0.25">
      <c r="A23">
        <v>101758</v>
      </c>
      <c r="B23" t="s">
        <v>1079</v>
      </c>
      <c r="C23" t="s">
        <v>1080</v>
      </c>
      <c r="D23" t="s">
        <v>1284</v>
      </c>
      <c r="E23">
        <v>-1</v>
      </c>
      <c r="F23">
        <v>35000000</v>
      </c>
      <c r="G23">
        <v>12627589.939999999</v>
      </c>
      <c r="H23">
        <v>1621810.07</v>
      </c>
      <c r="I23" t="s">
        <v>1039</v>
      </c>
      <c r="J23">
        <v>0</v>
      </c>
      <c r="K23">
        <v>1750000</v>
      </c>
      <c r="L23">
        <v>353572.52</v>
      </c>
      <c r="M23">
        <v>14596290.74</v>
      </c>
      <c r="N23" s="143">
        <v>42175.503005057872</v>
      </c>
      <c r="O23" s="143">
        <v>43283</v>
      </c>
      <c r="P23" t="s">
        <v>1081</v>
      </c>
      <c r="Q23" t="s">
        <v>1280</v>
      </c>
      <c r="R23" t="s">
        <v>1280</v>
      </c>
      <c r="S23" t="s">
        <v>1510</v>
      </c>
      <c r="T23">
        <v>36</v>
      </c>
      <c r="U23">
        <f>IF(Table__192.168.1.150_M_CONSOLIDATED_Delinquency_Compulsory_EOM[[#This Row],[Days in Arrears]] &lt; 8, Table__192.168.1.150_M_CONSOLIDATED_Delinquency_Compulsory_EOM[[#This Row],[Outstanding Balance]], 0 )</f>
        <v>12627589.939999999</v>
      </c>
      <c r="V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 s="105" t="str">
        <f>VLOOKUP(Table__192.168.1.150_M_CONSOLIDATED_Delinquency_Compulsory_EOM[[#This Row],[Client No]],'Global Portfolio'!$B$2:$N$2500,10,FALSE)</f>
        <v>Real Estate and Rental</v>
      </c>
      <c r="AA23" s="105" t="str">
        <f>VLOOKUP(Table__192.168.1.150_M_CONSOLIDATED_Delinquency_Compulsory_EOM[[#This Row],[Client No]],'Global Portfolio'!$B$2:$N$2500,11,FALSE)</f>
        <v>Rental</v>
      </c>
      <c r="AB23" s="105" t="str">
        <f>VLOOKUP(Table__192.168.1.150_M_CONSOLIDATED_Delinquency_Compulsory_EOM[[#This Row],[Client No]],'Global Portfolio'!$B$2:$N$2500,12,FALSE)</f>
        <v>Others</v>
      </c>
    </row>
    <row r="24" spans="1:28" x14ac:dyDescent="0.25">
      <c r="A24">
        <v>101780</v>
      </c>
      <c r="B24" t="s">
        <v>1090</v>
      </c>
      <c r="C24" t="s">
        <v>1095</v>
      </c>
      <c r="D24" t="s">
        <v>1283</v>
      </c>
      <c r="E24">
        <v>-9</v>
      </c>
      <c r="F24">
        <v>31000000</v>
      </c>
      <c r="G24">
        <v>11216637.710000001</v>
      </c>
      <c r="H24">
        <v>1440596.03</v>
      </c>
      <c r="I24" t="s">
        <v>468</v>
      </c>
      <c r="J24">
        <v>116469</v>
      </c>
      <c r="K24">
        <v>0</v>
      </c>
      <c r="L24">
        <v>519925.01</v>
      </c>
      <c r="M24">
        <v>12965364.4</v>
      </c>
      <c r="N24" s="143">
        <v>42180.710793020837</v>
      </c>
      <c r="O24" s="143">
        <v>43291</v>
      </c>
      <c r="P24" t="s">
        <v>1096</v>
      </c>
      <c r="Q24" t="s">
        <v>1280</v>
      </c>
      <c r="R24" t="s">
        <v>1280</v>
      </c>
      <c r="S24" t="s">
        <v>1510</v>
      </c>
      <c r="T24">
        <v>36</v>
      </c>
      <c r="U24">
        <f>IF(Table__192.168.1.150_M_CONSOLIDATED_Delinquency_Compulsory_EOM[[#This Row],[Days in Arrears]] &lt; 8, Table__192.168.1.150_M_CONSOLIDATED_Delinquency_Compulsory_EOM[[#This Row],[Outstanding Balance]], 0 )</f>
        <v>11216637.710000001</v>
      </c>
      <c r="V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 s="105" t="str">
        <f>VLOOKUP(Table__192.168.1.150_M_CONSOLIDATED_Delinquency_Compulsory_EOM[[#This Row],[Client No]],'Global Portfolio'!$B$2:$N$2500,10,FALSE)</f>
        <v>Wholesale Trade</v>
      </c>
      <c r="AA24" s="105" t="str">
        <f>VLOOKUP(Table__192.168.1.150_M_CONSOLIDATED_Delinquency_Compulsory_EOM[[#This Row],[Client No]],'Global Portfolio'!$B$2:$N$2500,11,FALSE)</f>
        <v>Others</v>
      </c>
      <c r="AB24" s="105" t="str">
        <f>VLOOKUP(Table__192.168.1.150_M_CONSOLIDATED_Delinquency_Compulsory_EOM[[#This Row],[Client No]],'Global Portfolio'!$B$2:$N$2500,12,FALSE)</f>
        <v>Others</v>
      </c>
    </row>
    <row r="25" spans="1:28" x14ac:dyDescent="0.25">
      <c r="A25">
        <v>101791</v>
      </c>
      <c r="B25" t="s">
        <v>1101</v>
      </c>
      <c r="C25" t="s">
        <v>1103</v>
      </c>
      <c r="D25" t="s">
        <v>1284</v>
      </c>
      <c r="E25">
        <v>16</v>
      </c>
      <c r="F25">
        <v>30000000</v>
      </c>
      <c r="G25">
        <v>11903550.869999999</v>
      </c>
      <c r="H25">
        <v>1395459.28</v>
      </c>
      <c r="I25" t="s">
        <v>1467</v>
      </c>
      <c r="J25">
        <v>0</v>
      </c>
      <c r="K25">
        <v>0</v>
      </c>
      <c r="L25">
        <v>520084.5</v>
      </c>
      <c r="M25">
        <v>13954593.01</v>
      </c>
      <c r="N25" s="143">
        <v>42184.590671412036</v>
      </c>
      <c r="O25" s="143">
        <v>43296</v>
      </c>
      <c r="P25" t="s">
        <v>1104</v>
      </c>
      <c r="Q25" t="s">
        <v>1280</v>
      </c>
      <c r="R25" t="s">
        <v>1280</v>
      </c>
      <c r="S25" t="s">
        <v>1510</v>
      </c>
      <c r="T25">
        <v>36</v>
      </c>
      <c r="U25">
        <f>IF(Table__192.168.1.150_M_CONSOLIDATED_Delinquency_Compulsory_EOM[[#This Row],[Days in Arrears]] &lt; 8, Table__192.168.1.150_M_CONSOLIDATED_Delinquency_Compulsory_EOM[[#This Row],[Outstanding Balance]], 0 )</f>
        <v>0</v>
      </c>
      <c r="V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11903550.869999999</v>
      </c>
      <c r="W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 s="105" t="str">
        <f>VLOOKUP(Table__192.168.1.150_M_CONSOLIDATED_Delinquency_Compulsory_EOM[[#This Row],[Client No]],'Global Portfolio'!$B$2:$N$2500,10,FALSE)</f>
        <v>Real Estate and Rental</v>
      </c>
      <c r="AA25" s="105" t="str">
        <f>VLOOKUP(Table__192.168.1.150_M_CONSOLIDATED_Delinquency_Compulsory_EOM[[#This Row],[Client No]],'Global Portfolio'!$B$2:$N$2500,11,FALSE)</f>
        <v>Real Estate</v>
      </c>
      <c r="AB25" s="105" t="str">
        <f>VLOOKUP(Table__192.168.1.150_M_CONSOLIDATED_Delinquency_Compulsory_EOM[[#This Row],[Client No]],'Global Portfolio'!$B$2:$N$2500,12,FALSE)</f>
        <v>Real Estate</v>
      </c>
    </row>
    <row r="26" spans="1:28" x14ac:dyDescent="0.25">
      <c r="A26">
        <v>101795</v>
      </c>
      <c r="B26" t="s">
        <v>344</v>
      </c>
      <c r="C26" t="s">
        <v>345</v>
      </c>
      <c r="D26" t="s">
        <v>1284</v>
      </c>
      <c r="E26">
        <v>6</v>
      </c>
      <c r="F26">
        <v>50000000</v>
      </c>
      <c r="G26">
        <v>16391935.140000001</v>
      </c>
      <c r="H26">
        <v>2279072.2799999998</v>
      </c>
      <c r="I26" t="s">
        <v>546</v>
      </c>
      <c r="J26">
        <v>0</v>
      </c>
      <c r="K26">
        <v>0</v>
      </c>
      <c r="L26">
        <v>79991.929999999993</v>
      </c>
      <c r="M26">
        <v>18626127.539999999</v>
      </c>
      <c r="N26" s="143">
        <v>42185.557041585649</v>
      </c>
      <c r="O26" s="143">
        <v>43276</v>
      </c>
      <c r="P26" t="s">
        <v>346</v>
      </c>
      <c r="Q26" t="s">
        <v>1280</v>
      </c>
      <c r="R26" t="s">
        <v>1280</v>
      </c>
      <c r="S26" t="s">
        <v>1510</v>
      </c>
      <c r="T26">
        <v>36</v>
      </c>
      <c r="U26">
        <f>IF(Table__192.168.1.150_M_CONSOLIDATED_Delinquency_Compulsory_EOM[[#This Row],[Days in Arrears]] &lt; 8, Table__192.168.1.150_M_CONSOLIDATED_Delinquency_Compulsory_EOM[[#This Row],[Outstanding Balance]], 0 )</f>
        <v>16391935.140000001</v>
      </c>
      <c r="V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 s="105" t="str">
        <f>VLOOKUP(Table__192.168.1.150_M_CONSOLIDATED_Delinquency_Compulsory_EOM[[#This Row],[Client No]],'Global Portfolio'!$B$2:$N$2500,10,FALSE)</f>
        <v>Real Estate and Rental</v>
      </c>
      <c r="AA26" s="105" t="str">
        <f>VLOOKUP(Table__192.168.1.150_M_CONSOLIDATED_Delinquency_Compulsory_EOM[[#This Row],[Client No]],'Global Portfolio'!$B$2:$N$2500,11,FALSE)</f>
        <v>Rental</v>
      </c>
      <c r="AB26" s="105" t="str">
        <f>VLOOKUP(Table__192.168.1.150_M_CONSOLIDATED_Delinquency_Compulsory_EOM[[#This Row],[Client No]],'Global Portfolio'!$B$2:$N$2500,12,FALSE)</f>
        <v>Others</v>
      </c>
    </row>
    <row r="27" spans="1:28" x14ac:dyDescent="0.25">
      <c r="A27">
        <v>101802</v>
      </c>
      <c r="B27" t="s">
        <v>367</v>
      </c>
      <c r="C27" t="s">
        <v>378</v>
      </c>
      <c r="D27" t="s">
        <v>1284</v>
      </c>
      <c r="E27">
        <v>-1</v>
      </c>
      <c r="F27">
        <v>82000000</v>
      </c>
      <c r="G27">
        <v>29300717.640000001</v>
      </c>
      <c r="H27">
        <v>3763204.15</v>
      </c>
      <c r="I27" t="s">
        <v>546</v>
      </c>
      <c r="J27">
        <v>4743.12</v>
      </c>
      <c r="K27">
        <v>1792760</v>
      </c>
      <c r="L27">
        <v>1084499.67</v>
      </c>
      <c r="M27">
        <v>33868837.659999996</v>
      </c>
      <c r="N27" s="143">
        <v>42185.721404432872</v>
      </c>
      <c r="O27" s="143">
        <v>43283</v>
      </c>
      <c r="P27" t="s">
        <v>379</v>
      </c>
      <c r="Q27" t="s">
        <v>380</v>
      </c>
      <c r="R27" t="s">
        <v>1280</v>
      </c>
      <c r="S27" t="s">
        <v>1510</v>
      </c>
      <c r="T27">
        <v>36</v>
      </c>
      <c r="U27">
        <f>IF(Table__192.168.1.150_M_CONSOLIDATED_Delinquency_Compulsory_EOM[[#This Row],[Days in Arrears]] &lt; 8, Table__192.168.1.150_M_CONSOLIDATED_Delinquency_Compulsory_EOM[[#This Row],[Outstanding Balance]], 0 )</f>
        <v>29300717.640000001</v>
      </c>
      <c r="V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 s="105" t="str">
        <f>VLOOKUP(Table__192.168.1.150_M_CONSOLIDATED_Delinquency_Compulsory_EOM[[#This Row],[Client No]],'Global Portfolio'!$B$2:$N$2500,10,FALSE)</f>
        <v>Retail</v>
      </c>
      <c r="AA27" s="105" t="str">
        <f>VLOOKUP(Table__192.168.1.150_M_CONSOLIDATED_Delinquency_Compulsory_EOM[[#This Row],[Client No]],'Global Portfolio'!$B$2:$N$2500,11,FALSE)</f>
        <v>Building Material and Garden Equipment</v>
      </c>
      <c r="AB27" s="105" t="str">
        <f>VLOOKUP(Table__192.168.1.150_M_CONSOLIDATED_Delinquency_Compulsory_EOM[[#This Row],[Client No]],'Global Portfolio'!$B$2:$N$2500,12,FALSE)</f>
        <v>Hardware Stores</v>
      </c>
    </row>
    <row r="28" spans="1:28" x14ac:dyDescent="0.25">
      <c r="A28">
        <v>101815</v>
      </c>
      <c r="B28" t="s">
        <v>111</v>
      </c>
      <c r="C28" t="s">
        <v>270</v>
      </c>
      <c r="D28" t="s">
        <v>1284</v>
      </c>
      <c r="E28">
        <v>-1</v>
      </c>
      <c r="F28">
        <v>55000000</v>
      </c>
      <c r="G28">
        <v>19576746.25</v>
      </c>
      <c r="H28">
        <v>2514317.0099999998</v>
      </c>
      <c r="I28" t="s">
        <v>1039</v>
      </c>
      <c r="J28">
        <v>0</v>
      </c>
      <c r="K28">
        <v>2750000</v>
      </c>
      <c r="L28">
        <v>548148.9</v>
      </c>
      <c r="M28">
        <v>22628853.289999999</v>
      </c>
      <c r="N28" s="143">
        <v>42189.499219328703</v>
      </c>
      <c r="O28" s="143">
        <v>43283</v>
      </c>
      <c r="P28" t="s">
        <v>271</v>
      </c>
      <c r="Q28" t="s">
        <v>272</v>
      </c>
      <c r="R28" t="s">
        <v>1280</v>
      </c>
      <c r="S28" t="s">
        <v>1510</v>
      </c>
      <c r="T28">
        <v>36</v>
      </c>
      <c r="U28">
        <f>IF(Table__192.168.1.150_M_CONSOLIDATED_Delinquency_Compulsory_EOM[[#This Row],[Days in Arrears]] &lt; 8, Table__192.168.1.150_M_CONSOLIDATED_Delinquency_Compulsory_EOM[[#This Row],[Outstanding Balance]], 0 )</f>
        <v>19576746.25</v>
      </c>
      <c r="V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 s="105" t="str">
        <f>VLOOKUP(Table__192.168.1.150_M_CONSOLIDATED_Delinquency_Compulsory_EOM[[#This Row],[Client No]],'Global Portfolio'!$B$2:$N$2500,10,FALSE)</f>
        <v>Retail</v>
      </c>
      <c r="AA28" s="105" t="str">
        <f>VLOOKUP(Table__192.168.1.150_M_CONSOLIDATED_Delinquency_Compulsory_EOM[[#This Row],[Client No]],'Global Portfolio'!$B$2:$N$2500,11,FALSE)</f>
        <v>General Merchandise Stores</v>
      </c>
      <c r="AB28" s="105" t="str">
        <f>VLOOKUP(Table__192.168.1.150_M_CONSOLIDATED_Delinquency_Compulsory_EOM[[#This Row],[Client No]],'Global Portfolio'!$B$2:$N$2500,12,FALSE)</f>
        <v>Others</v>
      </c>
    </row>
    <row r="29" spans="1:28" x14ac:dyDescent="0.25">
      <c r="A29">
        <v>101817</v>
      </c>
      <c r="B29" t="s">
        <v>698</v>
      </c>
      <c r="C29" t="s">
        <v>699</v>
      </c>
      <c r="D29" t="s">
        <v>1284</v>
      </c>
      <c r="E29">
        <v>-5</v>
      </c>
      <c r="F29">
        <v>75000000</v>
      </c>
      <c r="G29">
        <v>26747499.960000001</v>
      </c>
      <c r="H29">
        <v>3435284.56</v>
      </c>
      <c r="I29" t="s">
        <v>546</v>
      </c>
      <c r="J29">
        <v>2342814.96</v>
      </c>
      <c r="K29">
        <v>3750000</v>
      </c>
      <c r="L29">
        <v>641940</v>
      </c>
      <c r="M29">
        <v>30917561.289999999</v>
      </c>
      <c r="N29" s="143">
        <v>42191.634749965277</v>
      </c>
      <c r="O29" s="143">
        <v>43287</v>
      </c>
      <c r="P29" t="s">
        <v>700</v>
      </c>
      <c r="Q29" t="s">
        <v>701</v>
      </c>
      <c r="R29" t="s">
        <v>1280</v>
      </c>
      <c r="S29" t="s">
        <v>1510</v>
      </c>
      <c r="T29">
        <v>36</v>
      </c>
      <c r="U29">
        <f>IF(Table__192.168.1.150_M_CONSOLIDATED_Delinquency_Compulsory_EOM[[#This Row],[Days in Arrears]] &lt; 8, Table__192.168.1.150_M_CONSOLIDATED_Delinquency_Compulsory_EOM[[#This Row],[Outstanding Balance]], 0 )</f>
        <v>26747499.960000001</v>
      </c>
      <c r="V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 s="105" t="str">
        <f>VLOOKUP(Table__192.168.1.150_M_CONSOLIDATED_Delinquency_Compulsory_EOM[[#This Row],[Client No]],'Global Portfolio'!$B$2:$N$2500,10,FALSE)</f>
        <v>Real Estate and Rental</v>
      </c>
      <c r="AA29" s="105" t="str">
        <f>VLOOKUP(Table__192.168.1.150_M_CONSOLIDATED_Delinquency_Compulsory_EOM[[#This Row],[Client No]],'Global Portfolio'!$B$2:$N$2500,11,FALSE)</f>
        <v>Rental</v>
      </c>
      <c r="AB29" s="105" t="str">
        <f>VLOOKUP(Table__192.168.1.150_M_CONSOLIDATED_Delinquency_Compulsory_EOM[[#This Row],[Client No]],'Global Portfolio'!$B$2:$N$2500,12,FALSE)</f>
        <v>Others</v>
      </c>
    </row>
    <row r="30" spans="1:28" x14ac:dyDescent="0.25">
      <c r="A30">
        <v>101863</v>
      </c>
      <c r="B30" t="s">
        <v>1157</v>
      </c>
      <c r="C30" t="s">
        <v>1161</v>
      </c>
      <c r="D30" t="s">
        <v>1282</v>
      </c>
      <c r="E30">
        <v>-17</v>
      </c>
      <c r="F30">
        <v>14000000</v>
      </c>
      <c r="G30">
        <v>5512571.1299999999</v>
      </c>
      <c r="H30">
        <v>762249.08</v>
      </c>
      <c r="I30" t="s">
        <v>1191</v>
      </c>
      <c r="J30">
        <v>74443.490000000005</v>
      </c>
      <c r="K30">
        <v>0</v>
      </c>
      <c r="L30">
        <v>88201.14</v>
      </c>
      <c r="M30">
        <v>6639623.3399999999</v>
      </c>
      <c r="N30" s="143">
        <v>42210.528615312498</v>
      </c>
      <c r="O30" s="143">
        <v>43330</v>
      </c>
      <c r="P30" t="s">
        <v>1162</v>
      </c>
      <c r="Q30" t="s">
        <v>1280</v>
      </c>
      <c r="R30" t="s">
        <v>1280</v>
      </c>
      <c r="S30" t="s">
        <v>1510</v>
      </c>
      <c r="T30">
        <v>48</v>
      </c>
      <c r="U30">
        <f>IF(Table__192.168.1.150_M_CONSOLIDATED_Delinquency_Compulsory_EOM[[#This Row],[Days in Arrears]] &lt; 8, Table__192.168.1.150_M_CONSOLIDATED_Delinquency_Compulsory_EOM[[#This Row],[Outstanding Balance]], 0 )</f>
        <v>5512571.1299999999</v>
      </c>
      <c r="V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 s="105" t="str">
        <f>VLOOKUP(Table__192.168.1.150_M_CONSOLIDATED_Delinquency_Compulsory_EOM[[#This Row],[Client No]],'Global Portfolio'!$B$2:$N$2500,10,FALSE)</f>
        <v>Health Care</v>
      </c>
      <c r="AA30" s="105" t="str">
        <f>VLOOKUP(Table__192.168.1.150_M_CONSOLIDATED_Delinquency_Compulsory_EOM[[#This Row],[Client No]],'Global Portfolio'!$B$2:$N$2500,11,FALSE)</f>
        <v>Health Care</v>
      </c>
      <c r="AB30" s="105" t="str">
        <f>VLOOKUP(Table__192.168.1.150_M_CONSOLIDATED_Delinquency_Compulsory_EOM[[#This Row],[Client No]],'Global Portfolio'!$B$2:$N$2500,12,FALSE)</f>
        <v>Others</v>
      </c>
    </row>
    <row r="31" spans="1:28" x14ac:dyDescent="0.25">
      <c r="A31">
        <v>101877</v>
      </c>
      <c r="B31" t="s">
        <v>1173</v>
      </c>
      <c r="C31" t="s">
        <v>1177</v>
      </c>
      <c r="D31" t="s">
        <v>1283</v>
      </c>
      <c r="E31">
        <v>-4</v>
      </c>
      <c r="F31">
        <v>80000000</v>
      </c>
      <c r="G31">
        <v>31439333.559999999</v>
      </c>
      <c r="H31">
        <v>3685648.99</v>
      </c>
      <c r="I31" t="s">
        <v>90</v>
      </c>
      <c r="J31">
        <v>586337.41</v>
      </c>
      <c r="K31">
        <v>8000000</v>
      </c>
      <c r="L31">
        <v>785983.34</v>
      </c>
      <c r="M31">
        <v>36856490.030000001</v>
      </c>
      <c r="N31" s="143">
        <v>42214.663188969906</v>
      </c>
      <c r="O31" s="143">
        <v>43317</v>
      </c>
      <c r="P31" t="s">
        <v>1178</v>
      </c>
      <c r="Q31" t="s">
        <v>1280</v>
      </c>
      <c r="R31" t="s">
        <v>1280</v>
      </c>
      <c r="S31" t="s">
        <v>1510</v>
      </c>
      <c r="T31">
        <v>36</v>
      </c>
      <c r="U31">
        <f>IF(Table__192.168.1.150_M_CONSOLIDATED_Delinquency_Compulsory_EOM[[#This Row],[Days in Arrears]] &lt; 8, Table__192.168.1.150_M_CONSOLIDATED_Delinquency_Compulsory_EOM[[#This Row],[Outstanding Balance]], 0 )</f>
        <v>31439333.559999999</v>
      </c>
      <c r="V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 s="105" t="str">
        <f>VLOOKUP(Table__192.168.1.150_M_CONSOLIDATED_Delinquency_Compulsory_EOM[[#This Row],[Client No]],'Global Portfolio'!$B$2:$N$2500,10,FALSE)</f>
        <v>Manufacturing</v>
      </c>
      <c r="AA31" s="105" t="str">
        <f>VLOOKUP(Table__192.168.1.150_M_CONSOLIDATED_Delinquency_Compulsory_EOM[[#This Row],[Client No]],'Global Portfolio'!$B$2:$N$2500,11,FALSE)</f>
        <v>Food Manufacturing</v>
      </c>
      <c r="AB31" s="105" t="str">
        <f>VLOOKUP(Table__192.168.1.150_M_CONSOLIDATED_Delinquency_Compulsory_EOM[[#This Row],[Client No]],'Global Portfolio'!$B$2:$N$2500,12,FALSE)</f>
        <v>Others</v>
      </c>
    </row>
    <row r="32" spans="1:28" x14ac:dyDescent="0.25">
      <c r="A32">
        <v>101892</v>
      </c>
      <c r="B32" t="s">
        <v>223</v>
      </c>
      <c r="C32" t="s">
        <v>224</v>
      </c>
      <c r="D32" t="s">
        <v>1283</v>
      </c>
      <c r="E32">
        <v>119</v>
      </c>
      <c r="F32">
        <v>42870509</v>
      </c>
      <c r="G32">
        <v>4853148.8099999996</v>
      </c>
      <c r="H32">
        <v>2536308.1</v>
      </c>
      <c r="I32" t="s">
        <v>5725</v>
      </c>
      <c r="J32">
        <v>0</v>
      </c>
      <c r="K32">
        <v>0</v>
      </c>
      <c r="L32">
        <v>217005.08</v>
      </c>
      <c r="M32">
        <v>5072616.33</v>
      </c>
      <c r="N32" s="143">
        <v>42216.629636655096</v>
      </c>
      <c r="O32" s="143">
        <v>42949</v>
      </c>
      <c r="P32" t="s">
        <v>225</v>
      </c>
      <c r="Q32" t="s">
        <v>226</v>
      </c>
      <c r="R32" t="s">
        <v>1280</v>
      </c>
      <c r="S32" t="s">
        <v>1510</v>
      </c>
      <c r="T32">
        <v>36</v>
      </c>
      <c r="U32">
        <f>IF(Table__192.168.1.150_M_CONSOLIDATED_Delinquency_Compulsory_EOM[[#This Row],[Days in Arrears]] &lt; 8, Table__192.168.1.150_M_CONSOLIDATED_Delinquency_Compulsory_EOM[[#This Row],[Outstanding Balance]], 0 )</f>
        <v>0</v>
      </c>
      <c r="V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4853148.8099999996</v>
      </c>
      <c r="Z32" s="105" t="str">
        <f>VLOOKUP(Table__192.168.1.150_M_CONSOLIDATED_Delinquency_Compulsory_EOM[[#This Row],[Client No]],'Global Portfolio'!$B$2:$N$2500,10,FALSE)</f>
        <v>Retail</v>
      </c>
      <c r="AA32" s="105" t="str">
        <f>VLOOKUP(Table__192.168.1.150_M_CONSOLIDATED_Delinquency_Compulsory_EOM[[#This Row],[Client No]],'Global Portfolio'!$B$2:$N$2500,11,FALSE)</f>
        <v>Others</v>
      </c>
      <c r="AB32" s="105" t="str">
        <f>VLOOKUP(Table__192.168.1.150_M_CONSOLIDATED_Delinquency_Compulsory_EOM[[#This Row],[Client No]],'Global Portfolio'!$B$2:$N$2500,12,FALSE)</f>
        <v>Others</v>
      </c>
    </row>
    <row r="33" spans="1:28" x14ac:dyDescent="0.25">
      <c r="A33">
        <v>101895</v>
      </c>
      <c r="B33" t="s">
        <v>649</v>
      </c>
      <c r="C33" t="s">
        <v>654</v>
      </c>
      <c r="D33" t="s">
        <v>1283</v>
      </c>
      <c r="E33">
        <v>29</v>
      </c>
      <c r="F33">
        <v>55381803</v>
      </c>
      <c r="G33">
        <v>23516676.079999998</v>
      </c>
      <c r="H33">
        <v>2541622.33</v>
      </c>
      <c r="I33" t="s">
        <v>5726</v>
      </c>
      <c r="J33">
        <v>0</v>
      </c>
      <c r="K33">
        <v>0</v>
      </c>
      <c r="L33">
        <v>1450346.84</v>
      </c>
      <c r="M33">
        <v>27485334.969999999</v>
      </c>
      <c r="N33" s="143">
        <v>42216.642023067128</v>
      </c>
      <c r="O33" s="143">
        <v>43314</v>
      </c>
      <c r="P33" t="s">
        <v>655</v>
      </c>
      <c r="Q33" t="s">
        <v>1280</v>
      </c>
      <c r="R33" t="s">
        <v>1280</v>
      </c>
      <c r="S33" t="s">
        <v>1510</v>
      </c>
      <c r="T33">
        <v>36</v>
      </c>
      <c r="U33">
        <f>IF(Table__192.168.1.150_M_CONSOLIDATED_Delinquency_Compulsory_EOM[[#This Row],[Days in Arrears]] &lt; 8, Table__192.168.1.150_M_CONSOLIDATED_Delinquency_Compulsory_EOM[[#This Row],[Outstanding Balance]], 0 )</f>
        <v>0</v>
      </c>
      <c r="V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23516676.079999998</v>
      </c>
      <c r="W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 s="105" t="str">
        <f>VLOOKUP(Table__192.168.1.150_M_CONSOLIDATED_Delinquency_Compulsory_EOM[[#This Row],[Client No]],'Global Portfolio'!$B$2:$N$2500,10,FALSE)</f>
        <v>Retail</v>
      </c>
      <c r="AA33" s="105" t="str">
        <f>VLOOKUP(Table__192.168.1.150_M_CONSOLIDATED_Delinquency_Compulsory_EOM[[#This Row],[Client No]],'Global Portfolio'!$B$2:$N$2500,11,FALSE)</f>
        <v>Others</v>
      </c>
      <c r="AB33" s="105" t="str">
        <f>VLOOKUP(Table__192.168.1.150_M_CONSOLIDATED_Delinquency_Compulsory_EOM[[#This Row],[Client No]],'Global Portfolio'!$B$2:$N$2500,12,FALSE)</f>
        <v>Others</v>
      </c>
    </row>
    <row r="34" spans="1:28" x14ac:dyDescent="0.25">
      <c r="A34">
        <v>101896</v>
      </c>
      <c r="B34" t="s">
        <v>621</v>
      </c>
      <c r="C34" t="s">
        <v>623</v>
      </c>
      <c r="D34" t="s">
        <v>1284</v>
      </c>
      <c r="E34">
        <v>-1</v>
      </c>
      <c r="F34">
        <v>70000000</v>
      </c>
      <c r="G34">
        <v>13300829.32</v>
      </c>
      <c r="H34">
        <v>3578282.81</v>
      </c>
      <c r="I34" t="s">
        <v>1039</v>
      </c>
      <c r="J34">
        <v>355930.91</v>
      </c>
      <c r="K34">
        <v>3500000</v>
      </c>
      <c r="L34">
        <v>372423.22</v>
      </c>
      <c r="M34">
        <v>14313131.24</v>
      </c>
      <c r="N34" s="143">
        <v>42216.681677314817</v>
      </c>
      <c r="O34" s="143">
        <v>43133</v>
      </c>
      <c r="P34" t="s">
        <v>624</v>
      </c>
      <c r="Q34" t="s">
        <v>625</v>
      </c>
      <c r="R34" t="s">
        <v>1280</v>
      </c>
      <c r="S34" t="s">
        <v>1510</v>
      </c>
      <c r="T34">
        <v>36</v>
      </c>
      <c r="U34">
        <f>IF(Table__192.168.1.150_M_CONSOLIDATED_Delinquency_Compulsory_EOM[[#This Row],[Days in Arrears]] &lt; 8, Table__192.168.1.150_M_CONSOLIDATED_Delinquency_Compulsory_EOM[[#This Row],[Outstanding Balance]], 0 )</f>
        <v>13300829.32</v>
      </c>
      <c r="V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 s="105" t="str">
        <f>VLOOKUP(Table__192.168.1.150_M_CONSOLIDATED_Delinquency_Compulsory_EOM[[#This Row],[Client No]],'Global Portfolio'!$B$2:$N$2500,10,FALSE)</f>
        <v>Construction</v>
      </c>
      <c r="AA34" s="105" t="str">
        <f>VLOOKUP(Table__192.168.1.150_M_CONSOLIDATED_Delinquency_Compulsory_EOM[[#This Row],[Client No]],'Global Portfolio'!$B$2:$N$2500,11,FALSE)</f>
        <v>Others</v>
      </c>
      <c r="AB34" s="105" t="str">
        <f>VLOOKUP(Table__192.168.1.150_M_CONSOLIDATED_Delinquency_Compulsory_EOM[[#This Row],[Client No]],'Global Portfolio'!$B$2:$N$2500,12,FALSE)</f>
        <v>Others</v>
      </c>
    </row>
    <row r="35" spans="1:28" x14ac:dyDescent="0.25">
      <c r="A35">
        <v>101898</v>
      </c>
      <c r="B35" t="s">
        <v>1087</v>
      </c>
      <c r="C35" t="s">
        <v>1088</v>
      </c>
      <c r="D35" t="s">
        <v>1283</v>
      </c>
      <c r="E35">
        <v>-4</v>
      </c>
      <c r="F35">
        <v>80000000</v>
      </c>
      <c r="G35">
        <v>31408986.52</v>
      </c>
      <c r="H35">
        <v>3682091.42</v>
      </c>
      <c r="I35" t="s">
        <v>2855</v>
      </c>
      <c r="J35">
        <v>313817.15999999997</v>
      </c>
      <c r="K35">
        <v>8000000</v>
      </c>
      <c r="L35">
        <v>785224.66</v>
      </c>
      <c r="M35">
        <v>36820914</v>
      </c>
      <c r="N35" s="143">
        <v>42216.722978275466</v>
      </c>
      <c r="O35" s="143">
        <v>43317</v>
      </c>
      <c r="P35" t="s">
        <v>1089</v>
      </c>
      <c r="Q35" t="s">
        <v>1280</v>
      </c>
      <c r="R35" t="s">
        <v>1280</v>
      </c>
      <c r="S35" t="s">
        <v>1510</v>
      </c>
      <c r="T35">
        <v>36</v>
      </c>
      <c r="U35">
        <f>IF(Table__192.168.1.150_M_CONSOLIDATED_Delinquency_Compulsory_EOM[[#This Row],[Days in Arrears]] &lt; 8, Table__192.168.1.150_M_CONSOLIDATED_Delinquency_Compulsory_EOM[[#This Row],[Outstanding Balance]], 0 )</f>
        <v>31408986.52</v>
      </c>
      <c r="V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 s="105" t="str">
        <f>VLOOKUP(Table__192.168.1.150_M_CONSOLIDATED_Delinquency_Compulsory_EOM[[#This Row],[Client No]],'Global Portfolio'!$B$2:$N$2500,10,FALSE)</f>
        <v>Restaurants and Hotels</v>
      </c>
      <c r="AA35" s="105" t="str">
        <f>VLOOKUP(Table__192.168.1.150_M_CONSOLIDATED_Delinquency_Compulsory_EOM[[#This Row],[Client No]],'Global Portfolio'!$B$2:$N$2500,11,FALSE)</f>
        <v>Hotel</v>
      </c>
      <c r="AB35" s="105" t="str">
        <f>VLOOKUP(Table__192.168.1.150_M_CONSOLIDATED_Delinquency_Compulsory_EOM[[#This Row],[Client No]],'Global Portfolio'!$B$2:$N$2500,12,FALSE)</f>
        <v>Others</v>
      </c>
    </row>
    <row r="36" spans="1:28" x14ac:dyDescent="0.25">
      <c r="A36">
        <v>101902</v>
      </c>
      <c r="B36" t="s">
        <v>572</v>
      </c>
      <c r="C36" t="s">
        <v>573</v>
      </c>
      <c r="D36" t="s">
        <v>1283</v>
      </c>
      <c r="E36">
        <v>-1</v>
      </c>
      <c r="F36">
        <v>80000000</v>
      </c>
      <c r="G36">
        <v>31317946</v>
      </c>
      <c r="H36">
        <v>3671418.69</v>
      </c>
      <c r="I36" t="s">
        <v>4684</v>
      </c>
      <c r="J36">
        <v>5054795.99</v>
      </c>
      <c r="K36">
        <v>0</v>
      </c>
      <c r="L36">
        <v>876902.49</v>
      </c>
      <c r="M36">
        <v>36714186.719999999</v>
      </c>
      <c r="N36" s="143">
        <v>42216.604566319445</v>
      </c>
      <c r="O36" s="143">
        <v>43314</v>
      </c>
      <c r="P36" t="s">
        <v>574</v>
      </c>
      <c r="Q36" t="s">
        <v>575</v>
      </c>
      <c r="R36" t="s">
        <v>1280</v>
      </c>
      <c r="S36" t="s">
        <v>1510</v>
      </c>
      <c r="T36">
        <v>36</v>
      </c>
      <c r="U36">
        <f>IF(Table__192.168.1.150_M_CONSOLIDATED_Delinquency_Compulsory_EOM[[#This Row],[Days in Arrears]] &lt; 8, Table__192.168.1.150_M_CONSOLIDATED_Delinquency_Compulsory_EOM[[#This Row],[Outstanding Balance]], 0 )</f>
        <v>31317946</v>
      </c>
      <c r="V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 s="105" t="str">
        <f>VLOOKUP(Table__192.168.1.150_M_CONSOLIDATED_Delinquency_Compulsory_EOM[[#This Row],[Client No]],'Global Portfolio'!$B$2:$N$2500,10,FALSE)</f>
        <v>Real Estate and Rental</v>
      </c>
      <c r="AA36" s="105" t="str">
        <f>VLOOKUP(Table__192.168.1.150_M_CONSOLIDATED_Delinquency_Compulsory_EOM[[#This Row],[Client No]],'Global Portfolio'!$B$2:$N$2500,11,FALSE)</f>
        <v>Rental</v>
      </c>
      <c r="AB36" s="105" t="str">
        <f>VLOOKUP(Table__192.168.1.150_M_CONSOLIDATED_Delinquency_Compulsory_EOM[[#This Row],[Client No]],'Global Portfolio'!$B$2:$N$2500,12,FALSE)</f>
        <v>Others</v>
      </c>
    </row>
    <row r="37" spans="1:28" x14ac:dyDescent="0.25">
      <c r="A37">
        <v>101903</v>
      </c>
      <c r="B37" t="s">
        <v>124</v>
      </c>
      <c r="C37" t="s">
        <v>282</v>
      </c>
      <c r="D37" t="s">
        <v>1284</v>
      </c>
      <c r="E37">
        <v>-3</v>
      </c>
      <c r="F37">
        <v>80000000</v>
      </c>
      <c r="G37">
        <v>31378639.780000001</v>
      </c>
      <c r="H37">
        <v>3678533.84</v>
      </c>
      <c r="I37" t="s">
        <v>491</v>
      </c>
      <c r="J37">
        <v>562347.71</v>
      </c>
      <c r="K37">
        <v>4000000</v>
      </c>
      <c r="L37">
        <v>815844.63</v>
      </c>
      <c r="M37">
        <v>36785338.380000003</v>
      </c>
      <c r="N37" s="143">
        <v>42216.62358402778</v>
      </c>
      <c r="O37" s="143">
        <v>43316</v>
      </c>
      <c r="P37" t="s">
        <v>283</v>
      </c>
      <c r="Q37" t="s">
        <v>1280</v>
      </c>
      <c r="R37" t="s">
        <v>1280</v>
      </c>
      <c r="S37" t="s">
        <v>1510</v>
      </c>
      <c r="T37">
        <v>36</v>
      </c>
      <c r="U37">
        <f>IF(Table__192.168.1.150_M_CONSOLIDATED_Delinquency_Compulsory_EOM[[#This Row],[Days in Arrears]] &lt; 8, Table__192.168.1.150_M_CONSOLIDATED_Delinquency_Compulsory_EOM[[#This Row],[Outstanding Balance]], 0 )</f>
        <v>31378639.780000001</v>
      </c>
      <c r="V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 s="105" t="str">
        <f>VLOOKUP(Table__192.168.1.150_M_CONSOLIDATED_Delinquency_Compulsory_EOM[[#This Row],[Client No]],'Global Portfolio'!$B$2:$N$2500,10,FALSE)</f>
        <v>Retail</v>
      </c>
      <c r="AA37" s="105" t="str">
        <f>VLOOKUP(Table__192.168.1.150_M_CONSOLIDATED_Delinquency_Compulsory_EOM[[#This Row],[Client No]],'Global Portfolio'!$B$2:$N$2500,11,FALSE)</f>
        <v>Motor Vehicle and Parts Dealers</v>
      </c>
      <c r="AB37" s="105" t="str">
        <f>VLOOKUP(Table__192.168.1.150_M_CONSOLIDATED_Delinquency_Compulsory_EOM[[#This Row],[Client No]],'Global Portfolio'!$B$2:$N$2500,12,FALSE)</f>
        <v>Automotive Parts, Accessories, &amp; Tire Stores</v>
      </c>
    </row>
    <row r="38" spans="1:28" x14ac:dyDescent="0.25">
      <c r="A38">
        <v>101906</v>
      </c>
      <c r="B38" t="s">
        <v>1195</v>
      </c>
      <c r="C38" t="s">
        <v>1197</v>
      </c>
      <c r="D38" t="s">
        <v>1281</v>
      </c>
      <c r="E38">
        <v>28</v>
      </c>
      <c r="F38">
        <v>22000000</v>
      </c>
      <c r="G38">
        <v>9759946</v>
      </c>
      <c r="H38">
        <v>1084251.58</v>
      </c>
      <c r="I38" t="s">
        <v>963</v>
      </c>
      <c r="J38">
        <v>0</v>
      </c>
      <c r="K38">
        <v>0</v>
      </c>
      <c r="L38">
        <v>503714.61</v>
      </c>
      <c r="M38">
        <v>11804839.27</v>
      </c>
      <c r="N38" s="143">
        <v>42219.586541006945</v>
      </c>
      <c r="O38" s="143">
        <v>43315</v>
      </c>
      <c r="P38" t="s">
        <v>1198</v>
      </c>
      <c r="Q38" t="s">
        <v>1199</v>
      </c>
      <c r="R38" t="s">
        <v>1280</v>
      </c>
      <c r="S38" t="s">
        <v>1510</v>
      </c>
      <c r="T38">
        <v>42</v>
      </c>
      <c r="U38">
        <f>IF(Table__192.168.1.150_M_CONSOLIDATED_Delinquency_Compulsory_EOM[[#This Row],[Days in Arrears]] &lt; 8, Table__192.168.1.150_M_CONSOLIDATED_Delinquency_Compulsory_EOM[[#This Row],[Outstanding Balance]], 0 )</f>
        <v>0</v>
      </c>
      <c r="V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9759946</v>
      </c>
      <c r="W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 s="105" t="str">
        <f>VLOOKUP(Table__192.168.1.150_M_CONSOLIDATED_Delinquency_Compulsory_EOM[[#This Row],[Client No]],'Global Portfolio'!$B$2:$N$2500,10,FALSE)</f>
        <v>Wholesale Trade</v>
      </c>
      <c r="AA38" s="105" t="str">
        <f>VLOOKUP(Table__192.168.1.150_M_CONSOLIDATED_Delinquency_Compulsory_EOM[[#This Row],[Client No]],'Global Portfolio'!$B$2:$N$2500,11,FALSE)</f>
        <v>Durable Goods</v>
      </c>
      <c r="AB38" s="105" t="str">
        <f>VLOOKUP(Table__192.168.1.150_M_CONSOLIDATED_Delinquency_Compulsory_EOM[[#This Row],[Client No]],'Global Portfolio'!$B$2:$N$2500,12,FALSE)</f>
        <v>Others</v>
      </c>
    </row>
    <row r="39" spans="1:28" x14ac:dyDescent="0.25">
      <c r="A39">
        <v>101908</v>
      </c>
      <c r="B39" t="s">
        <v>1196</v>
      </c>
      <c r="C39" t="s">
        <v>1200</v>
      </c>
      <c r="D39" t="s">
        <v>1283</v>
      </c>
      <c r="E39">
        <v>-2</v>
      </c>
      <c r="F39">
        <v>75000000</v>
      </c>
      <c r="G39">
        <v>14223270.51</v>
      </c>
      <c r="H39">
        <v>3826444.45</v>
      </c>
      <c r="I39" t="s">
        <v>2855</v>
      </c>
      <c r="J39">
        <v>16214.98</v>
      </c>
      <c r="K39">
        <v>7500000</v>
      </c>
      <c r="L39">
        <v>384028.3</v>
      </c>
      <c r="M39">
        <v>15305777.76</v>
      </c>
      <c r="N39" s="143">
        <v>42219.720567511577</v>
      </c>
      <c r="O39" s="143">
        <v>43134</v>
      </c>
      <c r="P39" t="s">
        <v>1201</v>
      </c>
      <c r="Q39" t="s">
        <v>1280</v>
      </c>
      <c r="R39" t="s">
        <v>1280</v>
      </c>
      <c r="S39" t="s">
        <v>1510</v>
      </c>
      <c r="T39">
        <v>36</v>
      </c>
      <c r="U39">
        <f>IF(Table__192.168.1.150_M_CONSOLIDATED_Delinquency_Compulsory_EOM[[#This Row],[Days in Arrears]] &lt; 8, Table__192.168.1.150_M_CONSOLIDATED_Delinquency_Compulsory_EOM[[#This Row],[Outstanding Balance]], 0 )</f>
        <v>14223270.51</v>
      </c>
      <c r="V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 s="105" t="str">
        <f>VLOOKUP(Table__192.168.1.150_M_CONSOLIDATED_Delinquency_Compulsory_EOM[[#This Row],[Client No]],'Global Portfolio'!$B$2:$N$2500,10,FALSE)</f>
        <v>Retail</v>
      </c>
      <c r="AA39" s="105" t="str">
        <f>VLOOKUP(Table__192.168.1.150_M_CONSOLIDATED_Delinquency_Compulsory_EOM[[#This Row],[Client No]],'Global Portfolio'!$B$2:$N$2500,11,FALSE)</f>
        <v>Others</v>
      </c>
      <c r="AB39" s="105" t="str">
        <f>VLOOKUP(Table__192.168.1.150_M_CONSOLIDATED_Delinquency_Compulsory_EOM[[#This Row],[Client No]],'Global Portfolio'!$B$2:$N$2500,12,FALSE)</f>
        <v>Others</v>
      </c>
    </row>
    <row r="40" spans="1:28" x14ac:dyDescent="0.25">
      <c r="A40">
        <v>101916</v>
      </c>
      <c r="B40" t="s">
        <v>1227</v>
      </c>
      <c r="C40" t="s">
        <v>1231</v>
      </c>
      <c r="D40" t="s">
        <v>1283</v>
      </c>
      <c r="E40">
        <v>-9</v>
      </c>
      <c r="F40">
        <v>50000000</v>
      </c>
      <c r="G40">
        <v>19592683.27</v>
      </c>
      <c r="H40">
        <v>2296860.16</v>
      </c>
      <c r="I40" t="s">
        <v>1191</v>
      </c>
      <c r="J40">
        <v>39027.24</v>
      </c>
      <c r="K40">
        <v>0</v>
      </c>
      <c r="L40">
        <v>391853.67</v>
      </c>
      <c r="M40">
        <v>22968601.91</v>
      </c>
      <c r="N40" s="143">
        <v>42223.544226238424</v>
      </c>
      <c r="O40" s="143">
        <v>43322</v>
      </c>
      <c r="P40" t="s">
        <v>1232</v>
      </c>
      <c r="Q40" t="s">
        <v>1280</v>
      </c>
      <c r="R40" t="s">
        <v>1280</v>
      </c>
      <c r="S40" t="s">
        <v>1510</v>
      </c>
      <c r="T40">
        <v>36</v>
      </c>
      <c r="U40">
        <f>IF(Table__192.168.1.150_M_CONSOLIDATED_Delinquency_Compulsory_EOM[[#This Row],[Days in Arrears]] &lt; 8, Table__192.168.1.150_M_CONSOLIDATED_Delinquency_Compulsory_EOM[[#This Row],[Outstanding Balance]], 0 )</f>
        <v>19592683.27</v>
      </c>
      <c r="V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 s="105" t="str">
        <f>VLOOKUP(Table__192.168.1.150_M_CONSOLIDATED_Delinquency_Compulsory_EOM[[#This Row],[Client No]],'Global Portfolio'!$B$2:$N$2500,10,FALSE)</f>
        <v>Wholesale Trade</v>
      </c>
      <c r="AA40" s="105" t="str">
        <f>VLOOKUP(Table__192.168.1.150_M_CONSOLIDATED_Delinquency_Compulsory_EOM[[#This Row],[Client No]],'Global Portfolio'!$B$2:$N$2500,11,FALSE)</f>
        <v>Others</v>
      </c>
      <c r="AB40" s="105" t="str">
        <f>VLOOKUP(Table__192.168.1.150_M_CONSOLIDATED_Delinquency_Compulsory_EOM[[#This Row],[Client No]],'Global Portfolio'!$B$2:$N$2500,12,FALSE)</f>
        <v>Others</v>
      </c>
    </row>
    <row r="41" spans="1:28" x14ac:dyDescent="0.25">
      <c r="A41">
        <v>101925</v>
      </c>
      <c r="B41" t="s">
        <v>1240</v>
      </c>
      <c r="C41" t="s">
        <v>1252</v>
      </c>
      <c r="D41" t="s">
        <v>1283</v>
      </c>
      <c r="E41">
        <v>-14</v>
      </c>
      <c r="F41">
        <v>31000000</v>
      </c>
      <c r="G41">
        <v>12147463.609999999</v>
      </c>
      <c r="H41">
        <v>1424053.3</v>
      </c>
      <c r="I41" t="s">
        <v>1191</v>
      </c>
      <c r="J41">
        <v>0</v>
      </c>
      <c r="K41">
        <v>0</v>
      </c>
      <c r="L41">
        <v>182211.95</v>
      </c>
      <c r="M41">
        <v>14240533.140000001</v>
      </c>
      <c r="N41" s="143">
        <v>42228.610583368056</v>
      </c>
      <c r="O41" s="143">
        <v>43327</v>
      </c>
      <c r="P41" t="s">
        <v>1253</v>
      </c>
      <c r="Q41" t="s">
        <v>1254</v>
      </c>
      <c r="R41" t="s">
        <v>1280</v>
      </c>
      <c r="S41" t="s">
        <v>1510</v>
      </c>
      <c r="T41">
        <v>36</v>
      </c>
      <c r="U41">
        <f>IF(Table__192.168.1.150_M_CONSOLIDATED_Delinquency_Compulsory_EOM[[#This Row],[Days in Arrears]] &lt; 8, Table__192.168.1.150_M_CONSOLIDATED_Delinquency_Compulsory_EOM[[#This Row],[Outstanding Balance]], 0 )</f>
        <v>12147463.609999999</v>
      </c>
      <c r="V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 s="105" t="str">
        <f>VLOOKUP(Table__192.168.1.150_M_CONSOLIDATED_Delinquency_Compulsory_EOM[[#This Row],[Client No]],'Global Portfolio'!$B$2:$N$2500,10,FALSE)</f>
        <v>Real Estate and Rental</v>
      </c>
      <c r="AA41" s="105" t="str">
        <f>VLOOKUP(Table__192.168.1.150_M_CONSOLIDATED_Delinquency_Compulsory_EOM[[#This Row],[Client No]],'Global Portfolio'!$B$2:$N$2500,11,FALSE)</f>
        <v>Rental</v>
      </c>
      <c r="AB41" s="105" t="str">
        <f>VLOOKUP(Table__192.168.1.150_M_CONSOLIDATED_Delinquency_Compulsory_EOM[[#This Row],[Client No]],'Global Portfolio'!$B$2:$N$2500,12,FALSE)</f>
        <v>Others</v>
      </c>
    </row>
    <row r="42" spans="1:28" x14ac:dyDescent="0.25">
      <c r="A42">
        <v>101931</v>
      </c>
      <c r="B42" t="s">
        <v>717</v>
      </c>
      <c r="C42" t="s">
        <v>718</v>
      </c>
      <c r="D42" t="s">
        <v>1841</v>
      </c>
      <c r="E42">
        <v>18</v>
      </c>
      <c r="F42">
        <v>43060872</v>
      </c>
      <c r="G42">
        <v>10051545.210000001</v>
      </c>
      <c r="H42">
        <v>2194800.85</v>
      </c>
      <c r="I42" t="s">
        <v>5726</v>
      </c>
      <c r="J42">
        <v>0</v>
      </c>
      <c r="K42">
        <v>0</v>
      </c>
      <c r="L42">
        <v>301546.36</v>
      </c>
      <c r="M42">
        <v>10958207.640000001</v>
      </c>
      <c r="N42" s="143">
        <v>42230.654949965276</v>
      </c>
      <c r="O42" s="143">
        <v>43144</v>
      </c>
      <c r="P42" t="s">
        <v>719</v>
      </c>
      <c r="Q42" t="s">
        <v>720</v>
      </c>
      <c r="R42" t="s">
        <v>1280</v>
      </c>
      <c r="S42" t="s">
        <v>1510</v>
      </c>
      <c r="T42">
        <v>36</v>
      </c>
      <c r="U42">
        <f>IF(Table__192.168.1.150_M_CONSOLIDATED_Delinquency_Compulsory_EOM[[#This Row],[Days in Arrears]] &lt; 8, Table__192.168.1.150_M_CONSOLIDATED_Delinquency_Compulsory_EOM[[#This Row],[Outstanding Balance]], 0 )</f>
        <v>0</v>
      </c>
      <c r="V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10051545.210000001</v>
      </c>
      <c r="W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 s="105" t="str">
        <f>VLOOKUP(Table__192.168.1.150_M_CONSOLIDATED_Delinquency_Compulsory_EOM[[#This Row],[Client No]],'Global Portfolio'!$B$2:$N$2500,10,FALSE)</f>
        <v>Other Services</v>
      </c>
      <c r="AA42" s="105" t="str">
        <f>VLOOKUP(Table__192.168.1.150_M_CONSOLIDATED_Delinquency_Compulsory_EOM[[#This Row],[Client No]],'Global Portfolio'!$B$2:$N$2500,11,FALSE)</f>
        <v>Others</v>
      </c>
      <c r="AB42" s="105" t="str">
        <f>VLOOKUP(Table__192.168.1.150_M_CONSOLIDATED_Delinquency_Compulsory_EOM[[#This Row],[Client No]],'Global Portfolio'!$B$2:$N$2500,12,FALSE)</f>
        <v>Others</v>
      </c>
    </row>
    <row r="43" spans="1:28" x14ac:dyDescent="0.25">
      <c r="A43">
        <v>101939</v>
      </c>
      <c r="B43" t="s">
        <v>1123</v>
      </c>
      <c r="C43" t="s">
        <v>1125</v>
      </c>
      <c r="D43" t="s">
        <v>1284</v>
      </c>
      <c r="E43">
        <v>43</v>
      </c>
      <c r="F43">
        <v>55000000</v>
      </c>
      <c r="G43">
        <v>24849557.609999999</v>
      </c>
      <c r="H43">
        <v>2519208.6800000002</v>
      </c>
      <c r="I43" t="s">
        <v>5724</v>
      </c>
      <c r="J43">
        <v>52554.54</v>
      </c>
      <c r="K43">
        <v>0</v>
      </c>
      <c r="L43">
        <v>942471.36</v>
      </c>
      <c r="M43">
        <v>29251562.120000001</v>
      </c>
      <c r="N43" s="143">
        <v>42234.622842789351</v>
      </c>
      <c r="O43" s="143">
        <v>43330</v>
      </c>
      <c r="P43" t="s">
        <v>1126</v>
      </c>
      <c r="Q43" t="s">
        <v>1280</v>
      </c>
      <c r="R43" t="s">
        <v>1280</v>
      </c>
      <c r="S43" t="s">
        <v>1510</v>
      </c>
      <c r="T43">
        <v>36</v>
      </c>
      <c r="U43">
        <f>IF(Table__192.168.1.150_M_CONSOLIDATED_Delinquency_Compulsory_EOM[[#This Row],[Days in Arrears]] &lt; 8, Table__192.168.1.150_M_CONSOLIDATED_Delinquency_Compulsory_EOM[[#This Row],[Outstanding Balance]], 0 )</f>
        <v>0</v>
      </c>
      <c r="V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24849557.609999999</v>
      </c>
      <c r="X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 s="105" t="str">
        <f>VLOOKUP(Table__192.168.1.150_M_CONSOLIDATED_Delinquency_Compulsory_EOM[[#This Row],[Client No]],'Global Portfolio'!$B$2:$N$2500,10,FALSE)</f>
        <v>Retail</v>
      </c>
      <c r="AA43" s="105" t="str">
        <f>VLOOKUP(Table__192.168.1.150_M_CONSOLIDATED_Delinquency_Compulsory_EOM[[#This Row],[Client No]],'Global Portfolio'!$B$2:$N$2500,11,FALSE)</f>
        <v>Others</v>
      </c>
      <c r="AB43" s="105" t="str">
        <f>VLOOKUP(Table__192.168.1.150_M_CONSOLIDATED_Delinquency_Compulsory_EOM[[#This Row],[Client No]],'Global Portfolio'!$B$2:$N$2500,12,FALSE)</f>
        <v>Others</v>
      </c>
    </row>
    <row r="44" spans="1:28" x14ac:dyDescent="0.25">
      <c r="A44">
        <v>101943</v>
      </c>
      <c r="B44" t="s">
        <v>1266</v>
      </c>
      <c r="C44" t="s">
        <v>1267</v>
      </c>
      <c r="D44" t="s">
        <v>1283</v>
      </c>
      <c r="E44">
        <v>-20</v>
      </c>
      <c r="F44">
        <v>60000000</v>
      </c>
      <c r="G44">
        <v>24060353.460000001</v>
      </c>
      <c r="H44">
        <v>2740223.1</v>
      </c>
      <c r="I44" t="s">
        <v>5167</v>
      </c>
      <c r="J44">
        <v>0</v>
      </c>
      <c r="K44">
        <v>0</v>
      </c>
      <c r="L44">
        <v>997142.5</v>
      </c>
      <c r="M44">
        <v>28323747.190000001</v>
      </c>
      <c r="N44" s="143">
        <v>42234.675016782407</v>
      </c>
      <c r="O44" s="143">
        <v>43333</v>
      </c>
      <c r="P44" t="s">
        <v>1268</v>
      </c>
      <c r="Q44" t="s">
        <v>1269</v>
      </c>
      <c r="R44" t="s">
        <v>1280</v>
      </c>
      <c r="S44" t="s">
        <v>1510</v>
      </c>
      <c r="T44">
        <v>36</v>
      </c>
      <c r="U44">
        <f>IF(Table__192.168.1.150_M_CONSOLIDATED_Delinquency_Compulsory_EOM[[#This Row],[Days in Arrears]] &lt; 8, Table__192.168.1.150_M_CONSOLIDATED_Delinquency_Compulsory_EOM[[#This Row],[Outstanding Balance]], 0 )</f>
        <v>24060353.460000001</v>
      </c>
      <c r="V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 s="105" t="str">
        <f>VLOOKUP(Table__192.168.1.150_M_CONSOLIDATED_Delinquency_Compulsory_EOM[[#This Row],[Client No]],'Global Portfolio'!$B$2:$N$2500,10,FALSE)</f>
        <v>Retail</v>
      </c>
      <c r="AA44" s="105" t="str">
        <f>VLOOKUP(Table__192.168.1.150_M_CONSOLIDATED_Delinquency_Compulsory_EOM[[#This Row],[Client No]],'Global Portfolio'!$B$2:$N$2500,11,FALSE)</f>
        <v>Others</v>
      </c>
      <c r="AB44" s="105" t="str">
        <f>VLOOKUP(Table__192.168.1.150_M_CONSOLIDATED_Delinquency_Compulsory_EOM[[#This Row],[Client No]],'Global Portfolio'!$B$2:$N$2500,12,FALSE)</f>
        <v>Others</v>
      </c>
    </row>
    <row r="45" spans="1:28" x14ac:dyDescent="0.25">
      <c r="A45">
        <v>101944</v>
      </c>
      <c r="B45" t="s">
        <v>451</v>
      </c>
      <c r="C45" t="s">
        <v>454</v>
      </c>
      <c r="D45" t="s">
        <v>1850</v>
      </c>
      <c r="E45">
        <v>29</v>
      </c>
      <c r="F45">
        <v>64937977</v>
      </c>
      <c r="G45">
        <v>29980930.129999999</v>
      </c>
      <c r="H45">
        <v>3011946.78</v>
      </c>
      <c r="I45" t="s">
        <v>5724</v>
      </c>
      <c r="J45">
        <v>0</v>
      </c>
      <c r="K45">
        <v>0</v>
      </c>
      <c r="L45">
        <v>1655477.32</v>
      </c>
      <c r="M45">
        <v>36119095.039999999</v>
      </c>
      <c r="N45" s="143">
        <v>42235.604235219907</v>
      </c>
      <c r="O45" s="143">
        <v>43345</v>
      </c>
      <c r="P45" t="s">
        <v>455</v>
      </c>
      <c r="Q45" t="s">
        <v>456</v>
      </c>
      <c r="R45" t="s">
        <v>1280</v>
      </c>
      <c r="S45" t="s">
        <v>1510</v>
      </c>
      <c r="T45">
        <v>36</v>
      </c>
      <c r="U45">
        <f>IF(Table__192.168.1.150_M_CONSOLIDATED_Delinquency_Compulsory_EOM[[#This Row],[Days in Arrears]] &lt; 8, Table__192.168.1.150_M_CONSOLIDATED_Delinquency_Compulsory_EOM[[#This Row],[Outstanding Balance]], 0 )</f>
        <v>0</v>
      </c>
      <c r="V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29980930.129999999</v>
      </c>
      <c r="W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 s="105" t="str">
        <f>VLOOKUP(Table__192.168.1.150_M_CONSOLIDATED_Delinquency_Compulsory_EOM[[#This Row],[Client No]],'Global Portfolio'!$B$2:$N$2500,10,FALSE)</f>
        <v>Retail</v>
      </c>
      <c r="AA45" s="105" t="str">
        <f>VLOOKUP(Table__192.168.1.150_M_CONSOLIDATED_Delinquency_Compulsory_EOM[[#This Row],[Client No]],'Global Portfolio'!$B$2:$N$2500,11,FALSE)</f>
        <v>Others</v>
      </c>
      <c r="AB45" s="105" t="str">
        <f>VLOOKUP(Table__192.168.1.150_M_CONSOLIDATED_Delinquency_Compulsory_EOM[[#This Row],[Client No]],'Global Portfolio'!$B$2:$N$2500,12,FALSE)</f>
        <v>Others</v>
      </c>
    </row>
    <row r="46" spans="1:28" x14ac:dyDescent="0.25">
      <c r="A46">
        <v>101954</v>
      </c>
      <c r="B46" t="s">
        <v>854</v>
      </c>
      <c r="C46" t="s">
        <v>855</v>
      </c>
      <c r="D46" t="s">
        <v>1283</v>
      </c>
      <c r="E46">
        <v>-6</v>
      </c>
      <c r="F46">
        <v>72000000</v>
      </c>
      <c r="G46">
        <v>30987984.469999999</v>
      </c>
      <c r="H46">
        <v>3349102.28</v>
      </c>
      <c r="I46" t="s">
        <v>468</v>
      </c>
      <c r="J46">
        <v>575492.57999999996</v>
      </c>
      <c r="K46">
        <v>7200000</v>
      </c>
      <c r="L46">
        <v>712723.64</v>
      </c>
      <c r="M46">
        <v>36840125</v>
      </c>
      <c r="N46" s="143">
        <v>42237.669844328702</v>
      </c>
      <c r="O46" s="143">
        <v>43350</v>
      </c>
      <c r="P46" t="s">
        <v>856</v>
      </c>
      <c r="Q46" t="s">
        <v>857</v>
      </c>
      <c r="R46" t="s">
        <v>1280</v>
      </c>
      <c r="S46" t="s">
        <v>1510</v>
      </c>
      <c r="T46">
        <v>36</v>
      </c>
      <c r="U46">
        <f>IF(Table__192.168.1.150_M_CONSOLIDATED_Delinquency_Compulsory_EOM[[#This Row],[Days in Arrears]] &lt; 8, Table__192.168.1.150_M_CONSOLIDATED_Delinquency_Compulsory_EOM[[#This Row],[Outstanding Balance]], 0 )</f>
        <v>30987984.469999999</v>
      </c>
      <c r="V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 s="105" t="str">
        <f>VLOOKUP(Table__192.168.1.150_M_CONSOLIDATED_Delinquency_Compulsory_EOM[[#This Row],[Client No]],'Global Portfolio'!$B$2:$N$2500,10,FALSE)</f>
        <v>Restaurants and Hotels</v>
      </c>
      <c r="AA46" s="105" t="str">
        <f>VLOOKUP(Table__192.168.1.150_M_CONSOLIDATED_Delinquency_Compulsory_EOM[[#This Row],[Client No]],'Global Portfolio'!$B$2:$N$2500,11,FALSE)</f>
        <v>Others</v>
      </c>
      <c r="AB46" s="105" t="str">
        <f>VLOOKUP(Table__192.168.1.150_M_CONSOLIDATED_Delinquency_Compulsory_EOM[[#This Row],[Client No]],'Global Portfolio'!$B$2:$N$2500,12,FALSE)</f>
        <v>Others</v>
      </c>
    </row>
    <row r="47" spans="1:28" x14ac:dyDescent="0.25">
      <c r="A47">
        <v>101971</v>
      </c>
      <c r="B47" t="s">
        <v>215</v>
      </c>
      <c r="C47" t="s">
        <v>216</v>
      </c>
      <c r="D47" t="s">
        <v>1283</v>
      </c>
      <c r="E47">
        <v>60</v>
      </c>
      <c r="F47">
        <v>60000000</v>
      </c>
      <c r="G47">
        <v>29369158.379999999</v>
      </c>
      <c r="H47">
        <v>2761568.56</v>
      </c>
      <c r="I47" t="s">
        <v>5725</v>
      </c>
      <c r="J47">
        <v>0</v>
      </c>
      <c r="K47">
        <v>0</v>
      </c>
      <c r="L47">
        <v>1705734.69</v>
      </c>
      <c r="M47">
        <v>35900391.43</v>
      </c>
      <c r="N47" s="143">
        <v>42242.439896064818</v>
      </c>
      <c r="O47" s="143">
        <v>43344</v>
      </c>
      <c r="P47" t="s">
        <v>217</v>
      </c>
      <c r="Q47" t="s">
        <v>218</v>
      </c>
      <c r="R47" t="s">
        <v>1280</v>
      </c>
      <c r="S47" t="s">
        <v>1510</v>
      </c>
      <c r="T47">
        <v>36</v>
      </c>
      <c r="U47">
        <f>IF(Table__192.168.1.150_M_CONSOLIDATED_Delinquency_Compulsory_EOM[[#This Row],[Days in Arrears]] &lt; 8, Table__192.168.1.150_M_CONSOLIDATED_Delinquency_Compulsory_EOM[[#This Row],[Outstanding Balance]], 0 )</f>
        <v>0</v>
      </c>
      <c r="V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29369158.379999999</v>
      </c>
      <c r="Y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 s="105" t="str">
        <f>VLOOKUP(Table__192.168.1.150_M_CONSOLIDATED_Delinquency_Compulsory_EOM[[#This Row],[Client No]],'Global Portfolio'!$B$2:$N$2500,10,FALSE)</f>
        <v>Educational Services</v>
      </c>
      <c r="AA47" s="105" t="str">
        <f>VLOOKUP(Table__192.168.1.150_M_CONSOLIDATED_Delinquency_Compulsory_EOM[[#This Row],[Client No]],'Global Portfolio'!$B$2:$N$2500,11,FALSE)</f>
        <v>Educational Services</v>
      </c>
      <c r="AB47" s="105" t="str">
        <f>VLOOKUP(Table__192.168.1.150_M_CONSOLIDATED_Delinquency_Compulsory_EOM[[#This Row],[Client No]],'Global Portfolio'!$B$2:$N$2500,12,FALSE)</f>
        <v>Others</v>
      </c>
    </row>
    <row r="48" spans="1:28" x14ac:dyDescent="0.25">
      <c r="A48">
        <v>101980</v>
      </c>
      <c r="B48" t="s">
        <v>1145</v>
      </c>
      <c r="C48" t="s">
        <v>1270</v>
      </c>
      <c r="D48" t="s">
        <v>1282</v>
      </c>
      <c r="E48">
        <v>10</v>
      </c>
      <c r="F48">
        <v>14000000</v>
      </c>
      <c r="G48">
        <v>5056531.8600000003</v>
      </c>
      <c r="H48">
        <v>505634.88</v>
      </c>
      <c r="I48" t="s">
        <v>5726</v>
      </c>
      <c r="J48">
        <v>36.93</v>
      </c>
      <c r="K48">
        <v>0</v>
      </c>
      <c r="L48">
        <v>74977.460000000006</v>
      </c>
      <c r="M48">
        <v>5498149.8300000001</v>
      </c>
      <c r="N48" s="143">
        <v>42243.690604050928</v>
      </c>
      <c r="O48" s="143">
        <v>43333</v>
      </c>
      <c r="P48" t="s">
        <v>1271</v>
      </c>
      <c r="Q48" t="s">
        <v>1272</v>
      </c>
      <c r="R48" t="s">
        <v>1280</v>
      </c>
      <c r="S48" t="s">
        <v>1510</v>
      </c>
      <c r="T48">
        <v>18</v>
      </c>
      <c r="U48">
        <f>IF(Table__192.168.1.150_M_CONSOLIDATED_Delinquency_Compulsory_EOM[[#This Row],[Days in Arrears]] &lt; 8, Table__192.168.1.150_M_CONSOLIDATED_Delinquency_Compulsory_EOM[[#This Row],[Outstanding Balance]], 0 )</f>
        <v>0</v>
      </c>
      <c r="V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5056531.8600000003</v>
      </c>
      <c r="W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 s="105" t="str">
        <f>VLOOKUP(Table__192.168.1.150_M_CONSOLIDATED_Delinquency_Compulsory_EOM[[#This Row],[Client No]],'Global Portfolio'!$B$2:$N$2500,10,FALSE)</f>
        <v>Finance and Insurance</v>
      </c>
      <c r="AA48" s="105" t="str">
        <f>VLOOKUP(Table__192.168.1.150_M_CONSOLIDATED_Delinquency_Compulsory_EOM[[#This Row],[Client No]],'Global Portfolio'!$B$2:$N$2500,11,FALSE)</f>
        <v>Others</v>
      </c>
      <c r="AB48" s="105" t="str">
        <f>VLOOKUP(Table__192.168.1.150_M_CONSOLIDATED_Delinquency_Compulsory_EOM[[#This Row],[Client No]],'Global Portfolio'!$B$2:$N$2500,12,FALSE)</f>
        <v>Others</v>
      </c>
    </row>
    <row r="49" spans="1:28" x14ac:dyDescent="0.25">
      <c r="A49">
        <v>101990</v>
      </c>
      <c r="B49" t="s">
        <v>1301</v>
      </c>
      <c r="C49" t="s">
        <v>1302</v>
      </c>
      <c r="D49" t="s">
        <v>1283</v>
      </c>
      <c r="E49">
        <v>16</v>
      </c>
      <c r="F49">
        <v>40000000</v>
      </c>
      <c r="G49">
        <v>17227431.75</v>
      </c>
      <c r="H49">
        <v>1862391.17</v>
      </c>
      <c r="I49" t="s">
        <v>5724</v>
      </c>
      <c r="J49">
        <v>0</v>
      </c>
      <c r="K49">
        <v>0</v>
      </c>
      <c r="L49">
        <v>257943.15</v>
      </c>
      <c r="M49">
        <v>20467975.390000001</v>
      </c>
      <c r="N49" s="143">
        <v>42244.742318634257</v>
      </c>
      <c r="O49" s="143">
        <v>43358</v>
      </c>
      <c r="P49" t="s">
        <v>1303</v>
      </c>
      <c r="Q49" t="s">
        <v>1280</v>
      </c>
      <c r="R49" t="s">
        <v>1280</v>
      </c>
      <c r="S49" t="s">
        <v>1510</v>
      </c>
      <c r="T49">
        <v>36</v>
      </c>
      <c r="U49">
        <f>IF(Table__192.168.1.150_M_CONSOLIDATED_Delinquency_Compulsory_EOM[[#This Row],[Days in Arrears]] &lt; 8, Table__192.168.1.150_M_CONSOLIDATED_Delinquency_Compulsory_EOM[[#This Row],[Outstanding Balance]], 0 )</f>
        <v>0</v>
      </c>
      <c r="V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17227431.75</v>
      </c>
      <c r="W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 s="105" t="str">
        <f>VLOOKUP(Table__192.168.1.150_M_CONSOLIDATED_Delinquency_Compulsory_EOM[[#This Row],[Client No]],'Global Portfolio'!$B$2:$N$2500,10,FALSE)</f>
        <v>Construction</v>
      </c>
      <c r="AA49" s="105" t="str">
        <f>VLOOKUP(Table__192.168.1.150_M_CONSOLIDATED_Delinquency_Compulsory_EOM[[#This Row],[Client No]],'Global Portfolio'!$B$2:$N$2500,11,FALSE)</f>
        <v>Construction of Buildings</v>
      </c>
      <c r="AB49" s="105" t="str">
        <f>VLOOKUP(Table__192.168.1.150_M_CONSOLIDATED_Delinquency_Compulsory_EOM[[#This Row],[Client No]],'Global Portfolio'!$B$2:$N$2500,12,FALSE)</f>
        <v>Others</v>
      </c>
    </row>
    <row r="50" spans="1:28" x14ac:dyDescent="0.25">
      <c r="A50">
        <v>101991</v>
      </c>
      <c r="B50" t="s">
        <v>1304</v>
      </c>
      <c r="C50" t="s">
        <v>1305</v>
      </c>
      <c r="D50" t="s">
        <v>1283</v>
      </c>
      <c r="E50">
        <v>-4</v>
      </c>
      <c r="F50">
        <v>36500000</v>
      </c>
      <c r="G50">
        <v>8586304.0500000007</v>
      </c>
      <c r="H50">
        <v>1874858.71</v>
      </c>
      <c r="I50" t="s">
        <v>468</v>
      </c>
      <c r="J50">
        <v>248223.53</v>
      </c>
      <c r="K50">
        <v>0</v>
      </c>
      <c r="L50">
        <v>214657.6</v>
      </c>
      <c r="M50">
        <v>9374293.6999999993</v>
      </c>
      <c r="N50" s="143">
        <v>42244.750642743056</v>
      </c>
      <c r="O50" s="143">
        <v>43164</v>
      </c>
      <c r="P50" t="s">
        <v>1306</v>
      </c>
      <c r="Q50" t="s">
        <v>1280</v>
      </c>
      <c r="R50" t="s">
        <v>1280</v>
      </c>
      <c r="S50" t="s">
        <v>1510</v>
      </c>
      <c r="T50">
        <v>36</v>
      </c>
      <c r="U50">
        <f>IF(Table__192.168.1.150_M_CONSOLIDATED_Delinquency_Compulsory_EOM[[#This Row],[Days in Arrears]] &lt; 8, Table__192.168.1.150_M_CONSOLIDATED_Delinquency_Compulsory_EOM[[#This Row],[Outstanding Balance]], 0 )</f>
        <v>8586304.0500000007</v>
      </c>
      <c r="V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 s="105" t="str">
        <f>VLOOKUP(Table__192.168.1.150_M_CONSOLIDATED_Delinquency_Compulsory_EOM[[#This Row],[Client No]],'Global Portfolio'!$B$2:$N$2500,10,FALSE)</f>
        <v>Real Estate and Rental</v>
      </c>
      <c r="AA50" s="105" t="str">
        <f>VLOOKUP(Table__192.168.1.150_M_CONSOLIDATED_Delinquency_Compulsory_EOM[[#This Row],[Client No]],'Global Portfolio'!$B$2:$N$2500,11,FALSE)</f>
        <v>Rental</v>
      </c>
      <c r="AB50" s="105" t="str">
        <f>VLOOKUP(Table__192.168.1.150_M_CONSOLIDATED_Delinquency_Compulsory_EOM[[#This Row],[Client No]],'Global Portfolio'!$B$2:$N$2500,12,FALSE)</f>
        <v>Others</v>
      </c>
    </row>
    <row r="51" spans="1:28" x14ac:dyDescent="0.25">
      <c r="A51">
        <v>101997</v>
      </c>
      <c r="B51" t="s">
        <v>824</v>
      </c>
      <c r="C51" t="s">
        <v>729</v>
      </c>
      <c r="D51" t="s">
        <v>1850</v>
      </c>
      <c r="E51">
        <v>29</v>
      </c>
      <c r="F51">
        <v>45655298</v>
      </c>
      <c r="G51">
        <v>20876300.52</v>
      </c>
      <c r="H51">
        <v>2097276.71</v>
      </c>
      <c r="I51" t="s">
        <v>5725</v>
      </c>
      <c r="J51">
        <v>0</v>
      </c>
      <c r="K51">
        <v>0</v>
      </c>
      <c r="L51">
        <v>626289.02</v>
      </c>
      <c r="M51">
        <v>25167320.199999999</v>
      </c>
      <c r="N51" s="143">
        <v>42245.596607175925</v>
      </c>
      <c r="O51" s="143">
        <v>43345</v>
      </c>
      <c r="P51" t="s">
        <v>828</v>
      </c>
      <c r="Q51" t="s">
        <v>829</v>
      </c>
      <c r="R51" t="s">
        <v>1280</v>
      </c>
      <c r="S51" t="s">
        <v>1510</v>
      </c>
      <c r="T51">
        <v>36</v>
      </c>
      <c r="U51">
        <f>IF(Table__192.168.1.150_M_CONSOLIDATED_Delinquency_Compulsory_EOM[[#This Row],[Days in Arrears]] &lt; 8, Table__192.168.1.150_M_CONSOLIDATED_Delinquency_Compulsory_EOM[[#This Row],[Outstanding Balance]], 0 )</f>
        <v>0</v>
      </c>
      <c r="V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20876300.52</v>
      </c>
      <c r="W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 s="105" t="str">
        <f>VLOOKUP(Table__192.168.1.150_M_CONSOLIDATED_Delinquency_Compulsory_EOM[[#This Row],[Client No]],'Global Portfolio'!$B$2:$N$2500,10,FALSE)</f>
        <v>Real Estate and Rental</v>
      </c>
      <c r="AA51" s="105" t="str">
        <f>VLOOKUP(Table__192.168.1.150_M_CONSOLIDATED_Delinquency_Compulsory_EOM[[#This Row],[Client No]],'Global Portfolio'!$B$2:$N$2500,11,FALSE)</f>
        <v>Real Estate</v>
      </c>
      <c r="AB51" s="105" t="str">
        <f>VLOOKUP(Table__192.168.1.150_M_CONSOLIDATED_Delinquency_Compulsory_EOM[[#This Row],[Client No]],'Global Portfolio'!$B$2:$N$2500,12,FALSE)</f>
        <v>Others</v>
      </c>
    </row>
    <row r="52" spans="1:28" x14ac:dyDescent="0.25">
      <c r="A52">
        <v>102006</v>
      </c>
      <c r="B52" t="s">
        <v>1309</v>
      </c>
      <c r="C52" t="s">
        <v>1310</v>
      </c>
      <c r="D52" t="s">
        <v>1281</v>
      </c>
      <c r="E52">
        <v>86</v>
      </c>
      <c r="F52">
        <v>25000000</v>
      </c>
      <c r="G52">
        <v>2682654.79</v>
      </c>
      <c r="H52">
        <v>1565595.11</v>
      </c>
      <c r="I52" t="s">
        <v>5724</v>
      </c>
      <c r="J52">
        <v>0</v>
      </c>
      <c r="K52">
        <v>0</v>
      </c>
      <c r="L52">
        <v>51178.07</v>
      </c>
      <c r="M52">
        <v>2735597.62</v>
      </c>
      <c r="N52" s="143">
        <v>42247.742464317133</v>
      </c>
      <c r="O52" s="143">
        <v>42983</v>
      </c>
      <c r="P52" t="s">
        <v>1311</v>
      </c>
      <c r="Q52" t="s">
        <v>1312</v>
      </c>
      <c r="R52" t="s">
        <v>1280</v>
      </c>
      <c r="S52" t="s">
        <v>1510</v>
      </c>
      <c r="T52">
        <v>42</v>
      </c>
      <c r="U52">
        <f>IF(Table__192.168.1.150_M_CONSOLIDATED_Delinquency_Compulsory_EOM[[#This Row],[Days in Arrears]] &lt; 8, Table__192.168.1.150_M_CONSOLIDATED_Delinquency_Compulsory_EOM[[#This Row],[Outstanding Balance]], 0 )</f>
        <v>0</v>
      </c>
      <c r="V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2682654.79</v>
      </c>
      <c r="Y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 s="105" t="str">
        <f>VLOOKUP(Table__192.168.1.150_M_CONSOLIDATED_Delinquency_Compulsory_EOM[[#This Row],[Client No]],'Global Portfolio'!$B$2:$N$2500,10,FALSE)</f>
        <v>Transportation and Warehousing</v>
      </c>
      <c r="AA52" s="105" t="str">
        <f>VLOOKUP(Table__192.168.1.150_M_CONSOLIDATED_Delinquency_Compulsory_EOM[[#This Row],[Client No]],'Global Portfolio'!$B$2:$N$2500,11,FALSE)</f>
        <v>Truck Transportation</v>
      </c>
      <c r="AB52" s="105" t="str">
        <f>VLOOKUP(Table__192.168.1.150_M_CONSOLIDATED_Delinquency_Compulsory_EOM[[#This Row],[Client No]],'Global Portfolio'!$B$2:$N$2500,12,FALSE)</f>
        <v>General Freight Trucking, Long-distance</v>
      </c>
    </row>
    <row r="53" spans="1:28" x14ac:dyDescent="0.25">
      <c r="A53">
        <v>102010</v>
      </c>
      <c r="B53" t="s">
        <v>335</v>
      </c>
      <c r="C53" t="s">
        <v>336</v>
      </c>
      <c r="D53" t="s">
        <v>1284</v>
      </c>
      <c r="E53">
        <v>-6</v>
      </c>
      <c r="F53">
        <v>25000000</v>
      </c>
      <c r="G53">
        <v>10667138.1</v>
      </c>
      <c r="H53">
        <v>1152877.05</v>
      </c>
      <c r="I53" t="s">
        <v>546</v>
      </c>
      <c r="J53">
        <v>36122.949999999997</v>
      </c>
      <c r="K53">
        <v>1250000</v>
      </c>
      <c r="L53">
        <v>245344.18</v>
      </c>
      <c r="M53">
        <v>12681647.689999999</v>
      </c>
      <c r="N53" s="143">
        <v>42247.794150810187</v>
      </c>
      <c r="O53" s="143">
        <v>43350</v>
      </c>
      <c r="P53" t="s">
        <v>337</v>
      </c>
      <c r="Q53" t="s">
        <v>1280</v>
      </c>
      <c r="R53" t="s">
        <v>1280</v>
      </c>
      <c r="S53" t="s">
        <v>1510</v>
      </c>
      <c r="T53">
        <v>36</v>
      </c>
      <c r="U53">
        <f>IF(Table__192.168.1.150_M_CONSOLIDATED_Delinquency_Compulsory_EOM[[#This Row],[Days in Arrears]] &lt; 8, Table__192.168.1.150_M_CONSOLIDATED_Delinquency_Compulsory_EOM[[#This Row],[Outstanding Balance]], 0 )</f>
        <v>10667138.1</v>
      </c>
      <c r="V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 s="105" t="str">
        <f>VLOOKUP(Table__192.168.1.150_M_CONSOLIDATED_Delinquency_Compulsory_EOM[[#This Row],[Client No]],'Global Portfolio'!$B$2:$N$2500,10,FALSE)</f>
        <v>Other Services</v>
      </c>
      <c r="AA53" s="105" t="str">
        <f>VLOOKUP(Table__192.168.1.150_M_CONSOLIDATED_Delinquency_Compulsory_EOM[[#This Row],[Client No]],'Global Portfolio'!$B$2:$N$2500,11,FALSE)</f>
        <v>Others</v>
      </c>
      <c r="AB53" s="105" t="str">
        <f>VLOOKUP(Table__192.168.1.150_M_CONSOLIDATED_Delinquency_Compulsory_EOM[[#This Row],[Client No]],'Global Portfolio'!$B$2:$N$2500,12,FALSE)</f>
        <v>Others</v>
      </c>
    </row>
    <row r="54" spans="1:28" x14ac:dyDescent="0.25">
      <c r="A54">
        <v>102011</v>
      </c>
      <c r="B54" t="s">
        <v>487</v>
      </c>
      <c r="C54" t="s">
        <v>488</v>
      </c>
      <c r="D54" t="s">
        <v>1841</v>
      </c>
      <c r="E54">
        <v>-4</v>
      </c>
      <c r="F54">
        <v>22431597</v>
      </c>
      <c r="G54">
        <v>10007503.939999999</v>
      </c>
      <c r="H54">
        <v>1111753.28</v>
      </c>
      <c r="I54" t="s">
        <v>963</v>
      </c>
      <c r="J54">
        <v>0</v>
      </c>
      <c r="K54">
        <v>0</v>
      </c>
      <c r="L54">
        <v>291885.53000000003</v>
      </c>
      <c r="M54">
        <v>12229286.15</v>
      </c>
      <c r="N54" s="143">
        <v>42247.800327627316</v>
      </c>
      <c r="O54" s="143">
        <v>43348</v>
      </c>
      <c r="P54" t="s">
        <v>489</v>
      </c>
      <c r="Q54" t="s">
        <v>490</v>
      </c>
      <c r="R54" t="s">
        <v>1280</v>
      </c>
      <c r="S54" t="s">
        <v>1510</v>
      </c>
      <c r="T54">
        <v>42</v>
      </c>
      <c r="U54">
        <f>IF(Table__192.168.1.150_M_CONSOLIDATED_Delinquency_Compulsory_EOM[[#This Row],[Days in Arrears]] &lt; 8, Table__192.168.1.150_M_CONSOLIDATED_Delinquency_Compulsory_EOM[[#This Row],[Outstanding Balance]], 0 )</f>
        <v>10007503.939999999</v>
      </c>
      <c r="V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 s="105" t="str">
        <f>VLOOKUP(Table__192.168.1.150_M_CONSOLIDATED_Delinquency_Compulsory_EOM[[#This Row],[Client No]],'Global Portfolio'!$B$2:$N$2500,10,FALSE)</f>
        <v>Agriculture, Forestry, Fishing and Hunting</v>
      </c>
      <c r="AA54" s="105" t="str">
        <f>VLOOKUP(Table__192.168.1.150_M_CONSOLIDATED_Delinquency_Compulsory_EOM[[#This Row],[Client No]],'Global Portfolio'!$B$2:$N$2500,11,FALSE)</f>
        <v>Animal Production</v>
      </c>
      <c r="AB54" s="105" t="str">
        <f>VLOOKUP(Table__192.168.1.150_M_CONSOLIDATED_Delinquency_Compulsory_EOM[[#This Row],[Client No]],'Global Portfolio'!$B$2:$N$2500,12,FALSE)</f>
        <v>Poultry &amp; Egg Production</v>
      </c>
    </row>
    <row r="55" spans="1:28" x14ac:dyDescent="0.25">
      <c r="A55">
        <v>102044</v>
      </c>
      <c r="B55" t="s">
        <v>109</v>
      </c>
      <c r="C55" t="s">
        <v>267</v>
      </c>
      <c r="D55" t="s">
        <v>1284</v>
      </c>
      <c r="E55">
        <v>-9</v>
      </c>
      <c r="F55">
        <v>63762900</v>
      </c>
      <c r="G55">
        <v>26970582.52</v>
      </c>
      <c r="H55">
        <v>2914911.71</v>
      </c>
      <c r="I55" t="s">
        <v>1039</v>
      </c>
      <c r="J55">
        <v>0</v>
      </c>
      <c r="K55">
        <v>0</v>
      </c>
      <c r="L55">
        <v>1409862.94</v>
      </c>
      <c r="M55">
        <v>32064029.030000001</v>
      </c>
      <c r="N55" s="143">
        <v>42259.50795107639</v>
      </c>
      <c r="O55" s="143">
        <v>43353</v>
      </c>
      <c r="P55" t="s">
        <v>268</v>
      </c>
      <c r="Q55" t="s">
        <v>269</v>
      </c>
      <c r="R55" t="s">
        <v>1280</v>
      </c>
      <c r="S55" t="s">
        <v>1510</v>
      </c>
      <c r="T55">
        <v>36</v>
      </c>
      <c r="U55">
        <f>IF(Table__192.168.1.150_M_CONSOLIDATED_Delinquency_Compulsory_EOM[[#This Row],[Days in Arrears]] &lt; 8, Table__192.168.1.150_M_CONSOLIDATED_Delinquency_Compulsory_EOM[[#This Row],[Outstanding Balance]], 0 )</f>
        <v>26970582.52</v>
      </c>
      <c r="V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 s="105" t="str">
        <f>VLOOKUP(Table__192.168.1.150_M_CONSOLIDATED_Delinquency_Compulsory_EOM[[#This Row],[Client No]],'Global Portfolio'!$B$2:$N$2500,10,FALSE)</f>
        <v>Retail</v>
      </c>
      <c r="AA55" s="105" t="str">
        <f>VLOOKUP(Table__192.168.1.150_M_CONSOLIDATED_Delinquency_Compulsory_EOM[[#This Row],[Client No]],'Global Portfolio'!$B$2:$N$2500,11,FALSE)</f>
        <v>New-Clothing and  Accessories</v>
      </c>
      <c r="AB55" s="105" t="str">
        <f>VLOOKUP(Table__192.168.1.150_M_CONSOLIDATED_Delinquency_Compulsory_EOM[[#This Row],[Client No]],'Global Portfolio'!$B$2:$N$2500,12,FALSE)</f>
        <v>Others</v>
      </c>
    </row>
    <row r="56" spans="1:28" x14ac:dyDescent="0.25">
      <c r="A56">
        <v>102051</v>
      </c>
      <c r="B56" t="s">
        <v>1326</v>
      </c>
      <c r="C56" t="s">
        <v>1327</v>
      </c>
      <c r="D56" t="s">
        <v>1283</v>
      </c>
      <c r="E56">
        <v>163</v>
      </c>
      <c r="F56">
        <v>60000000</v>
      </c>
      <c r="G56">
        <v>36253749.93</v>
      </c>
      <c r="H56">
        <v>2753564.02</v>
      </c>
      <c r="I56" t="s">
        <v>5724</v>
      </c>
      <c r="J56">
        <v>0</v>
      </c>
      <c r="K56">
        <v>0</v>
      </c>
      <c r="L56">
        <v>2084222.67</v>
      </c>
      <c r="M56">
        <v>46804152.049999997</v>
      </c>
      <c r="N56" s="143">
        <v>42263.613655173613</v>
      </c>
      <c r="O56" s="143">
        <v>43361</v>
      </c>
      <c r="P56" t="s">
        <v>1328</v>
      </c>
      <c r="Q56" t="s">
        <v>1280</v>
      </c>
      <c r="R56" t="s">
        <v>1280</v>
      </c>
      <c r="S56" t="s">
        <v>1510</v>
      </c>
      <c r="T56">
        <v>36</v>
      </c>
      <c r="U56">
        <f>IF(Table__192.168.1.150_M_CONSOLIDATED_Delinquency_Compulsory_EOM[[#This Row],[Days in Arrears]] &lt; 8, Table__192.168.1.150_M_CONSOLIDATED_Delinquency_Compulsory_EOM[[#This Row],[Outstanding Balance]], 0 )</f>
        <v>0</v>
      </c>
      <c r="V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36253749.93</v>
      </c>
      <c r="Z56" s="105" t="str">
        <f>VLOOKUP(Table__192.168.1.150_M_CONSOLIDATED_Delinquency_Compulsory_EOM[[#This Row],[Client No]],'Global Portfolio'!$B$2:$N$2500,10,FALSE)</f>
        <v>Wholesale Trade</v>
      </c>
      <c r="AA56" s="105" t="str">
        <f>VLOOKUP(Table__192.168.1.150_M_CONSOLIDATED_Delinquency_Compulsory_EOM[[#This Row],[Client No]],'Global Portfolio'!$B$2:$N$2500,11,FALSE)</f>
        <v>Nondurable Goods</v>
      </c>
      <c r="AB56" s="105" t="str">
        <f>VLOOKUP(Table__192.168.1.150_M_CONSOLIDATED_Delinquency_Compulsory_EOM[[#This Row],[Client No]],'Global Portfolio'!$B$2:$N$2500,12,FALSE)</f>
        <v>Others</v>
      </c>
    </row>
    <row r="57" spans="1:28" x14ac:dyDescent="0.25">
      <c r="A57">
        <v>102056</v>
      </c>
      <c r="B57" t="s">
        <v>1370</v>
      </c>
      <c r="C57" t="s">
        <v>1371</v>
      </c>
      <c r="D57" t="s">
        <v>1283</v>
      </c>
      <c r="E57">
        <v>11</v>
      </c>
      <c r="F57">
        <v>45000000</v>
      </c>
      <c r="G57">
        <v>19323959.43</v>
      </c>
      <c r="H57">
        <v>2067174.15</v>
      </c>
      <c r="I57" t="s">
        <v>1191</v>
      </c>
      <c r="J57">
        <v>0</v>
      </c>
      <c r="K57">
        <v>0</v>
      </c>
      <c r="L57">
        <v>191267.85</v>
      </c>
      <c r="M57">
        <v>22936089.649999999</v>
      </c>
      <c r="N57" s="143">
        <v>42264.720444016202</v>
      </c>
      <c r="O57" s="143">
        <v>43363</v>
      </c>
      <c r="P57" t="s">
        <v>1372</v>
      </c>
      <c r="Q57" t="s">
        <v>1715</v>
      </c>
      <c r="R57" t="s">
        <v>4801</v>
      </c>
      <c r="S57" t="s">
        <v>1510</v>
      </c>
      <c r="T57">
        <v>36</v>
      </c>
      <c r="U57">
        <f>IF(Table__192.168.1.150_M_CONSOLIDATED_Delinquency_Compulsory_EOM[[#This Row],[Days in Arrears]] &lt; 8, Table__192.168.1.150_M_CONSOLIDATED_Delinquency_Compulsory_EOM[[#This Row],[Outstanding Balance]], 0 )</f>
        <v>0</v>
      </c>
      <c r="V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19323959.43</v>
      </c>
      <c r="W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 s="105" t="str">
        <f>VLOOKUP(Table__192.168.1.150_M_CONSOLIDATED_Delinquency_Compulsory_EOM[[#This Row],[Client No]],'Global Portfolio'!$B$2:$N$2500,10,FALSE)</f>
        <v>Real Estate and Rental</v>
      </c>
      <c r="AA57" s="105" t="str">
        <f>VLOOKUP(Table__192.168.1.150_M_CONSOLIDATED_Delinquency_Compulsory_EOM[[#This Row],[Client No]],'Global Portfolio'!$B$2:$N$2500,11,FALSE)</f>
        <v>Rental</v>
      </c>
      <c r="AB57" s="105" t="str">
        <f>VLOOKUP(Table__192.168.1.150_M_CONSOLIDATED_Delinquency_Compulsory_EOM[[#This Row],[Client No]],'Global Portfolio'!$B$2:$N$2500,12,FALSE)</f>
        <v>Others</v>
      </c>
    </row>
    <row r="58" spans="1:28" x14ac:dyDescent="0.25">
      <c r="A58">
        <v>102057</v>
      </c>
      <c r="B58" t="s">
        <v>1211</v>
      </c>
      <c r="C58" t="s">
        <v>1213</v>
      </c>
      <c r="D58" t="s">
        <v>1850</v>
      </c>
      <c r="E58">
        <v>39</v>
      </c>
      <c r="F58">
        <v>10446351</v>
      </c>
      <c r="G58">
        <v>3333418.48</v>
      </c>
      <c r="H58">
        <v>535034.86</v>
      </c>
      <c r="I58" t="s">
        <v>5724</v>
      </c>
      <c r="J58">
        <v>0</v>
      </c>
      <c r="K58">
        <v>0</v>
      </c>
      <c r="L58">
        <v>261893.86</v>
      </c>
      <c r="M58">
        <v>3700348.5</v>
      </c>
      <c r="N58" s="143">
        <v>42265.354739814815</v>
      </c>
      <c r="O58" s="143">
        <v>43181</v>
      </c>
      <c r="P58" t="s">
        <v>1214</v>
      </c>
      <c r="Q58" t="s">
        <v>1280</v>
      </c>
      <c r="R58" t="s">
        <v>1280</v>
      </c>
      <c r="S58" t="s">
        <v>1510</v>
      </c>
      <c r="T58">
        <v>36</v>
      </c>
      <c r="U58">
        <f>IF(Table__192.168.1.150_M_CONSOLIDATED_Delinquency_Compulsory_EOM[[#This Row],[Days in Arrears]] &lt; 8, Table__192.168.1.150_M_CONSOLIDATED_Delinquency_Compulsory_EOM[[#This Row],[Outstanding Balance]], 0 )</f>
        <v>0</v>
      </c>
      <c r="V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3333418.48</v>
      </c>
      <c r="X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 s="105" t="str">
        <f>VLOOKUP(Table__192.168.1.150_M_CONSOLIDATED_Delinquency_Compulsory_EOM[[#This Row],[Client No]],'Global Portfolio'!$B$2:$N$2500,10,FALSE)</f>
        <v>Real Estate and Rental</v>
      </c>
      <c r="AA58" s="105" t="str">
        <f>VLOOKUP(Table__192.168.1.150_M_CONSOLIDATED_Delinquency_Compulsory_EOM[[#This Row],[Client No]],'Global Portfolio'!$B$2:$N$2500,11,FALSE)</f>
        <v>Rental</v>
      </c>
      <c r="AB58" s="105" t="str">
        <f>VLOOKUP(Table__192.168.1.150_M_CONSOLIDATED_Delinquency_Compulsory_EOM[[#This Row],[Client No]],'Global Portfolio'!$B$2:$N$2500,12,FALSE)</f>
        <v>Others</v>
      </c>
    </row>
    <row r="59" spans="1:28" x14ac:dyDescent="0.25">
      <c r="A59">
        <v>102064</v>
      </c>
      <c r="B59" t="s">
        <v>1373</v>
      </c>
      <c r="C59" t="s">
        <v>1374</v>
      </c>
      <c r="D59" t="s">
        <v>1283</v>
      </c>
      <c r="E59">
        <v>-24</v>
      </c>
      <c r="F59">
        <v>40000000</v>
      </c>
      <c r="G59">
        <v>17018045.469999999</v>
      </c>
      <c r="H59">
        <v>1839266.92</v>
      </c>
      <c r="I59" t="s">
        <v>1447</v>
      </c>
      <c r="J59">
        <v>0</v>
      </c>
      <c r="K59">
        <v>0</v>
      </c>
      <c r="L59">
        <v>85090.23</v>
      </c>
      <c r="M59">
        <v>20231936.140000001</v>
      </c>
      <c r="N59" s="143">
        <v>42268.715586689817</v>
      </c>
      <c r="O59" s="143">
        <v>43368</v>
      </c>
      <c r="P59" t="s">
        <v>1375</v>
      </c>
      <c r="Q59" t="s">
        <v>1280</v>
      </c>
      <c r="R59" t="s">
        <v>1280</v>
      </c>
      <c r="S59" t="s">
        <v>1510</v>
      </c>
      <c r="T59">
        <v>36</v>
      </c>
      <c r="U59">
        <f>IF(Table__192.168.1.150_M_CONSOLIDATED_Delinquency_Compulsory_EOM[[#This Row],[Days in Arrears]] &lt; 8, Table__192.168.1.150_M_CONSOLIDATED_Delinquency_Compulsory_EOM[[#This Row],[Outstanding Balance]], 0 )</f>
        <v>17018045.469999999</v>
      </c>
      <c r="V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 s="105" t="str">
        <f>VLOOKUP(Table__192.168.1.150_M_CONSOLIDATED_Delinquency_Compulsory_EOM[[#This Row],[Client No]],'Global Portfolio'!$B$2:$N$2500,10,FALSE)</f>
        <v>Wholesale Trade</v>
      </c>
      <c r="AA59" s="105" t="str">
        <f>VLOOKUP(Table__192.168.1.150_M_CONSOLIDATED_Delinquency_Compulsory_EOM[[#This Row],[Client No]],'Global Portfolio'!$B$2:$N$2500,11,FALSE)</f>
        <v>Durable Goods</v>
      </c>
      <c r="AB59" s="105" t="str">
        <f>VLOOKUP(Table__192.168.1.150_M_CONSOLIDATED_Delinquency_Compulsory_EOM[[#This Row],[Client No]],'Global Portfolio'!$B$2:$N$2500,12,FALSE)</f>
        <v>Others</v>
      </c>
    </row>
    <row r="60" spans="1:28" x14ac:dyDescent="0.25">
      <c r="A60">
        <v>102065</v>
      </c>
      <c r="B60" t="s">
        <v>1376</v>
      </c>
      <c r="C60" t="s">
        <v>1377</v>
      </c>
      <c r="D60" t="s">
        <v>1284</v>
      </c>
      <c r="E60">
        <v>39</v>
      </c>
      <c r="F60">
        <v>75000000</v>
      </c>
      <c r="G60">
        <v>36569567.960000001</v>
      </c>
      <c r="H60">
        <v>3438619.79</v>
      </c>
      <c r="I60" t="s">
        <v>546</v>
      </c>
      <c r="J60">
        <v>0</v>
      </c>
      <c r="K60">
        <v>0</v>
      </c>
      <c r="L60">
        <v>2123928.1</v>
      </c>
      <c r="M60">
        <v>44702057.399999999</v>
      </c>
      <c r="N60" s="143">
        <v>42268.742467361109</v>
      </c>
      <c r="O60" s="143">
        <v>43365</v>
      </c>
      <c r="P60" t="s">
        <v>1378</v>
      </c>
      <c r="Q60" t="s">
        <v>1379</v>
      </c>
      <c r="R60" t="s">
        <v>1280</v>
      </c>
      <c r="S60" t="s">
        <v>1510</v>
      </c>
      <c r="T60">
        <v>36</v>
      </c>
      <c r="U60">
        <f>IF(Table__192.168.1.150_M_CONSOLIDATED_Delinquency_Compulsory_EOM[[#This Row],[Days in Arrears]] &lt; 8, Table__192.168.1.150_M_CONSOLIDATED_Delinquency_Compulsory_EOM[[#This Row],[Outstanding Balance]], 0 )</f>
        <v>0</v>
      </c>
      <c r="V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36569567.960000001</v>
      </c>
      <c r="X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 s="105" t="str">
        <f>VLOOKUP(Table__192.168.1.150_M_CONSOLIDATED_Delinquency_Compulsory_EOM[[#This Row],[Client No]],'Global Portfolio'!$B$2:$N$2500,10,FALSE)</f>
        <v>Construction</v>
      </c>
      <c r="AA60" s="105" t="str">
        <f>VLOOKUP(Table__192.168.1.150_M_CONSOLIDATED_Delinquency_Compulsory_EOM[[#This Row],[Client No]],'Global Portfolio'!$B$2:$N$2500,11,FALSE)</f>
        <v>Construction of Buildings</v>
      </c>
      <c r="AB60" s="105" t="str">
        <f>VLOOKUP(Table__192.168.1.150_M_CONSOLIDATED_Delinquency_Compulsory_EOM[[#This Row],[Client No]],'Global Portfolio'!$B$2:$N$2500,12,FALSE)</f>
        <v>Residential Construction</v>
      </c>
    </row>
    <row r="61" spans="1:28" x14ac:dyDescent="0.25">
      <c r="A61">
        <v>102088</v>
      </c>
      <c r="B61" t="s">
        <v>1419</v>
      </c>
      <c r="C61" t="s">
        <v>1420</v>
      </c>
      <c r="D61" t="s">
        <v>1283</v>
      </c>
      <c r="E61">
        <v>171</v>
      </c>
      <c r="F61">
        <v>31000000</v>
      </c>
      <c r="G61">
        <v>19756376.18</v>
      </c>
      <c r="H61">
        <v>1436460.35</v>
      </c>
      <c r="I61" t="s">
        <v>5724</v>
      </c>
      <c r="J61">
        <v>0</v>
      </c>
      <c r="K61">
        <v>0</v>
      </c>
      <c r="L61">
        <v>831543.25</v>
      </c>
      <c r="M61">
        <v>25546672.579999998</v>
      </c>
      <c r="N61" s="143">
        <v>42275.753918750001</v>
      </c>
      <c r="O61" s="143">
        <v>43383</v>
      </c>
      <c r="P61" t="s">
        <v>1421</v>
      </c>
      <c r="Q61" t="s">
        <v>1422</v>
      </c>
      <c r="R61" t="s">
        <v>1280</v>
      </c>
      <c r="S61" t="s">
        <v>1510</v>
      </c>
      <c r="T61">
        <v>36</v>
      </c>
      <c r="U61">
        <f>IF(Table__192.168.1.150_M_CONSOLIDATED_Delinquency_Compulsory_EOM[[#This Row],[Days in Arrears]] &lt; 8, Table__192.168.1.150_M_CONSOLIDATED_Delinquency_Compulsory_EOM[[#This Row],[Outstanding Balance]], 0 )</f>
        <v>0</v>
      </c>
      <c r="V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19756376.18</v>
      </c>
      <c r="Z61" s="105" t="str">
        <f>VLOOKUP(Table__192.168.1.150_M_CONSOLIDATED_Delinquency_Compulsory_EOM[[#This Row],[Client No]],'Global Portfolio'!$B$2:$N$2500,10,FALSE)</f>
        <v>Real Estate and Rental</v>
      </c>
      <c r="AA61" s="105" t="str">
        <f>VLOOKUP(Table__192.168.1.150_M_CONSOLIDATED_Delinquency_Compulsory_EOM[[#This Row],[Client No]],'Global Portfolio'!$B$2:$N$2500,11,FALSE)</f>
        <v>Rental</v>
      </c>
      <c r="AB61" s="105" t="str">
        <f>VLOOKUP(Table__192.168.1.150_M_CONSOLIDATED_Delinquency_Compulsory_EOM[[#This Row],[Client No]],'Global Portfolio'!$B$2:$N$2500,12,FALSE)</f>
        <v>Others</v>
      </c>
    </row>
    <row r="62" spans="1:28" x14ac:dyDescent="0.25">
      <c r="A62">
        <v>102099</v>
      </c>
      <c r="B62" t="s">
        <v>1427</v>
      </c>
      <c r="C62" t="s">
        <v>1428</v>
      </c>
      <c r="D62" t="s">
        <v>1283</v>
      </c>
      <c r="E62">
        <v>-1</v>
      </c>
      <c r="F62">
        <v>75000000</v>
      </c>
      <c r="G62">
        <v>34261234.030000001</v>
      </c>
      <c r="H62">
        <v>3441955.02</v>
      </c>
      <c r="I62" t="s">
        <v>2855</v>
      </c>
      <c r="J62">
        <v>569526.27</v>
      </c>
      <c r="K62">
        <v>7500000</v>
      </c>
      <c r="L62">
        <v>959314.55</v>
      </c>
      <c r="M62">
        <v>41303460.25</v>
      </c>
      <c r="N62" s="143">
        <v>42277.464006365743</v>
      </c>
      <c r="O62" s="143">
        <v>43375</v>
      </c>
      <c r="P62" t="s">
        <v>1429</v>
      </c>
      <c r="Q62" t="s">
        <v>1280</v>
      </c>
      <c r="R62" t="s">
        <v>1280</v>
      </c>
      <c r="S62" t="s">
        <v>1510</v>
      </c>
      <c r="T62">
        <v>36</v>
      </c>
      <c r="U62">
        <f>IF(Table__192.168.1.150_M_CONSOLIDATED_Delinquency_Compulsory_EOM[[#This Row],[Days in Arrears]] &lt; 8, Table__192.168.1.150_M_CONSOLIDATED_Delinquency_Compulsory_EOM[[#This Row],[Outstanding Balance]], 0 )</f>
        <v>34261234.030000001</v>
      </c>
      <c r="V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 s="105" t="str">
        <f>VLOOKUP(Table__192.168.1.150_M_CONSOLIDATED_Delinquency_Compulsory_EOM[[#This Row],[Client No]],'Global Portfolio'!$B$2:$N$2500,10,FALSE)</f>
        <v>Real Estate and Rental</v>
      </c>
      <c r="AA62" s="105" t="str">
        <f>VLOOKUP(Table__192.168.1.150_M_CONSOLIDATED_Delinquency_Compulsory_EOM[[#This Row],[Client No]],'Global Portfolio'!$B$2:$N$2500,11,FALSE)</f>
        <v>Rental</v>
      </c>
      <c r="AB62" s="105" t="str">
        <f>VLOOKUP(Table__192.168.1.150_M_CONSOLIDATED_Delinquency_Compulsory_EOM[[#This Row],[Client No]],'Global Portfolio'!$B$2:$N$2500,12,FALSE)</f>
        <v>Others</v>
      </c>
    </row>
    <row r="63" spans="1:28" x14ac:dyDescent="0.25">
      <c r="A63">
        <v>102102</v>
      </c>
      <c r="B63" t="s">
        <v>1063</v>
      </c>
      <c r="C63" t="s">
        <v>1067</v>
      </c>
      <c r="D63" t="s">
        <v>1283</v>
      </c>
      <c r="E63">
        <v>-14</v>
      </c>
      <c r="F63">
        <v>75000000</v>
      </c>
      <c r="G63">
        <v>34692819.32</v>
      </c>
      <c r="H63">
        <v>3485312.98</v>
      </c>
      <c r="I63" t="s">
        <v>963</v>
      </c>
      <c r="J63">
        <v>84397.64</v>
      </c>
      <c r="K63">
        <v>0</v>
      </c>
      <c r="L63">
        <v>520392.29</v>
      </c>
      <c r="M63">
        <v>41823755.759999998</v>
      </c>
      <c r="N63" s="143">
        <v>42277.528308530091</v>
      </c>
      <c r="O63" s="143">
        <v>43388</v>
      </c>
      <c r="P63" t="s">
        <v>1068</v>
      </c>
      <c r="Q63" t="s">
        <v>1280</v>
      </c>
      <c r="R63" t="s">
        <v>1280</v>
      </c>
      <c r="S63" t="s">
        <v>1510</v>
      </c>
      <c r="T63">
        <v>36</v>
      </c>
      <c r="U63">
        <f>IF(Table__192.168.1.150_M_CONSOLIDATED_Delinquency_Compulsory_EOM[[#This Row],[Days in Arrears]] &lt; 8, Table__192.168.1.150_M_CONSOLIDATED_Delinquency_Compulsory_EOM[[#This Row],[Outstanding Balance]], 0 )</f>
        <v>34692819.32</v>
      </c>
      <c r="V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 s="105" t="str">
        <f>VLOOKUP(Table__192.168.1.150_M_CONSOLIDATED_Delinquency_Compulsory_EOM[[#This Row],[Client No]],'Global Portfolio'!$B$2:$N$2500,10,FALSE)</f>
        <v>Real Estate and Rental</v>
      </c>
      <c r="AA63" s="105" t="str">
        <f>VLOOKUP(Table__192.168.1.150_M_CONSOLIDATED_Delinquency_Compulsory_EOM[[#This Row],[Client No]],'Global Portfolio'!$B$2:$N$2500,11,FALSE)</f>
        <v>Rental</v>
      </c>
      <c r="AB63" s="105" t="str">
        <f>VLOOKUP(Table__192.168.1.150_M_CONSOLIDATED_Delinquency_Compulsory_EOM[[#This Row],[Client No]],'Global Portfolio'!$B$2:$N$2500,12,FALSE)</f>
        <v>Others</v>
      </c>
    </row>
    <row r="64" spans="1:28" x14ac:dyDescent="0.25">
      <c r="A64">
        <v>102107</v>
      </c>
      <c r="B64" t="s">
        <v>1434</v>
      </c>
      <c r="C64" t="s">
        <v>1435</v>
      </c>
      <c r="D64" t="s">
        <v>1281</v>
      </c>
      <c r="E64">
        <v>30</v>
      </c>
      <c r="F64">
        <v>22000000</v>
      </c>
      <c r="G64">
        <v>11183352.5</v>
      </c>
      <c r="H64">
        <v>1085473.76</v>
      </c>
      <c r="I64" t="s">
        <v>90</v>
      </c>
      <c r="J64">
        <v>0</v>
      </c>
      <c r="K64">
        <v>0</v>
      </c>
      <c r="L64">
        <v>746305.19</v>
      </c>
      <c r="M64">
        <v>14111159.220000001</v>
      </c>
      <c r="N64" s="143">
        <v>42277.652901157409</v>
      </c>
      <c r="O64" s="143">
        <v>43374</v>
      </c>
      <c r="P64" t="s">
        <v>1436</v>
      </c>
      <c r="Q64" t="s">
        <v>1280</v>
      </c>
      <c r="R64" t="s">
        <v>1280</v>
      </c>
      <c r="S64" t="s">
        <v>1510</v>
      </c>
      <c r="T64">
        <v>42</v>
      </c>
      <c r="U64">
        <f>IF(Table__192.168.1.150_M_CONSOLIDATED_Delinquency_Compulsory_EOM[[#This Row],[Days in Arrears]] &lt; 8, Table__192.168.1.150_M_CONSOLIDATED_Delinquency_Compulsory_EOM[[#This Row],[Outstanding Balance]], 0 )</f>
        <v>0</v>
      </c>
      <c r="V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11183352.5</v>
      </c>
      <c r="X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 s="105" t="str">
        <f>VLOOKUP(Table__192.168.1.150_M_CONSOLIDATED_Delinquency_Compulsory_EOM[[#This Row],[Client No]],'Global Portfolio'!$B$2:$N$2500,10,FALSE)</f>
        <v>Real Estate and Rental</v>
      </c>
      <c r="AA64" s="105" t="str">
        <f>VLOOKUP(Table__192.168.1.150_M_CONSOLIDATED_Delinquency_Compulsory_EOM[[#This Row],[Client No]],'Global Portfolio'!$B$2:$N$2500,11,FALSE)</f>
        <v>Rental</v>
      </c>
      <c r="AB64" s="105" t="str">
        <f>VLOOKUP(Table__192.168.1.150_M_CONSOLIDATED_Delinquency_Compulsory_EOM[[#This Row],[Client No]],'Global Portfolio'!$B$2:$N$2500,12,FALSE)</f>
        <v>General Rental Centers</v>
      </c>
    </row>
    <row r="65" spans="1:28" x14ac:dyDescent="0.25">
      <c r="A65">
        <v>102125</v>
      </c>
      <c r="B65" t="s">
        <v>645</v>
      </c>
      <c r="C65" t="s">
        <v>646</v>
      </c>
      <c r="D65" t="s">
        <v>1284</v>
      </c>
      <c r="E65">
        <v>-6</v>
      </c>
      <c r="F65">
        <v>75000000</v>
      </c>
      <c r="G65">
        <v>34194836.409999996</v>
      </c>
      <c r="H65">
        <v>3435284.56</v>
      </c>
      <c r="I65" t="s">
        <v>491</v>
      </c>
      <c r="J65">
        <v>3480208.23</v>
      </c>
      <c r="K65">
        <v>0</v>
      </c>
      <c r="L65">
        <v>786481.24</v>
      </c>
      <c r="M65">
        <v>41223414.969999999</v>
      </c>
      <c r="N65" s="143">
        <v>42284.707001423609</v>
      </c>
      <c r="O65" s="143">
        <v>43380</v>
      </c>
      <c r="P65" t="s">
        <v>647</v>
      </c>
      <c r="Q65" t="s">
        <v>648</v>
      </c>
      <c r="R65" t="s">
        <v>1280</v>
      </c>
      <c r="S65" t="s">
        <v>1510</v>
      </c>
      <c r="T65">
        <v>36</v>
      </c>
      <c r="U65">
        <f>IF(Table__192.168.1.150_M_CONSOLIDATED_Delinquency_Compulsory_EOM[[#This Row],[Days in Arrears]] &lt; 8, Table__192.168.1.150_M_CONSOLIDATED_Delinquency_Compulsory_EOM[[#This Row],[Outstanding Balance]], 0 )</f>
        <v>34194836.409999996</v>
      </c>
      <c r="V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 s="105" t="str">
        <f>VLOOKUP(Table__192.168.1.150_M_CONSOLIDATED_Delinquency_Compulsory_EOM[[#This Row],[Client No]],'Global Portfolio'!$B$2:$N$2500,10,FALSE)</f>
        <v>Real Estate and Rental</v>
      </c>
      <c r="AA65" s="105" t="str">
        <f>VLOOKUP(Table__192.168.1.150_M_CONSOLIDATED_Delinquency_Compulsory_EOM[[#This Row],[Client No]],'Global Portfolio'!$B$2:$N$2500,11,FALSE)</f>
        <v>Real Estate</v>
      </c>
      <c r="AB65" s="105" t="str">
        <f>VLOOKUP(Table__192.168.1.150_M_CONSOLIDATED_Delinquency_Compulsory_EOM[[#This Row],[Client No]],'Global Portfolio'!$B$2:$N$2500,12,FALSE)</f>
        <v>Others</v>
      </c>
    </row>
    <row r="66" spans="1:28" x14ac:dyDescent="0.25">
      <c r="A66">
        <v>102129</v>
      </c>
      <c r="B66" t="s">
        <v>1455</v>
      </c>
      <c r="C66" t="s">
        <v>1466</v>
      </c>
      <c r="D66" t="s">
        <v>1284</v>
      </c>
      <c r="E66">
        <v>-11</v>
      </c>
      <c r="F66">
        <v>50000000</v>
      </c>
      <c r="G66">
        <v>22796557.5</v>
      </c>
      <c r="H66">
        <v>2290189.71</v>
      </c>
      <c r="I66" t="s">
        <v>1467</v>
      </c>
      <c r="J66">
        <v>285685.28999999998</v>
      </c>
      <c r="K66">
        <v>2500000</v>
      </c>
      <c r="L66">
        <v>410338.04</v>
      </c>
      <c r="M66">
        <v>27482276.510000002</v>
      </c>
      <c r="N66" s="143">
        <v>42289.678322650463</v>
      </c>
      <c r="O66" s="143">
        <v>43385</v>
      </c>
      <c r="P66" t="s">
        <v>1468</v>
      </c>
      <c r="Q66" t="s">
        <v>1469</v>
      </c>
      <c r="R66" t="s">
        <v>1280</v>
      </c>
      <c r="S66" t="s">
        <v>1510</v>
      </c>
      <c r="T66">
        <v>36</v>
      </c>
      <c r="U66">
        <f>IF(Table__192.168.1.150_M_CONSOLIDATED_Delinquency_Compulsory_EOM[[#This Row],[Days in Arrears]] &lt; 8, Table__192.168.1.150_M_CONSOLIDATED_Delinquency_Compulsory_EOM[[#This Row],[Outstanding Balance]], 0 )</f>
        <v>22796557.5</v>
      </c>
      <c r="V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 s="105" t="str">
        <f>VLOOKUP(Table__192.168.1.150_M_CONSOLIDATED_Delinquency_Compulsory_EOM[[#This Row],[Client No]],'Global Portfolio'!$B$2:$N$2500,10,FALSE)</f>
        <v>Retail</v>
      </c>
      <c r="AA66" s="105" t="str">
        <f>VLOOKUP(Table__192.168.1.150_M_CONSOLIDATED_Delinquency_Compulsory_EOM[[#This Row],[Client No]],'Global Portfolio'!$B$2:$N$2500,11,FALSE)</f>
        <v>General Merchandise Stores</v>
      </c>
      <c r="AB66" s="105" t="str">
        <f>VLOOKUP(Table__192.168.1.150_M_CONSOLIDATED_Delinquency_Compulsory_EOM[[#This Row],[Client No]],'Global Portfolio'!$B$2:$N$2500,12,FALSE)</f>
        <v>Others</v>
      </c>
    </row>
    <row r="67" spans="1:28" x14ac:dyDescent="0.25">
      <c r="A67">
        <v>102130</v>
      </c>
      <c r="B67" t="s">
        <v>1444</v>
      </c>
      <c r="C67" t="s">
        <v>1470</v>
      </c>
      <c r="D67" t="s">
        <v>1283</v>
      </c>
      <c r="E67">
        <v>-14</v>
      </c>
      <c r="F67">
        <v>75000000</v>
      </c>
      <c r="G67">
        <v>34294432.770000003</v>
      </c>
      <c r="H67">
        <v>3445290.25</v>
      </c>
      <c r="I67" t="s">
        <v>5725</v>
      </c>
      <c r="J67">
        <v>0</v>
      </c>
      <c r="K67">
        <v>0</v>
      </c>
      <c r="L67">
        <v>514416.49</v>
      </c>
      <c r="M67">
        <v>41343482.810000002</v>
      </c>
      <c r="N67" s="143">
        <v>42289.731255636572</v>
      </c>
      <c r="O67" s="143">
        <v>43388</v>
      </c>
      <c r="P67" t="s">
        <v>1471</v>
      </c>
      <c r="Q67" t="s">
        <v>1472</v>
      </c>
      <c r="R67" t="s">
        <v>1280</v>
      </c>
      <c r="S67" t="s">
        <v>1510</v>
      </c>
      <c r="T67">
        <v>36</v>
      </c>
      <c r="U67">
        <f>IF(Table__192.168.1.150_M_CONSOLIDATED_Delinquency_Compulsory_EOM[[#This Row],[Days in Arrears]] &lt; 8, Table__192.168.1.150_M_CONSOLIDATED_Delinquency_Compulsory_EOM[[#This Row],[Outstanding Balance]], 0 )</f>
        <v>34294432.770000003</v>
      </c>
      <c r="V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 s="105" t="str">
        <f>VLOOKUP(Table__192.168.1.150_M_CONSOLIDATED_Delinquency_Compulsory_EOM[[#This Row],[Client No]],'Global Portfolio'!$B$2:$N$2500,10,FALSE)</f>
        <v>Real Estate and Rental</v>
      </c>
      <c r="AA67" s="105" t="str">
        <f>VLOOKUP(Table__192.168.1.150_M_CONSOLIDATED_Delinquency_Compulsory_EOM[[#This Row],[Client No]],'Global Portfolio'!$B$2:$N$2500,11,FALSE)</f>
        <v>Rental</v>
      </c>
      <c r="AB67" s="105" t="str">
        <f>VLOOKUP(Table__192.168.1.150_M_CONSOLIDATED_Delinquency_Compulsory_EOM[[#This Row],[Client No]],'Global Portfolio'!$B$2:$N$2500,12,FALSE)</f>
        <v>Others</v>
      </c>
    </row>
    <row r="68" spans="1:28" x14ac:dyDescent="0.25">
      <c r="A68">
        <v>102131</v>
      </c>
      <c r="B68" t="s">
        <v>1454</v>
      </c>
      <c r="C68" t="s">
        <v>1473</v>
      </c>
      <c r="D68" t="s">
        <v>1284</v>
      </c>
      <c r="E68">
        <v>16</v>
      </c>
      <c r="F68">
        <v>15000000</v>
      </c>
      <c r="G68">
        <v>7321007.7199999997</v>
      </c>
      <c r="H68">
        <v>688391</v>
      </c>
      <c r="I68" t="s">
        <v>1467</v>
      </c>
      <c r="J68">
        <v>0</v>
      </c>
      <c r="K68">
        <v>0</v>
      </c>
      <c r="L68">
        <v>257888.82</v>
      </c>
      <c r="M68">
        <v>8884558.1600000001</v>
      </c>
      <c r="N68" s="143">
        <v>42290.472969710645</v>
      </c>
      <c r="O68" s="143">
        <v>43388</v>
      </c>
      <c r="P68" t="s">
        <v>1474</v>
      </c>
      <c r="Q68" t="s">
        <v>1280</v>
      </c>
      <c r="R68" t="s">
        <v>1475</v>
      </c>
      <c r="S68" t="s">
        <v>1510</v>
      </c>
      <c r="T68">
        <v>36</v>
      </c>
      <c r="U68">
        <f>IF(Table__192.168.1.150_M_CONSOLIDATED_Delinquency_Compulsory_EOM[[#This Row],[Days in Arrears]] &lt; 8, Table__192.168.1.150_M_CONSOLIDATED_Delinquency_Compulsory_EOM[[#This Row],[Outstanding Balance]], 0 )</f>
        <v>0</v>
      </c>
      <c r="V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7321007.7199999997</v>
      </c>
      <c r="W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 s="105" t="str">
        <f>VLOOKUP(Table__192.168.1.150_M_CONSOLIDATED_Delinquency_Compulsory_EOM[[#This Row],[Client No]],'Global Portfolio'!$B$2:$N$2500,10,FALSE)</f>
        <v>Real Estate and Rental</v>
      </c>
      <c r="AA68" s="105" t="str">
        <f>VLOOKUP(Table__192.168.1.150_M_CONSOLIDATED_Delinquency_Compulsory_EOM[[#This Row],[Client No]],'Global Portfolio'!$B$2:$N$2500,11,FALSE)</f>
        <v>Real Estate</v>
      </c>
      <c r="AB68" s="105" t="str">
        <f>VLOOKUP(Table__192.168.1.150_M_CONSOLIDATED_Delinquency_Compulsory_EOM[[#This Row],[Client No]],'Global Portfolio'!$B$2:$N$2500,12,FALSE)</f>
        <v>Others</v>
      </c>
    </row>
    <row r="69" spans="1:28" x14ac:dyDescent="0.25">
      <c r="A69">
        <v>102143</v>
      </c>
      <c r="B69" t="s">
        <v>1445</v>
      </c>
      <c r="C69" t="s">
        <v>1479</v>
      </c>
      <c r="D69" t="s">
        <v>1284</v>
      </c>
      <c r="E69">
        <v>-14</v>
      </c>
      <c r="F69">
        <v>40000000</v>
      </c>
      <c r="G69">
        <v>18237245.899999999</v>
      </c>
      <c r="H69">
        <v>1832151.77</v>
      </c>
      <c r="I69" t="s">
        <v>1467</v>
      </c>
      <c r="J69">
        <v>0</v>
      </c>
      <c r="K69">
        <v>0</v>
      </c>
      <c r="L69">
        <v>273558.69</v>
      </c>
      <c r="M69">
        <v>21985821.039999999</v>
      </c>
      <c r="N69" s="143">
        <v>42292.551115706017</v>
      </c>
      <c r="O69" s="143">
        <v>43388</v>
      </c>
      <c r="P69" t="s">
        <v>1481</v>
      </c>
      <c r="Q69" t="s">
        <v>1280</v>
      </c>
      <c r="R69" t="s">
        <v>1280</v>
      </c>
      <c r="S69" t="s">
        <v>1510</v>
      </c>
      <c r="T69">
        <v>36</v>
      </c>
      <c r="U69">
        <f>IF(Table__192.168.1.150_M_CONSOLIDATED_Delinquency_Compulsory_EOM[[#This Row],[Days in Arrears]] &lt; 8, Table__192.168.1.150_M_CONSOLIDATED_Delinquency_Compulsory_EOM[[#This Row],[Outstanding Balance]], 0 )</f>
        <v>18237245.899999999</v>
      </c>
      <c r="V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 s="105" t="str">
        <f>VLOOKUP(Table__192.168.1.150_M_CONSOLIDATED_Delinquency_Compulsory_EOM[[#This Row],[Client No]],'Global Portfolio'!$B$2:$N$2500,10,FALSE)</f>
        <v>Real Estate and Rental</v>
      </c>
      <c r="AA69" s="105" t="str">
        <f>VLOOKUP(Table__192.168.1.150_M_CONSOLIDATED_Delinquency_Compulsory_EOM[[#This Row],[Client No]],'Global Portfolio'!$B$2:$N$2500,11,FALSE)</f>
        <v>Rental</v>
      </c>
      <c r="AB69" s="105" t="str">
        <f>VLOOKUP(Table__192.168.1.150_M_CONSOLIDATED_Delinquency_Compulsory_EOM[[#This Row],[Client No]],'Global Portfolio'!$B$2:$N$2500,12,FALSE)</f>
        <v>Others</v>
      </c>
    </row>
    <row r="70" spans="1:28" x14ac:dyDescent="0.25">
      <c r="A70">
        <v>102148</v>
      </c>
      <c r="B70" t="s">
        <v>697</v>
      </c>
      <c r="C70" t="s">
        <v>702</v>
      </c>
      <c r="D70" t="s">
        <v>1282</v>
      </c>
      <c r="E70">
        <v>60</v>
      </c>
      <c r="F70">
        <v>10000000</v>
      </c>
      <c r="G70">
        <v>1855095.95</v>
      </c>
      <c r="H70">
        <v>668481.17000000004</v>
      </c>
      <c r="I70" t="s">
        <v>468</v>
      </c>
      <c r="J70">
        <v>0</v>
      </c>
      <c r="K70">
        <v>0</v>
      </c>
      <c r="L70">
        <v>124636.58</v>
      </c>
      <c r="M70">
        <v>2005443.34</v>
      </c>
      <c r="N70" s="143">
        <v>42293.454223298613</v>
      </c>
      <c r="O70" s="143">
        <v>43040</v>
      </c>
      <c r="P70" t="s">
        <v>703</v>
      </c>
      <c r="Q70" t="s">
        <v>1280</v>
      </c>
      <c r="R70" t="s">
        <v>1280</v>
      </c>
      <c r="S70" t="s">
        <v>1510</v>
      </c>
      <c r="T70">
        <v>48</v>
      </c>
      <c r="U70">
        <f>IF(Table__192.168.1.150_M_CONSOLIDATED_Delinquency_Compulsory_EOM[[#This Row],[Days in Arrears]] &lt; 8, Table__192.168.1.150_M_CONSOLIDATED_Delinquency_Compulsory_EOM[[#This Row],[Outstanding Balance]], 0 )</f>
        <v>0</v>
      </c>
      <c r="V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1855095.95</v>
      </c>
      <c r="Y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 s="105" t="str">
        <f>VLOOKUP(Table__192.168.1.150_M_CONSOLIDATED_Delinquency_Compulsory_EOM[[#This Row],[Client No]],'Global Portfolio'!$B$2:$N$2500,10,FALSE)</f>
        <v>Real Estate and Rental</v>
      </c>
      <c r="AA70" s="105" t="str">
        <f>VLOOKUP(Table__192.168.1.150_M_CONSOLIDATED_Delinquency_Compulsory_EOM[[#This Row],[Client No]],'Global Portfolio'!$B$2:$N$2500,11,FALSE)</f>
        <v>Rental</v>
      </c>
      <c r="AB70" s="105" t="str">
        <f>VLOOKUP(Table__192.168.1.150_M_CONSOLIDATED_Delinquency_Compulsory_EOM[[#This Row],[Client No]],'Global Portfolio'!$B$2:$N$2500,12,FALSE)</f>
        <v>Others</v>
      </c>
    </row>
    <row r="71" spans="1:28" x14ac:dyDescent="0.25">
      <c r="A71">
        <v>102150</v>
      </c>
      <c r="B71" t="s">
        <v>233</v>
      </c>
      <c r="C71" t="s">
        <v>234</v>
      </c>
      <c r="D71" t="s">
        <v>1283</v>
      </c>
      <c r="E71">
        <v>-1</v>
      </c>
      <c r="F71">
        <v>66000000</v>
      </c>
      <c r="G71">
        <v>32649423.859999999</v>
      </c>
      <c r="H71">
        <v>3070010.42</v>
      </c>
      <c r="I71" t="s">
        <v>90</v>
      </c>
      <c r="J71">
        <v>662389.48</v>
      </c>
      <c r="K71">
        <v>6600000</v>
      </c>
      <c r="L71">
        <v>914183.87</v>
      </c>
      <c r="M71">
        <v>39910135.700000003</v>
      </c>
      <c r="N71" s="143">
        <v>42293.597538738424</v>
      </c>
      <c r="O71" s="143">
        <v>43406</v>
      </c>
      <c r="P71" t="s">
        <v>235</v>
      </c>
      <c r="Q71" t="s">
        <v>1280</v>
      </c>
      <c r="R71" t="s">
        <v>1280</v>
      </c>
      <c r="S71" t="s">
        <v>1510</v>
      </c>
      <c r="T71">
        <v>36</v>
      </c>
      <c r="U71">
        <f>IF(Table__192.168.1.150_M_CONSOLIDATED_Delinquency_Compulsory_EOM[[#This Row],[Days in Arrears]] &lt; 8, Table__192.168.1.150_M_CONSOLIDATED_Delinquency_Compulsory_EOM[[#This Row],[Outstanding Balance]], 0 )</f>
        <v>32649423.859999999</v>
      </c>
      <c r="V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 s="105" t="str">
        <f>VLOOKUP(Table__192.168.1.150_M_CONSOLIDATED_Delinquency_Compulsory_EOM[[#This Row],[Client No]],'Global Portfolio'!$B$2:$N$2500,10,FALSE)</f>
        <v>Educational Services</v>
      </c>
      <c r="AA71" s="105" t="str">
        <f>VLOOKUP(Table__192.168.1.150_M_CONSOLIDATED_Delinquency_Compulsory_EOM[[#This Row],[Client No]],'Global Portfolio'!$B$2:$N$2500,11,FALSE)</f>
        <v>Educational Services</v>
      </c>
      <c r="AB71" s="105" t="str">
        <f>VLOOKUP(Table__192.168.1.150_M_CONSOLIDATED_Delinquency_Compulsory_EOM[[#This Row],[Client No]],'Global Portfolio'!$B$2:$N$2500,12,FALSE)</f>
        <v>Others</v>
      </c>
    </row>
    <row r="72" spans="1:28" x14ac:dyDescent="0.25">
      <c r="A72">
        <v>102151</v>
      </c>
      <c r="B72" t="s">
        <v>1485</v>
      </c>
      <c r="C72" t="s">
        <v>1486</v>
      </c>
      <c r="D72" t="s">
        <v>1284</v>
      </c>
      <c r="E72">
        <v>45</v>
      </c>
      <c r="F72">
        <v>7500000</v>
      </c>
      <c r="G72">
        <v>832429.84</v>
      </c>
      <c r="H72">
        <v>442855.62</v>
      </c>
      <c r="I72" t="s">
        <v>491</v>
      </c>
      <c r="J72">
        <v>0</v>
      </c>
      <c r="K72">
        <v>0</v>
      </c>
      <c r="L72">
        <v>55509.78</v>
      </c>
      <c r="M72">
        <v>845328.55</v>
      </c>
      <c r="N72" s="143">
        <v>42293.624338194444</v>
      </c>
      <c r="O72" s="143">
        <v>43024</v>
      </c>
      <c r="P72" t="s">
        <v>1487</v>
      </c>
      <c r="Q72" t="s">
        <v>1280</v>
      </c>
      <c r="R72" t="s">
        <v>1280</v>
      </c>
      <c r="S72" t="s">
        <v>1510</v>
      </c>
      <c r="T72">
        <v>36</v>
      </c>
      <c r="U72">
        <f>IF(Table__192.168.1.150_M_CONSOLIDATED_Delinquency_Compulsory_EOM[[#This Row],[Days in Arrears]] &lt; 8, Table__192.168.1.150_M_CONSOLIDATED_Delinquency_Compulsory_EOM[[#This Row],[Outstanding Balance]], 0 )</f>
        <v>0</v>
      </c>
      <c r="V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832429.84</v>
      </c>
      <c r="X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 s="105" t="str">
        <f>VLOOKUP(Table__192.168.1.150_M_CONSOLIDATED_Delinquency_Compulsory_EOM[[#This Row],[Client No]],'Global Portfolio'!$B$2:$N$2500,10,FALSE)</f>
        <v>Wholesale Trade</v>
      </c>
      <c r="AA72" s="105" t="str">
        <f>VLOOKUP(Table__192.168.1.150_M_CONSOLIDATED_Delinquency_Compulsory_EOM[[#This Row],[Client No]],'Global Portfolio'!$B$2:$N$2500,11,FALSE)</f>
        <v>Durable Goods</v>
      </c>
      <c r="AB72" s="105" t="str">
        <f>VLOOKUP(Table__192.168.1.150_M_CONSOLIDATED_Delinquency_Compulsory_EOM[[#This Row],[Client No]],'Global Portfolio'!$B$2:$N$2500,12,FALSE)</f>
        <v>Others</v>
      </c>
    </row>
    <row r="73" spans="1:28" x14ac:dyDescent="0.25">
      <c r="A73">
        <v>102156</v>
      </c>
      <c r="B73" t="s">
        <v>721</v>
      </c>
      <c r="C73" t="s">
        <v>723</v>
      </c>
      <c r="D73" t="s">
        <v>1284</v>
      </c>
      <c r="E73">
        <v>-14</v>
      </c>
      <c r="F73">
        <v>25000000</v>
      </c>
      <c r="G73">
        <v>11376146.18</v>
      </c>
      <c r="H73">
        <v>1142871.3700000001</v>
      </c>
      <c r="I73" t="s">
        <v>1039</v>
      </c>
      <c r="J73">
        <v>81292.350000000006</v>
      </c>
      <c r="K73">
        <v>1250000</v>
      </c>
      <c r="L73">
        <v>170642.19</v>
      </c>
      <c r="M73">
        <v>13714456.460000001</v>
      </c>
      <c r="N73" s="143">
        <v>42294.570270104166</v>
      </c>
      <c r="O73" s="143">
        <v>43388</v>
      </c>
      <c r="P73" t="s">
        <v>724</v>
      </c>
      <c r="Q73" t="s">
        <v>725</v>
      </c>
      <c r="R73" t="s">
        <v>1280</v>
      </c>
      <c r="S73" t="s">
        <v>1510</v>
      </c>
      <c r="T73">
        <v>36</v>
      </c>
      <c r="U73">
        <f>IF(Table__192.168.1.150_M_CONSOLIDATED_Delinquency_Compulsory_EOM[[#This Row],[Days in Arrears]] &lt; 8, Table__192.168.1.150_M_CONSOLIDATED_Delinquency_Compulsory_EOM[[#This Row],[Outstanding Balance]], 0 )</f>
        <v>11376146.18</v>
      </c>
      <c r="V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 s="105" t="str">
        <f>VLOOKUP(Table__192.168.1.150_M_CONSOLIDATED_Delinquency_Compulsory_EOM[[#This Row],[Client No]],'Global Portfolio'!$B$2:$N$2500,10,FALSE)</f>
        <v>Real Estate and Rental</v>
      </c>
      <c r="AA73" s="105" t="str">
        <f>VLOOKUP(Table__192.168.1.150_M_CONSOLIDATED_Delinquency_Compulsory_EOM[[#This Row],[Client No]],'Global Portfolio'!$B$2:$N$2500,11,FALSE)</f>
        <v>Real Estate</v>
      </c>
      <c r="AB73" s="105" t="str">
        <f>VLOOKUP(Table__192.168.1.150_M_CONSOLIDATED_Delinquency_Compulsory_EOM[[#This Row],[Client No]],'Global Portfolio'!$B$2:$N$2500,12,FALSE)</f>
        <v>Others</v>
      </c>
    </row>
    <row r="74" spans="1:28" x14ac:dyDescent="0.25">
      <c r="A74">
        <v>102165</v>
      </c>
      <c r="B74" t="s">
        <v>1499</v>
      </c>
      <c r="C74" t="s">
        <v>1500</v>
      </c>
      <c r="D74" t="s">
        <v>1283</v>
      </c>
      <c r="E74">
        <v>0</v>
      </c>
      <c r="F74">
        <v>45000000</v>
      </c>
      <c r="G74">
        <v>2604787.56</v>
      </c>
      <c r="H74">
        <v>2682931.13</v>
      </c>
      <c r="I74" t="s">
        <v>963</v>
      </c>
      <c r="J74">
        <v>2673268.77</v>
      </c>
      <c r="K74">
        <v>4500000</v>
      </c>
      <c r="L74">
        <v>75538.84</v>
      </c>
      <c r="M74">
        <v>2682931.19</v>
      </c>
      <c r="N74" s="143">
        <v>42298.703866782409</v>
      </c>
      <c r="O74" s="143">
        <v>43040</v>
      </c>
      <c r="P74" t="s">
        <v>1501</v>
      </c>
      <c r="Q74" t="s">
        <v>1502</v>
      </c>
      <c r="R74" t="s">
        <v>1280</v>
      </c>
      <c r="S74" t="s">
        <v>1510</v>
      </c>
      <c r="T74">
        <v>36</v>
      </c>
      <c r="U74">
        <f>IF(Table__192.168.1.150_M_CONSOLIDATED_Delinquency_Compulsory_EOM[[#This Row],[Days in Arrears]] &lt; 8, Table__192.168.1.150_M_CONSOLIDATED_Delinquency_Compulsory_EOM[[#This Row],[Outstanding Balance]], 0 )</f>
        <v>2604787.56</v>
      </c>
      <c r="V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 s="105" t="e">
        <f>VLOOKUP(Table__192.168.1.150_M_CONSOLIDATED_Delinquency_Compulsory_EOM[[#This Row],[Client No]],'Global Portfolio'!$B$2:$N$2500,10,FALSE)</f>
        <v>#N/A</v>
      </c>
      <c r="AA74" s="105" t="e">
        <f>VLOOKUP(Table__192.168.1.150_M_CONSOLIDATED_Delinquency_Compulsory_EOM[[#This Row],[Client No]],'Global Portfolio'!$B$2:$N$2500,11,FALSE)</f>
        <v>#N/A</v>
      </c>
      <c r="AB74" s="105" t="e">
        <f>VLOOKUP(Table__192.168.1.150_M_CONSOLIDATED_Delinquency_Compulsory_EOM[[#This Row],[Client No]],'Global Portfolio'!$B$2:$N$2500,12,FALSE)</f>
        <v>#N/A</v>
      </c>
    </row>
    <row r="75" spans="1:28" x14ac:dyDescent="0.25">
      <c r="A75">
        <v>102172</v>
      </c>
      <c r="B75" t="s">
        <v>1504</v>
      </c>
      <c r="C75" t="s">
        <v>1505</v>
      </c>
      <c r="D75" t="s">
        <v>1283</v>
      </c>
      <c r="E75">
        <v>0</v>
      </c>
      <c r="F75">
        <v>66000000</v>
      </c>
      <c r="G75">
        <v>32399714.91</v>
      </c>
      <c r="H75">
        <v>3046530.42</v>
      </c>
      <c r="I75" t="s">
        <v>5167</v>
      </c>
      <c r="J75">
        <v>659318.31000000006</v>
      </c>
      <c r="K75">
        <v>6600000</v>
      </c>
      <c r="L75">
        <v>939591.73</v>
      </c>
      <c r="M75">
        <v>39604895.420000002</v>
      </c>
      <c r="N75" s="143">
        <v>42300.557242129631</v>
      </c>
      <c r="O75" s="143">
        <v>43405</v>
      </c>
      <c r="P75" t="s">
        <v>1506</v>
      </c>
      <c r="Q75" t="s">
        <v>1280</v>
      </c>
      <c r="R75" t="s">
        <v>1280</v>
      </c>
      <c r="S75" t="s">
        <v>1510</v>
      </c>
      <c r="T75">
        <v>36</v>
      </c>
      <c r="U75">
        <f>IF(Table__192.168.1.150_M_CONSOLIDATED_Delinquency_Compulsory_EOM[[#This Row],[Days in Arrears]] &lt; 8, Table__192.168.1.150_M_CONSOLIDATED_Delinquency_Compulsory_EOM[[#This Row],[Outstanding Balance]], 0 )</f>
        <v>32399714.91</v>
      </c>
      <c r="V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 s="105" t="str">
        <f>VLOOKUP(Table__192.168.1.150_M_CONSOLIDATED_Delinquency_Compulsory_EOM[[#This Row],[Client No]],'Global Portfolio'!$B$2:$N$2500,10,FALSE)</f>
        <v>Real Estate and Rental</v>
      </c>
      <c r="AA75" s="105" t="str">
        <f>VLOOKUP(Table__192.168.1.150_M_CONSOLIDATED_Delinquency_Compulsory_EOM[[#This Row],[Client No]],'Global Portfolio'!$B$2:$N$2500,11,FALSE)</f>
        <v>Real Estate</v>
      </c>
      <c r="AB75" s="105" t="str">
        <f>VLOOKUP(Table__192.168.1.150_M_CONSOLIDATED_Delinquency_Compulsory_EOM[[#This Row],[Client No]],'Global Portfolio'!$B$2:$N$2500,12,FALSE)</f>
        <v>Others</v>
      </c>
    </row>
    <row r="76" spans="1:28" x14ac:dyDescent="0.25">
      <c r="A76">
        <v>102179</v>
      </c>
      <c r="B76" t="s">
        <v>1507</v>
      </c>
      <c r="C76" t="s">
        <v>1508</v>
      </c>
      <c r="D76" t="s">
        <v>1283</v>
      </c>
      <c r="E76">
        <v>0</v>
      </c>
      <c r="F76">
        <v>31500000</v>
      </c>
      <c r="G76">
        <v>15418807.93</v>
      </c>
      <c r="H76">
        <v>1449823.5</v>
      </c>
      <c r="I76" t="s">
        <v>5725</v>
      </c>
      <c r="J76">
        <v>1849039.59</v>
      </c>
      <c r="K76">
        <v>0</v>
      </c>
      <c r="L76">
        <v>758230.23</v>
      </c>
      <c r="M76">
        <v>18847705.16</v>
      </c>
      <c r="N76" s="143">
        <v>42303.658698877312</v>
      </c>
      <c r="O76" s="143">
        <v>43405</v>
      </c>
      <c r="P76" t="s">
        <v>1509</v>
      </c>
      <c r="Q76" t="s">
        <v>1280</v>
      </c>
      <c r="R76" t="s">
        <v>1280</v>
      </c>
      <c r="S76" t="s">
        <v>1510</v>
      </c>
      <c r="T76">
        <v>36</v>
      </c>
      <c r="U76">
        <f>IF(Table__192.168.1.150_M_CONSOLIDATED_Delinquency_Compulsory_EOM[[#This Row],[Days in Arrears]] &lt; 8, Table__192.168.1.150_M_CONSOLIDATED_Delinquency_Compulsory_EOM[[#This Row],[Outstanding Balance]], 0 )</f>
        <v>15418807.93</v>
      </c>
      <c r="V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 s="105" t="str">
        <f>VLOOKUP(Table__192.168.1.150_M_CONSOLIDATED_Delinquency_Compulsory_EOM[[#This Row],[Client No]],'Global Portfolio'!$B$2:$N$2500,10,FALSE)</f>
        <v>Wholesale Trade</v>
      </c>
      <c r="AA76" s="105" t="str">
        <f>VLOOKUP(Table__192.168.1.150_M_CONSOLIDATED_Delinquency_Compulsory_EOM[[#This Row],[Client No]],'Global Portfolio'!$B$2:$N$2500,11,FALSE)</f>
        <v>Durable Goods</v>
      </c>
      <c r="AB76" s="105" t="str">
        <f>VLOOKUP(Table__192.168.1.150_M_CONSOLIDATED_Delinquency_Compulsory_EOM[[#This Row],[Client No]],'Global Portfolio'!$B$2:$N$2500,12,FALSE)</f>
        <v>Others</v>
      </c>
    </row>
    <row r="77" spans="1:28" x14ac:dyDescent="0.25">
      <c r="A77">
        <v>102185</v>
      </c>
      <c r="B77" t="s">
        <v>1511</v>
      </c>
      <c r="C77" t="s">
        <v>1514</v>
      </c>
      <c r="D77" t="s">
        <v>1284</v>
      </c>
      <c r="E77">
        <v>-2</v>
      </c>
      <c r="F77">
        <v>15000000</v>
      </c>
      <c r="G77">
        <v>7342289.6100000003</v>
      </c>
      <c r="H77">
        <v>690392.14</v>
      </c>
      <c r="I77" t="s">
        <v>546</v>
      </c>
      <c r="J77">
        <v>128157.77</v>
      </c>
      <c r="K77">
        <v>0</v>
      </c>
      <c r="L77">
        <v>198241.82</v>
      </c>
      <c r="M77">
        <v>8975097.8599999994</v>
      </c>
      <c r="N77" s="143">
        <v>42305.393427777781</v>
      </c>
      <c r="O77" s="143">
        <v>43407</v>
      </c>
      <c r="P77" t="s">
        <v>1515</v>
      </c>
      <c r="Q77" t="s">
        <v>1280</v>
      </c>
      <c r="R77" t="s">
        <v>1280</v>
      </c>
      <c r="S77" t="s">
        <v>1510</v>
      </c>
      <c r="T77">
        <v>36</v>
      </c>
      <c r="U77">
        <f>IF(Table__192.168.1.150_M_CONSOLIDATED_Delinquency_Compulsory_EOM[[#This Row],[Days in Arrears]] &lt; 8, Table__192.168.1.150_M_CONSOLIDATED_Delinquency_Compulsory_EOM[[#This Row],[Outstanding Balance]], 0 )</f>
        <v>7342289.6100000003</v>
      </c>
      <c r="V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 s="105" t="str">
        <f>VLOOKUP(Table__192.168.1.150_M_CONSOLIDATED_Delinquency_Compulsory_EOM[[#This Row],[Client No]],'Global Portfolio'!$B$2:$N$2500,10,FALSE)</f>
        <v>Information</v>
      </c>
      <c r="AA77" s="105" t="str">
        <f>VLOOKUP(Table__192.168.1.150_M_CONSOLIDATED_Delinquency_Compulsory_EOM[[#This Row],[Client No]],'Global Portfolio'!$B$2:$N$2500,11,FALSE)</f>
        <v>Others</v>
      </c>
      <c r="AB77" s="105" t="str">
        <f>VLOOKUP(Table__192.168.1.150_M_CONSOLIDATED_Delinquency_Compulsory_EOM[[#This Row],[Client No]],'Global Portfolio'!$B$2:$N$2500,12,FALSE)</f>
        <v>Others</v>
      </c>
    </row>
    <row r="78" spans="1:28" x14ac:dyDescent="0.25">
      <c r="A78">
        <v>102186</v>
      </c>
      <c r="B78" t="s">
        <v>1512</v>
      </c>
      <c r="C78" t="s">
        <v>1516</v>
      </c>
      <c r="D78" t="s">
        <v>1284</v>
      </c>
      <c r="E78">
        <v>-4</v>
      </c>
      <c r="F78">
        <v>35000000</v>
      </c>
      <c r="G78">
        <v>17165114.449999999</v>
      </c>
      <c r="H78">
        <v>1614027.87</v>
      </c>
      <c r="I78" t="s">
        <v>1467</v>
      </c>
      <c r="J78">
        <v>189812.5</v>
      </c>
      <c r="K78">
        <v>1750000</v>
      </c>
      <c r="L78">
        <v>429127.86</v>
      </c>
      <c r="M78">
        <v>20982362.530000001</v>
      </c>
      <c r="N78" s="143">
        <v>42305.414281793979</v>
      </c>
      <c r="O78" s="143">
        <v>43409</v>
      </c>
      <c r="P78" t="s">
        <v>1517</v>
      </c>
      <c r="Q78" t="s">
        <v>1518</v>
      </c>
      <c r="R78" t="s">
        <v>1280</v>
      </c>
      <c r="S78" t="s">
        <v>1510</v>
      </c>
      <c r="T78">
        <v>36</v>
      </c>
      <c r="U78">
        <f>IF(Table__192.168.1.150_M_CONSOLIDATED_Delinquency_Compulsory_EOM[[#This Row],[Days in Arrears]] &lt; 8, Table__192.168.1.150_M_CONSOLIDATED_Delinquency_Compulsory_EOM[[#This Row],[Outstanding Balance]], 0 )</f>
        <v>17165114.449999999</v>
      </c>
      <c r="V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 s="105" t="str">
        <f>VLOOKUP(Table__192.168.1.150_M_CONSOLIDATED_Delinquency_Compulsory_EOM[[#This Row],[Client No]],'Global Portfolio'!$B$2:$N$2500,10,FALSE)</f>
        <v>Real Estate and Rental</v>
      </c>
      <c r="AA78" s="105" t="str">
        <f>VLOOKUP(Table__192.168.1.150_M_CONSOLIDATED_Delinquency_Compulsory_EOM[[#This Row],[Client No]],'Global Portfolio'!$B$2:$N$2500,11,FALSE)</f>
        <v>Real Estate</v>
      </c>
      <c r="AB78" s="105" t="str">
        <f>VLOOKUP(Table__192.168.1.150_M_CONSOLIDATED_Delinquency_Compulsory_EOM[[#This Row],[Client No]],'Global Portfolio'!$B$2:$N$2500,12,FALSE)</f>
        <v>Others</v>
      </c>
    </row>
    <row r="79" spans="1:28" x14ac:dyDescent="0.25">
      <c r="A79">
        <v>102190</v>
      </c>
      <c r="B79" t="s">
        <v>663</v>
      </c>
      <c r="C79" t="s">
        <v>1521</v>
      </c>
      <c r="D79" t="s">
        <v>1284</v>
      </c>
      <c r="E79">
        <v>0</v>
      </c>
      <c r="F79">
        <v>15000000</v>
      </c>
      <c r="G79">
        <v>7321007.7199999997</v>
      </c>
      <c r="H79">
        <v>688391</v>
      </c>
      <c r="I79" t="s">
        <v>491</v>
      </c>
      <c r="J79">
        <v>158227.16</v>
      </c>
      <c r="K79">
        <v>750000</v>
      </c>
      <c r="L79">
        <v>212309.22</v>
      </c>
      <c r="M79">
        <v>8949083.2699999996</v>
      </c>
      <c r="N79" s="143">
        <v>42306.496015428238</v>
      </c>
      <c r="O79" s="143">
        <v>43405</v>
      </c>
      <c r="P79" t="s">
        <v>1522</v>
      </c>
      <c r="Q79" t="s">
        <v>1280</v>
      </c>
      <c r="R79" t="s">
        <v>1280</v>
      </c>
      <c r="S79" t="s">
        <v>1510</v>
      </c>
      <c r="T79">
        <v>36</v>
      </c>
      <c r="U79">
        <f>IF(Table__192.168.1.150_M_CONSOLIDATED_Delinquency_Compulsory_EOM[[#This Row],[Days in Arrears]] &lt; 8, Table__192.168.1.150_M_CONSOLIDATED_Delinquency_Compulsory_EOM[[#This Row],[Outstanding Balance]], 0 )</f>
        <v>7321007.7199999997</v>
      </c>
      <c r="V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 s="105" t="str">
        <f>VLOOKUP(Table__192.168.1.150_M_CONSOLIDATED_Delinquency_Compulsory_EOM[[#This Row],[Client No]],'Global Portfolio'!$B$2:$N$2500,10,FALSE)</f>
        <v>Retail</v>
      </c>
      <c r="AA79" s="105" t="str">
        <f>VLOOKUP(Table__192.168.1.150_M_CONSOLIDATED_Delinquency_Compulsory_EOM[[#This Row],[Client No]],'Global Portfolio'!$B$2:$N$2500,11,FALSE)</f>
        <v>Electronics Stores</v>
      </c>
      <c r="AB79" s="105" t="str">
        <f>VLOOKUP(Table__192.168.1.150_M_CONSOLIDATED_Delinquency_Compulsory_EOM[[#This Row],[Client No]],'Global Portfolio'!$B$2:$N$2500,12,FALSE)</f>
        <v>Others</v>
      </c>
    </row>
    <row r="80" spans="1:28" x14ac:dyDescent="0.25">
      <c r="A80">
        <v>102192</v>
      </c>
      <c r="B80" t="s">
        <v>1151</v>
      </c>
      <c r="C80" t="s">
        <v>1152</v>
      </c>
      <c r="D80" t="s">
        <v>1841</v>
      </c>
      <c r="E80">
        <v>29</v>
      </c>
      <c r="F80">
        <v>71711588.780000001</v>
      </c>
      <c r="G80">
        <v>37211861.189999998</v>
      </c>
      <c r="H80">
        <v>3294229.83</v>
      </c>
      <c r="I80" t="s">
        <v>5725</v>
      </c>
      <c r="J80">
        <v>0</v>
      </c>
      <c r="K80">
        <v>0</v>
      </c>
      <c r="L80">
        <v>1214529.97</v>
      </c>
      <c r="M80">
        <v>46119217.759999998</v>
      </c>
      <c r="N80" s="143">
        <v>42306.654785648148</v>
      </c>
      <c r="O80" s="143">
        <v>43406</v>
      </c>
      <c r="P80" t="s">
        <v>1153</v>
      </c>
      <c r="Q80" t="s">
        <v>1280</v>
      </c>
      <c r="R80" t="s">
        <v>1280</v>
      </c>
      <c r="S80" t="s">
        <v>1510</v>
      </c>
      <c r="T80">
        <v>36</v>
      </c>
      <c r="U80">
        <f>IF(Table__192.168.1.150_M_CONSOLIDATED_Delinquency_Compulsory_EOM[[#This Row],[Days in Arrears]] &lt; 8, Table__192.168.1.150_M_CONSOLIDATED_Delinquency_Compulsory_EOM[[#This Row],[Outstanding Balance]], 0 )</f>
        <v>0</v>
      </c>
      <c r="V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37211861.189999998</v>
      </c>
      <c r="W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 s="105" t="str">
        <f>VLOOKUP(Table__192.168.1.150_M_CONSOLIDATED_Delinquency_Compulsory_EOM[[#This Row],[Client No]],'Global Portfolio'!$B$2:$N$2500,10,FALSE)</f>
        <v>Construction</v>
      </c>
      <c r="AA80" s="105" t="str">
        <f>VLOOKUP(Table__192.168.1.150_M_CONSOLIDATED_Delinquency_Compulsory_EOM[[#This Row],[Client No]],'Global Portfolio'!$B$2:$N$2500,11,FALSE)</f>
        <v>Construction of Buildings</v>
      </c>
      <c r="AB80" s="105" t="str">
        <f>VLOOKUP(Table__192.168.1.150_M_CONSOLIDATED_Delinquency_Compulsory_EOM[[#This Row],[Client No]],'Global Portfolio'!$B$2:$N$2500,12,FALSE)</f>
        <v>Others</v>
      </c>
    </row>
    <row r="81" spans="1:28" x14ac:dyDescent="0.25">
      <c r="A81">
        <v>102207</v>
      </c>
      <c r="B81" t="s">
        <v>347</v>
      </c>
      <c r="C81" t="s">
        <v>348</v>
      </c>
      <c r="D81" t="s">
        <v>1284</v>
      </c>
      <c r="E81">
        <v>0</v>
      </c>
      <c r="F81">
        <v>72000000</v>
      </c>
      <c r="G81">
        <v>35106785.170000002</v>
      </c>
      <c r="H81">
        <v>3301075</v>
      </c>
      <c r="I81" t="s">
        <v>491</v>
      </c>
      <c r="J81">
        <v>0</v>
      </c>
      <c r="K81">
        <v>0</v>
      </c>
      <c r="L81">
        <v>1018096.77</v>
      </c>
      <c r="M81">
        <v>42913975.009999998</v>
      </c>
      <c r="N81" s="143">
        <v>42308.688990127317</v>
      </c>
      <c r="O81" s="143">
        <v>43405</v>
      </c>
      <c r="P81" t="s">
        <v>349</v>
      </c>
      <c r="Q81" t="s">
        <v>350</v>
      </c>
      <c r="R81" t="s">
        <v>1280</v>
      </c>
      <c r="S81" t="s">
        <v>1510</v>
      </c>
      <c r="T81">
        <v>36</v>
      </c>
      <c r="U81">
        <f>IF(Table__192.168.1.150_M_CONSOLIDATED_Delinquency_Compulsory_EOM[[#This Row],[Days in Arrears]] &lt; 8, Table__192.168.1.150_M_CONSOLIDATED_Delinquency_Compulsory_EOM[[#This Row],[Outstanding Balance]], 0 )</f>
        <v>35106785.170000002</v>
      </c>
      <c r="V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 s="105" t="str">
        <f>VLOOKUP(Table__192.168.1.150_M_CONSOLIDATED_Delinquency_Compulsory_EOM[[#This Row],[Client No]],'Global Portfolio'!$B$2:$N$2500,10,FALSE)</f>
        <v>Real Estate and Rental</v>
      </c>
      <c r="AA81" s="105" t="str">
        <f>VLOOKUP(Table__192.168.1.150_M_CONSOLIDATED_Delinquency_Compulsory_EOM[[#This Row],[Client No]],'Global Portfolio'!$B$2:$N$2500,11,FALSE)</f>
        <v>Rental</v>
      </c>
      <c r="AB81" s="105" t="str">
        <f>VLOOKUP(Table__192.168.1.150_M_CONSOLIDATED_Delinquency_Compulsory_EOM[[#This Row],[Client No]],'Global Portfolio'!$B$2:$N$2500,12,FALSE)</f>
        <v>Others</v>
      </c>
    </row>
    <row r="82" spans="1:28" x14ac:dyDescent="0.25">
      <c r="A82">
        <v>102212</v>
      </c>
      <c r="B82" t="s">
        <v>846</v>
      </c>
      <c r="C82" t="s">
        <v>847</v>
      </c>
      <c r="D82" t="s">
        <v>1284</v>
      </c>
      <c r="E82">
        <v>76</v>
      </c>
      <c r="F82">
        <v>18000000</v>
      </c>
      <c r="G82">
        <v>3623553.87</v>
      </c>
      <c r="H82">
        <v>1075236.25</v>
      </c>
      <c r="I82" t="s">
        <v>1039</v>
      </c>
      <c r="J82">
        <v>0</v>
      </c>
      <c r="K82">
        <v>0</v>
      </c>
      <c r="L82">
        <v>88201.33</v>
      </c>
      <c r="M82">
        <v>3807837.14</v>
      </c>
      <c r="N82" s="143">
        <v>42311.652017129629</v>
      </c>
      <c r="O82" s="143">
        <v>43054</v>
      </c>
      <c r="P82" t="s">
        <v>848</v>
      </c>
      <c r="Q82" t="s">
        <v>849</v>
      </c>
      <c r="R82" t="s">
        <v>1280</v>
      </c>
      <c r="S82" t="s">
        <v>1510</v>
      </c>
      <c r="T82">
        <v>36</v>
      </c>
      <c r="U82">
        <f>IF(Table__192.168.1.150_M_CONSOLIDATED_Delinquency_Compulsory_EOM[[#This Row],[Days in Arrears]] &lt; 8, Table__192.168.1.150_M_CONSOLIDATED_Delinquency_Compulsory_EOM[[#This Row],[Outstanding Balance]], 0 )</f>
        <v>0</v>
      </c>
      <c r="V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3623553.87</v>
      </c>
      <c r="Y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 s="105" t="str">
        <f>VLOOKUP(Table__192.168.1.150_M_CONSOLIDATED_Delinquency_Compulsory_EOM[[#This Row],[Client No]],'Global Portfolio'!$B$2:$N$2500,10,FALSE)</f>
        <v>Information</v>
      </c>
      <c r="AA82" s="105" t="str">
        <f>VLOOKUP(Table__192.168.1.150_M_CONSOLIDATED_Delinquency_Compulsory_EOM[[#This Row],[Client No]],'Global Portfolio'!$B$2:$N$2500,11,FALSE)</f>
        <v>Others</v>
      </c>
      <c r="AB82" s="105" t="str">
        <f>VLOOKUP(Table__192.168.1.150_M_CONSOLIDATED_Delinquency_Compulsory_EOM[[#This Row],[Client No]],'Global Portfolio'!$B$2:$N$2500,12,FALSE)</f>
        <v>Others</v>
      </c>
    </row>
    <row r="83" spans="1:28" x14ac:dyDescent="0.25">
      <c r="A83">
        <v>102217</v>
      </c>
      <c r="B83" t="s">
        <v>1543</v>
      </c>
      <c r="C83" t="s">
        <v>1549</v>
      </c>
      <c r="D83" t="s">
        <v>1284</v>
      </c>
      <c r="E83">
        <v>-9</v>
      </c>
      <c r="F83">
        <v>9000000</v>
      </c>
      <c r="G83">
        <v>517951.87</v>
      </c>
      <c r="H83">
        <v>533490.54</v>
      </c>
      <c r="I83" t="s">
        <v>1467</v>
      </c>
      <c r="J83">
        <v>23714873.879999999</v>
      </c>
      <c r="K83">
        <v>450000</v>
      </c>
      <c r="L83">
        <v>10359.040000000001</v>
      </c>
      <c r="M83">
        <v>533490.43000000005</v>
      </c>
      <c r="N83" s="143">
        <v>42314.606591932868</v>
      </c>
      <c r="O83" s="143">
        <v>43049</v>
      </c>
      <c r="P83" t="s">
        <v>1550</v>
      </c>
      <c r="Q83" t="s">
        <v>1280</v>
      </c>
      <c r="R83" t="s">
        <v>1280</v>
      </c>
      <c r="S83" t="s">
        <v>1510</v>
      </c>
      <c r="T83">
        <v>36</v>
      </c>
      <c r="U83">
        <f>IF(Table__192.168.1.150_M_CONSOLIDATED_Delinquency_Compulsory_EOM[[#This Row],[Days in Arrears]] &lt; 8, Table__192.168.1.150_M_CONSOLIDATED_Delinquency_Compulsory_EOM[[#This Row],[Outstanding Balance]], 0 )</f>
        <v>517951.87</v>
      </c>
      <c r="V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 s="105" t="e">
        <f>VLOOKUP(Table__192.168.1.150_M_CONSOLIDATED_Delinquency_Compulsory_EOM[[#This Row],[Client No]],'Global Portfolio'!$B$2:$N$2500,10,FALSE)</f>
        <v>#N/A</v>
      </c>
      <c r="AA83" s="105" t="e">
        <f>VLOOKUP(Table__192.168.1.150_M_CONSOLIDATED_Delinquency_Compulsory_EOM[[#This Row],[Client No]],'Global Portfolio'!$B$2:$N$2500,11,FALSE)</f>
        <v>#N/A</v>
      </c>
      <c r="AB83" s="105" t="e">
        <f>VLOOKUP(Table__192.168.1.150_M_CONSOLIDATED_Delinquency_Compulsory_EOM[[#This Row],[Client No]],'Global Portfolio'!$B$2:$N$2500,12,FALSE)</f>
        <v>#N/A</v>
      </c>
    </row>
    <row r="84" spans="1:28" x14ac:dyDescent="0.25">
      <c r="A84">
        <v>102220</v>
      </c>
      <c r="B84" t="s">
        <v>542</v>
      </c>
      <c r="C84" t="s">
        <v>543</v>
      </c>
      <c r="D84" t="s">
        <v>1281</v>
      </c>
      <c r="E84">
        <v>-12</v>
      </c>
      <c r="F84">
        <v>22000000</v>
      </c>
      <c r="G84">
        <v>11246311.67</v>
      </c>
      <c r="H84">
        <v>1091584.68</v>
      </c>
      <c r="I84" t="s">
        <v>5167</v>
      </c>
      <c r="J84">
        <v>116851.19</v>
      </c>
      <c r="K84">
        <v>0</v>
      </c>
      <c r="L84">
        <v>223051.85</v>
      </c>
      <c r="M84">
        <v>14190601.130000001</v>
      </c>
      <c r="N84" s="143">
        <v>42315.444171331015</v>
      </c>
      <c r="O84" s="143">
        <v>43417</v>
      </c>
      <c r="P84" t="s">
        <v>544</v>
      </c>
      <c r="Q84" t="s">
        <v>545</v>
      </c>
      <c r="R84" t="s">
        <v>1280</v>
      </c>
      <c r="S84" t="s">
        <v>1510</v>
      </c>
      <c r="T84">
        <v>42</v>
      </c>
      <c r="U84">
        <f>IF(Table__192.168.1.150_M_CONSOLIDATED_Delinquency_Compulsory_EOM[[#This Row],[Days in Arrears]] &lt; 8, Table__192.168.1.150_M_CONSOLIDATED_Delinquency_Compulsory_EOM[[#This Row],[Outstanding Balance]], 0 )</f>
        <v>11246311.67</v>
      </c>
      <c r="V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 s="105" t="str">
        <f>VLOOKUP(Table__192.168.1.150_M_CONSOLIDATED_Delinquency_Compulsory_EOM[[#This Row],[Client No]],'Global Portfolio'!$B$2:$N$2500,10,FALSE)</f>
        <v>Retail</v>
      </c>
      <c r="AA84" s="105" t="str">
        <f>VLOOKUP(Table__192.168.1.150_M_CONSOLIDATED_Delinquency_Compulsory_EOM[[#This Row],[Client No]],'Global Portfolio'!$B$2:$N$2500,11,FALSE)</f>
        <v>Others</v>
      </c>
      <c r="AB84" s="105" t="str">
        <f>VLOOKUP(Table__192.168.1.150_M_CONSOLIDATED_Delinquency_Compulsory_EOM[[#This Row],[Client No]],'Global Portfolio'!$B$2:$N$2500,12,FALSE)</f>
        <v>Others</v>
      </c>
    </row>
    <row r="85" spans="1:28" x14ac:dyDescent="0.25">
      <c r="A85">
        <v>102222</v>
      </c>
      <c r="B85" t="s">
        <v>1044</v>
      </c>
      <c r="C85" t="s">
        <v>1045</v>
      </c>
      <c r="D85" t="s">
        <v>1283</v>
      </c>
      <c r="E85">
        <v>-14</v>
      </c>
      <c r="F85">
        <v>67000000</v>
      </c>
      <c r="G85">
        <v>32827246.68</v>
      </c>
      <c r="H85">
        <v>3086731.03</v>
      </c>
      <c r="I85" t="s">
        <v>1447</v>
      </c>
      <c r="J85">
        <v>209000</v>
      </c>
      <c r="K85">
        <v>6700000</v>
      </c>
      <c r="L85">
        <v>492408.7</v>
      </c>
      <c r="M85">
        <v>40127503.460000001</v>
      </c>
      <c r="N85" s="143">
        <v>42317.601501041667</v>
      </c>
      <c r="O85" s="143">
        <v>43419</v>
      </c>
      <c r="P85" t="s">
        <v>1046</v>
      </c>
      <c r="Q85" t="s">
        <v>1280</v>
      </c>
      <c r="R85" t="s">
        <v>1280</v>
      </c>
      <c r="S85" t="s">
        <v>1510</v>
      </c>
      <c r="T85">
        <v>36</v>
      </c>
      <c r="U85">
        <f>IF(Table__192.168.1.150_M_CONSOLIDATED_Delinquency_Compulsory_EOM[[#This Row],[Days in Arrears]] &lt; 8, Table__192.168.1.150_M_CONSOLIDATED_Delinquency_Compulsory_EOM[[#This Row],[Outstanding Balance]], 0 )</f>
        <v>32827246.68</v>
      </c>
      <c r="V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 s="105" t="str">
        <f>VLOOKUP(Table__192.168.1.150_M_CONSOLIDATED_Delinquency_Compulsory_EOM[[#This Row],[Client No]],'Global Portfolio'!$B$2:$N$2500,10,FALSE)</f>
        <v>Educational Services</v>
      </c>
      <c r="AA85" s="105" t="str">
        <f>VLOOKUP(Table__192.168.1.150_M_CONSOLIDATED_Delinquency_Compulsory_EOM[[#This Row],[Client No]],'Global Portfolio'!$B$2:$N$2500,11,FALSE)</f>
        <v>Educational Services</v>
      </c>
      <c r="AB85" s="105" t="str">
        <f>VLOOKUP(Table__192.168.1.150_M_CONSOLIDATED_Delinquency_Compulsory_EOM[[#This Row],[Client No]],'Global Portfolio'!$B$2:$N$2500,12,FALSE)</f>
        <v>Others</v>
      </c>
    </row>
    <row r="86" spans="1:28" x14ac:dyDescent="0.25">
      <c r="A86">
        <v>102223</v>
      </c>
      <c r="B86" t="s">
        <v>1553</v>
      </c>
      <c r="C86" t="s">
        <v>1567</v>
      </c>
      <c r="D86" t="s">
        <v>1284</v>
      </c>
      <c r="E86">
        <v>22</v>
      </c>
      <c r="F86">
        <v>15000000</v>
      </c>
      <c r="G86">
        <v>7761045.2199999997</v>
      </c>
      <c r="H86">
        <v>687056.91</v>
      </c>
      <c r="I86" t="s">
        <v>491</v>
      </c>
      <c r="J86">
        <v>0</v>
      </c>
      <c r="K86">
        <v>0</v>
      </c>
      <c r="L86">
        <v>243020.78</v>
      </c>
      <c r="M86">
        <v>9618796.9000000004</v>
      </c>
      <c r="N86" s="143">
        <v>42317.61409116898</v>
      </c>
      <c r="O86" s="143">
        <v>43413</v>
      </c>
      <c r="P86" t="s">
        <v>1568</v>
      </c>
      <c r="Q86" t="s">
        <v>1280</v>
      </c>
      <c r="R86" t="s">
        <v>1280</v>
      </c>
      <c r="S86" t="s">
        <v>1510</v>
      </c>
      <c r="T86">
        <v>36</v>
      </c>
      <c r="U86">
        <f>IF(Table__192.168.1.150_M_CONSOLIDATED_Delinquency_Compulsory_EOM[[#This Row],[Days in Arrears]] &lt; 8, Table__192.168.1.150_M_CONSOLIDATED_Delinquency_Compulsory_EOM[[#This Row],[Outstanding Balance]], 0 )</f>
        <v>0</v>
      </c>
      <c r="V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7761045.2199999997</v>
      </c>
      <c r="W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 s="105" t="str">
        <f>VLOOKUP(Table__192.168.1.150_M_CONSOLIDATED_Delinquency_Compulsory_EOM[[#This Row],[Client No]],'Global Portfolio'!$B$2:$N$2500,10,FALSE)</f>
        <v>Real Estate and Rental</v>
      </c>
      <c r="AA86" s="105" t="str">
        <f>VLOOKUP(Table__192.168.1.150_M_CONSOLIDATED_Delinquency_Compulsory_EOM[[#This Row],[Client No]],'Global Portfolio'!$B$2:$N$2500,11,FALSE)</f>
        <v>Real Estate</v>
      </c>
      <c r="AB86" s="105" t="str">
        <f>VLOOKUP(Table__192.168.1.150_M_CONSOLIDATED_Delinquency_Compulsory_EOM[[#This Row],[Client No]],'Global Portfolio'!$B$2:$N$2500,12,FALSE)</f>
        <v>Others</v>
      </c>
    </row>
    <row r="87" spans="1:28" x14ac:dyDescent="0.25">
      <c r="A87">
        <v>102224</v>
      </c>
      <c r="B87" t="s">
        <v>1554</v>
      </c>
      <c r="C87" t="s">
        <v>1569</v>
      </c>
      <c r="D87" t="s">
        <v>1283</v>
      </c>
      <c r="E87">
        <v>-11</v>
      </c>
      <c r="F87">
        <v>55000000</v>
      </c>
      <c r="G87">
        <v>3159139.76</v>
      </c>
      <c r="H87">
        <v>3253913.91</v>
      </c>
      <c r="I87" t="s">
        <v>2855</v>
      </c>
      <c r="J87">
        <v>0</v>
      </c>
      <c r="K87">
        <v>0</v>
      </c>
      <c r="L87">
        <v>56864.52</v>
      </c>
      <c r="M87">
        <v>3253913.95</v>
      </c>
      <c r="N87" s="143">
        <v>42318.462431400461</v>
      </c>
      <c r="O87" s="143">
        <v>43051</v>
      </c>
      <c r="P87" t="s">
        <v>1570</v>
      </c>
      <c r="Q87" t="s">
        <v>1280</v>
      </c>
      <c r="R87" t="s">
        <v>1280</v>
      </c>
      <c r="S87" t="s">
        <v>1510</v>
      </c>
      <c r="T87">
        <v>36</v>
      </c>
      <c r="U87">
        <f>IF(Table__192.168.1.150_M_CONSOLIDATED_Delinquency_Compulsory_EOM[[#This Row],[Days in Arrears]] &lt; 8, Table__192.168.1.150_M_CONSOLIDATED_Delinquency_Compulsory_EOM[[#This Row],[Outstanding Balance]], 0 )</f>
        <v>3159139.76</v>
      </c>
      <c r="V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 s="105" t="str">
        <f>VLOOKUP(Table__192.168.1.150_M_CONSOLIDATED_Delinquency_Compulsory_EOM[[#This Row],[Client No]],'Global Portfolio'!$B$2:$N$2500,10,FALSE)</f>
        <v>Wholesale Trade</v>
      </c>
      <c r="AA87" s="105" t="str">
        <f>VLOOKUP(Table__192.168.1.150_M_CONSOLIDATED_Delinquency_Compulsory_EOM[[#This Row],[Client No]],'Global Portfolio'!$B$2:$N$2500,11,FALSE)</f>
        <v>Others</v>
      </c>
      <c r="AB87" s="105" t="str">
        <f>VLOOKUP(Table__192.168.1.150_M_CONSOLIDATED_Delinquency_Compulsory_EOM[[#This Row],[Client No]],'Global Portfolio'!$B$2:$N$2500,12,FALSE)</f>
        <v>Others</v>
      </c>
    </row>
    <row r="88" spans="1:28" x14ac:dyDescent="0.25">
      <c r="A88">
        <v>102226</v>
      </c>
      <c r="B88" t="s">
        <v>777</v>
      </c>
      <c r="C88" t="s">
        <v>783</v>
      </c>
      <c r="D88" t="s">
        <v>1283</v>
      </c>
      <c r="E88">
        <v>49</v>
      </c>
      <c r="F88">
        <v>40000000</v>
      </c>
      <c r="G88">
        <v>21873209.09</v>
      </c>
      <c r="H88">
        <v>1833930.56</v>
      </c>
      <c r="I88" t="s">
        <v>86</v>
      </c>
      <c r="J88">
        <v>0</v>
      </c>
      <c r="K88">
        <v>0</v>
      </c>
      <c r="L88">
        <v>886926.03</v>
      </c>
      <c r="M88">
        <v>26832023.09</v>
      </c>
      <c r="N88" s="143">
        <v>42319.608294675927</v>
      </c>
      <c r="O88" s="143">
        <v>43416</v>
      </c>
      <c r="P88" t="s">
        <v>784</v>
      </c>
      <c r="Q88" t="s">
        <v>785</v>
      </c>
      <c r="R88" t="s">
        <v>1280</v>
      </c>
      <c r="S88" t="s">
        <v>1510</v>
      </c>
      <c r="T88">
        <v>36</v>
      </c>
      <c r="U88">
        <f>IF(Table__192.168.1.150_M_CONSOLIDATED_Delinquency_Compulsory_EOM[[#This Row],[Days in Arrears]] &lt; 8, Table__192.168.1.150_M_CONSOLIDATED_Delinquency_Compulsory_EOM[[#This Row],[Outstanding Balance]], 0 )</f>
        <v>0</v>
      </c>
      <c r="V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21873209.09</v>
      </c>
      <c r="X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 s="105" t="str">
        <f>VLOOKUP(Table__192.168.1.150_M_CONSOLIDATED_Delinquency_Compulsory_EOM[[#This Row],[Client No]],'Global Portfolio'!$B$2:$N$2500,10,FALSE)</f>
        <v>Real Estate and Rental</v>
      </c>
      <c r="AA88" s="105" t="str">
        <f>VLOOKUP(Table__192.168.1.150_M_CONSOLIDATED_Delinquency_Compulsory_EOM[[#This Row],[Client No]],'Global Portfolio'!$B$2:$N$2500,11,FALSE)</f>
        <v>Rental</v>
      </c>
      <c r="AB88" s="105" t="str">
        <f>VLOOKUP(Table__192.168.1.150_M_CONSOLIDATED_Delinquency_Compulsory_EOM[[#This Row],[Client No]],'Global Portfolio'!$B$2:$N$2500,12,FALSE)</f>
        <v>Others</v>
      </c>
    </row>
    <row r="89" spans="1:28" x14ac:dyDescent="0.25">
      <c r="A89">
        <v>102239</v>
      </c>
      <c r="B89" t="s">
        <v>1556</v>
      </c>
      <c r="C89" t="s">
        <v>1576</v>
      </c>
      <c r="D89" t="s">
        <v>1284</v>
      </c>
      <c r="E89">
        <v>-14</v>
      </c>
      <c r="F89">
        <v>50000000</v>
      </c>
      <c r="G89">
        <v>24379712.050000001</v>
      </c>
      <c r="H89">
        <v>2292413.19</v>
      </c>
      <c r="I89" t="s">
        <v>1467</v>
      </c>
      <c r="J89">
        <v>0</v>
      </c>
      <c r="K89">
        <v>2500000</v>
      </c>
      <c r="L89">
        <v>365695.68</v>
      </c>
      <c r="M89">
        <v>29801371.710000001</v>
      </c>
      <c r="N89" s="143">
        <v>42322.553267592593</v>
      </c>
      <c r="O89" s="143">
        <v>43419</v>
      </c>
      <c r="P89" t="s">
        <v>1577</v>
      </c>
      <c r="Q89" t="s">
        <v>1578</v>
      </c>
      <c r="R89" t="s">
        <v>1280</v>
      </c>
      <c r="S89" t="s">
        <v>1510</v>
      </c>
      <c r="T89">
        <v>36</v>
      </c>
      <c r="U89">
        <f>IF(Table__192.168.1.150_M_CONSOLIDATED_Delinquency_Compulsory_EOM[[#This Row],[Days in Arrears]] &lt; 8, Table__192.168.1.150_M_CONSOLIDATED_Delinquency_Compulsory_EOM[[#This Row],[Outstanding Balance]], 0 )</f>
        <v>24379712.050000001</v>
      </c>
      <c r="V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 s="105" t="e">
        <f>VLOOKUP(Table__192.168.1.150_M_CONSOLIDATED_Delinquency_Compulsory_EOM[[#This Row],[Client No]],'Global Portfolio'!$B$2:$N$2500,10,FALSE)</f>
        <v>#N/A</v>
      </c>
      <c r="AA89" s="105" t="e">
        <f>VLOOKUP(Table__192.168.1.150_M_CONSOLIDATED_Delinquency_Compulsory_EOM[[#This Row],[Client No]],'Global Portfolio'!$B$2:$N$2500,11,FALSE)</f>
        <v>#N/A</v>
      </c>
      <c r="AB89" s="105" t="e">
        <f>VLOOKUP(Table__192.168.1.150_M_CONSOLIDATED_Delinquency_Compulsory_EOM[[#This Row],[Client No]],'Global Portfolio'!$B$2:$N$2500,12,FALSE)</f>
        <v>#N/A</v>
      </c>
    </row>
    <row r="90" spans="1:28" x14ac:dyDescent="0.25">
      <c r="A90">
        <v>102248</v>
      </c>
      <c r="B90" t="s">
        <v>1559</v>
      </c>
      <c r="C90" t="s">
        <v>1584</v>
      </c>
      <c r="D90" t="s">
        <v>1284</v>
      </c>
      <c r="E90">
        <v>-17</v>
      </c>
      <c r="F90">
        <v>25000000</v>
      </c>
      <c r="G90">
        <v>12178032.76</v>
      </c>
      <c r="H90">
        <v>1145094.8500000001</v>
      </c>
      <c r="I90" t="s">
        <v>1467</v>
      </c>
      <c r="J90">
        <v>0</v>
      </c>
      <c r="K90">
        <v>1250000</v>
      </c>
      <c r="L90">
        <v>146136.39000000001</v>
      </c>
      <c r="M90">
        <v>14886233.310000001</v>
      </c>
      <c r="N90" s="143">
        <v>42326.438722303239</v>
      </c>
      <c r="O90" s="143">
        <v>43422</v>
      </c>
      <c r="P90" t="s">
        <v>1585</v>
      </c>
      <c r="Q90" t="s">
        <v>1586</v>
      </c>
      <c r="R90" t="s">
        <v>1280</v>
      </c>
      <c r="S90" t="s">
        <v>1510</v>
      </c>
      <c r="T90">
        <v>36</v>
      </c>
      <c r="U90">
        <f>IF(Table__192.168.1.150_M_CONSOLIDATED_Delinquency_Compulsory_EOM[[#This Row],[Days in Arrears]] &lt; 8, Table__192.168.1.150_M_CONSOLIDATED_Delinquency_Compulsory_EOM[[#This Row],[Outstanding Balance]], 0 )</f>
        <v>12178032.76</v>
      </c>
      <c r="V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 s="105" t="str">
        <f>VLOOKUP(Table__192.168.1.150_M_CONSOLIDATED_Delinquency_Compulsory_EOM[[#This Row],[Client No]],'Global Portfolio'!$B$2:$N$2500,10,FALSE)</f>
        <v>Retail</v>
      </c>
      <c r="AA90" s="105" t="str">
        <f>VLOOKUP(Table__192.168.1.150_M_CONSOLIDATED_Delinquency_Compulsory_EOM[[#This Row],[Client No]],'Global Portfolio'!$B$2:$N$2500,11,FALSE)</f>
        <v>Miscellaneous Store Retailers</v>
      </c>
      <c r="AB90" s="105" t="str">
        <f>VLOOKUP(Table__192.168.1.150_M_CONSOLIDATED_Delinquency_Compulsory_EOM[[#This Row],[Client No]],'Global Portfolio'!$B$2:$N$2500,12,FALSE)</f>
        <v>Others</v>
      </c>
    </row>
    <row r="91" spans="1:28" x14ac:dyDescent="0.25">
      <c r="A91">
        <v>102256</v>
      </c>
      <c r="B91" t="s">
        <v>1562</v>
      </c>
      <c r="C91" t="s">
        <v>1589</v>
      </c>
      <c r="D91" t="s">
        <v>1283</v>
      </c>
      <c r="E91">
        <v>-18</v>
      </c>
      <c r="F91">
        <v>36000000</v>
      </c>
      <c r="G91">
        <v>17536367.010000002</v>
      </c>
      <c r="H91">
        <v>1648936.59</v>
      </c>
      <c r="I91" t="s">
        <v>1191</v>
      </c>
      <c r="J91">
        <v>0</v>
      </c>
      <c r="K91">
        <v>3600000</v>
      </c>
      <c r="L91">
        <v>192900.04</v>
      </c>
      <c r="M91">
        <v>21436175.710000001</v>
      </c>
      <c r="N91" s="143">
        <v>42327.745232986112</v>
      </c>
      <c r="O91" s="143">
        <v>43423</v>
      </c>
      <c r="P91" t="s">
        <v>1590</v>
      </c>
      <c r="Q91" t="s">
        <v>1591</v>
      </c>
      <c r="R91" t="s">
        <v>1280</v>
      </c>
      <c r="S91" t="s">
        <v>1510</v>
      </c>
      <c r="T91">
        <v>36</v>
      </c>
      <c r="U91">
        <f>IF(Table__192.168.1.150_M_CONSOLIDATED_Delinquency_Compulsory_EOM[[#This Row],[Days in Arrears]] &lt; 8, Table__192.168.1.150_M_CONSOLIDATED_Delinquency_Compulsory_EOM[[#This Row],[Outstanding Balance]], 0 )</f>
        <v>17536367.010000002</v>
      </c>
      <c r="V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 s="105" t="str">
        <f>VLOOKUP(Table__192.168.1.150_M_CONSOLIDATED_Delinquency_Compulsory_EOM[[#This Row],[Client No]],'Global Portfolio'!$B$2:$N$2500,10,FALSE)</f>
        <v>Real Estate and Rental</v>
      </c>
      <c r="AA91" s="105" t="str">
        <f>VLOOKUP(Table__192.168.1.150_M_CONSOLIDATED_Delinquency_Compulsory_EOM[[#This Row],[Client No]],'Global Portfolio'!$B$2:$N$2500,11,FALSE)</f>
        <v>Real Estate</v>
      </c>
      <c r="AB91" s="105" t="str">
        <f>VLOOKUP(Table__192.168.1.150_M_CONSOLIDATED_Delinquency_Compulsory_EOM[[#This Row],[Client No]],'Global Portfolio'!$B$2:$N$2500,12,FALSE)</f>
        <v>Others</v>
      </c>
    </row>
    <row r="92" spans="1:28" x14ac:dyDescent="0.25">
      <c r="A92">
        <v>102259</v>
      </c>
      <c r="B92" t="s">
        <v>817</v>
      </c>
      <c r="C92" t="s">
        <v>820</v>
      </c>
      <c r="D92" t="s">
        <v>1283</v>
      </c>
      <c r="E92">
        <v>11</v>
      </c>
      <c r="F92">
        <v>67000000</v>
      </c>
      <c r="G92">
        <v>34666001.640000001</v>
      </c>
      <c r="H92">
        <v>3068854.21</v>
      </c>
      <c r="I92" t="s">
        <v>5724</v>
      </c>
      <c r="J92">
        <v>0</v>
      </c>
      <c r="K92">
        <v>0</v>
      </c>
      <c r="L92">
        <v>2139053.52</v>
      </c>
      <c r="M92">
        <v>42962813.18</v>
      </c>
      <c r="N92" s="143">
        <v>42328.725100925927</v>
      </c>
      <c r="O92" s="143">
        <v>43424</v>
      </c>
      <c r="P92" t="s">
        <v>821</v>
      </c>
      <c r="Q92" t="s">
        <v>822</v>
      </c>
      <c r="R92" t="s">
        <v>1280</v>
      </c>
      <c r="S92" t="s">
        <v>1510</v>
      </c>
      <c r="T92">
        <v>36</v>
      </c>
      <c r="U92">
        <f>IF(Table__192.168.1.150_M_CONSOLIDATED_Delinquency_Compulsory_EOM[[#This Row],[Days in Arrears]] &lt; 8, Table__192.168.1.150_M_CONSOLIDATED_Delinquency_Compulsory_EOM[[#This Row],[Outstanding Balance]], 0 )</f>
        <v>0</v>
      </c>
      <c r="V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34666001.640000001</v>
      </c>
      <c r="W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 s="105" t="str">
        <f>VLOOKUP(Table__192.168.1.150_M_CONSOLIDATED_Delinquency_Compulsory_EOM[[#This Row],[Client No]],'Global Portfolio'!$B$2:$N$2500,10,FALSE)</f>
        <v>Real Estate and Rental</v>
      </c>
      <c r="AA92" s="105" t="str">
        <f>VLOOKUP(Table__192.168.1.150_M_CONSOLIDATED_Delinquency_Compulsory_EOM[[#This Row],[Client No]],'Global Portfolio'!$B$2:$N$2500,11,FALSE)</f>
        <v>Real Estate</v>
      </c>
      <c r="AB92" s="105" t="str">
        <f>VLOOKUP(Table__192.168.1.150_M_CONSOLIDATED_Delinquency_Compulsory_EOM[[#This Row],[Client No]],'Global Portfolio'!$B$2:$N$2500,12,FALSE)</f>
        <v>Others</v>
      </c>
    </row>
    <row r="93" spans="1:28" x14ac:dyDescent="0.25">
      <c r="A93">
        <v>102267</v>
      </c>
      <c r="B93" t="s">
        <v>1154</v>
      </c>
      <c r="C93" t="s">
        <v>1155</v>
      </c>
      <c r="D93" t="s">
        <v>1283</v>
      </c>
      <c r="E93">
        <v>28</v>
      </c>
      <c r="F93">
        <v>58796578.719999999</v>
      </c>
      <c r="G93">
        <v>32431052.649999999</v>
      </c>
      <c r="H93">
        <v>2716638.39</v>
      </c>
      <c r="I93" t="s">
        <v>86</v>
      </c>
      <c r="J93">
        <v>0</v>
      </c>
      <c r="K93">
        <v>0</v>
      </c>
      <c r="L93">
        <v>972931.58</v>
      </c>
      <c r="M93">
        <v>40749575.670000002</v>
      </c>
      <c r="N93" s="143">
        <v>42332.515357025462</v>
      </c>
      <c r="O93" s="143">
        <v>43437</v>
      </c>
      <c r="P93" t="s">
        <v>1156</v>
      </c>
      <c r="Q93" t="s">
        <v>1280</v>
      </c>
      <c r="R93" t="s">
        <v>1280</v>
      </c>
      <c r="S93" t="s">
        <v>1510</v>
      </c>
      <c r="T93">
        <v>36</v>
      </c>
      <c r="U93">
        <f>IF(Table__192.168.1.150_M_CONSOLIDATED_Delinquency_Compulsory_EOM[[#This Row],[Days in Arrears]] &lt; 8, Table__192.168.1.150_M_CONSOLIDATED_Delinquency_Compulsory_EOM[[#This Row],[Outstanding Balance]], 0 )</f>
        <v>0</v>
      </c>
      <c r="V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32431052.649999999</v>
      </c>
      <c r="W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 s="105" t="str">
        <f>VLOOKUP(Table__192.168.1.150_M_CONSOLIDATED_Delinquency_Compulsory_EOM[[#This Row],[Client No]],'Global Portfolio'!$B$2:$N$2500,10,FALSE)</f>
        <v>Retail</v>
      </c>
      <c r="AA93" s="105" t="str">
        <f>VLOOKUP(Table__192.168.1.150_M_CONSOLIDATED_Delinquency_Compulsory_EOM[[#This Row],[Client No]],'Global Portfolio'!$B$2:$N$2500,11,FALSE)</f>
        <v>Others</v>
      </c>
      <c r="AB93" s="105" t="str">
        <f>VLOOKUP(Table__192.168.1.150_M_CONSOLIDATED_Delinquency_Compulsory_EOM[[#This Row],[Client No]],'Global Portfolio'!$B$2:$N$2500,12,FALSE)</f>
        <v>Others</v>
      </c>
    </row>
    <row r="94" spans="1:28" x14ac:dyDescent="0.25">
      <c r="A94">
        <v>102271</v>
      </c>
      <c r="B94" t="s">
        <v>1601</v>
      </c>
      <c r="C94" t="s">
        <v>1614</v>
      </c>
      <c r="D94" t="s">
        <v>1285</v>
      </c>
      <c r="E94">
        <v>-20</v>
      </c>
      <c r="F94">
        <v>25000000</v>
      </c>
      <c r="G94">
        <v>10587405.24</v>
      </c>
      <c r="H94">
        <v>902474.21</v>
      </c>
      <c r="I94" t="s">
        <v>284</v>
      </c>
      <c r="J94">
        <v>2050099.38</v>
      </c>
      <c r="K94">
        <v>0</v>
      </c>
      <c r="L94">
        <v>47643.32</v>
      </c>
      <c r="M94">
        <v>11732164.699999999</v>
      </c>
      <c r="N94" s="143">
        <v>42332.723250891206</v>
      </c>
      <c r="O94" s="143">
        <v>43425</v>
      </c>
      <c r="P94" t="s">
        <v>1615</v>
      </c>
      <c r="Q94" t="s">
        <v>1616</v>
      </c>
      <c r="R94" t="s">
        <v>1280</v>
      </c>
      <c r="S94" t="s">
        <v>1510</v>
      </c>
      <c r="T94">
        <v>18</v>
      </c>
      <c r="U94">
        <f>IF(Table__192.168.1.150_M_CONSOLIDATED_Delinquency_Compulsory_EOM[[#This Row],[Days in Arrears]] &lt; 8, Table__192.168.1.150_M_CONSOLIDATED_Delinquency_Compulsory_EOM[[#This Row],[Outstanding Balance]], 0 )</f>
        <v>10587405.24</v>
      </c>
      <c r="V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 s="105" t="str">
        <f>VLOOKUP(Table__192.168.1.150_M_CONSOLIDATED_Delinquency_Compulsory_EOM[[#This Row],[Client No]],'Global Portfolio'!$B$2:$N$2500,10,FALSE)</f>
        <v>Finance and Insurance</v>
      </c>
      <c r="AA94" s="105" t="str">
        <f>VLOOKUP(Table__192.168.1.150_M_CONSOLIDATED_Delinquency_Compulsory_EOM[[#This Row],[Client No]],'Global Portfolio'!$B$2:$N$2500,11,FALSE)</f>
        <v>Finance</v>
      </c>
      <c r="AB94" s="105" t="str">
        <f>VLOOKUP(Table__192.168.1.150_M_CONSOLIDATED_Delinquency_Compulsory_EOM[[#This Row],[Client No]],'Global Portfolio'!$B$2:$N$2500,12,FALSE)</f>
        <v>Others</v>
      </c>
    </row>
    <row r="95" spans="1:28" x14ac:dyDescent="0.25">
      <c r="A95">
        <v>102272</v>
      </c>
      <c r="B95" t="s">
        <v>659</v>
      </c>
      <c r="C95" t="s">
        <v>660</v>
      </c>
      <c r="D95" t="s">
        <v>1284</v>
      </c>
      <c r="E95">
        <v>0</v>
      </c>
      <c r="F95">
        <v>27500000</v>
      </c>
      <c r="G95">
        <v>14311467.699999999</v>
      </c>
      <c r="H95">
        <v>1266941.8400000001</v>
      </c>
      <c r="I95" t="s">
        <v>1039</v>
      </c>
      <c r="J95">
        <v>18033.37</v>
      </c>
      <c r="K95">
        <v>1375000</v>
      </c>
      <c r="L95">
        <v>415032.56</v>
      </c>
      <c r="M95">
        <v>17737185.800000001</v>
      </c>
      <c r="N95" s="143">
        <v>42333.516573692126</v>
      </c>
      <c r="O95" s="143">
        <v>43435</v>
      </c>
      <c r="P95" t="s">
        <v>661</v>
      </c>
      <c r="Q95" t="s">
        <v>662</v>
      </c>
      <c r="R95" t="s">
        <v>1280</v>
      </c>
      <c r="S95" t="s">
        <v>1510</v>
      </c>
      <c r="T95">
        <v>36</v>
      </c>
      <c r="U95">
        <f>IF(Table__192.168.1.150_M_CONSOLIDATED_Delinquency_Compulsory_EOM[[#This Row],[Days in Arrears]] &lt; 8, Table__192.168.1.150_M_CONSOLIDATED_Delinquency_Compulsory_EOM[[#This Row],[Outstanding Balance]], 0 )</f>
        <v>14311467.699999999</v>
      </c>
      <c r="V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 s="105" t="str">
        <f>VLOOKUP(Table__192.168.1.150_M_CONSOLIDATED_Delinquency_Compulsory_EOM[[#This Row],[Client No]],'Global Portfolio'!$B$2:$N$2500,10,FALSE)</f>
        <v>Real Estate and Rental</v>
      </c>
      <c r="AA95" s="105" t="str">
        <f>VLOOKUP(Table__192.168.1.150_M_CONSOLIDATED_Delinquency_Compulsory_EOM[[#This Row],[Client No]],'Global Portfolio'!$B$2:$N$2500,11,FALSE)</f>
        <v>Rental</v>
      </c>
      <c r="AB95" s="105" t="str">
        <f>VLOOKUP(Table__192.168.1.150_M_CONSOLIDATED_Delinquency_Compulsory_EOM[[#This Row],[Client No]],'Global Portfolio'!$B$2:$N$2500,12,FALSE)</f>
        <v>Others</v>
      </c>
    </row>
    <row r="96" spans="1:28" x14ac:dyDescent="0.25">
      <c r="A96">
        <v>102277</v>
      </c>
      <c r="B96" t="s">
        <v>1607</v>
      </c>
      <c r="C96" t="s">
        <v>1620</v>
      </c>
      <c r="D96" t="s">
        <v>1281</v>
      </c>
      <c r="E96">
        <v>21</v>
      </c>
      <c r="F96">
        <v>16000000</v>
      </c>
      <c r="G96">
        <v>8980431.8599999994</v>
      </c>
      <c r="H96">
        <v>800990.66</v>
      </c>
      <c r="I96" t="s">
        <v>1667</v>
      </c>
      <c r="J96">
        <v>0</v>
      </c>
      <c r="K96">
        <v>0</v>
      </c>
      <c r="L96">
        <v>203124.61</v>
      </c>
      <c r="M96">
        <v>11421146.48</v>
      </c>
      <c r="N96" s="143">
        <v>42334.710147881946</v>
      </c>
      <c r="O96" s="143">
        <v>43444</v>
      </c>
      <c r="P96" t="s">
        <v>1621</v>
      </c>
      <c r="Q96" t="s">
        <v>1280</v>
      </c>
      <c r="R96" t="s">
        <v>1280</v>
      </c>
      <c r="S96" t="s">
        <v>1510</v>
      </c>
      <c r="T96">
        <v>42</v>
      </c>
      <c r="U96">
        <f>IF(Table__192.168.1.150_M_CONSOLIDATED_Delinquency_Compulsory_EOM[[#This Row],[Days in Arrears]] &lt; 8, Table__192.168.1.150_M_CONSOLIDATED_Delinquency_Compulsory_EOM[[#This Row],[Outstanding Balance]], 0 )</f>
        <v>0</v>
      </c>
      <c r="V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8980431.8599999994</v>
      </c>
      <c r="W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 s="105" t="str">
        <f>VLOOKUP(Table__192.168.1.150_M_CONSOLIDATED_Delinquency_Compulsory_EOM[[#This Row],[Client No]],'Global Portfolio'!$B$2:$N$2500,10,FALSE)</f>
        <v>Retail</v>
      </c>
      <c r="AA96" s="105" t="str">
        <f>VLOOKUP(Table__192.168.1.150_M_CONSOLIDATED_Delinquency_Compulsory_EOM[[#This Row],[Client No]],'Global Portfolio'!$B$2:$N$2500,11,FALSE)</f>
        <v>General Merchandise Stores</v>
      </c>
      <c r="AB96" s="105" t="str">
        <f>VLOOKUP(Table__192.168.1.150_M_CONSOLIDATED_Delinquency_Compulsory_EOM[[#This Row],[Client No]],'Global Portfolio'!$B$2:$N$2500,12,FALSE)</f>
        <v>Others</v>
      </c>
    </row>
    <row r="97" spans="1:28" x14ac:dyDescent="0.25">
      <c r="A97">
        <v>102279</v>
      </c>
      <c r="B97" t="s">
        <v>1602</v>
      </c>
      <c r="C97" t="s">
        <v>1622</v>
      </c>
      <c r="D97" t="s">
        <v>1283</v>
      </c>
      <c r="E97">
        <v>-1</v>
      </c>
      <c r="F97">
        <v>31000000</v>
      </c>
      <c r="G97">
        <v>16132927.35</v>
      </c>
      <c r="H97">
        <v>1428188.98</v>
      </c>
      <c r="I97" t="s">
        <v>963</v>
      </c>
      <c r="J97">
        <v>0</v>
      </c>
      <c r="K97">
        <v>3100000</v>
      </c>
      <c r="L97">
        <v>451721.97</v>
      </c>
      <c r="M97">
        <v>19994646.010000002</v>
      </c>
      <c r="N97" s="143">
        <v>42334.679847534724</v>
      </c>
      <c r="O97" s="143">
        <v>43436</v>
      </c>
      <c r="P97" t="s">
        <v>1623</v>
      </c>
      <c r="Q97" t="s">
        <v>1280</v>
      </c>
      <c r="R97" t="s">
        <v>1280</v>
      </c>
      <c r="S97" t="s">
        <v>1510</v>
      </c>
      <c r="T97">
        <v>36</v>
      </c>
      <c r="U97">
        <f>IF(Table__192.168.1.150_M_CONSOLIDATED_Delinquency_Compulsory_EOM[[#This Row],[Days in Arrears]] &lt; 8, Table__192.168.1.150_M_CONSOLIDATED_Delinquency_Compulsory_EOM[[#This Row],[Outstanding Balance]], 0 )</f>
        <v>16132927.35</v>
      </c>
      <c r="V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 s="105" t="str">
        <f>VLOOKUP(Table__192.168.1.150_M_CONSOLIDATED_Delinquency_Compulsory_EOM[[#This Row],[Client No]],'Global Portfolio'!$B$2:$N$2500,10,FALSE)</f>
        <v>Retail</v>
      </c>
      <c r="AA97" s="105" t="str">
        <f>VLOOKUP(Table__192.168.1.150_M_CONSOLIDATED_Delinquency_Compulsory_EOM[[#This Row],[Client No]],'Global Portfolio'!$B$2:$N$2500,11,FALSE)</f>
        <v>Others</v>
      </c>
      <c r="AB97" s="105" t="str">
        <f>VLOOKUP(Table__192.168.1.150_M_CONSOLIDATED_Delinquency_Compulsory_EOM[[#This Row],[Client No]],'Global Portfolio'!$B$2:$N$2500,12,FALSE)</f>
        <v>Others</v>
      </c>
    </row>
    <row r="98" spans="1:28" x14ac:dyDescent="0.25">
      <c r="A98">
        <v>102282</v>
      </c>
      <c r="B98" t="s">
        <v>1603</v>
      </c>
      <c r="C98" t="s">
        <v>1625</v>
      </c>
      <c r="D98" t="s">
        <v>1284</v>
      </c>
      <c r="E98">
        <v>-3</v>
      </c>
      <c r="F98">
        <v>15000000</v>
      </c>
      <c r="G98">
        <v>1706299.38</v>
      </c>
      <c r="H98">
        <v>891730.64</v>
      </c>
      <c r="I98" t="s">
        <v>1467</v>
      </c>
      <c r="J98">
        <v>0</v>
      </c>
      <c r="K98">
        <v>750000</v>
      </c>
      <c r="L98">
        <v>44363.78</v>
      </c>
      <c r="M98">
        <v>1783461.09</v>
      </c>
      <c r="N98" s="143">
        <v>42335.543069016203</v>
      </c>
      <c r="O98" s="143">
        <v>43073</v>
      </c>
      <c r="P98" t="s">
        <v>1626</v>
      </c>
      <c r="Q98" t="s">
        <v>1627</v>
      </c>
      <c r="R98" t="s">
        <v>1280</v>
      </c>
      <c r="S98" t="s">
        <v>1510</v>
      </c>
      <c r="T98">
        <v>36</v>
      </c>
      <c r="U98">
        <f>IF(Table__192.168.1.150_M_CONSOLIDATED_Delinquency_Compulsory_EOM[[#This Row],[Days in Arrears]] &lt; 8, Table__192.168.1.150_M_CONSOLIDATED_Delinquency_Compulsory_EOM[[#This Row],[Outstanding Balance]], 0 )</f>
        <v>1706299.38</v>
      </c>
      <c r="V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 s="105" t="str">
        <f>VLOOKUP(Table__192.168.1.150_M_CONSOLIDATED_Delinquency_Compulsory_EOM[[#This Row],[Client No]],'Global Portfolio'!$B$2:$N$2500,10,FALSE)</f>
        <v>Real Estate and Rental</v>
      </c>
      <c r="AA98" s="105" t="str">
        <f>VLOOKUP(Table__192.168.1.150_M_CONSOLIDATED_Delinquency_Compulsory_EOM[[#This Row],[Client No]],'Global Portfolio'!$B$2:$N$2500,11,FALSE)</f>
        <v>Rental</v>
      </c>
      <c r="AB98" s="105" t="str">
        <f>VLOOKUP(Table__192.168.1.150_M_CONSOLIDATED_Delinquency_Compulsory_EOM[[#This Row],[Client No]],'Global Portfolio'!$B$2:$N$2500,12,FALSE)</f>
        <v>Others</v>
      </c>
    </row>
    <row r="99" spans="1:28" x14ac:dyDescent="0.25">
      <c r="A99">
        <v>102284</v>
      </c>
      <c r="B99" t="s">
        <v>802</v>
      </c>
      <c r="C99" t="s">
        <v>803</v>
      </c>
      <c r="D99" t="s">
        <v>1283</v>
      </c>
      <c r="E99">
        <v>-9</v>
      </c>
      <c r="F99">
        <v>31500000</v>
      </c>
      <c r="G99">
        <v>3603961.3</v>
      </c>
      <c r="H99">
        <v>1883469.25</v>
      </c>
      <c r="I99" t="s">
        <v>1191</v>
      </c>
      <c r="J99">
        <v>5530.75</v>
      </c>
      <c r="K99">
        <v>0</v>
      </c>
      <c r="L99">
        <v>72079.23</v>
      </c>
      <c r="M99">
        <v>3766938.47</v>
      </c>
      <c r="N99" s="143">
        <v>42335.629440856479</v>
      </c>
      <c r="O99" s="143">
        <v>43079</v>
      </c>
      <c r="P99" t="s">
        <v>804</v>
      </c>
      <c r="Q99" t="s">
        <v>805</v>
      </c>
      <c r="R99" t="s">
        <v>1280</v>
      </c>
      <c r="S99" t="s">
        <v>1510</v>
      </c>
      <c r="T99">
        <v>36</v>
      </c>
      <c r="U99">
        <f>IF(Table__192.168.1.150_M_CONSOLIDATED_Delinquency_Compulsory_EOM[[#This Row],[Days in Arrears]] &lt; 8, Table__192.168.1.150_M_CONSOLIDATED_Delinquency_Compulsory_EOM[[#This Row],[Outstanding Balance]], 0 )</f>
        <v>3603961.3</v>
      </c>
      <c r="V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 s="105" t="str">
        <f>VLOOKUP(Table__192.168.1.150_M_CONSOLIDATED_Delinquency_Compulsory_EOM[[#This Row],[Client No]],'Global Portfolio'!$B$2:$N$2500,10,FALSE)</f>
        <v>Agriculture, Forestry, Fishing and Hunting</v>
      </c>
      <c r="AA99" s="105" t="str">
        <f>VLOOKUP(Table__192.168.1.150_M_CONSOLIDATED_Delinquency_Compulsory_EOM[[#This Row],[Client No]],'Global Portfolio'!$B$2:$N$2500,11,FALSE)</f>
        <v>Forestry</v>
      </c>
      <c r="AB99" s="105" t="str">
        <f>VLOOKUP(Table__192.168.1.150_M_CONSOLIDATED_Delinquency_Compulsory_EOM[[#This Row],[Client No]],'Global Portfolio'!$B$2:$N$2500,12,FALSE)</f>
        <v>Timber Tract Operations</v>
      </c>
    </row>
    <row r="100" spans="1:28" x14ac:dyDescent="0.25">
      <c r="A100">
        <v>102288</v>
      </c>
      <c r="B100" t="s">
        <v>535</v>
      </c>
      <c r="C100" t="s">
        <v>538</v>
      </c>
      <c r="D100" t="s">
        <v>1284</v>
      </c>
      <c r="E100">
        <v>13</v>
      </c>
      <c r="F100">
        <v>67000000</v>
      </c>
      <c r="G100">
        <v>37107120.289999999</v>
      </c>
      <c r="H100">
        <v>3122484.67</v>
      </c>
      <c r="I100" t="s">
        <v>546</v>
      </c>
      <c r="J100">
        <v>0</v>
      </c>
      <c r="K100">
        <v>0</v>
      </c>
      <c r="L100">
        <v>1456872.47</v>
      </c>
      <c r="M100">
        <v>46496615.57</v>
      </c>
      <c r="N100" s="143">
        <v>42338.701221331015</v>
      </c>
      <c r="O100" s="143">
        <v>43452</v>
      </c>
      <c r="P100" t="s">
        <v>539</v>
      </c>
      <c r="Q100" t="s">
        <v>540</v>
      </c>
      <c r="R100" t="s">
        <v>1280</v>
      </c>
      <c r="S100" t="s">
        <v>1510</v>
      </c>
      <c r="T100">
        <v>36</v>
      </c>
      <c r="U100">
        <f>IF(Table__192.168.1.150_M_CONSOLIDATED_Delinquency_Compulsory_EOM[[#This Row],[Days in Arrears]] &lt; 8, Table__192.168.1.150_M_CONSOLIDATED_Delinquency_Compulsory_EOM[[#This Row],[Outstanding Balance]], 0 )</f>
        <v>0</v>
      </c>
      <c r="V1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37107120.289999999</v>
      </c>
      <c r="W1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 s="105" t="str">
        <f>VLOOKUP(Table__192.168.1.150_M_CONSOLIDATED_Delinquency_Compulsory_EOM[[#This Row],[Client No]],'Global Portfolio'!$B$2:$N$2500,10,FALSE)</f>
        <v>Retail</v>
      </c>
      <c r="AA100" s="105" t="str">
        <f>VLOOKUP(Table__192.168.1.150_M_CONSOLIDATED_Delinquency_Compulsory_EOM[[#This Row],[Client No]],'Global Portfolio'!$B$2:$N$2500,11,FALSE)</f>
        <v>Others</v>
      </c>
      <c r="AB100" s="105" t="str">
        <f>VLOOKUP(Table__192.168.1.150_M_CONSOLIDATED_Delinquency_Compulsory_EOM[[#This Row],[Client No]],'Global Portfolio'!$B$2:$N$2500,12,FALSE)</f>
        <v>Others</v>
      </c>
    </row>
    <row r="101" spans="1:28" x14ac:dyDescent="0.25">
      <c r="A101">
        <v>102293</v>
      </c>
      <c r="B101" t="s">
        <v>368</v>
      </c>
      <c r="C101" t="s">
        <v>370</v>
      </c>
      <c r="D101" t="s">
        <v>1284</v>
      </c>
      <c r="E101">
        <v>-14</v>
      </c>
      <c r="F101">
        <v>67000000</v>
      </c>
      <c r="G101">
        <v>35137190.07</v>
      </c>
      <c r="H101">
        <v>3110566.79</v>
      </c>
      <c r="I101" t="s">
        <v>1039</v>
      </c>
      <c r="J101">
        <v>46313.15</v>
      </c>
      <c r="K101">
        <v>0</v>
      </c>
      <c r="L101">
        <v>527057.85</v>
      </c>
      <c r="M101">
        <v>43547935.219999999</v>
      </c>
      <c r="N101" s="143">
        <v>42339.50013630787</v>
      </c>
      <c r="O101" s="143">
        <v>43449</v>
      </c>
      <c r="P101" t="s">
        <v>371</v>
      </c>
      <c r="Q101" t="s">
        <v>372</v>
      </c>
      <c r="R101" t="s">
        <v>1280</v>
      </c>
      <c r="S101" t="s">
        <v>1510</v>
      </c>
      <c r="T101">
        <v>36</v>
      </c>
      <c r="U101">
        <f>IF(Table__192.168.1.150_M_CONSOLIDATED_Delinquency_Compulsory_EOM[[#This Row],[Days in Arrears]] &lt; 8, Table__192.168.1.150_M_CONSOLIDATED_Delinquency_Compulsory_EOM[[#This Row],[Outstanding Balance]], 0 )</f>
        <v>35137190.07</v>
      </c>
      <c r="V1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 s="105" t="str">
        <f>VLOOKUP(Table__192.168.1.150_M_CONSOLIDATED_Delinquency_Compulsory_EOM[[#This Row],[Client No]],'Global Portfolio'!$B$2:$N$2500,10,FALSE)</f>
        <v>Real Estate and Rental</v>
      </c>
      <c r="AA101" s="105" t="str">
        <f>VLOOKUP(Table__192.168.1.150_M_CONSOLIDATED_Delinquency_Compulsory_EOM[[#This Row],[Client No]],'Global Portfolio'!$B$2:$N$2500,11,FALSE)</f>
        <v>Rental</v>
      </c>
      <c r="AB101" s="105" t="str">
        <f>VLOOKUP(Table__192.168.1.150_M_CONSOLIDATED_Delinquency_Compulsory_EOM[[#This Row],[Client No]],'Global Portfolio'!$B$2:$N$2500,12,FALSE)</f>
        <v>Others</v>
      </c>
    </row>
    <row r="102" spans="1:28" x14ac:dyDescent="0.25">
      <c r="A102">
        <v>102295</v>
      </c>
      <c r="B102" t="s">
        <v>500</v>
      </c>
      <c r="C102" t="s">
        <v>501</v>
      </c>
      <c r="D102" t="s">
        <v>1281</v>
      </c>
      <c r="E102">
        <v>135</v>
      </c>
      <c r="F102">
        <v>17500000</v>
      </c>
      <c r="G102">
        <v>6286514.0700000003</v>
      </c>
      <c r="H102">
        <v>1108200.67</v>
      </c>
      <c r="I102" t="s">
        <v>5725</v>
      </c>
      <c r="J102">
        <v>0</v>
      </c>
      <c r="K102">
        <v>0</v>
      </c>
      <c r="L102">
        <v>206678.71</v>
      </c>
      <c r="M102">
        <v>7030612.0700000003</v>
      </c>
      <c r="N102" s="143">
        <v>42339.717164895832</v>
      </c>
      <c r="O102" s="143">
        <v>43085</v>
      </c>
      <c r="P102" t="s">
        <v>502</v>
      </c>
      <c r="Q102" t="s">
        <v>503</v>
      </c>
      <c r="R102" t="s">
        <v>1280</v>
      </c>
      <c r="S102" t="s">
        <v>1510</v>
      </c>
      <c r="T102">
        <v>42</v>
      </c>
      <c r="U102">
        <f>IF(Table__192.168.1.150_M_CONSOLIDATED_Delinquency_Compulsory_EOM[[#This Row],[Days in Arrears]] &lt; 8, Table__192.168.1.150_M_CONSOLIDATED_Delinquency_Compulsory_EOM[[#This Row],[Outstanding Balance]], 0 )</f>
        <v>0</v>
      </c>
      <c r="V1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6286514.0700000003</v>
      </c>
      <c r="Z102" s="105" t="str">
        <f>VLOOKUP(Table__192.168.1.150_M_CONSOLIDATED_Delinquency_Compulsory_EOM[[#This Row],[Client No]],'Global Portfolio'!$B$2:$N$2500,10,FALSE)</f>
        <v>Agriculture, Forestry, Fishing and Hunting</v>
      </c>
      <c r="AA102" s="105" t="str">
        <f>VLOOKUP(Table__192.168.1.150_M_CONSOLIDATED_Delinquency_Compulsory_EOM[[#This Row],[Client No]],'Global Portfolio'!$B$2:$N$2500,11,FALSE)</f>
        <v>Animal Production</v>
      </c>
      <c r="AB102" s="105" t="str">
        <f>VLOOKUP(Table__192.168.1.150_M_CONSOLIDATED_Delinquency_Compulsory_EOM[[#This Row],[Client No]],'Global Portfolio'!$B$2:$N$2500,12,FALSE)</f>
        <v>Poultry &amp; Egg Production</v>
      </c>
    </row>
    <row r="103" spans="1:28" x14ac:dyDescent="0.25">
      <c r="A103">
        <v>102299</v>
      </c>
      <c r="B103" t="s">
        <v>1631</v>
      </c>
      <c r="C103" t="s">
        <v>1632</v>
      </c>
      <c r="D103" t="s">
        <v>1284</v>
      </c>
      <c r="E103">
        <v>-4</v>
      </c>
      <c r="F103">
        <v>60000000</v>
      </c>
      <c r="G103">
        <v>31134600.440000001</v>
      </c>
      <c r="H103">
        <v>2756232.2</v>
      </c>
      <c r="I103" t="s">
        <v>491</v>
      </c>
      <c r="J103">
        <v>190897.44</v>
      </c>
      <c r="K103">
        <v>3000000</v>
      </c>
      <c r="L103">
        <v>778365.01</v>
      </c>
      <c r="M103">
        <v>38587250.68</v>
      </c>
      <c r="N103" s="143">
        <v>42340.740084606485</v>
      </c>
      <c r="O103" s="143">
        <v>43439</v>
      </c>
      <c r="P103" t="s">
        <v>1633</v>
      </c>
      <c r="Q103" t="s">
        <v>1634</v>
      </c>
      <c r="R103" t="s">
        <v>1280</v>
      </c>
      <c r="S103" t="s">
        <v>1510</v>
      </c>
      <c r="T103">
        <v>36</v>
      </c>
      <c r="U103">
        <f>IF(Table__192.168.1.150_M_CONSOLIDATED_Delinquency_Compulsory_EOM[[#This Row],[Days in Arrears]] &lt; 8, Table__192.168.1.150_M_CONSOLIDATED_Delinquency_Compulsory_EOM[[#This Row],[Outstanding Balance]], 0 )</f>
        <v>31134600.440000001</v>
      </c>
      <c r="V1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 s="105" t="str">
        <f>VLOOKUP(Table__192.168.1.150_M_CONSOLIDATED_Delinquency_Compulsory_EOM[[#This Row],[Client No]],'Global Portfolio'!$B$2:$N$2500,10,FALSE)</f>
        <v>Real Estate and Rental</v>
      </c>
      <c r="AA103" s="105" t="str">
        <f>VLOOKUP(Table__192.168.1.150_M_CONSOLIDATED_Delinquency_Compulsory_EOM[[#This Row],[Client No]],'Global Portfolio'!$B$2:$N$2500,11,FALSE)</f>
        <v>Rental</v>
      </c>
      <c r="AB103" s="105" t="str">
        <f>VLOOKUP(Table__192.168.1.150_M_CONSOLIDATED_Delinquency_Compulsory_EOM[[#This Row],[Client No]],'Global Portfolio'!$B$2:$N$2500,12,FALSE)</f>
        <v>Others</v>
      </c>
    </row>
    <row r="104" spans="1:28" x14ac:dyDescent="0.25">
      <c r="A104">
        <v>102318</v>
      </c>
      <c r="B104" t="s">
        <v>975</v>
      </c>
      <c r="C104" t="s">
        <v>976</v>
      </c>
      <c r="D104" t="s">
        <v>1281</v>
      </c>
      <c r="E104">
        <v>-10</v>
      </c>
      <c r="F104">
        <v>20000000</v>
      </c>
      <c r="G104">
        <v>2365986.63</v>
      </c>
      <c r="H104">
        <v>1245456.6100000001</v>
      </c>
      <c r="I104" t="s">
        <v>4684</v>
      </c>
      <c r="J104">
        <v>0</v>
      </c>
      <c r="K104">
        <v>3000000</v>
      </c>
      <c r="L104">
        <v>52446.04</v>
      </c>
      <c r="M104">
        <v>2490913.04</v>
      </c>
      <c r="N104" s="143">
        <v>42349.715272800924</v>
      </c>
      <c r="O104" s="143">
        <v>43080</v>
      </c>
      <c r="P104" t="s">
        <v>977</v>
      </c>
      <c r="Q104" t="s">
        <v>978</v>
      </c>
      <c r="R104" t="s">
        <v>1280</v>
      </c>
      <c r="S104" t="s">
        <v>1510</v>
      </c>
      <c r="T104">
        <v>42</v>
      </c>
      <c r="U104">
        <f>IF(Table__192.168.1.150_M_CONSOLIDATED_Delinquency_Compulsory_EOM[[#This Row],[Days in Arrears]] &lt; 8, Table__192.168.1.150_M_CONSOLIDATED_Delinquency_Compulsory_EOM[[#This Row],[Outstanding Balance]], 0 )</f>
        <v>2365986.63</v>
      </c>
      <c r="V1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 s="105" t="str">
        <f>VLOOKUP(Table__192.168.1.150_M_CONSOLIDATED_Delinquency_Compulsory_EOM[[#This Row],[Client No]],'Global Portfolio'!$B$2:$N$2500,10,FALSE)</f>
        <v>Health Care</v>
      </c>
      <c r="AA104" s="105" t="str">
        <f>VLOOKUP(Table__192.168.1.150_M_CONSOLIDATED_Delinquency_Compulsory_EOM[[#This Row],[Client No]],'Global Portfolio'!$B$2:$N$2500,11,FALSE)</f>
        <v>Health Care</v>
      </c>
      <c r="AB104" s="105" t="str">
        <f>VLOOKUP(Table__192.168.1.150_M_CONSOLIDATED_Delinquency_Compulsory_EOM[[#This Row],[Client No]],'Global Portfolio'!$B$2:$N$2500,12,FALSE)</f>
        <v>Others</v>
      </c>
    </row>
    <row r="105" spans="1:28" x14ac:dyDescent="0.25">
      <c r="A105">
        <v>102319</v>
      </c>
      <c r="B105" t="s">
        <v>1129</v>
      </c>
      <c r="C105" t="s">
        <v>1133</v>
      </c>
      <c r="D105" t="s">
        <v>1283</v>
      </c>
      <c r="E105">
        <v>-11</v>
      </c>
      <c r="F105">
        <v>60000000</v>
      </c>
      <c r="G105">
        <v>31044180.600000001</v>
      </c>
      <c r="H105">
        <v>2748227.65</v>
      </c>
      <c r="I105" t="s">
        <v>1191</v>
      </c>
      <c r="J105">
        <v>0</v>
      </c>
      <c r="K105">
        <v>0</v>
      </c>
      <c r="L105">
        <v>558795.25</v>
      </c>
      <c r="M105">
        <v>38475187.189999998</v>
      </c>
      <c r="N105" s="143">
        <v>42350.529940775465</v>
      </c>
      <c r="O105" s="143">
        <v>43446</v>
      </c>
      <c r="P105" t="s">
        <v>1134</v>
      </c>
      <c r="Q105" t="s">
        <v>1716</v>
      </c>
      <c r="R105" t="s">
        <v>1280</v>
      </c>
      <c r="S105" t="s">
        <v>1510</v>
      </c>
      <c r="T105">
        <v>36</v>
      </c>
      <c r="U105">
        <f>IF(Table__192.168.1.150_M_CONSOLIDATED_Delinquency_Compulsory_EOM[[#This Row],[Days in Arrears]] &lt; 8, Table__192.168.1.150_M_CONSOLIDATED_Delinquency_Compulsory_EOM[[#This Row],[Outstanding Balance]], 0 )</f>
        <v>31044180.600000001</v>
      </c>
      <c r="V1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 s="105" t="str">
        <f>VLOOKUP(Table__192.168.1.150_M_CONSOLIDATED_Delinquency_Compulsory_EOM[[#This Row],[Client No]],'Global Portfolio'!$B$2:$N$2500,10,FALSE)</f>
        <v>Real Estate and Rental</v>
      </c>
      <c r="AA105" s="105" t="str">
        <f>VLOOKUP(Table__192.168.1.150_M_CONSOLIDATED_Delinquency_Compulsory_EOM[[#This Row],[Client No]],'Global Portfolio'!$B$2:$N$2500,11,FALSE)</f>
        <v>Rental</v>
      </c>
      <c r="AB105" s="105" t="str">
        <f>VLOOKUP(Table__192.168.1.150_M_CONSOLIDATED_Delinquency_Compulsory_EOM[[#This Row],[Client No]],'Global Portfolio'!$B$2:$N$2500,12,FALSE)</f>
        <v>Others</v>
      </c>
    </row>
    <row r="106" spans="1:28" x14ac:dyDescent="0.25">
      <c r="A106">
        <v>102320</v>
      </c>
      <c r="B106" t="s">
        <v>1656</v>
      </c>
      <c r="C106" t="s">
        <v>1659</v>
      </c>
      <c r="D106" t="s">
        <v>1281</v>
      </c>
      <c r="E106">
        <v>134</v>
      </c>
      <c r="F106">
        <v>15500000</v>
      </c>
      <c r="G106">
        <v>1139260.83</v>
      </c>
      <c r="H106">
        <v>1179135.01</v>
      </c>
      <c r="I106" t="s">
        <v>90</v>
      </c>
      <c r="J106">
        <v>0</v>
      </c>
      <c r="K106">
        <v>0</v>
      </c>
      <c r="L106">
        <v>39874.129999999997</v>
      </c>
      <c r="M106">
        <v>1179134.96</v>
      </c>
      <c r="N106" s="143">
        <v>42352.446862847224</v>
      </c>
      <c r="O106" s="143">
        <v>42903</v>
      </c>
      <c r="P106" t="s">
        <v>1660</v>
      </c>
      <c r="Q106" t="s">
        <v>1661</v>
      </c>
      <c r="R106" t="s">
        <v>1280</v>
      </c>
      <c r="S106" t="s">
        <v>1510</v>
      </c>
      <c r="T106">
        <v>42</v>
      </c>
      <c r="U106">
        <f>IF(Table__192.168.1.150_M_CONSOLIDATED_Delinquency_Compulsory_EOM[[#This Row],[Days in Arrears]] &lt; 8, Table__192.168.1.150_M_CONSOLIDATED_Delinquency_Compulsory_EOM[[#This Row],[Outstanding Balance]], 0 )</f>
        <v>0</v>
      </c>
      <c r="V1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1139260.83</v>
      </c>
      <c r="Z106" s="105" t="str">
        <f>VLOOKUP(Table__192.168.1.150_M_CONSOLIDATED_Delinquency_Compulsory_EOM[[#This Row],[Client No]],'Global Portfolio'!$B$2:$N$2500,10,FALSE)</f>
        <v>Educational Services</v>
      </c>
      <c r="AA106" s="105" t="str">
        <f>VLOOKUP(Table__192.168.1.150_M_CONSOLIDATED_Delinquency_Compulsory_EOM[[#This Row],[Client No]],'Global Portfolio'!$B$2:$N$2500,11,FALSE)</f>
        <v>Educational Services</v>
      </c>
      <c r="AB106" s="105" t="str">
        <f>VLOOKUP(Table__192.168.1.150_M_CONSOLIDATED_Delinquency_Compulsory_EOM[[#This Row],[Client No]],'Global Portfolio'!$B$2:$N$2500,12,FALSE)</f>
        <v>Colleges</v>
      </c>
    </row>
    <row r="107" spans="1:28" x14ac:dyDescent="0.25">
      <c r="A107">
        <v>102325</v>
      </c>
      <c r="B107" t="s">
        <v>606</v>
      </c>
      <c r="C107" t="s">
        <v>608</v>
      </c>
      <c r="D107" t="s">
        <v>1841</v>
      </c>
      <c r="E107">
        <v>16</v>
      </c>
      <c r="F107">
        <v>43475755.299999997</v>
      </c>
      <c r="G107">
        <v>23772661.25</v>
      </c>
      <c r="H107">
        <v>1991354.55</v>
      </c>
      <c r="I107" t="s">
        <v>5725</v>
      </c>
      <c r="J107">
        <v>0</v>
      </c>
      <c r="K107">
        <v>0</v>
      </c>
      <c r="L107">
        <v>713179.84</v>
      </c>
      <c r="M107">
        <v>29870318.100000001</v>
      </c>
      <c r="N107" s="143">
        <v>42353.615307094908</v>
      </c>
      <c r="O107" s="143">
        <v>43449</v>
      </c>
      <c r="P107" t="s">
        <v>609</v>
      </c>
      <c r="Q107" t="s">
        <v>610</v>
      </c>
      <c r="R107" t="s">
        <v>1280</v>
      </c>
      <c r="S107" t="s">
        <v>1510</v>
      </c>
      <c r="T107">
        <v>36</v>
      </c>
      <c r="U107">
        <f>IF(Table__192.168.1.150_M_CONSOLIDATED_Delinquency_Compulsory_EOM[[#This Row],[Days in Arrears]] &lt; 8, Table__192.168.1.150_M_CONSOLIDATED_Delinquency_Compulsory_EOM[[#This Row],[Outstanding Balance]], 0 )</f>
        <v>0</v>
      </c>
      <c r="V1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23772661.25</v>
      </c>
      <c r="W1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 s="105" t="str">
        <f>VLOOKUP(Table__192.168.1.150_M_CONSOLIDATED_Delinquency_Compulsory_EOM[[#This Row],[Client No]],'Global Portfolio'!$B$2:$N$2500,10,FALSE)</f>
        <v>Wholesale Trade</v>
      </c>
      <c r="AA107" s="105" t="str">
        <f>VLOOKUP(Table__192.168.1.150_M_CONSOLIDATED_Delinquency_Compulsory_EOM[[#This Row],[Client No]],'Global Portfolio'!$B$2:$N$2500,11,FALSE)</f>
        <v>Others</v>
      </c>
      <c r="AB107" s="105" t="str">
        <f>VLOOKUP(Table__192.168.1.150_M_CONSOLIDATED_Delinquency_Compulsory_EOM[[#This Row],[Client No]],'Global Portfolio'!$B$2:$N$2500,12,FALSE)</f>
        <v>Others</v>
      </c>
    </row>
    <row r="108" spans="1:28" x14ac:dyDescent="0.25">
      <c r="A108">
        <v>102326</v>
      </c>
      <c r="B108" t="s">
        <v>650</v>
      </c>
      <c r="C108" t="s">
        <v>656</v>
      </c>
      <c r="D108" t="s">
        <v>1285</v>
      </c>
      <c r="E108">
        <v>-20</v>
      </c>
      <c r="F108">
        <v>12900000</v>
      </c>
      <c r="G108">
        <v>2372041.5099999998</v>
      </c>
      <c r="H108">
        <v>467744.32</v>
      </c>
      <c r="I108" t="s">
        <v>284</v>
      </c>
      <c r="J108">
        <v>307322</v>
      </c>
      <c r="K108">
        <v>0</v>
      </c>
      <c r="L108">
        <v>10674.19</v>
      </c>
      <c r="M108">
        <v>2486321.66</v>
      </c>
      <c r="N108" s="143">
        <v>42353.648289930556</v>
      </c>
      <c r="O108" s="143">
        <v>43455</v>
      </c>
      <c r="P108" t="s">
        <v>657</v>
      </c>
      <c r="Q108" t="s">
        <v>658</v>
      </c>
      <c r="R108" t="s">
        <v>1280</v>
      </c>
      <c r="S108" t="s">
        <v>1510</v>
      </c>
      <c r="T108">
        <v>18</v>
      </c>
      <c r="U108">
        <f>IF(Table__192.168.1.150_M_CONSOLIDATED_Delinquency_Compulsory_EOM[[#This Row],[Days in Arrears]] &lt; 8, Table__192.168.1.150_M_CONSOLIDATED_Delinquency_Compulsory_EOM[[#This Row],[Outstanding Balance]], 0 )</f>
        <v>2372041.5099999998</v>
      </c>
      <c r="V1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 s="105" t="str">
        <f>VLOOKUP(Table__192.168.1.150_M_CONSOLIDATED_Delinquency_Compulsory_EOM[[#This Row],[Client No]],'Global Portfolio'!$B$2:$N$2500,10,FALSE)</f>
        <v>Finance and Insurance</v>
      </c>
      <c r="AA108" s="105" t="str">
        <f>VLOOKUP(Table__192.168.1.150_M_CONSOLIDATED_Delinquency_Compulsory_EOM[[#This Row],[Client No]],'Global Portfolio'!$B$2:$N$2500,11,FALSE)</f>
        <v>Finance</v>
      </c>
      <c r="AB108" s="105" t="str">
        <f>VLOOKUP(Table__192.168.1.150_M_CONSOLIDATED_Delinquency_Compulsory_EOM[[#This Row],[Client No]],'Global Portfolio'!$B$2:$N$2500,12,FALSE)</f>
        <v>Microfinance Institutions</v>
      </c>
    </row>
    <row r="109" spans="1:28" x14ac:dyDescent="0.25">
      <c r="A109">
        <v>102331</v>
      </c>
      <c r="B109" t="s">
        <v>566</v>
      </c>
      <c r="C109" t="s">
        <v>567</v>
      </c>
      <c r="D109" t="s">
        <v>1284</v>
      </c>
      <c r="E109">
        <v>16</v>
      </c>
      <c r="F109">
        <v>11000000</v>
      </c>
      <c r="G109">
        <v>1837243.99</v>
      </c>
      <c r="H109">
        <v>649521.57999999996</v>
      </c>
      <c r="I109" t="s">
        <v>1039</v>
      </c>
      <c r="J109">
        <v>0</v>
      </c>
      <c r="K109">
        <v>550000</v>
      </c>
      <c r="L109">
        <v>69913.64</v>
      </c>
      <c r="M109">
        <v>1944718.32</v>
      </c>
      <c r="N109" s="143">
        <v>42353.74308310185</v>
      </c>
      <c r="O109" s="143">
        <v>43084</v>
      </c>
      <c r="P109" t="s">
        <v>568</v>
      </c>
      <c r="Q109" t="s">
        <v>569</v>
      </c>
      <c r="R109" t="s">
        <v>1280</v>
      </c>
      <c r="S109" t="s">
        <v>1510</v>
      </c>
      <c r="T109">
        <v>36</v>
      </c>
      <c r="U109">
        <f>IF(Table__192.168.1.150_M_CONSOLIDATED_Delinquency_Compulsory_EOM[[#This Row],[Days in Arrears]] &lt; 8, Table__192.168.1.150_M_CONSOLIDATED_Delinquency_Compulsory_EOM[[#This Row],[Outstanding Balance]], 0 )</f>
        <v>0</v>
      </c>
      <c r="V1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1837243.99</v>
      </c>
      <c r="W1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 s="105" t="str">
        <f>VLOOKUP(Table__192.168.1.150_M_CONSOLIDATED_Delinquency_Compulsory_EOM[[#This Row],[Client No]],'Global Portfolio'!$B$2:$N$2500,10,FALSE)</f>
        <v>Real Estate and Rental</v>
      </c>
      <c r="AA109" s="105" t="str">
        <f>VLOOKUP(Table__192.168.1.150_M_CONSOLIDATED_Delinquency_Compulsory_EOM[[#This Row],[Client No]],'Global Portfolio'!$B$2:$N$2500,11,FALSE)</f>
        <v>Rental</v>
      </c>
      <c r="AB109" s="105" t="str">
        <f>VLOOKUP(Table__192.168.1.150_M_CONSOLIDATED_Delinquency_Compulsory_EOM[[#This Row],[Client No]],'Global Portfolio'!$B$2:$N$2500,12,FALSE)</f>
        <v>Others</v>
      </c>
    </row>
    <row r="110" spans="1:28" x14ac:dyDescent="0.25">
      <c r="A110">
        <v>102332</v>
      </c>
      <c r="B110" t="s">
        <v>154</v>
      </c>
      <c r="C110" t="s">
        <v>155</v>
      </c>
      <c r="D110" t="s">
        <v>1283</v>
      </c>
      <c r="E110">
        <v>7</v>
      </c>
      <c r="F110">
        <v>60000000</v>
      </c>
      <c r="G110">
        <v>10099167.060000001</v>
      </c>
      <c r="H110">
        <v>3570362.2</v>
      </c>
      <c r="I110" t="s">
        <v>86</v>
      </c>
      <c r="J110">
        <v>0</v>
      </c>
      <c r="K110">
        <v>0</v>
      </c>
      <c r="L110">
        <v>283846.96999999997</v>
      </c>
      <c r="M110">
        <v>10650967.880000001</v>
      </c>
      <c r="N110" s="143">
        <v>42354.499002662036</v>
      </c>
      <c r="O110" s="143">
        <v>43093</v>
      </c>
      <c r="P110" t="s">
        <v>156</v>
      </c>
      <c r="Q110" t="s">
        <v>157</v>
      </c>
      <c r="R110" t="s">
        <v>158</v>
      </c>
      <c r="S110" t="s">
        <v>1510</v>
      </c>
      <c r="T110">
        <v>36</v>
      </c>
      <c r="U110">
        <f>IF(Table__192.168.1.150_M_CONSOLIDATED_Delinquency_Compulsory_EOM[[#This Row],[Days in Arrears]] &lt; 8, Table__192.168.1.150_M_CONSOLIDATED_Delinquency_Compulsory_EOM[[#This Row],[Outstanding Balance]], 0 )</f>
        <v>10099167.060000001</v>
      </c>
      <c r="V1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 s="105" t="str">
        <f>VLOOKUP(Table__192.168.1.150_M_CONSOLIDATED_Delinquency_Compulsory_EOM[[#This Row],[Client No]],'Global Portfolio'!$B$2:$N$2500,10,FALSE)</f>
        <v>Retail</v>
      </c>
      <c r="AA110" s="105" t="str">
        <f>VLOOKUP(Table__192.168.1.150_M_CONSOLIDATED_Delinquency_Compulsory_EOM[[#This Row],[Client No]],'Global Portfolio'!$B$2:$N$2500,11,FALSE)</f>
        <v>Building Material and Garden Equipment</v>
      </c>
      <c r="AB110" s="105" t="str">
        <f>VLOOKUP(Table__192.168.1.150_M_CONSOLIDATED_Delinquency_Compulsory_EOM[[#This Row],[Client No]],'Global Portfolio'!$B$2:$N$2500,12,FALSE)</f>
        <v>Others</v>
      </c>
    </row>
    <row r="111" spans="1:28" x14ac:dyDescent="0.25">
      <c r="A111">
        <v>102338</v>
      </c>
      <c r="B111" t="s">
        <v>591</v>
      </c>
      <c r="C111" t="s">
        <v>592</v>
      </c>
      <c r="D111" t="s">
        <v>1841</v>
      </c>
      <c r="E111">
        <v>51</v>
      </c>
      <c r="F111">
        <v>15039169.9</v>
      </c>
      <c r="G111">
        <v>9467414.0500000007</v>
      </c>
      <c r="H111">
        <v>818828.1</v>
      </c>
      <c r="I111" t="s">
        <v>5725</v>
      </c>
      <c r="J111">
        <v>0</v>
      </c>
      <c r="K111">
        <v>0</v>
      </c>
      <c r="L111">
        <v>723538.2</v>
      </c>
      <c r="M111">
        <v>12946749.539999999</v>
      </c>
      <c r="N111" s="143">
        <v>42355.719460335647</v>
      </c>
      <c r="O111" s="143">
        <v>43475</v>
      </c>
      <c r="P111" t="s">
        <v>593</v>
      </c>
      <c r="Q111" t="s">
        <v>594</v>
      </c>
      <c r="R111" t="s">
        <v>1280</v>
      </c>
      <c r="S111" t="s">
        <v>1510</v>
      </c>
      <c r="T111">
        <v>48</v>
      </c>
      <c r="U111">
        <f>IF(Table__192.168.1.150_M_CONSOLIDATED_Delinquency_Compulsory_EOM[[#This Row],[Days in Arrears]] &lt; 8, Table__192.168.1.150_M_CONSOLIDATED_Delinquency_Compulsory_EOM[[#This Row],[Outstanding Balance]], 0 )</f>
        <v>0</v>
      </c>
      <c r="V1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9467414.0500000007</v>
      </c>
      <c r="X1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 s="105" t="str">
        <f>VLOOKUP(Table__192.168.1.150_M_CONSOLIDATED_Delinquency_Compulsory_EOM[[#This Row],[Client No]],'Global Portfolio'!$B$2:$N$2500,10,FALSE)</f>
        <v>Retail</v>
      </c>
      <c r="AA111" s="105" t="str">
        <f>VLOOKUP(Table__192.168.1.150_M_CONSOLIDATED_Delinquency_Compulsory_EOM[[#This Row],[Client No]],'Global Portfolio'!$B$2:$N$2500,11,FALSE)</f>
        <v>Others</v>
      </c>
      <c r="AB111" s="105" t="str">
        <f>VLOOKUP(Table__192.168.1.150_M_CONSOLIDATED_Delinquency_Compulsory_EOM[[#This Row],[Client No]],'Global Portfolio'!$B$2:$N$2500,12,FALSE)</f>
        <v>Others</v>
      </c>
    </row>
    <row r="112" spans="1:28" x14ac:dyDescent="0.25">
      <c r="A112">
        <v>102339</v>
      </c>
      <c r="B112" t="s">
        <v>1107</v>
      </c>
      <c r="C112" t="s">
        <v>1114</v>
      </c>
      <c r="D112" t="s">
        <v>1284</v>
      </c>
      <c r="E112">
        <v>-16</v>
      </c>
      <c r="F112">
        <v>40000000</v>
      </c>
      <c r="G112">
        <v>21579944.219999999</v>
      </c>
      <c r="H112">
        <v>1885515.41</v>
      </c>
      <c r="I112" t="s">
        <v>1039</v>
      </c>
      <c r="J112">
        <v>9408.32</v>
      </c>
      <c r="K112">
        <v>0</v>
      </c>
      <c r="L112">
        <v>280539.27</v>
      </c>
      <c r="M112">
        <v>26835042.34</v>
      </c>
      <c r="N112" s="143">
        <v>42355.730444710651</v>
      </c>
      <c r="O112" s="143">
        <v>43482</v>
      </c>
      <c r="P112" t="s">
        <v>1115</v>
      </c>
      <c r="Q112" t="s">
        <v>1280</v>
      </c>
      <c r="R112" t="s">
        <v>1280</v>
      </c>
      <c r="S112" t="s">
        <v>1510</v>
      </c>
      <c r="T112">
        <v>36</v>
      </c>
      <c r="U112">
        <f>IF(Table__192.168.1.150_M_CONSOLIDATED_Delinquency_Compulsory_EOM[[#This Row],[Days in Arrears]] &lt; 8, Table__192.168.1.150_M_CONSOLIDATED_Delinquency_Compulsory_EOM[[#This Row],[Outstanding Balance]], 0 )</f>
        <v>21579944.219999999</v>
      </c>
      <c r="V1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 s="105" t="str">
        <f>VLOOKUP(Table__192.168.1.150_M_CONSOLIDATED_Delinquency_Compulsory_EOM[[#This Row],[Client No]],'Global Portfolio'!$B$2:$N$2500,10,FALSE)</f>
        <v>Real Estate and Rental</v>
      </c>
      <c r="AA112" s="105" t="str">
        <f>VLOOKUP(Table__192.168.1.150_M_CONSOLIDATED_Delinquency_Compulsory_EOM[[#This Row],[Client No]],'Global Portfolio'!$B$2:$N$2500,11,FALSE)</f>
        <v>Rental</v>
      </c>
      <c r="AB112" s="105" t="str">
        <f>VLOOKUP(Table__192.168.1.150_M_CONSOLIDATED_Delinquency_Compulsory_EOM[[#This Row],[Client No]],'Global Portfolio'!$B$2:$N$2500,12,FALSE)</f>
        <v>Others</v>
      </c>
    </row>
    <row r="113" spans="1:28" x14ac:dyDescent="0.25">
      <c r="A113">
        <v>102349</v>
      </c>
      <c r="B113" t="s">
        <v>1688</v>
      </c>
      <c r="C113" t="s">
        <v>1690</v>
      </c>
      <c r="D113" t="s">
        <v>1283</v>
      </c>
      <c r="E113">
        <v>60</v>
      </c>
      <c r="F113">
        <v>60000000</v>
      </c>
      <c r="G113">
        <v>16299883.449999999</v>
      </c>
      <c r="H113">
        <v>3577241.51</v>
      </c>
      <c r="I113" t="s">
        <v>5167</v>
      </c>
      <c r="J113">
        <v>0</v>
      </c>
      <c r="K113">
        <v>0</v>
      </c>
      <c r="L113">
        <v>398908.76</v>
      </c>
      <c r="M113">
        <v>17311890.789999999</v>
      </c>
      <c r="N113" s="143">
        <v>42359.423008796293</v>
      </c>
      <c r="O113" s="143">
        <v>43101</v>
      </c>
      <c r="P113" t="s">
        <v>1691</v>
      </c>
      <c r="Q113" t="s">
        <v>1280</v>
      </c>
      <c r="R113" t="s">
        <v>1280</v>
      </c>
      <c r="S113" t="s">
        <v>1510</v>
      </c>
      <c r="T113">
        <v>36</v>
      </c>
      <c r="U113">
        <f>IF(Table__192.168.1.150_M_CONSOLIDATED_Delinquency_Compulsory_EOM[[#This Row],[Days in Arrears]] &lt; 8, Table__192.168.1.150_M_CONSOLIDATED_Delinquency_Compulsory_EOM[[#This Row],[Outstanding Balance]], 0 )</f>
        <v>0</v>
      </c>
      <c r="V1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16299883.449999999</v>
      </c>
      <c r="Y1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 s="105" t="str">
        <f>VLOOKUP(Table__192.168.1.150_M_CONSOLIDATED_Delinquency_Compulsory_EOM[[#This Row],[Client No]],'Global Portfolio'!$B$2:$N$2500,10,FALSE)</f>
        <v>Real Estate and Rental</v>
      </c>
      <c r="AA113" s="105" t="str">
        <f>VLOOKUP(Table__192.168.1.150_M_CONSOLIDATED_Delinquency_Compulsory_EOM[[#This Row],[Client No]],'Global Portfolio'!$B$2:$N$2500,11,FALSE)</f>
        <v>Rental</v>
      </c>
      <c r="AB113" s="105" t="str">
        <f>VLOOKUP(Table__192.168.1.150_M_CONSOLIDATED_Delinquency_Compulsory_EOM[[#This Row],[Client No]],'Global Portfolio'!$B$2:$N$2500,12,FALSE)</f>
        <v>General Rental Centers</v>
      </c>
    </row>
    <row r="114" spans="1:28" x14ac:dyDescent="0.25">
      <c r="A114">
        <v>102361</v>
      </c>
      <c r="B114" t="s">
        <v>207</v>
      </c>
      <c r="C114" t="s">
        <v>208</v>
      </c>
      <c r="D114" t="s">
        <v>1284</v>
      </c>
      <c r="E114">
        <v>-4</v>
      </c>
      <c r="F114">
        <v>77924100</v>
      </c>
      <c r="G114">
        <v>42815950.200000003</v>
      </c>
      <c r="H114">
        <v>3586545.75</v>
      </c>
      <c r="I114" t="s">
        <v>1039</v>
      </c>
      <c r="J114">
        <v>1449424.29</v>
      </c>
      <c r="K114">
        <v>0</v>
      </c>
      <c r="L114">
        <v>2298515.0699999998</v>
      </c>
      <c r="M114">
        <v>53798186.020000003</v>
      </c>
      <c r="N114" s="143">
        <v>42369.726132256947</v>
      </c>
      <c r="O114" s="143">
        <v>43470</v>
      </c>
      <c r="P114" t="s">
        <v>209</v>
      </c>
      <c r="Q114" t="s">
        <v>210</v>
      </c>
      <c r="R114" t="s">
        <v>1280</v>
      </c>
      <c r="S114" t="s">
        <v>1510</v>
      </c>
      <c r="T114">
        <v>36</v>
      </c>
      <c r="U114">
        <f>IF(Table__192.168.1.150_M_CONSOLIDATED_Delinquency_Compulsory_EOM[[#This Row],[Days in Arrears]] &lt; 8, Table__192.168.1.150_M_CONSOLIDATED_Delinquency_Compulsory_EOM[[#This Row],[Outstanding Balance]], 0 )</f>
        <v>42815950.200000003</v>
      </c>
      <c r="V1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 s="105" t="e">
        <f>VLOOKUP(Table__192.168.1.150_M_CONSOLIDATED_Delinquency_Compulsory_EOM[[#This Row],[Client No]],'Global Portfolio'!$B$2:$N$2500,10,FALSE)</f>
        <v>#N/A</v>
      </c>
      <c r="AA114" s="105" t="e">
        <f>VLOOKUP(Table__192.168.1.150_M_CONSOLIDATED_Delinquency_Compulsory_EOM[[#This Row],[Client No]],'Global Portfolio'!$B$2:$N$2500,11,FALSE)</f>
        <v>#N/A</v>
      </c>
      <c r="AB114" s="105" t="e">
        <f>VLOOKUP(Table__192.168.1.150_M_CONSOLIDATED_Delinquency_Compulsory_EOM[[#This Row],[Client No]],'Global Portfolio'!$B$2:$N$2500,12,FALSE)</f>
        <v>#N/A</v>
      </c>
    </row>
    <row r="115" spans="1:28" x14ac:dyDescent="0.25">
      <c r="A115">
        <v>102365</v>
      </c>
      <c r="B115" t="s">
        <v>1717</v>
      </c>
      <c r="C115" t="s">
        <v>1718</v>
      </c>
      <c r="D115" t="s">
        <v>1284</v>
      </c>
      <c r="E115">
        <v>-9</v>
      </c>
      <c r="F115">
        <v>15000000</v>
      </c>
      <c r="G115">
        <v>5975977.75</v>
      </c>
      <c r="H115">
        <v>767517.89</v>
      </c>
      <c r="I115" t="s">
        <v>1467</v>
      </c>
      <c r="J115">
        <v>0</v>
      </c>
      <c r="K115">
        <v>750000</v>
      </c>
      <c r="L115">
        <v>119519.56</v>
      </c>
      <c r="M115">
        <v>6907660.8200000003</v>
      </c>
      <c r="N115" s="143">
        <v>42376.666967939818</v>
      </c>
      <c r="O115" s="143">
        <v>43291</v>
      </c>
      <c r="P115" t="s">
        <v>1719</v>
      </c>
      <c r="Q115" t="s">
        <v>1720</v>
      </c>
      <c r="R115" t="s">
        <v>1280</v>
      </c>
      <c r="S115" t="s">
        <v>1510</v>
      </c>
      <c r="T115">
        <v>36</v>
      </c>
      <c r="U115">
        <f>IF(Table__192.168.1.150_M_CONSOLIDATED_Delinquency_Compulsory_EOM[[#This Row],[Days in Arrears]] &lt; 8, Table__192.168.1.150_M_CONSOLIDATED_Delinquency_Compulsory_EOM[[#This Row],[Outstanding Balance]], 0 )</f>
        <v>5975977.75</v>
      </c>
      <c r="V1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 s="105" t="str">
        <f>VLOOKUP(Table__192.168.1.150_M_CONSOLIDATED_Delinquency_Compulsory_EOM[[#This Row],[Client No]],'Global Portfolio'!$B$2:$N$2500,10,FALSE)</f>
        <v>Real Estate and Rental</v>
      </c>
      <c r="AA115" s="105" t="str">
        <f>VLOOKUP(Table__192.168.1.150_M_CONSOLIDATED_Delinquency_Compulsory_EOM[[#This Row],[Client No]],'Global Portfolio'!$B$2:$N$2500,11,FALSE)</f>
        <v>Rental</v>
      </c>
      <c r="AB115" s="105" t="str">
        <f>VLOOKUP(Table__192.168.1.150_M_CONSOLIDATED_Delinquency_Compulsory_EOM[[#This Row],[Client No]],'Global Portfolio'!$B$2:$N$2500,12,FALSE)</f>
        <v>Others</v>
      </c>
    </row>
    <row r="116" spans="1:28" x14ac:dyDescent="0.25">
      <c r="A116">
        <v>102374</v>
      </c>
      <c r="B116" t="s">
        <v>677</v>
      </c>
      <c r="C116" t="s">
        <v>678</v>
      </c>
      <c r="D116" t="s">
        <v>1283</v>
      </c>
      <c r="E116">
        <v>-13</v>
      </c>
      <c r="F116">
        <v>50000000</v>
      </c>
      <c r="G116">
        <v>27340136.079999998</v>
      </c>
      <c r="H116">
        <v>2290189.71</v>
      </c>
      <c r="I116" t="s">
        <v>1191</v>
      </c>
      <c r="J116">
        <v>62215.35</v>
      </c>
      <c r="K116">
        <v>5000000</v>
      </c>
      <c r="L116">
        <v>437442.18</v>
      </c>
      <c r="M116">
        <v>34352845.640000001</v>
      </c>
      <c r="N116" s="143">
        <v>42383.680837928237</v>
      </c>
      <c r="O116" s="143">
        <v>43479</v>
      </c>
      <c r="P116" t="s">
        <v>679</v>
      </c>
      <c r="Q116" t="s">
        <v>680</v>
      </c>
      <c r="R116" t="s">
        <v>1280</v>
      </c>
      <c r="S116" t="s">
        <v>1510</v>
      </c>
      <c r="T116">
        <v>36</v>
      </c>
      <c r="U116">
        <f>IF(Table__192.168.1.150_M_CONSOLIDATED_Delinquency_Compulsory_EOM[[#This Row],[Days in Arrears]] &lt; 8, Table__192.168.1.150_M_CONSOLIDATED_Delinquency_Compulsory_EOM[[#This Row],[Outstanding Balance]], 0 )</f>
        <v>27340136.079999998</v>
      </c>
      <c r="V1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 s="105" t="str">
        <f>VLOOKUP(Table__192.168.1.150_M_CONSOLIDATED_Delinquency_Compulsory_EOM[[#This Row],[Client No]],'Global Portfolio'!$B$2:$N$2500,10,FALSE)</f>
        <v>Restaurants and Hotels</v>
      </c>
      <c r="AA116" s="105" t="str">
        <f>VLOOKUP(Table__192.168.1.150_M_CONSOLIDATED_Delinquency_Compulsory_EOM[[#This Row],[Client No]],'Global Portfolio'!$B$2:$N$2500,11,FALSE)</f>
        <v>Hotel</v>
      </c>
      <c r="AB116" s="105" t="str">
        <f>VLOOKUP(Table__192.168.1.150_M_CONSOLIDATED_Delinquency_Compulsory_EOM[[#This Row],[Client No]],'Global Portfolio'!$B$2:$N$2500,12,FALSE)</f>
        <v>Hotel</v>
      </c>
    </row>
    <row r="117" spans="1:28" x14ac:dyDescent="0.25">
      <c r="A117">
        <v>102375</v>
      </c>
      <c r="B117" t="s">
        <v>74</v>
      </c>
      <c r="C117" t="s">
        <v>76</v>
      </c>
      <c r="D117" t="s">
        <v>1284</v>
      </c>
      <c r="E117">
        <v>-14</v>
      </c>
      <c r="F117">
        <v>45000000</v>
      </c>
      <c r="G117">
        <v>24606122.41</v>
      </c>
      <c r="H117">
        <v>2061170.74</v>
      </c>
      <c r="I117" t="s">
        <v>491</v>
      </c>
      <c r="J117">
        <v>480420.13</v>
      </c>
      <c r="K117">
        <v>2250000</v>
      </c>
      <c r="L117">
        <v>369091.84000000003</v>
      </c>
      <c r="M117">
        <v>30917560.940000001</v>
      </c>
      <c r="N117" s="143">
        <v>42384.482900497685</v>
      </c>
      <c r="O117" s="143">
        <v>43480</v>
      </c>
      <c r="P117" t="s">
        <v>77</v>
      </c>
      <c r="Q117" t="s">
        <v>78</v>
      </c>
      <c r="R117" t="s">
        <v>1280</v>
      </c>
      <c r="S117" t="s">
        <v>1510</v>
      </c>
      <c r="T117">
        <v>36</v>
      </c>
      <c r="U117">
        <f>IF(Table__192.168.1.150_M_CONSOLIDATED_Delinquency_Compulsory_EOM[[#This Row],[Days in Arrears]] &lt; 8, Table__192.168.1.150_M_CONSOLIDATED_Delinquency_Compulsory_EOM[[#This Row],[Outstanding Balance]], 0 )</f>
        <v>24606122.41</v>
      </c>
      <c r="V1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 s="105" t="str">
        <f>VLOOKUP(Table__192.168.1.150_M_CONSOLIDATED_Delinquency_Compulsory_EOM[[#This Row],[Client No]],'Global Portfolio'!$B$2:$N$2500,10,FALSE)</f>
        <v>Retail</v>
      </c>
      <c r="AA117" s="105" t="str">
        <f>VLOOKUP(Table__192.168.1.150_M_CONSOLIDATED_Delinquency_Compulsory_EOM[[#This Row],[Client No]],'Global Portfolio'!$B$2:$N$2500,11,FALSE)</f>
        <v>Electronics Stores</v>
      </c>
      <c r="AB117" s="105" t="str">
        <f>VLOOKUP(Table__192.168.1.150_M_CONSOLIDATED_Delinquency_Compulsory_EOM[[#This Row],[Client No]],'Global Portfolio'!$B$2:$N$2500,12,FALSE)</f>
        <v>Radio, Television, &amp; Other Electronics Stores</v>
      </c>
    </row>
    <row r="118" spans="1:28" x14ac:dyDescent="0.25">
      <c r="A118">
        <v>102394</v>
      </c>
      <c r="B118" t="s">
        <v>929</v>
      </c>
      <c r="C118" t="s">
        <v>944</v>
      </c>
      <c r="D118" t="s">
        <v>1281</v>
      </c>
      <c r="E118">
        <v>21</v>
      </c>
      <c r="F118">
        <v>21076989</v>
      </c>
      <c r="G118">
        <v>5094254.34</v>
      </c>
      <c r="H118">
        <v>1327318.71</v>
      </c>
      <c r="I118" t="s">
        <v>468</v>
      </c>
      <c r="J118">
        <v>0</v>
      </c>
      <c r="K118">
        <v>0</v>
      </c>
      <c r="L118">
        <v>113758.09</v>
      </c>
      <c r="M118">
        <v>5529678.5999999996</v>
      </c>
      <c r="N118" s="143">
        <v>42399.498592442127</v>
      </c>
      <c r="O118" s="143">
        <v>43142</v>
      </c>
      <c r="P118" t="s">
        <v>945</v>
      </c>
      <c r="Q118" t="s">
        <v>1280</v>
      </c>
      <c r="R118" t="s">
        <v>1280</v>
      </c>
      <c r="S118" t="s">
        <v>1510</v>
      </c>
      <c r="T118">
        <v>42</v>
      </c>
      <c r="U118">
        <f>IF(Table__192.168.1.150_M_CONSOLIDATED_Delinquency_Compulsory_EOM[[#This Row],[Days in Arrears]] &lt; 8, Table__192.168.1.150_M_CONSOLIDATED_Delinquency_Compulsory_EOM[[#This Row],[Outstanding Balance]], 0 )</f>
        <v>0</v>
      </c>
      <c r="V1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5094254.34</v>
      </c>
      <c r="W1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 s="105" t="str">
        <f>VLOOKUP(Table__192.168.1.150_M_CONSOLIDATED_Delinquency_Compulsory_EOM[[#This Row],[Client No]],'Global Portfolio'!$B$2:$N$2500,10,FALSE)</f>
        <v>Transportation and Warehousing</v>
      </c>
      <c r="AA118" s="105" t="str">
        <f>VLOOKUP(Table__192.168.1.150_M_CONSOLIDATED_Delinquency_Compulsory_EOM[[#This Row],[Client No]],'Global Portfolio'!$B$2:$N$2500,11,FALSE)</f>
        <v xml:space="preserve"> Passenger Transportation</v>
      </c>
      <c r="AB118" s="105" t="str">
        <f>VLOOKUP(Table__192.168.1.150_M_CONSOLIDATED_Delinquency_Compulsory_EOM[[#This Row],[Client No]],'Global Portfolio'!$B$2:$N$2500,12,FALSE)</f>
        <v>Taxi service</v>
      </c>
    </row>
    <row r="119" spans="1:28" x14ac:dyDescent="0.25">
      <c r="A119">
        <v>102395</v>
      </c>
      <c r="B119" t="s">
        <v>1778</v>
      </c>
      <c r="C119" t="s">
        <v>1779</v>
      </c>
      <c r="D119" t="s">
        <v>1281</v>
      </c>
      <c r="E119">
        <v>-4</v>
      </c>
      <c r="F119">
        <v>20000000</v>
      </c>
      <c r="G119">
        <v>4600443.78</v>
      </c>
      <c r="H119">
        <v>1252476.0900000001</v>
      </c>
      <c r="I119" t="s">
        <v>1447</v>
      </c>
      <c r="J119">
        <v>443489.1</v>
      </c>
      <c r="K119">
        <v>3000000</v>
      </c>
      <c r="L119">
        <v>134179.60999999999</v>
      </c>
      <c r="M119">
        <v>5011316.04</v>
      </c>
      <c r="N119" s="143">
        <v>42399.587561192129</v>
      </c>
      <c r="O119" s="143">
        <v>43137</v>
      </c>
      <c r="P119" t="s">
        <v>1780</v>
      </c>
      <c r="Q119" t="s">
        <v>1280</v>
      </c>
      <c r="R119" t="s">
        <v>1280</v>
      </c>
      <c r="S119" t="s">
        <v>1510</v>
      </c>
      <c r="T119">
        <v>42</v>
      </c>
      <c r="U119">
        <f>IF(Table__192.168.1.150_M_CONSOLIDATED_Delinquency_Compulsory_EOM[[#This Row],[Days in Arrears]] &lt; 8, Table__192.168.1.150_M_CONSOLIDATED_Delinquency_Compulsory_EOM[[#This Row],[Outstanding Balance]], 0 )</f>
        <v>4600443.78</v>
      </c>
      <c r="V1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 s="105" t="str">
        <f>VLOOKUP(Table__192.168.1.150_M_CONSOLIDATED_Delinquency_Compulsory_EOM[[#This Row],[Client No]],'Global Portfolio'!$B$2:$N$2500,10,FALSE)</f>
        <v>Wholesale Trade</v>
      </c>
      <c r="AA119" s="105" t="str">
        <f>VLOOKUP(Table__192.168.1.150_M_CONSOLIDATED_Delinquency_Compulsory_EOM[[#This Row],[Client No]],'Global Portfolio'!$B$2:$N$2500,11,FALSE)</f>
        <v>Durable Goods</v>
      </c>
      <c r="AB119" s="105" t="str">
        <f>VLOOKUP(Table__192.168.1.150_M_CONSOLIDATED_Delinquency_Compulsory_EOM[[#This Row],[Client No]],'Global Portfolio'!$B$2:$N$2500,12,FALSE)</f>
        <v>Others</v>
      </c>
    </row>
    <row r="120" spans="1:28" x14ac:dyDescent="0.25">
      <c r="A120">
        <v>102404</v>
      </c>
      <c r="B120" t="s">
        <v>1748</v>
      </c>
      <c r="C120" t="s">
        <v>1749</v>
      </c>
      <c r="D120" t="s">
        <v>1284</v>
      </c>
      <c r="E120">
        <v>-14</v>
      </c>
      <c r="F120">
        <v>20000000</v>
      </c>
      <c r="G120">
        <v>4411010.29</v>
      </c>
      <c r="H120">
        <v>1186681.08</v>
      </c>
      <c r="I120" t="s">
        <v>491</v>
      </c>
      <c r="J120">
        <v>259570.67</v>
      </c>
      <c r="K120">
        <v>1000000</v>
      </c>
      <c r="L120">
        <v>66165.149999999994</v>
      </c>
      <c r="M120">
        <v>4746724.2699999996</v>
      </c>
      <c r="N120" s="143">
        <v>42410.686364548608</v>
      </c>
      <c r="O120" s="143">
        <v>43146</v>
      </c>
      <c r="P120" t="s">
        <v>1750</v>
      </c>
      <c r="Q120" t="s">
        <v>1280</v>
      </c>
      <c r="R120" t="s">
        <v>1280</v>
      </c>
      <c r="S120" t="s">
        <v>1510</v>
      </c>
      <c r="T120">
        <v>36</v>
      </c>
      <c r="U120">
        <f>IF(Table__192.168.1.150_M_CONSOLIDATED_Delinquency_Compulsory_EOM[[#This Row],[Days in Arrears]] &lt; 8, Table__192.168.1.150_M_CONSOLIDATED_Delinquency_Compulsory_EOM[[#This Row],[Outstanding Balance]], 0 )</f>
        <v>4411010.29</v>
      </c>
      <c r="V1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 s="105" t="str">
        <f>VLOOKUP(Table__192.168.1.150_M_CONSOLIDATED_Delinquency_Compulsory_EOM[[#This Row],[Client No]],'Global Portfolio'!$B$2:$N$2500,10,FALSE)</f>
        <v>Real Estate and Rental</v>
      </c>
      <c r="AA120" s="105" t="str">
        <f>VLOOKUP(Table__192.168.1.150_M_CONSOLIDATED_Delinquency_Compulsory_EOM[[#This Row],[Client No]],'Global Portfolio'!$B$2:$N$2500,11,FALSE)</f>
        <v>Real Estate</v>
      </c>
      <c r="AB120" s="105" t="str">
        <f>VLOOKUP(Table__192.168.1.150_M_CONSOLIDATED_Delinquency_Compulsory_EOM[[#This Row],[Client No]],'Global Portfolio'!$B$2:$N$2500,12,FALSE)</f>
        <v>Others</v>
      </c>
    </row>
    <row r="121" spans="1:28" x14ac:dyDescent="0.25">
      <c r="A121">
        <v>102405</v>
      </c>
      <c r="B121" t="s">
        <v>872</v>
      </c>
      <c r="C121" t="s">
        <v>877</v>
      </c>
      <c r="D121" t="s">
        <v>1281</v>
      </c>
      <c r="E121">
        <v>15</v>
      </c>
      <c r="F121">
        <v>26000000</v>
      </c>
      <c r="G121">
        <v>16320894.539999999</v>
      </c>
      <c r="H121">
        <v>1290054.6299999999</v>
      </c>
      <c r="I121" t="s">
        <v>1191</v>
      </c>
      <c r="J121">
        <v>0</v>
      </c>
      <c r="K121">
        <v>0</v>
      </c>
      <c r="L121">
        <v>382677.73</v>
      </c>
      <c r="M121">
        <v>21487541.030000001</v>
      </c>
      <c r="N121" s="143">
        <v>42410.706986689816</v>
      </c>
      <c r="O121" s="143">
        <v>43512</v>
      </c>
      <c r="P121" t="s">
        <v>878</v>
      </c>
      <c r="Q121" t="s">
        <v>879</v>
      </c>
      <c r="R121" t="s">
        <v>1280</v>
      </c>
      <c r="S121" t="s">
        <v>1510</v>
      </c>
      <c r="T121">
        <v>42</v>
      </c>
      <c r="U121">
        <f>IF(Table__192.168.1.150_M_CONSOLIDATED_Delinquency_Compulsory_EOM[[#This Row],[Days in Arrears]] &lt; 8, Table__192.168.1.150_M_CONSOLIDATED_Delinquency_Compulsory_EOM[[#This Row],[Outstanding Balance]], 0 )</f>
        <v>0</v>
      </c>
      <c r="V1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16320894.539999999</v>
      </c>
      <c r="W1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 s="105" t="str">
        <f>VLOOKUP(Table__192.168.1.150_M_CONSOLIDATED_Delinquency_Compulsory_EOM[[#This Row],[Client No]],'Global Portfolio'!$B$2:$N$2500,10,FALSE)</f>
        <v>Retail</v>
      </c>
      <c r="AA121" s="105" t="str">
        <f>VLOOKUP(Table__192.168.1.150_M_CONSOLIDATED_Delinquency_Compulsory_EOM[[#This Row],[Client No]],'Global Portfolio'!$B$2:$N$2500,11,FALSE)</f>
        <v>Others</v>
      </c>
      <c r="AB121" s="105" t="str">
        <f>VLOOKUP(Table__192.168.1.150_M_CONSOLIDATED_Delinquency_Compulsory_EOM[[#This Row],[Client No]],'Global Portfolio'!$B$2:$N$2500,12,FALSE)</f>
        <v>Others</v>
      </c>
    </row>
    <row r="122" spans="1:28" x14ac:dyDescent="0.25">
      <c r="A122">
        <v>102407</v>
      </c>
      <c r="B122" t="s">
        <v>1743</v>
      </c>
      <c r="C122" t="s">
        <v>1744</v>
      </c>
      <c r="D122" t="s">
        <v>1284</v>
      </c>
      <c r="E122">
        <v>-19</v>
      </c>
      <c r="F122">
        <v>45000000</v>
      </c>
      <c r="G122">
        <v>26066531.460000001</v>
      </c>
      <c r="H122">
        <v>2075178.69</v>
      </c>
      <c r="I122" t="s">
        <v>491</v>
      </c>
      <c r="J122">
        <v>6522313.7000000002</v>
      </c>
      <c r="K122">
        <v>2250000</v>
      </c>
      <c r="L122">
        <v>260665.31</v>
      </c>
      <c r="M122">
        <v>33202859.390000001</v>
      </c>
      <c r="N122" s="143">
        <v>42413.45611767361</v>
      </c>
      <c r="O122" s="143">
        <v>43516</v>
      </c>
      <c r="P122" t="s">
        <v>1745</v>
      </c>
      <c r="Q122" t="s">
        <v>1834</v>
      </c>
      <c r="R122" t="s">
        <v>1280</v>
      </c>
      <c r="S122" t="s">
        <v>1510</v>
      </c>
      <c r="T122">
        <v>36</v>
      </c>
      <c r="U122">
        <f>IF(Table__192.168.1.150_M_CONSOLIDATED_Delinquency_Compulsory_EOM[[#This Row],[Days in Arrears]] &lt; 8, Table__192.168.1.150_M_CONSOLIDATED_Delinquency_Compulsory_EOM[[#This Row],[Outstanding Balance]], 0 )</f>
        <v>26066531.460000001</v>
      </c>
      <c r="V1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 s="105" t="str">
        <f>VLOOKUP(Table__192.168.1.150_M_CONSOLIDATED_Delinquency_Compulsory_EOM[[#This Row],[Client No]],'Global Portfolio'!$B$2:$N$2500,10,FALSE)</f>
        <v>Educational Services</v>
      </c>
      <c r="AA122" s="105" t="str">
        <f>VLOOKUP(Table__192.168.1.150_M_CONSOLIDATED_Delinquency_Compulsory_EOM[[#This Row],[Client No]],'Global Portfolio'!$B$2:$N$2500,11,FALSE)</f>
        <v>Educational Services</v>
      </c>
      <c r="AB122" s="105" t="str">
        <f>VLOOKUP(Table__192.168.1.150_M_CONSOLIDATED_Delinquency_Compulsory_EOM[[#This Row],[Client No]],'Global Portfolio'!$B$2:$N$2500,12,FALSE)</f>
        <v>Others</v>
      </c>
    </row>
    <row r="123" spans="1:28" x14ac:dyDescent="0.25">
      <c r="A123">
        <v>102409</v>
      </c>
      <c r="B123" t="s">
        <v>1772</v>
      </c>
      <c r="C123" t="s">
        <v>1773</v>
      </c>
      <c r="D123" t="s">
        <v>1281</v>
      </c>
      <c r="E123">
        <v>71</v>
      </c>
      <c r="F123">
        <v>22000000</v>
      </c>
      <c r="G123">
        <v>1624281.74</v>
      </c>
      <c r="H123">
        <v>1681131.62</v>
      </c>
      <c r="I123" t="s">
        <v>1191</v>
      </c>
      <c r="J123">
        <v>0</v>
      </c>
      <c r="K123">
        <v>0</v>
      </c>
      <c r="L123">
        <v>165863.75</v>
      </c>
      <c r="M123">
        <v>1679394.84</v>
      </c>
      <c r="N123" s="143">
        <v>42413.487209606479</v>
      </c>
      <c r="O123" s="143">
        <v>42967</v>
      </c>
      <c r="P123" t="s">
        <v>1774</v>
      </c>
      <c r="Q123" t="s">
        <v>1835</v>
      </c>
      <c r="R123" t="s">
        <v>1280</v>
      </c>
      <c r="S123" t="s">
        <v>1510</v>
      </c>
      <c r="T123">
        <v>42</v>
      </c>
      <c r="U123">
        <f>IF(Table__192.168.1.150_M_CONSOLIDATED_Delinquency_Compulsory_EOM[[#This Row],[Days in Arrears]] &lt; 8, Table__192.168.1.150_M_CONSOLIDATED_Delinquency_Compulsory_EOM[[#This Row],[Outstanding Balance]], 0 )</f>
        <v>0</v>
      </c>
      <c r="V1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1624281.74</v>
      </c>
      <c r="Y1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 s="105" t="str">
        <f>VLOOKUP(Table__192.168.1.150_M_CONSOLIDATED_Delinquency_Compulsory_EOM[[#This Row],[Client No]],'Global Portfolio'!$B$2:$N$2500,10,FALSE)</f>
        <v>Retail</v>
      </c>
      <c r="AA123" s="105" t="str">
        <f>VLOOKUP(Table__192.168.1.150_M_CONSOLIDATED_Delinquency_Compulsory_EOM[[#This Row],[Client No]],'Global Portfolio'!$B$2:$N$2500,11,FALSE)</f>
        <v>Others</v>
      </c>
      <c r="AB123" s="105" t="str">
        <f>VLOOKUP(Table__192.168.1.150_M_CONSOLIDATED_Delinquency_Compulsory_EOM[[#This Row],[Client No]],'Global Portfolio'!$B$2:$N$2500,12,FALSE)</f>
        <v>Others</v>
      </c>
    </row>
    <row r="124" spans="1:28" x14ac:dyDescent="0.25">
      <c r="A124">
        <v>102418</v>
      </c>
      <c r="B124" t="s">
        <v>810</v>
      </c>
      <c r="C124" t="s">
        <v>812</v>
      </c>
      <c r="D124" t="s">
        <v>1841</v>
      </c>
      <c r="E124">
        <v>0</v>
      </c>
      <c r="F124">
        <v>18000000</v>
      </c>
      <c r="G124">
        <v>11655515.189999999</v>
      </c>
      <c r="H124">
        <v>958066.14</v>
      </c>
      <c r="I124" t="s">
        <v>86</v>
      </c>
      <c r="J124">
        <v>445933.86</v>
      </c>
      <c r="K124">
        <v>0</v>
      </c>
      <c r="L124">
        <v>450679.92</v>
      </c>
      <c r="M124">
        <v>16287123.970000001</v>
      </c>
      <c r="N124" s="143">
        <v>42426.470221099538</v>
      </c>
      <c r="O124" s="143">
        <v>43525</v>
      </c>
      <c r="P124" t="s">
        <v>813</v>
      </c>
      <c r="Q124" t="s">
        <v>1280</v>
      </c>
      <c r="R124" t="s">
        <v>1280</v>
      </c>
      <c r="S124" t="s">
        <v>1510</v>
      </c>
      <c r="T124">
        <v>48</v>
      </c>
      <c r="U124">
        <f>IF(Table__192.168.1.150_M_CONSOLIDATED_Delinquency_Compulsory_EOM[[#This Row],[Days in Arrears]] &lt; 8, Table__192.168.1.150_M_CONSOLIDATED_Delinquency_Compulsory_EOM[[#This Row],[Outstanding Balance]], 0 )</f>
        <v>11655515.189999999</v>
      </c>
      <c r="V1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 s="105" t="str">
        <f>VLOOKUP(Table__192.168.1.150_M_CONSOLIDATED_Delinquency_Compulsory_EOM[[#This Row],[Client No]],'Global Portfolio'!$B$2:$N$2500,10,FALSE)</f>
        <v>Retail</v>
      </c>
      <c r="AA124" s="105" t="str">
        <f>VLOOKUP(Table__192.168.1.150_M_CONSOLIDATED_Delinquency_Compulsory_EOM[[#This Row],[Client No]],'Global Portfolio'!$B$2:$N$2500,11,FALSE)</f>
        <v>Health and Personal Care Stores</v>
      </c>
      <c r="AB124" s="105" t="str">
        <f>VLOOKUP(Table__192.168.1.150_M_CONSOLIDATED_Delinquency_Compulsory_EOM[[#This Row],[Client No]],'Global Portfolio'!$B$2:$N$2500,12,FALSE)</f>
        <v>Others</v>
      </c>
    </row>
    <row r="125" spans="1:28" x14ac:dyDescent="0.25">
      <c r="A125">
        <v>102423</v>
      </c>
      <c r="B125" t="s">
        <v>163</v>
      </c>
      <c r="C125" t="s">
        <v>164</v>
      </c>
      <c r="D125" t="s">
        <v>1284</v>
      </c>
      <c r="E125">
        <v>-5</v>
      </c>
      <c r="F125">
        <v>53000000</v>
      </c>
      <c r="G125">
        <v>40601824.789999999</v>
      </c>
      <c r="H125">
        <v>2115950.75</v>
      </c>
      <c r="I125" t="s">
        <v>1467</v>
      </c>
      <c r="J125">
        <v>0</v>
      </c>
      <c r="K125">
        <v>2650000</v>
      </c>
      <c r="L125">
        <v>974443.79</v>
      </c>
      <c r="M125">
        <v>61362571.520000003</v>
      </c>
      <c r="N125" s="143">
        <v>42427.511391203705</v>
      </c>
      <c r="O125" s="143">
        <v>43896</v>
      </c>
      <c r="P125" t="s">
        <v>165</v>
      </c>
      <c r="Q125" t="s">
        <v>166</v>
      </c>
      <c r="R125" t="s">
        <v>167</v>
      </c>
      <c r="S125" t="s">
        <v>1510</v>
      </c>
      <c r="T125">
        <v>36</v>
      </c>
      <c r="U125">
        <f>IF(Table__192.168.1.150_M_CONSOLIDATED_Delinquency_Compulsory_EOM[[#This Row],[Days in Arrears]] &lt; 8, Table__192.168.1.150_M_CONSOLIDATED_Delinquency_Compulsory_EOM[[#This Row],[Outstanding Balance]], 0 )</f>
        <v>40601824.789999999</v>
      </c>
      <c r="V1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 s="105" t="str">
        <f>VLOOKUP(Table__192.168.1.150_M_CONSOLIDATED_Delinquency_Compulsory_EOM[[#This Row],[Client No]],'Global Portfolio'!$B$2:$N$2500,10,FALSE)</f>
        <v>Real Estate and Rental</v>
      </c>
      <c r="AA125" s="105" t="str">
        <f>VLOOKUP(Table__192.168.1.150_M_CONSOLIDATED_Delinquency_Compulsory_EOM[[#This Row],[Client No]],'Global Portfolio'!$B$2:$N$2500,11,FALSE)</f>
        <v>Rental</v>
      </c>
      <c r="AB125" s="105" t="str">
        <f>VLOOKUP(Table__192.168.1.150_M_CONSOLIDATED_Delinquency_Compulsory_EOM[[#This Row],[Client No]],'Global Portfolio'!$B$2:$N$2500,12,FALSE)</f>
        <v>Others</v>
      </c>
    </row>
    <row r="126" spans="1:28" x14ac:dyDescent="0.25">
      <c r="A126">
        <v>102424</v>
      </c>
      <c r="B126" t="s">
        <v>902</v>
      </c>
      <c r="C126" t="s">
        <v>908</v>
      </c>
      <c r="D126" t="s">
        <v>1283</v>
      </c>
      <c r="E126">
        <v>7</v>
      </c>
      <c r="F126">
        <v>53000000</v>
      </c>
      <c r="G126">
        <v>14161111.449999999</v>
      </c>
      <c r="H126">
        <v>3120397.96</v>
      </c>
      <c r="I126" t="s">
        <v>1191</v>
      </c>
      <c r="J126">
        <v>0</v>
      </c>
      <c r="K126">
        <v>2650000</v>
      </c>
      <c r="L126">
        <v>69592.960000000006</v>
      </c>
      <c r="M126">
        <v>15043877.02</v>
      </c>
      <c r="N126" s="143">
        <v>42427.581274999997</v>
      </c>
      <c r="O126" s="143">
        <v>43155</v>
      </c>
      <c r="P126" t="s">
        <v>909</v>
      </c>
      <c r="Q126" t="s">
        <v>910</v>
      </c>
      <c r="R126" t="s">
        <v>1280</v>
      </c>
      <c r="S126" t="s">
        <v>1510</v>
      </c>
      <c r="T126">
        <v>36</v>
      </c>
      <c r="U126">
        <f>IF(Table__192.168.1.150_M_CONSOLIDATED_Delinquency_Compulsory_EOM[[#This Row],[Days in Arrears]] &lt; 8, Table__192.168.1.150_M_CONSOLIDATED_Delinquency_Compulsory_EOM[[#This Row],[Outstanding Balance]], 0 )</f>
        <v>14161111.449999999</v>
      </c>
      <c r="V1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 s="105" t="str">
        <f>VLOOKUP(Table__192.168.1.150_M_CONSOLIDATED_Delinquency_Compulsory_EOM[[#This Row],[Client No]],'Global Portfolio'!$B$2:$N$2500,10,FALSE)</f>
        <v>Retail</v>
      </c>
      <c r="AA126" s="105" t="str">
        <f>VLOOKUP(Table__192.168.1.150_M_CONSOLIDATED_Delinquency_Compulsory_EOM[[#This Row],[Client No]],'Global Portfolio'!$B$2:$N$2500,11,FALSE)</f>
        <v>Motor Vehicle and Parts Dealers</v>
      </c>
      <c r="AB126" s="105" t="str">
        <f>VLOOKUP(Table__192.168.1.150_M_CONSOLIDATED_Delinquency_Compulsory_EOM[[#This Row],[Client No]],'Global Portfolio'!$B$2:$N$2500,12,FALSE)</f>
        <v>Automotive Parts, Accessories, &amp; Tire Stores</v>
      </c>
    </row>
    <row r="127" spans="1:28" x14ac:dyDescent="0.25">
      <c r="A127">
        <v>102425</v>
      </c>
      <c r="B127" t="s">
        <v>551</v>
      </c>
      <c r="C127" t="s">
        <v>552</v>
      </c>
      <c r="D127" t="s">
        <v>1283</v>
      </c>
      <c r="E127">
        <v>-6</v>
      </c>
      <c r="F127">
        <v>35000000</v>
      </c>
      <c r="G127">
        <v>21311959.07</v>
      </c>
      <c r="H127">
        <v>1618697.19</v>
      </c>
      <c r="I127" t="s">
        <v>2855</v>
      </c>
      <c r="J127">
        <v>0</v>
      </c>
      <c r="K127">
        <v>0</v>
      </c>
      <c r="L127">
        <v>490175.06</v>
      </c>
      <c r="M127">
        <v>27517852.359999999</v>
      </c>
      <c r="N127" s="143">
        <v>42427.614638923609</v>
      </c>
      <c r="O127" s="143">
        <v>43531</v>
      </c>
      <c r="P127" t="s">
        <v>553</v>
      </c>
      <c r="Q127" t="s">
        <v>554</v>
      </c>
      <c r="R127" t="s">
        <v>1280</v>
      </c>
      <c r="S127" t="s">
        <v>1510</v>
      </c>
      <c r="T127">
        <v>36</v>
      </c>
      <c r="U127">
        <f>IF(Table__192.168.1.150_M_CONSOLIDATED_Delinquency_Compulsory_EOM[[#This Row],[Days in Arrears]] &lt; 8, Table__192.168.1.150_M_CONSOLIDATED_Delinquency_Compulsory_EOM[[#This Row],[Outstanding Balance]], 0 )</f>
        <v>21311959.07</v>
      </c>
      <c r="V1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 s="105" t="str">
        <f>VLOOKUP(Table__192.168.1.150_M_CONSOLIDATED_Delinquency_Compulsory_EOM[[#This Row],[Client No]],'Global Portfolio'!$B$2:$N$2500,10,FALSE)</f>
        <v>Retail</v>
      </c>
      <c r="AA127" s="105" t="str">
        <f>VLOOKUP(Table__192.168.1.150_M_CONSOLIDATED_Delinquency_Compulsory_EOM[[#This Row],[Client No]],'Global Portfolio'!$B$2:$N$2500,11,FALSE)</f>
        <v>Food and Beverage Stores</v>
      </c>
      <c r="AB127" s="105" t="str">
        <f>VLOOKUP(Table__192.168.1.150_M_CONSOLIDATED_Delinquency_Compulsory_EOM[[#This Row],[Client No]],'Global Portfolio'!$B$2:$N$2500,12,FALSE)</f>
        <v>Fruit &amp; Vegetable Markets</v>
      </c>
    </row>
    <row r="128" spans="1:28" x14ac:dyDescent="0.25">
      <c r="A128">
        <v>102426</v>
      </c>
      <c r="B128" t="s">
        <v>359</v>
      </c>
      <c r="C128" t="s">
        <v>360</v>
      </c>
      <c r="D128" t="s">
        <v>1283</v>
      </c>
      <c r="E128">
        <v>29</v>
      </c>
      <c r="F128">
        <v>42000000</v>
      </c>
      <c r="G128">
        <v>32676053.670000002</v>
      </c>
      <c r="H128">
        <v>1667108.05</v>
      </c>
      <c r="I128" t="s">
        <v>468</v>
      </c>
      <c r="J128">
        <v>0</v>
      </c>
      <c r="K128">
        <v>0</v>
      </c>
      <c r="L128">
        <v>1875979.97</v>
      </c>
      <c r="M128">
        <v>50013241.759999998</v>
      </c>
      <c r="N128" s="143">
        <v>42429.693336076387</v>
      </c>
      <c r="O128" s="143">
        <v>43892</v>
      </c>
      <c r="P128" t="s">
        <v>361</v>
      </c>
      <c r="Q128" t="s">
        <v>362</v>
      </c>
      <c r="R128" t="s">
        <v>1280</v>
      </c>
      <c r="S128" t="s">
        <v>1510</v>
      </c>
      <c r="T128">
        <v>36</v>
      </c>
      <c r="U128">
        <f>IF(Table__192.168.1.150_M_CONSOLIDATED_Delinquency_Compulsory_EOM[[#This Row],[Days in Arrears]] &lt; 8, Table__192.168.1.150_M_CONSOLIDATED_Delinquency_Compulsory_EOM[[#This Row],[Outstanding Balance]], 0 )</f>
        <v>0</v>
      </c>
      <c r="V1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32676053.670000002</v>
      </c>
      <c r="W1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 s="105" t="str">
        <f>VLOOKUP(Table__192.168.1.150_M_CONSOLIDATED_Delinquency_Compulsory_EOM[[#This Row],[Client No]],'Global Portfolio'!$B$2:$N$2500,10,FALSE)</f>
        <v>Retail</v>
      </c>
      <c r="AA128" s="105" t="str">
        <f>VLOOKUP(Table__192.168.1.150_M_CONSOLIDATED_Delinquency_Compulsory_EOM[[#This Row],[Client No]],'Global Portfolio'!$B$2:$N$2500,11,FALSE)</f>
        <v>Others</v>
      </c>
      <c r="AB128" s="105" t="str">
        <f>VLOOKUP(Table__192.168.1.150_M_CONSOLIDATED_Delinquency_Compulsory_EOM[[#This Row],[Client No]],'Global Portfolio'!$B$2:$N$2500,12,FALSE)</f>
        <v>Others</v>
      </c>
    </row>
    <row r="129" spans="1:28" x14ac:dyDescent="0.25">
      <c r="A129">
        <v>102430</v>
      </c>
      <c r="B129" t="s">
        <v>570</v>
      </c>
      <c r="C129" t="s">
        <v>576</v>
      </c>
      <c r="D129" t="s">
        <v>1850</v>
      </c>
      <c r="E129">
        <v>-9</v>
      </c>
      <c r="F129">
        <v>50600000</v>
      </c>
      <c r="G129">
        <v>38751763.729999997</v>
      </c>
      <c r="H129">
        <v>2024022.72</v>
      </c>
      <c r="I129" t="s">
        <v>546</v>
      </c>
      <c r="J129">
        <v>0</v>
      </c>
      <c r="K129">
        <v>0</v>
      </c>
      <c r="L129">
        <v>775035.27</v>
      </c>
      <c r="M129">
        <v>58493748.399999999</v>
      </c>
      <c r="N129" s="143">
        <v>42429.801953321759</v>
      </c>
      <c r="O129" s="143">
        <v>43900</v>
      </c>
      <c r="P129" t="s">
        <v>577</v>
      </c>
      <c r="Q129" t="s">
        <v>578</v>
      </c>
      <c r="R129" t="s">
        <v>1280</v>
      </c>
      <c r="S129" t="s">
        <v>1510</v>
      </c>
      <c r="T129">
        <v>36</v>
      </c>
      <c r="U129">
        <f>IF(Table__192.168.1.150_M_CONSOLIDATED_Delinquency_Compulsory_EOM[[#This Row],[Days in Arrears]] &lt; 8, Table__192.168.1.150_M_CONSOLIDATED_Delinquency_Compulsory_EOM[[#This Row],[Outstanding Balance]], 0 )</f>
        <v>38751763.729999997</v>
      </c>
      <c r="V1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 s="105" t="str">
        <f>VLOOKUP(Table__192.168.1.150_M_CONSOLIDATED_Delinquency_Compulsory_EOM[[#This Row],[Client No]],'Global Portfolio'!$B$2:$N$2500,10,FALSE)</f>
        <v>Retail</v>
      </c>
      <c r="AA129" s="105" t="str">
        <f>VLOOKUP(Table__192.168.1.150_M_CONSOLIDATED_Delinquency_Compulsory_EOM[[#This Row],[Client No]],'Global Portfolio'!$B$2:$N$2500,11,FALSE)</f>
        <v>Motor Vehicle and Parts Dealers</v>
      </c>
      <c r="AB129" s="105" t="str">
        <f>VLOOKUP(Table__192.168.1.150_M_CONSOLIDATED_Delinquency_Compulsory_EOM[[#This Row],[Client No]],'Global Portfolio'!$B$2:$N$2500,12,FALSE)</f>
        <v>Automotive Parts, Accessories, &amp; Tire Stores</v>
      </c>
    </row>
    <row r="130" spans="1:28" x14ac:dyDescent="0.25">
      <c r="A130">
        <v>102431</v>
      </c>
      <c r="B130" t="s">
        <v>1006</v>
      </c>
      <c r="C130" t="s">
        <v>1009</v>
      </c>
      <c r="D130" t="s">
        <v>1283</v>
      </c>
      <c r="E130">
        <v>-10</v>
      </c>
      <c r="F130">
        <v>47362475.399999999</v>
      </c>
      <c r="G130">
        <v>36314933.25</v>
      </c>
      <c r="H130">
        <v>1892700.38</v>
      </c>
      <c r="I130" t="s">
        <v>86</v>
      </c>
      <c r="J130">
        <v>595520.59</v>
      </c>
      <c r="K130">
        <v>0</v>
      </c>
      <c r="L130">
        <v>689983.73</v>
      </c>
      <c r="M130">
        <v>54881095.130000003</v>
      </c>
      <c r="N130" s="143">
        <v>42430.377102164355</v>
      </c>
      <c r="O130" s="143">
        <v>43901</v>
      </c>
      <c r="P130" t="s">
        <v>1010</v>
      </c>
      <c r="Q130" t="s">
        <v>1280</v>
      </c>
      <c r="R130" t="s">
        <v>1280</v>
      </c>
      <c r="S130" t="s">
        <v>1510</v>
      </c>
      <c r="T130">
        <v>36</v>
      </c>
      <c r="U130">
        <f>IF(Table__192.168.1.150_M_CONSOLIDATED_Delinquency_Compulsory_EOM[[#This Row],[Days in Arrears]] &lt; 8, Table__192.168.1.150_M_CONSOLIDATED_Delinquency_Compulsory_EOM[[#This Row],[Outstanding Balance]], 0 )</f>
        <v>36314933.25</v>
      </c>
      <c r="V1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 s="105" t="str">
        <f>VLOOKUP(Table__192.168.1.150_M_CONSOLIDATED_Delinquency_Compulsory_EOM[[#This Row],[Client No]],'Global Portfolio'!$B$2:$N$2500,10,FALSE)</f>
        <v>Real Estate and Rental</v>
      </c>
      <c r="AA130" s="105" t="str">
        <f>VLOOKUP(Table__192.168.1.150_M_CONSOLIDATED_Delinquency_Compulsory_EOM[[#This Row],[Client No]],'Global Portfolio'!$B$2:$N$2500,11,FALSE)</f>
        <v>Rental</v>
      </c>
      <c r="AB130" s="105" t="str">
        <f>VLOOKUP(Table__192.168.1.150_M_CONSOLIDATED_Delinquency_Compulsory_EOM[[#This Row],[Client No]],'Global Portfolio'!$B$2:$N$2500,12,FALSE)</f>
        <v>General Rental Centers</v>
      </c>
    </row>
    <row r="131" spans="1:28" x14ac:dyDescent="0.25">
      <c r="A131">
        <v>102434</v>
      </c>
      <c r="B131" t="s">
        <v>1100</v>
      </c>
      <c r="C131" t="s">
        <v>1105</v>
      </c>
      <c r="D131" t="s">
        <v>1850</v>
      </c>
      <c r="E131">
        <v>21</v>
      </c>
      <c r="F131">
        <v>47916079.32</v>
      </c>
      <c r="G131">
        <v>37459210.219999999</v>
      </c>
      <c r="H131">
        <v>1911141.16</v>
      </c>
      <c r="I131" t="s">
        <v>546</v>
      </c>
      <c r="J131">
        <v>0</v>
      </c>
      <c r="K131">
        <v>0</v>
      </c>
      <c r="L131">
        <v>1852495.54</v>
      </c>
      <c r="M131">
        <v>57329517.140000001</v>
      </c>
      <c r="N131" s="143">
        <v>42431.627083680556</v>
      </c>
      <c r="O131" s="143">
        <v>43900</v>
      </c>
      <c r="P131" t="s">
        <v>1106</v>
      </c>
      <c r="Q131" t="s">
        <v>1280</v>
      </c>
      <c r="R131" t="s">
        <v>1280</v>
      </c>
      <c r="S131" t="s">
        <v>1510</v>
      </c>
      <c r="T131">
        <v>36</v>
      </c>
      <c r="U131">
        <f>IF(Table__192.168.1.150_M_CONSOLIDATED_Delinquency_Compulsory_EOM[[#This Row],[Days in Arrears]] &lt; 8, Table__192.168.1.150_M_CONSOLIDATED_Delinquency_Compulsory_EOM[[#This Row],[Outstanding Balance]], 0 )</f>
        <v>0</v>
      </c>
      <c r="V1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37459210.219999999</v>
      </c>
      <c r="W1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 s="105" t="str">
        <f>VLOOKUP(Table__192.168.1.150_M_CONSOLIDATED_Delinquency_Compulsory_EOM[[#This Row],[Client No]],'Global Portfolio'!$B$2:$N$2500,10,FALSE)</f>
        <v>Retail</v>
      </c>
      <c r="AA131" s="105" t="str">
        <f>VLOOKUP(Table__192.168.1.150_M_CONSOLIDATED_Delinquency_Compulsory_EOM[[#This Row],[Client No]],'Global Portfolio'!$B$2:$N$2500,11,FALSE)</f>
        <v>General Merchandise Stores</v>
      </c>
      <c r="AB131" s="105" t="str">
        <f>VLOOKUP(Table__192.168.1.150_M_CONSOLIDATED_Delinquency_Compulsory_EOM[[#This Row],[Client No]],'Global Portfolio'!$B$2:$N$2500,12,FALSE)</f>
        <v>General Stores</v>
      </c>
    </row>
    <row r="132" spans="1:28" x14ac:dyDescent="0.25">
      <c r="A132">
        <v>102437</v>
      </c>
      <c r="B132" t="s">
        <v>622</v>
      </c>
      <c r="C132" t="s">
        <v>1277</v>
      </c>
      <c r="D132" t="s">
        <v>1284</v>
      </c>
      <c r="E132">
        <v>27</v>
      </c>
      <c r="F132">
        <v>47000000</v>
      </c>
      <c r="G132">
        <v>29608264.789999999</v>
      </c>
      <c r="H132">
        <v>2152778.33</v>
      </c>
      <c r="I132" t="s">
        <v>546</v>
      </c>
      <c r="J132">
        <v>0</v>
      </c>
      <c r="K132">
        <v>0</v>
      </c>
      <c r="L132">
        <v>2586022.19</v>
      </c>
      <c r="M132">
        <v>38750009.710000001</v>
      </c>
      <c r="N132" s="143">
        <v>42433.590518518518</v>
      </c>
      <c r="O132" s="143">
        <v>43528</v>
      </c>
      <c r="P132" t="s">
        <v>1278</v>
      </c>
      <c r="Q132" t="s">
        <v>1280</v>
      </c>
      <c r="R132" t="s">
        <v>1280</v>
      </c>
      <c r="S132" t="s">
        <v>1510</v>
      </c>
      <c r="T132">
        <v>36</v>
      </c>
      <c r="U132">
        <f>IF(Table__192.168.1.150_M_CONSOLIDATED_Delinquency_Compulsory_EOM[[#This Row],[Days in Arrears]] &lt; 8, Table__192.168.1.150_M_CONSOLIDATED_Delinquency_Compulsory_EOM[[#This Row],[Outstanding Balance]], 0 )</f>
        <v>0</v>
      </c>
      <c r="V1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29608264.789999999</v>
      </c>
      <c r="W1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 s="105" t="str">
        <f>VLOOKUP(Table__192.168.1.150_M_CONSOLIDATED_Delinquency_Compulsory_EOM[[#This Row],[Client No]],'Global Portfolio'!$B$2:$N$2500,10,FALSE)</f>
        <v>Real Estate and Rental</v>
      </c>
      <c r="AA132" s="105" t="str">
        <f>VLOOKUP(Table__192.168.1.150_M_CONSOLIDATED_Delinquency_Compulsory_EOM[[#This Row],[Client No]],'Global Portfolio'!$B$2:$N$2500,11,FALSE)</f>
        <v>Rental</v>
      </c>
      <c r="AB132" s="105" t="str">
        <f>VLOOKUP(Table__192.168.1.150_M_CONSOLIDATED_Delinquency_Compulsory_EOM[[#This Row],[Client No]],'Global Portfolio'!$B$2:$N$2500,12,FALSE)</f>
        <v>Others</v>
      </c>
    </row>
    <row r="133" spans="1:28" x14ac:dyDescent="0.25">
      <c r="A133">
        <v>102439</v>
      </c>
      <c r="B133" t="s">
        <v>508</v>
      </c>
      <c r="C133" t="s">
        <v>514</v>
      </c>
      <c r="D133" t="s">
        <v>1281</v>
      </c>
      <c r="E133">
        <v>-3</v>
      </c>
      <c r="F133">
        <v>20000000</v>
      </c>
      <c r="G133">
        <v>5623301.6799999997</v>
      </c>
      <c r="H133">
        <v>1245456.6100000001</v>
      </c>
      <c r="I133" t="s">
        <v>86</v>
      </c>
      <c r="J133">
        <v>0</v>
      </c>
      <c r="K133">
        <v>1500000</v>
      </c>
      <c r="L133">
        <v>402850.33</v>
      </c>
      <c r="M133">
        <v>6227282.8700000001</v>
      </c>
      <c r="N133" s="143">
        <v>42433.703201620374</v>
      </c>
      <c r="O133" s="143">
        <v>43163</v>
      </c>
      <c r="P133" t="s">
        <v>515</v>
      </c>
      <c r="Q133" t="s">
        <v>516</v>
      </c>
      <c r="R133" t="s">
        <v>1280</v>
      </c>
      <c r="S133" t="s">
        <v>1510</v>
      </c>
      <c r="T133">
        <v>42</v>
      </c>
      <c r="U133">
        <f>IF(Table__192.168.1.150_M_CONSOLIDATED_Delinquency_Compulsory_EOM[[#This Row],[Days in Arrears]] &lt; 8, Table__192.168.1.150_M_CONSOLIDATED_Delinquency_Compulsory_EOM[[#This Row],[Outstanding Balance]], 0 )</f>
        <v>5623301.6799999997</v>
      </c>
      <c r="V1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 s="105" t="str">
        <f>VLOOKUP(Table__192.168.1.150_M_CONSOLIDATED_Delinquency_Compulsory_EOM[[#This Row],[Client No]],'Global Portfolio'!$B$2:$N$2500,10,FALSE)</f>
        <v>Retail</v>
      </c>
      <c r="AA133" s="105" t="str">
        <f>VLOOKUP(Table__192.168.1.150_M_CONSOLIDATED_Delinquency_Compulsory_EOM[[#This Row],[Client No]],'Global Portfolio'!$B$2:$N$2500,11,FALSE)</f>
        <v>Motor Vehicle and Parts Dealers</v>
      </c>
      <c r="AB133" s="105" t="str">
        <f>VLOOKUP(Table__192.168.1.150_M_CONSOLIDATED_Delinquency_Compulsory_EOM[[#This Row],[Client No]],'Global Portfolio'!$B$2:$N$2500,12,FALSE)</f>
        <v>Automotive Parts, Accessories, &amp; Tire Stores</v>
      </c>
    </row>
    <row r="134" spans="1:28" x14ac:dyDescent="0.25">
      <c r="A134">
        <v>102444</v>
      </c>
      <c r="B134" t="s">
        <v>1858</v>
      </c>
      <c r="C134" t="s">
        <v>1147</v>
      </c>
      <c r="D134" t="s">
        <v>1283</v>
      </c>
      <c r="E134">
        <v>167</v>
      </c>
      <c r="F134">
        <v>40000000</v>
      </c>
      <c r="G134">
        <v>22352970.59</v>
      </c>
      <c r="H134">
        <v>2460668.0699999998</v>
      </c>
      <c r="I134" t="s">
        <v>5726</v>
      </c>
      <c r="J134">
        <v>0</v>
      </c>
      <c r="K134">
        <v>0</v>
      </c>
      <c r="L134">
        <v>1309527.3999999999</v>
      </c>
      <c r="M134">
        <v>26831005.379999999</v>
      </c>
      <c r="N134" s="143">
        <v>42438.497540509263</v>
      </c>
      <c r="O134" s="143">
        <v>43173</v>
      </c>
      <c r="P134" t="s">
        <v>1859</v>
      </c>
      <c r="Q134" t="s">
        <v>1280</v>
      </c>
      <c r="R134" t="s">
        <v>1280</v>
      </c>
      <c r="S134" t="s">
        <v>1510</v>
      </c>
      <c r="T134">
        <v>40</v>
      </c>
      <c r="U134">
        <f>IF(Table__192.168.1.150_M_CONSOLIDATED_Delinquency_Compulsory_EOM[[#This Row],[Days in Arrears]] &lt; 8, Table__192.168.1.150_M_CONSOLIDATED_Delinquency_Compulsory_EOM[[#This Row],[Outstanding Balance]], 0 )</f>
        <v>0</v>
      </c>
      <c r="V1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22352970.59</v>
      </c>
      <c r="Z134" s="105" t="str">
        <f>VLOOKUP(Table__192.168.1.150_M_CONSOLIDATED_Delinquency_Compulsory_EOM[[#This Row],[Client No]],'Global Portfolio'!$B$2:$N$2500,10,FALSE)</f>
        <v>Wholesale Trade</v>
      </c>
      <c r="AA134" s="105" t="str">
        <f>VLOOKUP(Table__192.168.1.150_M_CONSOLIDATED_Delinquency_Compulsory_EOM[[#This Row],[Client No]],'Global Portfolio'!$B$2:$N$2500,11,FALSE)</f>
        <v>Durable Goods</v>
      </c>
      <c r="AB134" s="105" t="str">
        <f>VLOOKUP(Table__192.168.1.150_M_CONSOLIDATED_Delinquency_Compulsory_EOM[[#This Row],[Client No]],'Global Portfolio'!$B$2:$N$2500,12,FALSE)</f>
        <v>Others</v>
      </c>
    </row>
    <row r="135" spans="1:28" x14ac:dyDescent="0.25">
      <c r="A135">
        <v>102449</v>
      </c>
      <c r="B135" t="s">
        <v>1555</v>
      </c>
      <c r="C135" t="s">
        <v>1574</v>
      </c>
      <c r="D135" t="s">
        <v>1850</v>
      </c>
      <c r="E135">
        <v>-14</v>
      </c>
      <c r="F135">
        <v>39502188</v>
      </c>
      <c r="G135">
        <v>30115898.670000002</v>
      </c>
      <c r="H135">
        <v>1569480.15</v>
      </c>
      <c r="I135" t="s">
        <v>1467</v>
      </c>
      <c r="J135">
        <v>0</v>
      </c>
      <c r="K135">
        <v>2000000</v>
      </c>
      <c r="L135">
        <v>451738.48</v>
      </c>
      <c r="M135">
        <v>45514924.530000001</v>
      </c>
      <c r="N135" s="143">
        <v>42440.763313275464</v>
      </c>
      <c r="O135" s="143">
        <v>43905</v>
      </c>
      <c r="P135" t="s">
        <v>1575</v>
      </c>
      <c r="Q135" t="s">
        <v>1280</v>
      </c>
      <c r="R135" t="s">
        <v>1280</v>
      </c>
      <c r="S135" t="s">
        <v>1510</v>
      </c>
      <c r="T135">
        <v>36</v>
      </c>
      <c r="U135">
        <f>IF(Table__192.168.1.150_M_CONSOLIDATED_Delinquency_Compulsory_EOM[[#This Row],[Days in Arrears]] &lt; 8, Table__192.168.1.150_M_CONSOLIDATED_Delinquency_Compulsory_EOM[[#This Row],[Outstanding Balance]], 0 )</f>
        <v>30115898.670000002</v>
      </c>
      <c r="V1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 s="105" t="str">
        <f>VLOOKUP(Table__192.168.1.150_M_CONSOLIDATED_Delinquency_Compulsory_EOM[[#This Row],[Client No]],'Global Portfolio'!$B$2:$N$2500,10,FALSE)</f>
        <v>Real Estate and Rental</v>
      </c>
      <c r="AA135" s="105" t="str">
        <f>VLOOKUP(Table__192.168.1.150_M_CONSOLIDATED_Delinquency_Compulsory_EOM[[#This Row],[Client No]],'Global Portfolio'!$B$2:$N$2500,11,FALSE)</f>
        <v>Real Estate</v>
      </c>
      <c r="AB135" s="105" t="str">
        <f>VLOOKUP(Table__192.168.1.150_M_CONSOLIDATED_Delinquency_Compulsory_EOM[[#This Row],[Client No]],'Global Portfolio'!$B$2:$N$2500,12,FALSE)</f>
        <v>Real Estate</v>
      </c>
    </row>
    <row r="136" spans="1:28" x14ac:dyDescent="0.25">
      <c r="A136">
        <v>102453</v>
      </c>
      <c r="B136" t="s">
        <v>1091</v>
      </c>
      <c r="C136" t="s">
        <v>1092</v>
      </c>
      <c r="D136" t="s">
        <v>1284</v>
      </c>
      <c r="E136">
        <v>-19</v>
      </c>
      <c r="F136">
        <v>40000000</v>
      </c>
      <c r="G136">
        <v>30524915.899999999</v>
      </c>
      <c r="H136">
        <v>1590795.96</v>
      </c>
      <c r="I136" t="s">
        <v>1467</v>
      </c>
      <c r="J136">
        <v>14612.12</v>
      </c>
      <c r="K136">
        <v>0</v>
      </c>
      <c r="L136">
        <v>305249.15999999997</v>
      </c>
      <c r="M136">
        <v>46133082.5</v>
      </c>
      <c r="N136" s="143">
        <v>42444.561077280094</v>
      </c>
      <c r="O136" s="143">
        <v>43910</v>
      </c>
      <c r="P136" t="s">
        <v>1093</v>
      </c>
      <c r="Q136" t="s">
        <v>1094</v>
      </c>
      <c r="R136" t="s">
        <v>1280</v>
      </c>
      <c r="S136" t="s">
        <v>1510</v>
      </c>
      <c r="T136">
        <v>36</v>
      </c>
      <c r="U136">
        <f>IF(Table__192.168.1.150_M_CONSOLIDATED_Delinquency_Compulsory_EOM[[#This Row],[Days in Arrears]] &lt; 8, Table__192.168.1.150_M_CONSOLIDATED_Delinquency_Compulsory_EOM[[#This Row],[Outstanding Balance]], 0 )</f>
        <v>30524915.899999999</v>
      </c>
      <c r="V1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 s="105" t="str">
        <f>VLOOKUP(Table__192.168.1.150_M_CONSOLIDATED_Delinquency_Compulsory_EOM[[#This Row],[Client No]],'Global Portfolio'!$B$2:$N$2500,10,FALSE)</f>
        <v>Real Estate and Rental</v>
      </c>
      <c r="AA136" s="105" t="str">
        <f>VLOOKUP(Table__192.168.1.150_M_CONSOLIDATED_Delinquency_Compulsory_EOM[[#This Row],[Client No]],'Global Portfolio'!$B$2:$N$2500,11,FALSE)</f>
        <v>Real Estate</v>
      </c>
      <c r="AB136" s="105" t="str">
        <f>VLOOKUP(Table__192.168.1.150_M_CONSOLIDATED_Delinquency_Compulsory_EOM[[#This Row],[Client No]],'Global Portfolio'!$B$2:$N$2500,12,FALSE)</f>
        <v>Others</v>
      </c>
    </row>
    <row r="137" spans="1:28" x14ac:dyDescent="0.25">
      <c r="A137">
        <v>102457</v>
      </c>
      <c r="B137" t="s">
        <v>1869</v>
      </c>
      <c r="C137" t="s">
        <v>1876</v>
      </c>
      <c r="D137" t="s">
        <v>1281</v>
      </c>
      <c r="E137">
        <v>-15</v>
      </c>
      <c r="F137">
        <v>28000000</v>
      </c>
      <c r="G137">
        <v>8175465.7000000002</v>
      </c>
      <c r="H137">
        <v>1836431.28</v>
      </c>
      <c r="I137" t="s">
        <v>1191</v>
      </c>
      <c r="J137">
        <v>43386.559999999998</v>
      </c>
      <c r="K137">
        <v>2100000</v>
      </c>
      <c r="L137">
        <v>152608.69</v>
      </c>
      <c r="M137">
        <v>9182156.3100000005</v>
      </c>
      <c r="N137" s="143">
        <v>42445.698319444447</v>
      </c>
      <c r="O137" s="143">
        <v>43175</v>
      </c>
      <c r="P137" t="s">
        <v>1877</v>
      </c>
      <c r="Q137" t="s">
        <v>1280</v>
      </c>
      <c r="R137" t="s">
        <v>1280</v>
      </c>
      <c r="S137" t="s">
        <v>1510</v>
      </c>
      <c r="T137">
        <v>48</v>
      </c>
      <c r="U137">
        <f>IF(Table__192.168.1.150_M_CONSOLIDATED_Delinquency_Compulsory_EOM[[#This Row],[Days in Arrears]] &lt; 8, Table__192.168.1.150_M_CONSOLIDATED_Delinquency_Compulsory_EOM[[#This Row],[Outstanding Balance]], 0 )</f>
        <v>8175465.7000000002</v>
      </c>
      <c r="V1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 s="105" t="str">
        <f>VLOOKUP(Table__192.168.1.150_M_CONSOLIDATED_Delinquency_Compulsory_EOM[[#This Row],[Client No]],'Global Portfolio'!$B$2:$N$2500,10,FALSE)</f>
        <v>Retail</v>
      </c>
      <c r="AA137" s="105" t="str">
        <f>VLOOKUP(Table__192.168.1.150_M_CONSOLIDATED_Delinquency_Compulsory_EOM[[#This Row],[Client No]],'Global Portfolio'!$B$2:$N$2500,11,FALSE)</f>
        <v>Others</v>
      </c>
      <c r="AB137" s="105" t="str">
        <f>VLOOKUP(Table__192.168.1.150_M_CONSOLIDATED_Delinquency_Compulsory_EOM[[#This Row],[Client No]],'Global Portfolio'!$B$2:$N$2500,12,FALSE)</f>
        <v>Others</v>
      </c>
    </row>
    <row r="138" spans="1:28" x14ac:dyDescent="0.25">
      <c r="A138">
        <v>102459</v>
      </c>
      <c r="B138" t="s">
        <v>1878</v>
      </c>
      <c r="C138" t="s">
        <v>1879</v>
      </c>
      <c r="D138" t="s">
        <v>1283</v>
      </c>
      <c r="E138">
        <v>-16</v>
      </c>
      <c r="F138">
        <v>47000000</v>
      </c>
      <c r="G138">
        <v>28987339.449999999</v>
      </c>
      <c r="H138">
        <v>2261177.09</v>
      </c>
      <c r="I138" t="s">
        <v>5167</v>
      </c>
      <c r="J138">
        <v>0</v>
      </c>
      <c r="K138">
        <v>0</v>
      </c>
      <c r="L138">
        <v>418706.01</v>
      </c>
      <c r="M138">
        <v>38440010.600000001</v>
      </c>
      <c r="N138" s="143">
        <v>42446.599923877315</v>
      </c>
      <c r="O138" s="143">
        <v>43541</v>
      </c>
      <c r="P138" t="s">
        <v>1880</v>
      </c>
      <c r="Q138" t="s">
        <v>1280</v>
      </c>
      <c r="R138" t="s">
        <v>1881</v>
      </c>
      <c r="S138" t="s">
        <v>1510</v>
      </c>
      <c r="T138">
        <v>40</v>
      </c>
      <c r="U138">
        <f>IF(Table__192.168.1.150_M_CONSOLIDATED_Delinquency_Compulsory_EOM[[#This Row],[Days in Arrears]] &lt; 8, Table__192.168.1.150_M_CONSOLIDATED_Delinquency_Compulsory_EOM[[#This Row],[Outstanding Balance]], 0 )</f>
        <v>28987339.449999999</v>
      </c>
      <c r="V1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 s="105" t="str">
        <f>VLOOKUP(Table__192.168.1.150_M_CONSOLIDATED_Delinquency_Compulsory_EOM[[#This Row],[Client No]],'Global Portfolio'!$B$2:$N$2500,10,FALSE)</f>
        <v>Real Estate and Rental</v>
      </c>
      <c r="AA138" s="105" t="str">
        <f>VLOOKUP(Table__192.168.1.150_M_CONSOLIDATED_Delinquency_Compulsory_EOM[[#This Row],[Client No]],'Global Portfolio'!$B$2:$N$2500,11,FALSE)</f>
        <v>Others</v>
      </c>
      <c r="AB138" s="105" t="str">
        <f>VLOOKUP(Table__192.168.1.150_M_CONSOLIDATED_Delinquency_Compulsory_EOM[[#This Row],[Client No]],'Global Portfolio'!$B$2:$N$2500,12,FALSE)</f>
        <v>Others</v>
      </c>
    </row>
    <row r="139" spans="1:28" x14ac:dyDescent="0.25">
      <c r="A139">
        <v>102460</v>
      </c>
      <c r="B139" t="s">
        <v>1172</v>
      </c>
      <c r="C139" t="s">
        <v>1179</v>
      </c>
      <c r="D139" t="s">
        <v>1281</v>
      </c>
      <c r="E139">
        <v>104</v>
      </c>
      <c r="F139">
        <v>25000000</v>
      </c>
      <c r="G139">
        <v>20993030.940000001</v>
      </c>
      <c r="H139">
        <v>1082661.45</v>
      </c>
      <c r="I139" t="s">
        <v>468</v>
      </c>
      <c r="J139">
        <v>0</v>
      </c>
      <c r="K139">
        <v>0</v>
      </c>
      <c r="L139">
        <v>1242735.6100000001</v>
      </c>
      <c r="M139">
        <v>35537314.039999999</v>
      </c>
      <c r="N139" s="143">
        <v>42446.670012499999</v>
      </c>
      <c r="O139" s="143">
        <v>43907</v>
      </c>
      <c r="P139" t="s">
        <v>1180</v>
      </c>
      <c r="Q139" t="s">
        <v>1280</v>
      </c>
      <c r="R139" t="s">
        <v>1280</v>
      </c>
      <c r="S139" t="s">
        <v>1510</v>
      </c>
      <c r="T139">
        <v>42</v>
      </c>
      <c r="U139">
        <f>IF(Table__192.168.1.150_M_CONSOLIDATED_Delinquency_Compulsory_EOM[[#This Row],[Days in Arrears]] &lt; 8, Table__192.168.1.150_M_CONSOLIDATED_Delinquency_Compulsory_EOM[[#This Row],[Outstanding Balance]], 0 )</f>
        <v>0</v>
      </c>
      <c r="V1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20993030.940000001</v>
      </c>
      <c r="Z139" s="105" t="str">
        <f>VLOOKUP(Table__192.168.1.150_M_CONSOLIDATED_Delinquency_Compulsory_EOM[[#This Row],[Client No]],'Global Portfolio'!$B$2:$N$2500,10,FALSE)</f>
        <v>Real Estate and Rental</v>
      </c>
      <c r="AA139" s="105" t="str">
        <f>VLOOKUP(Table__192.168.1.150_M_CONSOLIDATED_Delinquency_Compulsory_EOM[[#This Row],[Client No]],'Global Portfolio'!$B$2:$N$2500,11,FALSE)</f>
        <v>Real Estate</v>
      </c>
      <c r="AB139" s="105" t="str">
        <f>VLOOKUP(Table__192.168.1.150_M_CONSOLIDATED_Delinquency_Compulsory_EOM[[#This Row],[Client No]],'Global Portfolio'!$B$2:$N$2500,12,FALSE)</f>
        <v>Real Estate</v>
      </c>
    </row>
    <row r="140" spans="1:28" x14ac:dyDescent="0.25">
      <c r="A140">
        <v>102464</v>
      </c>
      <c r="B140" t="s">
        <v>1130</v>
      </c>
      <c r="C140" t="s">
        <v>1131</v>
      </c>
      <c r="D140" t="s">
        <v>1284</v>
      </c>
      <c r="E140">
        <v>-20</v>
      </c>
      <c r="F140">
        <v>12000000</v>
      </c>
      <c r="G140">
        <v>8325400.1500000004</v>
      </c>
      <c r="H140">
        <v>506300.08</v>
      </c>
      <c r="I140" t="s">
        <v>491</v>
      </c>
      <c r="J140">
        <v>0</v>
      </c>
      <c r="K140">
        <v>600000</v>
      </c>
      <c r="L140">
        <v>74928.600000000006</v>
      </c>
      <c r="M140">
        <v>11644901.68</v>
      </c>
      <c r="N140" s="143">
        <v>42450.687901851852</v>
      </c>
      <c r="O140" s="143">
        <v>43729</v>
      </c>
      <c r="P140" t="s">
        <v>1132</v>
      </c>
      <c r="Q140" t="s">
        <v>1280</v>
      </c>
      <c r="R140" t="s">
        <v>1280</v>
      </c>
      <c r="S140" t="s">
        <v>1510</v>
      </c>
      <c r="T140">
        <v>36</v>
      </c>
      <c r="U140">
        <f>IF(Table__192.168.1.150_M_CONSOLIDATED_Delinquency_Compulsory_EOM[[#This Row],[Days in Arrears]] &lt; 8, Table__192.168.1.150_M_CONSOLIDATED_Delinquency_Compulsory_EOM[[#This Row],[Outstanding Balance]], 0 )</f>
        <v>8325400.1500000004</v>
      </c>
      <c r="V1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 s="105" t="str">
        <f>VLOOKUP(Table__192.168.1.150_M_CONSOLIDATED_Delinquency_Compulsory_EOM[[#This Row],[Client No]],'Global Portfolio'!$B$2:$N$2500,10,FALSE)</f>
        <v>Real Estate and Rental</v>
      </c>
      <c r="AA140" s="105" t="str">
        <f>VLOOKUP(Table__192.168.1.150_M_CONSOLIDATED_Delinquency_Compulsory_EOM[[#This Row],[Client No]],'Global Portfolio'!$B$2:$N$2500,11,FALSE)</f>
        <v>Rental</v>
      </c>
      <c r="AB140" s="105" t="str">
        <f>VLOOKUP(Table__192.168.1.150_M_CONSOLIDATED_Delinquency_Compulsory_EOM[[#This Row],[Client No]],'Global Portfolio'!$B$2:$N$2500,12,FALSE)</f>
        <v>Others</v>
      </c>
    </row>
    <row r="141" spans="1:28" x14ac:dyDescent="0.25">
      <c r="A141">
        <v>102479</v>
      </c>
      <c r="B141" t="s">
        <v>681</v>
      </c>
      <c r="C141" t="s">
        <v>682</v>
      </c>
      <c r="D141" t="s">
        <v>1281</v>
      </c>
      <c r="E141">
        <v>26</v>
      </c>
      <c r="F141">
        <v>22329831</v>
      </c>
      <c r="G141">
        <v>15172808.17</v>
      </c>
      <c r="H141">
        <v>1106709.56</v>
      </c>
      <c r="I141" t="s">
        <v>1191</v>
      </c>
      <c r="J141">
        <v>0</v>
      </c>
      <c r="K141">
        <v>0</v>
      </c>
      <c r="L141">
        <v>956798.41</v>
      </c>
      <c r="M141">
        <v>21027481.710000001</v>
      </c>
      <c r="N141" s="143">
        <v>42459.616795254631</v>
      </c>
      <c r="O141" s="143">
        <v>43560</v>
      </c>
      <c r="P141" t="s">
        <v>683</v>
      </c>
      <c r="Q141" t="s">
        <v>684</v>
      </c>
      <c r="R141" t="s">
        <v>1280</v>
      </c>
      <c r="S141" t="s">
        <v>1510</v>
      </c>
      <c r="T141">
        <v>42</v>
      </c>
      <c r="U141">
        <f>IF(Table__192.168.1.150_M_CONSOLIDATED_Delinquency_Compulsory_EOM[[#This Row],[Days in Arrears]] &lt; 8, Table__192.168.1.150_M_CONSOLIDATED_Delinquency_Compulsory_EOM[[#This Row],[Outstanding Balance]], 0 )</f>
        <v>0</v>
      </c>
      <c r="V1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15172808.17</v>
      </c>
      <c r="W1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 s="105" t="str">
        <f>VLOOKUP(Table__192.168.1.150_M_CONSOLIDATED_Delinquency_Compulsory_EOM[[#This Row],[Client No]],'Global Portfolio'!$B$2:$N$2500,10,FALSE)</f>
        <v>Retail</v>
      </c>
      <c r="AA141" s="105" t="str">
        <f>VLOOKUP(Table__192.168.1.150_M_CONSOLIDATED_Delinquency_Compulsory_EOM[[#This Row],[Client No]],'Global Portfolio'!$B$2:$N$2500,11,FALSE)</f>
        <v>General Merchandise Stores</v>
      </c>
      <c r="AB141" s="105" t="str">
        <f>VLOOKUP(Table__192.168.1.150_M_CONSOLIDATED_Delinquency_Compulsory_EOM[[#This Row],[Client No]],'Global Portfolio'!$B$2:$N$2500,12,FALSE)</f>
        <v>Others</v>
      </c>
    </row>
    <row r="142" spans="1:28" x14ac:dyDescent="0.25">
      <c r="A142">
        <v>102483</v>
      </c>
      <c r="B142" t="s">
        <v>1108</v>
      </c>
      <c r="C142" t="s">
        <v>1112</v>
      </c>
      <c r="D142" t="s">
        <v>1281</v>
      </c>
      <c r="E142">
        <v>41</v>
      </c>
      <c r="F142">
        <v>27810000</v>
      </c>
      <c r="G142">
        <v>10357297.82</v>
      </c>
      <c r="H142">
        <v>1712286.23</v>
      </c>
      <c r="I142" t="s">
        <v>5724</v>
      </c>
      <c r="J142">
        <v>0</v>
      </c>
      <c r="K142">
        <v>0</v>
      </c>
      <c r="L142">
        <v>400903.57</v>
      </c>
      <c r="M142">
        <v>11507007.24</v>
      </c>
      <c r="N142" s="143">
        <v>42460.545624270831</v>
      </c>
      <c r="O142" s="143">
        <v>43179</v>
      </c>
      <c r="P142" t="s">
        <v>1113</v>
      </c>
      <c r="Q142" t="s">
        <v>1280</v>
      </c>
      <c r="R142" t="s">
        <v>1280</v>
      </c>
      <c r="S142" t="s">
        <v>1510</v>
      </c>
      <c r="T142">
        <v>42</v>
      </c>
      <c r="U142">
        <f>IF(Table__192.168.1.150_M_CONSOLIDATED_Delinquency_Compulsory_EOM[[#This Row],[Days in Arrears]] &lt; 8, Table__192.168.1.150_M_CONSOLIDATED_Delinquency_Compulsory_EOM[[#This Row],[Outstanding Balance]], 0 )</f>
        <v>0</v>
      </c>
      <c r="V1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10357297.82</v>
      </c>
      <c r="X1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 s="105" t="str">
        <f>VLOOKUP(Table__192.168.1.150_M_CONSOLIDATED_Delinquency_Compulsory_EOM[[#This Row],[Client No]],'Global Portfolio'!$B$2:$N$2500,10,FALSE)</f>
        <v>Educational Services</v>
      </c>
      <c r="AA142" s="105" t="str">
        <f>VLOOKUP(Table__192.168.1.150_M_CONSOLIDATED_Delinquency_Compulsory_EOM[[#This Row],[Client No]],'Global Portfolio'!$B$2:$N$2500,11,FALSE)</f>
        <v>Educational Services</v>
      </c>
      <c r="AB142" s="105" t="str">
        <f>VLOOKUP(Table__192.168.1.150_M_CONSOLIDATED_Delinquency_Compulsory_EOM[[#This Row],[Client No]],'Global Portfolio'!$B$2:$N$2500,12,FALSE)</f>
        <v>Others</v>
      </c>
    </row>
    <row r="143" spans="1:28" x14ac:dyDescent="0.25">
      <c r="A143">
        <v>102486</v>
      </c>
      <c r="B143" t="s">
        <v>1256</v>
      </c>
      <c r="C143" t="s">
        <v>1257</v>
      </c>
      <c r="D143" t="s">
        <v>1284</v>
      </c>
      <c r="E143">
        <v>0</v>
      </c>
      <c r="F143">
        <v>54802000</v>
      </c>
      <c r="G143">
        <v>34556754.469999999</v>
      </c>
      <c r="H143">
        <v>2512576.56</v>
      </c>
      <c r="I143" t="s">
        <v>1039</v>
      </c>
      <c r="J143">
        <v>0</v>
      </c>
      <c r="K143">
        <v>2650000</v>
      </c>
      <c r="L143">
        <v>1002145.88</v>
      </c>
      <c r="M143">
        <v>45226377.880000003</v>
      </c>
      <c r="N143" s="143">
        <v>42460.686850891201</v>
      </c>
      <c r="O143" s="143">
        <v>43556</v>
      </c>
      <c r="P143" t="s">
        <v>1258</v>
      </c>
      <c r="Q143" t="s">
        <v>1280</v>
      </c>
      <c r="R143" t="s">
        <v>1280</v>
      </c>
      <c r="S143" t="s">
        <v>1510</v>
      </c>
      <c r="T143">
        <v>36</v>
      </c>
      <c r="U143">
        <f>IF(Table__192.168.1.150_M_CONSOLIDATED_Delinquency_Compulsory_EOM[[#This Row],[Days in Arrears]] &lt; 8, Table__192.168.1.150_M_CONSOLIDATED_Delinquency_Compulsory_EOM[[#This Row],[Outstanding Balance]], 0 )</f>
        <v>34556754.469999999</v>
      </c>
      <c r="V1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 s="105" t="str">
        <f>VLOOKUP(Table__192.168.1.150_M_CONSOLIDATED_Delinquency_Compulsory_EOM[[#This Row],[Client No]],'Global Portfolio'!$B$2:$N$2500,10,FALSE)</f>
        <v>Real Estate and Rental</v>
      </c>
      <c r="AA143" s="105" t="str">
        <f>VLOOKUP(Table__192.168.1.150_M_CONSOLIDATED_Delinquency_Compulsory_EOM[[#This Row],[Client No]],'Global Portfolio'!$B$2:$N$2500,11,FALSE)</f>
        <v>Real Estate</v>
      </c>
      <c r="AB143" s="105" t="str">
        <f>VLOOKUP(Table__192.168.1.150_M_CONSOLIDATED_Delinquency_Compulsory_EOM[[#This Row],[Client No]],'Global Portfolio'!$B$2:$N$2500,12,FALSE)</f>
        <v>Others</v>
      </c>
    </row>
    <row r="144" spans="1:28" x14ac:dyDescent="0.25">
      <c r="A144">
        <v>102488</v>
      </c>
      <c r="B144" t="s">
        <v>461</v>
      </c>
      <c r="C144" t="s">
        <v>463</v>
      </c>
      <c r="D144" t="s">
        <v>1283</v>
      </c>
      <c r="E144">
        <v>-2</v>
      </c>
      <c r="F144">
        <v>40000000</v>
      </c>
      <c r="G144">
        <v>12832112.75</v>
      </c>
      <c r="H144">
        <v>2368775.9500000002</v>
      </c>
      <c r="I144" t="s">
        <v>5725</v>
      </c>
      <c r="J144">
        <v>136754.60999999999</v>
      </c>
      <c r="K144">
        <v>0</v>
      </c>
      <c r="L144">
        <v>789211.37</v>
      </c>
      <c r="M144">
        <v>14212655.630000001</v>
      </c>
      <c r="N144" s="143">
        <v>42460.567592210646</v>
      </c>
      <c r="O144" s="143">
        <v>43193</v>
      </c>
      <c r="P144" t="s">
        <v>464</v>
      </c>
      <c r="Q144" t="s">
        <v>1280</v>
      </c>
      <c r="R144" t="s">
        <v>1280</v>
      </c>
      <c r="S144" t="s">
        <v>1510</v>
      </c>
      <c r="T144">
        <v>36</v>
      </c>
      <c r="U144">
        <f>IF(Table__192.168.1.150_M_CONSOLIDATED_Delinquency_Compulsory_EOM[[#This Row],[Days in Arrears]] &lt; 8, Table__192.168.1.150_M_CONSOLIDATED_Delinquency_Compulsory_EOM[[#This Row],[Outstanding Balance]], 0 )</f>
        <v>12832112.75</v>
      </c>
      <c r="V1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 s="105" t="str">
        <f>VLOOKUP(Table__192.168.1.150_M_CONSOLIDATED_Delinquency_Compulsory_EOM[[#This Row],[Client No]],'Global Portfolio'!$B$2:$N$2500,10,FALSE)</f>
        <v>Wholesale Trade</v>
      </c>
      <c r="AA144" s="105" t="str">
        <f>VLOOKUP(Table__192.168.1.150_M_CONSOLIDATED_Delinquency_Compulsory_EOM[[#This Row],[Client No]],'Global Portfolio'!$B$2:$N$2500,11,FALSE)</f>
        <v>Durable Goods</v>
      </c>
      <c r="AB144" s="105" t="str">
        <f>VLOOKUP(Table__192.168.1.150_M_CONSOLIDATED_Delinquency_Compulsory_EOM[[#This Row],[Client No]],'Global Portfolio'!$B$2:$N$2500,12,FALSE)</f>
        <v>Hardware, &amp; Plumbing &amp; Heating Equipment</v>
      </c>
    </row>
    <row r="145" spans="1:28" x14ac:dyDescent="0.25">
      <c r="A145">
        <v>102491</v>
      </c>
      <c r="B145" t="s">
        <v>105</v>
      </c>
      <c r="C145" t="s">
        <v>264</v>
      </c>
      <c r="D145" t="s">
        <v>1282</v>
      </c>
      <c r="E145">
        <v>-24</v>
      </c>
      <c r="F145">
        <v>10000000</v>
      </c>
      <c r="G145">
        <v>6376301.0800000001</v>
      </c>
      <c r="H145">
        <v>524122.52</v>
      </c>
      <c r="I145" t="s">
        <v>5167</v>
      </c>
      <c r="J145">
        <v>14187.89</v>
      </c>
      <c r="K145">
        <v>1000000</v>
      </c>
      <c r="L145">
        <v>42508.67</v>
      </c>
      <c r="M145">
        <v>8910082.9399999995</v>
      </c>
      <c r="N145" s="143">
        <v>42462.467640393515</v>
      </c>
      <c r="O145" s="143">
        <v>43549</v>
      </c>
      <c r="P145" t="s">
        <v>265</v>
      </c>
      <c r="Q145" t="s">
        <v>266</v>
      </c>
      <c r="R145" t="s">
        <v>1280</v>
      </c>
      <c r="S145" t="s">
        <v>1510</v>
      </c>
      <c r="T145">
        <v>48</v>
      </c>
      <c r="U145">
        <f>IF(Table__192.168.1.150_M_CONSOLIDATED_Delinquency_Compulsory_EOM[[#This Row],[Days in Arrears]] &lt; 8, Table__192.168.1.150_M_CONSOLIDATED_Delinquency_Compulsory_EOM[[#This Row],[Outstanding Balance]], 0 )</f>
        <v>6376301.0800000001</v>
      </c>
      <c r="V1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 s="105" t="str">
        <f>VLOOKUP(Table__192.168.1.150_M_CONSOLIDATED_Delinquency_Compulsory_EOM[[#This Row],[Client No]],'Global Portfolio'!$B$2:$N$2500,10,FALSE)</f>
        <v>Retail</v>
      </c>
      <c r="AA145" s="105" t="str">
        <f>VLOOKUP(Table__192.168.1.150_M_CONSOLIDATED_Delinquency_Compulsory_EOM[[#This Row],[Client No]],'Global Portfolio'!$B$2:$N$2500,11,FALSE)</f>
        <v>Others</v>
      </c>
      <c r="AB145" s="105" t="str">
        <f>VLOOKUP(Table__192.168.1.150_M_CONSOLIDATED_Delinquency_Compulsory_EOM[[#This Row],[Client No]],'Global Portfolio'!$B$2:$N$2500,12,FALSE)</f>
        <v>Others</v>
      </c>
    </row>
    <row r="146" spans="1:28" x14ac:dyDescent="0.25">
      <c r="A146">
        <v>102492</v>
      </c>
      <c r="B146" t="s">
        <v>529</v>
      </c>
      <c r="C146" t="s">
        <v>531</v>
      </c>
      <c r="D146" t="s">
        <v>1841</v>
      </c>
      <c r="E146">
        <v>137</v>
      </c>
      <c r="F146">
        <v>43994828.359999999</v>
      </c>
      <c r="G146">
        <v>33457718.48</v>
      </c>
      <c r="H146">
        <v>2034694.43</v>
      </c>
      <c r="I146" t="s">
        <v>90</v>
      </c>
      <c r="J146">
        <v>0</v>
      </c>
      <c r="K146">
        <v>0</v>
      </c>
      <c r="L146">
        <v>1976534.22</v>
      </c>
      <c r="M146">
        <v>46797972.090000004</v>
      </c>
      <c r="N146" s="143">
        <v>42464.513811076387</v>
      </c>
      <c r="O146" s="143">
        <v>43569</v>
      </c>
      <c r="P146" t="s">
        <v>532</v>
      </c>
      <c r="Q146" t="s">
        <v>533</v>
      </c>
      <c r="R146" t="s">
        <v>1280</v>
      </c>
      <c r="S146" t="s">
        <v>1510</v>
      </c>
      <c r="T146">
        <v>36</v>
      </c>
      <c r="U146">
        <f>IF(Table__192.168.1.150_M_CONSOLIDATED_Delinquency_Compulsory_EOM[[#This Row],[Days in Arrears]] &lt; 8, Table__192.168.1.150_M_CONSOLIDATED_Delinquency_Compulsory_EOM[[#This Row],[Outstanding Balance]], 0 )</f>
        <v>0</v>
      </c>
      <c r="V1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33457718.48</v>
      </c>
      <c r="Z146" s="105" t="str">
        <f>VLOOKUP(Table__192.168.1.150_M_CONSOLIDATED_Delinquency_Compulsory_EOM[[#This Row],[Client No]],'Global Portfolio'!$B$2:$N$2500,10,FALSE)</f>
        <v>Retail</v>
      </c>
      <c r="AA146" s="105" t="str">
        <f>VLOOKUP(Table__192.168.1.150_M_CONSOLIDATED_Delinquency_Compulsory_EOM[[#This Row],[Client No]],'Global Portfolio'!$B$2:$N$2500,11,FALSE)</f>
        <v>General Merchandise Stores</v>
      </c>
      <c r="AB146" s="105" t="str">
        <f>VLOOKUP(Table__192.168.1.150_M_CONSOLIDATED_Delinquency_Compulsory_EOM[[#This Row],[Client No]],'Global Portfolio'!$B$2:$N$2500,12,FALSE)</f>
        <v>General Stores</v>
      </c>
    </row>
    <row r="147" spans="1:28" x14ac:dyDescent="0.25">
      <c r="A147">
        <v>102495</v>
      </c>
      <c r="B147" t="s">
        <v>1557</v>
      </c>
      <c r="C147" t="s">
        <v>1579</v>
      </c>
      <c r="D147" t="s">
        <v>1283</v>
      </c>
      <c r="E147">
        <v>-10</v>
      </c>
      <c r="F147">
        <v>33000000</v>
      </c>
      <c r="G147">
        <v>20889698.109999999</v>
      </c>
      <c r="H147">
        <v>1518862.71</v>
      </c>
      <c r="I147" t="s">
        <v>5725</v>
      </c>
      <c r="J147">
        <v>0</v>
      </c>
      <c r="K147">
        <v>0</v>
      </c>
      <c r="L147">
        <v>396904.26</v>
      </c>
      <c r="M147">
        <v>27339528.699999999</v>
      </c>
      <c r="N147" s="143">
        <v>42466.533940740737</v>
      </c>
      <c r="O147" s="143">
        <v>43566</v>
      </c>
      <c r="P147" t="s">
        <v>1580</v>
      </c>
      <c r="Q147" t="s">
        <v>1280</v>
      </c>
      <c r="R147" t="s">
        <v>1581</v>
      </c>
      <c r="S147" t="s">
        <v>1510</v>
      </c>
      <c r="T147">
        <v>36</v>
      </c>
      <c r="U147">
        <f>IF(Table__192.168.1.150_M_CONSOLIDATED_Delinquency_Compulsory_EOM[[#This Row],[Days in Arrears]] &lt; 8, Table__192.168.1.150_M_CONSOLIDATED_Delinquency_Compulsory_EOM[[#This Row],[Outstanding Balance]], 0 )</f>
        <v>20889698.109999999</v>
      </c>
      <c r="V1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 s="105" t="str">
        <f>VLOOKUP(Table__192.168.1.150_M_CONSOLIDATED_Delinquency_Compulsory_EOM[[#This Row],[Client No]],'Global Portfolio'!$B$2:$N$2500,10,FALSE)</f>
        <v>Retail</v>
      </c>
      <c r="AA147" s="105" t="str">
        <f>VLOOKUP(Table__192.168.1.150_M_CONSOLIDATED_Delinquency_Compulsory_EOM[[#This Row],[Client No]],'Global Portfolio'!$B$2:$N$2500,11,FALSE)</f>
        <v>Miscellaneous Store Retailers</v>
      </c>
      <c r="AB147" s="105" t="str">
        <f>VLOOKUP(Table__192.168.1.150_M_CONSOLIDATED_Delinquency_Compulsory_EOM[[#This Row],[Client No]],'Global Portfolio'!$B$2:$N$2500,12,FALSE)</f>
        <v>Others</v>
      </c>
    </row>
    <row r="148" spans="1:28" x14ac:dyDescent="0.25">
      <c r="A148">
        <v>102501</v>
      </c>
      <c r="B148" t="s">
        <v>510</v>
      </c>
      <c r="C148" t="s">
        <v>511</v>
      </c>
      <c r="D148" t="s">
        <v>1281</v>
      </c>
      <c r="E148">
        <v>-8</v>
      </c>
      <c r="F148">
        <v>15500000</v>
      </c>
      <c r="G148">
        <v>11412255.83</v>
      </c>
      <c r="H148">
        <v>710673.46</v>
      </c>
      <c r="I148" t="s">
        <v>5725</v>
      </c>
      <c r="J148">
        <v>317925.68</v>
      </c>
      <c r="K148">
        <v>0</v>
      </c>
      <c r="L148">
        <v>279600.27</v>
      </c>
      <c r="M148">
        <v>17056163.399999999</v>
      </c>
      <c r="N148" s="143">
        <v>42468.689994479166</v>
      </c>
      <c r="O148" s="143">
        <v>43747</v>
      </c>
      <c r="P148" t="s">
        <v>512</v>
      </c>
      <c r="Q148" t="s">
        <v>513</v>
      </c>
      <c r="R148" t="s">
        <v>1280</v>
      </c>
      <c r="S148" t="s">
        <v>1510</v>
      </c>
      <c r="T148">
        <v>42</v>
      </c>
      <c r="U148">
        <f>IF(Table__192.168.1.150_M_CONSOLIDATED_Delinquency_Compulsory_EOM[[#This Row],[Days in Arrears]] &lt; 8, Table__192.168.1.150_M_CONSOLIDATED_Delinquency_Compulsory_EOM[[#This Row],[Outstanding Balance]], 0 )</f>
        <v>11412255.83</v>
      </c>
      <c r="V1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 s="105" t="str">
        <f>VLOOKUP(Table__192.168.1.150_M_CONSOLIDATED_Delinquency_Compulsory_EOM[[#This Row],[Client No]],'Global Portfolio'!$B$2:$N$2500,10,FALSE)</f>
        <v>Retail</v>
      </c>
      <c r="AA148" s="105" t="str">
        <f>VLOOKUP(Table__192.168.1.150_M_CONSOLIDATED_Delinquency_Compulsory_EOM[[#This Row],[Client No]],'Global Portfolio'!$B$2:$N$2500,11,FALSE)</f>
        <v>Others</v>
      </c>
      <c r="AB148" s="105" t="str">
        <f>VLOOKUP(Table__192.168.1.150_M_CONSOLIDATED_Delinquency_Compulsory_EOM[[#This Row],[Client No]],'Global Portfolio'!$B$2:$N$2500,12,FALSE)</f>
        <v>Others</v>
      </c>
    </row>
    <row r="149" spans="1:28" x14ac:dyDescent="0.25">
      <c r="A149">
        <v>102505</v>
      </c>
      <c r="B149" t="s">
        <v>556</v>
      </c>
      <c r="C149" t="s">
        <v>557</v>
      </c>
      <c r="D149" t="s">
        <v>1284</v>
      </c>
      <c r="E149">
        <v>30</v>
      </c>
      <c r="F149">
        <v>40000000</v>
      </c>
      <c r="G149">
        <v>31416972.079999998</v>
      </c>
      <c r="H149">
        <v>1570814.94</v>
      </c>
      <c r="I149" t="s">
        <v>1039</v>
      </c>
      <c r="J149">
        <v>0</v>
      </c>
      <c r="K149">
        <v>0</v>
      </c>
      <c r="L149">
        <v>1835380.48</v>
      </c>
      <c r="M149">
        <v>47923031.780000001</v>
      </c>
      <c r="N149" s="143">
        <v>42469.519066898145</v>
      </c>
      <c r="O149" s="143">
        <v>43922</v>
      </c>
      <c r="P149" t="s">
        <v>558</v>
      </c>
      <c r="Q149" t="s">
        <v>1280</v>
      </c>
      <c r="R149" t="s">
        <v>1280</v>
      </c>
      <c r="S149" t="s">
        <v>1510</v>
      </c>
      <c r="T149">
        <v>36</v>
      </c>
      <c r="U149">
        <f>IF(Table__192.168.1.150_M_CONSOLIDATED_Delinquency_Compulsory_EOM[[#This Row],[Days in Arrears]] &lt; 8, Table__192.168.1.150_M_CONSOLIDATED_Delinquency_Compulsory_EOM[[#This Row],[Outstanding Balance]], 0 )</f>
        <v>0</v>
      </c>
      <c r="V1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31416972.079999998</v>
      </c>
      <c r="X1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9" s="105" t="str">
        <f>VLOOKUP(Table__192.168.1.150_M_CONSOLIDATED_Delinquency_Compulsory_EOM[[#This Row],[Client No]],'Global Portfolio'!$B$2:$N$2500,10,FALSE)</f>
        <v>Real Estate and Rental</v>
      </c>
      <c r="AA149" s="105" t="str">
        <f>VLOOKUP(Table__192.168.1.150_M_CONSOLIDATED_Delinquency_Compulsory_EOM[[#This Row],[Client No]],'Global Portfolio'!$B$2:$N$2500,11,FALSE)</f>
        <v>Rental</v>
      </c>
      <c r="AB149" s="105" t="str">
        <f>VLOOKUP(Table__192.168.1.150_M_CONSOLIDATED_Delinquency_Compulsory_EOM[[#This Row],[Client No]],'Global Portfolio'!$B$2:$N$2500,12,FALSE)</f>
        <v>General Rental Centers</v>
      </c>
    </row>
    <row r="150" spans="1:28" x14ac:dyDescent="0.25">
      <c r="A150">
        <v>102513</v>
      </c>
      <c r="B150" t="s">
        <v>1926</v>
      </c>
      <c r="C150" t="s">
        <v>1927</v>
      </c>
      <c r="D150" t="s">
        <v>1281</v>
      </c>
      <c r="E150">
        <v>-19</v>
      </c>
      <c r="F150">
        <v>15500000</v>
      </c>
      <c r="G150">
        <v>5363295.7699999996</v>
      </c>
      <c r="H150">
        <v>1023112.53</v>
      </c>
      <c r="I150" t="s">
        <v>5167</v>
      </c>
      <c r="J150">
        <v>0</v>
      </c>
      <c r="K150">
        <v>1162500</v>
      </c>
      <c r="L150">
        <v>71510.61</v>
      </c>
      <c r="M150">
        <v>6138675.0199999996</v>
      </c>
      <c r="N150" s="143">
        <v>42475.657613773146</v>
      </c>
      <c r="O150" s="143">
        <v>43210</v>
      </c>
      <c r="P150" t="s">
        <v>1928</v>
      </c>
      <c r="Q150" t="s">
        <v>1280</v>
      </c>
      <c r="R150" t="s">
        <v>1280</v>
      </c>
      <c r="S150" t="s">
        <v>1510</v>
      </c>
      <c r="T150">
        <v>48</v>
      </c>
      <c r="U150">
        <f>IF(Table__192.168.1.150_M_CONSOLIDATED_Delinquency_Compulsory_EOM[[#This Row],[Days in Arrears]] &lt; 8, Table__192.168.1.150_M_CONSOLIDATED_Delinquency_Compulsory_EOM[[#This Row],[Outstanding Balance]], 0 )</f>
        <v>5363295.7699999996</v>
      </c>
      <c r="V1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0" s="105" t="str">
        <f>VLOOKUP(Table__192.168.1.150_M_CONSOLIDATED_Delinquency_Compulsory_EOM[[#This Row],[Client No]],'Global Portfolio'!$B$2:$N$2500,10,FALSE)</f>
        <v>Real Estate and Rental</v>
      </c>
      <c r="AA150" s="105" t="str">
        <f>VLOOKUP(Table__192.168.1.150_M_CONSOLIDATED_Delinquency_Compulsory_EOM[[#This Row],[Client No]],'Global Portfolio'!$B$2:$N$2500,11,FALSE)</f>
        <v>Rental</v>
      </c>
      <c r="AB150" s="105" t="str">
        <f>VLOOKUP(Table__192.168.1.150_M_CONSOLIDATED_Delinquency_Compulsory_EOM[[#This Row],[Client No]],'Global Portfolio'!$B$2:$N$2500,12,FALSE)</f>
        <v>Others</v>
      </c>
    </row>
    <row r="151" spans="1:28" x14ac:dyDescent="0.25">
      <c r="A151">
        <v>102514</v>
      </c>
      <c r="B151" t="s">
        <v>327</v>
      </c>
      <c r="C151" t="s">
        <v>330</v>
      </c>
      <c r="D151" t="s">
        <v>1283</v>
      </c>
      <c r="E151">
        <v>-4</v>
      </c>
      <c r="F151">
        <v>35000000</v>
      </c>
      <c r="G151">
        <v>11086796.439999999</v>
      </c>
      <c r="H151">
        <v>2046594.9</v>
      </c>
      <c r="I151" t="s">
        <v>90</v>
      </c>
      <c r="J151">
        <v>0</v>
      </c>
      <c r="K151">
        <v>1750000</v>
      </c>
      <c r="L151">
        <v>277169.90999999997</v>
      </c>
      <c r="M151">
        <v>12279569.460000001</v>
      </c>
      <c r="N151" s="143">
        <v>42475.673721840278</v>
      </c>
      <c r="O151" s="143">
        <v>43195</v>
      </c>
      <c r="P151" t="s">
        <v>331</v>
      </c>
      <c r="Q151" t="s">
        <v>332</v>
      </c>
      <c r="R151" t="s">
        <v>1280</v>
      </c>
      <c r="S151" t="s">
        <v>1510</v>
      </c>
      <c r="T151">
        <v>36</v>
      </c>
      <c r="U151">
        <f>IF(Table__192.168.1.150_M_CONSOLIDATED_Delinquency_Compulsory_EOM[[#This Row],[Days in Arrears]] &lt; 8, Table__192.168.1.150_M_CONSOLIDATED_Delinquency_Compulsory_EOM[[#This Row],[Outstanding Balance]], 0 )</f>
        <v>11086796.439999999</v>
      </c>
      <c r="V1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1" s="105" t="str">
        <f>VLOOKUP(Table__192.168.1.150_M_CONSOLIDATED_Delinquency_Compulsory_EOM[[#This Row],[Client No]],'Global Portfolio'!$B$2:$N$2500,10,FALSE)</f>
        <v>Retail</v>
      </c>
      <c r="AA151" s="105" t="str">
        <f>VLOOKUP(Table__192.168.1.150_M_CONSOLIDATED_Delinquency_Compulsory_EOM[[#This Row],[Client No]],'Global Portfolio'!$B$2:$N$2500,11,FALSE)</f>
        <v>Building Material and Garden Equipment</v>
      </c>
      <c r="AB151" s="105" t="str">
        <f>VLOOKUP(Table__192.168.1.150_M_CONSOLIDATED_Delinquency_Compulsory_EOM[[#This Row],[Client No]],'Global Portfolio'!$B$2:$N$2500,12,FALSE)</f>
        <v>Cement Store</v>
      </c>
    </row>
    <row r="152" spans="1:28" x14ac:dyDescent="0.25">
      <c r="A152">
        <v>102521</v>
      </c>
      <c r="B152" t="s">
        <v>1423</v>
      </c>
      <c r="C152" t="s">
        <v>1424</v>
      </c>
      <c r="D152" t="s">
        <v>1283</v>
      </c>
      <c r="E152">
        <v>102</v>
      </c>
      <c r="F152">
        <v>33530386</v>
      </c>
      <c r="G152">
        <v>11930860.960000001</v>
      </c>
      <c r="H152">
        <v>2249392.37</v>
      </c>
      <c r="I152" t="s">
        <v>86</v>
      </c>
      <c r="J152">
        <v>0</v>
      </c>
      <c r="K152">
        <v>0</v>
      </c>
      <c r="L152">
        <v>298745.19</v>
      </c>
      <c r="M152">
        <v>12876264.390000001</v>
      </c>
      <c r="N152" s="143">
        <v>42481.618425196757</v>
      </c>
      <c r="O152" s="143">
        <v>43088</v>
      </c>
      <c r="P152" t="s">
        <v>1425</v>
      </c>
      <c r="Q152" t="s">
        <v>1426</v>
      </c>
      <c r="R152" t="s">
        <v>1280</v>
      </c>
      <c r="S152" t="s">
        <v>1510</v>
      </c>
      <c r="T152">
        <v>36</v>
      </c>
      <c r="U152">
        <f>IF(Table__192.168.1.150_M_CONSOLIDATED_Delinquency_Compulsory_EOM[[#This Row],[Days in Arrears]] &lt; 8, Table__192.168.1.150_M_CONSOLIDATED_Delinquency_Compulsory_EOM[[#This Row],[Outstanding Balance]], 0 )</f>
        <v>0</v>
      </c>
      <c r="V1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11930860.960000001</v>
      </c>
      <c r="Z152" s="105" t="str">
        <f>VLOOKUP(Table__192.168.1.150_M_CONSOLIDATED_Delinquency_Compulsory_EOM[[#This Row],[Client No]],'Global Portfolio'!$B$2:$N$2500,10,FALSE)</f>
        <v>Educational Services</v>
      </c>
      <c r="AA152" s="105" t="str">
        <f>VLOOKUP(Table__192.168.1.150_M_CONSOLIDATED_Delinquency_Compulsory_EOM[[#This Row],[Client No]],'Global Portfolio'!$B$2:$N$2500,11,FALSE)</f>
        <v>Educational Services</v>
      </c>
      <c r="AB152" s="105" t="str">
        <f>VLOOKUP(Table__192.168.1.150_M_CONSOLIDATED_Delinquency_Compulsory_EOM[[#This Row],[Client No]],'Global Portfolio'!$B$2:$N$2500,12,FALSE)</f>
        <v>Others</v>
      </c>
    </row>
    <row r="153" spans="1:28" x14ac:dyDescent="0.25">
      <c r="A153">
        <v>102528</v>
      </c>
      <c r="B153" t="s">
        <v>524</v>
      </c>
      <c r="C153" t="s">
        <v>525</v>
      </c>
      <c r="D153" t="s">
        <v>1284</v>
      </c>
      <c r="E153">
        <v>-22</v>
      </c>
      <c r="F153">
        <v>41000000</v>
      </c>
      <c r="G153">
        <v>31805415.109999999</v>
      </c>
      <c r="H153">
        <v>1622688.73</v>
      </c>
      <c r="I153" t="s">
        <v>1039</v>
      </c>
      <c r="J153">
        <v>135614.51</v>
      </c>
      <c r="K153">
        <v>2050000</v>
      </c>
      <c r="L153">
        <v>222637.91</v>
      </c>
      <c r="M153">
        <v>48680661.460000001</v>
      </c>
      <c r="N153" s="143">
        <v>42483.508859837966</v>
      </c>
      <c r="O153" s="143">
        <v>43944</v>
      </c>
      <c r="P153" t="s">
        <v>526</v>
      </c>
      <c r="Q153" t="s">
        <v>1280</v>
      </c>
      <c r="R153" t="s">
        <v>1280</v>
      </c>
      <c r="S153" t="s">
        <v>1510</v>
      </c>
      <c r="T153">
        <v>36</v>
      </c>
      <c r="U153">
        <f>IF(Table__192.168.1.150_M_CONSOLIDATED_Delinquency_Compulsory_EOM[[#This Row],[Days in Arrears]] &lt; 8, Table__192.168.1.150_M_CONSOLIDATED_Delinquency_Compulsory_EOM[[#This Row],[Outstanding Balance]], 0 )</f>
        <v>31805415.109999999</v>
      </c>
      <c r="V1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3" s="105" t="str">
        <f>VLOOKUP(Table__192.168.1.150_M_CONSOLIDATED_Delinquency_Compulsory_EOM[[#This Row],[Client No]],'Global Portfolio'!$B$2:$N$2500,10,FALSE)</f>
        <v>Real Estate and Rental</v>
      </c>
      <c r="AA153" s="105" t="str">
        <f>VLOOKUP(Table__192.168.1.150_M_CONSOLIDATED_Delinquency_Compulsory_EOM[[#This Row],[Client No]],'Global Portfolio'!$B$2:$N$2500,11,FALSE)</f>
        <v>Rental</v>
      </c>
      <c r="AB153" s="105" t="str">
        <f>VLOOKUP(Table__192.168.1.150_M_CONSOLIDATED_Delinquency_Compulsory_EOM[[#This Row],[Client No]],'Global Portfolio'!$B$2:$N$2500,12,FALSE)</f>
        <v>Others</v>
      </c>
    </row>
    <row r="154" spans="1:28" x14ac:dyDescent="0.25">
      <c r="A154">
        <v>102531</v>
      </c>
      <c r="B154" t="s">
        <v>392</v>
      </c>
      <c r="C154" t="s">
        <v>395</v>
      </c>
      <c r="D154" t="s">
        <v>1284</v>
      </c>
      <c r="E154">
        <v>-4</v>
      </c>
      <c r="F154">
        <v>41000000</v>
      </c>
      <c r="G154">
        <v>32738052.57</v>
      </c>
      <c r="H154">
        <v>1636867.56</v>
      </c>
      <c r="I154" t="s">
        <v>1467</v>
      </c>
      <c r="J154">
        <v>0</v>
      </c>
      <c r="K154">
        <v>2050000</v>
      </c>
      <c r="L154">
        <v>818451.31</v>
      </c>
      <c r="M154">
        <v>50742894.299999997</v>
      </c>
      <c r="N154" s="143">
        <v>42486.576036574072</v>
      </c>
      <c r="O154" s="143">
        <v>43956</v>
      </c>
      <c r="P154" t="s">
        <v>396</v>
      </c>
      <c r="Q154" t="s">
        <v>397</v>
      </c>
      <c r="R154" t="s">
        <v>1280</v>
      </c>
      <c r="S154" t="s">
        <v>1510</v>
      </c>
      <c r="T154">
        <v>36</v>
      </c>
      <c r="U154">
        <f>IF(Table__192.168.1.150_M_CONSOLIDATED_Delinquency_Compulsory_EOM[[#This Row],[Days in Arrears]] &lt; 8, Table__192.168.1.150_M_CONSOLIDATED_Delinquency_Compulsory_EOM[[#This Row],[Outstanding Balance]], 0 )</f>
        <v>32738052.57</v>
      </c>
      <c r="V1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4" s="105" t="str">
        <f>VLOOKUP(Table__192.168.1.150_M_CONSOLIDATED_Delinquency_Compulsory_EOM[[#This Row],[Client No]],'Global Portfolio'!$B$2:$N$2500,10,FALSE)</f>
        <v>Real Estate and Rental</v>
      </c>
      <c r="AA154" s="105" t="str">
        <f>VLOOKUP(Table__192.168.1.150_M_CONSOLIDATED_Delinquency_Compulsory_EOM[[#This Row],[Client No]],'Global Portfolio'!$B$2:$N$2500,11,FALSE)</f>
        <v>Rental</v>
      </c>
      <c r="AB154" s="105" t="str">
        <f>VLOOKUP(Table__192.168.1.150_M_CONSOLIDATED_Delinquency_Compulsory_EOM[[#This Row],[Client No]],'Global Portfolio'!$B$2:$N$2500,12,FALSE)</f>
        <v>General Rental Centers</v>
      </c>
    </row>
    <row r="155" spans="1:28" x14ac:dyDescent="0.25">
      <c r="A155">
        <v>102539</v>
      </c>
      <c r="B155" t="s">
        <v>1960</v>
      </c>
      <c r="C155" t="s">
        <v>1961</v>
      </c>
      <c r="D155" t="s">
        <v>1284</v>
      </c>
      <c r="E155">
        <v>26</v>
      </c>
      <c r="F155">
        <v>17000000</v>
      </c>
      <c r="G155">
        <v>7254424.5099999998</v>
      </c>
      <c r="H155">
        <v>1048020.9</v>
      </c>
      <c r="I155" t="s">
        <v>1039</v>
      </c>
      <c r="J155">
        <v>0</v>
      </c>
      <c r="K155">
        <v>0</v>
      </c>
      <c r="L155">
        <v>420931.31</v>
      </c>
      <c r="M155">
        <v>8384167.2599999998</v>
      </c>
      <c r="N155" s="143">
        <v>42488.521989930552</v>
      </c>
      <c r="O155" s="143">
        <v>43225</v>
      </c>
      <c r="P155" t="s">
        <v>1962</v>
      </c>
      <c r="Q155" t="s">
        <v>1280</v>
      </c>
      <c r="R155" t="s">
        <v>1280</v>
      </c>
      <c r="S155" t="s">
        <v>1510</v>
      </c>
      <c r="T155">
        <v>40</v>
      </c>
      <c r="U155">
        <f>IF(Table__192.168.1.150_M_CONSOLIDATED_Delinquency_Compulsory_EOM[[#This Row],[Days in Arrears]] &lt; 8, Table__192.168.1.150_M_CONSOLIDATED_Delinquency_Compulsory_EOM[[#This Row],[Outstanding Balance]], 0 )</f>
        <v>0</v>
      </c>
      <c r="V1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7254424.5099999998</v>
      </c>
      <c r="W1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5" s="105" t="str">
        <f>VLOOKUP(Table__192.168.1.150_M_CONSOLIDATED_Delinquency_Compulsory_EOM[[#This Row],[Client No]],'Global Portfolio'!$B$2:$N$2500,10,FALSE)</f>
        <v>Retail</v>
      </c>
      <c r="AA155" s="105" t="str">
        <f>VLOOKUP(Table__192.168.1.150_M_CONSOLIDATED_Delinquency_Compulsory_EOM[[#This Row],[Client No]],'Global Portfolio'!$B$2:$N$2500,11,FALSE)</f>
        <v>Furniture and Home Furnishings Stores</v>
      </c>
      <c r="AB155" s="105" t="str">
        <f>VLOOKUP(Table__192.168.1.150_M_CONSOLIDATED_Delinquency_Compulsory_EOM[[#This Row],[Client No]],'Global Portfolio'!$B$2:$N$2500,12,FALSE)</f>
        <v>Others</v>
      </c>
    </row>
    <row r="156" spans="1:28" x14ac:dyDescent="0.25">
      <c r="A156">
        <v>102542</v>
      </c>
      <c r="B156" t="s">
        <v>1963</v>
      </c>
      <c r="C156" t="s">
        <v>1964</v>
      </c>
      <c r="D156" t="s">
        <v>1283</v>
      </c>
      <c r="E156">
        <v>-4</v>
      </c>
      <c r="F156">
        <v>41000000</v>
      </c>
      <c r="G156">
        <v>33251222.120000001</v>
      </c>
      <c r="H156">
        <v>1736895.47</v>
      </c>
      <c r="I156" t="s">
        <v>86</v>
      </c>
      <c r="J156">
        <v>0</v>
      </c>
      <c r="K156">
        <v>0</v>
      </c>
      <c r="L156">
        <v>1035908.54</v>
      </c>
      <c r="M156">
        <v>53843759.75</v>
      </c>
      <c r="N156" s="143">
        <v>42488.616505902777</v>
      </c>
      <c r="O156" s="143">
        <v>43956</v>
      </c>
      <c r="P156" t="s">
        <v>1965</v>
      </c>
      <c r="Q156" t="s">
        <v>1280</v>
      </c>
      <c r="R156" t="s">
        <v>1280</v>
      </c>
      <c r="S156" t="s">
        <v>1510</v>
      </c>
      <c r="T156">
        <v>40</v>
      </c>
      <c r="U156">
        <f>IF(Table__192.168.1.150_M_CONSOLIDATED_Delinquency_Compulsory_EOM[[#This Row],[Days in Arrears]] &lt; 8, Table__192.168.1.150_M_CONSOLIDATED_Delinquency_Compulsory_EOM[[#This Row],[Outstanding Balance]], 0 )</f>
        <v>33251222.120000001</v>
      </c>
      <c r="V1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6" s="105" t="str">
        <f>VLOOKUP(Table__192.168.1.150_M_CONSOLIDATED_Delinquency_Compulsory_EOM[[#This Row],[Client No]],'Global Portfolio'!$B$2:$N$2500,10,FALSE)</f>
        <v>Real Estate and Rental</v>
      </c>
      <c r="AA156" s="105" t="str">
        <f>VLOOKUP(Table__192.168.1.150_M_CONSOLIDATED_Delinquency_Compulsory_EOM[[#This Row],[Client No]],'Global Portfolio'!$B$2:$N$2500,11,FALSE)</f>
        <v>Rental</v>
      </c>
      <c r="AB156" s="105" t="str">
        <f>VLOOKUP(Table__192.168.1.150_M_CONSOLIDATED_Delinquency_Compulsory_EOM[[#This Row],[Client No]],'Global Portfolio'!$B$2:$N$2500,12,FALSE)</f>
        <v>Others</v>
      </c>
    </row>
    <row r="157" spans="1:28" x14ac:dyDescent="0.25">
      <c r="A157">
        <v>102543</v>
      </c>
      <c r="B157" t="s">
        <v>482</v>
      </c>
      <c r="C157" t="s">
        <v>483</v>
      </c>
      <c r="D157" t="s">
        <v>1279</v>
      </c>
      <c r="E157">
        <v>176</v>
      </c>
      <c r="F157">
        <v>4000000</v>
      </c>
      <c r="G157">
        <v>413493.89</v>
      </c>
      <c r="H157">
        <v>430033.64</v>
      </c>
      <c r="I157" t="s">
        <v>5725</v>
      </c>
      <c r="J157">
        <v>0</v>
      </c>
      <c r="K157">
        <v>0</v>
      </c>
      <c r="L157">
        <v>16539.759999999998</v>
      </c>
      <c r="M157">
        <v>430033.65</v>
      </c>
      <c r="N157" s="143">
        <v>42488.684151504633</v>
      </c>
      <c r="O157" s="143">
        <v>42860</v>
      </c>
      <c r="P157" t="s">
        <v>484</v>
      </c>
      <c r="Q157" t="s">
        <v>1280</v>
      </c>
      <c r="R157" t="s">
        <v>1280</v>
      </c>
      <c r="S157" t="s">
        <v>1510</v>
      </c>
      <c r="T157">
        <v>48</v>
      </c>
      <c r="U157">
        <f>IF(Table__192.168.1.150_M_CONSOLIDATED_Delinquency_Compulsory_EOM[[#This Row],[Days in Arrears]] &lt; 8, Table__192.168.1.150_M_CONSOLIDATED_Delinquency_Compulsory_EOM[[#This Row],[Outstanding Balance]], 0 )</f>
        <v>0</v>
      </c>
      <c r="V1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413493.89</v>
      </c>
      <c r="Z157" s="105" t="str">
        <f>VLOOKUP(Table__192.168.1.150_M_CONSOLIDATED_Delinquency_Compulsory_EOM[[#This Row],[Client No]],'Global Portfolio'!$B$2:$N$2500,10,FALSE)</f>
        <v>Real Estate and Rental</v>
      </c>
      <c r="AA157" s="105" t="str">
        <f>VLOOKUP(Table__192.168.1.150_M_CONSOLIDATED_Delinquency_Compulsory_EOM[[#This Row],[Client No]],'Global Portfolio'!$B$2:$N$2500,11,FALSE)</f>
        <v>Rental</v>
      </c>
      <c r="AB157" s="105" t="str">
        <f>VLOOKUP(Table__192.168.1.150_M_CONSOLIDATED_Delinquency_Compulsory_EOM[[#This Row],[Client No]],'Global Portfolio'!$B$2:$N$2500,12,FALSE)</f>
        <v>General Rental Centers</v>
      </c>
    </row>
    <row r="158" spans="1:28" x14ac:dyDescent="0.25">
      <c r="A158">
        <v>102544</v>
      </c>
      <c r="B158" t="s">
        <v>1966</v>
      </c>
      <c r="C158" t="s">
        <v>1967</v>
      </c>
      <c r="D158" t="s">
        <v>1284</v>
      </c>
      <c r="E158">
        <v>-23</v>
      </c>
      <c r="F158">
        <v>20500000</v>
      </c>
      <c r="G158">
        <v>6691704.0499999998</v>
      </c>
      <c r="H158">
        <v>1248953.53</v>
      </c>
      <c r="I158" t="s">
        <v>491</v>
      </c>
      <c r="J158">
        <v>990422.05</v>
      </c>
      <c r="K158">
        <v>0</v>
      </c>
      <c r="L158">
        <v>44611.360000000001</v>
      </c>
      <c r="M158">
        <v>7493721.2000000002</v>
      </c>
      <c r="N158" s="143">
        <v>42488.770340856485</v>
      </c>
      <c r="O158" s="143">
        <v>43214</v>
      </c>
      <c r="P158" t="s">
        <v>1968</v>
      </c>
      <c r="Q158" t="s">
        <v>1969</v>
      </c>
      <c r="R158" t="s">
        <v>1280</v>
      </c>
      <c r="S158" t="s">
        <v>1510</v>
      </c>
      <c r="T158">
        <v>40</v>
      </c>
      <c r="U158">
        <f>IF(Table__192.168.1.150_M_CONSOLIDATED_Delinquency_Compulsory_EOM[[#This Row],[Days in Arrears]] &lt; 8, Table__192.168.1.150_M_CONSOLIDATED_Delinquency_Compulsory_EOM[[#This Row],[Outstanding Balance]], 0 )</f>
        <v>6691704.0499999998</v>
      </c>
      <c r="V1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8" s="105" t="str">
        <f>VLOOKUP(Table__192.168.1.150_M_CONSOLIDATED_Delinquency_Compulsory_EOM[[#This Row],[Client No]],'Global Portfolio'!$B$2:$N$2500,10,FALSE)</f>
        <v>Real Estate and Rental</v>
      </c>
      <c r="AA158" s="105" t="str">
        <f>VLOOKUP(Table__192.168.1.150_M_CONSOLIDATED_Delinquency_Compulsory_EOM[[#This Row],[Client No]],'Global Portfolio'!$B$2:$N$2500,11,FALSE)</f>
        <v>Real Estate</v>
      </c>
      <c r="AB158" s="105" t="str">
        <f>VLOOKUP(Table__192.168.1.150_M_CONSOLIDATED_Delinquency_Compulsory_EOM[[#This Row],[Client No]],'Global Portfolio'!$B$2:$N$2500,12,FALSE)</f>
        <v>Real Estate</v>
      </c>
    </row>
    <row r="159" spans="1:28" x14ac:dyDescent="0.25">
      <c r="A159">
        <v>102546</v>
      </c>
      <c r="B159" t="s">
        <v>1262</v>
      </c>
      <c r="C159" t="s">
        <v>1263</v>
      </c>
      <c r="D159" t="s">
        <v>1284</v>
      </c>
      <c r="E159">
        <v>-23</v>
      </c>
      <c r="F159">
        <v>25000000</v>
      </c>
      <c r="G159">
        <v>19299402.359999999</v>
      </c>
      <c r="H159">
        <v>984641.22</v>
      </c>
      <c r="I159" t="s">
        <v>491</v>
      </c>
      <c r="J159">
        <v>14717.48</v>
      </c>
      <c r="K159">
        <v>0</v>
      </c>
      <c r="L159">
        <v>115796.41</v>
      </c>
      <c r="M159">
        <v>29539236.32</v>
      </c>
      <c r="N159" s="143">
        <v>42489.584698958337</v>
      </c>
      <c r="O159" s="143">
        <v>43945</v>
      </c>
      <c r="P159" t="s">
        <v>1264</v>
      </c>
      <c r="Q159" t="s">
        <v>1265</v>
      </c>
      <c r="R159" t="s">
        <v>1280</v>
      </c>
      <c r="S159" t="s">
        <v>1510</v>
      </c>
      <c r="T159">
        <v>36</v>
      </c>
      <c r="U159">
        <f>IF(Table__192.168.1.150_M_CONSOLIDATED_Delinquency_Compulsory_EOM[[#This Row],[Days in Arrears]] &lt; 8, Table__192.168.1.150_M_CONSOLIDATED_Delinquency_Compulsory_EOM[[#This Row],[Outstanding Balance]], 0 )</f>
        <v>19299402.359999999</v>
      </c>
      <c r="V1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59" s="105" t="str">
        <f>VLOOKUP(Table__192.168.1.150_M_CONSOLIDATED_Delinquency_Compulsory_EOM[[#This Row],[Client No]],'Global Portfolio'!$B$2:$N$2500,10,FALSE)</f>
        <v>Educational Services</v>
      </c>
      <c r="AA159" s="105" t="str">
        <f>VLOOKUP(Table__192.168.1.150_M_CONSOLIDATED_Delinquency_Compulsory_EOM[[#This Row],[Client No]],'Global Portfolio'!$B$2:$N$2500,11,FALSE)</f>
        <v>Others</v>
      </c>
      <c r="AB159" s="105" t="str">
        <f>VLOOKUP(Table__192.168.1.150_M_CONSOLIDATED_Delinquency_Compulsory_EOM[[#This Row],[Client No]],'Global Portfolio'!$B$2:$N$2500,12,FALSE)</f>
        <v>Others</v>
      </c>
    </row>
    <row r="160" spans="1:28" x14ac:dyDescent="0.25">
      <c r="A160">
        <v>102547</v>
      </c>
      <c r="B160" t="s">
        <v>100</v>
      </c>
      <c r="C160" t="s">
        <v>258</v>
      </c>
      <c r="D160" t="s">
        <v>1283</v>
      </c>
      <c r="E160">
        <v>0</v>
      </c>
      <c r="F160">
        <v>50000000</v>
      </c>
      <c r="G160">
        <v>32867914.789999999</v>
      </c>
      <c r="H160">
        <v>2294636.6800000002</v>
      </c>
      <c r="I160" t="s">
        <v>1447</v>
      </c>
      <c r="J160">
        <v>0</v>
      </c>
      <c r="K160">
        <v>0</v>
      </c>
      <c r="L160">
        <v>1060892.44</v>
      </c>
      <c r="M160">
        <v>43598096.850000001</v>
      </c>
      <c r="N160" s="143">
        <v>42489.647573229166</v>
      </c>
      <c r="O160" s="143">
        <v>43586</v>
      </c>
      <c r="P160" t="s">
        <v>259</v>
      </c>
      <c r="Q160" t="s">
        <v>260</v>
      </c>
      <c r="R160" t="s">
        <v>1280</v>
      </c>
      <c r="S160" t="s">
        <v>1510</v>
      </c>
      <c r="T160">
        <v>36</v>
      </c>
      <c r="U160">
        <f>IF(Table__192.168.1.150_M_CONSOLIDATED_Delinquency_Compulsory_EOM[[#This Row],[Days in Arrears]] &lt; 8, Table__192.168.1.150_M_CONSOLIDATED_Delinquency_Compulsory_EOM[[#This Row],[Outstanding Balance]], 0 )</f>
        <v>32867914.789999999</v>
      </c>
      <c r="V1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60" s="105" t="str">
        <f>VLOOKUP(Table__192.168.1.150_M_CONSOLIDATED_Delinquency_Compulsory_EOM[[#This Row],[Client No]],'Global Portfolio'!$B$2:$N$2500,10,FALSE)</f>
        <v>Retail</v>
      </c>
      <c r="AA160" s="105" t="str">
        <f>VLOOKUP(Table__192.168.1.150_M_CONSOLIDATED_Delinquency_Compulsory_EOM[[#This Row],[Client No]],'Global Portfolio'!$B$2:$N$2500,11,FALSE)</f>
        <v>General Merchandise Stores</v>
      </c>
      <c r="AB160" s="105" t="str">
        <f>VLOOKUP(Table__192.168.1.150_M_CONSOLIDATED_Delinquency_Compulsory_EOM[[#This Row],[Client No]],'Global Portfolio'!$B$2:$N$2500,12,FALSE)</f>
        <v>General Stores</v>
      </c>
    </row>
    <row r="161" spans="1:28" x14ac:dyDescent="0.25">
      <c r="A161">
        <v>102550</v>
      </c>
      <c r="B161" t="s">
        <v>144</v>
      </c>
      <c r="C161" t="s">
        <v>145</v>
      </c>
      <c r="D161" t="s">
        <v>1283</v>
      </c>
      <c r="E161">
        <v>146</v>
      </c>
      <c r="F161">
        <v>50700000</v>
      </c>
      <c r="G161">
        <v>4124940.56</v>
      </c>
      <c r="H161">
        <v>4790440.0999999996</v>
      </c>
      <c r="I161" t="s">
        <v>5725</v>
      </c>
      <c r="J161">
        <v>0</v>
      </c>
      <c r="K161">
        <v>0</v>
      </c>
      <c r="L161">
        <v>0</v>
      </c>
      <c r="M161">
        <v>4124940.56</v>
      </c>
      <c r="N161" s="143">
        <v>42490.46178020833</v>
      </c>
      <c r="O161" s="143">
        <v>42891</v>
      </c>
      <c r="P161" t="s">
        <v>146</v>
      </c>
      <c r="Q161" t="s">
        <v>1280</v>
      </c>
      <c r="R161" t="s">
        <v>1280</v>
      </c>
      <c r="S161" t="s">
        <v>1510</v>
      </c>
      <c r="T161">
        <v>36</v>
      </c>
      <c r="U161">
        <f>IF(Table__192.168.1.150_M_CONSOLIDATED_Delinquency_Compulsory_EOM[[#This Row],[Days in Arrears]] &lt; 8, Table__192.168.1.150_M_CONSOLIDATED_Delinquency_Compulsory_EOM[[#This Row],[Outstanding Balance]], 0 )</f>
        <v>0</v>
      </c>
      <c r="V1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4124940.56</v>
      </c>
      <c r="Z161" s="105" t="str">
        <f>VLOOKUP(Table__192.168.1.150_M_CONSOLIDATED_Delinquency_Compulsory_EOM[[#This Row],[Client No]],'Global Portfolio'!$B$2:$N$2500,10,FALSE)</f>
        <v>Construction</v>
      </c>
      <c r="AA161" s="105" t="str">
        <f>VLOOKUP(Table__192.168.1.150_M_CONSOLIDATED_Delinquency_Compulsory_EOM[[#This Row],[Client No]],'Global Portfolio'!$B$2:$N$2500,11,FALSE)</f>
        <v>Construction of Buildings</v>
      </c>
      <c r="AB161" s="105" t="str">
        <f>VLOOKUP(Table__192.168.1.150_M_CONSOLIDATED_Delinquency_Compulsory_EOM[[#This Row],[Client No]],'Global Portfolio'!$B$2:$N$2500,12,FALSE)</f>
        <v>Nonresidential Construction</v>
      </c>
    </row>
    <row r="162" spans="1:28" x14ac:dyDescent="0.25">
      <c r="A162">
        <v>102552</v>
      </c>
      <c r="B162" t="s">
        <v>1974</v>
      </c>
      <c r="C162" t="s">
        <v>1975</v>
      </c>
      <c r="D162" t="s">
        <v>1866</v>
      </c>
      <c r="E162">
        <v>145</v>
      </c>
      <c r="F162">
        <v>6500000</v>
      </c>
      <c r="G162">
        <v>4062727.35</v>
      </c>
      <c r="H162">
        <v>437089</v>
      </c>
      <c r="I162" t="s">
        <v>1191</v>
      </c>
      <c r="J162">
        <v>0</v>
      </c>
      <c r="K162">
        <v>0</v>
      </c>
      <c r="L162">
        <v>370269.16</v>
      </c>
      <c r="M162">
        <v>5245068.0599999996</v>
      </c>
      <c r="N162" s="143">
        <v>42490.545032719907</v>
      </c>
      <c r="O162" s="143">
        <v>43226</v>
      </c>
      <c r="P162" t="s">
        <v>1976</v>
      </c>
      <c r="Q162" t="s">
        <v>1280</v>
      </c>
      <c r="R162" t="s">
        <v>1977</v>
      </c>
      <c r="S162" t="s">
        <v>1510</v>
      </c>
      <c r="T162">
        <v>50</v>
      </c>
      <c r="U162">
        <f>IF(Table__192.168.1.150_M_CONSOLIDATED_Delinquency_Compulsory_EOM[[#This Row],[Days in Arrears]] &lt; 8, Table__192.168.1.150_M_CONSOLIDATED_Delinquency_Compulsory_EOM[[#This Row],[Outstanding Balance]], 0 )</f>
        <v>0</v>
      </c>
      <c r="V1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4062727.35</v>
      </c>
      <c r="Z162" s="105" t="str">
        <f>VLOOKUP(Table__192.168.1.150_M_CONSOLIDATED_Delinquency_Compulsory_EOM[[#This Row],[Client No]],'Global Portfolio'!$B$2:$N$2500,10,FALSE)</f>
        <v>Real Estate and Rental</v>
      </c>
      <c r="AA162" s="105" t="str">
        <f>VLOOKUP(Table__192.168.1.150_M_CONSOLIDATED_Delinquency_Compulsory_EOM[[#This Row],[Client No]],'Global Portfolio'!$B$2:$N$2500,11,FALSE)</f>
        <v>Rental</v>
      </c>
      <c r="AB162" s="105" t="str">
        <f>VLOOKUP(Table__192.168.1.150_M_CONSOLIDATED_Delinquency_Compulsory_EOM[[#This Row],[Client No]],'Global Portfolio'!$B$2:$N$2500,12,FALSE)</f>
        <v>Others</v>
      </c>
    </row>
    <row r="163" spans="1:28" x14ac:dyDescent="0.25">
      <c r="A163">
        <v>102558</v>
      </c>
      <c r="B163" t="s">
        <v>1978</v>
      </c>
      <c r="C163" t="s">
        <v>1979</v>
      </c>
      <c r="D163" t="s">
        <v>1284</v>
      </c>
      <c r="E163">
        <v>-7</v>
      </c>
      <c r="F163">
        <v>35000000</v>
      </c>
      <c r="G163">
        <v>28415483.350000001</v>
      </c>
      <c r="H163">
        <v>1484298.05</v>
      </c>
      <c r="I163" t="s">
        <v>1467</v>
      </c>
      <c r="J163">
        <v>672.38</v>
      </c>
      <c r="K163">
        <v>1750000</v>
      </c>
      <c r="L163">
        <v>694600.7</v>
      </c>
      <c r="M163">
        <v>46013239.890000001</v>
      </c>
      <c r="N163" s="143">
        <v>42490.691256134261</v>
      </c>
      <c r="O163" s="143">
        <v>43959</v>
      </c>
      <c r="P163" t="s">
        <v>1980</v>
      </c>
      <c r="Q163" t="s">
        <v>1280</v>
      </c>
      <c r="R163" t="s">
        <v>1280</v>
      </c>
      <c r="S163" t="s">
        <v>1510</v>
      </c>
      <c r="T163">
        <v>40</v>
      </c>
      <c r="U163">
        <f>IF(Table__192.168.1.150_M_CONSOLIDATED_Delinquency_Compulsory_EOM[[#This Row],[Days in Arrears]] &lt; 8, Table__192.168.1.150_M_CONSOLIDATED_Delinquency_Compulsory_EOM[[#This Row],[Outstanding Balance]], 0 )</f>
        <v>28415483.350000001</v>
      </c>
      <c r="V1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63" s="105" t="str">
        <f>VLOOKUP(Table__192.168.1.150_M_CONSOLIDATED_Delinquency_Compulsory_EOM[[#This Row],[Client No]],'Global Portfolio'!$B$2:$N$2500,10,FALSE)</f>
        <v>Retail</v>
      </c>
      <c r="AA163" s="105" t="str">
        <f>VLOOKUP(Table__192.168.1.150_M_CONSOLIDATED_Delinquency_Compulsory_EOM[[#This Row],[Client No]],'Global Portfolio'!$B$2:$N$2500,11,FALSE)</f>
        <v>Motor Vehicle and Parts Dealers</v>
      </c>
      <c r="AB163" s="105" t="str">
        <f>VLOOKUP(Table__192.168.1.150_M_CONSOLIDATED_Delinquency_Compulsory_EOM[[#This Row],[Client No]],'Global Portfolio'!$B$2:$N$2500,12,FALSE)</f>
        <v>Others</v>
      </c>
    </row>
    <row r="164" spans="1:28" x14ac:dyDescent="0.25">
      <c r="A164">
        <v>102561</v>
      </c>
      <c r="B164" t="s">
        <v>1218</v>
      </c>
      <c r="C164" t="s">
        <v>1219</v>
      </c>
      <c r="D164" t="s">
        <v>1283</v>
      </c>
      <c r="E164">
        <v>54</v>
      </c>
      <c r="F164">
        <v>37833877</v>
      </c>
      <c r="G164">
        <v>31305614.719999999</v>
      </c>
      <c r="H164">
        <v>1507557</v>
      </c>
      <c r="I164" t="s">
        <v>5725</v>
      </c>
      <c r="J164">
        <v>0</v>
      </c>
      <c r="K164">
        <v>0</v>
      </c>
      <c r="L164">
        <v>1676653.06</v>
      </c>
      <c r="M164">
        <v>49749380.969999999</v>
      </c>
      <c r="N164" s="143">
        <v>42490.803992511574</v>
      </c>
      <c r="O164" s="143">
        <v>43958</v>
      </c>
      <c r="P164" t="s">
        <v>1220</v>
      </c>
      <c r="Q164" t="s">
        <v>1280</v>
      </c>
      <c r="R164" t="s">
        <v>1280</v>
      </c>
      <c r="S164" t="s">
        <v>1510</v>
      </c>
      <c r="T164">
        <v>36</v>
      </c>
      <c r="U164">
        <f>IF(Table__192.168.1.150_M_CONSOLIDATED_Delinquency_Compulsory_EOM[[#This Row],[Days in Arrears]] &lt; 8, Table__192.168.1.150_M_CONSOLIDATED_Delinquency_Compulsory_EOM[[#This Row],[Outstanding Balance]], 0 )</f>
        <v>0</v>
      </c>
      <c r="V1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31305614.719999999</v>
      </c>
      <c r="X1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64" s="105" t="str">
        <f>VLOOKUP(Table__192.168.1.150_M_CONSOLIDATED_Delinquency_Compulsory_EOM[[#This Row],[Client No]],'Global Portfolio'!$B$2:$N$2500,10,FALSE)</f>
        <v>Retail</v>
      </c>
      <c r="AA164" s="105" t="str">
        <f>VLOOKUP(Table__192.168.1.150_M_CONSOLIDATED_Delinquency_Compulsory_EOM[[#This Row],[Client No]],'Global Portfolio'!$B$2:$N$2500,11,FALSE)</f>
        <v>General Merchandise Stores</v>
      </c>
      <c r="AB164" s="105" t="str">
        <f>VLOOKUP(Table__192.168.1.150_M_CONSOLIDATED_Delinquency_Compulsory_EOM[[#This Row],[Client No]],'Global Portfolio'!$B$2:$N$2500,12,FALSE)</f>
        <v>Others</v>
      </c>
    </row>
    <row r="165" spans="1:28" x14ac:dyDescent="0.25">
      <c r="A165">
        <v>102567</v>
      </c>
      <c r="B165" t="s">
        <v>1036</v>
      </c>
      <c r="C165" t="s">
        <v>1037</v>
      </c>
      <c r="D165" t="s">
        <v>1279</v>
      </c>
      <c r="E165">
        <v>175</v>
      </c>
      <c r="F165">
        <v>4000000</v>
      </c>
      <c r="G165">
        <v>409816.06</v>
      </c>
      <c r="H165">
        <v>426208.69</v>
      </c>
      <c r="I165" t="s">
        <v>86</v>
      </c>
      <c r="J165">
        <v>0</v>
      </c>
      <c r="K165">
        <v>0</v>
      </c>
      <c r="L165">
        <v>16392.64</v>
      </c>
      <c r="M165">
        <v>426208.7</v>
      </c>
      <c r="N165" s="143">
        <v>42496.567496099538</v>
      </c>
      <c r="O165" s="143">
        <v>42861</v>
      </c>
      <c r="P165" t="s">
        <v>1038</v>
      </c>
      <c r="Q165" t="s">
        <v>1280</v>
      </c>
      <c r="R165" t="s">
        <v>1280</v>
      </c>
      <c r="S165" t="s">
        <v>1510</v>
      </c>
      <c r="T165">
        <v>48</v>
      </c>
      <c r="U165">
        <f>IF(Table__192.168.1.150_M_CONSOLIDATED_Delinquency_Compulsory_EOM[[#This Row],[Days in Arrears]] &lt; 8, Table__192.168.1.150_M_CONSOLIDATED_Delinquency_Compulsory_EOM[[#This Row],[Outstanding Balance]], 0 )</f>
        <v>0</v>
      </c>
      <c r="V1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409816.06</v>
      </c>
      <c r="Z165" s="105" t="str">
        <f>VLOOKUP(Table__192.168.1.150_M_CONSOLIDATED_Delinquency_Compulsory_EOM[[#This Row],[Client No]],'Global Portfolio'!$B$2:$N$2500,10,FALSE)</f>
        <v>Real Estate and Rental</v>
      </c>
      <c r="AA165" s="105" t="str">
        <f>VLOOKUP(Table__192.168.1.150_M_CONSOLIDATED_Delinquency_Compulsory_EOM[[#This Row],[Client No]],'Global Portfolio'!$B$2:$N$2500,11,FALSE)</f>
        <v>Real Estate</v>
      </c>
      <c r="AB165" s="105" t="str">
        <f>VLOOKUP(Table__192.168.1.150_M_CONSOLIDATED_Delinquency_Compulsory_EOM[[#This Row],[Client No]],'Global Portfolio'!$B$2:$N$2500,12,FALSE)</f>
        <v>Real Estate</v>
      </c>
    </row>
    <row r="166" spans="1:28" x14ac:dyDescent="0.25">
      <c r="A166">
        <v>102569</v>
      </c>
      <c r="B166" t="s">
        <v>1109</v>
      </c>
      <c r="C166" t="s">
        <v>1110</v>
      </c>
      <c r="D166" t="s">
        <v>1284</v>
      </c>
      <c r="E166">
        <v>106</v>
      </c>
      <c r="F166">
        <v>50000000</v>
      </c>
      <c r="G166">
        <v>42851075.539999999</v>
      </c>
      <c r="H166">
        <v>1994258.7</v>
      </c>
      <c r="I166" t="s">
        <v>1039</v>
      </c>
      <c r="J166">
        <v>0</v>
      </c>
      <c r="K166">
        <v>0</v>
      </c>
      <c r="L166">
        <v>2591707.0499999998</v>
      </c>
      <c r="M166">
        <v>69799054.439999998</v>
      </c>
      <c r="N166" s="143">
        <v>42497.483535150466</v>
      </c>
      <c r="O166" s="143">
        <v>43966</v>
      </c>
      <c r="P166" t="s">
        <v>1111</v>
      </c>
      <c r="Q166" t="s">
        <v>1280</v>
      </c>
      <c r="R166" t="s">
        <v>1280</v>
      </c>
      <c r="S166" t="s">
        <v>1510</v>
      </c>
      <c r="T166">
        <v>36</v>
      </c>
      <c r="U166">
        <f>IF(Table__192.168.1.150_M_CONSOLIDATED_Delinquency_Compulsory_EOM[[#This Row],[Days in Arrears]] &lt; 8, Table__192.168.1.150_M_CONSOLIDATED_Delinquency_Compulsory_EOM[[#This Row],[Outstanding Balance]], 0 )</f>
        <v>0</v>
      </c>
      <c r="V1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42851075.539999999</v>
      </c>
      <c r="Z166" s="105" t="str">
        <f>VLOOKUP(Table__192.168.1.150_M_CONSOLIDATED_Delinquency_Compulsory_EOM[[#This Row],[Client No]],'Global Portfolio'!$B$2:$N$2500,10,FALSE)</f>
        <v>Educational Services</v>
      </c>
      <c r="AA166" s="105" t="str">
        <f>VLOOKUP(Table__192.168.1.150_M_CONSOLIDATED_Delinquency_Compulsory_EOM[[#This Row],[Client No]],'Global Portfolio'!$B$2:$N$2500,11,FALSE)</f>
        <v>Educational Services</v>
      </c>
      <c r="AB166" s="105" t="str">
        <f>VLOOKUP(Table__192.168.1.150_M_CONSOLIDATED_Delinquency_Compulsory_EOM[[#This Row],[Client No]],'Global Portfolio'!$B$2:$N$2500,12,FALSE)</f>
        <v>Others</v>
      </c>
    </row>
    <row r="167" spans="1:28" x14ac:dyDescent="0.25">
      <c r="A167">
        <v>102570</v>
      </c>
      <c r="B167" t="s">
        <v>1238</v>
      </c>
      <c r="C167" t="s">
        <v>1247</v>
      </c>
      <c r="D167" t="s">
        <v>1282</v>
      </c>
      <c r="E167">
        <v>174</v>
      </c>
      <c r="F167">
        <v>13000000</v>
      </c>
      <c r="G167">
        <v>6125013.7699999996</v>
      </c>
      <c r="H167">
        <v>1026913.27</v>
      </c>
      <c r="I167" t="s">
        <v>5725</v>
      </c>
      <c r="J167">
        <v>0</v>
      </c>
      <c r="K167">
        <v>0</v>
      </c>
      <c r="L167">
        <v>208151.17</v>
      </c>
      <c r="M167">
        <v>6903273.46</v>
      </c>
      <c r="N167" s="143">
        <v>42497.538281250003</v>
      </c>
      <c r="O167" s="143">
        <v>43046</v>
      </c>
      <c r="P167" t="s">
        <v>1248</v>
      </c>
      <c r="Q167" t="s">
        <v>1249</v>
      </c>
      <c r="R167" t="s">
        <v>1280</v>
      </c>
      <c r="S167" t="s">
        <v>1510</v>
      </c>
      <c r="T167">
        <v>48</v>
      </c>
      <c r="U167">
        <f>IF(Table__192.168.1.150_M_CONSOLIDATED_Delinquency_Compulsory_EOM[[#This Row],[Days in Arrears]] &lt; 8, Table__192.168.1.150_M_CONSOLIDATED_Delinquency_Compulsory_EOM[[#This Row],[Outstanding Balance]], 0 )</f>
        <v>0</v>
      </c>
      <c r="V1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6125013.7699999996</v>
      </c>
      <c r="Z167" s="105" t="str">
        <f>VLOOKUP(Table__192.168.1.150_M_CONSOLIDATED_Delinquency_Compulsory_EOM[[#This Row],[Client No]],'Global Portfolio'!$B$2:$N$2500,10,FALSE)</f>
        <v>Retail</v>
      </c>
      <c r="AA167" s="105" t="str">
        <f>VLOOKUP(Table__192.168.1.150_M_CONSOLIDATED_Delinquency_Compulsory_EOM[[#This Row],[Client No]],'Global Portfolio'!$B$2:$N$2500,11,FALSE)</f>
        <v>General Merchandise Stores</v>
      </c>
      <c r="AB167" s="105" t="str">
        <f>VLOOKUP(Table__192.168.1.150_M_CONSOLIDATED_Delinquency_Compulsory_EOM[[#This Row],[Client No]],'Global Portfolio'!$B$2:$N$2500,12,FALSE)</f>
        <v>General Stores</v>
      </c>
    </row>
    <row r="168" spans="1:28" x14ac:dyDescent="0.25">
      <c r="A168">
        <v>102571</v>
      </c>
      <c r="B168" t="s">
        <v>99</v>
      </c>
      <c r="C168" t="s">
        <v>1986</v>
      </c>
      <c r="D168" t="s">
        <v>1281</v>
      </c>
      <c r="E168">
        <v>-14</v>
      </c>
      <c r="F168">
        <v>20000000</v>
      </c>
      <c r="G168">
        <v>7666904.4100000001</v>
      </c>
      <c r="H168">
        <v>1253879.98</v>
      </c>
      <c r="I168" t="s">
        <v>86</v>
      </c>
      <c r="J168">
        <v>106590.72</v>
      </c>
      <c r="K168">
        <v>1500000</v>
      </c>
      <c r="L168">
        <v>134170.82999999999</v>
      </c>
      <c r="M168">
        <v>8777160.0099999998</v>
      </c>
      <c r="N168" s="143">
        <v>42499.492378900461</v>
      </c>
      <c r="O168" s="143">
        <v>43235</v>
      </c>
      <c r="P168" t="s">
        <v>1987</v>
      </c>
      <c r="Q168" t="s">
        <v>1988</v>
      </c>
      <c r="R168" t="s">
        <v>1280</v>
      </c>
      <c r="S168" t="s">
        <v>1510</v>
      </c>
      <c r="T168">
        <v>42</v>
      </c>
      <c r="U168">
        <f>IF(Table__192.168.1.150_M_CONSOLIDATED_Delinquency_Compulsory_EOM[[#This Row],[Days in Arrears]] &lt; 8, Table__192.168.1.150_M_CONSOLIDATED_Delinquency_Compulsory_EOM[[#This Row],[Outstanding Balance]], 0 )</f>
        <v>7666904.4100000001</v>
      </c>
      <c r="V1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68" s="105" t="str">
        <f>VLOOKUP(Table__192.168.1.150_M_CONSOLIDATED_Delinquency_Compulsory_EOM[[#This Row],[Client No]],'Global Portfolio'!$B$2:$N$2500,10,FALSE)</f>
        <v>Retail</v>
      </c>
      <c r="AA168" s="105" t="str">
        <f>VLOOKUP(Table__192.168.1.150_M_CONSOLIDATED_Delinquency_Compulsory_EOM[[#This Row],[Client No]],'Global Portfolio'!$B$2:$N$2500,11,FALSE)</f>
        <v>Electronics Stores</v>
      </c>
      <c r="AB168" s="105" t="str">
        <f>VLOOKUP(Table__192.168.1.150_M_CONSOLIDATED_Delinquency_Compulsory_EOM[[#This Row],[Client No]],'Global Portfolio'!$B$2:$N$2500,12,FALSE)</f>
        <v>Others</v>
      </c>
    </row>
    <row r="169" spans="1:28" x14ac:dyDescent="0.25">
      <c r="A169">
        <v>102575</v>
      </c>
      <c r="B169" t="s">
        <v>1097</v>
      </c>
      <c r="C169" t="s">
        <v>1098</v>
      </c>
      <c r="D169" t="s">
        <v>1283</v>
      </c>
      <c r="E169">
        <v>141</v>
      </c>
      <c r="F169">
        <v>42000000</v>
      </c>
      <c r="G169">
        <v>24709811.829999998</v>
      </c>
      <c r="H169">
        <v>2482399.23</v>
      </c>
      <c r="I169" t="s">
        <v>5725</v>
      </c>
      <c r="J169">
        <v>0</v>
      </c>
      <c r="K169">
        <v>0</v>
      </c>
      <c r="L169">
        <v>1430355.56</v>
      </c>
      <c r="M169">
        <v>29788790.739999998</v>
      </c>
      <c r="N169" s="143">
        <v>42499.786681168982</v>
      </c>
      <c r="O169" s="143">
        <v>43230</v>
      </c>
      <c r="P169" t="s">
        <v>1099</v>
      </c>
      <c r="Q169" t="s">
        <v>1280</v>
      </c>
      <c r="R169" t="s">
        <v>1280</v>
      </c>
      <c r="S169" t="s">
        <v>1510</v>
      </c>
      <c r="T169">
        <v>36</v>
      </c>
      <c r="U169">
        <f>IF(Table__192.168.1.150_M_CONSOLIDATED_Delinquency_Compulsory_EOM[[#This Row],[Days in Arrears]] &lt; 8, Table__192.168.1.150_M_CONSOLIDATED_Delinquency_Compulsory_EOM[[#This Row],[Outstanding Balance]], 0 )</f>
        <v>0</v>
      </c>
      <c r="V1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24709811.829999998</v>
      </c>
      <c r="Z169" s="105" t="str">
        <f>VLOOKUP(Table__192.168.1.150_M_CONSOLIDATED_Delinquency_Compulsory_EOM[[#This Row],[Client No]],'Global Portfolio'!$B$2:$N$2500,10,FALSE)</f>
        <v>Wholesale Trade</v>
      </c>
      <c r="AA169" s="105" t="str">
        <f>VLOOKUP(Table__192.168.1.150_M_CONSOLIDATED_Delinquency_Compulsory_EOM[[#This Row],[Client No]],'Global Portfolio'!$B$2:$N$2500,11,FALSE)</f>
        <v>Durable Goods</v>
      </c>
      <c r="AB169" s="105" t="str">
        <f>VLOOKUP(Table__192.168.1.150_M_CONSOLIDATED_Delinquency_Compulsory_EOM[[#This Row],[Client No]],'Global Portfolio'!$B$2:$N$2500,12,FALSE)</f>
        <v>Others</v>
      </c>
    </row>
    <row r="170" spans="1:28" x14ac:dyDescent="0.25">
      <c r="A170">
        <v>102579</v>
      </c>
      <c r="B170" t="s">
        <v>860</v>
      </c>
      <c r="C170" t="s">
        <v>862</v>
      </c>
      <c r="D170" t="s">
        <v>1841</v>
      </c>
      <c r="E170">
        <v>-9</v>
      </c>
      <c r="F170">
        <v>13807347.57</v>
      </c>
      <c r="G170">
        <v>9590763.6799999997</v>
      </c>
      <c r="H170">
        <v>730227.51</v>
      </c>
      <c r="I170" t="s">
        <v>5167</v>
      </c>
      <c r="J170">
        <v>0</v>
      </c>
      <c r="K170">
        <v>0</v>
      </c>
      <c r="L170">
        <v>255753.7</v>
      </c>
      <c r="M170">
        <v>13874322.310000001</v>
      </c>
      <c r="N170" s="143">
        <v>42500.666356168978</v>
      </c>
      <c r="O170" s="143">
        <v>43595</v>
      </c>
      <c r="P170" t="s">
        <v>863</v>
      </c>
      <c r="Q170" t="s">
        <v>864</v>
      </c>
      <c r="R170" t="s">
        <v>1280</v>
      </c>
      <c r="S170" t="s">
        <v>1510</v>
      </c>
      <c r="T170">
        <v>48</v>
      </c>
      <c r="U170">
        <f>IF(Table__192.168.1.150_M_CONSOLIDATED_Delinquency_Compulsory_EOM[[#This Row],[Days in Arrears]] &lt; 8, Table__192.168.1.150_M_CONSOLIDATED_Delinquency_Compulsory_EOM[[#This Row],[Outstanding Balance]], 0 )</f>
        <v>9590763.6799999997</v>
      </c>
      <c r="V1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0" s="105" t="str">
        <f>VLOOKUP(Table__192.168.1.150_M_CONSOLIDATED_Delinquency_Compulsory_EOM[[#This Row],[Client No]],'Global Portfolio'!$B$2:$N$2500,10,FALSE)</f>
        <v>Real Estate and Rental</v>
      </c>
      <c r="AA170" s="105" t="str">
        <f>VLOOKUP(Table__192.168.1.150_M_CONSOLIDATED_Delinquency_Compulsory_EOM[[#This Row],[Client No]],'Global Portfolio'!$B$2:$N$2500,11,FALSE)</f>
        <v>Rental</v>
      </c>
      <c r="AB170" s="105" t="str">
        <f>VLOOKUP(Table__192.168.1.150_M_CONSOLIDATED_Delinquency_Compulsory_EOM[[#This Row],[Client No]],'Global Portfolio'!$B$2:$N$2500,12,FALSE)</f>
        <v>Others</v>
      </c>
    </row>
    <row r="171" spans="1:28" x14ac:dyDescent="0.25">
      <c r="A171">
        <v>102581</v>
      </c>
      <c r="B171" t="s">
        <v>555</v>
      </c>
      <c r="C171" t="s">
        <v>559</v>
      </c>
      <c r="D171" t="s">
        <v>1841</v>
      </c>
      <c r="E171">
        <v>16</v>
      </c>
      <c r="F171">
        <v>21041000</v>
      </c>
      <c r="G171">
        <v>9057587.5299999993</v>
      </c>
      <c r="H171">
        <v>1317667.47</v>
      </c>
      <c r="I171" t="s">
        <v>5726</v>
      </c>
      <c r="J171">
        <v>0</v>
      </c>
      <c r="K171">
        <v>0</v>
      </c>
      <c r="L171">
        <v>317015.55</v>
      </c>
      <c r="M171">
        <v>10541339.65</v>
      </c>
      <c r="N171" s="143">
        <v>42500.760113807868</v>
      </c>
      <c r="O171" s="143">
        <v>43235</v>
      </c>
      <c r="P171" t="s">
        <v>560</v>
      </c>
      <c r="Q171" t="s">
        <v>561</v>
      </c>
      <c r="R171" t="s">
        <v>1280</v>
      </c>
      <c r="S171" t="s">
        <v>1510</v>
      </c>
      <c r="T171">
        <v>42</v>
      </c>
      <c r="U171">
        <f>IF(Table__192.168.1.150_M_CONSOLIDATED_Delinquency_Compulsory_EOM[[#This Row],[Days in Arrears]] &lt; 8, Table__192.168.1.150_M_CONSOLIDATED_Delinquency_Compulsory_EOM[[#This Row],[Outstanding Balance]], 0 )</f>
        <v>0</v>
      </c>
      <c r="V1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9057587.5299999993</v>
      </c>
      <c r="W1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1" s="105" t="str">
        <f>VLOOKUP(Table__192.168.1.150_M_CONSOLIDATED_Delinquency_Compulsory_EOM[[#This Row],[Client No]],'Global Portfolio'!$B$2:$N$2500,10,FALSE)</f>
        <v>Retail</v>
      </c>
      <c r="AA171" s="105" t="str">
        <f>VLOOKUP(Table__192.168.1.150_M_CONSOLIDATED_Delinquency_Compulsory_EOM[[#This Row],[Client No]],'Global Portfolio'!$B$2:$N$2500,11,FALSE)</f>
        <v>Motor Vehicle and Parts Dealers</v>
      </c>
      <c r="AB171" s="105" t="str">
        <f>VLOOKUP(Table__192.168.1.150_M_CONSOLIDATED_Delinquency_Compulsory_EOM[[#This Row],[Client No]],'Global Portfolio'!$B$2:$N$2500,12,FALSE)</f>
        <v>Automotive Parts, Accessories, &amp; Tire Stores</v>
      </c>
    </row>
    <row r="172" spans="1:28" x14ac:dyDescent="0.25">
      <c r="A172">
        <v>102583</v>
      </c>
      <c r="B172" t="s">
        <v>2050</v>
      </c>
      <c r="C172" t="s">
        <v>2051</v>
      </c>
      <c r="D172" t="s">
        <v>1284</v>
      </c>
      <c r="E172">
        <v>-10</v>
      </c>
      <c r="F172">
        <v>50000000</v>
      </c>
      <c r="G172">
        <v>33460889.16</v>
      </c>
      <c r="H172">
        <v>2405507.54</v>
      </c>
      <c r="I172" t="s">
        <v>491</v>
      </c>
      <c r="J172">
        <v>1688312.17</v>
      </c>
      <c r="K172">
        <v>2500000</v>
      </c>
      <c r="L172">
        <v>706396.55</v>
      </c>
      <c r="M172">
        <v>45704643.460000001</v>
      </c>
      <c r="N172" s="143">
        <v>42501.581520914355</v>
      </c>
      <c r="O172" s="143">
        <v>43596</v>
      </c>
      <c r="P172" t="s">
        <v>2052</v>
      </c>
      <c r="Q172" t="s">
        <v>1280</v>
      </c>
      <c r="R172" t="s">
        <v>2053</v>
      </c>
      <c r="S172" t="s">
        <v>1510</v>
      </c>
      <c r="T172">
        <v>40</v>
      </c>
      <c r="U172">
        <f>IF(Table__192.168.1.150_M_CONSOLIDATED_Delinquency_Compulsory_EOM[[#This Row],[Days in Arrears]] &lt; 8, Table__192.168.1.150_M_CONSOLIDATED_Delinquency_Compulsory_EOM[[#This Row],[Outstanding Balance]], 0 )</f>
        <v>33460889.16</v>
      </c>
      <c r="V1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2" s="105" t="str">
        <f>VLOOKUP(Table__192.168.1.150_M_CONSOLIDATED_Delinquency_Compulsory_EOM[[#This Row],[Client No]],'Global Portfolio'!$B$2:$N$2500,10,FALSE)</f>
        <v>Real Estate and Rental</v>
      </c>
      <c r="AA172" s="105" t="str">
        <f>VLOOKUP(Table__192.168.1.150_M_CONSOLIDATED_Delinquency_Compulsory_EOM[[#This Row],[Client No]],'Global Portfolio'!$B$2:$N$2500,11,FALSE)</f>
        <v>Rental</v>
      </c>
      <c r="AB172" s="105" t="str">
        <f>VLOOKUP(Table__192.168.1.150_M_CONSOLIDATED_Delinquency_Compulsory_EOM[[#This Row],[Client No]],'Global Portfolio'!$B$2:$N$2500,12,FALSE)</f>
        <v>General Rental Centers</v>
      </c>
    </row>
    <row r="173" spans="1:28" x14ac:dyDescent="0.25">
      <c r="A173">
        <v>102585</v>
      </c>
      <c r="B173" t="s">
        <v>195</v>
      </c>
      <c r="C173" t="s">
        <v>196</v>
      </c>
      <c r="D173" t="s">
        <v>1283</v>
      </c>
      <c r="E173">
        <v>-22</v>
      </c>
      <c r="F173">
        <v>31000000</v>
      </c>
      <c r="G173">
        <v>24775096.48</v>
      </c>
      <c r="H173">
        <v>1238822.75</v>
      </c>
      <c r="I173" t="s">
        <v>86</v>
      </c>
      <c r="J173">
        <v>0</v>
      </c>
      <c r="K173">
        <v>1550000</v>
      </c>
      <c r="L173">
        <v>173425.68</v>
      </c>
      <c r="M173">
        <v>38398781.719999999</v>
      </c>
      <c r="N173" s="143">
        <v>42503.531356053238</v>
      </c>
      <c r="O173" s="143">
        <v>43974</v>
      </c>
      <c r="P173" t="s">
        <v>197</v>
      </c>
      <c r="Q173" t="s">
        <v>198</v>
      </c>
      <c r="R173" t="s">
        <v>1280</v>
      </c>
      <c r="S173" t="s">
        <v>1510</v>
      </c>
      <c r="T173">
        <v>36</v>
      </c>
      <c r="U173">
        <f>IF(Table__192.168.1.150_M_CONSOLIDATED_Delinquency_Compulsory_EOM[[#This Row],[Days in Arrears]] &lt; 8, Table__192.168.1.150_M_CONSOLIDATED_Delinquency_Compulsory_EOM[[#This Row],[Outstanding Balance]], 0 )</f>
        <v>24775096.48</v>
      </c>
      <c r="V1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3" s="105" t="str">
        <f>VLOOKUP(Table__192.168.1.150_M_CONSOLIDATED_Delinquency_Compulsory_EOM[[#This Row],[Client No]],'Global Portfolio'!$B$2:$N$2500,10,FALSE)</f>
        <v>Real Estate and Rental</v>
      </c>
      <c r="AA173" s="105" t="str">
        <f>VLOOKUP(Table__192.168.1.150_M_CONSOLIDATED_Delinquency_Compulsory_EOM[[#This Row],[Client No]],'Global Portfolio'!$B$2:$N$2500,11,FALSE)</f>
        <v>Real Estate</v>
      </c>
      <c r="AB173" s="105" t="str">
        <f>VLOOKUP(Table__192.168.1.150_M_CONSOLIDATED_Delinquency_Compulsory_EOM[[#This Row],[Client No]],'Global Portfolio'!$B$2:$N$2500,12,FALSE)</f>
        <v>Real Estate</v>
      </c>
    </row>
    <row r="174" spans="1:28" x14ac:dyDescent="0.25">
      <c r="A174">
        <v>102589</v>
      </c>
      <c r="B174" t="s">
        <v>2073</v>
      </c>
      <c r="C174" t="s">
        <v>2075</v>
      </c>
      <c r="D174" t="s">
        <v>1284</v>
      </c>
      <c r="E174">
        <v>-16</v>
      </c>
      <c r="F174">
        <v>37000000</v>
      </c>
      <c r="G174">
        <v>24787682.789999999</v>
      </c>
      <c r="H174">
        <v>1781989.64</v>
      </c>
      <c r="I174" t="s">
        <v>1467</v>
      </c>
      <c r="J174">
        <v>430220.34</v>
      </c>
      <c r="K174">
        <v>1850000</v>
      </c>
      <c r="L174">
        <v>358044.31</v>
      </c>
      <c r="M174">
        <v>33857803.32</v>
      </c>
      <c r="N174" s="143">
        <v>42506.733621678242</v>
      </c>
      <c r="O174" s="143">
        <v>43602</v>
      </c>
      <c r="P174" t="s">
        <v>2076</v>
      </c>
      <c r="Q174" t="s">
        <v>1280</v>
      </c>
      <c r="R174" t="s">
        <v>1280</v>
      </c>
      <c r="S174" t="s">
        <v>1510</v>
      </c>
      <c r="T174">
        <v>40</v>
      </c>
      <c r="U174">
        <f>IF(Table__192.168.1.150_M_CONSOLIDATED_Delinquency_Compulsory_EOM[[#This Row],[Days in Arrears]] &lt; 8, Table__192.168.1.150_M_CONSOLIDATED_Delinquency_Compulsory_EOM[[#This Row],[Outstanding Balance]], 0 )</f>
        <v>24787682.789999999</v>
      </c>
      <c r="V1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4" s="105" t="str">
        <f>VLOOKUP(Table__192.168.1.150_M_CONSOLIDATED_Delinquency_Compulsory_EOM[[#This Row],[Client No]],'Global Portfolio'!$B$2:$N$2500,10,FALSE)</f>
        <v>Retail</v>
      </c>
      <c r="AA174" s="105" t="str">
        <f>VLOOKUP(Table__192.168.1.150_M_CONSOLIDATED_Delinquency_Compulsory_EOM[[#This Row],[Client No]],'Global Portfolio'!$B$2:$N$2500,11,FALSE)</f>
        <v>Building Material and Garden Equipment</v>
      </c>
      <c r="AB174" s="105" t="str">
        <f>VLOOKUP(Table__192.168.1.150_M_CONSOLIDATED_Delinquency_Compulsory_EOM[[#This Row],[Client No]],'Global Portfolio'!$B$2:$N$2500,12,FALSE)</f>
        <v>Hardware Stores</v>
      </c>
    </row>
    <row r="175" spans="1:28" x14ac:dyDescent="0.25">
      <c r="A175">
        <v>102590</v>
      </c>
      <c r="B175" t="s">
        <v>830</v>
      </c>
      <c r="C175" t="s">
        <v>831</v>
      </c>
      <c r="D175" t="s">
        <v>1281</v>
      </c>
      <c r="E175">
        <v>11</v>
      </c>
      <c r="F175">
        <v>18000000</v>
      </c>
      <c r="G175">
        <v>2604207.94</v>
      </c>
      <c r="H175">
        <v>1370856.39</v>
      </c>
      <c r="I175" t="s">
        <v>1447</v>
      </c>
      <c r="J175">
        <v>0</v>
      </c>
      <c r="K175">
        <v>900000</v>
      </c>
      <c r="L175">
        <v>106599.77</v>
      </c>
      <c r="M175">
        <v>2741712.68</v>
      </c>
      <c r="N175" s="143">
        <v>42506.782387928244</v>
      </c>
      <c r="O175" s="143">
        <v>43059</v>
      </c>
      <c r="P175" t="s">
        <v>832</v>
      </c>
      <c r="Q175" t="s">
        <v>833</v>
      </c>
      <c r="R175" t="s">
        <v>1280</v>
      </c>
      <c r="S175" t="s">
        <v>1510</v>
      </c>
      <c r="T175">
        <v>42</v>
      </c>
      <c r="U175">
        <f>IF(Table__192.168.1.150_M_CONSOLIDATED_Delinquency_Compulsory_EOM[[#This Row],[Days in Arrears]] &lt; 8, Table__192.168.1.150_M_CONSOLIDATED_Delinquency_Compulsory_EOM[[#This Row],[Outstanding Balance]], 0 )</f>
        <v>0</v>
      </c>
      <c r="V1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2604207.94</v>
      </c>
      <c r="W1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5" s="105" t="e">
        <f>VLOOKUP(Table__192.168.1.150_M_CONSOLIDATED_Delinquency_Compulsory_EOM[[#This Row],[Client No]],'Global Portfolio'!$B$2:$N$2500,10,FALSE)</f>
        <v>#N/A</v>
      </c>
      <c r="AA175" s="105" t="e">
        <f>VLOOKUP(Table__192.168.1.150_M_CONSOLIDATED_Delinquency_Compulsory_EOM[[#This Row],[Client No]],'Global Portfolio'!$B$2:$N$2500,11,FALSE)</f>
        <v>#N/A</v>
      </c>
      <c r="AB175" s="105" t="e">
        <f>VLOOKUP(Table__192.168.1.150_M_CONSOLIDATED_Delinquency_Compulsory_EOM[[#This Row],[Client No]],'Global Portfolio'!$B$2:$N$2500,12,FALSE)</f>
        <v>#N/A</v>
      </c>
    </row>
    <row r="176" spans="1:28" x14ac:dyDescent="0.25">
      <c r="A176">
        <v>102592</v>
      </c>
      <c r="B176" t="s">
        <v>1071</v>
      </c>
      <c r="C176" t="s">
        <v>1073</v>
      </c>
      <c r="D176" t="s">
        <v>1282</v>
      </c>
      <c r="E176">
        <v>12</v>
      </c>
      <c r="F176">
        <v>10000000</v>
      </c>
      <c r="G176">
        <v>954818.3</v>
      </c>
      <c r="H176">
        <v>791958.75</v>
      </c>
      <c r="I176" t="s">
        <v>963</v>
      </c>
      <c r="J176">
        <v>0</v>
      </c>
      <c r="K176">
        <v>0</v>
      </c>
      <c r="L176">
        <v>11168.65</v>
      </c>
      <c r="M176">
        <v>985278.25</v>
      </c>
      <c r="N176" s="143">
        <v>42507.562189548611</v>
      </c>
      <c r="O176" s="143">
        <v>43058</v>
      </c>
      <c r="P176" t="s">
        <v>1074</v>
      </c>
      <c r="Q176" t="s">
        <v>1075</v>
      </c>
      <c r="R176" t="s">
        <v>1280</v>
      </c>
      <c r="S176" t="s">
        <v>1510</v>
      </c>
      <c r="T176">
        <v>48</v>
      </c>
      <c r="U176">
        <f>IF(Table__192.168.1.150_M_CONSOLIDATED_Delinquency_Compulsory_EOM[[#This Row],[Days in Arrears]] &lt; 8, Table__192.168.1.150_M_CONSOLIDATED_Delinquency_Compulsory_EOM[[#This Row],[Outstanding Balance]], 0 )</f>
        <v>0</v>
      </c>
      <c r="V1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954818.3</v>
      </c>
      <c r="W1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6" s="105" t="str">
        <f>VLOOKUP(Table__192.168.1.150_M_CONSOLIDATED_Delinquency_Compulsory_EOM[[#This Row],[Client No]],'Global Portfolio'!$B$2:$N$2500,10,FALSE)</f>
        <v>Educational Services</v>
      </c>
      <c r="AA176" s="105" t="str">
        <f>VLOOKUP(Table__192.168.1.150_M_CONSOLIDATED_Delinquency_Compulsory_EOM[[#This Row],[Client No]],'Global Portfolio'!$B$2:$N$2500,11,FALSE)</f>
        <v>Educational Services</v>
      </c>
      <c r="AB176" s="105" t="str">
        <f>VLOOKUP(Table__192.168.1.150_M_CONSOLIDATED_Delinquency_Compulsory_EOM[[#This Row],[Client No]],'Global Portfolio'!$B$2:$N$2500,12,FALSE)</f>
        <v>Schools</v>
      </c>
    </row>
    <row r="177" spans="1:28" x14ac:dyDescent="0.25">
      <c r="A177">
        <v>102596</v>
      </c>
      <c r="B177" t="s">
        <v>1146</v>
      </c>
      <c r="C177" t="s">
        <v>1148</v>
      </c>
      <c r="D177" t="s">
        <v>1284</v>
      </c>
      <c r="E177">
        <v>-23</v>
      </c>
      <c r="F177">
        <v>28000000</v>
      </c>
      <c r="G177">
        <v>20691148.239999998</v>
      </c>
      <c r="H177">
        <v>1188248.6000000001</v>
      </c>
      <c r="I177" t="s">
        <v>1039</v>
      </c>
      <c r="J177">
        <v>2320671.66</v>
      </c>
      <c r="K177">
        <v>1400000</v>
      </c>
      <c r="L177">
        <v>124146.89</v>
      </c>
      <c r="M177">
        <v>29706214.719999999</v>
      </c>
      <c r="N177" s="143">
        <v>42508.715578356481</v>
      </c>
      <c r="O177" s="143">
        <v>43793</v>
      </c>
      <c r="P177" t="s">
        <v>1149</v>
      </c>
      <c r="Q177" t="s">
        <v>1150</v>
      </c>
      <c r="R177" t="s">
        <v>1280</v>
      </c>
      <c r="S177" t="s">
        <v>1510</v>
      </c>
      <c r="T177">
        <v>36</v>
      </c>
      <c r="U177">
        <f>IF(Table__192.168.1.150_M_CONSOLIDATED_Delinquency_Compulsory_EOM[[#This Row],[Days in Arrears]] &lt; 8, Table__192.168.1.150_M_CONSOLIDATED_Delinquency_Compulsory_EOM[[#This Row],[Outstanding Balance]], 0 )</f>
        <v>20691148.239999998</v>
      </c>
      <c r="V1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7" s="105" t="str">
        <f>VLOOKUP(Table__192.168.1.150_M_CONSOLIDATED_Delinquency_Compulsory_EOM[[#This Row],[Client No]],'Global Portfolio'!$B$2:$N$2500,10,FALSE)</f>
        <v>Real Estate and Rental</v>
      </c>
      <c r="AA177" s="105" t="str">
        <f>VLOOKUP(Table__192.168.1.150_M_CONSOLIDATED_Delinquency_Compulsory_EOM[[#This Row],[Client No]],'Global Portfolio'!$B$2:$N$2500,11,FALSE)</f>
        <v>Rental</v>
      </c>
      <c r="AB177" s="105" t="str">
        <f>VLOOKUP(Table__192.168.1.150_M_CONSOLIDATED_Delinquency_Compulsory_EOM[[#This Row],[Client No]],'Global Portfolio'!$B$2:$N$2500,12,FALSE)</f>
        <v>Others</v>
      </c>
    </row>
    <row r="178" spans="1:28" x14ac:dyDescent="0.25">
      <c r="A178">
        <v>102598</v>
      </c>
      <c r="B178" t="s">
        <v>1624</v>
      </c>
      <c r="C178" t="s">
        <v>1638</v>
      </c>
      <c r="D178" t="s">
        <v>1283</v>
      </c>
      <c r="E178">
        <v>-4</v>
      </c>
      <c r="F178">
        <v>31000000</v>
      </c>
      <c r="G178">
        <v>24229033.219999999</v>
      </c>
      <c r="H178">
        <v>1211425.7</v>
      </c>
      <c r="I178" t="s">
        <v>2855</v>
      </c>
      <c r="J178">
        <v>1325823.8</v>
      </c>
      <c r="K178">
        <v>1550000</v>
      </c>
      <c r="L178">
        <v>605725.82999999996</v>
      </c>
      <c r="M178">
        <v>37554197.079999998</v>
      </c>
      <c r="N178" s="143">
        <v>42508.736337349539</v>
      </c>
      <c r="O178" s="143">
        <v>43956</v>
      </c>
      <c r="P178" t="s">
        <v>1639</v>
      </c>
      <c r="Q178" t="s">
        <v>1640</v>
      </c>
      <c r="R178" t="s">
        <v>1280</v>
      </c>
      <c r="S178" t="s">
        <v>1510</v>
      </c>
      <c r="T178">
        <v>36</v>
      </c>
      <c r="U178">
        <f>IF(Table__192.168.1.150_M_CONSOLIDATED_Delinquency_Compulsory_EOM[[#This Row],[Days in Arrears]] &lt; 8, Table__192.168.1.150_M_CONSOLIDATED_Delinquency_Compulsory_EOM[[#This Row],[Outstanding Balance]], 0 )</f>
        <v>24229033.219999999</v>
      </c>
      <c r="V1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8" s="105" t="str">
        <f>VLOOKUP(Table__192.168.1.150_M_CONSOLIDATED_Delinquency_Compulsory_EOM[[#This Row],[Client No]],'Global Portfolio'!$B$2:$N$2500,10,FALSE)</f>
        <v>Real Estate and Rental</v>
      </c>
      <c r="AA178" s="105" t="str">
        <f>VLOOKUP(Table__192.168.1.150_M_CONSOLIDATED_Delinquency_Compulsory_EOM[[#This Row],[Client No]],'Global Portfolio'!$B$2:$N$2500,11,FALSE)</f>
        <v>Real Estate</v>
      </c>
      <c r="AB178" s="105" t="str">
        <f>VLOOKUP(Table__192.168.1.150_M_CONSOLIDATED_Delinquency_Compulsory_EOM[[#This Row],[Client No]],'Global Portfolio'!$B$2:$N$2500,12,FALSE)</f>
        <v>Real Estate</v>
      </c>
    </row>
    <row r="179" spans="1:28" x14ac:dyDescent="0.25">
      <c r="A179">
        <v>102599</v>
      </c>
      <c r="B179" t="s">
        <v>352</v>
      </c>
      <c r="C179" t="s">
        <v>2089</v>
      </c>
      <c r="D179" t="s">
        <v>1281</v>
      </c>
      <c r="E179">
        <v>13</v>
      </c>
      <c r="F179">
        <v>20000000</v>
      </c>
      <c r="G179">
        <v>8561213.2300000004</v>
      </c>
      <c r="H179">
        <v>1245456.6100000001</v>
      </c>
      <c r="I179" t="s">
        <v>5726</v>
      </c>
      <c r="J179">
        <v>0</v>
      </c>
      <c r="K179">
        <v>0</v>
      </c>
      <c r="L179">
        <v>299642.46000000002</v>
      </c>
      <c r="M179">
        <v>9963652.6999999993</v>
      </c>
      <c r="N179" s="143">
        <v>42508.752132905094</v>
      </c>
      <c r="O179" s="143">
        <v>43238</v>
      </c>
      <c r="P179" t="s">
        <v>2090</v>
      </c>
      <c r="Q179" t="s">
        <v>1280</v>
      </c>
      <c r="R179" t="s">
        <v>1280</v>
      </c>
      <c r="S179" t="s">
        <v>1510</v>
      </c>
      <c r="T179">
        <v>42</v>
      </c>
      <c r="U179">
        <f>IF(Table__192.168.1.150_M_CONSOLIDATED_Delinquency_Compulsory_EOM[[#This Row],[Days in Arrears]] &lt; 8, Table__192.168.1.150_M_CONSOLIDATED_Delinquency_Compulsory_EOM[[#This Row],[Outstanding Balance]], 0 )</f>
        <v>0</v>
      </c>
      <c r="V1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8561213.2300000004</v>
      </c>
      <c r="W1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79" s="105" t="str">
        <f>VLOOKUP(Table__192.168.1.150_M_CONSOLIDATED_Delinquency_Compulsory_EOM[[#This Row],[Client No]],'Global Portfolio'!$B$2:$N$2500,10,FALSE)</f>
        <v>Real Estate and Rental</v>
      </c>
      <c r="AA179" s="105" t="str">
        <f>VLOOKUP(Table__192.168.1.150_M_CONSOLIDATED_Delinquency_Compulsory_EOM[[#This Row],[Client No]],'Global Portfolio'!$B$2:$N$2500,11,FALSE)</f>
        <v>Real Estate</v>
      </c>
      <c r="AB179" s="105" t="str">
        <f>VLOOKUP(Table__192.168.1.150_M_CONSOLIDATED_Delinquency_Compulsory_EOM[[#This Row],[Client No]],'Global Portfolio'!$B$2:$N$2500,12,FALSE)</f>
        <v>Real Estate</v>
      </c>
    </row>
    <row r="180" spans="1:28" x14ac:dyDescent="0.25">
      <c r="A180">
        <v>102602</v>
      </c>
      <c r="B180" t="s">
        <v>2102</v>
      </c>
      <c r="C180" t="s">
        <v>2106</v>
      </c>
      <c r="D180" t="s">
        <v>1281</v>
      </c>
      <c r="E180">
        <v>-19</v>
      </c>
      <c r="F180">
        <v>15500000</v>
      </c>
      <c r="G180">
        <v>6101663.9800000004</v>
      </c>
      <c r="H180">
        <v>1016595.89</v>
      </c>
      <c r="I180" t="s">
        <v>86</v>
      </c>
      <c r="J180">
        <v>0</v>
      </c>
      <c r="K180">
        <v>1162500</v>
      </c>
      <c r="L180">
        <v>81355.520000000004</v>
      </c>
      <c r="M180">
        <v>7116171.0800000001</v>
      </c>
      <c r="N180" s="143">
        <v>42510.571932754632</v>
      </c>
      <c r="O180" s="143">
        <v>43240</v>
      </c>
      <c r="P180" t="s">
        <v>2107</v>
      </c>
      <c r="Q180" t="s">
        <v>2108</v>
      </c>
      <c r="R180" t="s">
        <v>1280</v>
      </c>
      <c r="S180" t="s">
        <v>1510</v>
      </c>
      <c r="T180">
        <v>48</v>
      </c>
      <c r="U180">
        <f>IF(Table__192.168.1.150_M_CONSOLIDATED_Delinquency_Compulsory_EOM[[#This Row],[Days in Arrears]] &lt; 8, Table__192.168.1.150_M_CONSOLIDATED_Delinquency_Compulsory_EOM[[#This Row],[Outstanding Balance]], 0 )</f>
        <v>6101663.9800000004</v>
      </c>
      <c r="V1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0" s="105" t="str">
        <f>VLOOKUP(Table__192.168.1.150_M_CONSOLIDATED_Delinquency_Compulsory_EOM[[#This Row],[Client No]],'Global Portfolio'!$B$2:$N$2500,10,FALSE)</f>
        <v>Transportation and Warehousing</v>
      </c>
      <c r="AA180" s="105" t="str">
        <f>VLOOKUP(Table__192.168.1.150_M_CONSOLIDATED_Delinquency_Compulsory_EOM[[#This Row],[Client No]],'Global Portfolio'!$B$2:$N$2500,11,FALSE)</f>
        <v xml:space="preserve"> Passenger Transportation</v>
      </c>
      <c r="AB180" s="105" t="str">
        <f>VLOOKUP(Table__192.168.1.150_M_CONSOLIDATED_Delinquency_Compulsory_EOM[[#This Row],[Client No]],'Global Portfolio'!$B$2:$N$2500,12,FALSE)</f>
        <v>Taxi service</v>
      </c>
    </row>
    <row r="181" spans="1:28" x14ac:dyDescent="0.25">
      <c r="A181">
        <v>102605</v>
      </c>
      <c r="B181" t="s">
        <v>590</v>
      </c>
      <c r="C181" t="s">
        <v>2111</v>
      </c>
      <c r="D181" t="s">
        <v>1283</v>
      </c>
      <c r="E181">
        <v>11</v>
      </c>
      <c r="F181">
        <v>30500000</v>
      </c>
      <c r="G181">
        <v>17577677.190000001</v>
      </c>
      <c r="H181">
        <v>1556087.41</v>
      </c>
      <c r="I181" t="s">
        <v>468</v>
      </c>
      <c r="J181">
        <v>0</v>
      </c>
      <c r="K181">
        <v>0</v>
      </c>
      <c r="L181">
        <v>173941.27</v>
      </c>
      <c r="M181">
        <v>21266345.489999998</v>
      </c>
      <c r="N181" s="143">
        <v>42510.774510763891</v>
      </c>
      <c r="O181" s="143">
        <v>43424</v>
      </c>
      <c r="P181" t="s">
        <v>2112</v>
      </c>
      <c r="Q181" t="s">
        <v>1280</v>
      </c>
      <c r="R181" t="s">
        <v>1280</v>
      </c>
      <c r="S181" t="s">
        <v>1510</v>
      </c>
      <c r="T181">
        <v>36</v>
      </c>
      <c r="U181">
        <f>IF(Table__192.168.1.150_M_CONSOLIDATED_Delinquency_Compulsory_EOM[[#This Row],[Days in Arrears]] &lt; 8, Table__192.168.1.150_M_CONSOLIDATED_Delinquency_Compulsory_EOM[[#This Row],[Outstanding Balance]], 0 )</f>
        <v>0</v>
      </c>
      <c r="V1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17577677.190000001</v>
      </c>
      <c r="W1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1" s="105" t="str">
        <f>VLOOKUP(Table__192.168.1.150_M_CONSOLIDATED_Delinquency_Compulsory_EOM[[#This Row],[Client No]],'Global Portfolio'!$B$2:$N$2500,10,FALSE)</f>
        <v>Real Estate and Rental</v>
      </c>
      <c r="AA181" s="105" t="str">
        <f>VLOOKUP(Table__192.168.1.150_M_CONSOLIDATED_Delinquency_Compulsory_EOM[[#This Row],[Client No]],'Global Portfolio'!$B$2:$N$2500,11,FALSE)</f>
        <v>Real Estate</v>
      </c>
      <c r="AB181" s="105" t="str">
        <f>VLOOKUP(Table__192.168.1.150_M_CONSOLIDATED_Delinquency_Compulsory_EOM[[#This Row],[Client No]],'Global Portfolio'!$B$2:$N$2500,12,FALSE)</f>
        <v>Real Estate</v>
      </c>
    </row>
    <row r="182" spans="1:28" x14ac:dyDescent="0.25">
      <c r="A182">
        <v>102607</v>
      </c>
      <c r="B182" t="s">
        <v>1530</v>
      </c>
      <c r="C182" t="s">
        <v>1533</v>
      </c>
      <c r="D182" t="s">
        <v>1283</v>
      </c>
      <c r="E182">
        <v>-24</v>
      </c>
      <c r="F182">
        <v>31000000</v>
      </c>
      <c r="G182">
        <v>20417599.690000001</v>
      </c>
      <c r="H182">
        <v>1425431.86</v>
      </c>
      <c r="I182" t="s">
        <v>2861</v>
      </c>
      <c r="J182">
        <v>1631765.47</v>
      </c>
      <c r="K182">
        <v>0</v>
      </c>
      <c r="L182">
        <v>102088</v>
      </c>
      <c r="M182">
        <v>27083205.48</v>
      </c>
      <c r="N182" s="143">
        <v>42511.555987268519</v>
      </c>
      <c r="O182" s="143">
        <v>43610</v>
      </c>
      <c r="P182" t="s">
        <v>1534</v>
      </c>
      <c r="Q182" t="s">
        <v>1280</v>
      </c>
      <c r="R182" t="s">
        <v>1535</v>
      </c>
      <c r="S182" t="s">
        <v>1510</v>
      </c>
      <c r="T182">
        <v>36</v>
      </c>
      <c r="U182">
        <f>IF(Table__192.168.1.150_M_CONSOLIDATED_Delinquency_Compulsory_EOM[[#This Row],[Days in Arrears]] &lt; 8, Table__192.168.1.150_M_CONSOLIDATED_Delinquency_Compulsory_EOM[[#This Row],[Outstanding Balance]], 0 )</f>
        <v>20417599.690000001</v>
      </c>
      <c r="V1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2" s="105" t="str">
        <f>VLOOKUP(Table__192.168.1.150_M_CONSOLIDATED_Delinquency_Compulsory_EOM[[#This Row],[Client No]],'Global Portfolio'!$B$2:$N$2500,10,FALSE)</f>
        <v>Real Estate and Rental</v>
      </c>
      <c r="AA182" s="105" t="str">
        <f>VLOOKUP(Table__192.168.1.150_M_CONSOLIDATED_Delinquency_Compulsory_EOM[[#This Row],[Client No]],'Global Portfolio'!$B$2:$N$2500,11,FALSE)</f>
        <v>Real Estate</v>
      </c>
      <c r="AB182" s="105" t="str">
        <f>VLOOKUP(Table__192.168.1.150_M_CONSOLIDATED_Delinquency_Compulsory_EOM[[#This Row],[Client No]],'Global Portfolio'!$B$2:$N$2500,12,FALSE)</f>
        <v>Others</v>
      </c>
    </row>
    <row r="183" spans="1:28" x14ac:dyDescent="0.25">
      <c r="A183">
        <v>102608</v>
      </c>
      <c r="B183" t="s">
        <v>1255</v>
      </c>
      <c r="C183" t="s">
        <v>1973</v>
      </c>
      <c r="D183" t="s">
        <v>1282</v>
      </c>
      <c r="E183">
        <v>100</v>
      </c>
      <c r="F183">
        <v>12346030</v>
      </c>
      <c r="G183">
        <v>8898075.0199999996</v>
      </c>
      <c r="H183">
        <v>490876</v>
      </c>
      <c r="I183" t="s">
        <v>5726</v>
      </c>
      <c r="J183">
        <v>0</v>
      </c>
      <c r="K183">
        <v>0</v>
      </c>
      <c r="L183">
        <v>357861.44</v>
      </c>
      <c r="M183">
        <v>11289588.140000001</v>
      </c>
      <c r="N183" s="143">
        <v>42511.570760416667</v>
      </c>
      <c r="O183" s="143">
        <v>43606</v>
      </c>
      <c r="P183" t="s">
        <v>1523</v>
      </c>
      <c r="Q183" t="s">
        <v>1280</v>
      </c>
      <c r="R183" t="s">
        <v>1280</v>
      </c>
      <c r="S183" t="s">
        <v>1510</v>
      </c>
      <c r="T183">
        <v>25</v>
      </c>
      <c r="U183">
        <f>IF(Table__192.168.1.150_M_CONSOLIDATED_Delinquency_Compulsory_EOM[[#This Row],[Days in Arrears]] &lt; 8, Table__192.168.1.150_M_CONSOLIDATED_Delinquency_Compulsory_EOM[[#This Row],[Outstanding Balance]], 0 )</f>
        <v>0</v>
      </c>
      <c r="V1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8898075.0199999996</v>
      </c>
      <c r="Z183" s="105" t="str">
        <f>VLOOKUP(Table__192.168.1.150_M_CONSOLIDATED_Delinquency_Compulsory_EOM[[#This Row],[Client No]],'Global Portfolio'!$B$2:$N$2500,10,FALSE)</f>
        <v>Finance and Insurance</v>
      </c>
      <c r="AA183" s="105" t="str">
        <f>VLOOKUP(Table__192.168.1.150_M_CONSOLIDATED_Delinquency_Compulsory_EOM[[#This Row],[Client No]],'Global Portfolio'!$B$2:$N$2500,11,FALSE)</f>
        <v>Finance</v>
      </c>
      <c r="AB183" s="105" t="str">
        <f>VLOOKUP(Table__192.168.1.150_M_CONSOLIDATED_Delinquency_Compulsory_EOM[[#This Row],[Client No]],'Global Portfolio'!$B$2:$N$2500,12,FALSE)</f>
        <v>Microfinance Institutions</v>
      </c>
    </row>
    <row r="184" spans="1:28" x14ac:dyDescent="0.25">
      <c r="A184">
        <v>102609</v>
      </c>
      <c r="B184" t="s">
        <v>2100</v>
      </c>
      <c r="C184" t="s">
        <v>2113</v>
      </c>
      <c r="D184" t="s">
        <v>1281</v>
      </c>
      <c r="E184">
        <v>100</v>
      </c>
      <c r="F184">
        <v>15500000</v>
      </c>
      <c r="G184">
        <v>5400586.4299999997</v>
      </c>
      <c r="H184">
        <v>1224396.5900000001</v>
      </c>
      <c r="I184" t="s">
        <v>468</v>
      </c>
      <c r="J184">
        <v>0</v>
      </c>
      <c r="K184">
        <v>0</v>
      </c>
      <c r="L184">
        <v>171851.34</v>
      </c>
      <c r="M184">
        <v>5853741.4400000004</v>
      </c>
      <c r="N184" s="143">
        <v>42511.581972997687</v>
      </c>
      <c r="O184" s="143">
        <v>43060</v>
      </c>
      <c r="P184" t="s">
        <v>2114</v>
      </c>
      <c r="Q184" t="s">
        <v>1280</v>
      </c>
      <c r="R184" t="s">
        <v>1280</v>
      </c>
      <c r="S184" t="s">
        <v>1510</v>
      </c>
      <c r="T184">
        <v>48</v>
      </c>
      <c r="U184">
        <f>IF(Table__192.168.1.150_M_CONSOLIDATED_Delinquency_Compulsory_EOM[[#This Row],[Days in Arrears]] &lt; 8, Table__192.168.1.150_M_CONSOLIDATED_Delinquency_Compulsory_EOM[[#This Row],[Outstanding Balance]], 0 )</f>
        <v>0</v>
      </c>
      <c r="V1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5400586.4299999997</v>
      </c>
      <c r="Z184" s="105" t="str">
        <f>VLOOKUP(Table__192.168.1.150_M_CONSOLIDATED_Delinquency_Compulsory_EOM[[#This Row],[Client No]],'Global Portfolio'!$B$2:$N$2500,10,FALSE)</f>
        <v>Manufacturing</v>
      </c>
      <c r="AA184" s="105" t="str">
        <f>VLOOKUP(Table__192.168.1.150_M_CONSOLIDATED_Delinquency_Compulsory_EOM[[#This Row],[Client No]],'Global Portfolio'!$B$2:$N$2500,11,FALSE)</f>
        <v>Fabricated Metal Product Manufacturing</v>
      </c>
      <c r="AB184" s="105" t="str">
        <f>VLOOKUP(Table__192.168.1.150_M_CONSOLIDATED_Delinquency_Compulsory_EOM[[#This Row],[Client No]],'Global Portfolio'!$B$2:$N$2500,12,FALSE)</f>
        <v>Architectural &amp; Structural Metals</v>
      </c>
    </row>
    <row r="185" spans="1:28" x14ac:dyDescent="0.25">
      <c r="A185">
        <v>102611</v>
      </c>
      <c r="B185" t="s">
        <v>1566</v>
      </c>
      <c r="C185" t="s">
        <v>1597</v>
      </c>
      <c r="D185" t="s">
        <v>1284</v>
      </c>
      <c r="E185">
        <v>-2</v>
      </c>
      <c r="F185">
        <v>50000000</v>
      </c>
      <c r="G185">
        <v>40735858.659999996</v>
      </c>
      <c r="H185">
        <v>1998101.2</v>
      </c>
      <c r="I185" t="s">
        <v>491</v>
      </c>
      <c r="J185">
        <v>123537.38</v>
      </c>
      <c r="K185">
        <v>2500000</v>
      </c>
      <c r="L185">
        <v>1811787.91</v>
      </c>
      <c r="M185">
        <v>63931620.770000003</v>
      </c>
      <c r="N185" s="143">
        <v>42513.546250266205</v>
      </c>
      <c r="O185" s="143">
        <v>43985</v>
      </c>
      <c r="P185" t="s">
        <v>1598</v>
      </c>
      <c r="Q185" t="s">
        <v>1599</v>
      </c>
      <c r="R185" t="s">
        <v>1280</v>
      </c>
      <c r="S185" t="s">
        <v>1510</v>
      </c>
      <c r="T185">
        <v>36</v>
      </c>
      <c r="U185">
        <f>IF(Table__192.168.1.150_M_CONSOLIDATED_Delinquency_Compulsory_EOM[[#This Row],[Days in Arrears]] &lt; 8, Table__192.168.1.150_M_CONSOLIDATED_Delinquency_Compulsory_EOM[[#This Row],[Outstanding Balance]], 0 )</f>
        <v>40735858.659999996</v>
      </c>
      <c r="V1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5" s="105" t="str">
        <f>VLOOKUP(Table__192.168.1.150_M_CONSOLIDATED_Delinquency_Compulsory_EOM[[#This Row],[Client No]],'Global Portfolio'!$B$2:$N$2500,10,FALSE)</f>
        <v>Retail</v>
      </c>
      <c r="AA185" s="105" t="str">
        <f>VLOOKUP(Table__192.168.1.150_M_CONSOLIDATED_Delinquency_Compulsory_EOM[[#This Row],[Client No]],'Global Portfolio'!$B$2:$N$2500,11,FALSE)</f>
        <v>General Merchandise Stores</v>
      </c>
      <c r="AB185" s="105" t="str">
        <f>VLOOKUP(Table__192.168.1.150_M_CONSOLIDATED_Delinquency_Compulsory_EOM[[#This Row],[Client No]],'Global Portfolio'!$B$2:$N$2500,12,FALSE)</f>
        <v>Others</v>
      </c>
    </row>
    <row r="186" spans="1:28" x14ac:dyDescent="0.25">
      <c r="A186">
        <v>102613</v>
      </c>
      <c r="B186" t="s">
        <v>1016</v>
      </c>
      <c r="C186" t="s">
        <v>1017</v>
      </c>
      <c r="D186" t="s">
        <v>1284</v>
      </c>
      <c r="E186">
        <v>0</v>
      </c>
      <c r="F186">
        <v>54043930</v>
      </c>
      <c r="G186">
        <v>43906695.079999998</v>
      </c>
      <c r="H186">
        <v>2153474.91</v>
      </c>
      <c r="I186" t="s">
        <v>1039</v>
      </c>
      <c r="J186">
        <v>433046.75</v>
      </c>
      <c r="K186">
        <v>0</v>
      </c>
      <c r="L186">
        <v>1273294.1599999999</v>
      </c>
      <c r="M186">
        <v>68911197.269999996</v>
      </c>
      <c r="N186" s="143">
        <v>42514.419436111108</v>
      </c>
      <c r="O186" s="143">
        <v>43983</v>
      </c>
      <c r="P186" t="s">
        <v>1018</v>
      </c>
      <c r="Q186" t="s">
        <v>1280</v>
      </c>
      <c r="R186" t="s">
        <v>1280</v>
      </c>
      <c r="S186" t="s">
        <v>1510</v>
      </c>
      <c r="T186">
        <v>36</v>
      </c>
      <c r="U186">
        <f>IF(Table__192.168.1.150_M_CONSOLIDATED_Delinquency_Compulsory_EOM[[#This Row],[Days in Arrears]] &lt; 8, Table__192.168.1.150_M_CONSOLIDATED_Delinquency_Compulsory_EOM[[#This Row],[Outstanding Balance]], 0 )</f>
        <v>43906695.079999998</v>
      </c>
      <c r="V1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6" s="105" t="str">
        <f>VLOOKUP(Table__192.168.1.150_M_CONSOLIDATED_Delinquency_Compulsory_EOM[[#This Row],[Client No]],'Global Portfolio'!$B$2:$N$2500,10,FALSE)</f>
        <v>Real Estate and Rental</v>
      </c>
      <c r="AA186" s="105" t="str">
        <f>VLOOKUP(Table__192.168.1.150_M_CONSOLIDATED_Delinquency_Compulsory_EOM[[#This Row],[Client No]],'Global Portfolio'!$B$2:$N$2500,11,FALSE)</f>
        <v>Real Estate</v>
      </c>
      <c r="AB186" s="105" t="str">
        <f>VLOOKUP(Table__192.168.1.150_M_CONSOLIDATED_Delinquency_Compulsory_EOM[[#This Row],[Client No]],'Global Portfolio'!$B$2:$N$2500,12,FALSE)</f>
        <v>Real Estate</v>
      </c>
    </row>
    <row r="187" spans="1:28" x14ac:dyDescent="0.25">
      <c r="A187">
        <v>102615</v>
      </c>
      <c r="B187" t="s">
        <v>2137</v>
      </c>
      <c r="C187" t="s">
        <v>2142</v>
      </c>
      <c r="D187" t="s">
        <v>1281</v>
      </c>
      <c r="E187">
        <v>29</v>
      </c>
      <c r="F187">
        <v>25000000</v>
      </c>
      <c r="G187">
        <v>18739207.460000001</v>
      </c>
      <c r="H187">
        <v>1335732.69</v>
      </c>
      <c r="I187" t="s">
        <v>1191</v>
      </c>
      <c r="J187">
        <v>0</v>
      </c>
      <c r="K187">
        <v>0</v>
      </c>
      <c r="L187">
        <v>1314284.49</v>
      </c>
      <c r="M187">
        <v>27737388.879999999</v>
      </c>
      <c r="N187" s="143">
        <v>42514.757372719905</v>
      </c>
      <c r="O187" s="143">
        <v>43618</v>
      </c>
      <c r="P187" t="s">
        <v>2143</v>
      </c>
      <c r="Q187" t="s">
        <v>1280</v>
      </c>
      <c r="R187" t="s">
        <v>1280</v>
      </c>
      <c r="S187" t="s">
        <v>1510</v>
      </c>
      <c r="T187">
        <v>48</v>
      </c>
      <c r="U187">
        <f>IF(Table__192.168.1.150_M_CONSOLIDATED_Delinquency_Compulsory_EOM[[#This Row],[Days in Arrears]] &lt; 8, Table__192.168.1.150_M_CONSOLIDATED_Delinquency_Compulsory_EOM[[#This Row],[Outstanding Balance]], 0 )</f>
        <v>0</v>
      </c>
      <c r="V1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18739207.460000001</v>
      </c>
      <c r="W1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7" s="105" t="str">
        <f>VLOOKUP(Table__192.168.1.150_M_CONSOLIDATED_Delinquency_Compulsory_EOM[[#This Row],[Client No]],'Global Portfolio'!$B$2:$N$2500,10,FALSE)</f>
        <v>Health Care</v>
      </c>
      <c r="AA187" s="105" t="str">
        <f>VLOOKUP(Table__192.168.1.150_M_CONSOLIDATED_Delinquency_Compulsory_EOM[[#This Row],[Client No]],'Global Portfolio'!$B$2:$N$2500,11,FALSE)</f>
        <v>Health Care</v>
      </c>
      <c r="AB187" s="105" t="str">
        <f>VLOOKUP(Table__192.168.1.150_M_CONSOLIDATED_Delinquency_Compulsory_EOM[[#This Row],[Client No]],'Global Portfolio'!$B$2:$N$2500,12,FALSE)</f>
        <v>Offices of Dentists</v>
      </c>
    </row>
    <row r="188" spans="1:28" x14ac:dyDescent="0.25">
      <c r="A188">
        <v>102616</v>
      </c>
      <c r="B188" t="s">
        <v>453</v>
      </c>
      <c r="C188" t="s">
        <v>2144</v>
      </c>
      <c r="D188" t="s">
        <v>1282</v>
      </c>
      <c r="E188">
        <v>66</v>
      </c>
      <c r="F188">
        <v>8000000</v>
      </c>
      <c r="G188">
        <v>691854.69</v>
      </c>
      <c r="H188">
        <v>719528.8</v>
      </c>
      <c r="I188" t="s">
        <v>1909</v>
      </c>
      <c r="J188">
        <v>0</v>
      </c>
      <c r="K188">
        <v>0</v>
      </c>
      <c r="L188">
        <v>27674.19</v>
      </c>
      <c r="M188">
        <v>719528.88</v>
      </c>
      <c r="N188" s="143">
        <v>42515.406449224538</v>
      </c>
      <c r="O188" s="143">
        <v>42972</v>
      </c>
      <c r="P188" t="s">
        <v>2145</v>
      </c>
      <c r="Q188" t="s">
        <v>2146</v>
      </c>
      <c r="R188" t="s">
        <v>1280</v>
      </c>
      <c r="S188" t="s">
        <v>1510</v>
      </c>
      <c r="T188">
        <v>48</v>
      </c>
      <c r="U188">
        <f>IF(Table__192.168.1.150_M_CONSOLIDATED_Delinquency_Compulsory_EOM[[#This Row],[Days in Arrears]] &lt; 8, Table__192.168.1.150_M_CONSOLIDATED_Delinquency_Compulsory_EOM[[#This Row],[Outstanding Balance]], 0 )</f>
        <v>0</v>
      </c>
      <c r="V1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691854.69</v>
      </c>
      <c r="Y1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8" s="105" t="str">
        <f>VLOOKUP(Table__192.168.1.150_M_CONSOLIDATED_Delinquency_Compulsory_EOM[[#This Row],[Client No]],'Global Portfolio'!$B$2:$N$2500,10,FALSE)</f>
        <v>Real Estate and Rental</v>
      </c>
      <c r="AA188" s="105" t="str">
        <f>VLOOKUP(Table__192.168.1.150_M_CONSOLIDATED_Delinquency_Compulsory_EOM[[#This Row],[Client No]],'Global Portfolio'!$B$2:$N$2500,11,FALSE)</f>
        <v>Real Estate</v>
      </c>
      <c r="AB188" s="105" t="str">
        <f>VLOOKUP(Table__192.168.1.150_M_CONSOLIDATED_Delinquency_Compulsory_EOM[[#This Row],[Client No]],'Global Portfolio'!$B$2:$N$2500,12,FALSE)</f>
        <v>Others</v>
      </c>
    </row>
    <row r="189" spans="1:28" x14ac:dyDescent="0.25">
      <c r="A189">
        <v>102618</v>
      </c>
      <c r="B189" t="s">
        <v>199</v>
      </c>
      <c r="C189" t="s">
        <v>1482</v>
      </c>
      <c r="D189" t="s">
        <v>1866</v>
      </c>
      <c r="E189">
        <v>60</v>
      </c>
      <c r="F189">
        <v>7000000</v>
      </c>
      <c r="G189">
        <v>502964.77</v>
      </c>
      <c r="H189">
        <v>619352.26</v>
      </c>
      <c r="I189" t="s">
        <v>1191</v>
      </c>
      <c r="J189">
        <v>0</v>
      </c>
      <c r="K189">
        <v>0</v>
      </c>
      <c r="L189">
        <v>0</v>
      </c>
      <c r="M189">
        <v>502964.77</v>
      </c>
      <c r="N189" s="143">
        <v>42515.50470528935</v>
      </c>
      <c r="O189" s="143">
        <v>42979</v>
      </c>
      <c r="P189" t="s">
        <v>1483</v>
      </c>
      <c r="Q189" t="s">
        <v>1280</v>
      </c>
      <c r="R189" t="s">
        <v>1280</v>
      </c>
      <c r="S189" t="s">
        <v>1510</v>
      </c>
      <c r="T189">
        <v>44</v>
      </c>
      <c r="U189">
        <f>IF(Table__192.168.1.150_M_CONSOLIDATED_Delinquency_Compulsory_EOM[[#This Row],[Days in Arrears]] &lt; 8, Table__192.168.1.150_M_CONSOLIDATED_Delinquency_Compulsory_EOM[[#This Row],[Outstanding Balance]], 0 )</f>
        <v>0</v>
      </c>
      <c r="V1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502964.77</v>
      </c>
      <c r="Y1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89" s="105" t="str">
        <f>VLOOKUP(Table__192.168.1.150_M_CONSOLIDATED_Delinquency_Compulsory_EOM[[#This Row],[Client No]],'Global Portfolio'!$B$2:$N$2500,10,FALSE)</f>
        <v>Real Estate and Rental</v>
      </c>
      <c r="AA189" s="105" t="str">
        <f>VLOOKUP(Table__192.168.1.150_M_CONSOLIDATED_Delinquency_Compulsory_EOM[[#This Row],[Client No]],'Global Portfolio'!$B$2:$N$2500,11,FALSE)</f>
        <v>Real Estate</v>
      </c>
      <c r="AB189" s="105" t="str">
        <f>VLOOKUP(Table__192.168.1.150_M_CONSOLIDATED_Delinquency_Compulsory_EOM[[#This Row],[Client No]],'Global Portfolio'!$B$2:$N$2500,12,FALSE)</f>
        <v>Real Estate</v>
      </c>
    </row>
    <row r="190" spans="1:28" x14ac:dyDescent="0.25">
      <c r="A190">
        <v>102619</v>
      </c>
      <c r="B190" t="s">
        <v>301</v>
      </c>
      <c r="C190" t="s">
        <v>302</v>
      </c>
      <c r="D190" t="s">
        <v>1281</v>
      </c>
      <c r="E190">
        <v>-4</v>
      </c>
      <c r="F190">
        <v>25000000</v>
      </c>
      <c r="G190">
        <v>17708548.25</v>
      </c>
      <c r="H190">
        <v>1245992.52</v>
      </c>
      <c r="I190" t="s">
        <v>468</v>
      </c>
      <c r="J190">
        <v>0</v>
      </c>
      <c r="K190">
        <v>1875000</v>
      </c>
      <c r="L190">
        <v>516499.32</v>
      </c>
      <c r="M190">
        <v>24919850.460000001</v>
      </c>
      <c r="N190" s="143">
        <v>42515.566288078706</v>
      </c>
      <c r="O190" s="143">
        <v>43621</v>
      </c>
      <c r="P190" t="s">
        <v>303</v>
      </c>
      <c r="Q190" t="s">
        <v>304</v>
      </c>
      <c r="R190" t="s">
        <v>1280</v>
      </c>
      <c r="S190" t="s">
        <v>1510</v>
      </c>
      <c r="T190">
        <v>42</v>
      </c>
      <c r="U190">
        <f>IF(Table__192.168.1.150_M_CONSOLIDATED_Delinquency_Compulsory_EOM[[#This Row],[Days in Arrears]] &lt; 8, Table__192.168.1.150_M_CONSOLIDATED_Delinquency_Compulsory_EOM[[#This Row],[Outstanding Balance]], 0 )</f>
        <v>17708548.25</v>
      </c>
      <c r="V1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0" s="105" t="str">
        <f>VLOOKUP(Table__192.168.1.150_M_CONSOLIDATED_Delinquency_Compulsory_EOM[[#This Row],[Client No]],'Global Portfolio'!$B$2:$N$2500,10,FALSE)</f>
        <v>Retail</v>
      </c>
      <c r="AA190" s="105" t="str">
        <f>VLOOKUP(Table__192.168.1.150_M_CONSOLIDATED_Delinquency_Compulsory_EOM[[#This Row],[Client No]],'Global Portfolio'!$B$2:$N$2500,11,FALSE)</f>
        <v>Building Material and Garden Equipment</v>
      </c>
      <c r="AB190" s="105" t="str">
        <f>VLOOKUP(Table__192.168.1.150_M_CONSOLIDATED_Delinquency_Compulsory_EOM[[#This Row],[Client No]],'Global Portfolio'!$B$2:$N$2500,12,FALSE)</f>
        <v>Others</v>
      </c>
    </row>
    <row r="191" spans="1:28" x14ac:dyDescent="0.25">
      <c r="A191">
        <v>102620</v>
      </c>
      <c r="B191" t="s">
        <v>2132</v>
      </c>
      <c r="C191" t="s">
        <v>2147</v>
      </c>
      <c r="D191" t="s">
        <v>1281</v>
      </c>
      <c r="E191">
        <v>30</v>
      </c>
      <c r="F191">
        <v>18500000</v>
      </c>
      <c r="G191">
        <v>9091104.7799999993</v>
      </c>
      <c r="H191">
        <v>1222689.8899999999</v>
      </c>
      <c r="I191" t="s">
        <v>468</v>
      </c>
      <c r="J191">
        <v>0</v>
      </c>
      <c r="K191">
        <v>0</v>
      </c>
      <c r="L191">
        <v>654928.91</v>
      </c>
      <c r="M191">
        <v>10977187.439999999</v>
      </c>
      <c r="N191" s="143">
        <v>42515.655396678238</v>
      </c>
      <c r="O191" s="143">
        <v>43252</v>
      </c>
      <c r="P191" t="s">
        <v>2148</v>
      </c>
      <c r="Q191" t="s">
        <v>1280</v>
      </c>
      <c r="R191" t="s">
        <v>1280</v>
      </c>
      <c r="S191" t="s">
        <v>1510</v>
      </c>
      <c r="T191">
        <v>48</v>
      </c>
      <c r="U191">
        <f>IF(Table__192.168.1.150_M_CONSOLIDATED_Delinquency_Compulsory_EOM[[#This Row],[Days in Arrears]] &lt; 8, Table__192.168.1.150_M_CONSOLIDATED_Delinquency_Compulsory_EOM[[#This Row],[Outstanding Balance]], 0 )</f>
        <v>0</v>
      </c>
      <c r="V1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9091104.7799999993</v>
      </c>
      <c r="X1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1" s="105" t="str">
        <f>VLOOKUP(Table__192.168.1.150_M_CONSOLIDATED_Delinquency_Compulsory_EOM[[#This Row],[Client No]],'Global Portfolio'!$B$2:$N$2500,10,FALSE)</f>
        <v>Retail</v>
      </c>
      <c r="AA191" s="105" t="str">
        <f>VLOOKUP(Table__192.168.1.150_M_CONSOLIDATED_Delinquency_Compulsory_EOM[[#This Row],[Client No]],'Global Portfolio'!$B$2:$N$2500,11,FALSE)</f>
        <v>General Merchandise Stores</v>
      </c>
      <c r="AB191" s="105" t="str">
        <f>VLOOKUP(Table__192.168.1.150_M_CONSOLIDATED_Delinquency_Compulsory_EOM[[#This Row],[Client No]],'Global Portfolio'!$B$2:$N$2500,12,FALSE)</f>
        <v>General Stores</v>
      </c>
    </row>
    <row r="192" spans="1:28" x14ac:dyDescent="0.25">
      <c r="A192">
        <v>102626</v>
      </c>
      <c r="B192" t="s">
        <v>134</v>
      </c>
      <c r="C192" t="s">
        <v>135</v>
      </c>
      <c r="D192" t="s">
        <v>1283</v>
      </c>
      <c r="E192">
        <v>0</v>
      </c>
      <c r="F192">
        <v>31000000</v>
      </c>
      <c r="G192">
        <v>12899235.43</v>
      </c>
      <c r="H192">
        <v>1837578.52</v>
      </c>
      <c r="I192" t="s">
        <v>1191</v>
      </c>
      <c r="J192">
        <v>0</v>
      </c>
      <c r="K192">
        <v>0</v>
      </c>
      <c r="L192">
        <v>374077.83</v>
      </c>
      <c r="M192">
        <v>14700627.960000001</v>
      </c>
      <c r="N192" s="143">
        <v>42517.672851238429</v>
      </c>
      <c r="O192" s="143">
        <v>43252</v>
      </c>
      <c r="P192" t="s">
        <v>136</v>
      </c>
      <c r="Q192" t="s">
        <v>137</v>
      </c>
      <c r="R192" t="s">
        <v>138</v>
      </c>
      <c r="S192" t="s">
        <v>1510</v>
      </c>
      <c r="T192">
        <v>36</v>
      </c>
      <c r="U192">
        <f>IF(Table__192.168.1.150_M_CONSOLIDATED_Delinquency_Compulsory_EOM[[#This Row],[Days in Arrears]] &lt; 8, Table__192.168.1.150_M_CONSOLIDATED_Delinquency_Compulsory_EOM[[#This Row],[Outstanding Balance]], 0 )</f>
        <v>12899235.43</v>
      </c>
      <c r="V1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2" s="105" t="str">
        <f>VLOOKUP(Table__192.168.1.150_M_CONSOLIDATED_Delinquency_Compulsory_EOM[[#This Row],[Client No]],'Global Portfolio'!$B$2:$N$2500,10,FALSE)</f>
        <v>Retail</v>
      </c>
      <c r="AA192" s="105" t="str">
        <f>VLOOKUP(Table__192.168.1.150_M_CONSOLIDATED_Delinquency_Compulsory_EOM[[#This Row],[Client No]],'Global Portfolio'!$B$2:$N$2500,11,FALSE)</f>
        <v>Building Material and Garden Equipment</v>
      </c>
      <c r="AB192" s="105" t="str">
        <f>VLOOKUP(Table__192.168.1.150_M_CONSOLIDATED_Delinquency_Compulsory_EOM[[#This Row],[Client No]],'Global Portfolio'!$B$2:$N$2500,12,FALSE)</f>
        <v>Hardware Stores</v>
      </c>
    </row>
    <row r="193" spans="1:28" x14ac:dyDescent="0.25">
      <c r="A193">
        <v>102630</v>
      </c>
      <c r="B193" t="s">
        <v>2176</v>
      </c>
      <c r="C193" t="s">
        <v>2177</v>
      </c>
      <c r="D193" t="s">
        <v>1281</v>
      </c>
      <c r="E193">
        <v>180</v>
      </c>
      <c r="F193">
        <v>15500000</v>
      </c>
      <c r="G193">
        <v>10535979.98</v>
      </c>
      <c r="H193">
        <v>1017899.21</v>
      </c>
      <c r="I193" t="s">
        <v>5726</v>
      </c>
      <c r="J193">
        <v>0</v>
      </c>
      <c r="K193">
        <v>0</v>
      </c>
      <c r="L193">
        <v>393022.81</v>
      </c>
      <c r="M193">
        <v>13604286.699999999</v>
      </c>
      <c r="N193" s="143">
        <v>42520.556637766203</v>
      </c>
      <c r="O193" s="143">
        <v>43252</v>
      </c>
      <c r="P193" t="s">
        <v>2178</v>
      </c>
      <c r="Q193" t="s">
        <v>2179</v>
      </c>
      <c r="R193" t="s">
        <v>1280</v>
      </c>
      <c r="S193" t="s">
        <v>1510</v>
      </c>
      <c r="T193">
        <v>48</v>
      </c>
      <c r="U193">
        <f>IF(Table__192.168.1.150_M_CONSOLIDATED_Delinquency_Compulsory_EOM[[#This Row],[Days in Arrears]] &lt; 8, Table__192.168.1.150_M_CONSOLIDATED_Delinquency_Compulsory_EOM[[#This Row],[Outstanding Balance]], 0 )</f>
        <v>0</v>
      </c>
      <c r="V1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10535979.98</v>
      </c>
      <c r="Z193" s="105" t="str">
        <f>VLOOKUP(Table__192.168.1.150_M_CONSOLIDATED_Delinquency_Compulsory_EOM[[#This Row],[Client No]],'Global Portfolio'!$B$2:$N$2500,10,FALSE)</f>
        <v>Retail</v>
      </c>
      <c r="AA193" s="105" t="str">
        <f>VLOOKUP(Table__192.168.1.150_M_CONSOLIDATED_Delinquency_Compulsory_EOM[[#This Row],[Client No]],'Global Portfolio'!$B$2:$N$2500,11,FALSE)</f>
        <v>Food and Beverage Stores</v>
      </c>
      <c r="AB193" s="105" t="str">
        <f>VLOOKUP(Table__192.168.1.150_M_CONSOLIDATED_Delinquency_Compulsory_EOM[[#This Row],[Client No]],'Global Portfolio'!$B$2:$N$2500,12,FALSE)</f>
        <v>Grocery</v>
      </c>
    </row>
    <row r="194" spans="1:28" x14ac:dyDescent="0.25">
      <c r="A194">
        <v>102631</v>
      </c>
      <c r="B194" t="s">
        <v>1291</v>
      </c>
      <c r="C194" t="s">
        <v>1292</v>
      </c>
      <c r="D194" t="s">
        <v>1282</v>
      </c>
      <c r="E194">
        <v>-4</v>
      </c>
      <c r="F194">
        <v>12556138</v>
      </c>
      <c r="G194">
        <v>1882716.93</v>
      </c>
      <c r="H194">
        <v>998209.15</v>
      </c>
      <c r="I194" t="s">
        <v>963</v>
      </c>
      <c r="J194">
        <v>75353.66</v>
      </c>
      <c r="K194">
        <v>0</v>
      </c>
      <c r="L194">
        <v>62757.23</v>
      </c>
      <c r="M194">
        <v>1996418.27</v>
      </c>
      <c r="N194" s="143">
        <v>42520.646828206016</v>
      </c>
      <c r="O194" s="143">
        <v>43074</v>
      </c>
      <c r="P194" t="s">
        <v>1293</v>
      </c>
      <c r="Q194" t="s">
        <v>1280</v>
      </c>
      <c r="R194" t="s">
        <v>1280</v>
      </c>
      <c r="S194" t="s">
        <v>1510</v>
      </c>
      <c r="T194">
        <v>48</v>
      </c>
      <c r="U194">
        <f>IF(Table__192.168.1.150_M_CONSOLIDATED_Delinquency_Compulsory_EOM[[#This Row],[Days in Arrears]] &lt; 8, Table__192.168.1.150_M_CONSOLIDATED_Delinquency_Compulsory_EOM[[#This Row],[Outstanding Balance]], 0 )</f>
        <v>1882716.93</v>
      </c>
      <c r="V1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4" s="105" t="str">
        <f>VLOOKUP(Table__192.168.1.150_M_CONSOLIDATED_Delinquency_Compulsory_EOM[[#This Row],[Client No]],'Global Portfolio'!$B$2:$N$2500,10,FALSE)</f>
        <v>Retail</v>
      </c>
      <c r="AA194" s="105" t="str">
        <f>VLOOKUP(Table__192.168.1.150_M_CONSOLIDATED_Delinquency_Compulsory_EOM[[#This Row],[Client No]],'Global Portfolio'!$B$2:$N$2500,11,FALSE)</f>
        <v>Building Material and Garden Equipment</v>
      </c>
      <c r="AB194" s="105" t="str">
        <f>VLOOKUP(Table__192.168.1.150_M_CONSOLIDATED_Delinquency_Compulsory_EOM[[#This Row],[Client No]],'Global Portfolio'!$B$2:$N$2500,12,FALSE)</f>
        <v>Hardware Stores</v>
      </c>
    </row>
    <row r="195" spans="1:28" x14ac:dyDescent="0.25">
      <c r="A195">
        <v>102632</v>
      </c>
      <c r="B195" t="s">
        <v>834</v>
      </c>
      <c r="C195" t="s">
        <v>836</v>
      </c>
      <c r="D195" t="s">
        <v>1284</v>
      </c>
      <c r="E195">
        <v>-4</v>
      </c>
      <c r="F195">
        <v>50000000</v>
      </c>
      <c r="G195">
        <v>20825339.829999998</v>
      </c>
      <c r="H195">
        <v>2966702.69</v>
      </c>
      <c r="I195" t="s">
        <v>546</v>
      </c>
      <c r="J195">
        <v>0</v>
      </c>
      <c r="K195">
        <v>2500000</v>
      </c>
      <c r="L195">
        <v>520633.5</v>
      </c>
      <c r="M195">
        <v>23733621.68</v>
      </c>
      <c r="N195" s="143">
        <v>42520.70437172454</v>
      </c>
      <c r="O195" s="143">
        <v>43256</v>
      </c>
      <c r="P195" t="s">
        <v>837</v>
      </c>
      <c r="Q195" t="s">
        <v>1280</v>
      </c>
      <c r="R195" t="s">
        <v>1280</v>
      </c>
      <c r="S195" t="s">
        <v>1510</v>
      </c>
      <c r="T195">
        <v>36</v>
      </c>
      <c r="U195">
        <f>IF(Table__192.168.1.150_M_CONSOLIDATED_Delinquency_Compulsory_EOM[[#This Row],[Days in Arrears]] &lt; 8, Table__192.168.1.150_M_CONSOLIDATED_Delinquency_Compulsory_EOM[[#This Row],[Outstanding Balance]], 0 )</f>
        <v>20825339.829999998</v>
      </c>
      <c r="V1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5" s="105" t="str">
        <f>VLOOKUP(Table__192.168.1.150_M_CONSOLIDATED_Delinquency_Compulsory_EOM[[#This Row],[Client No]],'Global Portfolio'!$B$2:$N$2500,10,FALSE)</f>
        <v>Retail</v>
      </c>
      <c r="AA195" s="105" t="str">
        <f>VLOOKUP(Table__192.168.1.150_M_CONSOLIDATED_Delinquency_Compulsory_EOM[[#This Row],[Client No]],'Global Portfolio'!$B$2:$N$2500,11,FALSE)</f>
        <v>Motor Vehicle and Parts Dealers</v>
      </c>
      <c r="AB195" s="105" t="str">
        <f>VLOOKUP(Table__192.168.1.150_M_CONSOLIDATED_Delinquency_Compulsory_EOM[[#This Row],[Client No]],'Global Portfolio'!$B$2:$N$2500,12,FALSE)</f>
        <v>Automotive Parts, Accessories, &amp; Tire Stores</v>
      </c>
    </row>
    <row r="196" spans="1:28" x14ac:dyDescent="0.25">
      <c r="A196">
        <v>102633</v>
      </c>
      <c r="B196" t="s">
        <v>816</v>
      </c>
      <c r="C196" t="s">
        <v>818</v>
      </c>
      <c r="D196" t="s">
        <v>1283</v>
      </c>
      <c r="E196">
        <v>-9</v>
      </c>
      <c r="F196">
        <v>42000000</v>
      </c>
      <c r="G196">
        <v>34218121.240000002</v>
      </c>
      <c r="H196">
        <v>1678405.01</v>
      </c>
      <c r="I196" t="s">
        <v>90</v>
      </c>
      <c r="J196">
        <v>33987.93</v>
      </c>
      <c r="K196">
        <v>0</v>
      </c>
      <c r="L196">
        <v>1706499.37</v>
      </c>
      <c r="M196">
        <v>53702561.310000002</v>
      </c>
      <c r="N196" s="143">
        <v>42520.725074965281</v>
      </c>
      <c r="O196" s="143">
        <v>43992</v>
      </c>
      <c r="P196" t="s">
        <v>819</v>
      </c>
      <c r="Q196" t="s">
        <v>1280</v>
      </c>
      <c r="R196" t="s">
        <v>1280</v>
      </c>
      <c r="S196" t="s">
        <v>1510</v>
      </c>
      <c r="T196">
        <v>36</v>
      </c>
      <c r="U196">
        <f>IF(Table__192.168.1.150_M_CONSOLIDATED_Delinquency_Compulsory_EOM[[#This Row],[Days in Arrears]] &lt; 8, Table__192.168.1.150_M_CONSOLIDATED_Delinquency_Compulsory_EOM[[#This Row],[Outstanding Balance]], 0 )</f>
        <v>34218121.240000002</v>
      </c>
      <c r="V1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6" s="105" t="str">
        <f>VLOOKUP(Table__192.168.1.150_M_CONSOLIDATED_Delinquency_Compulsory_EOM[[#This Row],[Client No]],'Global Portfolio'!$B$2:$N$2500,10,FALSE)</f>
        <v>Retail</v>
      </c>
      <c r="AA196" s="105" t="str">
        <f>VLOOKUP(Table__192.168.1.150_M_CONSOLIDATED_Delinquency_Compulsory_EOM[[#This Row],[Client No]],'Global Portfolio'!$B$2:$N$2500,11,FALSE)</f>
        <v>Others</v>
      </c>
      <c r="AB196" s="105" t="str">
        <f>VLOOKUP(Table__192.168.1.150_M_CONSOLIDATED_Delinquency_Compulsory_EOM[[#This Row],[Client No]],'Global Portfolio'!$B$2:$N$2500,12,FALSE)</f>
        <v>Others</v>
      </c>
    </row>
    <row r="197" spans="1:28" x14ac:dyDescent="0.25">
      <c r="A197">
        <v>102634</v>
      </c>
      <c r="B197" t="s">
        <v>930</v>
      </c>
      <c r="C197" t="s">
        <v>949</v>
      </c>
      <c r="D197" t="s">
        <v>1283</v>
      </c>
      <c r="E197">
        <v>-4</v>
      </c>
      <c r="F197">
        <v>40429858</v>
      </c>
      <c r="G197">
        <v>32782919.98</v>
      </c>
      <c r="H197">
        <v>1607891.37</v>
      </c>
      <c r="I197" t="s">
        <v>468</v>
      </c>
      <c r="J197">
        <v>0</v>
      </c>
      <c r="K197">
        <v>0</v>
      </c>
      <c r="L197">
        <v>819573</v>
      </c>
      <c r="M197">
        <v>51452523.460000001</v>
      </c>
      <c r="N197" s="143">
        <v>42521.574859918983</v>
      </c>
      <c r="O197" s="143">
        <v>43987</v>
      </c>
      <c r="P197" t="s">
        <v>950</v>
      </c>
      <c r="Q197" t="s">
        <v>1280</v>
      </c>
      <c r="R197" t="s">
        <v>1280</v>
      </c>
      <c r="S197" t="s">
        <v>1510</v>
      </c>
      <c r="T197">
        <v>36</v>
      </c>
      <c r="U197">
        <f>IF(Table__192.168.1.150_M_CONSOLIDATED_Delinquency_Compulsory_EOM[[#This Row],[Days in Arrears]] &lt; 8, Table__192.168.1.150_M_CONSOLIDATED_Delinquency_Compulsory_EOM[[#This Row],[Outstanding Balance]], 0 )</f>
        <v>32782919.98</v>
      </c>
      <c r="V1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7" s="105" t="str">
        <f>VLOOKUP(Table__192.168.1.150_M_CONSOLIDATED_Delinquency_Compulsory_EOM[[#This Row],[Client No]],'Global Portfolio'!$B$2:$N$2500,10,FALSE)</f>
        <v>Transportation and Warehousing</v>
      </c>
      <c r="AA197" s="105" t="str">
        <f>VLOOKUP(Table__192.168.1.150_M_CONSOLIDATED_Delinquency_Compulsory_EOM[[#This Row],[Client No]],'Global Portfolio'!$B$2:$N$2500,11,FALSE)</f>
        <v>Warehousing and Storage</v>
      </c>
      <c r="AB197" s="105" t="str">
        <f>VLOOKUP(Table__192.168.1.150_M_CONSOLIDATED_Delinquency_Compulsory_EOM[[#This Row],[Client No]],'Global Portfolio'!$B$2:$N$2500,12,FALSE)</f>
        <v>Warehousing and Storage</v>
      </c>
    </row>
    <row r="198" spans="1:28" x14ac:dyDescent="0.25">
      <c r="A198">
        <v>102635</v>
      </c>
      <c r="B198" t="s">
        <v>1708</v>
      </c>
      <c r="C198" t="s">
        <v>1709</v>
      </c>
      <c r="D198" t="s">
        <v>1283</v>
      </c>
      <c r="E198">
        <v>0</v>
      </c>
      <c r="F198">
        <v>35000000</v>
      </c>
      <c r="G198">
        <v>28270388.579999998</v>
      </c>
      <c r="H198">
        <v>1386566.96</v>
      </c>
      <c r="I198" t="s">
        <v>1191</v>
      </c>
      <c r="J198">
        <v>2189.0500000000002</v>
      </c>
      <c r="K198">
        <v>1750000</v>
      </c>
      <c r="L198">
        <v>819841.27</v>
      </c>
      <c r="M198">
        <v>44370142.579999998</v>
      </c>
      <c r="N198" s="143">
        <v>42521.684426238426</v>
      </c>
      <c r="O198" s="143">
        <v>43983</v>
      </c>
      <c r="P198" t="s">
        <v>1710</v>
      </c>
      <c r="Q198" t="s">
        <v>1280</v>
      </c>
      <c r="R198" t="s">
        <v>1280</v>
      </c>
      <c r="S198" t="s">
        <v>1510</v>
      </c>
      <c r="T198">
        <v>36</v>
      </c>
      <c r="U198">
        <f>IF(Table__192.168.1.150_M_CONSOLIDATED_Delinquency_Compulsory_EOM[[#This Row],[Days in Arrears]] &lt; 8, Table__192.168.1.150_M_CONSOLIDATED_Delinquency_Compulsory_EOM[[#This Row],[Outstanding Balance]], 0 )</f>
        <v>28270388.579999998</v>
      </c>
      <c r="V1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8" s="105" t="e">
        <f>VLOOKUP(Table__192.168.1.150_M_CONSOLIDATED_Delinquency_Compulsory_EOM[[#This Row],[Client No]],'Global Portfolio'!$B$2:$N$2500,10,FALSE)</f>
        <v>#N/A</v>
      </c>
      <c r="AA198" s="105" t="e">
        <f>VLOOKUP(Table__192.168.1.150_M_CONSOLIDATED_Delinquency_Compulsory_EOM[[#This Row],[Client No]],'Global Portfolio'!$B$2:$N$2500,11,FALSE)</f>
        <v>#N/A</v>
      </c>
      <c r="AB198" s="105" t="e">
        <f>VLOOKUP(Table__192.168.1.150_M_CONSOLIDATED_Delinquency_Compulsory_EOM[[#This Row],[Client No]],'Global Portfolio'!$B$2:$N$2500,12,FALSE)</f>
        <v>#N/A</v>
      </c>
    </row>
    <row r="199" spans="1:28" x14ac:dyDescent="0.25">
      <c r="A199">
        <v>102636</v>
      </c>
      <c r="B199" t="s">
        <v>1657</v>
      </c>
      <c r="C199" t="s">
        <v>1662</v>
      </c>
      <c r="D199" t="s">
        <v>1284</v>
      </c>
      <c r="E199">
        <v>30</v>
      </c>
      <c r="F199">
        <v>50000000</v>
      </c>
      <c r="G199">
        <v>35337604.799999997</v>
      </c>
      <c r="H199">
        <v>2292413.19</v>
      </c>
      <c r="I199" t="s">
        <v>546</v>
      </c>
      <c r="J199">
        <v>0</v>
      </c>
      <c r="K199">
        <v>0</v>
      </c>
      <c r="L199">
        <v>1841595.6</v>
      </c>
      <c r="M199">
        <v>47933090.420000002</v>
      </c>
      <c r="N199" s="143">
        <v>42521.698426122683</v>
      </c>
      <c r="O199" s="143">
        <v>43617</v>
      </c>
      <c r="P199" t="s">
        <v>1663</v>
      </c>
      <c r="Q199" t="s">
        <v>1664</v>
      </c>
      <c r="R199" t="s">
        <v>1280</v>
      </c>
      <c r="S199" t="s">
        <v>1510</v>
      </c>
      <c r="T199">
        <v>36</v>
      </c>
      <c r="U199">
        <f>IF(Table__192.168.1.150_M_CONSOLIDATED_Delinquency_Compulsory_EOM[[#This Row],[Days in Arrears]] &lt; 8, Table__192.168.1.150_M_CONSOLIDATED_Delinquency_Compulsory_EOM[[#This Row],[Outstanding Balance]], 0 )</f>
        <v>0</v>
      </c>
      <c r="V1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35337604.799999997</v>
      </c>
      <c r="X1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99" s="105" t="str">
        <f>VLOOKUP(Table__192.168.1.150_M_CONSOLIDATED_Delinquency_Compulsory_EOM[[#This Row],[Client No]],'Global Portfolio'!$B$2:$N$2500,10,FALSE)</f>
        <v>Real Estate and Rental</v>
      </c>
      <c r="AA199" s="105" t="str">
        <f>VLOOKUP(Table__192.168.1.150_M_CONSOLIDATED_Delinquency_Compulsory_EOM[[#This Row],[Client No]],'Global Portfolio'!$B$2:$N$2500,11,FALSE)</f>
        <v>Rental</v>
      </c>
      <c r="AB199" s="105" t="str">
        <f>VLOOKUP(Table__192.168.1.150_M_CONSOLIDATED_Delinquency_Compulsory_EOM[[#This Row],[Client No]],'Global Portfolio'!$B$2:$N$2500,12,FALSE)</f>
        <v>Others</v>
      </c>
    </row>
    <row r="200" spans="1:28" x14ac:dyDescent="0.25">
      <c r="A200">
        <v>102637</v>
      </c>
      <c r="B200" t="s">
        <v>630</v>
      </c>
      <c r="C200" t="s">
        <v>631</v>
      </c>
      <c r="D200" t="s">
        <v>1850</v>
      </c>
      <c r="E200">
        <v>21</v>
      </c>
      <c r="F200">
        <v>18201000</v>
      </c>
      <c r="G200">
        <v>12975886.16</v>
      </c>
      <c r="H200">
        <v>841768.79</v>
      </c>
      <c r="I200" t="s">
        <v>491</v>
      </c>
      <c r="J200">
        <v>0</v>
      </c>
      <c r="K200">
        <v>0</v>
      </c>
      <c r="L200">
        <v>639744.46</v>
      </c>
      <c r="M200">
        <v>17677144.460000001</v>
      </c>
      <c r="N200" s="143">
        <v>42521.727298182872</v>
      </c>
      <c r="O200" s="143">
        <v>43626</v>
      </c>
      <c r="P200" t="s">
        <v>632</v>
      </c>
      <c r="Q200" t="s">
        <v>633</v>
      </c>
      <c r="R200" t="s">
        <v>1280</v>
      </c>
      <c r="S200" t="s">
        <v>1510</v>
      </c>
      <c r="T200">
        <v>36</v>
      </c>
      <c r="U200">
        <f>IF(Table__192.168.1.150_M_CONSOLIDATED_Delinquency_Compulsory_EOM[[#This Row],[Days in Arrears]] &lt; 8, Table__192.168.1.150_M_CONSOLIDATED_Delinquency_Compulsory_EOM[[#This Row],[Outstanding Balance]], 0 )</f>
        <v>0</v>
      </c>
      <c r="V2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12975886.16</v>
      </c>
      <c r="W2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0" s="105" t="str">
        <f>VLOOKUP(Table__192.168.1.150_M_CONSOLIDATED_Delinquency_Compulsory_EOM[[#This Row],[Client No]],'Global Portfolio'!$B$2:$N$2500,10,FALSE)</f>
        <v>Real Estate and Rental</v>
      </c>
      <c r="AA200" s="105" t="str">
        <f>VLOOKUP(Table__192.168.1.150_M_CONSOLIDATED_Delinquency_Compulsory_EOM[[#This Row],[Client No]],'Global Portfolio'!$B$2:$N$2500,11,FALSE)</f>
        <v>Rental</v>
      </c>
      <c r="AB200" s="105" t="str">
        <f>VLOOKUP(Table__192.168.1.150_M_CONSOLIDATED_Delinquency_Compulsory_EOM[[#This Row],[Client No]],'Global Portfolio'!$B$2:$N$2500,12,FALSE)</f>
        <v>Others</v>
      </c>
    </row>
    <row r="201" spans="1:28" x14ac:dyDescent="0.25">
      <c r="A201">
        <v>102642</v>
      </c>
      <c r="B201" t="s">
        <v>410</v>
      </c>
      <c r="C201" t="s">
        <v>342</v>
      </c>
      <c r="D201" t="s">
        <v>1283</v>
      </c>
      <c r="E201">
        <v>-4</v>
      </c>
      <c r="F201">
        <v>42556117</v>
      </c>
      <c r="G201">
        <v>34507016.659999996</v>
      </c>
      <c r="H201">
        <v>1692452.47</v>
      </c>
      <c r="I201" t="s">
        <v>468</v>
      </c>
      <c r="J201">
        <v>19103.759999999998</v>
      </c>
      <c r="K201">
        <v>0</v>
      </c>
      <c r="L201">
        <v>862675.42</v>
      </c>
      <c r="M201">
        <v>54158479.259999998</v>
      </c>
      <c r="N201" s="143">
        <v>42521.819705821756</v>
      </c>
      <c r="O201" s="143">
        <v>43987</v>
      </c>
      <c r="P201" t="s">
        <v>411</v>
      </c>
      <c r="Q201" t="s">
        <v>1280</v>
      </c>
      <c r="R201" t="s">
        <v>1280</v>
      </c>
      <c r="S201" t="s">
        <v>1510</v>
      </c>
      <c r="T201">
        <v>36</v>
      </c>
      <c r="U201">
        <f>IF(Table__192.168.1.150_M_CONSOLIDATED_Delinquency_Compulsory_EOM[[#This Row],[Days in Arrears]] &lt; 8, Table__192.168.1.150_M_CONSOLIDATED_Delinquency_Compulsory_EOM[[#This Row],[Outstanding Balance]], 0 )</f>
        <v>34507016.659999996</v>
      </c>
      <c r="V2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1" s="105" t="str">
        <f>VLOOKUP(Table__192.168.1.150_M_CONSOLIDATED_Delinquency_Compulsory_EOM[[#This Row],[Client No]],'Global Portfolio'!$B$2:$N$2500,10,FALSE)</f>
        <v>Real Estate and Rental</v>
      </c>
      <c r="AA201" s="105" t="str">
        <f>VLOOKUP(Table__192.168.1.150_M_CONSOLIDATED_Delinquency_Compulsory_EOM[[#This Row],[Client No]],'Global Portfolio'!$B$2:$N$2500,11,FALSE)</f>
        <v>Real Estate</v>
      </c>
      <c r="AB201" s="105" t="str">
        <f>VLOOKUP(Table__192.168.1.150_M_CONSOLIDATED_Delinquency_Compulsory_EOM[[#This Row],[Client No]],'Global Portfolio'!$B$2:$N$2500,12,FALSE)</f>
        <v>Real Estate</v>
      </c>
    </row>
    <row r="202" spans="1:28" x14ac:dyDescent="0.25">
      <c r="A202">
        <v>102644</v>
      </c>
      <c r="B202" t="s">
        <v>399</v>
      </c>
      <c r="C202" t="s">
        <v>400</v>
      </c>
      <c r="D202" t="s">
        <v>1281</v>
      </c>
      <c r="E202">
        <v>-4</v>
      </c>
      <c r="F202">
        <v>20000000</v>
      </c>
      <c r="G202">
        <v>16609186.279999999</v>
      </c>
      <c r="H202">
        <v>871010.73</v>
      </c>
      <c r="I202" t="s">
        <v>468</v>
      </c>
      <c r="J202">
        <v>0</v>
      </c>
      <c r="K202">
        <v>0</v>
      </c>
      <c r="L202">
        <v>484434.6</v>
      </c>
      <c r="M202">
        <v>27872342.91</v>
      </c>
      <c r="N202" s="143">
        <v>42521.845722418984</v>
      </c>
      <c r="O202" s="143">
        <v>43987</v>
      </c>
      <c r="P202" t="s">
        <v>401</v>
      </c>
      <c r="Q202" t="s">
        <v>402</v>
      </c>
      <c r="R202" t="s">
        <v>1280</v>
      </c>
      <c r="S202" t="s">
        <v>1510</v>
      </c>
      <c r="T202">
        <v>42</v>
      </c>
      <c r="U202">
        <f>IF(Table__192.168.1.150_M_CONSOLIDATED_Delinquency_Compulsory_EOM[[#This Row],[Days in Arrears]] &lt; 8, Table__192.168.1.150_M_CONSOLIDATED_Delinquency_Compulsory_EOM[[#This Row],[Outstanding Balance]], 0 )</f>
        <v>16609186.279999999</v>
      </c>
      <c r="V2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2" s="105" t="str">
        <f>VLOOKUP(Table__192.168.1.150_M_CONSOLIDATED_Delinquency_Compulsory_EOM[[#This Row],[Client No]],'Global Portfolio'!$B$2:$N$2500,10,FALSE)</f>
        <v>Real Estate and Rental</v>
      </c>
      <c r="AA202" s="105" t="str">
        <f>VLOOKUP(Table__192.168.1.150_M_CONSOLIDATED_Delinquency_Compulsory_EOM[[#This Row],[Client No]],'Global Portfolio'!$B$2:$N$2500,11,FALSE)</f>
        <v>Rental</v>
      </c>
      <c r="AB202" s="105" t="str">
        <f>VLOOKUP(Table__192.168.1.150_M_CONSOLIDATED_Delinquency_Compulsory_EOM[[#This Row],[Client No]],'Global Portfolio'!$B$2:$N$2500,12,FALSE)</f>
        <v>Others</v>
      </c>
    </row>
    <row r="203" spans="1:28" x14ac:dyDescent="0.25">
      <c r="A203">
        <v>102649</v>
      </c>
      <c r="B203" t="s">
        <v>710</v>
      </c>
      <c r="C203" t="s">
        <v>714</v>
      </c>
      <c r="D203" t="s">
        <v>1284</v>
      </c>
      <c r="E203">
        <v>-5</v>
      </c>
      <c r="F203">
        <v>40000000</v>
      </c>
      <c r="G203">
        <v>33851680.159999996</v>
      </c>
      <c r="H203">
        <v>1505023.37</v>
      </c>
      <c r="I203" t="s">
        <v>491</v>
      </c>
      <c r="J203">
        <v>0</v>
      </c>
      <c r="K203">
        <v>2000000</v>
      </c>
      <c r="L203">
        <v>812440.32</v>
      </c>
      <c r="M203">
        <v>57190887.5</v>
      </c>
      <c r="N203" s="143">
        <v>42527.501020868054</v>
      </c>
      <c r="O203" s="143">
        <v>44171</v>
      </c>
      <c r="P203" t="s">
        <v>715</v>
      </c>
      <c r="Q203" t="s">
        <v>1280</v>
      </c>
      <c r="R203" t="s">
        <v>1280</v>
      </c>
      <c r="S203" t="s">
        <v>1510</v>
      </c>
      <c r="T203">
        <v>36</v>
      </c>
      <c r="U203">
        <f>IF(Table__192.168.1.150_M_CONSOLIDATED_Delinquency_Compulsory_EOM[[#This Row],[Days in Arrears]] &lt; 8, Table__192.168.1.150_M_CONSOLIDATED_Delinquency_Compulsory_EOM[[#This Row],[Outstanding Balance]], 0 )</f>
        <v>33851680.159999996</v>
      </c>
      <c r="V2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3" s="105" t="str">
        <f>VLOOKUP(Table__192.168.1.150_M_CONSOLIDATED_Delinquency_Compulsory_EOM[[#This Row],[Client No]],'Global Portfolio'!$B$2:$N$2500,10,FALSE)</f>
        <v>Real Estate and Rental</v>
      </c>
      <c r="AA203" s="105" t="str">
        <f>VLOOKUP(Table__192.168.1.150_M_CONSOLIDATED_Delinquency_Compulsory_EOM[[#This Row],[Client No]],'Global Portfolio'!$B$2:$N$2500,11,FALSE)</f>
        <v>Real Estate</v>
      </c>
      <c r="AB203" s="105" t="str">
        <f>VLOOKUP(Table__192.168.1.150_M_CONSOLIDATED_Delinquency_Compulsory_EOM[[#This Row],[Client No]],'Global Portfolio'!$B$2:$N$2500,12,FALSE)</f>
        <v>Real Estate</v>
      </c>
    </row>
    <row r="204" spans="1:28" x14ac:dyDescent="0.25">
      <c r="A204">
        <v>102651</v>
      </c>
      <c r="B204" t="s">
        <v>705</v>
      </c>
      <c r="C204" t="s">
        <v>706</v>
      </c>
      <c r="D204" t="s">
        <v>1841</v>
      </c>
      <c r="E204">
        <v>-14</v>
      </c>
      <c r="F204">
        <v>39457012</v>
      </c>
      <c r="G204">
        <v>32117727.530000001</v>
      </c>
      <c r="H204">
        <v>1575265.93</v>
      </c>
      <c r="I204" t="s">
        <v>4684</v>
      </c>
      <c r="J204">
        <v>0</v>
      </c>
      <c r="K204">
        <v>0</v>
      </c>
      <c r="L204">
        <v>481765.91</v>
      </c>
      <c r="M204">
        <v>50408509.340000004</v>
      </c>
      <c r="N204" s="143">
        <v>42527.695888275462</v>
      </c>
      <c r="O204" s="143">
        <v>43997</v>
      </c>
      <c r="P204" t="s">
        <v>707</v>
      </c>
      <c r="Q204" t="s">
        <v>708</v>
      </c>
      <c r="R204" t="s">
        <v>1280</v>
      </c>
      <c r="S204" t="s">
        <v>1510</v>
      </c>
      <c r="T204">
        <v>36</v>
      </c>
      <c r="U204">
        <f>IF(Table__192.168.1.150_M_CONSOLIDATED_Delinquency_Compulsory_EOM[[#This Row],[Days in Arrears]] &lt; 8, Table__192.168.1.150_M_CONSOLIDATED_Delinquency_Compulsory_EOM[[#This Row],[Outstanding Balance]], 0 )</f>
        <v>32117727.530000001</v>
      </c>
      <c r="V2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4" s="105" t="str">
        <f>VLOOKUP(Table__192.168.1.150_M_CONSOLIDATED_Delinquency_Compulsory_EOM[[#This Row],[Client No]],'Global Portfolio'!$B$2:$N$2500,10,FALSE)</f>
        <v>Retail</v>
      </c>
      <c r="AA204" s="105" t="str">
        <f>VLOOKUP(Table__192.168.1.150_M_CONSOLIDATED_Delinquency_Compulsory_EOM[[#This Row],[Client No]],'Global Portfolio'!$B$2:$N$2500,11,FALSE)</f>
        <v>General Merchandise Stores</v>
      </c>
      <c r="AB204" s="105" t="str">
        <f>VLOOKUP(Table__192.168.1.150_M_CONSOLIDATED_Delinquency_Compulsory_EOM[[#This Row],[Client No]],'Global Portfolio'!$B$2:$N$2500,12,FALSE)</f>
        <v>General Stores</v>
      </c>
    </row>
    <row r="205" spans="1:28" x14ac:dyDescent="0.25">
      <c r="A205">
        <v>102652</v>
      </c>
      <c r="B205" t="s">
        <v>87</v>
      </c>
      <c r="C205" t="s">
        <v>249</v>
      </c>
      <c r="D205" t="s">
        <v>1283</v>
      </c>
      <c r="E205">
        <v>-7</v>
      </c>
      <c r="F205">
        <v>35000000</v>
      </c>
      <c r="G205">
        <v>14550522.859999999</v>
      </c>
      <c r="H205">
        <v>2072814.95</v>
      </c>
      <c r="I205" t="s">
        <v>1447</v>
      </c>
      <c r="J205">
        <v>94838.26</v>
      </c>
      <c r="K205">
        <v>1750000</v>
      </c>
      <c r="L205">
        <v>320111.5</v>
      </c>
      <c r="M205">
        <v>16582519.539999999</v>
      </c>
      <c r="N205" s="143">
        <v>42528.575429780096</v>
      </c>
      <c r="O205" s="143">
        <v>43259</v>
      </c>
      <c r="P205" t="s">
        <v>250</v>
      </c>
      <c r="Q205" t="s">
        <v>251</v>
      </c>
      <c r="R205" t="s">
        <v>1280</v>
      </c>
      <c r="S205" t="s">
        <v>1510</v>
      </c>
      <c r="T205">
        <v>36</v>
      </c>
      <c r="U205">
        <f>IF(Table__192.168.1.150_M_CONSOLIDATED_Delinquency_Compulsory_EOM[[#This Row],[Days in Arrears]] &lt; 8, Table__192.168.1.150_M_CONSOLIDATED_Delinquency_Compulsory_EOM[[#This Row],[Outstanding Balance]], 0 )</f>
        <v>14550522.859999999</v>
      </c>
      <c r="V2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5" s="105" t="str">
        <f>VLOOKUP(Table__192.168.1.150_M_CONSOLIDATED_Delinquency_Compulsory_EOM[[#This Row],[Client No]],'Global Portfolio'!$B$2:$N$2500,10,FALSE)</f>
        <v>Real Estate and Rental</v>
      </c>
      <c r="AA205" s="105" t="str">
        <f>VLOOKUP(Table__192.168.1.150_M_CONSOLIDATED_Delinquency_Compulsory_EOM[[#This Row],[Client No]],'Global Portfolio'!$B$2:$N$2500,11,FALSE)</f>
        <v>Real Estate</v>
      </c>
      <c r="AB205" s="105" t="str">
        <f>VLOOKUP(Table__192.168.1.150_M_CONSOLIDATED_Delinquency_Compulsory_EOM[[#This Row],[Client No]],'Global Portfolio'!$B$2:$N$2500,12,FALSE)</f>
        <v>Others</v>
      </c>
    </row>
    <row r="206" spans="1:28" x14ac:dyDescent="0.25">
      <c r="A206">
        <v>102653</v>
      </c>
      <c r="B206" t="s">
        <v>219</v>
      </c>
      <c r="C206" t="s">
        <v>220</v>
      </c>
      <c r="D206" t="s">
        <v>1282</v>
      </c>
      <c r="E206">
        <v>109</v>
      </c>
      <c r="F206">
        <v>7000000</v>
      </c>
      <c r="G206">
        <v>1613790.34</v>
      </c>
      <c r="H206">
        <v>632816.36</v>
      </c>
      <c r="I206" t="s">
        <v>5725</v>
      </c>
      <c r="J206">
        <v>0</v>
      </c>
      <c r="K206">
        <v>0</v>
      </c>
      <c r="L206">
        <v>46150.66</v>
      </c>
      <c r="M206">
        <v>1685871.49</v>
      </c>
      <c r="N206" s="143">
        <v>42529.70623556713</v>
      </c>
      <c r="O206" s="143">
        <v>42990</v>
      </c>
      <c r="P206" t="s">
        <v>221</v>
      </c>
      <c r="Q206" t="s">
        <v>222</v>
      </c>
      <c r="R206" t="s">
        <v>1280</v>
      </c>
      <c r="S206" t="s">
        <v>1510</v>
      </c>
      <c r="T206">
        <v>48</v>
      </c>
      <c r="U206">
        <f>IF(Table__192.168.1.150_M_CONSOLIDATED_Delinquency_Compulsory_EOM[[#This Row],[Days in Arrears]] &lt; 8, Table__192.168.1.150_M_CONSOLIDATED_Delinquency_Compulsory_EOM[[#This Row],[Outstanding Balance]], 0 )</f>
        <v>0</v>
      </c>
      <c r="V2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1613790.34</v>
      </c>
      <c r="Z206" s="105" t="str">
        <f>VLOOKUP(Table__192.168.1.150_M_CONSOLIDATED_Delinquency_Compulsory_EOM[[#This Row],[Client No]],'Global Portfolio'!$B$2:$N$2500,10,FALSE)</f>
        <v>Retail</v>
      </c>
      <c r="AA206" s="105" t="str">
        <f>VLOOKUP(Table__192.168.1.150_M_CONSOLIDATED_Delinquency_Compulsory_EOM[[#This Row],[Client No]],'Global Portfolio'!$B$2:$N$2500,11,FALSE)</f>
        <v>General Merchandise Stores</v>
      </c>
      <c r="AB206" s="105" t="str">
        <f>VLOOKUP(Table__192.168.1.150_M_CONSOLIDATED_Delinquency_Compulsory_EOM[[#This Row],[Client No]],'Global Portfolio'!$B$2:$N$2500,12,FALSE)</f>
        <v>Others</v>
      </c>
    </row>
    <row r="207" spans="1:28" x14ac:dyDescent="0.25">
      <c r="A207">
        <v>102655</v>
      </c>
      <c r="B207" t="s">
        <v>786</v>
      </c>
      <c r="C207" t="s">
        <v>788</v>
      </c>
      <c r="D207" t="s">
        <v>1283</v>
      </c>
      <c r="E207">
        <v>-9</v>
      </c>
      <c r="F207">
        <v>46000000</v>
      </c>
      <c r="G207">
        <v>19103778.350000001</v>
      </c>
      <c r="H207">
        <v>2721455.27</v>
      </c>
      <c r="I207" t="s">
        <v>1191</v>
      </c>
      <c r="J207">
        <v>1489.8</v>
      </c>
      <c r="K207">
        <v>2300000</v>
      </c>
      <c r="L207">
        <v>382075.57</v>
      </c>
      <c r="M207">
        <v>21771642.219999999</v>
      </c>
      <c r="N207" s="143">
        <v>42529.736859259261</v>
      </c>
      <c r="O207" s="143">
        <v>43261</v>
      </c>
      <c r="P207" t="s">
        <v>789</v>
      </c>
      <c r="Q207" t="s">
        <v>1280</v>
      </c>
      <c r="R207" t="s">
        <v>1280</v>
      </c>
      <c r="S207" t="s">
        <v>1510</v>
      </c>
      <c r="T207">
        <v>36</v>
      </c>
      <c r="U207">
        <f>IF(Table__192.168.1.150_M_CONSOLIDATED_Delinquency_Compulsory_EOM[[#This Row],[Days in Arrears]] &lt; 8, Table__192.168.1.150_M_CONSOLIDATED_Delinquency_Compulsory_EOM[[#This Row],[Outstanding Balance]], 0 )</f>
        <v>19103778.350000001</v>
      </c>
      <c r="V2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7" s="105" t="str">
        <f>VLOOKUP(Table__192.168.1.150_M_CONSOLIDATED_Delinquency_Compulsory_EOM[[#This Row],[Client No]],'Global Portfolio'!$B$2:$N$2500,10,FALSE)</f>
        <v>Retail</v>
      </c>
      <c r="AA207" s="105" t="str">
        <f>VLOOKUP(Table__192.168.1.150_M_CONSOLIDATED_Delinquency_Compulsory_EOM[[#This Row],[Client No]],'Global Portfolio'!$B$2:$N$2500,11,FALSE)</f>
        <v>General Merchandise Stores</v>
      </c>
      <c r="AB207" s="105" t="str">
        <f>VLOOKUP(Table__192.168.1.150_M_CONSOLIDATED_Delinquency_Compulsory_EOM[[#This Row],[Client No]],'Global Portfolio'!$B$2:$N$2500,12,FALSE)</f>
        <v>Others</v>
      </c>
    </row>
    <row r="208" spans="1:28" x14ac:dyDescent="0.25">
      <c r="A208">
        <v>102658</v>
      </c>
      <c r="B208" t="s">
        <v>1642</v>
      </c>
      <c r="C208" t="s">
        <v>1645</v>
      </c>
      <c r="D208" t="s">
        <v>1284</v>
      </c>
      <c r="E208">
        <v>-14</v>
      </c>
      <c r="F208">
        <v>35000000</v>
      </c>
      <c r="G208">
        <v>23966347.43</v>
      </c>
      <c r="H208">
        <v>1610914.99</v>
      </c>
      <c r="I208" t="s">
        <v>491</v>
      </c>
      <c r="J208">
        <v>1348133.38</v>
      </c>
      <c r="K208">
        <v>0</v>
      </c>
      <c r="L208">
        <v>359495.21</v>
      </c>
      <c r="M208">
        <v>32218300.059999999</v>
      </c>
      <c r="N208" s="143">
        <v>42531.702821261577</v>
      </c>
      <c r="O208" s="143">
        <v>43631</v>
      </c>
      <c r="P208" t="s">
        <v>1646</v>
      </c>
      <c r="Q208" t="s">
        <v>1280</v>
      </c>
      <c r="R208" t="s">
        <v>1280</v>
      </c>
      <c r="S208" t="s">
        <v>1510</v>
      </c>
      <c r="T208">
        <v>36</v>
      </c>
      <c r="U208">
        <f>IF(Table__192.168.1.150_M_CONSOLIDATED_Delinquency_Compulsory_EOM[[#This Row],[Days in Arrears]] &lt; 8, Table__192.168.1.150_M_CONSOLIDATED_Delinquency_Compulsory_EOM[[#This Row],[Outstanding Balance]], 0 )</f>
        <v>23966347.43</v>
      </c>
      <c r="V2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8" s="105" t="str">
        <f>VLOOKUP(Table__192.168.1.150_M_CONSOLIDATED_Delinquency_Compulsory_EOM[[#This Row],[Client No]],'Global Portfolio'!$B$2:$N$2500,10,FALSE)</f>
        <v>Real Estate and Rental</v>
      </c>
      <c r="AA208" s="105" t="str">
        <f>VLOOKUP(Table__192.168.1.150_M_CONSOLIDATED_Delinquency_Compulsory_EOM[[#This Row],[Client No]],'Global Portfolio'!$B$2:$N$2500,11,FALSE)</f>
        <v>Rental</v>
      </c>
      <c r="AB208" s="105" t="str">
        <f>VLOOKUP(Table__192.168.1.150_M_CONSOLIDATED_Delinquency_Compulsory_EOM[[#This Row],[Client No]],'Global Portfolio'!$B$2:$N$2500,12,FALSE)</f>
        <v>Others</v>
      </c>
    </row>
    <row r="209" spans="1:28" x14ac:dyDescent="0.25">
      <c r="A209">
        <v>102661</v>
      </c>
      <c r="B209" t="s">
        <v>147</v>
      </c>
      <c r="C209" t="s">
        <v>148</v>
      </c>
      <c r="D209" t="s">
        <v>1283</v>
      </c>
      <c r="E209">
        <v>45</v>
      </c>
      <c r="F209">
        <v>46000000</v>
      </c>
      <c r="G209">
        <v>11416783.390000001</v>
      </c>
      <c r="H209">
        <v>3354341.56</v>
      </c>
      <c r="I209" t="s">
        <v>90</v>
      </c>
      <c r="J209">
        <v>0</v>
      </c>
      <c r="K209">
        <v>0</v>
      </c>
      <c r="L209">
        <v>284643.86</v>
      </c>
      <c r="M209">
        <v>11991679.449999999</v>
      </c>
      <c r="N209" s="143">
        <v>42534.671389467592</v>
      </c>
      <c r="O209" s="143">
        <v>43085</v>
      </c>
      <c r="P209" t="s">
        <v>149</v>
      </c>
      <c r="Q209" t="s">
        <v>150</v>
      </c>
      <c r="R209" t="s">
        <v>1280</v>
      </c>
      <c r="S209" t="s">
        <v>1510</v>
      </c>
      <c r="T209">
        <v>36</v>
      </c>
      <c r="U209">
        <f>IF(Table__192.168.1.150_M_CONSOLIDATED_Delinquency_Compulsory_EOM[[#This Row],[Days in Arrears]] &lt; 8, Table__192.168.1.150_M_CONSOLIDATED_Delinquency_Compulsory_EOM[[#This Row],[Outstanding Balance]], 0 )</f>
        <v>0</v>
      </c>
      <c r="V2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11416783.390000001</v>
      </c>
      <c r="X2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09" s="105" t="str">
        <f>VLOOKUP(Table__192.168.1.150_M_CONSOLIDATED_Delinquency_Compulsory_EOM[[#This Row],[Client No]],'Global Portfolio'!$B$2:$N$2500,10,FALSE)</f>
        <v>Retail</v>
      </c>
      <c r="AA209" s="105" t="str">
        <f>VLOOKUP(Table__192.168.1.150_M_CONSOLIDATED_Delinquency_Compulsory_EOM[[#This Row],[Client No]],'Global Portfolio'!$B$2:$N$2500,11,FALSE)</f>
        <v>Building Material and Garden Equipment</v>
      </c>
      <c r="AB209" s="105" t="str">
        <f>VLOOKUP(Table__192.168.1.150_M_CONSOLIDATED_Delinquency_Compulsory_EOM[[#This Row],[Client No]],'Global Portfolio'!$B$2:$N$2500,12,FALSE)</f>
        <v>Others</v>
      </c>
    </row>
    <row r="210" spans="1:28" x14ac:dyDescent="0.25">
      <c r="A210">
        <v>102663</v>
      </c>
      <c r="B210" t="s">
        <v>519</v>
      </c>
      <c r="C210" t="s">
        <v>520</v>
      </c>
      <c r="D210" t="s">
        <v>1281</v>
      </c>
      <c r="E210">
        <v>-13</v>
      </c>
      <c r="F210">
        <v>21437688</v>
      </c>
      <c r="G210">
        <v>15601301.529999999</v>
      </c>
      <c r="H210">
        <v>1028626.18</v>
      </c>
      <c r="I210" t="s">
        <v>86</v>
      </c>
      <c r="J210">
        <v>1928711.2</v>
      </c>
      <c r="K210">
        <v>0</v>
      </c>
      <c r="L210">
        <v>291224.3</v>
      </c>
      <c r="M210">
        <v>22629775.620000001</v>
      </c>
      <c r="N210" s="143">
        <v>42535.638698958333</v>
      </c>
      <c r="O210" s="143">
        <v>43691</v>
      </c>
      <c r="P210" t="s">
        <v>521</v>
      </c>
      <c r="Q210" t="s">
        <v>522</v>
      </c>
      <c r="R210" t="s">
        <v>1280</v>
      </c>
      <c r="S210" t="s">
        <v>1510</v>
      </c>
      <c r="T210">
        <v>42</v>
      </c>
      <c r="U210">
        <f>IF(Table__192.168.1.150_M_CONSOLIDATED_Delinquency_Compulsory_EOM[[#This Row],[Days in Arrears]] &lt; 8, Table__192.168.1.150_M_CONSOLIDATED_Delinquency_Compulsory_EOM[[#This Row],[Outstanding Balance]], 0 )</f>
        <v>15601301.529999999</v>
      </c>
      <c r="V2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0" s="105" t="str">
        <f>VLOOKUP(Table__192.168.1.150_M_CONSOLIDATED_Delinquency_Compulsory_EOM[[#This Row],[Client No]],'Global Portfolio'!$B$2:$N$2500,10,FALSE)</f>
        <v>Real Estate and Rental</v>
      </c>
      <c r="AA210" s="105" t="str">
        <f>VLOOKUP(Table__192.168.1.150_M_CONSOLIDATED_Delinquency_Compulsory_EOM[[#This Row],[Client No]],'Global Portfolio'!$B$2:$N$2500,11,FALSE)</f>
        <v>Real Estate</v>
      </c>
      <c r="AB210" s="105" t="str">
        <f>VLOOKUP(Table__192.168.1.150_M_CONSOLIDATED_Delinquency_Compulsory_EOM[[#This Row],[Client No]],'Global Portfolio'!$B$2:$N$2500,12,FALSE)</f>
        <v>Real Estate</v>
      </c>
    </row>
    <row r="211" spans="1:28" x14ac:dyDescent="0.25">
      <c r="A211">
        <v>102664</v>
      </c>
      <c r="B211" t="s">
        <v>2258</v>
      </c>
      <c r="C211" t="s">
        <v>2260</v>
      </c>
      <c r="D211" t="s">
        <v>1283</v>
      </c>
      <c r="E211">
        <v>-14</v>
      </c>
      <c r="F211">
        <v>46000000</v>
      </c>
      <c r="G211">
        <v>19482973.199999999</v>
      </c>
      <c r="H211">
        <v>2814635.83</v>
      </c>
      <c r="I211" t="s">
        <v>2855</v>
      </c>
      <c r="J211">
        <v>153659.97</v>
      </c>
      <c r="K211">
        <v>2300000</v>
      </c>
      <c r="L211">
        <v>324716.21999999997</v>
      </c>
      <c r="M211">
        <v>22517086.75</v>
      </c>
      <c r="N211" s="143">
        <v>42536.550141354164</v>
      </c>
      <c r="O211" s="143">
        <v>43266</v>
      </c>
      <c r="P211" t="s">
        <v>2261</v>
      </c>
      <c r="Q211" t="s">
        <v>1280</v>
      </c>
      <c r="R211" t="s">
        <v>1280</v>
      </c>
      <c r="S211" t="s">
        <v>1510</v>
      </c>
      <c r="T211">
        <v>40</v>
      </c>
      <c r="U211">
        <f>IF(Table__192.168.1.150_M_CONSOLIDATED_Delinquency_Compulsory_EOM[[#This Row],[Days in Arrears]] &lt; 8, Table__192.168.1.150_M_CONSOLIDATED_Delinquency_Compulsory_EOM[[#This Row],[Outstanding Balance]], 0 )</f>
        <v>19482973.199999999</v>
      </c>
      <c r="V2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1" s="105" t="str">
        <f>VLOOKUP(Table__192.168.1.150_M_CONSOLIDATED_Delinquency_Compulsory_EOM[[#This Row],[Client No]],'Global Portfolio'!$B$2:$N$2500,10,FALSE)</f>
        <v>Real Estate and Rental</v>
      </c>
      <c r="AA211" s="105" t="str">
        <f>VLOOKUP(Table__192.168.1.150_M_CONSOLIDATED_Delinquency_Compulsory_EOM[[#This Row],[Client No]],'Global Portfolio'!$B$2:$N$2500,11,FALSE)</f>
        <v>Rental</v>
      </c>
      <c r="AB211" s="105" t="str">
        <f>VLOOKUP(Table__192.168.1.150_M_CONSOLIDATED_Delinquency_Compulsory_EOM[[#This Row],[Client No]],'Global Portfolio'!$B$2:$N$2500,12,FALSE)</f>
        <v>General Rental Centers</v>
      </c>
    </row>
    <row r="212" spans="1:28" x14ac:dyDescent="0.25">
      <c r="A212">
        <v>102670</v>
      </c>
      <c r="B212" t="s">
        <v>598</v>
      </c>
      <c r="C212" t="s">
        <v>599</v>
      </c>
      <c r="D212" t="s">
        <v>1284</v>
      </c>
      <c r="E212">
        <v>-19</v>
      </c>
      <c r="F212">
        <v>46000000</v>
      </c>
      <c r="G212">
        <v>31346460.649999999</v>
      </c>
      <c r="H212">
        <v>2106974.5299999998</v>
      </c>
      <c r="I212" t="s">
        <v>491</v>
      </c>
      <c r="J212">
        <v>0</v>
      </c>
      <c r="K212">
        <v>2571070.64</v>
      </c>
      <c r="L212">
        <v>313464.61</v>
      </c>
      <c r="M212">
        <v>42139490.670000002</v>
      </c>
      <c r="N212" s="143">
        <v>42541.563828900464</v>
      </c>
      <c r="O212" s="143">
        <v>43636</v>
      </c>
      <c r="P212" t="s">
        <v>600</v>
      </c>
      <c r="Q212" t="s">
        <v>1280</v>
      </c>
      <c r="R212" t="s">
        <v>1280</v>
      </c>
      <c r="S212" t="s">
        <v>1510</v>
      </c>
      <c r="T212">
        <v>36</v>
      </c>
      <c r="U212">
        <f>IF(Table__192.168.1.150_M_CONSOLIDATED_Delinquency_Compulsory_EOM[[#This Row],[Days in Arrears]] &lt; 8, Table__192.168.1.150_M_CONSOLIDATED_Delinquency_Compulsory_EOM[[#This Row],[Outstanding Balance]], 0 )</f>
        <v>31346460.649999999</v>
      </c>
      <c r="V2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2" s="105" t="str">
        <f>VLOOKUP(Table__192.168.1.150_M_CONSOLIDATED_Delinquency_Compulsory_EOM[[#This Row],[Client No]],'Global Portfolio'!$B$2:$N$2500,10,FALSE)</f>
        <v>Real Estate and Rental</v>
      </c>
      <c r="AA212" s="105" t="str">
        <f>VLOOKUP(Table__192.168.1.150_M_CONSOLIDATED_Delinquency_Compulsory_EOM[[#This Row],[Client No]],'Global Portfolio'!$B$2:$N$2500,11,FALSE)</f>
        <v>Real Estate</v>
      </c>
      <c r="AB212" s="105" t="str">
        <f>VLOOKUP(Table__192.168.1.150_M_CONSOLIDATED_Delinquency_Compulsory_EOM[[#This Row],[Client No]],'Global Portfolio'!$B$2:$N$2500,12,FALSE)</f>
        <v>Others</v>
      </c>
    </row>
    <row r="213" spans="1:28" x14ac:dyDescent="0.25">
      <c r="A213">
        <v>102671</v>
      </c>
      <c r="B213" t="s">
        <v>2280</v>
      </c>
      <c r="C213" t="s">
        <v>2282</v>
      </c>
      <c r="D213" t="s">
        <v>1281</v>
      </c>
      <c r="E213">
        <v>-19</v>
      </c>
      <c r="F213">
        <v>20000000</v>
      </c>
      <c r="G213">
        <v>8831587.9800000004</v>
      </c>
      <c r="H213">
        <v>1311736.6299999999</v>
      </c>
      <c r="I213" t="s">
        <v>963</v>
      </c>
      <c r="J213">
        <v>0</v>
      </c>
      <c r="K213">
        <v>1500000</v>
      </c>
      <c r="L213">
        <v>238317.75</v>
      </c>
      <c r="M213">
        <v>10493892.9</v>
      </c>
      <c r="N213" s="143">
        <v>42541.662755983794</v>
      </c>
      <c r="O213" s="143">
        <v>43271</v>
      </c>
      <c r="P213" t="s">
        <v>2283</v>
      </c>
      <c r="Q213" t="s">
        <v>1280</v>
      </c>
      <c r="R213" t="s">
        <v>1280</v>
      </c>
      <c r="S213" t="s">
        <v>1510</v>
      </c>
      <c r="T213">
        <v>48</v>
      </c>
      <c r="U213">
        <f>IF(Table__192.168.1.150_M_CONSOLIDATED_Delinquency_Compulsory_EOM[[#This Row],[Days in Arrears]] &lt; 8, Table__192.168.1.150_M_CONSOLIDATED_Delinquency_Compulsory_EOM[[#This Row],[Outstanding Balance]], 0 )</f>
        <v>8831587.9800000004</v>
      </c>
      <c r="V2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3" s="105" t="str">
        <f>VLOOKUP(Table__192.168.1.150_M_CONSOLIDATED_Delinquency_Compulsory_EOM[[#This Row],[Client No]],'Global Portfolio'!$B$2:$N$2500,10,FALSE)</f>
        <v>Real Estate and Rental</v>
      </c>
      <c r="AA213" s="105" t="str">
        <f>VLOOKUP(Table__192.168.1.150_M_CONSOLIDATED_Delinquency_Compulsory_EOM[[#This Row],[Client No]],'Global Portfolio'!$B$2:$N$2500,11,FALSE)</f>
        <v>Real Estate</v>
      </c>
      <c r="AB213" s="105" t="str">
        <f>VLOOKUP(Table__192.168.1.150_M_CONSOLIDATED_Delinquency_Compulsory_EOM[[#This Row],[Client No]],'Global Portfolio'!$B$2:$N$2500,12,FALSE)</f>
        <v>Real Estate</v>
      </c>
    </row>
    <row r="214" spans="1:28" x14ac:dyDescent="0.25">
      <c r="A214">
        <v>102672</v>
      </c>
      <c r="B214" t="s">
        <v>2294</v>
      </c>
      <c r="C214" t="s">
        <v>2296</v>
      </c>
      <c r="D214" t="s">
        <v>1282</v>
      </c>
      <c r="E214">
        <v>160</v>
      </c>
      <c r="F214">
        <v>5000000</v>
      </c>
      <c r="G214">
        <v>1026841.7</v>
      </c>
      <c r="H214">
        <v>548330.93999999994</v>
      </c>
      <c r="I214" t="s">
        <v>2419</v>
      </c>
      <c r="J214">
        <v>0</v>
      </c>
      <c r="K214">
        <v>503010.42</v>
      </c>
      <c r="L214">
        <v>69033.14</v>
      </c>
      <c r="M214">
        <v>1096661.92</v>
      </c>
      <c r="N214" s="143">
        <v>42542.497367048614</v>
      </c>
      <c r="O214" s="143">
        <v>42907</v>
      </c>
      <c r="P214" t="s">
        <v>2297</v>
      </c>
      <c r="Q214" t="s">
        <v>1280</v>
      </c>
      <c r="R214" t="s">
        <v>1280</v>
      </c>
      <c r="S214" t="s">
        <v>1510</v>
      </c>
      <c r="T214">
        <v>54</v>
      </c>
      <c r="U214">
        <f>IF(Table__192.168.1.150_M_CONSOLIDATED_Delinquency_Compulsory_EOM[[#This Row],[Days in Arrears]] &lt; 8, Table__192.168.1.150_M_CONSOLIDATED_Delinquency_Compulsory_EOM[[#This Row],[Outstanding Balance]], 0 )</f>
        <v>0</v>
      </c>
      <c r="V2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1026841.7</v>
      </c>
      <c r="Z214" s="105" t="str">
        <f>VLOOKUP(Table__192.168.1.150_M_CONSOLIDATED_Delinquency_Compulsory_EOM[[#This Row],[Client No]],'Global Portfolio'!$B$2:$N$2500,10,FALSE)</f>
        <v>Real Estate and Rental</v>
      </c>
      <c r="AA214" s="105" t="str">
        <f>VLOOKUP(Table__192.168.1.150_M_CONSOLIDATED_Delinquency_Compulsory_EOM[[#This Row],[Client No]],'Global Portfolio'!$B$2:$N$2500,11,FALSE)</f>
        <v>Real Estate</v>
      </c>
      <c r="AB214" s="105" t="str">
        <f>VLOOKUP(Table__192.168.1.150_M_CONSOLIDATED_Delinquency_Compulsory_EOM[[#This Row],[Client No]],'Global Portfolio'!$B$2:$N$2500,12,FALSE)</f>
        <v>Real Estate</v>
      </c>
    </row>
    <row r="215" spans="1:28" x14ac:dyDescent="0.25">
      <c r="A215">
        <v>102675</v>
      </c>
      <c r="B215" t="s">
        <v>1359</v>
      </c>
      <c r="C215" t="s">
        <v>1360</v>
      </c>
      <c r="D215" t="s">
        <v>1284</v>
      </c>
      <c r="E215">
        <v>-21</v>
      </c>
      <c r="F215">
        <v>43000000</v>
      </c>
      <c r="G215">
        <v>34698503.950000003</v>
      </c>
      <c r="H215">
        <v>1701844.27</v>
      </c>
      <c r="I215" t="s">
        <v>1467</v>
      </c>
      <c r="J215">
        <v>1712614.7</v>
      </c>
      <c r="K215">
        <v>0</v>
      </c>
      <c r="L215">
        <v>277588.03000000003</v>
      </c>
      <c r="M215">
        <v>54459017.049999997</v>
      </c>
      <c r="N215" s="143">
        <v>42543.719333414352</v>
      </c>
      <c r="O215" s="143">
        <v>44004</v>
      </c>
      <c r="P215" t="s">
        <v>1361</v>
      </c>
      <c r="Q215" t="s">
        <v>1280</v>
      </c>
      <c r="R215" t="s">
        <v>1280</v>
      </c>
      <c r="S215" t="s">
        <v>1510</v>
      </c>
      <c r="T215">
        <v>36</v>
      </c>
      <c r="U215">
        <f>IF(Table__192.168.1.150_M_CONSOLIDATED_Delinquency_Compulsory_EOM[[#This Row],[Days in Arrears]] &lt; 8, Table__192.168.1.150_M_CONSOLIDATED_Delinquency_Compulsory_EOM[[#This Row],[Outstanding Balance]], 0 )</f>
        <v>34698503.950000003</v>
      </c>
      <c r="V2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5" s="105" t="str">
        <f>VLOOKUP(Table__192.168.1.150_M_CONSOLIDATED_Delinquency_Compulsory_EOM[[#This Row],[Client No]],'Global Portfolio'!$B$2:$N$2500,10,FALSE)</f>
        <v>Agriculture, Forestry, Fishing and Hunting</v>
      </c>
      <c r="AA215" s="105" t="str">
        <f>VLOOKUP(Table__192.168.1.150_M_CONSOLIDATED_Delinquency_Compulsory_EOM[[#This Row],[Client No]],'Global Portfolio'!$B$2:$N$2500,11,FALSE)</f>
        <v>Animal Production</v>
      </c>
      <c r="AB215" s="105" t="str">
        <f>VLOOKUP(Table__192.168.1.150_M_CONSOLIDATED_Delinquency_Compulsory_EOM[[#This Row],[Client No]],'Global Portfolio'!$B$2:$N$2500,12,FALSE)</f>
        <v>Poultry &amp; Egg Production</v>
      </c>
    </row>
    <row r="216" spans="1:28" x14ac:dyDescent="0.25">
      <c r="A216">
        <v>102677</v>
      </c>
      <c r="B216" t="s">
        <v>2308</v>
      </c>
      <c r="C216" t="s">
        <v>2315</v>
      </c>
      <c r="D216" t="s">
        <v>1283</v>
      </c>
      <c r="E216">
        <v>-21</v>
      </c>
      <c r="F216">
        <v>42000000</v>
      </c>
      <c r="G216">
        <v>31316873.440000001</v>
      </c>
      <c r="H216">
        <v>1916208.58</v>
      </c>
      <c r="I216" t="s">
        <v>86</v>
      </c>
      <c r="J216">
        <v>495822.81</v>
      </c>
      <c r="K216">
        <v>2100000</v>
      </c>
      <c r="L216">
        <v>278372.21000000002</v>
      </c>
      <c r="M216">
        <v>45989005.520000003</v>
      </c>
      <c r="N216" s="143">
        <v>42543.779445138891</v>
      </c>
      <c r="O216" s="143">
        <v>43760</v>
      </c>
      <c r="P216" t="s">
        <v>2316</v>
      </c>
      <c r="Q216" t="s">
        <v>1280</v>
      </c>
      <c r="R216" t="s">
        <v>2317</v>
      </c>
      <c r="S216" t="s">
        <v>1510</v>
      </c>
      <c r="T216">
        <v>40</v>
      </c>
      <c r="U216">
        <f>IF(Table__192.168.1.150_M_CONSOLIDATED_Delinquency_Compulsory_EOM[[#This Row],[Days in Arrears]] &lt; 8, Table__192.168.1.150_M_CONSOLIDATED_Delinquency_Compulsory_EOM[[#This Row],[Outstanding Balance]], 0 )</f>
        <v>31316873.440000001</v>
      </c>
      <c r="V2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6" s="105" t="str">
        <f>VLOOKUP(Table__192.168.1.150_M_CONSOLIDATED_Delinquency_Compulsory_EOM[[#This Row],[Client No]],'Global Portfolio'!$B$2:$N$2500,10,FALSE)</f>
        <v>Real Estate and Rental</v>
      </c>
      <c r="AA216" s="105" t="str">
        <f>VLOOKUP(Table__192.168.1.150_M_CONSOLIDATED_Delinquency_Compulsory_EOM[[#This Row],[Client No]],'Global Portfolio'!$B$2:$N$2500,11,FALSE)</f>
        <v>Rental</v>
      </c>
      <c r="AB216" s="105" t="str">
        <f>VLOOKUP(Table__192.168.1.150_M_CONSOLIDATED_Delinquency_Compulsory_EOM[[#This Row],[Client No]],'Global Portfolio'!$B$2:$N$2500,12,FALSE)</f>
        <v>Others</v>
      </c>
    </row>
    <row r="217" spans="1:28" x14ac:dyDescent="0.25">
      <c r="A217">
        <v>102678</v>
      </c>
      <c r="B217" t="s">
        <v>2326</v>
      </c>
      <c r="C217" t="s">
        <v>2328</v>
      </c>
      <c r="D217" t="s">
        <v>1281</v>
      </c>
      <c r="E217">
        <v>8</v>
      </c>
      <c r="F217">
        <v>25000000</v>
      </c>
      <c r="G217">
        <v>12191496.07</v>
      </c>
      <c r="H217">
        <v>1639670.78</v>
      </c>
      <c r="I217" t="s">
        <v>86</v>
      </c>
      <c r="J217">
        <v>0</v>
      </c>
      <c r="K217">
        <v>0</v>
      </c>
      <c r="L217">
        <v>555161.42000000004</v>
      </c>
      <c r="M217">
        <v>14721503.539999999</v>
      </c>
      <c r="N217" s="143">
        <v>42544.500216585649</v>
      </c>
      <c r="O217" s="143">
        <v>43274</v>
      </c>
      <c r="P217" t="s">
        <v>128</v>
      </c>
      <c r="Q217" t="s">
        <v>1280</v>
      </c>
      <c r="R217" t="s">
        <v>1280</v>
      </c>
      <c r="S217" t="s">
        <v>1510</v>
      </c>
      <c r="T217">
        <v>48</v>
      </c>
      <c r="U217">
        <f>IF(Table__192.168.1.150_M_CONSOLIDATED_Delinquency_Compulsory_EOM[[#This Row],[Days in Arrears]] &lt; 8, Table__192.168.1.150_M_CONSOLIDATED_Delinquency_Compulsory_EOM[[#This Row],[Outstanding Balance]], 0 )</f>
        <v>0</v>
      </c>
      <c r="V2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12191496.07</v>
      </c>
      <c r="W2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7" s="105" t="str">
        <f>VLOOKUP(Table__192.168.1.150_M_CONSOLIDATED_Delinquency_Compulsory_EOM[[#This Row],[Client No]],'Global Portfolio'!$B$2:$N$2500,10,FALSE)</f>
        <v>Finance and Insurance</v>
      </c>
      <c r="AA217" s="105" t="str">
        <f>VLOOKUP(Table__192.168.1.150_M_CONSOLIDATED_Delinquency_Compulsory_EOM[[#This Row],[Client No]],'Global Portfolio'!$B$2:$N$2500,11,FALSE)</f>
        <v>Finance</v>
      </c>
      <c r="AB217" s="105" t="str">
        <f>VLOOKUP(Table__192.168.1.150_M_CONSOLIDATED_Delinquency_Compulsory_EOM[[#This Row],[Client No]],'Global Portfolio'!$B$2:$N$2500,12,FALSE)</f>
        <v>Microfinance Institutions</v>
      </c>
    </row>
    <row r="218" spans="1:28" x14ac:dyDescent="0.25">
      <c r="A218">
        <v>102679</v>
      </c>
      <c r="B218" t="s">
        <v>2325</v>
      </c>
      <c r="C218" t="s">
        <v>2329</v>
      </c>
      <c r="D218" t="s">
        <v>1283</v>
      </c>
      <c r="E218">
        <v>-22</v>
      </c>
      <c r="F218">
        <v>45000000</v>
      </c>
      <c r="G218">
        <v>19059430.239999998</v>
      </c>
      <c r="H218">
        <v>2753448.1</v>
      </c>
      <c r="I218" t="s">
        <v>86</v>
      </c>
      <c r="J218">
        <v>35551.9</v>
      </c>
      <c r="K218">
        <v>0</v>
      </c>
      <c r="L218">
        <v>148240.01</v>
      </c>
      <c r="M218">
        <v>22027584.77</v>
      </c>
      <c r="N218" s="143">
        <v>42544.64699212963</v>
      </c>
      <c r="O218" s="143">
        <v>43274</v>
      </c>
      <c r="P218" t="s">
        <v>2330</v>
      </c>
      <c r="Q218" t="s">
        <v>2331</v>
      </c>
      <c r="R218" t="s">
        <v>1280</v>
      </c>
      <c r="S218" t="s">
        <v>1510</v>
      </c>
      <c r="T218">
        <v>40</v>
      </c>
      <c r="U218">
        <f>IF(Table__192.168.1.150_M_CONSOLIDATED_Delinquency_Compulsory_EOM[[#This Row],[Days in Arrears]] &lt; 8, Table__192.168.1.150_M_CONSOLIDATED_Delinquency_Compulsory_EOM[[#This Row],[Outstanding Balance]], 0 )</f>
        <v>19059430.239999998</v>
      </c>
      <c r="V2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8" s="105" t="str">
        <f>VLOOKUP(Table__192.168.1.150_M_CONSOLIDATED_Delinquency_Compulsory_EOM[[#This Row],[Client No]],'Global Portfolio'!$B$2:$N$2500,10,FALSE)</f>
        <v>Transportation and Warehousing</v>
      </c>
      <c r="AA218" s="105" t="str">
        <f>VLOOKUP(Table__192.168.1.150_M_CONSOLIDATED_Delinquency_Compulsory_EOM[[#This Row],[Client No]],'Global Portfolio'!$B$2:$N$2500,11,FALSE)</f>
        <v>Truck Transportation</v>
      </c>
      <c r="AB218" s="105" t="str">
        <f>VLOOKUP(Table__192.168.1.150_M_CONSOLIDATED_Delinquency_Compulsory_EOM[[#This Row],[Client No]],'Global Portfolio'!$B$2:$N$2500,12,FALSE)</f>
        <v>General Freight Trucking, Local</v>
      </c>
    </row>
    <row r="219" spans="1:28" x14ac:dyDescent="0.25">
      <c r="A219">
        <v>102681</v>
      </c>
      <c r="B219" t="s">
        <v>1072</v>
      </c>
      <c r="C219" t="s">
        <v>1076</v>
      </c>
      <c r="D219" t="s">
        <v>1283</v>
      </c>
      <c r="E219">
        <v>12</v>
      </c>
      <c r="F219">
        <v>45050000</v>
      </c>
      <c r="G219">
        <v>36845231.899999999</v>
      </c>
      <c r="H219">
        <v>1774323.47</v>
      </c>
      <c r="I219" t="s">
        <v>5167</v>
      </c>
      <c r="J219">
        <v>0</v>
      </c>
      <c r="K219">
        <v>0</v>
      </c>
      <c r="L219">
        <v>1490809.89</v>
      </c>
      <c r="M219">
        <v>58540189.039999999</v>
      </c>
      <c r="N219" s="143">
        <v>42545.381421412036</v>
      </c>
      <c r="O219" s="143">
        <v>44001</v>
      </c>
      <c r="P219" t="s">
        <v>1077</v>
      </c>
      <c r="Q219" t="s">
        <v>1078</v>
      </c>
      <c r="R219" t="s">
        <v>1280</v>
      </c>
      <c r="S219" t="s">
        <v>1510</v>
      </c>
      <c r="T219">
        <v>36</v>
      </c>
      <c r="U219">
        <f>IF(Table__192.168.1.150_M_CONSOLIDATED_Delinquency_Compulsory_EOM[[#This Row],[Days in Arrears]] &lt; 8, Table__192.168.1.150_M_CONSOLIDATED_Delinquency_Compulsory_EOM[[#This Row],[Outstanding Balance]], 0 )</f>
        <v>0</v>
      </c>
      <c r="V2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36845231.899999999</v>
      </c>
      <c r="W2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19" s="105" t="str">
        <f>VLOOKUP(Table__192.168.1.150_M_CONSOLIDATED_Delinquency_Compulsory_EOM[[#This Row],[Client No]],'Global Portfolio'!$B$2:$N$2500,10,FALSE)</f>
        <v>Retail</v>
      </c>
      <c r="AA219" s="105" t="str">
        <f>VLOOKUP(Table__192.168.1.150_M_CONSOLIDATED_Delinquency_Compulsory_EOM[[#This Row],[Client No]],'Global Portfolio'!$B$2:$N$2500,11,FALSE)</f>
        <v>Furniture and Home Furnishings Stores</v>
      </c>
      <c r="AB219" s="105" t="str">
        <f>VLOOKUP(Table__192.168.1.150_M_CONSOLIDATED_Delinquency_Compulsory_EOM[[#This Row],[Client No]],'Global Portfolio'!$B$2:$N$2500,12,FALSE)</f>
        <v>Others</v>
      </c>
    </row>
    <row r="220" spans="1:28" x14ac:dyDescent="0.25">
      <c r="A220">
        <v>102693</v>
      </c>
      <c r="B220" t="s">
        <v>2359</v>
      </c>
      <c r="C220" t="s">
        <v>2362</v>
      </c>
      <c r="D220" t="s">
        <v>1282</v>
      </c>
      <c r="E220">
        <v>0</v>
      </c>
      <c r="F220">
        <v>10000000</v>
      </c>
      <c r="G220">
        <v>2267153.02</v>
      </c>
      <c r="H220">
        <v>824729.84</v>
      </c>
      <c r="I220" t="s">
        <v>3074</v>
      </c>
      <c r="J220">
        <v>14062.63</v>
      </c>
      <c r="K220">
        <v>1000000</v>
      </c>
      <c r="L220">
        <v>98621.16</v>
      </c>
      <c r="M220">
        <v>2474189.63</v>
      </c>
      <c r="N220" s="143">
        <v>42550.383685104163</v>
      </c>
      <c r="O220" s="143">
        <v>43101</v>
      </c>
      <c r="P220" t="s">
        <v>2363</v>
      </c>
      <c r="Q220" t="s">
        <v>1280</v>
      </c>
      <c r="R220" t="s">
        <v>2364</v>
      </c>
      <c r="S220" t="s">
        <v>1510</v>
      </c>
      <c r="T220">
        <v>54</v>
      </c>
      <c r="U220">
        <f>IF(Table__192.168.1.150_M_CONSOLIDATED_Delinquency_Compulsory_EOM[[#This Row],[Days in Arrears]] &lt; 8, Table__192.168.1.150_M_CONSOLIDATED_Delinquency_Compulsory_EOM[[#This Row],[Outstanding Balance]], 0 )</f>
        <v>2267153.02</v>
      </c>
      <c r="V2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0" s="105" t="str">
        <f>VLOOKUP(Table__192.168.1.150_M_CONSOLIDATED_Delinquency_Compulsory_EOM[[#This Row],[Client No]],'Global Portfolio'!$B$2:$N$2500,10,FALSE)</f>
        <v>Retail</v>
      </c>
      <c r="AA220" s="105" t="str">
        <f>VLOOKUP(Table__192.168.1.150_M_CONSOLIDATED_Delinquency_Compulsory_EOM[[#This Row],[Client No]],'Global Portfolio'!$B$2:$N$2500,11,FALSE)</f>
        <v>General Merchandise Stores</v>
      </c>
      <c r="AB220" s="105" t="str">
        <f>VLOOKUP(Table__192.168.1.150_M_CONSOLIDATED_Delinquency_Compulsory_EOM[[#This Row],[Client No]],'Global Portfolio'!$B$2:$N$2500,12,FALSE)</f>
        <v>Others</v>
      </c>
    </row>
    <row r="221" spans="1:28" x14ac:dyDescent="0.25">
      <c r="A221">
        <v>102694</v>
      </c>
      <c r="B221" t="s">
        <v>2370</v>
      </c>
      <c r="C221" t="s">
        <v>2373</v>
      </c>
      <c r="D221" t="s">
        <v>1283</v>
      </c>
      <c r="E221">
        <v>-2</v>
      </c>
      <c r="F221">
        <v>46000000</v>
      </c>
      <c r="G221">
        <v>21671141.370000001</v>
      </c>
      <c r="H221">
        <v>2826741.79</v>
      </c>
      <c r="I221" t="s">
        <v>468</v>
      </c>
      <c r="J221">
        <v>237588.14</v>
      </c>
      <c r="K221">
        <v>2300000</v>
      </c>
      <c r="L221">
        <v>650134.24</v>
      </c>
      <c r="M221">
        <v>25440676.260000002</v>
      </c>
      <c r="N221" s="143">
        <v>42550.659041122686</v>
      </c>
      <c r="O221" s="143">
        <v>43284</v>
      </c>
      <c r="P221" t="s">
        <v>2374</v>
      </c>
      <c r="Q221" t="s">
        <v>1280</v>
      </c>
      <c r="R221" t="s">
        <v>1280</v>
      </c>
      <c r="S221" t="s">
        <v>1510</v>
      </c>
      <c r="T221">
        <v>40</v>
      </c>
      <c r="U221">
        <f>IF(Table__192.168.1.150_M_CONSOLIDATED_Delinquency_Compulsory_EOM[[#This Row],[Days in Arrears]] &lt; 8, Table__192.168.1.150_M_CONSOLIDATED_Delinquency_Compulsory_EOM[[#This Row],[Outstanding Balance]], 0 )</f>
        <v>21671141.370000001</v>
      </c>
      <c r="V2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1" s="105" t="str">
        <f>VLOOKUP(Table__192.168.1.150_M_CONSOLIDATED_Delinquency_Compulsory_EOM[[#This Row],[Client No]],'Global Portfolio'!$B$2:$N$2500,10,FALSE)</f>
        <v>Wholesale Trade</v>
      </c>
      <c r="AA221" s="105" t="str">
        <f>VLOOKUP(Table__192.168.1.150_M_CONSOLIDATED_Delinquency_Compulsory_EOM[[#This Row],[Client No]],'Global Portfolio'!$B$2:$N$2500,11,FALSE)</f>
        <v>Durable Goods</v>
      </c>
      <c r="AB221" s="105" t="str">
        <f>VLOOKUP(Table__192.168.1.150_M_CONSOLIDATED_Delinquency_Compulsory_EOM[[#This Row],[Client No]],'Global Portfolio'!$B$2:$N$2500,12,FALSE)</f>
        <v>Others</v>
      </c>
    </row>
    <row r="222" spans="1:28" x14ac:dyDescent="0.25">
      <c r="A222">
        <v>102696</v>
      </c>
      <c r="B222" t="s">
        <v>2379</v>
      </c>
      <c r="C222" t="s">
        <v>2389</v>
      </c>
      <c r="D222" t="s">
        <v>1284</v>
      </c>
      <c r="E222">
        <v>22</v>
      </c>
      <c r="F222">
        <v>25000000</v>
      </c>
      <c r="G222">
        <v>18722925.079999998</v>
      </c>
      <c r="H222">
        <v>1214393.32</v>
      </c>
      <c r="I222" t="s">
        <v>1039</v>
      </c>
      <c r="J222">
        <v>0</v>
      </c>
      <c r="K222">
        <v>0</v>
      </c>
      <c r="L222">
        <v>1047192.18</v>
      </c>
      <c r="M222">
        <v>26716653.32</v>
      </c>
      <c r="N222" s="143">
        <v>42551.073891319444</v>
      </c>
      <c r="O222" s="143">
        <v>43655</v>
      </c>
      <c r="P222" t="s">
        <v>2390</v>
      </c>
      <c r="Q222" t="s">
        <v>1280</v>
      </c>
      <c r="R222" t="s">
        <v>2391</v>
      </c>
      <c r="S222" t="s">
        <v>1510</v>
      </c>
      <c r="T222">
        <v>40</v>
      </c>
      <c r="U222">
        <f>IF(Table__192.168.1.150_M_CONSOLIDATED_Delinquency_Compulsory_EOM[[#This Row],[Days in Arrears]] &lt; 8, Table__192.168.1.150_M_CONSOLIDATED_Delinquency_Compulsory_EOM[[#This Row],[Outstanding Balance]], 0 )</f>
        <v>0</v>
      </c>
      <c r="V2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18722925.079999998</v>
      </c>
      <c r="W2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2" s="105" t="str">
        <f>VLOOKUP(Table__192.168.1.150_M_CONSOLIDATED_Delinquency_Compulsory_EOM[[#This Row],[Client No]],'Global Portfolio'!$B$2:$N$2500,10,FALSE)</f>
        <v>Information</v>
      </c>
      <c r="AA222" s="105" t="str">
        <f>VLOOKUP(Table__192.168.1.150_M_CONSOLIDATED_Delinquency_Compulsory_EOM[[#This Row],[Client No]],'Global Portfolio'!$B$2:$N$2500,11,FALSE)</f>
        <v>Publishing Industries</v>
      </c>
      <c r="AB222" s="105" t="str">
        <f>VLOOKUP(Table__192.168.1.150_M_CONSOLIDATED_Delinquency_Compulsory_EOM[[#This Row],[Client No]],'Global Portfolio'!$B$2:$N$2500,12,FALSE)</f>
        <v>Others</v>
      </c>
    </row>
    <row r="223" spans="1:28" x14ac:dyDescent="0.25">
      <c r="A223">
        <v>102698</v>
      </c>
      <c r="B223" t="s">
        <v>2380</v>
      </c>
      <c r="C223" t="s">
        <v>2392</v>
      </c>
      <c r="D223" t="s">
        <v>1283</v>
      </c>
      <c r="E223">
        <v>-6</v>
      </c>
      <c r="F223">
        <v>30100000</v>
      </c>
      <c r="G223">
        <v>18818889.18</v>
      </c>
      <c r="H223">
        <v>1614644.47</v>
      </c>
      <c r="I223" t="s">
        <v>1447</v>
      </c>
      <c r="J223">
        <v>25916.2</v>
      </c>
      <c r="K223">
        <v>1505000</v>
      </c>
      <c r="L223">
        <v>480927.17</v>
      </c>
      <c r="M223">
        <v>24219667.02</v>
      </c>
      <c r="N223" s="143">
        <v>42551.145418518521</v>
      </c>
      <c r="O223" s="143">
        <v>43472</v>
      </c>
      <c r="P223" t="s">
        <v>2393</v>
      </c>
      <c r="Q223" t="s">
        <v>1280</v>
      </c>
      <c r="R223" t="s">
        <v>1280</v>
      </c>
      <c r="S223" t="s">
        <v>1510</v>
      </c>
      <c r="T223">
        <v>40</v>
      </c>
      <c r="U223">
        <f>IF(Table__192.168.1.150_M_CONSOLIDATED_Delinquency_Compulsory_EOM[[#This Row],[Days in Arrears]] &lt; 8, Table__192.168.1.150_M_CONSOLIDATED_Delinquency_Compulsory_EOM[[#This Row],[Outstanding Balance]], 0 )</f>
        <v>18818889.18</v>
      </c>
      <c r="V2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3" s="105" t="str">
        <f>VLOOKUP(Table__192.168.1.150_M_CONSOLIDATED_Delinquency_Compulsory_EOM[[#This Row],[Client No]],'Global Portfolio'!$B$2:$N$2500,10,FALSE)</f>
        <v>Agriculture, Forestry, Fishing and Hunting</v>
      </c>
      <c r="AA223" s="105" t="str">
        <f>VLOOKUP(Table__192.168.1.150_M_CONSOLIDATED_Delinquency_Compulsory_EOM[[#This Row],[Client No]],'Global Portfolio'!$B$2:$N$2500,11,FALSE)</f>
        <v>Crop Production</v>
      </c>
      <c r="AB223" s="105" t="str">
        <f>VLOOKUP(Table__192.168.1.150_M_CONSOLIDATED_Delinquency_Compulsory_EOM[[#This Row],[Client No]],'Global Portfolio'!$B$2:$N$2500,12,FALSE)</f>
        <v>Others</v>
      </c>
    </row>
    <row r="224" spans="1:28" x14ac:dyDescent="0.25">
      <c r="A224">
        <v>102701</v>
      </c>
      <c r="B224" t="s">
        <v>2381</v>
      </c>
      <c r="C224" t="s">
        <v>2394</v>
      </c>
      <c r="D224" t="s">
        <v>1283</v>
      </c>
      <c r="E224">
        <v>171</v>
      </c>
      <c r="F224">
        <v>46000000</v>
      </c>
      <c r="G224">
        <v>33157684.32</v>
      </c>
      <c r="H224">
        <v>2844900.74</v>
      </c>
      <c r="I224" t="s">
        <v>5725</v>
      </c>
      <c r="J224">
        <v>0</v>
      </c>
      <c r="K224">
        <v>0</v>
      </c>
      <c r="L224">
        <v>2117615.2000000002</v>
      </c>
      <c r="M224">
        <v>42673510.950000003</v>
      </c>
      <c r="N224" s="143">
        <v>42551.364522303244</v>
      </c>
      <c r="O224" s="143">
        <v>43291</v>
      </c>
      <c r="P224" t="s">
        <v>2395</v>
      </c>
      <c r="Q224" t="s">
        <v>2396</v>
      </c>
      <c r="R224" t="s">
        <v>1280</v>
      </c>
      <c r="S224" t="s">
        <v>1510</v>
      </c>
      <c r="T224">
        <v>40</v>
      </c>
      <c r="U224">
        <f>IF(Table__192.168.1.150_M_CONSOLIDATED_Delinquency_Compulsory_EOM[[#This Row],[Days in Arrears]] &lt; 8, Table__192.168.1.150_M_CONSOLIDATED_Delinquency_Compulsory_EOM[[#This Row],[Outstanding Balance]], 0 )</f>
        <v>0</v>
      </c>
      <c r="V2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33157684.32</v>
      </c>
      <c r="Z224" s="105" t="str">
        <f>VLOOKUP(Table__192.168.1.150_M_CONSOLIDATED_Delinquency_Compulsory_EOM[[#This Row],[Client No]],'Global Portfolio'!$B$2:$N$2500,10,FALSE)</f>
        <v>Transportation and Warehousing</v>
      </c>
      <c r="AA224" s="105" t="str">
        <f>VLOOKUP(Table__192.168.1.150_M_CONSOLIDATED_Delinquency_Compulsory_EOM[[#This Row],[Client No]],'Global Portfolio'!$B$2:$N$2500,11,FALSE)</f>
        <v>Truck Transportation</v>
      </c>
      <c r="AB224" s="105" t="str">
        <f>VLOOKUP(Table__192.168.1.150_M_CONSOLIDATED_Delinquency_Compulsory_EOM[[#This Row],[Client No]],'Global Portfolio'!$B$2:$N$2500,12,FALSE)</f>
        <v>General Freight Trucking, Local</v>
      </c>
    </row>
    <row r="225" spans="1:28" x14ac:dyDescent="0.25">
      <c r="A225">
        <v>102703</v>
      </c>
      <c r="B225" t="s">
        <v>1167</v>
      </c>
      <c r="C225" t="s">
        <v>1168</v>
      </c>
      <c r="D225" t="s">
        <v>1283</v>
      </c>
      <c r="E225">
        <v>0</v>
      </c>
      <c r="F225">
        <v>40000000</v>
      </c>
      <c r="G225">
        <v>17251063.530000001</v>
      </c>
      <c r="H225">
        <v>1833930.56</v>
      </c>
      <c r="I225" t="s">
        <v>1039</v>
      </c>
      <c r="J225">
        <v>3779957.62</v>
      </c>
      <c r="K225">
        <v>2000000</v>
      </c>
      <c r="L225">
        <v>500280.84</v>
      </c>
      <c r="M225">
        <v>20575861.66</v>
      </c>
      <c r="N225" s="143">
        <v>42551.396343287037</v>
      </c>
      <c r="O225" s="143">
        <v>43647</v>
      </c>
      <c r="P225" t="s">
        <v>1169</v>
      </c>
      <c r="Q225" t="s">
        <v>1280</v>
      </c>
      <c r="R225" t="s">
        <v>1280</v>
      </c>
      <c r="S225" t="s">
        <v>1510</v>
      </c>
      <c r="T225">
        <v>36</v>
      </c>
      <c r="U225">
        <f>IF(Table__192.168.1.150_M_CONSOLIDATED_Delinquency_Compulsory_EOM[[#This Row],[Days in Arrears]] &lt; 8, Table__192.168.1.150_M_CONSOLIDATED_Delinquency_Compulsory_EOM[[#This Row],[Outstanding Balance]], 0 )</f>
        <v>17251063.530000001</v>
      </c>
      <c r="V2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5" s="105" t="str">
        <f>VLOOKUP(Table__192.168.1.150_M_CONSOLIDATED_Delinquency_Compulsory_EOM[[#This Row],[Client No]],'Global Portfolio'!$B$2:$N$2500,10,FALSE)</f>
        <v>Wholesale Trade</v>
      </c>
      <c r="AA225" s="105" t="str">
        <f>VLOOKUP(Table__192.168.1.150_M_CONSOLIDATED_Delinquency_Compulsory_EOM[[#This Row],[Client No]],'Global Portfolio'!$B$2:$N$2500,11,FALSE)</f>
        <v>Nondurable Goods</v>
      </c>
      <c r="AB225" s="105" t="str">
        <f>VLOOKUP(Table__192.168.1.150_M_CONSOLIDATED_Delinquency_Compulsory_EOM[[#This Row],[Client No]],'Global Portfolio'!$B$2:$N$2500,12,FALSE)</f>
        <v>Grocery</v>
      </c>
    </row>
    <row r="226" spans="1:28" x14ac:dyDescent="0.25">
      <c r="A226">
        <v>102704</v>
      </c>
      <c r="B226" t="s">
        <v>125</v>
      </c>
      <c r="C226" t="s">
        <v>126</v>
      </c>
      <c r="D226" t="s">
        <v>1283</v>
      </c>
      <c r="E226">
        <v>-4</v>
      </c>
      <c r="F226">
        <v>43957853.270000003</v>
      </c>
      <c r="G226">
        <v>36267669.219999999</v>
      </c>
      <c r="H226">
        <v>1746510.3</v>
      </c>
      <c r="I226" t="s">
        <v>86</v>
      </c>
      <c r="J226">
        <v>62602.57</v>
      </c>
      <c r="K226">
        <v>0</v>
      </c>
      <c r="L226">
        <v>906691.73</v>
      </c>
      <c r="M226">
        <v>57634839.880000003</v>
      </c>
      <c r="N226" s="143">
        <v>42552.70148009259</v>
      </c>
      <c r="O226" s="143">
        <v>44017</v>
      </c>
      <c r="P226" t="s">
        <v>127</v>
      </c>
      <c r="Q226" t="s">
        <v>128</v>
      </c>
      <c r="R226" t="s">
        <v>129</v>
      </c>
      <c r="S226" t="s">
        <v>1510</v>
      </c>
      <c r="T226">
        <v>36</v>
      </c>
      <c r="U226">
        <f>IF(Table__192.168.1.150_M_CONSOLIDATED_Delinquency_Compulsory_EOM[[#This Row],[Days in Arrears]] &lt; 8, Table__192.168.1.150_M_CONSOLIDATED_Delinquency_Compulsory_EOM[[#This Row],[Outstanding Balance]], 0 )</f>
        <v>36267669.219999999</v>
      </c>
      <c r="V2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6" s="105" t="str">
        <f>VLOOKUP(Table__192.168.1.150_M_CONSOLIDATED_Delinquency_Compulsory_EOM[[#This Row],[Client No]],'Global Portfolio'!$B$2:$N$2500,10,FALSE)</f>
        <v>Retail</v>
      </c>
      <c r="AA226" s="105" t="str">
        <f>VLOOKUP(Table__192.168.1.150_M_CONSOLIDATED_Delinquency_Compulsory_EOM[[#This Row],[Client No]],'Global Portfolio'!$B$2:$N$2500,11,FALSE)</f>
        <v>General Merchandise Stores</v>
      </c>
      <c r="AB226" s="105" t="str">
        <f>VLOOKUP(Table__192.168.1.150_M_CONSOLIDATED_Delinquency_Compulsory_EOM[[#This Row],[Client No]],'Global Portfolio'!$B$2:$N$2500,12,FALSE)</f>
        <v>Others</v>
      </c>
    </row>
    <row r="227" spans="1:28" x14ac:dyDescent="0.25">
      <c r="A227">
        <v>102706</v>
      </c>
      <c r="B227" t="s">
        <v>2420</v>
      </c>
      <c r="C227" t="s">
        <v>2421</v>
      </c>
      <c r="D227" t="s">
        <v>1281</v>
      </c>
      <c r="E227">
        <v>-6</v>
      </c>
      <c r="F227">
        <v>17000000</v>
      </c>
      <c r="G227">
        <v>8290217.3399999999</v>
      </c>
      <c r="H227">
        <v>1114976.1299999999</v>
      </c>
      <c r="I227" t="s">
        <v>1448</v>
      </c>
      <c r="J227">
        <v>226430.74</v>
      </c>
      <c r="K227">
        <v>0</v>
      </c>
      <c r="L227">
        <v>254233.33</v>
      </c>
      <c r="M227">
        <v>10034785.27</v>
      </c>
      <c r="N227" s="143">
        <v>42558.591984756946</v>
      </c>
      <c r="O227" s="143">
        <v>43288</v>
      </c>
      <c r="P227" t="s">
        <v>2422</v>
      </c>
      <c r="Q227" t="s">
        <v>2423</v>
      </c>
      <c r="R227" t="s">
        <v>1280</v>
      </c>
      <c r="S227" t="s">
        <v>1510</v>
      </c>
      <c r="T227">
        <v>48</v>
      </c>
      <c r="U227">
        <f>IF(Table__192.168.1.150_M_CONSOLIDATED_Delinquency_Compulsory_EOM[[#This Row],[Days in Arrears]] &lt; 8, Table__192.168.1.150_M_CONSOLIDATED_Delinquency_Compulsory_EOM[[#This Row],[Outstanding Balance]], 0 )</f>
        <v>8290217.3399999999</v>
      </c>
      <c r="V2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7" s="105" t="str">
        <f>VLOOKUP(Table__192.168.1.150_M_CONSOLIDATED_Delinquency_Compulsory_EOM[[#This Row],[Client No]],'Global Portfolio'!$B$2:$N$2500,10,FALSE)</f>
        <v>Retail</v>
      </c>
      <c r="AA227" s="105" t="str">
        <f>VLOOKUP(Table__192.168.1.150_M_CONSOLIDATED_Delinquency_Compulsory_EOM[[#This Row],[Client No]],'Global Portfolio'!$B$2:$N$2500,11,FALSE)</f>
        <v>Food and Beverage Stores</v>
      </c>
      <c r="AB227" s="105" t="str">
        <f>VLOOKUP(Table__192.168.1.150_M_CONSOLIDATED_Delinquency_Compulsory_EOM[[#This Row],[Client No]],'Global Portfolio'!$B$2:$N$2500,12,FALSE)</f>
        <v>Beverage Stores</v>
      </c>
    </row>
    <row r="228" spans="1:28" x14ac:dyDescent="0.25">
      <c r="A228">
        <v>102712</v>
      </c>
      <c r="B228" t="s">
        <v>2429</v>
      </c>
      <c r="C228" t="s">
        <v>2430</v>
      </c>
      <c r="D228" t="s">
        <v>1281</v>
      </c>
      <c r="E228">
        <v>-13</v>
      </c>
      <c r="F228">
        <v>18000000</v>
      </c>
      <c r="G228">
        <v>8789130.75</v>
      </c>
      <c r="H228">
        <v>1182076.51</v>
      </c>
      <c r="I228" t="s">
        <v>86</v>
      </c>
      <c r="J228">
        <v>49036.639999999999</v>
      </c>
      <c r="K228">
        <v>1350000</v>
      </c>
      <c r="L228">
        <v>187501.46</v>
      </c>
      <c r="M228">
        <v>10638688.460000001</v>
      </c>
      <c r="N228" s="143">
        <v>42564.684344710651</v>
      </c>
      <c r="O228" s="143">
        <v>43295</v>
      </c>
      <c r="P228" t="s">
        <v>2431</v>
      </c>
      <c r="Q228" t="s">
        <v>2432</v>
      </c>
      <c r="R228" t="s">
        <v>1280</v>
      </c>
      <c r="S228" t="s">
        <v>1510</v>
      </c>
      <c r="T228">
        <v>48</v>
      </c>
      <c r="U228">
        <f>IF(Table__192.168.1.150_M_CONSOLIDATED_Delinquency_Compulsory_EOM[[#This Row],[Days in Arrears]] &lt; 8, Table__192.168.1.150_M_CONSOLIDATED_Delinquency_Compulsory_EOM[[#This Row],[Outstanding Balance]], 0 )</f>
        <v>8789130.75</v>
      </c>
      <c r="V2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8" s="105" t="str">
        <f>VLOOKUP(Table__192.168.1.150_M_CONSOLIDATED_Delinquency_Compulsory_EOM[[#This Row],[Client No]],'Global Portfolio'!$B$2:$N$2500,10,FALSE)</f>
        <v>Transportation and Warehousing</v>
      </c>
      <c r="AA228" s="105" t="str">
        <f>VLOOKUP(Table__192.168.1.150_M_CONSOLIDATED_Delinquency_Compulsory_EOM[[#This Row],[Client No]],'Global Portfolio'!$B$2:$N$2500,11,FALSE)</f>
        <v xml:space="preserve"> Passenger Transportation</v>
      </c>
      <c r="AB228" s="105" t="str">
        <f>VLOOKUP(Table__192.168.1.150_M_CONSOLIDATED_Delinquency_Compulsory_EOM[[#This Row],[Client No]],'Global Portfolio'!$B$2:$N$2500,12,FALSE)</f>
        <v>Others</v>
      </c>
    </row>
    <row r="229" spans="1:28" x14ac:dyDescent="0.25">
      <c r="A229">
        <v>102713</v>
      </c>
      <c r="B229" t="s">
        <v>759</v>
      </c>
      <c r="C229" t="s">
        <v>761</v>
      </c>
      <c r="D229" t="s">
        <v>1284</v>
      </c>
      <c r="E229">
        <v>-13</v>
      </c>
      <c r="F229">
        <v>30000000</v>
      </c>
      <c r="G229">
        <v>13805879.039999999</v>
      </c>
      <c r="H229">
        <v>1773142.31</v>
      </c>
      <c r="I229" t="s">
        <v>491</v>
      </c>
      <c r="J229">
        <v>0</v>
      </c>
      <c r="K229">
        <v>1500000</v>
      </c>
      <c r="L229">
        <v>220894.06</v>
      </c>
      <c r="M229">
        <v>15958280.640000001</v>
      </c>
      <c r="N229" s="143">
        <v>42564.693873611111</v>
      </c>
      <c r="O229" s="143">
        <v>43295</v>
      </c>
      <c r="P229" t="s">
        <v>762</v>
      </c>
      <c r="Q229" t="s">
        <v>763</v>
      </c>
      <c r="R229" t="s">
        <v>1280</v>
      </c>
      <c r="S229" t="s">
        <v>1510</v>
      </c>
      <c r="T229">
        <v>36</v>
      </c>
      <c r="U229">
        <f>IF(Table__192.168.1.150_M_CONSOLIDATED_Delinquency_Compulsory_EOM[[#This Row],[Days in Arrears]] &lt; 8, Table__192.168.1.150_M_CONSOLIDATED_Delinquency_Compulsory_EOM[[#This Row],[Outstanding Balance]], 0 )</f>
        <v>13805879.039999999</v>
      </c>
      <c r="V2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29" s="105" t="str">
        <f>VLOOKUP(Table__192.168.1.150_M_CONSOLIDATED_Delinquency_Compulsory_EOM[[#This Row],[Client No]],'Global Portfolio'!$B$2:$N$2500,10,FALSE)</f>
        <v>Wholesale Trade</v>
      </c>
      <c r="AA229" s="105" t="str">
        <f>VLOOKUP(Table__192.168.1.150_M_CONSOLIDATED_Delinquency_Compulsory_EOM[[#This Row],[Client No]],'Global Portfolio'!$B$2:$N$2500,11,FALSE)</f>
        <v>Nondurable Goods</v>
      </c>
      <c r="AB229" s="105" t="str">
        <f>VLOOKUP(Table__192.168.1.150_M_CONSOLIDATED_Delinquency_Compulsory_EOM[[#This Row],[Client No]],'Global Portfolio'!$B$2:$N$2500,12,FALSE)</f>
        <v>Others</v>
      </c>
    </row>
    <row r="230" spans="1:28" x14ac:dyDescent="0.25">
      <c r="A230">
        <v>102714</v>
      </c>
      <c r="B230" t="s">
        <v>2433</v>
      </c>
      <c r="C230" t="s">
        <v>2434</v>
      </c>
      <c r="D230" t="s">
        <v>1283</v>
      </c>
      <c r="E230">
        <v>-13</v>
      </c>
      <c r="F230">
        <v>35000000</v>
      </c>
      <c r="G230">
        <v>16435949.58</v>
      </c>
      <c r="H230">
        <v>2143873.5099999998</v>
      </c>
      <c r="I230" t="s">
        <v>2175</v>
      </c>
      <c r="J230">
        <v>0</v>
      </c>
      <c r="K230">
        <v>1750000</v>
      </c>
      <c r="L230">
        <v>292194.65999999997</v>
      </c>
      <c r="M230">
        <v>19294861.539999999</v>
      </c>
      <c r="N230" s="143">
        <v>42564.702947187499</v>
      </c>
      <c r="O230" s="143">
        <v>43295</v>
      </c>
      <c r="P230" t="s">
        <v>2435</v>
      </c>
      <c r="Q230" t="s">
        <v>1280</v>
      </c>
      <c r="R230" t="s">
        <v>1280</v>
      </c>
      <c r="S230" t="s">
        <v>1510</v>
      </c>
      <c r="T230">
        <v>40</v>
      </c>
      <c r="U230">
        <f>IF(Table__192.168.1.150_M_CONSOLIDATED_Delinquency_Compulsory_EOM[[#This Row],[Days in Arrears]] &lt; 8, Table__192.168.1.150_M_CONSOLIDATED_Delinquency_Compulsory_EOM[[#This Row],[Outstanding Balance]], 0 )</f>
        <v>16435949.58</v>
      </c>
      <c r="V2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0" s="105" t="str">
        <f>VLOOKUP(Table__192.168.1.150_M_CONSOLIDATED_Delinquency_Compulsory_EOM[[#This Row],[Client No]],'Global Portfolio'!$B$2:$N$2500,10,FALSE)</f>
        <v>Retail</v>
      </c>
      <c r="AA230" s="105" t="str">
        <f>VLOOKUP(Table__192.168.1.150_M_CONSOLIDATED_Delinquency_Compulsory_EOM[[#This Row],[Client No]],'Global Portfolio'!$B$2:$N$2500,11,FALSE)</f>
        <v>New-Clothing and  Accessories</v>
      </c>
      <c r="AB230" s="105" t="str">
        <f>VLOOKUP(Table__192.168.1.150_M_CONSOLIDATED_Delinquency_Compulsory_EOM[[#This Row],[Client No]],'Global Portfolio'!$B$2:$N$2500,12,FALSE)</f>
        <v>Clothing Stores</v>
      </c>
    </row>
    <row r="231" spans="1:28" x14ac:dyDescent="0.25">
      <c r="A231">
        <v>102717</v>
      </c>
      <c r="B231" t="s">
        <v>364</v>
      </c>
      <c r="C231" t="s">
        <v>384</v>
      </c>
      <c r="D231" t="s">
        <v>1282</v>
      </c>
      <c r="E231">
        <v>103</v>
      </c>
      <c r="F231">
        <v>7000000</v>
      </c>
      <c r="G231">
        <v>324801.82</v>
      </c>
      <c r="H231">
        <v>748733.92</v>
      </c>
      <c r="I231" t="s">
        <v>5725</v>
      </c>
      <c r="J231">
        <v>0</v>
      </c>
      <c r="K231">
        <v>0</v>
      </c>
      <c r="L231">
        <v>0</v>
      </c>
      <c r="M231">
        <v>324801.82</v>
      </c>
      <c r="N231" s="143">
        <v>42566.624112268517</v>
      </c>
      <c r="O231" s="143">
        <v>42934</v>
      </c>
      <c r="P231" t="s">
        <v>385</v>
      </c>
      <c r="Q231" t="s">
        <v>386</v>
      </c>
      <c r="R231" t="s">
        <v>1280</v>
      </c>
      <c r="S231" t="s">
        <v>1510</v>
      </c>
      <c r="T231">
        <v>48</v>
      </c>
      <c r="U231">
        <f>IF(Table__192.168.1.150_M_CONSOLIDATED_Delinquency_Compulsory_EOM[[#This Row],[Days in Arrears]] &lt; 8, Table__192.168.1.150_M_CONSOLIDATED_Delinquency_Compulsory_EOM[[#This Row],[Outstanding Balance]], 0 )</f>
        <v>0</v>
      </c>
      <c r="V2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324801.82</v>
      </c>
      <c r="Z231" s="105" t="str">
        <f>VLOOKUP(Table__192.168.1.150_M_CONSOLIDATED_Delinquency_Compulsory_EOM[[#This Row],[Client No]],'Global Portfolio'!$B$2:$N$2500,10,FALSE)</f>
        <v>Retail</v>
      </c>
      <c r="AA231" s="105" t="str">
        <f>VLOOKUP(Table__192.168.1.150_M_CONSOLIDATED_Delinquency_Compulsory_EOM[[#This Row],[Client No]],'Global Portfolio'!$B$2:$N$2500,11,FALSE)</f>
        <v>Second Hand -Clothing and  Accessories</v>
      </c>
      <c r="AB231" s="105" t="str">
        <f>VLOOKUP(Table__192.168.1.150_M_CONSOLIDATED_Delinquency_Compulsory_EOM[[#This Row],[Client No]],'Global Portfolio'!$B$2:$N$2500,12,FALSE)</f>
        <v>Others</v>
      </c>
    </row>
    <row r="232" spans="1:28" x14ac:dyDescent="0.25">
      <c r="A232">
        <v>102721</v>
      </c>
      <c r="B232" t="s">
        <v>1668</v>
      </c>
      <c r="C232" t="s">
        <v>1675</v>
      </c>
      <c r="D232" t="s">
        <v>1282</v>
      </c>
      <c r="E232">
        <v>135</v>
      </c>
      <c r="F232">
        <v>6000000</v>
      </c>
      <c r="G232">
        <v>1205804.8700000001</v>
      </c>
      <c r="H232">
        <v>639313.04</v>
      </c>
      <c r="I232" t="s">
        <v>90</v>
      </c>
      <c r="J232">
        <v>0</v>
      </c>
      <c r="K232">
        <v>0</v>
      </c>
      <c r="L232">
        <v>46624.45</v>
      </c>
      <c r="M232">
        <v>1278626.02</v>
      </c>
      <c r="N232" s="143">
        <v>42567.597271990744</v>
      </c>
      <c r="O232" s="143">
        <v>42932</v>
      </c>
      <c r="P232" t="s">
        <v>1676</v>
      </c>
      <c r="Q232" t="s">
        <v>1280</v>
      </c>
      <c r="R232" t="s">
        <v>1280</v>
      </c>
      <c r="S232" t="s">
        <v>1510</v>
      </c>
      <c r="T232">
        <v>48</v>
      </c>
      <c r="U232">
        <f>IF(Table__192.168.1.150_M_CONSOLIDATED_Delinquency_Compulsory_EOM[[#This Row],[Days in Arrears]] &lt; 8, Table__192.168.1.150_M_CONSOLIDATED_Delinquency_Compulsory_EOM[[#This Row],[Outstanding Balance]], 0 )</f>
        <v>0</v>
      </c>
      <c r="V2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1205804.8700000001</v>
      </c>
      <c r="Z232" s="105" t="str">
        <f>VLOOKUP(Table__192.168.1.150_M_CONSOLIDATED_Delinquency_Compulsory_EOM[[#This Row],[Client No]],'Global Portfolio'!$B$2:$N$2500,10,FALSE)</f>
        <v>Real Estate and Rental</v>
      </c>
      <c r="AA232" s="105" t="str">
        <f>VLOOKUP(Table__192.168.1.150_M_CONSOLIDATED_Delinquency_Compulsory_EOM[[#This Row],[Client No]],'Global Portfolio'!$B$2:$N$2500,11,FALSE)</f>
        <v>Rental</v>
      </c>
      <c r="AB232" s="105" t="str">
        <f>VLOOKUP(Table__192.168.1.150_M_CONSOLIDATED_Delinquency_Compulsory_EOM[[#This Row],[Client No]],'Global Portfolio'!$B$2:$N$2500,12,FALSE)</f>
        <v>General Rental Centers</v>
      </c>
    </row>
    <row r="233" spans="1:28" x14ac:dyDescent="0.25">
      <c r="A233">
        <v>102722</v>
      </c>
      <c r="B233" t="s">
        <v>2439</v>
      </c>
      <c r="C233" t="s">
        <v>2440</v>
      </c>
      <c r="D233" t="s">
        <v>1867</v>
      </c>
      <c r="E233">
        <v>133</v>
      </c>
      <c r="F233">
        <v>12000000</v>
      </c>
      <c r="G233">
        <v>4804821.63</v>
      </c>
      <c r="H233">
        <v>1079293.2</v>
      </c>
      <c r="I233" t="s">
        <v>5725</v>
      </c>
      <c r="J233">
        <v>0</v>
      </c>
      <c r="K233">
        <v>0</v>
      </c>
      <c r="L233">
        <v>348901.72</v>
      </c>
      <c r="M233">
        <v>5396466.0800000001</v>
      </c>
      <c r="N233" s="143">
        <v>42569.726373645834</v>
      </c>
      <c r="O233" s="143">
        <v>43026</v>
      </c>
      <c r="P233" t="s">
        <v>2441</v>
      </c>
      <c r="Q233" t="s">
        <v>1280</v>
      </c>
      <c r="R233" t="s">
        <v>1280</v>
      </c>
      <c r="S233" t="s">
        <v>1510</v>
      </c>
      <c r="T233">
        <v>48</v>
      </c>
      <c r="U233">
        <f>IF(Table__192.168.1.150_M_CONSOLIDATED_Delinquency_Compulsory_EOM[[#This Row],[Days in Arrears]] &lt; 8, Table__192.168.1.150_M_CONSOLIDATED_Delinquency_Compulsory_EOM[[#This Row],[Outstanding Balance]], 0 )</f>
        <v>0</v>
      </c>
      <c r="V2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4804821.63</v>
      </c>
      <c r="Z233" s="105" t="str">
        <f>VLOOKUP(Table__192.168.1.150_M_CONSOLIDATED_Delinquency_Compulsory_EOM[[#This Row],[Client No]],'Global Portfolio'!$B$2:$N$2500,10,FALSE)</f>
        <v>Transportation and Warehousing</v>
      </c>
      <c r="AA233" s="105" t="str">
        <f>VLOOKUP(Table__192.168.1.150_M_CONSOLIDATED_Delinquency_Compulsory_EOM[[#This Row],[Client No]],'Global Portfolio'!$B$2:$N$2500,11,FALSE)</f>
        <v>Truck Transportation</v>
      </c>
      <c r="AB233" s="105" t="str">
        <f>VLOOKUP(Table__192.168.1.150_M_CONSOLIDATED_Delinquency_Compulsory_EOM[[#This Row],[Client No]],'Global Portfolio'!$B$2:$N$2500,12,FALSE)</f>
        <v>General Freight Trucking, Long-distance</v>
      </c>
    </row>
    <row r="234" spans="1:28" x14ac:dyDescent="0.25">
      <c r="A234">
        <v>102726</v>
      </c>
      <c r="B234" t="s">
        <v>2506</v>
      </c>
      <c r="C234" t="s">
        <v>2509</v>
      </c>
      <c r="D234" t="s">
        <v>1283</v>
      </c>
      <c r="E234">
        <v>-21</v>
      </c>
      <c r="F234">
        <v>35000000</v>
      </c>
      <c r="G234">
        <v>25196437.329999998</v>
      </c>
      <c r="H234">
        <v>1687476.47</v>
      </c>
      <c r="I234" t="s">
        <v>1191</v>
      </c>
      <c r="J234">
        <v>864292.22</v>
      </c>
      <c r="K234">
        <v>0</v>
      </c>
      <c r="L234">
        <v>223968.33</v>
      </c>
      <c r="M234">
        <v>35437006.159999996</v>
      </c>
      <c r="N234" s="143">
        <v>42571.776242210646</v>
      </c>
      <c r="O234" s="143">
        <v>43668</v>
      </c>
      <c r="P234" t="s">
        <v>2510</v>
      </c>
      <c r="Q234" t="s">
        <v>1280</v>
      </c>
      <c r="R234" t="s">
        <v>1280</v>
      </c>
      <c r="S234" t="s">
        <v>1510</v>
      </c>
      <c r="T234">
        <v>40</v>
      </c>
      <c r="U234">
        <f>IF(Table__192.168.1.150_M_CONSOLIDATED_Delinquency_Compulsory_EOM[[#This Row],[Days in Arrears]] &lt; 8, Table__192.168.1.150_M_CONSOLIDATED_Delinquency_Compulsory_EOM[[#This Row],[Outstanding Balance]], 0 )</f>
        <v>25196437.329999998</v>
      </c>
      <c r="V2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4" s="105" t="str">
        <f>VLOOKUP(Table__192.168.1.150_M_CONSOLIDATED_Delinquency_Compulsory_EOM[[#This Row],[Client No]],'Global Portfolio'!$B$2:$N$2500,10,FALSE)</f>
        <v>Educational Services</v>
      </c>
      <c r="AA234" s="105" t="str">
        <f>VLOOKUP(Table__192.168.1.150_M_CONSOLIDATED_Delinquency_Compulsory_EOM[[#This Row],[Client No]],'Global Portfolio'!$B$2:$N$2500,11,FALSE)</f>
        <v>Educational Services</v>
      </c>
      <c r="AB234" s="105" t="str">
        <f>VLOOKUP(Table__192.168.1.150_M_CONSOLIDATED_Delinquency_Compulsory_EOM[[#This Row],[Client No]],'Global Portfolio'!$B$2:$N$2500,12,FALSE)</f>
        <v>Colleges</v>
      </c>
    </row>
    <row r="235" spans="1:28" x14ac:dyDescent="0.25">
      <c r="A235">
        <v>102728</v>
      </c>
      <c r="B235" t="s">
        <v>2513</v>
      </c>
      <c r="C235" t="s">
        <v>2514</v>
      </c>
      <c r="D235" t="s">
        <v>1282</v>
      </c>
      <c r="E235">
        <v>100</v>
      </c>
      <c r="F235">
        <v>5000000</v>
      </c>
      <c r="G235">
        <v>524718.64</v>
      </c>
      <c r="H235">
        <v>548330.93999999994</v>
      </c>
      <c r="I235" t="s">
        <v>1448</v>
      </c>
      <c r="J235">
        <v>0</v>
      </c>
      <c r="K235">
        <v>0</v>
      </c>
      <c r="L235">
        <v>23612.34</v>
      </c>
      <c r="M235">
        <v>548330.98</v>
      </c>
      <c r="N235" s="143">
        <v>42572.520186770831</v>
      </c>
      <c r="O235" s="143">
        <v>42937</v>
      </c>
      <c r="P235" t="s">
        <v>2515</v>
      </c>
      <c r="Q235" t="s">
        <v>1280</v>
      </c>
      <c r="R235" t="s">
        <v>1280</v>
      </c>
      <c r="S235" t="s">
        <v>1510</v>
      </c>
      <c r="T235">
        <v>54</v>
      </c>
      <c r="U235">
        <f>IF(Table__192.168.1.150_M_CONSOLIDATED_Delinquency_Compulsory_EOM[[#This Row],[Days in Arrears]] &lt; 8, Table__192.168.1.150_M_CONSOLIDATED_Delinquency_Compulsory_EOM[[#This Row],[Outstanding Balance]], 0 )</f>
        <v>0</v>
      </c>
      <c r="V2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524718.64</v>
      </c>
      <c r="Z235" s="105" t="str">
        <f>VLOOKUP(Table__192.168.1.150_M_CONSOLIDATED_Delinquency_Compulsory_EOM[[#This Row],[Client No]],'Global Portfolio'!$B$2:$N$2500,10,FALSE)</f>
        <v>Educational Services</v>
      </c>
      <c r="AA235" s="105" t="str">
        <f>VLOOKUP(Table__192.168.1.150_M_CONSOLIDATED_Delinquency_Compulsory_EOM[[#This Row],[Client No]],'Global Portfolio'!$B$2:$N$2500,11,FALSE)</f>
        <v>Educational Services</v>
      </c>
      <c r="AB235" s="105" t="str">
        <f>VLOOKUP(Table__192.168.1.150_M_CONSOLIDATED_Delinquency_Compulsory_EOM[[#This Row],[Client No]],'Global Portfolio'!$B$2:$N$2500,12,FALSE)</f>
        <v>Schools</v>
      </c>
    </row>
    <row r="236" spans="1:28" x14ac:dyDescent="0.25">
      <c r="A236">
        <v>102735</v>
      </c>
      <c r="B236" t="s">
        <v>2531</v>
      </c>
      <c r="C236" t="s">
        <v>2534</v>
      </c>
      <c r="D236" t="s">
        <v>1283</v>
      </c>
      <c r="E236">
        <v>-24</v>
      </c>
      <c r="F236">
        <v>36000000</v>
      </c>
      <c r="G236">
        <v>25860721.039999999</v>
      </c>
      <c r="H236">
        <v>1731965.43</v>
      </c>
      <c r="I236" t="s">
        <v>1191</v>
      </c>
      <c r="J236">
        <v>93772.84</v>
      </c>
      <c r="K236">
        <v>0</v>
      </c>
      <c r="L236">
        <v>143670.67000000001</v>
      </c>
      <c r="M236">
        <v>36371274.159999996</v>
      </c>
      <c r="N236" s="143">
        <v>42576.56290138889</v>
      </c>
      <c r="O236" s="143">
        <v>43671</v>
      </c>
      <c r="P236" t="s">
        <v>2535</v>
      </c>
      <c r="Q236" t="s">
        <v>1280</v>
      </c>
      <c r="R236" t="s">
        <v>2536</v>
      </c>
      <c r="S236" t="s">
        <v>1510</v>
      </c>
      <c r="T236">
        <v>40</v>
      </c>
      <c r="U236">
        <f>IF(Table__192.168.1.150_M_CONSOLIDATED_Delinquency_Compulsory_EOM[[#This Row],[Days in Arrears]] &lt; 8, Table__192.168.1.150_M_CONSOLIDATED_Delinquency_Compulsory_EOM[[#This Row],[Outstanding Balance]], 0 )</f>
        <v>25860721.039999999</v>
      </c>
      <c r="V2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6" s="105" t="str">
        <f>VLOOKUP(Table__192.168.1.150_M_CONSOLIDATED_Delinquency_Compulsory_EOM[[#This Row],[Client No]],'Global Portfolio'!$B$2:$N$2500,10,FALSE)</f>
        <v>Real Estate and Rental</v>
      </c>
      <c r="AA236" s="105" t="str">
        <f>VLOOKUP(Table__192.168.1.150_M_CONSOLIDATED_Delinquency_Compulsory_EOM[[#This Row],[Client No]],'Global Portfolio'!$B$2:$N$2500,11,FALSE)</f>
        <v>Rental</v>
      </c>
      <c r="AB236" s="105" t="str">
        <f>VLOOKUP(Table__192.168.1.150_M_CONSOLIDATED_Delinquency_Compulsory_EOM[[#This Row],[Client No]],'Global Portfolio'!$B$2:$N$2500,12,FALSE)</f>
        <v>Others</v>
      </c>
    </row>
    <row r="237" spans="1:28" x14ac:dyDescent="0.25">
      <c r="A237">
        <v>102737</v>
      </c>
      <c r="B237" t="s">
        <v>664</v>
      </c>
      <c r="C237" t="s">
        <v>669</v>
      </c>
      <c r="D237" t="s">
        <v>1283</v>
      </c>
      <c r="E237">
        <v>-19</v>
      </c>
      <c r="F237">
        <v>33000000</v>
      </c>
      <c r="G237">
        <v>23164468.219999999</v>
      </c>
      <c r="H237">
        <v>1502720.21</v>
      </c>
      <c r="I237" t="s">
        <v>1447</v>
      </c>
      <c r="J237">
        <v>0</v>
      </c>
      <c r="K237">
        <v>0</v>
      </c>
      <c r="L237">
        <v>231644.68</v>
      </c>
      <c r="M237">
        <v>31557124.260000002</v>
      </c>
      <c r="N237" s="143">
        <v>42577.617198148146</v>
      </c>
      <c r="O237" s="143">
        <v>43666</v>
      </c>
      <c r="P237" t="s">
        <v>670</v>
      </c>
      <c r="Q237" t="s">
        <v>671</v>
      </c>
      <c r="R237" t="s">
        <v>1280</v>
      </c>
      <c r="S237" t="s">
        <v>1510</v>
      </c>
      <c r="T237">
        <v>36</v>
      </c>
      <c r="U237">
        <f>IF(Table__192.168.1.150_M_CONSOLIDATED_Delinquency_Compulsory_EOM[[#This Row],[Days in Arrears]] &lt; 8, Table__192.168.1.150_M_CONSOLIDATED_Delinquency_Compulsory_EOM[[#This Row],[Outstanding Balance]], 0 )</f>
        <v>23164468.219999999</v>
      </c>
      <c r="V2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7" s="105" t="str">
        <f>VLOOKUP(Table__192.168.1.150_M_CONSOLIDATED_Delinquency_Compulsory_EOM[[#This Row],[Client No]],'Global Portfolio'!$B$2:$N$2500,10,FALSE)</f>
        <v>Real Estate and Rental</v>
      </c>
      <c r="AA237" s="105" t="str">
        <f>VLOOKUP(Table__192.168.1.150_M_CONSOLIDATED_Delinquency_Compulsory_EOM[[#This Row],[Client No]],'Global Portfolio'!$B$2:$N$2500,11,FALSE)</f>
        <v>Rental</v>
      </c>
      <c r="AB237" s="105" t="str">
        <f>VLOOKUP(Table__192.168.1.150_M_CONSOLIDATED_Delinquency_Compulsory_EOM[[#This Row],[Client No]],'Global Portfolio'!$B$2:$N$2500,12,FALSE)</f>
        <v>Others</v>
      </c>
    </row>
    <row r="238" spans="1:28" x14ac:dyDescent="0.25">
      <c r="A238">
        <v>102738</v>
      </c>
      <c r="B238" t="s">
        <v>2540</v>
      </c>
      <c r="C238" t="s">
        <v>2545</v>
      </c>
      <c r="D238" t="s">
        <v>1281</v>
      </c>
      <c r="E238">
        <v>-5</v>
      </c>
      <c r="F238">
        <v>15500000</v>
      </c>
      <c r="G238">
        <v>4501411.18</v>
      </c>
      <c r="H238">
        <v>1240093.98</v>
      </c>
      <c r="I238" t="s">
        <v>1448</v>
      </c>
      <c r="J238">
        <v>0</v>
      </c>
      <c r="K238">
        <v>1162500</v>
      </c>
      <c r="L238">
        <v>144045.16</v>
      </c>
      <c r="M238">
        <v>4960375.88</v>
      </c>
      <c r="N238" s="143">
        <v>42577.712034340278</v>
      </c>
      <c r="O238" s="143">
        <v>43137</v>
      </c>
      <c r="P238" t="s">
        <v>2546</v>
      </c>
      <c r="Q238" t="s">
        <v>2547</v>
      </c>
      <c r="R238" t="s">
        <v>1280</v>
      </c>
      <c r="S238" t="s">
        <v>1510</v>
      </c>
      <c r="T238">
        <v>48</v>
      </c>
      <c r="U238">
        <f>IF(Table__192.168.1.150_M_CONSOLIDATED_Delinquency_Compulsory_EOM[[#This Row],[Days in Arrears]] &lt; 8, Table__192.168.1.150_M_CONSOLIDATED_Delinquency_Compulsory_EOM[[#This Row],[Outstanding Balance]], 0 )</f>
        <v>4501411.18</v>
      </c>
      <c r="V2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8" s="105" t="str">
        <f>VLOOKUP(Table__192.168.1.150_M_CONSOLIDATED_Delinquency_Compulsory_EOM[[#This Row],[Client No]],'Global Portfolio'!$B$2:$N$2500,10,FALSE)</f>
        <v>Transportation and Warehousing</v>
      </c>
      <c r="AA238" s="105" t="str">
        <f>VLOOKUP(Table__192.168.1.150_M_CONSOLIDATED_Delinquency_Compulsory_EOM[[#This Row],[Client No]],'Global Portfolio'!$B$2:$N$2500,11,FALSE)</f>
        <v>Air, Rail, and Water Transportation</v>
      </c>
      <c r="AB238" s="105" t="str">
        <f>VLOOKUP(Table__192.168.1.150_M_CONSOLIDATED_Delinquency_Compulsory_EOM[[#This Row],[Client No]],'Global Portfolio'!$B$2:$N$2500,12,FALSE)</f>
        <v>Others</v>
      </c>
    </row>
    <row r="239" spans="1:28" x14ac:dyDescent="0.25">
      <c r="A239">
        <v>102741</v>
      </c>
      <c r="B239" t="s">
        <v>2558</v>
      </c>
      <c r="C239" t="s">
        <v>2559</v>
      </c>
      <c r="D239" t="s">
        <v>1284</v>
      </c>
      <c r="E239">
        <v>0</v>
      </c>
      <c r="F239">
        <v>26000000</v>
      </c>
      <c r="G239">
        <v>7200017.9400000004</v>
      </c>
      <c r="H239">
        <v>1952463.33</v>
      </c>
      <c r="I239" t="s">
        <v>491</v>
      </c>
      <c r="J239">
        <v>1941500</v>
      </c>
      <c r="K239">
        <v>1300000</v>
      </c>
      <c r="L239">
        <v>232000.58</v>
      </c>
      <c r="M239">
        <v>7809853.4199999999</v>
      </c>
      <c r="N239" s="143">
        <v>42578.643912581021</v>
      </c>
      <c r="O239" s="143">
        <v>43132</v>
      </c>
      <c r="P239" t="s">
        <v>2560</v>
      </c>
      <c r="Q239" t="s">
        <v>2561</v>
      </c>
      <c r="R239" t="s">
        <v>1280</v>
      </c>
      <c r="S239" t="s">
        <v>1510</v>
      </c>
      <c r="T239">
        <v>40</v>
      </c>
      <c r="U239">
        <f>IF(Table__192.168.1.150_M_CONSOLIDATED_Delinquency_Compulsory_EOM[[#This Row],[Days in Arrears]] &lt; 8, Table__192.168.1.150_M_CONSOLIDATED_Delinquency_Compulsory_EOM[[#This Row],[Outstanding Balance]], 0 )</f>
        <v>7200017.9400000004</v>
      </c>
      <c r="V2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39" s="105" t="str">
        <f>VLOOKUP(Table__192.168.1.150_M_CONSOLIDATED_Delinquency_Compulsory_EOM[[#This Row],[Client No]],'Global Portfolio'!$B$2:$N$2500,10,FALSE)</f>
        <v>Educational Services</v>
      </c>
      <c r="AA239" s="105" t="str">
        <f>VLOOKUP(Table__192.168.1.150_M_CONSOLIDATED_Delinquency_Compulsory_EOM[[#This Row],[Client No]],'Global Portfolio'!$B$2:$N$2500,11,FALSE)</f>
        <v>Educational Services</v>
      </c>
      <c r="AB239" s="105" t="str">
        <f>VLOOKUP(Table__192.168.1.150_M_CONSOLIDATED_Delinquency_Compulsory_EOM[[#This Row],[Client No]],'Global Portfolio'!$B$2:$N$2500,12,FALSE)</f>
        <v>Others</v>
      </c>
    </row>
    <row r="240" spans="1:28" x14ac:dyDescent="0.25">
      <c r="A240">
        <v>102742</v>
      </c>
      <c r="B240" t="s">
        <v>2576</v>
      </c>
      <c r="C240" t="s">
        <v>2577</v>
      </c>
      <c r="D240" t="s">
        <v>1279</v>
      </c>
      <c r="E240">
        <v>120</v>
      </c>
      <c r="F240">
        <v>1500000</v>
      </c>
      <c r="G240">
        <v>309379.08</v>
      </c>
      <c r="H240">
        <v>165207.65</v>
      </c>
      <c r="I240" t="s">
        <v>1447</v>
      </c>
      <c r="J240">
        <v>0</v>
      </c>
      <c r="K240">
        <v>0</v>
      </c>
      <c r="L240">
        <v>20799.13</v>
      </c>
      <c r="M240">
        <v>330415.34999999998</v>
      </c>
      <c r="N240" s="143">
        <v>42579.529619988425</v>
      </c>
      <c r="O240" s="143">
        <v>42948</v>
      </c>
      <c r="P240" t="s">
        <v>2578</v>
      </c>
      <c r="Q240" t="s">
        <v>1280</v>
      </c>
      <c r="R240" t="s">
        <v>1280</v>
      </c>
      <c r="S240" t="s">
        <v>1510</v>
      </c>
      <c r="T240">
        <v>54</v>
      </c>
      <c r="U240">
        <f>IF(Table__192.168.1.150_M_CONSOLIDATED_Delinquency_Compulsory_EOM[[#This Row],[Days in Arrears]] &lt; 8, Table__192.168.1.150_M_CONSOLIDATED_Delinquency_Compulsory_EOM[[#This Row],[Outstanding Balance]], 0 )</f>
        <v>0</v>
      </c>
      <c r="V2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309379.08</v>
      </c>
      <c r="Z240" s="105" t="str">
        <f>VLOOKUP(Table__192.168.1.150_M_CONSOLIDATED_Delinquency_Compulsory_EOM[[#This Row],[Client No]],'Global Portfolio'!$B$2:$N$2500,10,FALSE)</f>
        <v>Restaurants and Hotels</v>
      </c>
      <c r="AA240" s="105" t="str">
        <f>VLOOKUP(Table__192.168.1.150_M_CONSOLIDATED_Delinquency_Compulsory_EOM[[#This Row],[Client No]],'Global Portfolio'!$B$2:$N$2500,11,FALSE)</f>
        <v>Restaurant</v>
      </c>
      <c r="AB240" s="105" t="str">
        <f>VLOOKUP(Table__192.168.1.150_M_CONSOLIDATED_Delinquency_Compulsory_EOM[[#This Row],[Client No]],'Global Portfolio'!$B$2:$N$2500,12,FALSE)</f>
        <v>Take away restaurant</v>
      </c>
    </row>
    <row r="241" spans="1:28" x14ac:dyDescent="0.25">
      <c r="A241">
        <v>102743</v>
      </c>
      <c r="B241" t="s">
        <v>1163</v>
      </c>
      <c r="C241" t="s">
        <v>1164</v>
      </c>
      <c r="D241" t="s">
        <v>1283</v>
      </c>
      <c r="E241">
        <v>90</v>
      </c>
      <c r="F241">
        <v>35000000</v>
      </c>
      <c r="G241">
        <v>27996895.649999999</v>
      </c>
      <c r="H241">
        <v>1607802.12</v>
      </c>
      <c r="I241" t="s">
        <v>5724</v>
      </c>
      <c r="J241">
        <v>0</v>
      </c>
      <c r="K241">
        <v>0</v>
      </c>
      <c r="L241">
        <v>1610432.43</v>
      </c>
      <c r="M241">
        <v>40175937.289999999</v>
      </c>
      <c r="N241" s="143">
        <v>42579.575141006942</v>
      </c>
      <c r="O241" s="143">
        <v>43678</v>
      </c>
      <c r="P241" t="s">
        <v>1165</v>
      </c>
      <c r="Q241" t="s">
        <v>1166</v>
      </c>
      <c r="R241" t="s">
        <v>1280</v>
      </c>
      <c r="S241" t="s">
        <v>1510</v>
      </c>
      <c r="T241">
        <v>36</v>
      </c>
      <c r="U241">
        <f>IF(Table__192.168.1.150_M_CONSOLIDATED_Delinquency_Compulsory_EOM[[#This Row],[Days in Arrears]] &lt; 8, Table__192.168.1.150_M_CONSOLIDATED_Delinquency_Compulsory_EOM[[#This Row],[Outstanding Balance]], 0 )</f>
        <v>0</v>
      </c>
      <c r="V2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27996895.649999999</v>
      </c>
      <c r="Z241" s="105" t="str">
        <f>VLOOKUP(Table__192.168.1.150_M_CONSOLIDATED_Delinquency_Compulsory_EOM[[#This Row],[Client No]],'Global Portfolio'!$B$2:$N$2500,10,FALSE)</f>
        <v>Real Estate and Rental</v>
      </c>
      <c r="AA241" s="105" t="str">
        <f>VLOOKUP(Table__192.168.1.150_M_CONSOLIDATED_Delinquency_Compulsory_EOM[[#This Row],[Client No]],'Global Portfolio'!$B$2:$N$2500,11,FALSE)</f>
        <v>Rental</v>
      </c>
      <c r="AB241" s="105" t="str">
        <f>VLOOKUP(Table__192.168.1.150_M_CONSOLIDATED_Delinquency_Compulsory_EOM[[#This Row],[Client No]],'Global Portfolio'!$B$2:$N$2500,12,FALSE)</f>
        <v>General Rental Centers</v>
      </c>
    </row>
    <row r="242" spans="1:28" x14ac:dyDescent="0.25">
      <c r="A242">
        <v>102745</v>
      </c>
      <c r="B242" t="s">
        <v>2588</v>
      </c>
      <c r="C242" t="s">
        <v>2594</v>
      </c>
      <c r="D242" t="s">
        <v>1283</v>
      </c>
      <c r="E242">
        <v>0</v>
      </c>
      <c r="F242">
        <v>31000000</v>
      </c>
      <c r="G242">
        <v>2579509.56</v>
      </c>
      <c r="H242">
        <v>2665493.2200000002</v>
      </c>
      <c r="I242" t="s">
        <v>1448</v>
      </c>
      <c r="J242">
        <v>2673422.67</v>
      </c>
      <c r="K242">
        <v>0</v>
      </c>
      <c r="L242">
        <v>83117.53</v>
      </c>
      <c r="M242">
        <v>2665493.21</v>
      </c>
      <c r="N242" s="143">
        <v>42580.687739780093</v>
      </c>
      <c r="O242" s="143">
        <v>43040</v>
      </c>
      <c r="P242" t="s">
        <v>2595</v>
      </c>
      <c r="Q242" t="s">
        <v>2596</v>
      </c>
      <c r="R242" t="s">
        <v>1280</v>
      </c>
      <c r="S242" t="s">
        <v>1510</v>
      </c>
      <c r="T242">
        <v>40</v>
      </c>
      <c r="U242">
        <f>IF(Table__192.168.1.150_M_CONSOLIDATED_Delinquency_Compulsory_EOM[[#This Row],[Days in Arrears]] &lt; 8, Table__192.168.1.150_M_CONSOLIDATED_Delinquency_Compulsory_EOM[[#This Row],[Outstanding Balance]], 0 )</f>
        <v>2579509.56</v>
      </c>
      <c r="V2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2" s="105" t="e">
        <f>VLOOKUP(Table__192.168.1.150_M_CONSOLIDATED_Delinquency_Compulsory_EOM[[#This Row],[Client No]],'Global Portfolio'!$B$2:$N$2500,10,FALSE)</f>
        <v>#N/A</v>
      </c>
      <c r="AA242" s="105" t="e">
        <f>VLOOKUP(Table__192.168.1.150_M_CONSOLIDATED_Delinquency_Compulsory_EOM[[#This Row],[Client No]],'Global Portfolio'!$B$2:$N$2500,11,FALSE)</f>
        <v>#N/A</v>
      </c>
      <c r="AB242" s="105" t="e">
        <f>VLOOKUP(Table__192.168.1.150_M_CONSOLIDATED_Delinquency_Compulsory_EOM[[#This Row],[Client No]],'Global Portfolio'!$B$2:$N$2500,12,FALSE)</f>
        <v>#N/A</v>
      </c>
    </row>
    <row r="243" spans="1:28" x14ac:dyDescent="0.25">
      <c r="A243">
        <v>102747</v>
      </c>
      <c r="B243" t="s">
        <v>985</v>
      </c>
      <c r="C243" t="s">
        <v>986</v>
      </c>
      <c r="D243" t="s">
        <v>1282</v>
      </c>
      <c r="E243">
        <v>0</v>
      </c>
      <c r="F243">
        <v>15000000</v>
      </c>
      <c r="G243">
        <v>4312090.87</v>
      </c>
      <c r="H243">
        <v>1187938.1299999999</v>
      </c>
      <c r="I243" t="s">
        <v>1191</v>
      </c>
      <c r="J243">
        <v>64275.199999999997</v>
      </c>
      <c r="K243">
        <v>0</v>
      </c>
      <c r="L243">
        <v>166734.18</v>
      </c>
      <c r="M243">
        <v>4751752.42</v>
      </c>
      <c r="N243" s="143">
        <v>42580.717206365742</v>
      </c>
      <c r="O243" s="143">
        <v>43132</v>
      </c>
      <c r="P243" t="s">
        <v>987</v>
      </c>
      <c r="Q243" t="s">
        <v>1280</v>
      </c>
      <c r="R243" t="s">
        <v>1280</v>
      </c>
      <c r="S243" t="s">
        <v>1510</v>
      </c>
      <c r="T243">
        <v>48</v>
      </c>
      <c r="U243">
        <f>IF(Table__192.168.1.150_M_CONSOLIDATED_Delinquency_Compulsory_EOM[[#This Row],[Days in Arrears]] &lt; 8, Table__192.168.1.150_M_CONSOLIDATED_Delinquency_Compulsory_EOM[[#This Row],[Outstanding Balance]], 0 )</f>
        <v>4312090.87</v>
      </c>
      <c r="V2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3" s="105" t="e">
        <f>VLOOKUP(Table__192.168.1.150_M_CONSOLIDATED_Delinquency_Compulsory_EOM[[#This Row],[Client No]],'Global Portfolio'!$B$2:$N$2500,10,FALSE)</f>
        <v>#N/A</v>
      </c>
      <c r="AA243" s="105" t="e">
        <f>VLOOKUP(Table__192.168.1.150_M_CONSOLIDATED_Delinquency_Compulsory_EOM[[#This Row],[Client No]],'Global Portfolio'!$B$2:$N$2500,11,FALSE)</f>
        <v>#N/A</v>
      </c>
      <c r="AB243" s="105" t="e">
        <f>VLOOKUP(Table__192.168.1.150_M_CONSOLIDATED_Delinquency_Compulsory_EOM[[#This Row],[Client No]],'Global Portfolio'!$B$2:$N$2500,12,FALSE)</f>
        <v>#N/A</v>
      </c>
    </row>
    <row r="244" spans="1:28" x14ac:dyDescent="0.25">
      <c r="A244">
        <v>102749</v>
      </c>
      <c r="B244" t="s">
        <v>2615</v>
      </c>
      <c r="C244" t="s">
        <v>2618</v>
      </c>
      <c r="D244" t="s">
        <v>1282</v>
      </c>
      <c r="E244">
        <v>53</v>
      </c>
      <c r="F244">
        <v>8000000</v>
      </c>
      <c r="G244">
        <v>1721287.36</v>
      </c>
      <c r="H244">
        <v>753464.46</v>
      </c>
      <c r="I244" t="s">
        <v>86</v>
      </c>
      <c r="J244">
        <v>0</v>
      </c>
      <c r="K244">
        <v>0</v>
      </c>
      <c r="L244">
        <v>63494.49</v>
      </c>
      <c r="M244">
        <v>1817227.69</v>
      </c>
      <c r="N244" s="143">
        <v>42581.595540312497</v>
      </c>
      <c r="O244" s="143">
        <v>43047</v>
      </c>
      <c r="P244" t="s">
        <v>2619</v>
      </c>
      <c r="Q244" t="s">
        <v>2620</v>
      </c>
      <c r="R244" t="s">
        <v>1280</v>
      </c>
      <c r="S244" t="s">
        <v>1510</v>
      </c>
      <c r="T244">
        <v>54</v>
      </c>
      <c r="U244">
        <f>IF(Table__192.168.1.150_M_CONSOLIDATED_Delinquency_Compulsory_EOM[[#This Row],[Days in Arrears]] &lt; 8, Table__192.168.1.150_M_CONSOLIDATED_Delinquency_Compulsory_EOM[[#This Row],[Outstanding Balance]], 0 )</f>
        <v>0</v>
      </c>
      <c r="V2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1721287.36</v>
      </c>
      <c r="X2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4" s="105" t="str">
        <f>VLOOKUP(Table__192.168.1.150_M_CONSOLIDATED_Delinquency_Compulsory_EOM[[#This Row],[Client No]],'Global Portfolio'!$B$2:$N$2500,10,FALSE)</f>
        <v>Real Estate and Rental</v>
      </c>
      <c r="AA244" s="105" t="str">
        <f>VLOOKUP(Table__192.168.1.150_M_CONSOLIDATED_Delinquency_Compulsory_EOM[[#This Row],[Client No]],'Global Portfolio'!$B$2:$N$2500,11,FALSE)</f>
        <v>Rental</v>
      </c>
      <c r="AB244" s="105" t="str">
        <f>VLOOKUP(Table__192.168.1.150_M_CONSOLIDATED_Delinquency_Compulsory_EOM[[#This Row],[Client No]],'Global Portfolio'!$B$2:$N$2500,12,FALSE)</f>
        <v>Others</v>
      </c>
    </row>
    <row r="245" spans="1:28" x14ac:dyDescent="0.25">
      <c r="A245">
        <v>102750</v>
      </c>
      <c r="B245" t="s">
        <v>1184</v>
      </c>
      <c r="C245" t="s">
        <v>1185</v>
      </c>
      <c r="D245" t="s">
        <v>1281</v>
      </c>
      <c r="E245">
        <v>-4</v>
      </c>
      <c r="F245">
        <v>15500000</v>
      </c>
      <c r="G245">
        <v>4340787.5</v>
      </c>
      <c r="H245">
        <v>1181784.32</v>
      </c>
      <c r="I245" t="s">
        <v>963</v>
      </c>
      <c r="J245">
        <v>247031.81</v>
      </c>
      <c r="K245">
        <v>1162500</v>
      </c>
      <c r="L245">
        <v>126606.3</v>
      </c>
      <c r="M245">
        <v>4727137.38</v>
      </c>
      <c r="N245" s="143">
        <v>42581.635056828702</v>
      </c>
      <c r="O245" s="143">
        <v>43136</v>
      </c>
      <c r="P245" t="s">
        <v>1186</v>
      </c>
      <c r="Q245" t="s">
        <v>1187</v>
      </c>
      <c r="R245" t="s">
        <v>1280</v>
      </c>
      <c r="S245" t="s">
        <v>1510</v>
      </c>
      <c r="T245">
        <v>42</v>
      </c>
      <c r="U245">
        <f>IF(Table__192.168.1.150_M_CONSOLIDATED_Delinquency_Compulsory_EOM[[#This Row],[Days in Arrears]] &lt; 8, Table__192.168.1.150_M_CONSOLIDATED_Delinquency_Compulsory_EOM[[#This Row],[Outstanding Balance]], 0 )</f>
        <v>4340787.5</v>
      </c>
      <c r="V2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5" s="105" t="str">
        <f>VLOOKUP(Table__192.168.1.150_M_CONSOLIDATED_Delinquency_Compulsory_EOM[[#This Row],[Client No]],'Global Portfolio'!$B$2:$N$2500,10,FALSE)</f>
        <v>Real Estate and Rental</v>
      </c>
      <c r="AA245" s="105" t="str">
        <f>VLOOKUP(Table__192.168.1.150_M_CONSOLIDATED_Delinquency_Compulsory_EOM[[#This Row],[Client No]],'Global Portfolio'!$B$2:$N$2500,11,FALSE)</f>
        <v>Rental</v>
      </c>
      <c r="AB245" s="105" t="str">
        <f>VLOOKUP(Table__192.168.1.150_M_CONSOLIDATED_Delinquency_Compulsory_EOM[[#This Row],[Client No]],'Global Portfolio'!$B$2:$N$2500,12,FALSE)</f>
        <v>General Rental Centers</v>
      </c>
    </row>
    <row r="246" spans="1:28" x14ac:dyDescent="0.25">
      <c r="A246">
        <v>102752</v>
      </c>
      <c r="B246" t="s">
        <v>894</v>
      </c>
      <c r="C246" t="s">
        <v>899</v>
      </c>
      <c r="D246" t="s">
        <v>1281</v>
      </c>
      <c r="E246">
        <v>0</v>
      </c>
      <c r="F246">
        <v>16500000</v>
      </c>
      <c r="G246">
        <v>8554958.5600000005</v>
      </c>
      <c r="H246">
        <v>1028659.91</v>
      </c>
      <c r="I246" t="s">
        <v>86</v>
      </c>
      <c r="J246">
        <v>0</v>
      </c>
      <c r="K246">
        <v>825000</v>
      </c>
      <c r="L246">
        <v>289442.76</v>
      </c>
      <c r="M246">
        <v>10286599.199999999</v>
      </c>
      <c r="N246" s="143">
        <v>42581.587760960647</v>
      </c>
      <c r="O246" s="143">
        <v>43313</v>
      </c>
      <c r="P246" t="s">
        <v>900</v>
      </c>
      <c r="Q246" t="s">
        <v>1280</v>
      </c>
      <c r="R246" t="s">
        <v>1280</v>
      </c>
      <c r="S246" t="s">
        <v>1510</v>
      </c>
      <c r="T246">
        <v>42</v>
      </c>
      <c r="U246">
        <f>IF(Table__192.168.1.150_M_CONSOLIDATED_Delinquency_Compulsory_EOM[[#This Row],[Days in Arrears]] &lt; 8, Table__192.168.1.150_M_CONSOLIDATED_Delinquency_Compulsory_EOM[[#This Row],[Outstanding Balance]], 0 )</f>
        <v>8554958.5600000005</v>
      </c>
      <c r="V2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6" s="105" t="str">
        <f>VLOOKUP(Table__192.168.1.150_M_CONSOLIDATED_Delinquency_Compulsory_EOM[[#This Row],[Client No]],'Global Portfolio'!$B$2:$N$2500,10,FALSE)</f>
        <v>Real Estate and Rental</v>
      </c>
      <c r="AA246" s="105" t="str">
        <f>VLOOKUP(Table__192.168.1.150_M_CONSOLIDATED_Delinquency_Compulsory_EOM[[#This Row],[Client No]],'Global Portfolio'!$B$2:$N$2500,11,FALSE)</f>
        <v>Real Estate</v>
      </c>
      <c r="AB246" s="105" t="str">
        <f>VLOOKUP(Table__192.168.1.150_M_CONSOLIDATED_Delinquency_Compulsory_EOM[[#This Row],[Client No]],'Global Portfolio'!$B$2:$N$2500,12,FALSE)</f>
        <v>Others</v>
      </c>
    </row>
    <row r="247" spans="1:28" x14ac:dyDescent="0.25">
      <c r="A247">
        <v>102753</v>
      </c>
      <c r="B247" t="s">
        <v>748</v>
      </c>
      <c r="C247" t="s">
        <v>1355</v>
      </c>
      <c r="D247" t="s">
        <v>1282</v>
      </c>
      <c r="E247">
        <v>30</v>
      </c>
      <c r="F247">
        <v>15000000</v>
      </c>
      <c r="G247">
        <v>2547823.7400000002</v>
      </c>
      <c r="H247">
        <v>1350846.14</v>
      </c>
      <c r="I247" t="s">
        <v>1448</v>
      </c>
      <c r="J247">
        <v>0</v>
      </c>
      <c r="K247">
        <v>0</v>
      </c>
      <c r="L247">
        <v>152136.72</v>
      </c>
      <c r="M247">
        <v>2701692.31</v>
      </c>
      <c r="N247" s="143">
        <v>42581.697517592591</v>
      </c>
      <c r="O247" s="143">
        <v>43040</v>
      </c>
      <c r="P247" t="s">
        <v>749</v>
      </c>
      <c r="Q247" t="s">
        <v>750</v>
      </c>
      <c r="R247" t="s">
        <v>1280</v>
      </c>
      <c r="S247" t="s">
        <v>1510</v>
      </c>
      <c r="T247">
        <v>48</v>
      </c>
      <c r="U247">
        <f>IF(Table__192.168.1.150_M_CONSOLIDATED_Delinquency_Compulsory_EOM[[#This Row],[Days in Arrears]] &lt; 8, Table__192.168.1.150_M_CONSOLIDATED_Delinquency_Compulsory_EOM[[#This Row],[Outstanding Balance]], 0 )</f>
        <v>0</v>
      </c>
      <c r="V2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2547823.7400000002</v>
      </c>
      <c r="X2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7" s="105" t="str">
        <f>VLOOKUP(Table__192.168.1.150_M_CONSOLIDATED_Delinquency_Compulsory_EOM[[#This Row],[Client No]],'Global Portfolio'!$B$2:$N$2500,10,FALSE)</f>
        <v>Real Estate and Rental</v>
      </c>
      <c r="AA247" s="105" t="str">
        <f>VLOOKUP(Table__192.168.1.150_M_CONSOLIDATED_Delinquency_Compulsory_EOM[[#This Row],[Client No]],'Global Portfolio'!$B$2:$N$2500,11,FALSE)</f>
        <v>Rental</v>
      </c>
      <c r="AB247" s="105" t="str">
        <f>VLOOKUP(Table__192.168.1.150_M_CONSOLIDATED_Delinquency_Compulsory_EOM[[#This Row],[Client No]],'Global Portfolio'!$B$2:$N$2500,12,FALSE)</f>
        <v>Others</v>
      </c>
    </row>
    <row r="248" spans="1:28" x14ac:dyDescent="0.25">
      <c r="A248">
        <v>102754</v>
      </c>
      <c r="B248" t="s">
        <v>895</v>
      </c>
      <c r="C248" t="s">
        <v>896</v>
      </c>
      <c r="D248" t="s">
        <v>1282</v>
      </c>
      <c r="E248">
        <v>29</v>
      </c>
      <c r="F248">
        <v>12000000</v>
      </c>
      <c r="G248">
        <v>4251163.26</v>
      </c>
      <c r="H248">
        <v>989675.81</v>
      </c>
      <c r="I248" t="s">
        <v>963</v>
      </c>
      <c r="J248">
        <v>0</v>
      </c>
      <c r="K248">
        <v>0</v>
      </c>
      <c r="L248">
        <v>149120.47</v>
      </c>
      <c r="M248">
        <v>4659379.1100000003</v>
      </c>
      <c r="N248" s="143">
        <v>42581.711515196759</v>
      </c>
      <c r="O248" s="143">
        <v>43133</v>
      </c>
      <c r="P248" t="s">
        <v>897</v>
      </c>
      <c r="Q248" t="s">
        <v>898</v>
      </c>
      <c r="R248" t="s">
        <v>1280</v>
      </c>
      <c r="S248" t="s">
        <v>1510</v>
      </c>
      <c r="T248">
        <v>54</v>
      </c>
      <c r="U248">
        <f>IF(Table__192.168.1.150_M_CONSOLIDATED_Delinquency_Compulsory_EOM[[#This Row],[Days in Arrears]] &lt; 8, Table__192.168.1.150_M_CONSOLIDATED_Delinquency_Compulsory_EOM[[#This Row],[Outstanding Balance]], 0 )</f>
        <v>0</v>
      </c>
      <c r="V2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4251163.26</v>
      </c>
      <c r="W2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8" s="105" t="str">
        <f>VLOOKUP(Table__192.168.1.150_M_CONSOLIDATED_Delinquency_Compulsory_EOM[[#This Row],[Client No]],'Global Portfolio'!$B$2:$N$2500,10,FALSE)</f>
        <v>Retail</v>
      </c>
      <c r="AA248" s="105" t="str">
        <f>VLOOKUP(Table__192.168.1.150_M_CONSOLIDATED_Delinquency_Compulsory_EOM[[#This Row],[Client No]],'Global Portfolio'!$B$2:$N$2500,11,FALSE)</f>
        <v>General Merchandise Stores</v>
      </c>
      <c r="AB248" s="105" t="str">
        <f>VLOOKUP(Table__192.168.1.150_M_CONSOLIDATED_Delinquency_Compulsory_EOM[[#This Row],[Client No]],'Global Portfolio'!$B$2:$N$2500,12,FALSE)</f>
        <v>General Stores</v>
      </c>
    </row>
    <row r="249" spans="1:28" x14ac:dyDescent="0.25">
      <c r="A249">
        <v>102755</v>
      </c>
      <c r="B249" t="s">
        <v>474</v>
      </c>
      <c r="C249" t="s">
        <v>475</v>
      </c>
      <c r="D249" t="s">
        <v>1283</v>
      </c>
      <c r="E249">
        <v>0</v>
      </c>
      <c r="F249">
        <v>31000000</v>
      </c>
      <c r="G249">
        <v>22651078.760000002</v>
      </c>
      <c r="H249">
        <v>1421296.18</v>
      </c>
      <c r="I249" t="s">
        <v>468</v>
      </c>
      <c r="J249">
        <v>0</v>
      </c>
      <c r="K249">
        <v>0</v>
      </c>
      <c r="L249">
        <v>656881.28</v>
      </c>
      <c r="M249">
        <v>31268516.02</v>
      </c>
      <c r="N249" s="143">
        <v>42581.724880902781</v>
      </c>
      <c r="O249" s="143">
        <v>43678</v>
      </c>
      <c r="P249" t="s">
        <v>476</v>
      </c>
      <c r="Q249" t="s">
        <v>477</v>
      </c>
      <c r="R249" t="s">
        <v>1280</v>
      </c>
      <c r="S249" t="s">
        <v>1510</v>
      </c>
      <c r="T249">
        <v>36</v>
      </c>
      <c r="U249">
        <f>IF(Table__192.168.1.150_M_CONSOLIDATED_Delinquency_Compulsory_EOM[[#This Row],[Days in Arrears]] &lt; 8, Table__192.168.1.150_M_CONSOLIDATED_Delinquency_Compulsory_EOM[[#This Row],[Outstanding Balance]], 0 )</f>
        <v>22651078.760000002</v>
      </c>
      <c r="V2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49" s="105" t="str">
        <f>VLOOKUP(Table__192.168.1.150_M_CONSOLIDATED_Delinquency_Compulsory_EOM[[#This Row],[Client No]],'Global Portfolio'!$B$2:$N$2500,10,FALSE)</f>
        <v>Educational Services</v>
      </c>
      <c r="AA249" s="105" t="str">
        <f>VLOOKUP(Table__192.168.1.150_M_CONSOLIDATED_Delinquency_Compulsory_EOM[[#This Row],[Client No]],'Global Portfolio'!$B$2:$N$2500,11,FALSE)</f>
        <v>Educational Services</v>
      </c>
      <c r="AB249" s="105" t="str">
        <f>VLOOKUP(Table__192.168.1.150_M_CONSOLIDATED_Delinquency_Compulsory_EOM[[#This Row],[Client No]],'Global Portfolio'!$B$2:$N$2500,12,FALSE)</f>
        <v>Others</v>
      </c>
    </row>
    <row r="250" spans="1:28" x14ac:dyDescent="0.25">
      <c r="A250">
        <v>102756</v>
      </c>
      <c r="B250" t="s">
        <v>2637</v>
      </c>
      <c r="C250" t="s">
        <v>2638</v>
      </c>
      <c r="D250" t="s">
        <v>1279</v>
      </c>
      <c r="E250">
        <v>179</v>
      </c>
      <c r="F250">
        <v>5000000</v>
      </c>
      <c r="G250">
        <v>1967151.37</v>
      </c>
      <c r="H250">
        <v>548330.93999999994</v>
      </c>
      <c r="I250" t="s">
        <v>5726</v>
      </c>
      <c r="J250">
        <v>0</v>
      </c>
      <c r="K250">
        <v>0</v>
      </c>
      <c r="L250">
        <v>154091.20000000001</v>
      </c>
      <c r="M250">
        <v>2193323.7999999998</v>
      </c>
      <c r="N250" s="143">
        <v>42584.494557557868</v>
      </c>
      <c r="O250" s="143">
        <v>42949</v>
      </c>
      <c r="P250" t="s">
        <v>2639</v>
      </c>
      <c r="Q250" t="s">
        <v>1280</v>
      </c>
      <c r="R250" t="s">
        <v>2640</v>
      </c>
      <c r="S250" t="s">
        <v>1510</v>
      </c>
      <c r="T250">
        <v>54</v>
      </c>
      <c r="U250">
        <f>IF(Table__192.168.1.150_M_CONSOLIDATED_Delinquency_Compulsory_EOM[[#This Row],[Days in Arrears]] &lt; 8, Table__192.168.1.150_M_CONSOLIDATED_Delinquency_Compulsory_EOM[[#This Row],[Outstanding Balance]], 0 )</f>
        <v>0</v>
      </c>
      <c r="V2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1967151.37</v>
      </c>
      <c r="Z250" s="105" t="str">
        <f>VLOOKUP(Table__192.168.1.150_M_CONSOLIDATED_Delinquency_Compulsory_EOM[[#This Row],[Client No]],'Global Portfolio'!$B$2:$N$2500,10,FALSE)</f>
        <v>Retail</v>
      </c>
      <c r="AA250" s="105" t="str">
        <f>VLOOKUP(Table__192.168.1.150_M_CONSOLIDATED_Delinquency_Compulsory_EOM[[#This Row],[Client No]],'Global Portfolio'!$B$2:$N$2500,11,FALSE)</f>
        <v>General Merchandise Stores</v>
      </c>
      <c r="AB250" s="105" t="str">
        <f>VLOOKUP(Table__192.168.1.150_M_CONSOLIDATED_Delinquency_Compulsory_EOM[[#This Row],[Client No]],'Global Portfolio'!$B$2:$N$2500,12,FALSE)</f>
        <v>General Stores</v>
      </c>
    </row>
    <row r="251" spans="1:28" x14ac:dyDescent="0.25">
      <c r="A251">
        <v>102757</v>
      </c>
      <c r="B251" t="s">
        <v>2648</v>
      </c>
      <c r="C251" t="s">
        <v>2649</v>
      </c>
      <c r="D251" t="s">
        <v>1282</v>
      </c>
      <c r="E251">
        <v>-12</v>
      </c>
      <c r="F251">
        <v>13000000</v>
      </c>
      <c r="G251">
        <v>3884898.3</v>
      </c>
      <c r="H251">
        <v>1082890.75</v>
      </c>
      <c r="I251" t="s">
        <v>1448</v>
      </c>
      <c r="J251">
        <v>0</v>
      </c>
      <c r="K251">
        <v>1300000</v>
      </c>
      <c r="L251">
        <v>99064.91</v>
      </c>
      <c r="M251">
        <v>4331562.88</v>
      </c>
      <c r="N251" s="143">
        <v>42586.573019594907</v>
      </c>
      <c r="O251" s="143">
        <v>43144</v>
      </c>
      <c r="P251" t="s">
        <v>2650</v>
      </c>
      <c r="Q251" t="s">
        <v>2651</v>
      </c>
      <c r="R251" t="s">
        <v>1280</v>
      </c>
      <c r="S251" t="s">
        <v>1510</v>
      </c>
      <c r="T251">
        <v>54</v>
      </c>
      <c r="U251">
        <f>IF(Table__192.168.1.150_M_CONSOLIDATED_Delinquency_Compulsory_EOM[[#This Row],[Days in Arrears]] &lt; 8, Table__192.168.1.150_M_CONSOLIDATED_Delinquency_Compulsory_EOM[[#This Row],[Outstanding Balance]], 0 )</f>
        <v>3884898.3</v>
      </c>
      <c r="V2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1" s="105" t="str">
        <f>VLOOKUP(Table__192.168.1.150_M_CONSOLIDATED_Delinquency_Compulsory_EOM[[#This Row],[Client No]],'Global Portfolio'!$B$2:$N$2500,10,FALSE)</f>
        <v>Real Estate and Rental</v>
      </c>
      <c r="AA251" s="105" t="str">
        <f>VLOOKUP(Table__192.168.1.150_M_CONSOLIDATED_Delinquency_Compulsory_EOM[[#This Row],[Client No]],'Global Portfolio'!$B$2:$N$2500,11,FALSE)</f>
        <v>Rental</v>
      </c>
      <c r="AB251" s="105" t="str">
        <f>VLOOKUP(Table__192.168.1.150_M_CONSOLIDATED_Delinquency_Compulsory_EOM[[#This Row],[Client No]],'Global Portfolio'!$B$2:$N$2500,12,FALSE)</f>
        <v>General Rental Centers</v>
      </c>
    </row>
    <row r="252" spans="1:28" x14ac:dyDescent="0.25">
      <c r="A252">
        <v>102759</v>
      </c>
      <c r="B252" t="s">
        <v>795</v>
      </c>
      <c r="C252" t="s">
        <v>799</v>
      </c>
      <c r="D252" t="s">
        <v>1283</v>
      </c>
      <c r="E252">
        <v>-13</v>
      </c>
      <c r="F252">
        <v>40000000</v>
      </c>
      <c r="G252">
        <v>29453985.550000001</v>
      </c>
      <c r="H252">
        <v>1848160.86</v>
      </c>
      <c r="I252" t="s">
        <v>4684</v>
      </c>
      <c r="J252">
        <v>0</v>
      </c>
      <c r="K252">
        <v>2000000</v>
      </c>
      <c r="L252">
        <v>471263.77</v>
      </c>
      <c r="M252">
        <v>40659538.920000002</v>
      </c>
      <c r="N252" s="143">
        <v>42587.395447187497</v>
      </c>
      <c r="O252" s="143">
        <v>43691</v>
      </c>
      <c r="P252" t="s">
        <v>800</v>
      </c>
      <c r="Q252" t="s">
        <v>801</v>
      </c>
      <c r="R252" t="s">
        <v>1280</v>
      </c>
      <c r="S252" t="s">
        <v>1510</v>
      </c>
      <c r="T252">
        <v>36</v>
      </c>
      <c r="U252">
        <f>IF(Table__192.168.1.150_M_CONSOLIDATED_Delinquency_Compulsory_EOM[[#This Row],[Days in Arrears]] &lt; 8, Table__192.168.1.150_M_CONSOLIDATED_Delinquency_Compulsory_EOM[[#This Row],[Outstanding Balance]], 0 )</f>
        <v>29453985.550000001</v>
      </c>
      <c r="V2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2" s="105" t="str">
        <f>VLOOKUP(Table__192.168.1.150_M_CONSOLIDATED_Delinquency_Compulsory_EOM[[#This Row],[Client No]],'Global Portfolio'!$B$2:$N$2500,10,FALSE)</f>
        <v>Retail</v>
      </c>
      <c r="AA252" s="105" t="str">
        <f>VLOOKUP(Table__192.168.1.150_M_CONSOLIDATED_Delinquency_Compulsory_EOM[[#This Row],[Client No]],'Global Portfolio'!$B$2:$N$2500,11,FALSE)</f>
        <v>Miscellaneous Store Retailers</v>
      </c>
      <c r="AB252" s="105" t="str">
        <f>VLOOKUP(Table__192.168.1.150_M_CONSOLIDATED_Delinquency_Compulsory_EOM[[#This Row],[Client No]],'Global Portfolio'!$B$2:$N$2500,12,FALSE)</f>
        <v>Others</v>
      </c>
    </row>
    <row r="253" spans="1:28" x14ac:dyDescent="0.25">
      <c r="A253">
        <v>102761</v>
      </c>
      <c r="B253" t="s">
        <v>767</v>
      </c>
      <c r="C253" t="s">
        <v>771</v>
      </c>
      <c r="D253" t="s">
        <v>1281</v>
      </c>
      <c r="E253">
        <v>-9</v>
      </c>
      <c r="F253">
        <v>20000000</v>
      </c>
      <c r="G253">
        <v>10707560.15</v>
      </c>
      <c r="H253">
        <v>1320145.19</v>
      </c>
      <c r="I253" t="s">
        <v>1191</v>
      </c>
      <c r="J253">
        <v>0</v>
      </c>
      <c r="K253">
        <v>0</v>
      </c>
      <c r="L253">
        <v>285534.94</v>
      </c>
      <c r="M253">
        <v>13201452.039999999</v>
      </c>
      <c r="N253" s="143">
        <v>42587.71225196759</v>
      </c>
      <c r="O253" s="143">
        <v>43322</v>
      </c>
      <c r="P253" t="s">
        <v>772</v>
      </c>
      <c r="Q253" t="s">
        <v>1280</v>
      </c>
      <c r="R253" t="s">
        <v>1280</v>
      </c>
      <c r="S253" t="s">
        <v>1510</v>
      </c>
      <c r="T253">
        <v>48</v>
      </c>
      <c r="U253">
        <f>IF(Table__192.168.1.150_M_CONSOLIDATED_Delinquency_Compulsory_EOM[[#This Row],[Days in Arrears]] &lt; 8, Table__192.168.1.150_M_CONSOLIDATED_Delinquency_Compulsory_EOM[[#This Row],[Outstanding Balance]], 0 )</f>
        <v>10707560.15</v>
      </c>
      <c r="V2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3" s="105" t="str">
        <f>VLOOKUP(Table__192.168.1.150_M_CONSOLIDATED_Delinquency_Compulsory_EOM[[#This Row],[Client No]],'Global Portfolio'!$B$2:$N$2500,10,FALSE)</f>
        <v>Real Estate and Rental</v>
      </c>
      <c r="AA253" s="105" t="str">
        <f>VLOOKUP(Table__192.168.1.150_M_CONSOLIDATED_Delinquency_Compulsory_EOM[[#This Row],[Client No]],'Global Portfolio'!$B$2:$N$2500,11,FALSE)</f>
        <v>Real Estate</v>
      </c>
      <c r="AB253" s="105" t="str">
        <f>VLOOKUP(Table__192.168.1.150_M_CONSOLIDATED_Delinquency_Compulsory_EOM[[#This Row],[Client No]],'Global Portfolio'!$B$2:$N$2500,12,FALSE)</f>
        <v>Others</v>
      </c>
    </row>
    <row r="254" spans="1:28" x14ac:dyDescent="0.25">
      <c r="A254">
        <v>102765</v>
      </c>
      <c r="B254" t="s">
        <v>2659</v>
      </c>
      <c r="C254" t="s">
        <v>2660</v>
      </c>
      <c r="D254" t="s">
        <v>1279</v>
      </c>
      <c r="E254">
        <v>83</v>
      </c>
      <c r="F254">
        <v>6000000</v>
      </c>
      <c r="G254">
        <v>425686.41</v>
      </c>
      <c r="H254">
        <v>645510.71</v>
      </c>
      <c r="I254" t="s">
        <v>5725</v>
      </c>
      <c r="J254">
        <v>0</v>
      </c>
      <c r="K254">
        <v>0</v>
      </c>
      <c r="L254">
        <v>0</v>
      </c>
      <c r="M254">
        <v>425686.41</v>
      </c>
      <c r="N254" s="143">
        <v>42590.682513657404</v>
      </c>
      <c r="O254" s="143">
        <v>42955</v>
      </c>
      <c r="P254" t="s">
        <v>2661</v>
      </c>
      <c r="Q254" t="s">
        <v>1280</v>
      </c>
      <c r="R254" t="s">
        <v>1280</v>
      </c>
      <c r="S254" t="s">
        <v>1510</v>
      </c>
      <c r="T254">
        <v>50</v>
      </c>
      <c r="U254">
        <f>IF(Table__192.168.1.150_M_CONSOLIDATED_Delinquency_Compulsory_EOM[[#This Row],[Days in Arrears]] &lt; 8, Table__192.168.1.150_M_CONSOLIDATED_Delinquency_Compulsory_EOM[[#This Row],[Outstanding Balance]], 0 )</f>
        <v>0</v>
      </c>
      <c r="V2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425686.41</v>
      </c>
      <c r="Y2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4" s="105" t="str">
        <f>VLOOKUP(Table__192.168.1.150_M_CONSOLIDATED_Delinquency_Compulsory_EOM[[#This Row],[Client No]],'Global Portfolio'!$B$2:$N$2500,10,FALSE)</f>
        <v>Wholesale Trade</v>
      </c>
      <c r="AA254" s="105" t="str">
        <f>VLOOKUP(Table__192.168.1.150_M_CONSOLIDATED_Delinquency_Compulsory_EOM[[#This Row],[Client No]],'Global Portfolio'!$B$2:$N$2500,11,FALSE)</f>
        <v>Durable Goods</v>
      </c>
      <c r="AB254" s="105">
        <f>VLOOKUP(Table__192.168.1.150_M_CONSOLIDATED_Delinquency_Compulsory_EOM[[#This Row],[Client No]],'Global Portfolio'!$B$2:$N$2500,12,FALSE)</f>
        <v>0</v>
      </c>
    </row>
    <row r="255" spans="1:28" x14ac:dyDescent="0.25">
      <c r="A255">
        <v>102769</v>
      </c>
      <c r="B255" t="s">
        <v>2701</v>
      </c>
      <c r="C255" t="s">
        <v>2702</v>
      </c>
      <c r="D255" t="s">
        <v>1866</v>
      </c>
      <c r="E255">
        <v>168</v>
      </c>
      <c r="F255">
        <v>8000000</v>
      </c>
      <c r="G255">
        <v>5152490.5599999996</v>
      </c>
      <c r="H255">
        <v>640537.03</v>
      </c>
      <c r="I255" t="s">
        <v>5725</v>
      </c>
      <c r="J255">
        <v>0</v>
      </c>
      <c r="K255">
        <v>0</v>
      </c>
      <c r="L255">
        <v>446408.21</v>
      </c>
      <c r="M255">
        <v>6405370.2599999998</v>
      </c>
      <c r="N255" s="143">
        <v>42595.561834108797</v>
      </c>
      <c r="O255" s="143">
        <v>43144</v>
      </c>
      <c r="P255" t="s">
        <v>2703</v>
      </c>
      <c r="Q255" t="s">
        <v>1280</v>
      </c>
      <c r="R255" t="s">
        <v>1280</v>
      </c>
      <c r="S255" t="s">
        <v>1510</v>
      </c>
      <c r="T255">
        <v>50</v>
      </c>
      <c r="U255">
        <f>IF(Table__192.168.1.150_M_CONSOLIDATED_Delinquency_Compulsory_EOM[[#This Row],[Days in Arrears]] &lt; 8, Table__192.168.1.150_M_CONSOLIDATED_Delinquency_Compulsory_EOM[[#This Row],[Outstanding Balance]], 0 )</f>
        <v>0</v>
      </c>
      <c r="V2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5152490.5599999996</v>
      </c>
      <c r="Z255" s="105" t="str">
        <f>VLOOKUP(Table__192.168.1.150_M_CONSOLIDATED_Delinquency_Compulsory_EOM[[#This Row],[Client No]],'Global Portfolio'!$B$2:$N$2500,10,FALSE)</f>
        <v>Real Estate and Rental</v>
      </c>
      <c r="AA255" s="105" t="str">
        <f>VLOOKUP(Table__192.168.1.150_M_CONSOLIDATED_Delinquency_Compulsory_EOM[[#This Row],[Client No]],'Global Portfolio'!$B$2:$N$2500,11,FALSE)</f>
        <v>Rental</v>
      </c>
      <c r="AB255" s="105" t="str">
        <f>VLOOKUP(Table__192.168.1.150_M_CONSOLIDATED_Delinquency_Compulsory_EOM[[#This Row],[Client No]],'Global Portfolio'!$B$2:$N$2500,12,FALSE)</f>
        <v>Others</v>
      </c>
    </row>
    <row r="256" spans="1:28" x14ac:dyDescent="0.25">
      <c r="A256">
        <v>102776</v>
      </c>
      <c r="B256" t="s">
        <v>823</v>
      </c>
      <c r="C256" t="s">
        <v>825</v>
      </c>
      <c r="D256" t="s">
        <v>1283</v>
      </c>
      <c r="E256">
        <v>-19</v>
      </c>
      <c r="F256">
        <v>39000000</v>
      </c>
      <c r="G256">
        <v>19586556.18</v>
      </c>
      <c r="H256">
        <v>2296141.89</v>
      </c>
      <c r="I256" t="s">
        <v>86</v>
      </c>
      <c r="J256">
        <v>151620.14000000001</v>
      </c>
      <c r="K256">
        <v>1975000</v>
      </c>
      <c r="L256">
        <v>195865.56</v>
      </c>
      <c r="M256">
        <v>22961419.039999999</v>
      </c>
      <c r="N256" s="143">
        <v>42605.457988043985</v>
      </c>
      <c r="O256" s="143">
        <v>43332</v>
      </c>
      <c r="P256" t="s">
        <v>826</v>
      </c>
      <c r="Q256" t="s">
        <v>827</v>
      </c>
      <c r="R256" t="s">
        <v>1280</v>
      </c>
      <c r="S256" t="s">
        <v>1510</v>
      </c>
      <c r="T256">
        <v>36</v>
      </c>
      <c r="U256">
        <f>IF(Table__192.168.1.150_M_CONSOLIDATED_Delinquency_Compulsory_EOM[[#This Row],[Days in Arrears]] &lt; 8, Table__192.168.1.150_M_CONSOLIDATED_Delinquency_Compulsory_EOM[[#This Row],[Outstanding Balance]], 0 )</f>
        <v>19586556.18</v>
      </c>
      <c r="V2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6" s="105" t="str">
        <f>VLOOKUP(Table__192.168.1.150_M_CONSOLIDATED_Delinquency_Compulsory_EOM[[#This Row],[Client No]],'Global Portfolio'!$B$2:$N$2500,10,FALSE)</f>
        <v>Retail</v>
      </c>
      <c r="AA256" s="105" t="str">
        <f>VLOOKUP(Table__192.168.1.150_M_CONSOLIDATED_Delinquency_Compulsory_EOM[[#This Row],[Client No]],'Global Portfolio'!$B$2:$N$2500,11,FALSE)</f>
        <v>New-Clothing and  Accessories</v>
      </c>
      <c r="AB256" s="105" t="str">
        <f>VLOOKUP(Table__192.168.1.150_M_CONSOLIDATED_Delinquency_Compulsory_EOM[[#This Row],[Client No]],'Global Portfolio'!$B$2:$N$2500,12,FALSE)</f>
        <v>Clothing Stores</v>
      </c>
    </row>
    <row r="257" spans="1:28" x14ac:dyDescent="0.25">
      <c r="A257">
        <v>102778</v>
      </c>
      <c r="B257" t="s">
        <v>2746</v>
      </c>
      <c r="C257" t="s">
        <v>2749</v>
      </c>
      <c r="D257" t="s">
        <v>1284</v>
      </c>
      <c r="E257">
        <v>68</v>
      </c>
      <c r="F257">
        <v>12000000</v>
      </c>
      <c r="G257">
        <v>7522832.8799999999</v>
      </c>
      <c r="H257">
        <v>734252.83</v>
      </c>
      <c r="I257" t="s">
        <v>1447</v>
      </c>
      <c r="J257">
        <v>0</v>
      </c>
      <c r="K257">
        <v>0</v>
      </c>
      <c r="L257">
        <v>230886.26</v>
      </c>
      <c r="M257">
        <v>9168431.0299999993</v>
      </c>
      <c r="N257" s="143">
        <v>42605.746936377313</v>
      </c>
      <c r="O257" s="143">
        <v>43335</v>
      </c>
      <c r="P257" t="s">
        <v>2750</v>
      </c>
      <c r="Q257" t="s">
        <v>2751</v>
      </c>
      <c r="R257" t="s">
        <v>1280</v>
      </c>
      <c r="S257" t="s">
        <v>1510</v>
      </c>
      <c r="T257">
        <v>40</v>
      </c>
      <c r="U257">
        <f>IF(Table__192.168.1.150_M_CONSOLIDATED_Delinquency_Compulsory_EOM[[#This Row],[Days in Arrears]] &lt; 8, Table__192.168.1.150_M_CONSOLIDATED_Delinquency_Compulsory_EOM[[#This Row],[Outstanding Balance]], 0 )</f>
        <v>0</v>
      </c>
      <c r="V2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7522832.8799999999</v>
      </c>
      <c r="Y2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7" s="105" t="str">
        <f>VLOOKUP(Table__192.168.1.150_M_CONSOLIDATED_Delinquency_Compulsory_EOM[[#This Row],[Client No]],'Global Portfolio'!$B$2:$N$2500,10,FALSE)</f>
        <v>Real Estate and Rental</v>
      </c>
      <c r="AA257" s="105" t="str">
        <f>VLOOKUP(Table__192.168.1.150_M_CONSOLIDATED_Delinquency_Compulsory_EOM[[#This Row],[Client No]],'Global Portfolio'!$B$2:$N$2500,11,FALSE)</f>
        <v>Rental</v>
      </c>
      <c r="AB257" s="105" t="str">
        <f>VLOOKUP(Table__192.168.1.150_M_CONSOLIDATED_Delinquency_Compulsory_EOM[[#This Row],[Client No]],'Global Portfolio'!$B$2:$N$2500,12,FALSE)</f>
        <v>General Rental Centers</v>
      </c>
    </row>
    <row r="258" spans="1:28" x14ac:dyDescent="0.25">
      <c r="A258">
        <v>102782</v>
      </c>
      <c r="B258" t="s">
        <v>1666</v>
      </c>
      <c r="C258" t="s">
        <v>1673</v>
      </c>
      <c r="D258" t="s">
        <v>1282</v>
      </c>
      <c r="E258">
        <v>30</v>
      </c>
      <c r="F258">
        <v>11000000</v>
      </c>
      <c r="G258">
        <v>2077313.65</v>
      </c>
      <c r="H258">
        <v>995694.1</v>
      </c>
      <c r="I258" t="s">
        <v>1667</v>
      </c>
      <c r="J258">
        <v>0</v>
      </c>
      <c r="K258">
        <v>0</v>
      </c>
      <c r="L258">
        <v>72614.97</v>
      </c>
      <c r="M258">
        <v>2190728.52</v>
      </c>
      <c r="N258" s="143">
        <v>42608.746518171298</v>
      </c>
      <c r="O258" s="143">
        <v>43070</v>
      </c>
      <c r="P258" t="s">
        <v>1674</v>
      </c>
      <c r="Q258" t="s">
        <v>1280</v>
      </c>
      <c r="R258" t="s">
        <v>1280</v>
      </c>
      <c r="S258" t="s">
        <v>1510</v>
      </c>
      <c r="T258">
        <v>48</v>
      </c>
      <c r="U258">
        <f>IF(Table__192.168.1.150_M_CONSOLIDATED_Delinquency_Compulsory_EOM[[#This Row],[Days in Arrears]] &lt; 8, Table__192.168.1.150_M_CONSOLIDATED_Delinquency_Compulsory_EOM[[#This Row],[Outstanding Balance]], 0 )</f>
        <v>0</v>
      </c>
      <c r="V2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2077313.65</v>
      </c>
      <c r="X2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8" s="105" t="str">
        <f>VLOOKUP(Table__192.168.1.150_M_CONSOLIDATED_Delinquency_Compulsory_EOM[[#This Row],[Client No]],'Global Portfolio'!$B$2:$N$2500,10,FALSE)</f>
        <v>Wholesale Trade</v>
      </c>
      <c r="AA258" s="105" t="str">
        <f>VLOOKUP(Table__192.168.1.150_M_CONSOLIDATED_Delinquency_Compulsory_EOM[[#This Row],[Client No]],'Global Portfolio'!$B$2:$N$2500,11,FALSE)</f>
        <v>Durable Goods</v>
      </c>
      <c r="AB258" s="105" t="str">
        <f>VLOOKUP(Table__192.168.1.150_M_CONSOLIDATED_Delinquency_Compulsory_EOM[[#This Row],[Client No]],'Global Portfolio'!$B$2:$N$2500,12,FALSE)</f>
        <v>Others</v>
      </c>
    </row>
    <row r="259" spans="1:28" x14ac:dyDescent="0.25">
      <c r="A259">
        <v>102784</v>
      </c>
      <c r="B259" t="s">
        <v>151</v>
      </c>
      <c r="C259" t="s">
        <v>152</v>
      </c>
      <c r="D259" t="s">
        <v>1281</v>
      </c>
      <c r="E259">
        <v>-4</v>
      </c>
      <c r="F259">
        <v>25000000</v>
      </c>
      <c r="G259">
        <v>17351803.77</v>
      </c>
      <c r="H259">
        <v>1371540.92</v>
      </c>
      <c r="I259" t="s">
        <v>86</v>
      </c>
      <c r="J259">
        <v>129281.15</v>
      </c>
      <c r="K259">
        <v>1875000</v>
      </c>
      <c r="L259">
        <v>506094.28</v>
      </c>
      <c r="M259">
        <v>23316195.440000001</v>
      </c>
      <c r="N259" s="143">
        <v>42609.577209027775</v>
      </c>
      <c r="O259" s="143">
        <v>43529</v>
      </c>
      <c r="P259" t="s">
        <v>153</v>
      </c>
      <c r="Q259" t="s">
        <v>1280</v>
      </c>
      <c r="R259" t="s">
        <v>1280</v>
      </c>
      <c r="S259" t="s">
        <v>1510</v>
      </c>
      <c r="T259">
        <v>42</v>
      </c>
      <c r="U259">
        <f>IF(Table__192.168.1.150_M_CONSOLIDATED_Delinquency_Compulsory_EOM[[#This Row],[Days in Arrears]] &lt; 8, Table__192.168.1.150_M_CONSOLIDATED_Delinquency_Compulsory_EOM[[#This Row],[Outstanding Balance]], 0 )</f>
        <v>17351803.77</v>
      </c>
      <c r="V2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59" s="105" t="str">
        <f>VLOOKUP(Table__192.168.1.150_M_CONSOLIDATED_Delinquency_Compulsory_EOM[[#This Row],[Client No]],'Global Portfolio'!$B$2:$N$2500,10,FALSE)</f>
        <v>Real Estate and Rental</v>
      </c>
      <c r="AA259" s="105" t="str">
        <f>VLOOKUP(Table__192.168.1.150_M_CONSOLIDATED_Delinquency_Compulsory_EOM[[#This Row],[Client No]],'Global Portfolio'!$B$2:$N$2500,11,FALSE)</f>
        <v>Rental</v>
      </c>
      <c r="AB259" s="105" t="str">
        <f>VLOOKUP(Table__192.168.1.150_M_CONSOLIDATED_Delinquency_Compulsory_EOM[[#This Row],[Client No]],'Global Portfolio'!$B$2:$N$2500,12,FALSE)</f>
        <v>Others</v>
      </c>
    </row>
    <row r="260" spans="1:28" x14ac:dyDescent="0.25">
      <c r="A260">
        <v>102787</v>
      </c>
      <c r="B260" t="s">
        <v>1415</v>
      </c>
      <c r="C260" t="s">
        <v>1416</v>
      </c>
      <c r="D260" t="s">
        <v>1283</v>
      </c>
      <c r="E260">
        <v>28</v>
      </c>
      <c r="F260">
        <v>39000000</v>
      </c>
      <c r="G260">
        <v>30340886.210000001</v>
      </c>
      <c r="H260">
        <v>1791550.93</v>
      </c>
      <c r="I260" t="s">
        <v>86</v>
      </c>
      <c r="J260">
        <v>0</v>
      </c>
      <c r="K260">
        <v>1950000</v>
      </c>
      <c r="L260">
        <v>1705634.76</v>
      </c>
      <c r="M260">
        <v>42997222.259999998</v>
      </c>
      <c r="N260" s="143">
        <v>42612.443188310186</v>
      </c>
      <c r="O260" s="143">
        <v>43711</v>
      </c>
      <c r="P260" t="s">
        <v>1417</v>
      </c>
      <c r="Q260" t="s">
        <v>1418</v>
      </c>
      <c r="R260" t="s">
        <v>1280</v>
      </c>
      <c r="S260" t="s">
        <v>1510</v>
      </c>
      <c r="T260">
        <v>36</v>
      </c>
      <c r="U260">
        <f>IF(Table__192.168.1.150_M_CONSOLIDATED_Delinquency_Compulsory_EOM[[#This Row],[Days in Arrears]] &lt; 8, Table__192.168.1.150_M_CONSOLIDATED_Delinquency_Compulsory_EOM[[#This Row],[Outstanding Balance]], 0 )</f>
        <v>0</v>
      </c>
      <c r="V2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30340886.210000001</v>
      </c>
      <c r="W2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0" s="105" t="str">
        <f>VLOOKUP(Table__192.168.1.150_M_CONSOLIDATED_Delinquency_Compulsory_EOM[[#This Row],[Client No]],'Global Portfolio'!$B$2:$N$2500,10,FALSE)</f>
        <v>Information</v>
      </c>
      <c r="AA260" s="105" t="str">
        <f>VLOOKUP(Table__192.168.1.150_M_CONSOLIDATED_Delinquency_Compulsory_EOM[[#This Row],[Client No]],'Global Portfolio'!$B$2:$N$2500,11,FALSE)</f>
        <v>Publishing Industries</v>
      </c>
      <c r="AB260" s="105" t="str">
        <f>VLOOKUP(Table__192.168.1.150_M_CONSOLIDATED_Delinquency_Compulsory_EOM[[#This Row],[Client No]],'Global Portfolio'!$B$2:$N$2500,12,FALSE)</f>
        <v>Book Publishers</v>
      </c>
    </row>
    <row r="261" spans="1:28" x14ac:dyDescent="0.25">
      <c r="A261">
        <v>102788</v>
      </c>
      <c r="B261" t="s">
        <v>2806</v>
      </c>
      <c r="C261" t="s">
        <v>2813</v>
      </c>
      <c r="D261" t="s">
        <v>1284</v>
      </c>
      <c r="E261">
        <v>-4</v>
      </c>
      <c r="F261">
        <v>15000000</v>
      </c>
      <c r="G261">
        <v>10293130.34</v>
      </c>
      <c r="H261">
        <v>802922.62</v>
      </c>
      <c r="I261" t="s">
        <v>2175</v>
      </c>
      <c r="J261">
        <v>0</v>
      </c>
      <c r="K261">
        <v>750000</v>
      </c>
      <c r="L261">
        <v>285920.28999999998</v>
      </c>
      <c r="M261">
        <v>13649684.529999999</v>
      </c>
      <c r="N261" s="143">
        <v>42612.494395057867</v>
      </c>
      <c r="O261" s="143">
        <v>43529</v>
      </c>
      <c r="P261" t="s">
        <v>2814</v>
      </c>
      <c r="Q261" t="s">
        <v>1280</v>
      </c>
      <c r="R261" t="s">
        <v>1280</v>
      </c>
      <c r="S261" t="s">
        <v>1510</v>
      </c>
      <c r="T261">
        <v>40</v>
      </c>
      <c r="U261">
        <f>IF(Table__192.168.1.150_M_CONSOLIDATED_Delinquency_Compulsory_EOM[[#This Row],[Days in Arrears]] &lt; 8, Table__192.168.1.150_M_CONSOLIDATED_Delinquency_Compulsory_EOM[[#This Row],[Outstanding Balance]], 0 )</f>
        <v>10293130.34</v>
      </c>
      <c r="V2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1" s="105" t="str">
        <f>VLOOKUP(Table__192.168.1.150_M_CONSOLIDATED_Delinquency_Compulsory_EOM[[#This Row],[Client No]],'Global Portfolio'!$B$2:$N$2500,10,FALSE)</f>
        <v>Retail</v>
      </c>
      <c r="AA261" s="105" t="str">
        <f>VLOOKUP(Table__192.168.1.150_M_CONSOLIDATED_Delinquency_Compulsory_EOM[[#This Row],[Client No]],'Global Portfolio'!$B$2:$N$2500,11,FALSE)</f>
        <v>New-Clothing and  Accessories</v>
      </c>
      <c r="AB261" s="105" t="str">
        <f>VLOOKUP(Table__192.168.1.150_M_CONSOLIDATED_Delinquency_Compulsory_EOM[[#This Row],[Client No]],'Global Portfolio'!$B$2:$N$2500,12,FALSE)</f>
        <v>Others</v>
      </c>
    </row>
    <row r="262" spans="1:28" x14ac:dyDescent="0.25">
      <c r="A262">
        <v>102791</v>
      </c>
      <c r="B262" t="s">
        <v>2808</v>
      </c>
      <c r="C262" t="s">
        <v>2815</v>
      </c>
      <c r="D262" t="s">
        <v>1279</v>
      </c>
      <c r="E262">
        <v>88</v>
      </c>
      <c r="F262">
        <v>3000000</v>
      </c>
      <c r="G262">
        <v>547912.62</v>
      </c>
      <c r="H262">
        <v>330415.31</v>
      </c>
      <c r="I262" t="s">
        <v>2494</v>
      </c>
      <c r="J262">
        <v>0</v>
      </c>
      <c r="K262">
        <v>301753.13</v>
      </c>
      <c r="L262">
        <v>13754.13</v>
      </c>
      <c r="M262">
        <v>562141.03</v>
      </c>
      <c r="N262" s="143">
        <v>42612.721365590274</v>
      </c>
      <c r="O262" s="143">
        <v>42981</v>
      </c>
      <c r="P262" t="s">
        <v>2816</v>
      </c>
      <c r="Q262" t="s">
        <v>2817</v>
      </c>
      <c r="R262" t="s">
        <v>1280</v>
      </c>
      <c r="S262" t="s">
        <v>1510</v>
      </c>
      <c r="T262">
        <v>54</v>
      </c>
      <c r="U262">
        <f>IF(Table__192.168.1.150_M_CONSOLIDATED_Delinquency_Compulsory_EOM[[#This Row],[Days in Arrears]] &lt; 8, Table__192.168.1.150_M_CONSOLIDATED_Delinquency_Compulsory_EOM[[#This Row],[Outstanding Balance]], 0 )</f>
        <v>0</v>
      </c>
      <c r="V2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547912.62</v>
      </c>
      <c r="Y2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2" s="105" t="str">
        <f>VLOOKUP(Table__192.168.1.150_M_CONSOLIDATED_Delinquency_Compulsory_EOM[[#This Row],[Client No]],'Global Portfolio'!$B$2:$N$2500,10,FALSE)</f>
        <v>Retail</v>
      </c>
      <c r="AA262" s="105" t="str">
        <f>VLOOKUP(Table__192.168.1.150_M_CONSOLIDATED_Delinquency_Compulsory_EOM[[#This Row],[Client No]],'Global Portfolio'!$B$2:$N$2500,11,FALSE)</f>
        <v>Others</v>
      </c>
      <c r="AB262" s="105" t="str">
        <f>VLOOKUP(Table__192.168.1.150_M_CONSOLIDATED_Delinquency_Compulsory_EOM[[#This Row],[Client No]],'Global Portfolio'!$B$2:$N$2500,12,FALSE)</f>
        <v>Others</v>
      </c>
    </row>
    <row r="263" spans="1:28" x14ac:dyDescent="0.25">
      <c r="A263">
        <v>102793</v>
      </c>
      <c r="B263" t="s">
        <v>2831</v>
      </c>
      <c r="C263" t="s">
        <v>2833</v>
      </c>
      <c r="D263" t="s">
        <v>1281</v>
      </c>
      <c r="E263">
        <v>-2</v>
      </c>
      <c r="F263">
        <v>28000000</v>
      </c>
      <c r="G263">
        <v>16149890.470000001</v>
      </c>
      <c r="H263">
        <v>1843494.47</v>
      </c>
      <c r="I263" t="s">
        <v>1191</v>
      </c>
      <c r="J263">
        <v>235856.64000000001</v>
      </c>
      <c r="K263">
        <v>2100000</v>
      </c>
      <c r="L263">
        <v>581396.06000000006</v>
      </c>
      <c r="M263">
        <v>20278439.32</v>
      </c>
      <c r="N263" s="143">
        <v>42613.480887962964</v>
      </c>
      <c r="O263" s="143">
        <v>43346</v>
      </c>
      <c r="P263" t="s">
        <v>2834</v>
      </c>
      <c r="Q263" t="s">
        <v>1280</v>
      </c>
      <c r="R263" t="s">
        <v>1280</v>
      </c>
      <c r="S263" t="s">
        <v>1510</v>
      </c>
      <c r="T263">
        <v>48</v>
      </c>
      <c r="U263">
        <f>IF(Table__192.168.1.150_M_CONSOLIDATED_Delinquency_Compulsory_EOM[[#This Row],[Days in Arrears]] &lt; 8, Table__192.168.1.150_M_CONSOLIDATED_Delinquency_Compulsory_EOM[[#This Row],[Outstanding Balance]], 0 )</f>
        <v>16149890.470000001</v>
      </c>
      <c r="V2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3" s="105" t="str">
        <f>VLOOKUP(Table__192.168.1.150_M_CONSOLIDATED_Delinquency_Compulsory_EOM[[#This Row],[Client No]],'Global Portfolio'!$B$2:$N$2500,10,FALSE)</f>
        <v>Real Estate and Rental</v>
      </c>
      <c r="AA263" s="105" t="str">
        <f>VLOOKUP(Table__192.168.1.150_M_CONSOLIDATED_Delinquency_Compulsory_EOM[[#This Row],[Client No]],'Global Portfolio'!$B$2:$N$2500,11,FALSE)</f>
        <v>Rental</v>
      </c>
      <c r="AB263" s="105" t="str">
        <f>VLOOKUP(Table__192.168.1.150_M_CONSOLIDATED_Delinquency_Compulsory_EOM[[#This Row],[Client No]],'Global Portfolio'!$B$2:$N$2500,12,FALSE)</f>
        <v>Others</v>
      </c>
    </row>
    <row r="264" spans="1:28" x14ac:dyDescent="0.25">
      <c r="A264">
        <v>102795</v>
      </c>
      <c r="B264" t="s">
        <v>1239</v>
      </c>
      <c r="C264" t="s">
        <v>1245</v>
      </c>
      <c r="D264" t="s">
        <v>1284</v>
      </c>
      <c r="E264">
        <v>-4</v>
      </c>
      <c r="F264">
        <v>16000000</v>
      </c>
      <c r="G264">
        <v>13672713.18</v>
      </c>
      <c r="H264">
        <v>636318.38</v>
      </c>
      <c r="I264" t="s">
        <v>491</v>
      </c>
      <c r="J264">
        <v>0</v>
      </c>
      <c r="K264">
        <v>800000</v>
      </c>
      <c r="L264">
        <v>341817.83</v>
      </c>
      <c r="M264">
        <v>22271143.579999998</v>
      </c>
      <c r="N264" s="143">
        <v>42613.501085497686</v>
      </c>
      <c r="O264" s="143">
        <v>44079</v>
      </c>
      <c r="P264" t="s">
        <v>1246</v>
      </c>
      <c r="Q264" t="s">
        <v>1280</v>
      </c>
      <c r="R264" t="s">
        <v>1280</v>
      </c>
      <c r="S264" t="s">
        <v>1510</v>
      </c>
      <c r="T264">
        <v>36</v>
      </c>
      <c r="U264">
        <f>IF(Table__192.168.1.150_M_CONSOLIDATED_Delinquency_Compulsory_EOM[[#This Row],[Days in Arrears]] &lt; 8, Table__192.168.1.150_M_CONSOLIDATED_Delinquency_Compulsory_EOM[[#This Row],[Outstanding Balance]], 0 )</f>
        <v>13672713.18</v>
      </c>
      <c r="V2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4" s="105" t="str">
        <f>VLOOKUP(Table__192.168.1.150_M_CONSOLIDATED_Delinquency_Compulsory_EOM[[#This Row],[Client No]],'Global Portfolio'!$B$2:$N$2500,10,FALSE)</f>
        <v>Real Estate and Rental</v>
      </c>
      <c r="AA264" s="105" t="str">
        <f>VLOOKUP(Table__192.168.1.150_M_CONSOLIDATED_Delinquency_Compulsory_EOM[[#This Row],[Client No]],'Global Portfolio'!$B$2:$N$2500,11,FALSE)</f>
        <v>Rental</v>
      </c>
      <c r="AB264" s="105" t="str">
        <f>VLOOKUP(Table__192.168.1.150_M_CONSOLIDATED_Delinquency_Compulsory_EOM[[#This Row],[Client No]],'Global Portfolio'!$B$2:$N$2500,12,FALSE)</f>
        <v>Others</v>
      </c>
    </row>
    <row r="265" spans="1:28" x14ac:dyDescent="0.25">
      <c r="A265">
        <v>102796</v>
      </c>
      <c r="B265" t="s">
        <v>2830</v>
      </c>
      <c r="C265" t="s">
        <v>2835</v>
      </c>
      <c r="D265" t="s">
        <v>1279</v>
      </c>
      <c r="E265">
        <v>88</v>
      </c>
      <c r="F265">
        <v>3500000</v>
      </c>
      <c r="G265">
        <v>500441.74</v>
      </c>
      <c r="H265">
        <v>385484.52</v>
      </c>
      <c r="I265" t="s">
        <v>468</v>
      </c>
      <c r="J265">
        <v>0</v>
      </c>
      <c r="K265">
        <v>0</v>
      </c>
      <c r="L265">
        <v>16046.49</v>
      </c>
      <c r="M265">
        <v>517041.56</v>
      </c>
      <c r="N265" s="143">
        <v>42613.622245254628</v>
      </c>
      <c r="O265" s="143">
        <v>42981</v>
      </c>
      <c r="P265" t="s">
        <v>2836</v>
      </c>
      <c r="Q265" t="s">
        <v>2837</v>
      </c>
      <c r="R265" t="s">
        <v>1280</v>
      </c>
      <c r="S265" t="s">
        <v>1510</v>
      </c>
      <c r="T265">
        <v>54</v>
      </c>
      <c r="U265">
        <f>IF(Table__192.168.1.150_M_CONSOLIDATED_Delinquency_Compulsory_EOM[[#This Row],[Days in Arrears]] &lt; 8, Table__192.168.1.150_M_CONSOLIDATED_Delinquency_Compulsory_EOM[[#This Row],[Outstanding Balance]], 0 )</f>
        <v>0</v>
      </c>
      <c r="V2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500441.74</v>
      </c>
      <c r="Y2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5" s="105" t="str">
        <f>VLOOKUP(Table__192.168.1.150_M_CONSOLIDATED_Delinquency_Compulsory_EOM[[#This Row],[Client No]],'Global Portfolio'!$B$2:$N$2500,10,FALSE)</f>
        <v>Real Estate and Rental</v>
      </c>
      <c r="AA265" s="105" t="str">
        <f>VLOOKUP(Table__192.168.1.150_M_CONSOLIDATED_Delinquency_Compulsory_EOM[[#This Row],[Client No]],'Global Portfolio'!$B$2:$N$2500,11,FALSE)</f>
        <v>Rental</v>
      </c>
      <c r="AB265" s="105" t="str">
        <f>VLOOKUP(Table__192.168.1.150_M_CONSOLIDATED_Delinquency_Compulsory_EOM[[#This Row],[Client No]],'Global Portfolio'!$B$2:$N$2500,12,FALSE)</f>
        <v>Others</v>
      </c>
    </row>
    <row r="266" spans="1:28" x14ac:dyDescent="0.25">
      <c r="A266">
        <v>102797</v>
      </c>
      <c r="B266" t="s">
        <v>2829</v>
      </c>
      <c r="C266" t="s">
        <v>2838</v>
      </c>
      <c r="D266" t="s">
        <v>1279</v>
      </c>
      <c r="E266">
        <v>118</v>
      </c>
      <c r="F266">
        <v>1000000</v>
      </c>
      <c r="G266">
        <v>302766.58</v>
      </c>
      <c r="H266">
        <v>110138.44</v>
      </c>
      <c r="I266" t="s">
        <v>86</v>
      </c>
      <c r="J266">
        <v>0</v>
      </c>
      <c r="K266">
        <v>100584.38</v>
      </c>
      <c r="L266">
        <v>-592.69000000000005</v>
      </c>
      <c r="M266">
        <v>329692.13</v>
      </c>
      <c r="N266" s="143">
        <v>42613.657020451392</v>
      </c>
      <c r="O266" s="143">
        <v>42981</v>
      </c>
      <c r="P266" t="s">
        <v>2839</v>
      </c>
      <c r="Q266" t="s">
        <v>2840</v>
      </c>
      <c r="R266" t="s">
        <v>1280</v>
      </c>
      <c r="S266" t="s">
        <v>1510</v>
      </c>
      <c r="T266">
        <v>54</v>
      </c>
      <c r="U266">
        <f>IF(Table__192.168.1.150_M_CONSOLIDATED_Delinquency_Compulsory_EOM[[#This Row],[Days in Arrears]] &lt; 8, Table__192.168.1.150_M_CONSOLIDATED_Delinquency_Compulsory_EOM[[#This Row],[Outstanding Balance]], 0 )</f>
        <v>0</v>
      </c>
      <c r="V2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302766.58</v>
      </c>
      <c r="Z266" s="105" t="str">
        <f>VLOOKUP(Table__192.168.1.150_M_CONSOLIDATED_Delinquency_Compulsory_EOM[[#This Row],[Client No]],'Global Portfolio'!$B$2:$N$2500,10,FALSE)</f>
        <v>Real Estate and Rental</v>
      </c>
      <c r="AA266" s="105" t="str">
        <f>VLOOKUP(Table__192.168.1.150_M_CONSOLIDATED_Delinquency_Compulsory_EOM[[#This Row],[Client No]],'Global Portfolio'!$B$2:$N$2500,11,FALSE)</f>
        <v>Rental</v>
      </c>
      <c r="AB266" s="105" t="str">
        <f>VLOOKUP(Table__192.168.1.150_M_CONSOLIDATED_Delinquency_Compulsory_EOM[[#This Row],[Client No]],'Global Portfolio'!$B$2:$N$2500,12,FALSE)</f>
        <v>Others</v>
      </c>
    </row>
    <row r="267" spans="1:28" x14ac:dyDescent="0.25">
      <c r="A267">
        <v>102799</v>
      </c>
      <c r="B267" t="s">
        <v>2825</v>
      </c>
      <c r="C267" t="s">
        <v>2843</v>
      </c>
      <c r="D267" t="s">
        <v>1279</v>
      </c>
      <c r="E267">
        <v>118</v>
      </c>
      <c r="F267">
        <v>2000000</v>
      </c>
      <c r="G267">
        <v>605533.28</v>
      </c>
      <c r="H267">
        <v>220276.87</v>
      </c>
      <c r="I267" t="s">
        <v>5725</v>
      </c>
      <c r="J267">
        <v>0</v>
      </c>
      <c r="K267">
        <v>201168.75</v>
      </c>
      <c r="L267">
        <v>44469.86</v>
      </c>
      <c r="M267">
        <v>660107.5</v>
      </c>
      <c r="N267" s="143">
        <v>42613.756618981482</v>
      </c>
      <c r="O267" s="143">
        <v>42981</v>
      </c>
      <c r="P267" t="s">
        <v>2844</v>
      </c>
      <c r="Q267" t="s">
        <v>1280</v>
      </c>
      <c r="R267" t="s">
        <v>1280</v>
      </c>
      <c r="S267" t="s">
        <v>1510</v>
      </c>
      <c r="T267">
        <v>54</v>
      </c>
      <c r="U267">
        <f>IF(Table__192.168.1.150_M_CONSOLIDATED_Delinquency_Compulsory_EOM[[#This Row],[Days in Arrears]] &lt; 8, Table__192.168.1.150_M_CONSOLIDATED_Delinquency_Compulsory_EOM[[#This Row],[Outstanding Balance]], 0 )</f>
        <v>0</v>
      </c>
      <c r="V2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605533.28</v>
      </c>
      <c r="Z267" s="105" t="str">
        <f>VLOOKUP(Table__192.168.1.150_M_CONSOLIDATED_Delinquency_Compulsory_EOM[[#This Row],[Client No]],'Global Portfolio'!$B$2:$N$2500,10,FALSE)</f>
        <v>Retail</v>
      </c>
      <c r="AA267" s="105" t="str">
        <f>VLOOKUP(Table__192.168.1.150_M_CONSOLIDATED_Delinquency_Compulsory_EOM[[#This Row],[Client No]],'Global Portfolio'!$B$2:$N$2500,11,FALSE)</f>
        <v>Health and Personal Care Stores</v>
      </c>
      <c r="AB267" s="105" t="str">
        <f>VLOOKUP(Table__192.168.1.150_M_CONSOLIDATED_Delinquency_Compulsory_EOM[[#This Row],[Client No]],'Global Portfolio'!$B$2:$N$2500,12,FALSE)</f>
        <v>Cosmetics, Beauty Supplies, &amp; Perfume Stores</v>
      </c>
    </row>
    <row r="268" spans="1:28" x14ac:dyDescent="0.25">
      <c r="A268">
        <v>102801</v>
      </c>
      <c r="B268" t="s">
        <v>2852</v>
      </c>
      <c r="C268" t="s">
        <v>2853</v>
      </c>
      <c r="D268" t="s">
        <v>1284</v>
      </c>
      <c r="E268">
        <v>-2</v>
      </c>
      <c r="F268">
        <v>8000000</v>
      </c>
      <c r="G268">
        <v>4456249.9000000004</v>
      </c>
      <c r="H268">
        <v>490554.58</v>
      </c>
      <c r="I268" t="s">
        <v>1467</v>
      </c>
      <c r="J268">
        <v>39000</v>
      </c>
      <c r="K268">
        <v>400000</v>
      </c>
      <c r="L268">
        <v>133687.5</v>
      </c>
      <c r="M268">
        <v>5396100.25</v>
      </c>
      <c r="N268" s="143">
        <v>42614.517180937502</v>
      </c>
      <c r="O268" s="143">
        <v>43346</v>
      </c>
      <c r="P268" t="s">
        <v>2854</v>
      </c>
      <c r="Q268" t="s">
        <v>1280</v>
      </c>
      <c r="R268" t="s">
        <v>1280</v>
      </c>
      <c r="S268" t="s">
        <v>1510</v>
      </c>
      <c r="T268">
        <v>40</v>
      </c>
      <c r="U268">
        <f>IF(Table__192.168.1.150_M_CONSOLIDATED_Delinquency_Compulsory_EOM[[#This Row],[Days in Arrears]] &lt; 8, Table__192.168.1.150_M_CONSOLIDATED_Delinquency_Compulsory_EOM[[#This Row],[Outstanding Balance]], 0 )</f>
        <v>4456249.9000000004</v>
      </c>
      <c r="V2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8" s="105" t="str">
        <f>VLOOKUP(Table__192.168.1.150_M_CONSOLIDATED_Delinquency_Compulsory_EOM[[#This Row],[Client No]],'Global Portfolio'!$B$2:$N$2500,10,FALSE)</f>
        <v>Retail</v>
      </c>
      <c r="AA268" s="105" t="str">
        <f>VLOOKUP(Table__192.168.1.150_M_CONSOLIDATED_Delinquency_Compulsory_EOM[[#This Row],[Client No]],'Global Portfolio'!$B$2:$N$2500,11,FALSE)</f>
        <v>Motor Vehicle and Parts Dealers</v>
      </c>
      <c r="AB268" s="105" t="str">
        <f>VLOOKUP(Table__192.168.1.150_M_CONSOLIDATED_Delinquency_Compulsory_EOM[[#This Row],[Client No]],'Global Portfolio'!$B$2:$N$2500,12,FALSE)</f>
        <v>Used Car Dealers</v>
      </c>
    </row>
    <row r="269" spans="1:28" x14ac:dyDescent="0.25">
      <c r="A269">
        <v>102803</v>
      </c>
      <c r="B269" t="s">
        <v>84</v>
      </c>
      <c r="C269" t="s">
        <v>243</v>
      </c>
      <c r="D269" t="s">
        <v>1281</v>
      </c>
      <c r="E269">
        <v>-4</v>
      </c>
      <c r="F269">
        <v>16000000</v>
      </c>
      <c r="G269">
        <v>8989052.5099999998</v>
      </c>
      <c r="H269">
        <v>998611.52</v>
      </c>
      <c r="I269" t="s">
        <v>86</v>
      </c>
      <c r="J269">
        <v>124536.55</v>
      </c>
      <c r="K269">
        <v>1200000</v>
      </c>
      <c r="L269">
        <v>262180.7</v>
      </c>
      <c r="M269">
        <v>10984726.640000001</v>
      </c>
      <c r="N269" s="143">
        <v>42616.578436493059</v>
      </c>
      <c r="O269" s="143">
        <v>43348</v>
      </c>
      <c r="P269" t="s">
        <v>244</v>
      </c>
      <c r="Q269" t="s">
        <v>245</v>
      </c>
      <c r="R269" t="s">
        <v>1280</v>
      </c>
      <c r="S269" t="s">
        <v>1510</v>
      </c>
      <c r="T269">
        <v>42</v>
      </c>
      <c r="U269">
        <f>IF(Table__192.168.1.150_M_CONSOLIDATED_Delinquency_Compulsory_EOM[[#This Row],[Days in Arrears]] &lt; 8, Table__192.168.1.150_M_CONSOLIDATED_Delinquency_Compulsory_EOM[[#This Row],[Outstanding Balance]], 0 )</f>
        <v>8989052.5099999998</v>
      </c>
      <c r="V2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69" s="105" t="str">
        <f>VLOOKUP(Table__192.168.1.150_M_CONSOLIDATED_Delinquency_Compulsory_EOM[[#This Row],[Client No]],'Global Portfolio'!$B$2:$N$2500,10,FALSE)</f>
        <v>Retail</v>
      </c>
      <c r="AA269" s="105" t="str">
        <f>VLOOKUP(Table__192.168.1.150_M_CONSOLIDATED_Delinquency_Compulsory_EOM[[#This Row],[Client No]],'Global Portfolio'!$B$2:$N$2500,11,FALSE)</f>
        <v>Others</v>
      </c>
      <c r="AB269" s="105" t="str">
        <f>VLOOKUP(Table__192.168.1.150_M_CONSOLIDATED_Delinquency_Compulsory_EOM[[#This Row],[Client No]],'Global Portfolio'!$B$2:$N$2500,12,FALSE)</f>
        <v>Others</v>
      </c>
    </row>
    <row r="270" spans="1:28" x14ac:dyDescent="0.25">
      <c r="A270">
        <v>102807</v>
      </c>
      <c r="B270" t="s">
        <v>993</v>
      </c>
      <c r="C270" t="s">
        <v>998</v>
      </c>
      <c r="D270" t="s">
        <v>1284</v>
      </c>
      <c r="E270">
        <v>-9</v>
      </c>
      <c r="F270">
        <v>25000000</v>
      </c>
      <c r="G270">
        <v>18829491.420000002</v>
      </c>
      <c r="H270">
        <v>1145094.8500000001</v>
      </c>
      <c r="I270" t="s">
        <v>491</v>
      </c>
      <c r="J270">
        <v>0</v>
      </c>
      <c r="K270">
        <v>1250000</v>
      </c>
      <c r="L270">
        <v>559974.76</v>
      </c>
      <c r="M270">
        <v>26337181.809999999</v>
      </c>
      <c r="N270" s="143">
        <v>42623.615724421295</v>
      </c>
      <c r="O270" s="143">
        <v>43718</v>
      </c>
      <c r="P270" t="s">
        <v>999</v>
      </c>
      <c r="Q270" t="s">
        <v>1000</v>
      </c>
      <c r="R270" t="s">
        <v>1280</v>
      </c>
      <c r="S270" t="s">
        <v>1510</v>
      </c>
      <c r="T270">
        <v>36</v>
      </c>
      <c r="U270">
        <f>IF(Table__192.168.1.150_M_CONSOLIDATED_Delinquency_Compulsory_EOM[[#This Row],[Days in Arrears]] &lt; 8, Table__192.168.1.150_M_CONSOLIDATED_Delinquency_Compulsory_EOM[[#This Row],[Outstanding Balance]], 0 )</f>
        <v>18829491.420000002</v>
      </c>
      <c r="V2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0" s="105" t="str">
        <f>VLOOKUP(Table__192.168.1.150_M_CONSOLIDATED_Delinquency_Compulsory_EOM[[#This Row],[Client No]],'Global Portfolio'!$B$2:$N$2500,10,FALSE)</f>
        <v>Agriculture, Forestry, Fishing and Hunting</v>
      </c>
      <c r="AA270" s="105" t="str">
        <f>VLOOKUP(Table__192.168.1.150_M_CONSOLIDATED_Delinquency_Compulsory_EOM[[#This Row],[Client No]],'Global Portfolio'!$B$2:$N$2500,11,FALSE)</f>
        <v>Animal Production</v>
      </c>
      <c r="AB270" s="105" t="str">
        <f>VLOOKUP(Table__192.168.1.150_M_CONSOLIDATED_Delinquency_Compulsory_EOM[[#This Row],[Client No]],'Global Portfolio'!$B$2:$N$2500,12,FALSE)</f>
        <v>Poultry &amp; Egg Production</v>
      </c>
    </row>
    <row r="271" spans="1:28" x14ac:dyDescent="0.25">
      <c r="A271">
        <v>102809</v>
      </c>
      <c r="B271" t="s">
        <v>2233</v>
      </c>
      <c r="C271" t="s">
        <v>2238</v>
      </c>
      <c r="D271" t="s">
        <v>1281</v>
      </c>
      <c r="E271">
        <v>-12</v>
      </c>
      <c r="F271">
        <v>16000000</v>
      </c>
      <c r="G271">
        <v>5626628.2199999997</v>
      </c>
      <c r="H271">
        <v>1263893.25</v>
      </c>
      <c r="I271" t="s">
        <v>468</v>
      </c>
      <c r="J271">
        <v>0</v>
      </c>
      <c r="K271">
        <v>0</v>
      </c>
      <c r="L271">
        <v>356770.76</v>
      </c>
      <c r="M271">
        <v>6319466.2699999996</v>
      </c>
      <c r="N271" s="143">
        <v>42626.617915509261</v>
      </c>
      <c r="O271" s="143">
        <v>43172</v>
      </c>
      <c r="P271" t="s">
        <v>2239</v>
      </c>
      <c r="Q271" t="s">
        <v>1280</v>
      </c>
      <c r="R271" t="s">
        <v>1280</v>
      </c>
      <c r="S271" t="s">
        <v>1510</v>
      </c>
      <c r="T271">
        <v>48</v>
      </c>
      <c r="U271">
        <f>IF(Table__192.168.1.150_M_CONSOLIDATED_Delinquency_Compulsory_EOM[[#This Row],[Days in Arrears]] &lt; 8, Table__192.168.1.150_M_CONSOLIDATED_Delinquency_Compulsory_EOM[[#This Row],[Outstanding Balance]], 0 )</f>
        <v>5626628.2199999997</v>
      </c>
      <c r="V2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1" s="105" t="str">
        <f>VLOOKUP(Table__192.168.1.150_M_CONSOLIDATED_Delinquency_Compulsory_EOM[[#This Row],[Client No]],'Global Portfolio'!$B$2:$N$2500,10,FALSE)</f>
        <v>Agriculture, Forestry, Fishing and Hunting</v>
      </c>
      <c r="AA271" s="105" t="str">
        <f>VLOOKUP(Table__192.168.1.150_M_CONSOLIDATED_Delinquency_Compulsory_EOM[[#This Row],[Client No]],'Global Portfolio'!$B$2:$N$2500,11,FALSE)</f>
        <v>Animal Production</v>
      </c>
      <c r="AB271" s="105" t="str">
        <f>VLOOKUP(Table__192.168.1.150_M_CONSOLIDATED_Delinquency_Compulsory_EOM[[#This Row],[Client No]],'Global Portfolio'!$B$2:$N$2500,12,FALSE)</f>
        <v>Poultry &amp; Egg Production</v>
      </c>
    </row>
    <row r="272" spans="1:28" x14ac:dyDescent="0.25">
      <c r="A272">
        <v>102812</v>
      </c>
      <c r="B272" t="s">
        <v>2910</v>
      </c>
      <c r="C272" t="s">
        <v>2911</v>
      </c>
      <c r="D272" t="s">
        <v>1282</v>
      </c>
      <c r="E272">
        <v>-14</v>
      </c>
      <c r="F272">
        <v>10000000</v>
      </c>
      <c r="G272">
        <v>5883846.4699999997</v>
      </c>
      <c r="H272">
        <v>689870.3</v>
      </c>
      <c r="I272" t="s">
        <v>86</v>
      </c>
      <c r="J272">
        <v>92503.15</v>
      </c>
      <c r="K272">
        <v>0</v>
      </c>
      <c r="L272">
        <v>132386.54999999999</v>
      </c>
      <c r="M272">
        <v>7588573.2999999998</v>
      </c>
      <c r="N272" s="143">
        <v>42628.641779942132</v>
      </c>
      <c r="O272" s="143">
        <v>43358</v>
      </c>
      <c r="P272" t="s">
        <v>2912</v>
      </c>
      <c r="Q272" t="s">
        <v>1280</v>
      </c>
      <c r="R272" t="s">
        <v>1280</v>
      </c>
      <c r="S272" t="s">
        <v>1510</v>
      </c>
      <c r="T272">
        <v>54</v>
      </c>
      <c r="U272">
        <f>IF(Table__192.168.1.150_M_CONSOLIDATED_Delinquency_Compulsory_EOM[[#This Row],[Days in Arrears]] &lt; 8, Table__192.168.1.150_M_CONSOLIDATED_Delinquency_Compulsory_EOM[[#This Row],[Outstanding Balance]], 0 )</f>
        <v>5883846.4699999997</v>
      </c>
      <c r="V2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2" s="105" t="str">
        <f>VLOOKUP(Table__192.168.1.150_M_CONSOLIDATED_Delinquency_Compulsory_EOM[[#This Row],[Client No]],'Global Portfolio'!$B$2:$N$2500,10,FALSE)</f>
        <v>Agriculture, Forestry, Fishing and Hunting</v>
      </c>
      <c r="AA272" s="105" t="str">
        <f>VLOOKUP(Table__192.168.1.150_M_CONSOLIDATED_Delinquency_Compulsory_EOM[[#This Row],[Client No]],'Global Portfolio'!$B$2:$N$2500,11,FALSE)</f>
        <v>Animal Production</v>
      </c>
      <c r="AB272" s="105" t="str">
        <f>VLOOKUP(Table__192.168.1.150_M_CONSOLIDATED_Delinquency_Compulsory_EOM[[#This Row],[Client No]],'Global Portfolio'!$B$2:$N$2500,12,FALSE)</f>
        <v>Poultry &amp; Egg Production</v>
      </c>
    </row>
    <row r="273" spans="1:28" x14ac:dyDescent="0.25">
      <c r="A273">
        <v>102813</v>
      </c>
      <c r="B273" t="s">
        <v>1563</v>
      </c>
      <c r="C273" t="s">
        <v>1592</v>
      </c>
      <c r="D273" t="s">
        <v>1284</v>
      </c>
      <c r="E273">
        <v>15</v>
      </c>
      <c r="F273">
        <v>38000000</v>
      </c>
      <c r="G273">
        <v>32834734.219999999</v>
      </c>
      <c r="H273">
        <v>1503955.4</v>
      </c>
      <c r="I273" t="s">
        <v>546</v>
      </c>
      <c r="J273">
        <v>0</v>
      </c>
      <c r="K273">
        <v>0</v>
      </c>
      <c r="L273">
        <v>1384777.3</v>
      </c>
      <c r="M273">
        <v>54089708.719999999</v>
      </c>
      <c r="N273" s="143">
        <v>42629.37976851852</v>
      </c>
      <c r="O273" s="143">
        <v>44090</v>
      </c>
      <c r="P273" t="s">
        <v>1593</v>
      </c>
      <c r="Q273" t="s">
        <v>1280</v>
      </c>
      <c r="R273" t="s">
        <v>1280</v>
      </c>
      <c r="S273" t="s">
        <v>1510</v>
      </c>
      <c r="T273">
        <v>36</v>
      </c>
      <c r="U273">
        <f>IF(Table__192.168.1.150_M_CONSOLIDATED_Delinquency_Compulsory_EOM[[#This Row],[Days in Arrears]] &lt; 8, Table__192.168.1.150_M_CONSOLIDATED_Delinquency_Compulsory_EOM[[#This Row],[Outstanding Balance]], 0 )</f>
        <v>0</v>
      </c>
      <c r="V2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32834734.219999999</v>
      </c>
      <c r="W2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3" s="105" t="str">
        <f>VLOOKUP(Table__192.168.1.150_M_CONSOLIDATED_Delinquency_Compulsory_EOM[[#This Row],[Client No]],'Global Portfolio'!$B$2:$N$2500,10,FALSE)</f>
        <v>Real Estate and Rental</v>
      </c>
      <c r="AA273" s="105" t="str">
        <f>VLOOKUP(Table__192.168.1.150_M_CONSOLIDATED_Delinquency_Compulsory_EOM[[#This Row],[Client No]],'Global Portfolio'!$B$2:$N$2500,11,FALSE)</f>
        <v>Rental</v>
      </c>
      <c r="AB273" s="105" t="str">
        <f>VLOOKUP(Table__192.168.1.150_M_CONSOLIDATED_Delinquency_Compulsory_EOM[[#This Row],[Client No]],'Global Portfolio'!$B$2:$N$2500,12,FALSE)</f>
        <v>Others</v>
      </c>
    </row>
    <row r="274" spans="1:28" x14ac:dyDescent="0.25">
      <c r="A274">
        <v>102815</v>
      </c>
      <c r="B274" t="s">
        <v>2917</v>
      </c>
      <c r="C274" t="s">
        <v>2918</v>
      </c>
      <c r="D274" t="s">
        <v>1279</v>
      </c>
      <c r="E274">
        <v>45</v>
      </c>
      <c r="F274">
        <v>6000000</v>
      </c>
      <c r="G274">
        <v>1973998.11</v>
      </c>
      <c r="H274">
        <v>545954.5</v>
      </c>
      <c r="I274" t="s">
        <v>1467</v>
      </c>
      <c r="J274">
        <v>0</v>
      </c>
      <c r="K274">
        <v>0</v>
      </c>
      <c r="L274">
        <v>118640.74</v>
      </c>
      <c r="M274">
        <v>2157279.86</v>
      </c>
      <c r="N274" s="143">
        <v>42629.536900312502</v>
      </c>
      <c r="O274" s="143">
        <v>43085</v>
      </c>
      <c r="P274" t="s">
        <v>2919</v>
      </c>
      <c r="Q274" t="s">
        <v>2920</v>
      </c>
      <c r="R274" t="s">
        <v>1280</v>
      </c>
      <c r="S274" t="s">
        <v>1510</v>
      </c>
      <c r="T274">
        <v>50</v>
      </c>
      <c r="U274">
        <f>IF(Table__192.168.1.150_M_CONSOLIDATED_Delinquency_Compulsory_EOM[[#This Row],[Days in Arrears]] &lt; 8, Table__192.168.1.150_M_CONSOLIDATED_Delinquency_Compulsory_EOM[[#This Row],[Outstanding Balance]], 0 )</f>
        <v>0</v>
      </c>
      <c r="V2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1973998.11</v>
      </c>
      <c r="X2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4" s="105" t="str">
        <f>VLOOKUP(Table__192.168.1.150_M_CONSOLIDATED_Delinquency_Compulsory_EOM[[#This Row],[Client No]],'Global Portfolio'!$B$2:$N$2500,10,FALSE)</f>
        <v>Retail</v>
      </c>
      <c r="AA274" s="105" t="str">
        <f>VLOOKUP(Table__192.168.1.150_M_CONSOLIDATED_Delinquency_Compulsory_EOM[[#This Row],[Client No]],'Global Portfolio'!$B$2:$N$2500,11,FALSE)</f>
        <v>Building Material and Garden Equipment</v>
      </c>
      <c r="AB274" s="105" t="str">
        <f>VLOOKUP(Table__192.168.1.150_M_CONSOLIDATED_Delinquency_Compulsory_EOM[[#This Row],[Client No]],'Global Portfolio'!$B$2:$N$2500,12,FALSE)</f>
        <v>Hardware Stores</v>
      </c>
    </row>
    <row r="275" spans="1:28" x14ac:dyDescent="0.25">
      <c r="A275">
        <v>102820</v>
      </c>
      <c r="B275" t="s">
        <v>351</v>
      </c>
      <c r="C275" t="s">
        <v>353</v>
      </c>
      <c r="D275" t="s">
        <v>1284</v>
      </c>
      <c r="E275">
        <v>-23</v>
      </c>
      <c r="F275">
        <v>28000000</v>
      </c>
      <c r="G275">
        <v>21252828.609999999</v>
      </c>
      <c r="H275">
        <v>1292467.45</v>
      </c>
      <c r="I275" t="s">
        <v>1039</v>
      </c>
      <c r="J275">
        <v>162134.76</v>
      </c>
      <c r="K275">
        <v>1400000</v>
      </c>
      <c r="L275">
        <v>127516.97</v>
      </c>
      <c r="M275">
        <v>29726751.399999999</v>
      </c>
      <c r="N275" s="143">
        <v>42629.669620335648</v>
      </c>
      <c r="O275" s="143">
        <v>43732</v>
      </c>
      <c r="P275" t="s">
        <v>354</v>
      </c>
      <c r="Q275" t="s">
        <v>1280</v>
      </c>
      <c r="R275" t="s">
        <v>1280</v>
      </c>
      <c r="S275" t="s">
        <v>1510</v>
      </c>
      <c r="T275">
        <v>36</v>
      </c>
      <c r="U275">
        <f>IF(Table__192.168.1.150_M_CONSOLIDATED_Delinquency_Compulsory_EOM[[#This Row],[Days in Arrears]] &lt; 8, Table__192.168.1.150_M_CONSOLIDATED_Delinquency_Compulsory_EOM[[#This Row],[Outstanding Balance]], 0 )</f>
        <v>21252828.609999999</v>
      </c>
      <c r="V2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5" s="105" t="str">
        <f>VLOOKUP(Table__192.168.1.150_M_CONSOLIDATED_Delinquency_Compulsory_EOM[[#This Row],[Client No]],'Global Portfolio'!$B$2:$N$2500,10,FALSE)</f>
        <v>Real Estate and Rental</v>
      </c>
      <c r="AA275" s="105" t="str">
        <f>VLOOKUP(Table__192.168.1.150_M_CONSOLIDATED_Delinquency_Compulsory_EOM[[#This Row],[Client No]],'Global Portfolio'!$B$2:$N$2500,11,FALSE)</f>
        <v>Rental</v>
      </c>
      <c r="AB275" s="105" t="str">
        <f>VLOOKUP(Table__192.168.1.150_M_CONSOLIDATED_Delinquency_Compulsory_EOM[[#This Row],[Client No]],'Global Portfolio'!$B$2:$N$2500,12,FALSE)</f>
        <v>Others</v>
      </c>
    </row>
    <row r="276" spans="1:28" x14ac:dyDescent="0.25">
      <c r="A276">
        <v>102824</v>
      </c>
      <c r="B276" t="s">
        <v>2928</v>
      </c>
      <c r="C276" t="s">
        <v>2929</v>
      </c>
      <c r="D276" t="s">
        <v>1282</v>
      </c>
      <c r="E276">
        <v>-18</v>
      </c>
      <c r="F276">
        <v>2500000</v>
      </c>
      <c r="G276">
        <v>902545.23</v>
      </c>
      <c r="H276">
        <v>205592.24</v>
      </c>
      <c r="I276" t="s">
        <v>2538</v>
      </c>
      <c r="J276">
        <v>3407.76</v>
      </c>
      <c r="K276">
        <v>251283.96</v>
      </c>
      <c r="L276">
        <v>14892</v>
      </c>
      <c r="M276">
        <v>1027961.3</v>
      </c>
      <c r="N276" s="143">
        <v>42632.60021689815</v>
      </c>
      <c r="O276" s="143">
        <v>43178</v>
      </c>
      <c r="P276" t="s">
        <v>2930</v>
      </c>
      <c r="Q276" t="s">
        <v>1280</v>
      </c>
      <c r="R276" t="s">
        <v>1280</v>
      </c>
      <c r="S276" t="s">
        <v>1510</v>
      </c>
      <c r="T276">
        <v>54</v>
      </c>
      <c r="U276">
        <f>IF(Table__192.168.1.150_M_CONSOLIDATED_Delinquency_Compulsory_EOM[[#This Row],[Days in Arrears]] &lt; 8, Table__192.168.1.150_M_CONSOLIDATED_Delinquency_Compulsory_EOM[[#This Row],[Outstanding Balance]], 0 )</f>
        <v>902545.23</v>
      </c>
      <c r="V2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6" s="105" t="str">
        <f>VLOOKUP(Table__192.168.1.150_M_CONSOLIDATED_Delinquency_Compulsory_EOM[[#This Row],[Client No]],'Global Portfolio'!$B$2:$N$2500,10,FALSE)</f>
        <v>Real Estate and Rental</v>
      </c>
      <c r="AA276" s="105" t="str">
        <f>VLOOKUP(Table__192.168.1.150_M_CONSOLIDATED_Delinquency_Compulsory_EOM[[#This Row],[Client No]],'Global Portfolio'!$B$2:$N$2500,11,FALSE)</f>
        <v>Rental</v>
      </c>
      <c r="AB276" s="105" t="str">
        <f>VLOOKUP(Table__192.168.1.150_M_CONSOLIDATED_Delinquency_Compulsory_EOM[[#This Row],[Client No]],'Global Portfolio'!$B$2:$N$2500,12,FALSE)</f>
        <v>General Rental Centers</v>
      </c>
    </row>
    <row r="277" spans="1:28" x14ac:dyDescent="0.25">
      <c r="A277">
        <v>102828</v>
      </c>
      <c r="B277" t="s">
        <v>694</v>
      </c>
      <c r="C277" t="s">
        <v>695</v>
      </c>
      <c r="D277" t="s">
        <v>1281</v>
      </c>
      <c r="E277">
        <v>71</v>
      </c>
      <c r="F277">
        <v>25000000</v>
      </c>
      <c r="G277">
        <v>13029039.82</v>
      </c>
      <c r="H277">
        <v>1895421.02</v>
      </c>
      <c r="I277" t="s">
        <v>468</v>
      </c>
      <c r="J277">
        <v>0</v>
      </c>
      <c r="K277">
        <v>0</v>
      </c>
      <c r="L277">
        <v>848132.38</v>
      </c>
      <c r="M277">
        <v>15163368.16</v>
      </c>
      <c r="N277" s="143">
        <v>42633.671304826392</v>
      </c>
      <c r="O277" s="143">
        <v>43179</v>
      </c>
      <c r="P277" t="s">
        <v>696</v>
      </c>
      <c r="Q277" t="s">
        <v>1280</v>
      </c>
      <c r="R277" t="s">
        <v>1280</v>
      </c>
      <c r="S277" t="s">
        <v>1510</v>
      </c>
      <c r="T277">
        <v>42</v>
      </c>
      <c r="U277">
        <f>IF(Table__192.168.1.150_M_CONSOLIDATED_Delinquency_Compulsory_EOM[[#This Row],[Days in Arrears]] &lt; 8, Table__192.168.1.150_M_CONSOLIDATED_Delinquency_Compulsory_EOM[[#This Row],[Outstanding Balance]], 0 )</f>
        <v>0</v>
      </c>
      <c r="V2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13029039.82</v>
      </c>
      <c r="Y2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7" s="105" t="str">
        <f>VLOOKUP(Table__192.168.1.150_M_CONSOLIDATED_Delinquency_Compulsory_EOM[[#This Row],[Client No]],'Global Portfolio'!$B$2:$N$2500,10,FALSE)</f>
        <v>Retail</v>
      </c>
      <c r="AA277" s="105" t="str">
        <f>VLOOKUP(Table__192.168.1.150_M_CONSOLIDATED_Delinquency_Compulsory_EOM[[#This Row],[Client No]],'Global Portfolio'!$B$2:$N$2500,11,FALSE)</f>
        <v>Electronics Stores</v>
      </c>
      <c r="AB277" s="105" t="str">
        <f>VLOOKUP(Table__192.168.1.150_M_CONSOLIDATED_Delinquency_Compulsory_EOM[[#This Row],[Client No]],'Global Portfolio'!$B$2:$N$2500,12,FALSE)</f>
        <v>Radio, Television, &amp; Other Electronics Stores</v>
      </c>
    </row>
    <row r="278" spans="1:28" x14ac:dyDescent="0.25">
      <c r="A278">
        <v>102835</v>
      </c>
      <c r="B278" t="s">
        <v>2942</v>
      </c>
      <c r="C278" t="s">
        <v>2943</v>
      </c>
      <c r="D278" t="s">
        <v>1283</v>
      </c>
      <c r="E278">
        <v>90</v>
      </c>
      <c r="F278">
        <v>38000000</v>
      </c>
      <c r="G278">
        <v>27303712.030000001</v>
      </c>
      <c r="H278">
        <v>2342634.96</v>
      </c>
      <c r="I278" t="s">
        <v>5724</v>
      </c>
      <c r="J278">
        <v>0</v>
      </c>
      <c r="K278">
        <v>0</v>
      </c>
      <c r="L278">
        <v>1836120.05</v>
      </c>
      <c r="M278">
        <v>35139524.329999998</v>
      </c>
      <c r="N278" s="143">
        <v>42637.580909259261</v>
      </c>
      <c r="O278" s="143">
        <v>43374</v>
      </c>
      <c r="P278" t="s">
        <v>2944</v>
      </c>
      <c r="Q278" t="s">
        <v>2945</v>
      </c>
      <c r="R278" t="s">
        <v>1280</v>
      </c>
      <c r="S278" t="s">
        <v>1510</v>
      </c>
      <c r="T278">
        <v>40</v>
      </c>
      <c r="U278">
        <f>IF(Table__192.168.1.150_M_CONSOLIDATED_Delinquency_Compulsory_EOM[[#This Row],[Days in Arrears]] &lt; 8, Table__192.168.1.150_M_CONSOLIDATED_Delinquency_Compulsory_EOM[[#This Row],[Outstanding Balance]], 0 )</f>
        <v>0</v>
      </c>
      <c r="V2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27303712.030000001</v>
      </c>
      <c r="Z278" s="105" t="str">
        <f>VLOOKUP(Table__192.168.1.150_M_CONSOLIDATED_Delinquency_Compulsory_EOM[[#This Row],[Client No]],'Global Portfolio'!$B$2:$N$2500,10,FALSE)</f>
        <v>Educational Services</v>
      </c>
      <c r="AA278" s="105" t="str">
        <f>VLOOKUP(Table__192.168.1.150_M_CONSOLIDATED_Delinquency_Compulsory_EOM[[#This Row],[Client No]],'Global Portfolio'!$B$2:$N$2500,11,FALSE)</f>
        <v>Educational Services</v>
      </c>
      <c r="AB278" s="105" t="str">
        <f>VLOOKUP(Table__192.168.1.150_M_CONSOLIDATED_Delinquency_Compulsory_EOM[[#This Row],[Client No]],'Global Portfolio'!$B$2:$N$2500,12,FALSE)</f>
        <v>Schools</v>
      </c>
    </row>
    <row r="279" spans="1:28" x14ac:dyDescent="0.25">
      <c r="A279">
        <v>102838</v>
      </c>
      <c r="B279" t="s">
        <v>3024</v>
      </c>
      <c r="C279" t="s">
        <v>3025</v>
      </c>
      <c r="D279" t="s">
        <v>1281</v>
      </c>
      <c r="E279">
        <v>0</v>
      </c>
      <c r="F279">
        <v>17000000</v>
      </c>
      <c r="G279">
        <v>10504379.949999999</v>
      </c>
      <c r="H279">
        <v>1119264.5</v>
      </c>
      <c r="I279" t="s">
        <v>2538</v>
      </c>
      <c r="J279">
        <v>0</v>
      </c>
      <c r="K279">
        <v>0</v>
      </c>
      <c r="L279">
        <v>406169.36</v>
      </c>
      <c r="M279">
        <v>13431174.109999999</v>
      </c>
      <c r="N279" s="143">
        <v>42641.698485300927</v>
      </c>
      <c r="O279" s="143">
        <v>43374</v>
      </c>
      <c r="P279" t="s">
        <v>3026</v>
      </c>
      <c r="Q279" t="s">
        <v>1280</v>
      </c>
      <c r="R279" t="s">
        <v>1280</v>
      </c>
      <c r="S279" t="s">
        <v>1510</v>
      </c>
      <c r="T279">
        <v>48</v>
      </c>
      <c r="U279">
        <f>IF(Table__192.168.1.150_M_CONSOLIDATED_Delinquency_Compulsory_EOM[[#This Row],[Days in Arrears]] &lt; 8, Table__192.168.1.150_M_CONSOLIDATED_Delinquency_Compulsory_EOM[[#This Row],[Outstanding Balance]], 0 )</f>
        <v>10504379.949999999</v>
      </c>
      <c r="V2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79" s="105" t="str">
        <f>VLOOKUP(Table__192.168.1.150_M_CONSOLIDATED_Delinquency_Compulsory_EOM[[#This Row],[Client No]],'Global Portfolio'!$B$2:$N$2500,10,FALSE)</f>
        <v>Restaurants and Hotels</v>
      </c>
      <c r="AA279" s="105" t="str">
        <f>VLOOKUP(Table__192.168.1.150_M_CONSOLIDATED_Delinquency_Compulsory_EOM[[#This Row],[Client No]],'Global Portfolio'!$B$2:$N$2500,11,FALSE)</f>
        <v>Hotel</v>
      </c>
      <c r="AB279" s="105" t="str">
        <f>VLOOKUP(Table__192.168.1.150_M_CONSOLIDATED_Delinquency_Compulsory_EOM[[#This Row],[Client No]],'Global Portfolio'!$B$2:$N$2500,12,FALSE)</f>
        <v>Others</v>
      </c>
    </row>
    <row r="280" spans="1:28" x14ac:dyDescent="0.25">
      <c r="A280">
        <v>102841</v>
      </c>
      <c r="B280" t="s">
        <v>3052</v>
      </c>
      <c r="C280" t="s">
        <v>3054</v>
      </c>
      <c r="D280" t="s">
        <v>1284</v>
      </c>
      <c r="E280">
        <v>28</v>
      </c>
      <c r="F280">
        <v>15000000</v>
      </c>
      <c r="G280">
        <v>1492287.63</v>
      </c>
      <c r="H280">
        <v>1542030.54</v>
      </c>
      <c r="I280" t="s">
        <v>491</v>
      </c>
      <c r="J280">
        <v>0</v>
      </c>
      <c r="K280">
        <v>0</v>
      </c>
      <c r="L280">
        <v>147624.15</v>
      </c>
      <c r="M280">
        <v>1539061.09</v>
      </c>
      <c r="N280" s="143">
        <v>42643.590179548613</v>
      </c>
      <c r="O280" s="143">
        <v>43011</v>
      </c>
      <c r="P280" t="s">
        <v>3055</v>
      </c>
      <c r="Q280" t="s">
        <v>3056</v>
      </c>
      <c r="R280" t="s">
        <v>1280</v>
      </c>
      <c r="S280" t="s">
        <v>1510</v>
      </c>
      <c r="T280">
        <v>40</v>
      </c>
      <c r="U280">
        <f>IF(Table__192.168.1.150_M_CONSOLIDATED_Delinquency_Compulsory_EOM[[#This Row],[Days in Arrears]] &lt; 8, Table__192.168.1.150_M_CONSOLIDATED_Delinquency_Compulsory_EOM[[#This Row],[Outstanding Balance]], 0 )</f>
        <v>0</v>
      </c>
      <c r="V2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1492287.63</v>
      </c>
      <c r="W2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0" s="105" t="str">
        <f>VLOOKUP(Table__192.168.1.150_M_CONSOLIDATED_Delinquency_Compulsory_EOM[[#This Row],[Client No]],'Global Portfolio'!$B$2:$N$2500,10,FALSE)</f>
        <v>Educational Services</v>
      </c>
      <c r="AA280" s="105" t="str">
        <f>VLOOKUP(Table__192.168.1.150_M_CONSOLIDATED_Delinquency_Compulsory_EOM[[#This Row],[Client No]],'Global Portfolio'!$B$2:$N$2500,11,FALSE)</f>
        <v>Educational Services</v>
      </c>
      <c r="AB280" s="105" t="str">
        <f>VLOOKUP(Table__192.168.1.150_M_CONSOLIDATED_Delinquency_Compulsory_EOM[[#This Row],[Client No]],'Global Portfolio'!$B$2:$N$2500,12,FALSE)</f>
        <v>Schools</v>
      </c>
    </row>
    <row r="281" spans="1:28" x14ac:dyDescent="0.25">
      <c r="A281">
        <v>102843</v>
      </c>
      <c r="B281" t="s">
        <v>3050</v>
      </c>
      <c r="C281" t="s">
        <v>3057</v>
      </c>
      <c r="D281" t="s">
        <v>1279</v>
      </c>
      <c r="E281">
        <v>30</v>
      </c>
      <c r="F281">
        <v>2500000</v>
      </c>
      <c r="G281">
        <v>226805.78</v>
      </c>
      <c r="H281">
        <v>274559.01</v>
      </c>
      <c r="I281" t="s">
        <v>2034</v>
      </c>
      <c r="J281">
        <v>0</v>
      </c>
      <c r="K281">
        <v>251195.42</v>
      </c>
      <c r="L281">
        <v>0</v>
      </c>
      <c r="M281">
        <v>226805.78</v>
      </c>
      <c r="N281" s="143">
        <v>42643.759618668984</v>
      </c>
      <c r="O281" s="143">
        <v>43009</v>
      </c>
      <c r="P281" t="s">
        <v>3058</v>
      </c>
      <c r="Q281" t="s">
        <v>3295</v>
      </c>
      <c r="R281" t="s">
        <v>1280</v>
      </c>
      <c r="S281" t="s">
        <v>1510</v>
      </c>
      <c r="T281">
        <v>54</v>
      </c>
      <c r="U281">
        <f>IF(Table__192.168.1.150_M_CONSOLIDATED_Delinquency_Compulsory_EOM[[#This Row],[Days in Arrears]] &lt; 8, Table__192.168.1.150_M_CONSOLIDATED_Delinquency_Compulsory_EOM[[#This Row],[Outstanding Balance]], 0 )</f>
        <v>0</v>
      </c>
      <c r="V2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226805.78</v>
      </c>
      <c r="X2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1" s="105" t="str">
        <f>VLOOKUP(Table__192.168.1.150_M_CONSOLIDATED_Delinquency_Compulsory_EOM[[#This Row],[Client No]],'Global Portfolio'!$B$2:$N$2500,10,FALSE)</f>
        <v>Real Estate and Rental</v>
      </c>
      <c r="AA281" s="105" t="str">
        <f>VLOOKUP(Table__192.168.1.150_M_CONSOLIDATED_Delinquency_Compulsory_EOM[[#This Row],[Client No]],'Global Portfolio'!$B$2:$N$2500,11,FALSE)</f>
        <v>Rental</v>
      </c>
      <c r="AB281" s="105" t="str">
        <f>VLOOKUP(Table__192.168.1.150_M_CONSOLIDATED_Delinquency_Compulsory_EOM[[#This Row],[Client No]],'Global Portfolio'!$B$2:$N$2500,12,FALSE)</f>
        <v>Others</v>
      </c>
    </row>
    <row r="282" spans="1:28" x14ac:dyDescent="0.25">
      <c r="A282">
        <v>102845</v>
      </c>
      <c r="B282" t="s">
        <v>3049</v>
      </c>
      <c r="C282" t="s">
        <v>3062</v>
      </c>
      <c r="D282" t="s">
        <v>1284</v>
      </c>
      <c r="E282">
        <v>-2</v>
      </c>
      <c r="F282">
        <v>12000000</v>
      </c>
      <c r="G282">
        <v>9465690.0199999996</v>
      </c>
      <c r="H282">
        <v>579184.14</v>
      </c>
      <c r="I282" t="s">
        <v>491</v>
      </c>
      <c r="J282">
        <v>13243.86</v>
      </c>
      <c r="K282">
        <v>600000</v>
      </c>
      <c r="L282">
        <v>283970.7</v>
      </c>
      <c r="M282">
        <v>13900419.26</v>
      </c>
      <c r="N282" s="143">
        <v>42643.508438425924</v>
      </c>
      <c r="O282" s="143">
        <v>43741</v>
      </c>
      <c r="P282" t="s">
        <v>3063</v>
      </c>
      <c r="Q282" t="s">
        <v>1280</v>
      </c>
      <c r="R282" t="s">
        <v>1280</v>
      </c>
      <c r="S282" t="s">
        <v>1510</v>
      </c>
      <c r="T282">
        <v>40</v>
      </c>
      <c r="U282">
        <f>IF(Table__192.168.1.150_M_CONSOLIDATED_Delinquency_Compulsory_EOM[[#This Row],[Days in Arrears]] &lt; 8, Table__192.168.1.150_M_CONSOLIDATED_Delinquency_Compulsory_EOM[[#This Row],[Outstanding Balance]], 0 )</f>
        <v>9465690.0199999996</v>
      </c>
      <c r="V2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2" s="105" t="str">
        <f>VLOOKUP(Table__192.168.1.150_M_CONSOLIDATED_Delinquency_Compulsory_EOM[[#This Row],[Client No]],'Global Portfolio'!$B$2:$N$2500,10,FALSE)</f>
        <v>Real Estate and Rental</v>
      </c>
      <c r="AA282" s="105" t="str">
        <f>VLOOKUP(Table__192.168.1.150_M_CONSOLIDATED_Delinquency_Compulsory_EOM[[#This Row],[Client No]],'Global Portfolio'!$B$2:$N$2500,11,FALSE)</f>
        <v>Rental</v>
      </c>
      <c r="AB282" s="105" t="str">
        <f>VLOOKUP(Table__192.168.1.150_M_CONSOLIDATED_Delinquency_Compulsory_EOM[[#This Row],[Client No]],'Global Portfolio'!$B$2:$N$2500,12,FALSE)</f>
        <v>General Rental Centers</v>
      </c>
    </row>
    <row r="283" spans="1:28" x14ac:dyDescent="0.25">
      <c r="A283">
        <v>102848</v>
      </c>
      <c r="B283" t="s">
        <v>185</v>
      </c>
      <c r="C283" t="s">
        <v>186</v>
      </c>
      <c r="D283" t="s">
        <v>1283</v>
      </c>
      <c r="E283">
        <v>-4</v>
      </c>
      <c r="F283">
        <v>65000000</v>
      </c>
      <c r="G283">
        <v>38204283.869999997</v>
      </c>
      <c r="H283">
        <v>3838082.04</v>
      </c>
      <c r="I283" t="s">
        <v>963</v>
      </c>
      <c r="J283">
        <v>0</v>
      </c>
      <c r="K283">
        <v>0</v>
      </c>
      <c r="L283">
        <v>955107.1</v>
      </c>
      <c r="M283">
        <v>46056984.359999999</v>
      </c>
      <c r="N283" s="143">
        <v>42648.49790667824</v>
      </c>
      <c r="O283" s="143">
        <v>43378</v>
      </c>
      <c r="P283" t="s">
        <v>187</v>
      </c>
      <c r="Q283" t="s">
        <v>1280</v>
      </c>
      <c r="R283" t="s">
        <v>188</v>
      </c>
      <c r="S283" t="s">
        <v>1510</v>
      </c>
      <c r="T283">
        <v>36</v>
      </c>
      <c r="U283">
        <f>IF(Table__192.168.1.150_M_CONSOLIDATED_Delinquency_Compulsory_EOM[[#This Row],[Days in Arrears]] &lt; 8, Table__192.168.1.150_M_CONSOLIDATED_Delinquency_Compulsory_EOM[[#This Row],[Outstanding Balance]], 0 )</f>
        <v>38204283.869999997</v>
      </c>
      <c r="V2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3" s="105" t="str">
        <f>VLOOKUP(Table__192.168.1.150_M_CONSOLIDATED_Delinquency_Compulsory_EOM[[#This Row],[Client No]],'Global Portfolio'!$B$2:$N$2500,10,FALSE)</f>
        <v>Wholesale Trade</v>
      </c>
      <c r="AA283" s="105" t="str">
        <f>VLOOKUP(Table__192.168.1.150_M_CONSOLIDATED_Delinquency_Compulsory_EOM[[#This Row],[Client No]],'Global Portfolio'!$B$2:$N$2500,11,FALSE)</f>
        <v>Nondurable Goods</v>
      </c>
      <c r="AB283" s="105" t="str">
        <f>VLOOKUP(Table__192.168.1.150_M_CONSOLIDATED_Delinquency_Compulsory_EOM[[#This Row],[Client No]],'Global Portfolio'!$B$2:$N$2500,12,FALSE)</f>
        <v>Others</v>
      </c>
    </row>
    <row r="284" spans="1:28" x14ac:dyDescent="0.25">
      <c r="A284">
        <v>102849</v>
      </c>
      <c r="B284" t="s">
        <v>3103</v>
      </c>
      <c r="C284" t="s">
        <v>3104</v>
      </c>
      <c r="D284" t="s">
        <v>1284</v>
      </c>
      <c r="E284">
        <v>-6</v>
      </c>
      <c r="F284">
        <v>42000000</v>
      </c>
      <c r="G284">
        <v>25079025.140000001</v>
      </c>
      <c r="H284">
        <v>2569884.89</v>
      </c>
      <c r="I284" t="s">
        <v>2494</v>
      </c>
      <c r="J284">
        <v>211815.63</v>
      </c>
      <c r="K284">
        <v>0</v>
      </c>
      <c r="L284">
        <v>640908.42000000004</v>
      </c>
      <c r="M284">
        <v>30838618.739999998</v>
      </c>
      <c r="N284" s="143">
        <v>42650.479875925928</v>
      </c>
      <c r="O284" s="143">
        <v>43380</v>
      </c>
      <c r="P284" t="s">
        <v>3105</v>
      </c>
      <c r="Q284" t="s">
        <v>3106</v>
      </c>
      <c r="R284" t="s">
        <v>1280</v>
      </c>
      <c r="S284" t="s">
        <v>1510</v>
      </c>
      <c r="T284">
        <v>40</v>
      </c>
      <c r="U284">
        <f>IF(Table__192.168.1.150_M_CONSOLIDATED_Delinquency_Compulsory_EOM[[#This Row],[Days in Arrears]] &lt; 8, Table__192.168.1.150_M_CONSOLIDATED_Delinquency_Compulsory_EOM[[#This Row],[Outstanding Balance]], 0 )</f>
        <v>25079025.140000001</v>
      </c>
      <c r="V2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4" s="105" t="str">
        <f>VLOOKUP(Table__192.168.1.150_M_CONSOLIDATED_Delinquency_Compulsory_EOM[[#This Row],[Client No]],'Global Portfolio'!$B$2:$N$2500,10,FALSE)</f>
        <v>Manufacturing</v>
      </c>
      <c r="AA284" s="105" t="str">
        <f>VLOOKUP(Table__192.168.1.150_M_CONSOLIDATED_Delinquency_Compulsory_EOM[[#This Row],[Client No]],'Global Portfolio'!$B$2:$N$2500,11,FALSE)</f>
        <v>Fabricated Metal Product Manufacturing</v>
      </c>
      <c r="AB284" s="105" t="str">
        <f>VLOOKUP(Table__192.168.1.150_M_CONSOLIDATED_Delinquency_Compulsory_EOM[[#This Row],[Client No]],'Global Portfolio'!$B$2:$N$2500,12,FALSE)</f>
        <v>Others</v>
      </c>
    </row>
    <row r="285" spans="1:28" x14ac:dyDescent="0.25">
      <c r="A285">
        <v>102850</v>
      </c>
      <c r="B285" t="s">
        <v>3102</v>
      </c>
      <c r="C285" t="s">
        <v>3107</v>
      </c>
      <c r="D285" t="s">
        <v>1282</v>
      </c>
      <c r="E285">
        <v>-6</v>
      </c>
      <c r="F285">
        <v>12000000</v>
      </c>
      <c r="G285">
        <v>3071598.41</v>
      </c>
      <c r="H285">
        <v>1117365.7</v>
      </c>
      <c r="I285" t="s">
        <v>2494</v>
      </c>
      <c r="J285">
        <v>89921.89</v>
      </c>
      <c r="K285">
        <v>1200000</v>
      </c>
      <c r="L285">
        <v>105970.15</v>
      </c>
      <c r="M285">
        <v>3352097.02</v>
      </c>
      <c r="N285" s="143">
        <v>42650.610318055558</v>
      </c>
      <c r="O285" s="143">
        <v>43107</v>
      </c>
      <c r="P285" t="s">
        <v>3108</v>
      </c>
      <c r="Q285" t="s">
        <v>3109</v>
      </c>
      <c r="R285" t="s">
        <v>1280</v>
      </c>
      <c r="S285" t="s">
        <v>1510</v>
      </c>
      <c r="T285">
        <v>54</v>
      </c>
      <c r="U285">
        <f>IF(Table__192.168.1.150_M_CONSOLIDATED_Delinquency_Compulsory_EOM[[#This Row],[Days in Arrears]] &lt; 8, Table__192.168.1.150_M_CONSOLIDATED_Delinquency_Compulsory_EOM[[#This Row],[Outstanding Balance]], 0 )</f>
        <v>3071598.41</v>
      </c>
      <c r="V2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5" s="105" t="str">
        <f>VLOOKUP(Table__192.168.1.150_M_CONSOLIDATED_Delinquency_Compulsory_EOM[[#This Row],[Client No]],'Global Portfolio'!$B$2:$N$2500,10,FALSE)</f>
        <v>Real Estate and Rental</v>
      </c>
      <c r="AA285" s="105" t="str">
        <f>VLOOKUP(Table__192.168.1.150_M_CONSOLIDATED_Delinquency_Compulsory_EOM[[#This Row],[Client No]],'Global Portfolio'!$B$2:$N$2500,11,FALSE)</f>
        <v>Rental</v>
      </c>
      <c r="AB285" s="105" t="str">
        <f>VLOOKUP(Table__192.168.1.150_M_CONSOLIDATED_Delinquency_Compulsory_EOM[[#This Row],[Client No]],'Global Portfolio'!$B$2:$N$2500,12,FALSE)</f>
        <v>General Rental Centers</v>
      </c>
    </row>
    <row r="286" spans="1:28" x14ac:dyDescent="0.25">
      <c r="A286">
        <v>102852</v>
      </c>
      <c r="B286" t="s">
        <v>1410</v>
      </c>
      <c r="C286" t="s">
        <v>2841</v>
      </c>
      <c r="D286" t="s">
        <v>1285</v>
      </c>
      <c r="E286">
        <v>-19</v>
      </c>
      <c r="F286">
        <v>4500000</v>
      </c>
      <c r="G286">
        <v>2542420</v>
      </c>
      <c r="H286">
        <v>241642.28</v>
      </c>
      <c r="I286" t="s">
        <v>284</v>
      </c>
      <c r="J286">
        <v>3336.42</v>
      </c>
      <c r="K286">
        <v>0</v>
      </c>
      <c r="L286">
        <v>17655.689999999999</v>
      </c>
      <c r="M286">
        <v>2899707.41</v>
      </c>
      <c r="N286" s="143">
        <v>42654.569900925926</v>
      </c>
      <c r="O286" s="143">
        <v>43393</v>
      </c>
      <c r="P286" t="s">
        <v>2842</v>
      </c>
      <c r="Q286" t="s">
        <v>1280</v>
      </c>
      <c r="R286" t="s">
        <v>1280</v>
      </c>
      <c r="S286" t="s">
        <v>1510</v>
      </c>
      <c r="T286">
        <v>25</v>
      </c>
      <c r="U286">
        <f>IF(Table__192.168.1.150_M_CONSOLIDATED_Delinquency_Compulsory_EOM[[#This Row],[Days in Arrears]] &lt; 8, Table__192.168.1.150_M_CONSOLIDATED_Delinquency_Compulsory_EOM[[#This Row],[Outstanding Balance]], 0 )</f>
        <v>2542420</v>
      </c>
      <c r="V2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6" s="105" t="str">
        <f>VLOOKUP(Table__192.168.1.150_M_CONSOLIDATED_Delinquency_Compulsory_EOM[[#This Row],[Client No]],'Global Portfolio'!$B$2:$N$2500,10,FALSE)</f>
        <v>Finance and Insurance</v>
      </c>
      <c r="AA286" s="105" t="str">
        <f>VLOOKUP(Table__192.168.1.150_M_CONSOLIDATED_Delinquency_Compulsory_EOM[[#This Row],[Client No]],'Global Portfolio'!$B$2:$N$2500,11,FALSE)</f>
        <v>Finance</v>
      </c>
      <c r="AB286" s="105" t="str">
        <f>VLOOKUP(Table__192.168.1.150_M_CONSOLIDATED_Delinquency_Compulsory_EOM[[#This Row],[Client No]],'Global Portfolio'!$B$2:$N$2500,12,FALSE)</f>
        <v>Microfinance Institutions</v>
      </c>
    </row>
    <row r="287" spans="1:28" x14ac:dyDescent="0.25">
      <c r="A287">
        <v>102854</v>
      </c>
      <c r="B287" t="s">
        <v>926</v>
      </c>
      <c r="C287" t="s">
        <v>942</v>
      </c>
      <c r="D287" t="s">
        <v>1283</v>
      </c>
      <c r="E287">
        <v>19</v>
      </c>
      <c r="F287">
        <v>65000000</v>
      </c>
      <c r="G287">
        <v>51843235.170000002</v>
      </c>
      <c r="H287">
        <v>2977246.62</v>
      </c>
      <c r="I287" t="s">
        <v>90</v>
      </c>
      <c r="J287">
        <v>0</v>
      </c>
      <c r="K287">
        <v>0</v>
      </c>
      <c r="L287">
        <v>1974620.06</v>
      </c>
      <c r="M287">
        <v>73942905.519999996</v>
      </c>
      <c r="N287" s="143">
        <v>42655.686754247683</v>
      </c>
      <c r="O287" s="143">
        <v>43750</v>
      </c>
      <c r="P287" t="s">
        <v>943</v>
      </c>
      <c r="Q287" t="s">
        <v>1280</v>
      </c>
      <c r="R287" t="s">
        <v>1280</v>
      </c>
      <c r="S287" t="s">
        <v>1510</v>
      </c>
      <c r="T287">
        <v>36</v>
      </c>
      <c r="U287">
        <f>IF(Table__192.168.1.150_M_CONSOLIDATED_Delinquency_Compulsory_EOM[[#This Row],[Days in Arrears]] &lt; 8, Table__192.168.1.150_M_CONSOLIDATED_Delinquency_Compulsory_EOM[[#This Row],[Outstanding Balance]], 0 )</f>
        <v>0</v>
      </c>
      <c r="V2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51843235.170000002</v>
      </c>
      <c r="W2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7" s="105" t="str">
        <f>VLOOKUP(Table__192.168.1.150_M_CONSOLIDATED_Delinquency_Compulsory_EOM[[#This Row],[Client No]],'Global Portfolio'!$B$2:$N$2500,10,FALSE)</f>
        <v>Manufacturing</v>
      </c>
      <c r="AA287" s="105" t="str">
        <f>VLOOKUP(Table__192.168.1.150_M_CONSOLIDATED_Delinquency_Compulsory_EOM[[#This Row],[Client No]],'Global Portfolio'!$B$2:$N$2500,11,FALSE)</f>
        <v>Others</v>
      </c>
      <c r="AB287" s="105" t="str">
        <f>VLOOKUP(Table__192.168.1.150_M_CONSOLIDATED_Delinquency_Compulsory_EOM[[#This Row],[Client No]],'Global Portfolio'!$B$2:$N$2500,12,FALSE)</f>
        <v>Others</v>
      </c>
    </row>
    <row r="288" spans="1:28" x14ac:dyDescent="0.25">
      <c r="A288">
        <v>102856</v>
      </c>
      <c r="B288" t="s">
        <v>974</v>
      </c>
      <c r="C288" t="s">
        <v>979</v>
      </c>
      <c r="D288" t="s">
        <v>1282</v>
      </c>
      <c r="E288">
        <v>76</v>
      </c>
      <c r="F288">
        <v>13000000</v>
      </c>
      <c r="G288">
        <v>9479857.4000000004</v>
      </c>
      <c r="H288">
        <v>852628.81</v>
      </c>
      <c r="I288" t="s">
        <v>2538</v>
      </c>
      <c r="J288">
        <v>0</v>
      </c>
      <c r="K288">
        <v>0</v>
      </c>
      <c r="L288">
        <v>714099.79</v>
      </c>
      <c r="M288">
        <v>12776089.220000001</v>
      </c>
      <c r="N288" s="143">
        <v>42658.427251504632</v>
      </c>
      <c r="O288" s="143">
        <v>43388</v>
      </c>
      <c r="P288" t="s">
        <v>980</v>
      </c>
      <c r="Q288" t="s">
        <v>981</v>
      </c>
      <c r="R288" t="s">
        <v>1280</v>
      </c>
      <c r="S288" t="s">
        <v>1510</v>
      </c>
      <c r="T288">
        <v>48</v>
      </c>
      <c r="U288">
        <f>IF(Table__192.168.1.150_M_CONSOLIDATED_Delinquency_Compulsory_EOM[[#This Row],[Days in Arrears]] &lt; 8, Table__192.168.1.150_M_CONSOLIDATED_Delinquency_Compulsory_EOM[[#This Row],[Outstanding Balance]], 0 )</f>
        <v>0</v>
      </c>
      <c r="V2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9479857.4000000004</v>
      </c>
      <c r="Y2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8" s="105" t="str">
        <f>VLOOKUP(Table__192.168.1.150_M_CONSOLIDATED_Delinquency_Compulsory_EOM[[#This Row],[Client No]],'Global Portfolio'!$B$2:$N$2500,10,FALSE)</f>
        <v>Real Estate and Rental</v>
      </c>
      <c r="AA288" s="105" t="str">
        <f>VLOOKUP(Table__192.168.1.150_M_CONSOLIDATED_Delinquency_Compulsory_EOM[[#This Row],[Client No]],'Global Portfolio'!$B$2:$N$2500,11,FALSE)</f>
        <v>Real Estate</v>
      </c>
      <c r="AB288" s="105" t="str">
        <f>VLOOKUP(Table__192.168.1.150_M_CONSOLIDATED_Delinquency_Compulsory_EOM[[#This Row],[Client No]],'Global Portfolio'!$B$2:$N$2500,12,FALSE)</f>
        <v>Others</v>
      </c>
    </row>
    <row r="289" spans="1:28" x14ac:dyDescent="0.25">
      <c r="A289">
        <v>102860</v>
      </c>
      <c r="B289" t="s">
        <v>1332</v>
      </c>
      <c r="C289" t="s">
        <v>1333</v>
      </c>
      <c r="D289" t="s">
        <v>1284</v>
      </c>
      <c r="E289">
        <v>11</v>
      </c>
      <c r="F289">
        <v>45000000</v>
      </c>
      <c r="G289">
        <v>14011588.01</v>
      </c>
      <c r="H289">
        <v>3769496.12</v>
      </c>
      <c r="I289" t="s">
        <v>1039</v>
      </c>
      <c r="J289">
        <v>0</v>
      </c>
      <c r="K289">
        <v>0</v>
      </c>
      <c r="L289">
        <v>464459.51</v>
      </c>
      <c r="M289">
        <v>15015471.960000001</v>
      </c>
      <c r="N289" s="143">
        <v>42663.545598645833</v>
      </c>
      <c r="O289" s="143">
        <v>43120</v>
      </c>
      <c r="P289" t="s">
        <v>1334</v>
      </c>
      <c r="Q289" t="s">
        <v>1280</v>
      </c>
      <c r="R289" t="s">
        <v>1280</v>
      </c>
      <c r="S289" t="s">
        <v>1510</v>
      </c>
      <c r="T289">
        <v>36</v>
      </c>
      <c r="U289">
        <f>IF(Table__192.168.1.150_M_CONSOLIDATED_Delinquency_Compulsory_EOM[[#This Row],[Days in Arrears]] &lt; 8, Table__192.168.1.150_M_CONSOLIDATED_Delinquency_Compulsory_EOM[[#This Row],[Outstanding Balance]], 0 )</f>
        <v>0</v>
      </c>
      <c r="V2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14011588.01</v>
      </c>
      <c r="W2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89" s="105" t="str">
        <f>VLOOKUP(Table__192.168.1.150_M_CONSOLIDATED_Delinquency_Compulsory_EOM[[#This Row],[Client No]],'Global Portfolio'!$B$2:$N$2500,10,FALSE)</f>
        <v>Retail</v>
      </c>
      <c r="AA289" s="105" t="str">
        <f>VLOOKUP(Table__192.168.1.150_M_CONSOLIDATED_Delinquency_Compulsory_EOM[[#This Row],[Client No]],'Global Portfolio'!$B$2:$N$2500,11,FALSE)</f>
        <v>Others</v>
      </c>
      <c r="AB289" s="105" t="str">
        <f>VLOOKUP(Table__192.168.1.150_M_CONSOLIDATED_Delinquency_Compulsory_EOM[[#This Row],[Client No]],'Global Portfolio'!$B$2:$N$2500,12,FALSE)</f>
        <v>Others</v>
      </c>
    </row>
    <row r="290" spans="1:28" x14ac:dyDescent="0.25">
      <c r="A290">
        <v>102861</v>
      </c>
      <c r="B290" t="s">
        <v>3160</v>
      </c>
      <c r="C290" t="s">
        <v>3162</v>
      </c>
      <c r="D290" t="s">
        <v>1284</v>
      </c>
      <c r="E290">
        <v>-19</v>
      </c>
      <c r="F290">
        <v>20000000</v>
      </c>
      <c r="G290">
        <v>11942392.939999999</v>
      </c>
      <c r="H290">
        <v>1223754.71</v>
      </c>
      <c r="I290" t="s">
        <v>2175</v>
      </c>
      <c r="J290">
        <v>0</v>
      </c>
      <c r="K290">
        <v>1000000</v>
      </c>
      <c r="L290">
        <v>132693.25</v>
      </c>
      <c r="M290">
        <v>14685056.560000001</v>
      </c>
      <c r="N290" s="143">
        <v>42663.599580520837</v>
      </c>
      <c r="O290" s="143">
        <v>43393</v>
      </c>
      <c r="P290" t="s">
        <v>3163</v>
      </c>
      <c r="Q290" t="s">
        <v>3164</v>
      </c>
      <c r="R290" t="s">
        <v>1280</v>
      </c>
      <c r="S290" t="s">
        <v>1510</v>
      </c>
      <c r="T290">
        <v>40</v>
      </c>
      <c r="U290">
        <f>IF(Table__192.168.1.150_M_CONSOLIDATED_Delinquency_Compulsory_EOM[[#This Row],[Days in Arrears]] &lt; 8, Table__192.168.1.150_M_CONSOLIDATED_Delinquency_Compulsory_EOM[[#This Row],[Outstanding Balance]], 0 )</f>
        <v>11942392.939999999</v>
      </c>
      <c r="V2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0" s="105" t="str">
        <f>VLOOKUP(Table__192.168.1.150_M_CONSOLIDATED_Delinquency_Compulsory_EOM[[#This Row],[Client No]],'Global Portfolio'!$B$2:$N$2500,10,FALSE)</f>
        <v>Transportation and Warehousing</v>
      </c>
      <c r="AA290" s="105" t="str">
        <f>VLOOKUP(Table__192.168.1.150_M_CONSOLIDATED_Delinquency_Compulsory_EOM[[#This Row],[Client No]],'Global Portfolio'!$B$2:$N$2500,11,FALSE)</f>
        <v>Others</v>
      </c>
      <c r="AB290" s="105" t="str">
        <f>VLOOKUP(Table__192.168.1.150_M_CONSOLIDATED_Delinquency_Compulsory_EOM[[#This Row],[Client No]],'Global Portfolio'!$B$2:$N$2500,12,FALSE)</f>
        <v>Others</v>
      </c>
    </row>
    <row r="291" spans="1:28" x14ac:dyDescent="0.25">
      <c r="A291">
        <v>102866</v>
      </c>
      <c r="B291" t="s">
        <v>181</v>
      </c>
      <c r="C291" t="s">
        <v>182</v>
      </c>
      <c r="D291" t="s">
        <v>1284</v>
      </c>
      <c r="E291">
        <v>-20</v>
      </c>
      <c r="F291">
        <v>15500000</v>
      </c>
      <c r="G291">
        <v>12023537.32</v>
      </c>
      <c r="H291">
        <v>709958.81</v>
      </c>
      <c r="I291" t="s">
        <v>1448</v>
      </c>
      <c r="J291">
        <v>0</v>
      </c>
      <c r="K291">
        <v>775000</v>
      </c>
      <c r="L291">
        <v>108211.84</v>
      </c>
      <c r="M291">
        <v>17039011.420000002</v>
      </c>
      <c r="N291" s="143">
        <v>42664.717809062502</v>
      </c>
      <c r="O291" s="143">
        <v>43759</v>
      </c>
      <c r="P291" t="s">
        <v>183</v>
      </c>
      <c r="Q291" t="s">
        <v>184</v>
      </c>
      <c r="R291" t="s">
        <v>1280</v>
      </c>
      <c r="S291" t="s">
        <v>1510</v>
      </c>
      <c r="T291">
        <v>36</v>
      </c>
      <c r="U291">
        <f>IF(Table__192.168.1.150_M_CONSOLIDATED_Delinquency_Compulsory_EOM[[#This Row],[Days in Arrears]] &lt; 8, Table__192.168.1.150_M_CONSOLIDATED_Delinquency_Compulsory_EOM[[#This Row],[Outstanding Balance]], 0 )</f>
        <v>12023537.32</v>
      </c>
      <c r="V2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1" s="105" t="str">
        <f>VLOOKUP(Table__192.168.1.150_M_CONSOLIDATED_Delinquency_Compulsory_EOM[[#This Row],[Client No]],'Global Portfolio'!$B$2:$N$2500,10,FALSE)</f>
        <v>Real Estate and Rental</v>
      </c>
      <c r="AA291" s="105" t="str">
        <f>VLOOKUP(Table__192.168.1.150_M_CONSOLIDATED_Delinquency_Compulsory_EOM[[#This Row],[Client No]],'Global Portfolio'!$B$2:$N$2500,11,FALSE)</f>
        <v>Rental</v>
      </c>
      <c r="AB291" s="105" t="str">
        <f>VLOOKUP(Table__192.168.1.150_M_CONSOLIDATED_Delinquency_Compulsory_EOM[[#This Row],[Client No]],'Global Portfolio'!$B$2:$N$2500,12,FALSE)</f>
        <v>General Rental Centers</v>
      </c>
    </row>
    <row r="292" spans="1:28" x14ac:dyDescent="0.25">
      <c r="A292">
        <v>102871</v>
      </c>
      <c r="B292" t="s">
        <v>1056</v>
      </c>
      <c r="C292" t="s">
        <v>1057</v>
      </c>
      <c r="D292" t="s">
        <v>1283</v>
      </c>
      <c r="E292">
        <v>-3</v>
      </c>
      <c r="F292">
        <v>46730398</v>
      </c>
      <c r="G292">
        <v>41393625.719999999</v>
      </c>
      <c r="H292">
        <v>1867441.29</v>
      </c>
      <c r="I292" t="s">
        <v>546</v>
      </c>
      <c r="J292">
        <v>0</v>
      </c>
      <c r="K292">
        <v>0</v>
      </c>
      <c r="L292">
        <v>1076234.27</v>
      </c>
      <c r="M292">
        <v>69088207.930000007</v>
      </c>
      <c r="N292" s="143">
        <v>42667.551442280092</v>
      </c>
      <c r="O292" s="143">
        <v>44139</v>
      </c>
      <c r="P292" t="s">
        <v>1058</v>
      </c>
      <c r="Q292" t="s">
        <v>1059</v>
      </c>
      <c r="R292" t="s">
        <v>1280</v>
      </c>
      <c r="S292" t="s">
        <v>1510</v>
      </c>
      <c r="T292">
        <v>36</v>
      </c>
      <c r="U292">
        <f>IF(Table__192.168.1.150_M_CONSOLIDATED_Delinquency_Compulsory_EOM[[#This Row],[Days in Arrears]] &lt; 8, Table__192.168.1.150_M_CONSOLIDATED_Delinquency_Compulsory_EOM[[#This Row],[Outstanding Balance]], 0 )</f>
        <v>41393625.719999999</v>
      </c>
      <c r="V2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2" s="105" t="str">
        <f>VLOOKUP(Table__192.168.1.150_M_CONSOLIDATED_Delinquency_Compulsory_EOM[[#This Row],[Client No]],'Global Portfolio'!$B$2:$N$2500,10,FALSE)</f>
        <v>Retail</v>
      </c>
      <c r="AA292" s="105" t="str">
        <f>VLOOKUP(Table__192.168.1.150_M_CONSOLIDATED_Delinquency_Compulsory_EOM[[#This Row],[Client No]],'Global Portfolio'!$B$2:$N$2500,11,FALSE)</f>
        <v>General Merchandise Stores</v>
      </c>
      <c r="AB292" s="105" t="str">
        <f>VLOOKUP(Table__192.168.1.150_M_CONSOLIDATED_Delinquency_Compulsory_EOM[[#This Row],[Client No]],'Global Portfolio'!$B$2:$N$2500,12,FALSE)</f>
        <v>Others</v>
      </c>
    </row>
    <row r="293" spans="1:28" x14ac:dyDescent="0.25">
      <c r="A293">
        <v>102872</v>
      </c>
      <c r="B293" t="s">
        <v>2307</v>
      </c>
      <c r="C293" t="s">
        <v>2313</v>
      </c>
      <c r="D293" t="s">
        <v>1283</v>
      </c>
      <c r="E293">
        <v>27</v>
      </c>
      <c r="F293">
        <v>39962140</v>
      </c>
      <c r="G293">
        <v>33407924.48</v>
      </c>
      <c r="H293">
        <v>1941190.24</v>
      </c>
      <c r="I293" t="s">
        <v>90</v>
      </c>
      <c r="J293">
        <v>1244.96</v>
      </c>
      <c r="K293">
        <v>0</v>
      </c>
      <c r="L293">
        <v>2054807.06</v>
      </c>
      <c r="M293">
        <v>50223301.07</v>
      </c>
      <c r="N293" s="143">
        <v>42668.394561689813</v>
      </c>
      <c r="O293" s="143">
        <v>43773</v>
      </c>
      <c r="P293" t="s">
        <v>2314</v>
      </c>
      <c r="Q293" t="s">
        <v>1280</v>
      </c>
      <c r="R293" t="s">
        <v>1280</v>
      </c>
      <c r="S293" t="s">
        <v>1510</v>
      </c>
      <c r="T293">
        <v>40</v>
      </c>
      <c r="U293">
        <f>IF(Table__192.168.1.150_M_CONSOLIDATED_Delinquency_Compulsory_EOM[[#This Row],[Days in Arrears]] &lt; 8, Table__192.168.1.150_M_CONSOLIDATED_Delinquency_Compulsory_EOM[[#This Row],[Outstanding Balance]], 0 )</f>
        <v>0</v>
      </c>
      <c r="V2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33407924.48</v>
      </c>
      <c r="W2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3" s="105" t="str">
        <f>VLOOKUP(Table__192.168.1.150_M_CONSOLIDATED_Delinquency_Compulsory_EOM[[#This Row],[Client No]],'Global Portfolio'!$B$2:$N$2500,10,FALSE)</f>
        <v>Transportation and Warehousing</v>
      </c>
      <c r="AA293" s="105" t="str">
        <f>VLOOKUP(Table__192.168.1.150_M_CONSOLIDATED_Delinquency_Compulsory_EOM[[#This Row],[Client No]],'Global Portfolio'!$B$2:$N$2500,11,FALSE)</f>
        <v>Truck Transportation</v>
      </c>
      <c r="AB293" s="105" t="str">
        <f>VLOOKUP(Table__192.168.1.150_M_CONSOLIDATED_Delinquency_Compulsory_EOM[[#This Row],[Client No]],'Global Portfolio'!$B$2:$N$2500,12,FALSE)</f>
        <v>General Freight Trucking, Local</v>
      </c>
    </row>
    <row r="294" spans="1:28" x14ac:dyDescent="0.25">
      <c r="A294">
        <v>102874</v>
      </c>
      <c r="B294" t="s">
        <v>200</v>
      </c>
      <c r="C294" t="s">
        <v>201</v>
      </c>
      <c r="D294" t="s">
        <v>1281</v>
      </c>
      <c r="E294">
        <v>-24</v>
      </c>
      <c r="F294">
        <v>15500000</v>
      </c>
      <c r="G294">
        <v>9327329.2699999996</v>
      </c>
      <c r="H294">
        <v>965228.87</v>
      </c>
      <c r="I294" t="s">
        <v>1925</v>
      </c>
      <c r="J294">
        <v>381646.08000000002</v>
      </c>
      <c r="K294">
        <v>0</v>
      </c>
      <c r="L294">
        <v>54409.42</v>
      </c>
      <c r="M294">
        <v>11582746.4</v>
      </c>
      <c r="N294" s="143">
        <v>42668.520148530093</v>
      </c>
      <c r="O294" s="143">
        <v>43398</v>
      </c>
      <c r="P294" t="s">
        <v>202</v>
      </c>
      <c r="Q294" t="s">
        <v>1280</v>
      </c>
      <c r="R294" t="s">
        <v>1280</v>
      </c>
      <c r="S294" t="s">
        <v>1510</v>
      </c>
      <c r="T294">
        <v>42</v>
      </c>
      <c r="U294">
        <f>IF(Table__192.168.1.150_M_CONSOLIDATED_Delinquency_Compulsory_EOM[[#This Row],[Days in Arrears]] &lt; 8, Table__192.168.1.150_M_CONSOLIDATED_Delinquency_Compulsory_EOM[[#This Row],[Outstanding Balance]], 0 )</f>
        <v>9327329.2699999996</v>
      </c>
      <c r="V2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4" s="105" t="str">
        <f>VLOOKUP(Table__192.168.1.150_M_CONSOLIDATED_Delinquency_Compulsory_EOM[[#This Row],[Client No]],'Global Portfolio'!$B$2:$N$2500,10,FALSE)</f>
        <v>Retail</v>
      </c>
      <c r="AA294" s="105" t="str">
        <f>VLOOKUP(Table__192.168.1.150_M_CONSOLIDATED_Delinquency_Compulsory_EOM[[#This Row],[Client No]],'Global Portfolio'!$B$2:$N$2500,11,FALSE)</f>
        <v>Others</v>
      </c>
      <c r="AB294" s="105" t="str">
        <f>VLOOKUP(Table__192.168.1.150_M_CONSOLIDATED_Delinquency_Compulsory_EOM[[#This Row],[Client No]],'Global Portfolio'!$B$2:$N$2500,12,FALSE)</f>
        <v>Others</v>
      </c>
    </row>
    <row r="295" spans="1:28" x14ac:dyDescent="0.25">
      <c r="A295">
        <v>102875</v>
      </c>
      <c r="B295" t="s">
        <v>1082</v>
      </c>
      <c r="C295" t="s">
        <v>1083</v>
      </c>
      <c r="D295" t="s">
        <v>1281</v>
      </c>
      <c r="E295">
        <v>-1</v>
      </c>
      <c r="F295">
        <v>16000000</v>
      </c>
      <c r="G295">
        <v>1612374.7</v>
      </c>
      <c r="H295">
        <v>1668807.83</v>
      </c>
      <c r="I295" t="s">
        <v>90</v>
      </c>
      <c r="J295">
        <v>539952.17000000004</v>
      </c>
      <c r="K295">
        <v>1200000</v>
      </c>
      <c r="L295">
        <v>52670.91</v>
      </c>
      <c r="M295">
        <v>1668807.81</v>
      </c>
      <c r="N295" s="143">
        <v>42668.643257835647</v>
      </c>
      <c r="O295" s="143">
        <v>43041</v>
      </c>
      <c r="P295" t="s">
        <v>1084</v>
      </c>
      <c r="Q295" t="s">
        <v>1085</v>
      </c>
      <c r="R295" t="s">
        <v>1280</v>
      </c>
      <c r="S295" t="s">
        <v>1510</v>
      </c>
      <c r="T295">
        <v>42</v>
      </c>
      <c r="U295">
        <f>IF(Table__192.168.1.150_M_CONSOLIDATED_Delinquency_Compulsory_EOM[[#This Row],[Days in Arrears]] &lt; 8, Table__192.168.1.150_M_CONSOLIDATED_Delinquency_Compulsory_EOM[[#This Row],[Outstanding Balance]], 0 )</f>
        <v>1612374.7</v>
      </c>
      <c r="V2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5" s="105" t="e">
        <f>VLOOKUP(Table__192.168.1.150_M_CONSOLIDATED_Delinquency_Compulsory_EOM[[#This Row],[Client No]],'Global Portfolio'!$B$2:$N$2500,10,FALSE)</f>
        <v>#N/A</v>
      </c>
      <c r="AA295" s="105" t="e">
        <f>VLOOKUP(Table__192.168.1.150_M_CONSOLIDATED_Delinquency_Compulsory_EOM[[#This Row],[Client No]],'Global Portfolio'!$B$2:$N$2500,11,FALSE)</f>
        <v>#N/A</v>
      </c>
      <c r="AB295" s="105" t="e">
        <f>VLOOKUP(Table__192.168.1.150_M_CONSOLIDATED_Delinquency_Compulsory_EOM[[#This Row],[Client No]],'Global Portfolio'!$B$2:$N$2500,12,FALSE)</f>
        <v>#N/A</v>
      </c>
    </row>
    <row r="296" spans="1:28" x14ac:dyDescent="0.25">
      <c r="A296">
        <v>102877</v>
      </c>
      <c r="B296" t="s">
        <v>1188</v>
      </c>
      <c r="C296" t="s">
        <v>1193</v>
      </c>
      <c r="D296" t="s">
        <v>1283</v>
      </c>
      <c r="E296">
        <v>-4</v>
      </c>
      <c r="F296">
        <v>50000000</v>
      </c>
      <c r="G296">
        <v>40227872.460000001</v>
      </c>
      <c r="H296">
        <v>2310201.08</v>
      </c>
      <c r="I296" t="s">
        <v>1191</v>
      </c>
      <c r="J296">
        <v>321048.84000000003</v>
      </c>
      <c r="K296">
        <v>2500000</v>
      </c>
      <c r="L296">
        <v>1005696.81</v>
      </c>
      <c r="M296">
        <v>57755026.740000002</v>
      </c>
      <c r="N296" s="143">
        <v>42669.588513807874</v>
      </c>
      <c r="O296" s="143">
        <v>43774</v>
      </c>
      <c r="P296" t="s">
        <v>1194</v>
      </c>
      <c r="Q296" t="s">
        <v>1280</v>
      </c>
      <c r="R296" t="s">
        <v>1280</v>
      </c>
      <c r="S296" t="s">
        <v>1510</v>
      </c>
      <c r="T296">
        <v>36</v>
      </c>
      <c r="U296">
        <f>IF(Table__192.168.1.150_M_CONSOLIDATED_Delinquency_Compulsory_EOM[[#This Row],[Days in Arrears]] &lt; 8, Table__192.168.1.150_M_CONSOLIDATED_Delinquency_Compulsory_EOM[[#This Row],[Outstanding Balance]], 0 )</f>
        <v>40227872.460000001</v>
      </c>
      <c r="V2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6" s="105" t="str">
        <f>VLOOKUP(Table__192.168.1.150_M_CONSOLIDATED_Delinquency_Compulsory_EOM[[#This Row],[Client No]],'Global Portfolio'!$B$2:$N$2500,10,FALSE)</f>
        <v>Mining</v>
      </c>
      <c r="AA296" s="105" t="str">
        <f>VLOOKUP(Table__192.168.1.150_M_CONSOLIDATED_Delinquency_Compulsory_EOM[[#This Row],[Client No]],'Global Portfolio'!$B$2:$N$2500,11,FALSE)</f>
        <v>Mining and Extraction</v>
      </c>
      <c r="AB296" s="105" t="str">
        <f>VLOOKUP(Table__192.168.1.150_M_CONSOLIDATED_Delinquency_Compulsory_EOM[[#This Row],[Client No]],'Global Portfolio'!$B$2:$N$2500,12,FALSE)</f>
        <v>Sand, Gravel, Clay, &amp; Ceramic</v>
      </c>
    </row>
    <row r="297" spans="1:28" x14ac:dyDescent="0.25">
      <c r="A297">
        <v>102878</v>
      </c>
      <c r="B297" t="s">
        <v>927</v>
      </c>
      <c r="C297" t="s">
        <v>951</v>
      </c>
      <c r="D297" t="s">
        <v>1282</v>
      </c>
      <c r="E297">
        <v>30</v>
      </c>
      <c r="F297">
        <v>12000000</v>
      </c>
      <c r="G297">
        <v>2423977.04</v>
      </c>
      <c r="H297">
        <v>1285183.1299999999</v>
      </c>
      <c r="I297" t="s">
        <v>2855</v>
      </c>
      <c r="J297">
        <v>0</v>
      </c>
      <c r="K297">
        <v>0</v>
      </c>
      <c r="L297">
        <v>239619.09</v>
      </c>
      <c r="M297">
        <v>2553985.37</v>
      </c>
      <c r="N297" s="143">
        <v>42670.607920833332</v>
      </c>
      <c r="O297" s="143">
        <v>43040</v>
      </c>
      <c r="P297" t="s">
        <v>952</v>
      </c>
      <c r="Q297" t="s">
        <v>953</v>
      </c>
      <c r="R297" t="s">
        <v>1280</v>
      </c>
      <c r="S297" t="s">
        <v>1510</v>
      </c>
      <c r="T297">
        <v>48</v>
      </c>
      <c r="U297">
        <f>IF(Table__192.168.1.150_M_CONSOLIDATED_Delinquency_Compulsory_EOM[[#This Row],[Days in Arrears]] &lt; 8, Table__192.168.1.150_M_CONSOLIDATED_Delinquency_Compulsory_EOM[[#This Row],[Outstanding Balance]], 0 )</f>
        <v>0</v>
      </c>
      <c r="V2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2423977.04</v>
      </c>
      <c r="X2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7" s="105" t="str">
        <f>VLOOKUP(Table__192.168.1.150_M_CONSOLIDATED_Delinquency_Compulsory_EOM[[#This Row],[Client No]],'Global Portfolio'!$B$2:$N$2500,10,FALSE)</f>
        <v>Retail</v>
      </c>
      <c r="AA297" s="105" t="str">
        <f>VLOOKUP(Table__192.168.1.150_M_CONSOLIDATED_Delinquency_Compulsory_EOM[[#This Row],[Client No]],'Global Portfolio'!$B$2:$N$2500,11,FALSE)</f>
        <v>Motor Vehicle and Parts Dealers</v>
      </c>
      <c r="AB297" s="105" t="str">
        <f>VLOOKUP(Table__192.168.1.150_M_CONSOLIDATED_Delinquency_Compulsory_EOM[[#This Row],[Client No]],'Global Portfolio'!$B$2:$N$2500,12,FALSE)</f>
        <v>Others</v>
      </c>
    </row>
    <row r="298" spans="1:28" x14ac:dyDescent="0.25">
      <c r="A298">
        <v>102879</v>
      </c>
      <c r="B298" t="s">
        <v>1503</v>
      </c>
      <c r="C298" t="s">
        <v>2298</v>
      </c>
      <c r="D298" t="s">
        <v>1284</v>
      </c>
      <c r="E298">
        <v>0</v>
      </c>
      <c r="F298">
        <v>65000000</v>
      </c>
      <c r="G298">
        <v>52044568.159999996</v>
      </c>
      <c r="H298">
        <v>2988808.74</v>
      </c>
      <c r="I298" t="s">
        <v>1039</v>
      </c>
      <c r="J298">
        <v>381416.26</v>
      </c>
      <c r="K298">
        <v>6250000</v>
      </c>
      <c r="L298">
        <v>1509292.48</v>
      </c>
      <c r="M298">
        <v>74720218.790000007</v>
      </c>
      <c r="N298" s="143">
        <v>42670.619203553244</v>
      </c>
      <c r="O298" s="143">
        <v>43770</v>
      </c>
      <c r="P298" t="s">
        <v>2299</v>
      </c>
      <c r="Q298" t="s">
        <v>1280</v>
      </c>
      <c r="R298" t="s">
        <v>1280</v>
      </c>
      <c r="S298" t="s">
        <v>1510</v>
      </c>
      <c r="T298">
        <v>36</v>
      </c>
      <c r="U298">
        <f>IF(Table__192.168.1.150_M_CONSOLIDATED_Delinquency_Compulsory_EOM[[#This Row],[Days in Arrears]] &lt; 8, Table__192.168.1.150_M_CONSOLIDATED_Delinquency_Compulsory_EOM[[#This Row],[Outstanding Balance]], 0 )</f>
        <v>52044568.159999996</v>
      </c>
      <c r="V2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8" s="105" t="str">
        <f>VLOOKUP(Table__192.168.1.150_M_CONSOLIDATED_Delinquency_Compulsory_EOM[[#This Row],[Client No]],'Global Portfolio'!$B$2:$N$2500,10,FALSE)</f>
        <v>Real Estate and Rental</v>
      </c>
      <c r="AA298" s="105" t="str">
        <f>VLOOKUP(Table__192.168.1.150_M_CONSOLIDATED_Delinquency_Compulsory_EOM[[#This Row],[Client No]],'Global Portfolio'!$B$2:$N$2500,11,FALSE)</f>
        <v>Rental</v>
      </c>
      <c r="AB298" s="105" t="str">
        <f>VLOOKUP(Table__192.168.1.150_M_CONSOLIDATED_Delinquency_Compulsory_EOM[[#This Row],[Client No]],'Global Portfolio'!$B$2:$N$2500,12,FALSE)</f>
        <v>Others</v>
      </c>
    </row>
    <row r="299" spans="1:28" x14ac:dyDescent="0.25">
      <c r="A299">
        <v>102881</v>
      </c>
      <c r="B299" t="s">
        <v>3202</v>
      </c>
      <c r="C299" t="s">
        <v>3206</v>
      </c>
      <c r="D299" t="s">
        <v>1281</v>
      </c>
      <c r="E299">
        <v>0</v>
      </c>
      <c r="F299">
        <v>20000000</v>
      </c>
      <c r="G299">
        <v>6000843.1299999999</v>
      </c>
      <c r="H299">
        <v>1091103.92</v>
      </c>
      <c r="I299" t="s">
        <v>1191</v>
      </c>
      <c r="J299">
        <v>299430.58</v>
      </c>
      <c r="K299">
        <v>1500000</v>
      </c>
      <c r="L299">
        <v>203028.53</v>
      </c>
      <c r="M299">
        <v>6784333.6900000004</v>
      </c>
      <c r="N299" s="143">
        <v>42671.498852118057</v>
      </c>
      <c r="O299" s="143">
        <v>43586</v>
      </c>
      <c r="P299" t="s">
        <v>3207</v>
      </c>
      <c r="Q299" t="s">
        <v>3208</v>
      </c>
      <c r="R299" t="s">
        <v>3209</v>
      </c>
      <c r="S299" t="s">
        <v>1510</v>
      </c>
      <c r="T299">
        <v>42</v>
      </c>
      <c r="U299">
        <f>IF(Table__192.168.1.150_M_CONSOLIDATED_Delinquency_Compulsory_EOM[[#This Row],[Days in Arrears]] &lt; 8, Table__192.168.1.150_M_CONSOLIDATED_Delinquency_Compulsory_EOM[[#This Row],[Outstanding Balance]], 0 )</f>
        <v>6000843.1299999999</v>
      </c>
      <c r="V2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2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2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2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299" s="105" t="str">
        <f>VLOOKUP(Table__192.168.1.150_M_CONSOLIDATED_Delinquency_Compulsory_EOM[[#This Row],[Client No]],'Global Portfolio'!$B$2:$N$2500,10,FALSE)</f>
        <v>Wholesale Trade</v>
      </c>
      <c r="AA299" s="105" t="str">
        <f>VLOOKUP(Table__192.168.1.150_M_CONSOLIDATED_Delinquency_Compulsory_EOM[[#This Row],[Client No]],'Global Portfolio'!$B$2:$N$2500,11,FALSE)</f>
        <v>Nondurable Goods</v>
      </c>
      <c r="AB299" s="105" t="str">
        <f>VLOOKUP(Table__192.168.1.150_M_CONSOLIDATED_Delinquency_Compulsory_EOM[[#This Row],[Client No]],'Global Portfolio'!$B$2:$N$2500,12,FALSE)</f>
        <v>Others</v>
      </c>
    </row>
    <row r="300" spans="1:28" x14ac:dyDescent="0.25">
      <c r="A300">
        <v>102886</v>
      </c>
      <c r="B300" t="s">
        <v>1689</v>
      </c>
      <c r="C300" t="s">
        <v>1692</v>
      </c>
      <c r="D300" t="s">
        <v>1284</v>
      </c>
      <c r="E300">
        <v>-3</v>
      </c>
      <c r="F300">
        <v>10000000</v>
      </c>
      <c r="G300">
        <v>4551947.53</v>
      </c>
      <c r="H300">
        <v>730616.51</v>
      </c>
      <c r="I300" t="s">
        <v>86</v>
      </c>
      <c r="J300">
        <v>93508.49</v>
      </c>
      <c r="K300">
        <v>500000</v>
      </c>
      <c r="L300">
        <v>118350.64</v>
      </c>
      <c r="M300">
        <v>5114315.49</v>
      </c>
      <c r="N300" s="143">
        <v>42672.573115127314</v>
      </c>
      <c r="O300" s="143">
        <v>43224</v>
      </c>
      <c r="P300" t="s">
        <v>1693</v>
      </c>
      <c r="Q300" t="s">
        <v>1280</v>
      </c>
      <c r="R300" t="s">
        <v>1280</v>
      </c>
      <c r="S300" t="s">
        <v>1510</v>
      </c>
      <c r="T300">
        <v>36</v>
      </c>
      <c r="U300">
        <f>IF(Table__192.168.1.150_M_CONSOLIDATED_Delinquency_Compulsory_EOM[[#This Row],[Days in Arrears]] &lt; 8, Table__192.168.1.150_M_CONSOLIDATED_Delinquency_Compulsory_EOM[[#This Row],[Outstanding Balance]], 0 )</f>
        <v>4551947.53</v>
      </c>
      <c r="V3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0" s="105" t="str">
        <f>VLOOKUP(Table__192.168.1.150_M_CONSOLIDATED_Delinquency_Compulsory_EOM[[#This Row],[Client No]],'Global Portfolio'!$B$2:$N$2500,10,FALSE)</f>
        <v>Real Estate and Rental</v>
      </c>
      <c r="AA300" s="105" t="str">
        <f>VLOOKUP(Table__192.168.1.150_M_CONSOLIDATED_Delinquency_Compulsory_EOM[[#This Row],[Client No]],'Global Portfolio'!$B$2:$N$2500,11,FALSE)</f>
        <v>Rental</v>
      </c>
      <c r="AB300" s="105" t="str">
        <f>VLOOKUP(Table__192.168.1.150_M_CONSOLIDATED_Delinquency_Compulsory_EOM[[#This Row],[Client No]],'Global Portfolio'!$B$2:$N$2500,12,FALSE)</f>
        <v>Others</v>
      </c>
    </row>
    <row r="301" spans="1:28" x14ac:dyDescent="0.25">
      <c r="A301">
        <v>102889</v>
      </c>
      <c r="B301" t="s">
        <v>159</v>
      </c>
      <c r="C301" t="s">
        <v>160</v>
      </c>
      <c r="D301" t="s">
        <v>1281</v>
      </c>
      <c r="E301">
        <v>51</v>
      </c>
      <c r="F301">
        <v>25265064</v>
      </c>
      <c r="G301">
        <v>5392061.1900000004</v>
      </c>
      <c r="H301">
        <v>2838383.66</v>
      </c>
      <c r="I301" t="s">
        <v>5725</v>
      </c>
      <c r="J301">
        <v>0</v>
      </c>
      <c r="K301">
        <v>0</v>
      </c>
      <c r="L301">
        <v>198241.48</v>
      </c>
      <c r="M301">
        <v>5590302.6699999999</v>
      </c>
      <c r="N301" s="143">
        <v>42674.520662071758</v>
      </c>
      <c r="O301" s="143">
        <v>43018</v>
      </c>
      <c r="P301" t="s">
        <v>161</v>
      </c>
      <c r="Q301" t="s">
        <v>162</v>
      </c>
      <c r="R301" t="s">
        <v>1280</v>
      </c>
      <c r="S301" t="s">
        <v>1510</v>
      </c>
      <c r="T301">
        <v>42</v>
      </c>
      <c r="U301">
        <f>IF(Table__192.168.1.150_M_CONSOLIDATED_Delinquency_Compulsory_EOM[[#This Row],[Days in Arrears]] &lt; 8, Table__192.168.1.150_M_CONSOLIDATED_Delinquency_Compulsory_EOM[[#This Row],[Outstanding Balance]], 0 )</f>
        <v>0</v>
      </c>
      <c r="V3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5392061.1900000004</v>
      </c>
      <c r="X3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1" s="105" t="str">
        <f>VLOOKUP(Table__192.168.1.150_M_CONSOLIDATED_Delinquency_Compulsory_EOM[[#This Row],[Client No]],'Global Portfolio'!$B$2:$N$2500,10,FALSE)</f>
        <v>Transportation and Warehousing</v>
      </c>
      <c r="AA301" s="105" t="str">
        <f>VLOOKUP(Table__192.168.1.150_M_CONSOLIDATED_Delinquency_Compulsory_EOM[[#This Row],[Client No]],'Global Portfolio'!$B$2:$N$2500,11,FALSE)</f>
        <v xml:space="preserve"> Passenger Transportation</v>
      </c>
      <c r="AB301" s="105" t="str">
        <f>VLOOKUP(Table__192.168.1.150_M_CONSOLIDATED_Delinquency_Compulsory_EOM[[#This Row],[Client No]],'Global Portfolio'!$B$2:$N$2500,12,FALSE)</f>
        <v>Others</v>
      </c>
    </row>
    <row r="302" spans="1:28" x14ac:dyDescent="0.25">
      <c r="A302">
        <v>102890</v>
      </c>
      <c r="B302" t="s">
        <v>2130</v>
      </c>
      <c r="C302" t="s">
        <v>2149</v>
      </c>
      <c r="D302" t="s">
        <v>1283</v>
      </c>
      <c r="E302">
        <v>0</v>
      </c>
      <c r="F302">
        <v>25115733</v>
      </c>
      <c r="G302">
        <v>2493303.59</v>
      </c>
      <c r="H302">
        <v>2576413.77</v>
      </c>
      <c r="I302" t="s">
        <v>86</v>
      </c>
      <c r="J302">
        <v>2827756.46</v>
      </c>
      <c r="K302">
        <v>2100000</v>
      </c>
      <c r="L302">
        <v>80339.78</v>
      </c>
      <c r="M302">
        <v>2576413.71</v>
      </c>
      <c r="N302" s="143">
        <v>42674.553735497684</v>
      </c>
      <c r="O302" s="143">
        <v>43040</v>
      </c>
      <c r="P302" t="s">
        <v>2150</v>
      </c>
      <c r="Q302" t="s">
        <v>2151</v>
      </c>
      <c r="R302" t="s">
        <v>1280</v>
      </c>
      <c r="S302" t="s">
        <v>1510</v>
      </c>
      <c r="T302">
        <v>40</v>
      </c>
      <c r="U302">
        <f>IF(Table__192.168.1.150_M_CONSOLIDATED_Delinquency_Compulsory_EOM[[#This Row],[Days in Arrears]] &lt; 8, Table__192.168.1.150_M_CONSOLIDATED_Delinquency_Compulsory_EOM[[#This Row],[Outstanding Balance]], 0 )</f>
        <v>2493303.59</v>
      </c>
      <c r="V3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2" s="105" t="e">
        <f>VLOOKUP(Table__192.168.1.150_M_CONSOLIDATED_Delinquency_Compulsory_EOM[[#This Row],[Client No]],'Global Portfolio'!$B$2:$N$2500,10,FALSE)</f>
        <v>#N/A</v>
      </c>
      <c r="AA302" s="105" t="e">
        <f>VLOOKUP(Table__192.168.1.150_M_CONSOLIDATED_Delinquency_Compulsory_EOM[[#This Row],[Client No]],'Global Portfolio'!$B$2:$N$2500,11,FALSE)</f>
        <v>#N/A</v>
      </c>
      <c r="AB302" s="105" t="e">
        <f>VLOOKUP(Table__192.168.1.150_M_CONSOLIDATED_Delinquency_Compulsory_EOM[[#This Row],[Client No]],'Global Portfolio'!$B$2:$N$2500,12,FALSE)</f>
        <v>#N/A</v>
      </c>
    </row>
    <row r="303" spans="1:28" x14ac:dyDescent="0.25">
      <c r="A303">
        <v>102891</v>
      </c>
      <c r="B303" t="s">
        <v>690</v>
      </c>
      <c r="C303" t="s">
        <v>691</v>
      </c>
      <c r="D303" t="s">
        <v>1283</v>
      </c>
      <c r="E303">
        <v>-23</v>
      </c>
      <c r="F303">
        <v>46000000</v>
      </c>
      <c r="G303">
        <v>35474895.289999999</v>
      </c>
      <c r="H303">
        <v>2094700.89</v>
      </c>
      <c r="I303" t="s">
        <v>2855</v>
      </c>
      <c r="J303">
        <v>0</v>
      </c>
      <c r="K303">
        <v>0</v>
      </c>
      <c r="L303">
        <v>212849.37</v>
      </c>
      <c r="M303">
        <v>50272821.670000002</v>
      </c>
      <c r="N303" s="143">
        <v>42674.614062037035</v>
      </c>
      <c r="O303" s="143">
        <v>43762</v>
      </c>
      <c r="P303" t="s">
        <v>692</v>
      </c>
      <c r="Q303" t="s">
        <v>693</v>
      </c>
      <c r="R303" t="s">
        <v>1280</v>
      </c>
      <c r="S303" t="s">
        <v>1510</v>
      </c>
      <c r="T303">
        <v>36</v>
      </c>
      <c r="U303">
        <f>IF(Table__192.168.1.150_M_CONSOLIDATED_Delinquency_Compulsory_EOM[[#This Row],[Days in Arrears]] &lt; 8, Table__192.168.1.150_M_CONSOLIDATED_Delinquency_Compulsory_EOM[[#This Row],[Outstanding Balance]], 0 )</f>
        <v>35474895.289999999</v>
      </c>
      <c r="V3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3" s="105" t="str">
        <f>VLOOKUP(Table__192.168.1.150_M_CONSOLIDATED_Delinquency_Compulsory_EOM[[#This Row],[Client No]],'Global Portfolio'!$B$2:$N$2500,10,FALSE)</f>
        <v>Transportation and Warehousing</v>
      </c>
      <c r="AA303" s="105" t="str">
        <f>VLOOKUP(Table__192.168.1.150_M_CONSOLIDATED_Delinquency_Compulsory_EOM[[#This Row],[Client No]],'Global Portfolio'!$B$2:$N$2500,11,FALSE)</f>
        <v>Truck Transportation</v>
      </c>
      <c r="AB303" s="105" t="str">
        <f>VLOOKUP(Table__192.168.1.150_M_CONSOLIDATED_Delinquency_Compulsory_EOM[[#This Row],[Client No]],'Global Portfolio'!$B$2:$N$2500,12,FALSE)</f>
        <v>General Freight Trucking, Long-distance</v>
      </c>
    </row>
    <row r="304" spans="1:28" x14ac:dyDescent="0.25">
      <c r="A304">
        <v>102894</v>
      </c>
      <c r="B304" t="s">
        <v>1032</v>
      </c>
      <c r="C304" t="s">
        <v>1033</v>
      </c>
      <c r="D304" t="s">
        <v>1283</v>
      </c>
      <c r="E304">
        <v>-4</v>
      </c>
      <c r="F304">
        <v>58138700</v>
      </c>
      <c r="G304">
        <v>51254421.719999999</v>
      </c>
      <c r="H304">
        <v>2312170.2200000002</v>
      </c>
      <c r="I304" t="s">
        <v>5167</v>
      </c>
      <c r="J304">
        <v>35638.239999999998</v>
      </c>
      <c r="K304">
        <v>0</v>
      </c>
      <c r="L304">
        <v>1281360.54</v>
      </c>
      <c r="M304">
        <v>85550298.420000002</v>
      </c>
      <c r="N304" s="143">
        <v>42674.689139780094</v>
      </c>
      <c r="O304" s="143">
        <v>44140</v>
      </c>
      <c r="P304" t="s">
        <v>1034</v>
      </c>
      <c r="Q304" t="s">
        <v>1035</v>
      </c>
      <c r="R304" t="s">
        <v>1280</v>
      </c>
      <c r="S304" t="s">
        <v>1510</v>
      </c>
      <c r="T304">
        <v>36</v>
      </c>
      <c r="U304">
        <f>IF(Table__192.168.1.150_M_CONSOLIDATED_Delinquency_Compulsory_EOM[[#This Row],[Days in Arrears]] &lt; 8, Table__192.168.1.150_M_CONSOLIDATED_Delinquency_Compulsory_EOM[[#This Row],[Outstanding Balance]], 0 )</f>
        <v>51254421.719999999</v>
      </c>
      <c r="V3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4" s="105" t="str">
        <f>VLOOKUP(Table__192.168.1.150_M_CONSOLIDATED_Delinquency_Compulsory_EOM[[#This Row],[Client No]],'Global Portfolio'!$B$2:$N$2500,10,FALSE)</f>
        <v>Agriculture, Forestry, Fishing and Hunting</v>
      </c>
      <c r="AA304" s="105" t="str">
        <f>VLOOKUP(Table__192.168.1.150_M_CONSOLIDATED_Delinquency_Compulsory_EOM[[#This Row],[Client No]],'Global Portfolio'!$B$2:$N$2500,11,FALSE)</f>
        <v>Animal Production</v>
      </c>
      <c r="AB304" s="105" t="str">
        <f>VLOOKUP(Table__192.168.1.150_M_CONSOLIDATED_Delinquency_Compulsory_EOM[[#This Row],[Client No]],'Global Portfolio'!$B$2:$N$2500,12,FALSE)</f>
        <v>Poultry &amp; Egg Production</v>
      </c>
    </row>
    <row r="305" spans="1:28" x14ac:dyDescent="0.25">
      <c r="A305">
        <v>102895</v>
      </c>
      <c r="B305" t="s">
        <v>1170</v>
      </c>
      <c r="C305" t="s">
        <v>1174</v>
      </c>
      <c r="D305" t="s">
        <v>1281</v>
      </c>
      <c r="E305">
        <v>0</v>
      </c>
      <c r="F305">
        <v>25008925</v>
      </c>
      <c r="G305">
        <v>19966190.199999999</v>
      </c>
      <c r="H305">
        <v>1146615.79</v>
      </c>
      <c r="I305" t="s">
        <v>86</v>
      </c>
      <c r="J305">
        <v>1139000</v>
      </c>
      <c r="K305">
        <v>0</v>
      </c>
      <c r="L305">
        <v>579019.52000000002</v>
      </c>
      <c r="M305">
        <v>28665394.949999999</v>
      </c>
      <c r="N305" s="143">
        <v>42674.712631099537</v>
      </c>
      <c r="O305" s="143">
        <v>43770</v>
      </c>
      <c r="P305" t="s">
        <v>1175</v>
      </c>
      <c r="Q305" t="s">
        <v>1176</v>
      </c>
      <c r="R305" t="s">
        <v>1280</v>
      </c>
      <c r="S305" t="s">
        <v>1510</v>
      </c>
      <c r="T305">
        <v>36</v>
      </c>
      <c r="U305">
        <f>IF(Table__192.168.1.150_M_CONSOLIDATED_Delinquency_Compulsory_EOM[[#This Row],[Days in Arrears]] &lt; 8, Table__192.168.1.150_M_CONSOLIDATED_Delinquency_Compulsory_EOM[[#This Row],[Outstanding Balance]], 0 )</f>
        <v>19966190.199999999</v>
      </c>
      <c r="V3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5" s="105" t="str">
        <f>VLOOKUP(Table__192.168.1.150_M_CONSOLIDATED_Delinquency_Compulsory_EOM[[#This Row],[Client No]],'Global Portfolio'!$B$2:$N$2500,10,FALSE)</f>
        <v>Real Estate and Rental</v>
      </c>
      <c r="AA305" s="105" t="str">
        <f>VLOOKUP(Table__192.168.1.150_M_CONSOLIDATED_Delinquency_Compulsory_EOM[[#This Row],[Client No]],'Global Portfolio'!$B$2:$N$2500,11,FALSE)</f>
        <v>Rental</v>
      </c>
      <c r="AB305" s="105" t="str">
        <f>VLOOKUP(Table__192.168.1.150_M_CONSOLIDATED_Delinquency_Compulsory_EOM[[#This Row],[Client No]],'Global Portfolio'!$B$2:$N$2500,12,FALSE)</f>
        <v>General Rental Centers</v>
      </c>
    </row>
    <row r="306" spans="1:28" x14ac:dyDescent="0.25">
      <c r="A306">
        <v>102898</v>
      </c>
      <c r="B306" t="s">
        <v>1955</v>
      </c>
      <c r="C306" t="s">
        <v>1981</v>
      </c>
      <c r="D306" t="s">
        <v>1283</v>
      </c>
      <c r="E306">
        <v>30</v>
      </c>
      <c r="F306">
        <v>65000000</v>
      </c>
      <c r="G306">
        <v>43397347.869999997</v>
      </c>
      <c r="H306">
        <v>3841808.33</v>
      </c>
      <c r="I306" t="s">
        <v>5725</v>
      </c>
      <c r="J306">
        <v>0</v>
      </c>
      <c r="K306">
        <v>0</v>
      </c>
      <c r="L306">
        <v>2478595.11</v>
      </c>
      <c r="M306">
        <v>53777124.939999998</v>
      </c>
      <c r="N306" s="143">
        <v>42674.837199421294</v>
      </c>
      <c r="O306" s="143">
        <v>43405</v>
      </c>
      <c r="P306" t="s">
        <v>1982</v>
      </c>
      <c r="Q306" t="s">
        <v>1280</v>
      </c>
      <c r="R306" t="s">
        <v>1280</v>
      </c>
      <c r="S306" t="s">
        <v>1510</v>
      </c>
      <c r="T306">
        <v>36</v>
      </c>
      <c r="U306">
        <f>IF(Table__192.168.1.150_M_CONSOLIDATED_Delinquency_Compulsory_EOM[[#This Row],[Days in Arrears]] &lt; 8, Table__192.168.1.150_M_CONSOLIDATED_Delinquency_Compulsory_EOM[[#This Row],[Outstanding Balance]], 0 )</f>
        <v>0</v>
      </c>
      <c r="V3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43397347.869999997</v>
      </c>
      <c r="X3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6" s="105" t="str">
        <f>VLOOKUP(Table__192.168.1.150_M_CONSOLIDATED_Delinquency_Compulsory_EOM[[#This Row],[Client No]],'Global Portfolio'!$B$2:$N$2500,10,FALSE)</f>
        <v>Retail</v>
      </c>
      <c r="AA306" s="105" t="str">
        <f>VLOOKUP(Table__192.168.1.150_M_CONSOLIDATED_Delinquency_Compulsory_EOM[[#This Row],[Client No]],'Global Portfolio'!$B$2:$N$2500,11,FALSE)</f>
        <v>Building Material and Garden Equipment</v>
      </c>
      <c r="AB306" s="105" t="str">
        <f>VLOOKUP(Table__192.168.1.150_M_CONSOLIDATED_Delinquency_Compulsory_EOM[[#This Row],[Client No]],'Global Portfolio'!$B$2:$N$2500,12,FALSE)</f>
        <v>Hardware Stores</v>
      </c>
    </row>
    <row r="307" spans="1:28" x14ac:dyDescent="0.25">
      <c r="A307">
        <v>102900</v>
      </c>
      <c r="B307" t="s">
        <v>3226</v>
      </c>
      <c r="C307" t="s">
        <v>3233</v>
      </c>
      <c r="D307" t="s">
        <v>1284</v>
      </c>
      <c r="E307">
        <v>0</v>
      </c>
      <c r="F307">
        <v>20000000</v>
      </c>
      <c r="G307">
        <v>16166680.310000001</v>
      </c>
      <c r="H307">
        <v>963237.64</v>
      </c>
      <c r="I307" t="s">
        <v>2494</v>
      </c>
      <c r="J307">
        <v>106182.36</v>
      </c>
      <c r="K307">
        <v>1000000</v>
      </c>
      <c r="L307">
        <v>520926.37</v>
      </c>
      <c r="M307">
        <v>24080941.25</v>
      </c>
      <c r="N307" s="143">
        <v>42674.865867476852</v>
      </c>
      <c r="O307" s="143">
        <v>43770</v>
      </c>
      <c r="P307" t="s">
        <v>3234</v>
      </c>
      <c r="Q307" t="s">
        <v>1280</v>
      </c>
      <c r="R307" t="s">
        <v>1280</v>
      </c>
      <c r="S307" t="s">
        <v>1510</v>
      </c>
      <c r="T307">
        <v>40</v>
      </c>
      <c r="U307">
        <f>IF(Table__192.168.1.150_M_CONSOLIDATED_Delinquency_Compulsory_EOM[[#This Row],[Days in Arrears]] &lt; 8, Table__192.168.1.150_M_CONSOLIDATED_Delinquency_Compulsory_EOM[[#This Row],[Outstanding Balance]], 0 )</f>
        <v>16166680.310000001</v>
      </c>
      <c r="V3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7" s="105" t="str">
        <f>VLOOKUP(Table__192.168.1.150_M_CONSOLIDATED_Delinquency_Compulsory_EOM[[#This Row],[Client No]],'Global Portfolio'!$B$2:$N$2500,10,FALSE)</f>
        <v>Real Estate and Rental</v>
      </c>
      <c r="AA307" s="105" t="str">
        <f>VLOOKUP(Table__192.168.1.150_M_CONSOLIDATED_Delinquency_Compulsory_EOM[[#This Row],[Client No]],'Global Portfolio'!$B$2:$N$2500,11,FALSE)</f>
        <v>Real Estate</v>
      </c>
      <c r="AB307" s="105" t="str">
        <f>VLOOKUP(Table__192.168.1.150_M_CONSOLIDATED_Delinquency_Compulsory_EOM[[#This Row],[Client No]],'Global Portfolio'!$B$2:$N$2500,12,FALSE)</f>
        <v>Others</v>
      </c>
    </row>
    <row r="308" spans="1:28" x14ac:dyDescent="0.25">
      <c r="A308">
        <v>102901</v>
      </c>
      <c r="B308" t="s">
        <v>3231</v>
      </c>
      <c r="C308" t="s">
        <v>3235</v>
      </c>
      <c r="D308" t="s">
        <v>1284</v>
      </c>
      <c r="E308">
        <v>0</v>
      </c>
      <c r="F308">
        <v>13000000</v>
      </c>
      <c r="G308">
        <v>10508342.17</v>
      </c>
      <c r="H308">
        <v>626104.47</v>
      </c>
      <c r="I308" t="s">
        <v>2494</v>
      </c>
      <c r="J308">
        <v>655546.99</v>
      </c>
      <c r="K308">
        <v>650000</v>
      </c>
      <c r="L308">
        <v>338602.14</v>
      </c>
      <c r="M308">
        <v>15652611.689999999</v>
      </c>
      <c r="N308" s="143">
        <v>42674.895723530091</v>
      </c>
      <c r="O308" s="143">
        <v>43770</v>
      </c>
      <c r="P308" t="s">
        <v>3236</v>
      </c>
      <c r="Q308" t="s">
        <v>1280</v>
      </c>
      <c r="R308" t="s">
        <v>1280</v>
      </c>
      <c r="S308" t="s">
        <v>1510</v>
      </c>
      <c r="T308">
        <v>40</v>
      </c>
      <c r="U308">
        <f>IF(Table__192.168.1.150_M_CONSOLIDATED_Delinquency_Compulsory_EOM[[#This Row],[Days in Arrears]] &lt; 8, Table__192.168.1.150_M_CONSOLIDATED_Delinquency_Compulsory_EOM[[#This Row],[Outstanding Balance]], 0 )</f>
        <v>10508342.17</v>
      </c>
      <c r="V3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8" s="105" t="str">
        <f>VLOOKUP(Table__192.168.1.150_M_CONSOLIDATED_Delinquency_Compulsory_EOM[[#This Row],[Client No]],'Global Portfolio'!$B$2:$N$2500,10,FALSE)</f>
        <v>Real Estate and Rental</v>
      </c>
      <c r="AA308" s="105" t="str">
        <f>VLOOKUP(Table__192.168.1.150_M_CONSOLIDATED_Delinquency_Compulsory_EOM[[#This Row],[Client No]],'Global Portfolio'!$B$2:$N$2500,11,FALSE)</f>
        <v>Rental</v>
      </c>
      <c r="AB308" s="105" t="str">
        <f>VLOOKUP(Table__192.168.1.150_M_CONSOLIDATED_Delinquency_Compulsory_EOM[[#This Row],[Client No]],'Global Portfolio'!$B$2:$N$2500,12,FALSE)</f>
        <v>Others</v>
      </c>
    </row>
    <row r="309" spans="1:28" x14ac:dyDescent="0.25">
      <c r="A309">
        <v>102903</v>
      </c>
      <c r="B309" t="s">
        <v>3262</v>
      </c>
      <c r="C309" t="s">
        <v>3247</v>
      </c>
      <c r="D309" t="s">
        <v>1281</v>
      </c>
      <c r="E309">
        <v>-1</v>
      </c>
      <c r="F309">
        <v>20000000</v>
      </c>
      <c r="G309">
        <v>13098539.98</v>
      </c>
      <c r="H309">
        <v>1311736.6299999999</v>
      </c>
      <c r="I309" t="s">
        <v>2855</v>
      </c>
      <c r="J309">
        <v>434830.12</v>
      </c>
      <c r="K309">
        <v>1500000</v>
      </c>
      <c r="L309">
        <v>489012.16</v>
      </c>
      <c r="M309">
        <v>17052576.050000001</v>
      </c>
      <c r="N309" s="143">
        <v>42676.695485613425</v>
      </c>
      <c r="O309" s="143">
        <v>43406</v>
      </c>
      <c r="P309" t="s">
        <v>3263</v>
      </c>
      <c r="Q309" t="s">
        <v>3264</v>
      </c>
      <c r="R309" t="s">
        <v>1280</v>
      </c>
      <c r="S309" t="s">
        <v>1510</v>
      </c>
      <c r="T309">
        <v>48</v>
      </c>
      <c r="U309">
        <f>IF(Table__192.168.1.150_M_CONSOLIDATED_Delinquency_Compulsory_EOM[[#This Row],[Days in Arrears]] &lt; 8, Table__192.168.1.150_M_CONSOLIDATED_Delinquency_Compulsory_EOM[[#This Row],[Outstanding Balance]], 0 )</f>
        <v>13098539.98</v>
      </c>
      <c r="V3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09" s="105" t="str">
        <f>VLOOKUP(Table__192.168.1.150_M_CONSOLIDATED_Delinquency_Compulsory_EOM[[#This Row],[Client No]],'Global Portfolio'!$B$2:$N$2500,10,FALSE)</f>
        <v>Retail</v>
      </c>
      <c r="AA309" s="105" t="str">
        <f>VLOOKUP(Table__192.168.1.150_M_CONSOLIDATED_Delinquency_Compulsory_EOM[[#This Row],[Client No]],'Global Portfolio'!$B$2:$N$2500,11,FALSE)</f>
        <v>Motor Vehicle and Parts Dealers</v>
      </c>
      <c r="AB309" s="105" t="str">
        <f>VLOOKUP(Table__192.168.1.150_M_CONSOLIDATED_Delinquency_Compulsory_EOM[[#This Row],[Client No]],'Global Portfolio'!$B$2:$N$2500,12,FALSE)</f>
        <v>Used Car Dealers</v>
      </c>
    </row>
    <row r="310" spans="1:28" x14ac:dyDescent="0.25">
      <c r="A310">
        <v>102904</v>
      </c>
      <c r="B310" t="s">
        <v>3272</v>
      </c>
      <c r="C310" t="s">
        <v>3273</v>
      </c>
      <c r="D310" t="s">
        <v>1866</v>
      </c>
      <c r="E310">
        <v>-2</v>
      </c>
      <c r="F310">
        <v>6000000</v>
      </c>
      <c r="G310">
        <v>619690.30000000005</v>
      </c>
      <c r="H310">
        <v>645510.71</v>
      </c>
      <c r="I310" t="s">
        <v>2494</v>
      </c>
      <c r="J310">
        <v>16119.55</v>
      </c>
      <c r="K310">
        <v>0</v>
      </c>
      <c r="L310">
        <v>23238.39</v>
      </c>
      <c r="M310">
        <v>645510.73</v>
      </c>
      <c r="N310" s="143">
        <v>42677.695845682872</v>
      </c>
      <c r="O310" s="143">
        <v>43042</v>
      </c>
      <c r="P310" t="s">
        <v>3274</v>
      </c>
      <c r="Q310" t="s">
        <v>1280</v>
      </c>
      <c r="R310" t="s">
        <v>1280</v>
      </c>
      <c r="S310" t="s">
        <v>1510</v>
      </c>
      <c r="T310">
        <v>50</v>
      </c>
      <c r="U310">
        <f>IF(Table__192.168.1.150_M_CONSOLIDATED_Delinquency_Compulsory_EOM[[#This Row],[Days in Arrears]] &lt; 8, Table__192.168.1.150_M_CONSOLIDATED_Delinquency_Compulsory_EOM[[#This Row],[Outstanding Balance]], 0 )</f>
        <v>619690.30000000005</v>
      </c>
      <c r="V3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0" s="105" t="str">
        <f>VLOOKUP(Table__192.168.1.150_M_CONSOLIDATED_Delinquency_Compulsory_EOM[[#This Row],[Client No]],'Global Portfolio'!$B$2:$N$2500,10,FALSE)</f>
        <v>Manufacturing</v>
      </c>
      <c r="AA310" s="105" t="str">
        <f>VLOOKUP(Table__192.168.1.150_M_CONSOLIDATED_Delinquency_Compulsory_EOM[[#This Row],[Client No]],'Global Portfolio'!$B$2:$N$2500,11,FALSE)</f>
        <v>Others</v>
      </c>
      <c r="AB310" s="105" t="str">
        <f>VLOOKUP(Table__192.168.1.150_M_CONSOLIDATED_Delinquency_Compulsory_EOM[[#This Row],[Client No]],'Global Portfolio'!$B$2:$N$2500,12,FALSE)</f>
        <v>Others</v>
      </c>
    </row>
    <row r="311" spans="1:28" x14ac:dyDescent="0.25">
      <c r="A311">
        <v>102905</v>
      </c>
      <c r="B311" t="s">
        <v>3268</v>
      </c>
      <c r="C311" t="s">
        <v>3275</v>
      </c>
      <c r="D311" t="s">
        <v>1282</v>
      </c>
      <c r="E311">
        <v>28</v>
      </c>
      <c r="F311">
        <v>5000000</v>
      </c>
      <c r="G311">
        <v>986107.64</v>
      </c>
      <c r="H311">
        <v>548330.93999999994</v>
      </c>
      <c r="I311" t="s">
        <v>1191</v>
      </c>
      <c r="J311">
        <v>0</v>
      </c>
      <c r="K311">
        <v>500000</v>
      </c>
      <c r="L311">
        <v>21251.1</v>
      </c>
      <c r="M311">
        <v>1009719.98</v>
      </c>
      <c r="N311" s="143">
        <v>42677.736543402774</v>
      </c>
      <c r="O311" s="143">
        <v>43042</v>
      </c>
      <c r="P311" t="s">
        <v>3276</v>
      </c>
      <c r="Q311" t="s">
        <v>3277</v>
      </c>
      <c r="R311" t="s">
        <v>1280</v>
      </c>
      <c r="S311" t="s">
        <v>1510</v>
      </c>
      <c r="T311">
        <v>54</v>
      </c>
      <c r="U311">
        <f>IF(Table__192.168.1.150_M_CONSOLIDATED_Delinquency_Compulsory_EOM[[#This Row],[Days in Arrears]] &lt; 8, Table__192.168.1.150_M_CONSOLIDATED_Delinquency_Compulsory_EOM[[#This Row],[Outstanding Balance]], 0 )</f>
        <v>0</v>
      </c>
      <c r="V3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986107.64</v>
      </c>
      <c r="W3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1" s="105" t="str">
        <f>VLOOKUP(Table__192.168.1.150_M_CONSOLIDATED_Delinquency_Compulsory_EOM[[#This Row],[Client No]],'Global Portfolio'!$B$2:$N$2500,10,FALSE)</f>
        <v>Real Estate and Rental</v>
      </c>
      <c r="AA311" s="105" t="str">
        <f>VLOOKUP(Table__192.168.1.150_M_CONSOLIDATED_Delinquency_Compulsory_EOM[[#This Row],[Client No]],'Global Portfolio'!$B$2:$N$2500,11,FALSE)</f>
        <v>Rental</v>
      </c>
      <c r="AB311" s="105" t="str">
        <f>VLOOKUP(Table__192.168.1.150_M_CONSOLIDATED_Delinquency_Compulsory_EOM[[#This Row],[Client No]],'Global Portfolio'!$B$2:$N$2500,12,FALSE)</f>
        <v>General Rental Centers</v>
      </c>
    </row>
    <row r="312" spans="1:28" x14ac:dyDescent="0.25">
      <c r="A312">
        <v>102909</v>
      </c>
      <c r="B312" t="s">
        <v>1287</v>
      </c>
      <c r="C312" t="s">
        <v>1288</v>
      </c>
      <c r="D312" t="s">
        <v>1283</v>
      </c>
      <c r="E312">
        <v>-4</v>
      </c>
      <c r="F312">
        <v>61768300</v>
      </c>
      <c r="G312">
        <v>54191172.100000001</v>
      </c>
      <c r="H312">
        <v>2444651.81</v>
      </c>
      <c r="I312" t="s">
        <v>1447</v>
      </c>
      <c r="J312">
        <v>0</v>
      </c>
      <c r="K312">
        <v>0</v>
      </c>
      <c r="L312">
        <v>1354779.3</v>
      </c>
      <c r="M312">
        <v>90452116.590000004</v>
      </c>
      <c r="N312" s="143">
        <v>42679.558800775463</v>
      </c>
      <c r="O312" s="143">
        <v>44140</v>
      </c>
      <c r="P312" t="s">
        <v>1289</v>
      </c>
      <c r="Q312" t="s">
        <v>1290</v>
      </c>
      <c r="R312" t="s">
        <v>1280</v>
      </c>
      <c r="S312" t="s">
        <v>1510</v>
      </c>
      <c r="T312">
        <v>36</v>
      </c>
      <c r="U312">
        <f>IF(Table__192.168.1.150_M_CONSOLIDATED_Delinquency_Compulsory_EOM[[#This Row],[Days in Arrears]] &lt; 8, Table__192.168.1.150_M_CONSOLIDATED_Delinquency_Compulsory_EOM[[#This Row],[Outstanding Balance]], 0 )</f>
        <v>54191172.100000001</v>
      </c>
      <c r="V3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2" s="105" t="str">
        <f>VLOOKUP(Table__192.168.1.150_M_CONSOLIDATED_Delinquency_Compulsory_EOM[[#This Row],[Client No]],'Global Portfolio'!$B$2:$N$2500,10,FALSE)</f>
        <v>Real Estate and Rental</v>
      </c>
      <c r="AA312" s="105" t="str">
        <f>VLOOKUP(Table__192.168.1.150_M_CONSOLIDATED_Delinquency_Compulsory_EOM[[#This Row],[Client No]],'Global Portfolio'!$B$2:$N$2500,11,FALSE)</f>
        <v>Rental</v>
      </c>
      <c r="AB312" s="105" t="str">
        <f>VLOOKUP(Table__192.168.1.150_M_CONSOLIDATED_Delinquency_Compulsory_EOM[[#This Row],[Client No]],'Global Portfolio'!$B$2:$N$2500,12,FALSE)</f>
        <v>General Rental Centers</v>
      </c>
    </row>
    <row r="313" spans="1:28" x14ac:dyDescent="0.25">
      <c r="A313">
        <v>102916</v>
      </c>
      <c r="B313" t="s">
        <v>3331</v>
      </c>
      <c r="C313" t="s">
        <v>3332</v>
      </c>
      <c r="D313" t="s">
        <v>1866</v>
      </c>
      <c r="E313">
        <v>-10</v>
      </c>
      <c r="F313">
        <v>6000000</v>
      </c>
      <c r="G313">
        <v>604832.24</v>
      </c>
      <c r="H313">
        <v>627009.4</v>
      </c>
      <c r="I313" t="s">
        <v>1448</v>
      </c>
      <c r="J313">
        <v>0</v>
      </c>
      <c r="K313">
        <v>600000</v>
      </c>
      <c r="L313">
        <v>14045.55</v>
      </c>
      <c r="M313">
        <v>627009.42000000004</v>
      </c>
      <c r="N313" s="143">
        <v>42685.65754039352</v>
      </c>
      <c r="O313" s="143">
        <v>43050</v>
      </c>
      <c r="P313" t="s">
        <v>3333</v>
      </c>
      <c r="Q313" t="s">
        <v>3334</v>
      </c>
      <c r="R313" t="s">
        <v>1280</v>
      </c>
      <c r="S313" t="s">
        <v>1510</v>
      </c>
      <c r="T313">
        <v>44</v>
      </c>
      <c r="U313">
        <f>IF(Table__192.168.1.150_M_CONSOLIDATED_Delinquency_Compulsory_EOM[[#This Row],[Days in Arrears]] &lt; 8, Table__192.168.1.150_M_CONSOLIDATED_Delinquency_Compulsory_EOM[[#This Row],[Outstanding Balance]], 0 )</f>
        <v>604832.24</v>
      </c>
      <c r="V3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3" s="105" t="str">
        <f>VLOOKUP(Table__192.168.1.150_M_CONSOLIDATED_Delinquency_Compulsory_EOM[[#This Row],[Client No]],'Global Portfolio'!$B$2:$N$2500,10,FALSE)</f>
        <v>Real Estate and Rental</v>
      </c>
      <c r="AA313" s="105" t="str">
        <f>VLOOKUP(Table__192.168.1.150_M_CONSOLIDATED_Delinquency_Compulsory_EOM[[#This Row],[Client No]],'Global Portfolio'!$B$2:$N$2500,11,FALSE)</f>
        <v>Rental</v>
      </c>
      <c r="AB313" s="105" t="str">
        <f>VLOOKUP(Table__192.168.1.150_M_CONSOLIDATED_Delinquency_Compulsory_EOM[[#This Row],[Client No]],'Global Portfolio'!$B$2:$N$2500,12,FALSE)</f>
        <v>Others</v>
      </c>
    </row>
    <row r="314" spans="1:28" x14ac:dyDescent="0.25">
      <c r="A314">
        <v>102917</v>
      </c>
      <c r="B314" t="s">
        <v>890</v>
      </c>
      <c r="C314" t="s">
        <v>891</v>
      </c>
      <c r="D314" t="s">
        <v>1284</v>
      </c>
      <c r="E314">
        <v>-11</v>
      </c>
      <c r="F314">
        <v>50000000</v>
      </c>
      <c r="G314">
        <v>39918129.57</v>
      </c>
      <c r="H314">
        <v>2292413.19</v>
      </c>
      <c r="I314" t="s">
        <v>546</v>
      </c>
      <c r="J314">
        <v>1761718.79</v>
      </c>
      <c r="K314">
        <v>0</v>
      </c>
      <c r="L314">
        <v>1947959.61</v>
      </c>
      <c r="M314">
        <v>57310329.990000002</v>
      </c>
      <c r="N314" s="143">
        <v>42685.711265127313</v>
      </c>
      <c r="O314" s="143">
        <v>43781</v>
      </c>
      <c r="P314" t="s">
        <v>892</v>
      </c>
      <c r="Q314" t="s">
        <v>893</v>
      </c>
      <c r="R314" t="s">
        <v>1280</v>
      </c>
      <c r="S314" t="s">
        <v>1510</v>
      </c>
      <c r="T314">
        <v>36</v>
      </c>
      <c r="U314">
        <f>IF(Table__192.168.1.150_M_CONSOLIDATED_Delinquency_Compulsory_EOM[[#This Row],[Days in Arrears]] &lt; 8, Table__192.168.1.150_M_CONSOLIDATED_Delinquency_Compulsory_EOM[[#This Row],[Outstanding Balance]], 0 )</f>
        <v>39918129.57</v>
      </c>
      <c r="V3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4" s="105" t="str">
        <f>VLOOKUP(Table__192.168.1.150_M_CONSOLIDATED_Delinquency_Compulsory_EOM[[#This Row],[Client No]],'Global Portfolio'!$B$2:$N$2500,10,FALSE)</f>
        <v>Retail</v>
      </c>
      <c r="AA314" s="105" t="str">
        <f>VLOOKUP(Table__192.168.1.150_M_CONSOLIDATED_Delinquency_Compulsory_EOM[[#This Row],[Client No]],'Global Portfolio'!$B$2:$N$2500,11,FALSE)</f>
        <v>Others</v>
      </c>
      <c r="AB314" s="105" t="str">
        <f>VLOOKUP(Table__192.168.1.150_M_CONSOLIDATED_Delinquency_Compulsory_EOM[[#This Row],[Client No]],'Global Portfolio'!$B$2:$N$2500,12,FALSE)</f>
        <v>Others</v>
      </c>
    </row>
    <row r="315" spans="1:28" x14ac:dyDescent="0.25">
      <c r="A315">
        <v>102918</v>
      </c>
      <c r="B315" t="s">
        <v>3328</v>
      </c>
      <c r="C315" t="s">
        <v>3335</v>
      </c>
      <c r="D315" t="s">
        <v>1279</v>
      </c>
      <c r="E315">
        <v>-19</v>
      </c>
      <c r="F315">
        <v>5000000</v>
      </c>
      <c r="G315">
        <v>531497.32999999996</v>
      </c>
      <c r="H315">
        <v>555414.64</v>
      </c>
      <c r="I315" t="s">
        <v>86</v>
      </c>
      <c r="J315">
        <v>0</v>
      </c>
      <c r="K315">
        <v>500000</v>
      </c>
      <c r="L315">
        <v>7972.46</v>
      </c>
      <c r="M315">
        <v>555414.71</v>
      </c>
      <c r="N315" s="143">
        <v>42685.73570690972</v>
      </c>
      <c r="O315" s="143">
        <v>43059</v>
      </c>
      <c r="P315" t="s">
        <v>3336</v>
      </c>
      <c r="Q315" t="s">
        <v>3337</v>
      </c>
      <c r="R315" t="s">
        <v>1280</v>
      </c>
      <c r="S315" t="s">
        <v>1510</v>
      </c>
      <c r="T315">
        <v>54</v>
      </c>
      <c r="U315">
        <f>IF(Table__192.168.1.150_M_CONSOLIDATED_Delinquency_Compulsory_EOM[[#This Row],[Days in Arrears]] &lt; 8, Table__192.168.1.150_M_CONSOLIDATED_Delinquency_Compulsory_EOM[[#This Row],[Outstanding Balance]], 0 )</f>
        <v>531497.32999999996</v>
      </c>
      <c r="V3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5" s="105" t="e">
        <f>VLOOKUP(Table__192.168.1.150_M_CONSOLIDATED_Delinquency_Compulsory_EOM[[#This Row],[Client No]],'Global Portfolio'!$B$2:$N$2500,10,FALSE)</f>
        <v>#N/A</v>
      </c>
      <c r="AA315" s="105" t="e">
        <f>VLOOKUP(Table__192.168.1.150_M_CONSOLIDATED_Delinquency_Compulsory_EOM[[#This Row],[Client No]],'Global Portfolio'!$B$2:$N$2500,11,FALSE)</f>
        <v>#N/A</v>
      </c>
      <c r="AB315" s="105" t="e">
        <f>VLOOKUP(Table__192.168.1.150_M_CONSOLIDATED_Delinquency_Compulsory_EOM[[#This Row],[Client No]],'Global Portfolio'!$B$2:$N$2500,12,FALSE)</f>
        <v>#N/A</v>
      </c>
    </row>
    <row r="316" spans="1:28" x14ac:dyDescent="0.25">
      <c r="A316">
        <v>102919</v>
      </c>
      <c r="B316" t="s">
        <v>3351</v>
      </c>
      <c r="C316" t="s">
        <v>3352</v>
      </c>
      <c r="D316" t="s">
        <v>1279</v>
      </c>
      <c r="E316">
        <v>19</v>
      </c>
      <c r="F316">
        <v>4000000</v>
      </c>
      <c r="G316">
        <v>821473.39</v>
      </c>
      <c r="H316">
        <v>438664.75</v>
      </c>
      <c r="I316" t="s">
        <v>5725</v>
      </c>
      <c r="J316">
        <v>0</v>
      </c>
      <c r="K316">
        <v>0</v>
      </c>
      <c r="L316">
        <v>48300.22</v>
      </c>
      <c r="M316">
        <v>877329.56</v>
      </c>
      <c r="N316" s="143">
        <v>42686.502644872686</v>
      </c>
      <c r="O316" s="143">
        <v>43051</v>
      </c>
      <c r="P316" t="s">
        <v>3353</v>
      </c>
      <c r="Q316" t="s">
        <v>3354</v>
      </c>
      <c r="R316" t="s">
        <v>1280</v>
      </c>
      <c r="S316" t="s">
        <v>1510</v>
      </c>
      <c r="T316">
        <v>54</v>
      </c>
      <c r="U316">
        <f>IF(Table__192.168.1.150_M_CONSOLIDATED_Delinquency_Compulsory_EOM[[#This Row],[Days in Arrears]] &lt; 8, Table__192.168.1.150_M_CONSOLIDATED_Delinquency_Compulsory_EOM[[#This Row],[Outstanding Balance]], 0 )</f>
        <v>0</v>
      </c>
      <c r="V3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821473.39</v>
      </c>
      <c r="W3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6" s="105" t="str">
        <f>VLOOKUP(Table__192.168.1.150_M_CONSOLIDATED_Delinquency_Compulsory_EOM[[#This Row],[Client No]],'Global Portfolio'!$B$2:$N$2500,10,FALSE)</f>
        <v>Educational Services</v>
      </c>
      <c r="AA316" s="105" t="str">
        <f>VLOOKUP(Table__192.168.1.150_M_CONSOLIDATED_Delinquency_Compulsory_EOM[[#This Row],[Client No]],'Global Portfolio'!$B$2:$N$2500,11,FALSE)</f>
        <v>Educational Services</v>
      </c>
      <c r="AB316" s="105" t="str">
        <f>VLOOKUP(Table__192.168.1.150_M_CONSOLIDATED_Delinquency_Compulsory_EOM[[#This Row],[Client No]],'Global Portfolio'!$B$2:$N$2500,12,FALSE)</f>
        <v>Schools</v>
      </c>
    </row>
    <row r="317" spans="1:28" x14ac:dyDescent="0.25">
      <c r="A317">
        <v>102920</v>
      </c>
      <c r="B317" t="s">
        <v>504</v>
      </c>
      <c r="C317" t="s">
        <v>505</v>
      </c>
      <c r="D317" t="s">
        <v>1284</v>
      </c>
      <c r="E317">
        <v>-11</v>
      </c>
      <c r="F317">
        <v>65000000</v>
      </c>
      <c r="G317">
        <v>6287103.0999999996</v>
      </c>
      <c r="H317">
        <v>6465237.6500000004</v>
      </c>
      <c r="I317" t="s">
        <v>491</v>
      </c>
      <c r="J317">
        <v>8811.75</v>
      </c>
      <c r="K317">
        <v>0</v>
      </c>
      <c r="L317">
        <v>106880.75</v>
      </c>
      <c r="M317">
        <v>6465237.6900000004</v>
      </c>
      <c r="N317" s="143">
        <v>42686.543894907409</v>
      </c>
      <c r="O317" s="143">
        <v>43051</v>
      </c>
      <c r="P317" t="s">
        <v>506</v>
      </c>
      <c r="Q317" t="s">
        <v>507</v>
      </c>
      <c r="R317" t="s">
        <v>1280</v>
      </c>
      <c r="S317" t="s">
        <v>1510</v>
      </c>
      <c r="T317">
        <v>34</v>
      </c>
      <c r="U317">
        <f>IF(Table__192.168.1.150_M_CONSOLIDATED_Delinquency_Compulsory_EOM[[#This Row],[Days in Arrears]] &lt; 8, Table__192.168.1.150_M_CONSOLIDATED_Delinquency_Compulsory_EOM[[#This Row],[Outstanding Balance]], 0 )</f>
        <v>6287103.0999999996</v>
      </c>
      <c r="V3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7" s="105" t="e">
        <f>VLOOKUP(Table__192.168.1.150_M_CONSOLIDATED_Delinquency_Compulsory_EOM[[#This Row],[Client No]],'Global Portfolio'!$B$2:$N$2500,10,FALSE)</f>
        <v>#N/A</v>
      </c>
      <c r="AA317" s="105" t="e">
        <f>VLOOKUP(Table__192.168.1.150_M_CONSOLIDATED_Delinquency_Compulsory_EOM[[#This Row],[Client No]],'Global Portfolio'!$B$2:$N$2500,11,FALSE)</f>
        <v>#N/A</v>
      </c>
      <c r="AB317" s="105" t="e">
        <f>VLOOKUP(Table__192.168.1.150_M_CONSOLIDATED_Delinquency_Compulsory_EOM[[#This Row],[Client No]],'Global Portfolio'!$B$2:$N$2500,12,FALSE)</f>
        <v>#N/A</v>
      </c>
    </row>
    <row r="318" spans="1:28" x14ac:dyDescent="0.25">
      <c r="A318">
        <v>102923</v>
      </c>
      <c r="B318" t="s">
        <v>1527</v>
      </c>
      <c r="C318" t="s">
        <v>1536</v>
      </c>
      <c r="D318" t="s">
        <v>1281</v>
      </c>
      <c r="E318">
        <v>-13</v>
      </c>
      <c r="F318">
        <v>16000000</v>
      </c>
      <c r="G318">
        <v>10265291.01</v>
      </c>
      <c r="H318">
        <v>996365.28</v>
      </c>
      <c r="I318" t="s">
        <v>468</v>
      </c>
      <c r="J318">
        <v>0</v>
      </c>
      <c r="K318">
        <v>0</v>
      </c>
      <c r="L318">
        <v>191618.77</v>
      </c>
      <c r="M318">
        <v>12952748.800000001</v>
      </c>
      <c r="N318" s="143">
        <v>42688.730867858794</v>
      </c>
      <c r="O318" s="143">
        <v>43418</v>
      </c>
      <c r="P318" t="s">
        <v>1537</v>
      </c>
      <c r="Q318" t="s">
        <v>1280</v>
      </c>
      <c r="R318" t="s">
        <v>1280</v>
      </c>
      <c r="S318" t="s">
        <v>1510</v>
      </c>
      <c r="T318">
        <v>42</v>
      </c>
      <c r="U318">
        <f>IF(Table__192.168.1.150_M_CONSOLIDATED_Delinquency_Compulsory_EOM[[#This Row],[Days in Arrears]] &lt; 8, Table__192.168.1.150_M_CONSOLIDATED_Delinquency_Compulsory_EOM[[#This Row],[Outstanding Balance]], 0 )</f>
        <v>10265291.01</v>
      </c>
      <c r="V3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8" s="105" t="str">
        <f>VLOOKUP(Table__192.168.1.150_M_CONSOLIDATED_Delinquency_Compulsory_EOM[[#This Row],[Client No]],'Global Portfolio'!$B$2:$N$2500,10,FALSE)</f>
        <v>Retail</v>
      </c>
      <c r="AA318" s="105" t="str">
        <f>VLOOKUP(Table__192.168.1.150_M_CONSOLIDATED_Delinquency_Compulsory_EOM[[#This Row],[Client No]],'Global Portfolio'!$B$2:$N$2500,11,FALSE)</f>
        <v>Building Material and Garden Equipment</v>
      </c>
      <c r="AB318" s="105" t="str">
        <f>VLOOKUP(Table__192.168.1.150_M_CONSOLIDATED_Delinquency_Compulsory_EOM[[#This Row],[Client No]],'Global Portfolio'!$B$2:$N$2500,12,FALSE)</f>
        <v>Hardware Stores</v>
      </c>
    </row>
    <row r="319" spans="1:28" x14ac:dyDescent="0.25">
      <c r="A319">
        <v>102926</v>
      </c>
      <c r="B319" t="s">
        <v>3373</v>
      </c>
      <c r="C319" t="s">
        <v>3375</v>
      </c>
      <c r="D319" t="s">
        <v>1281</v>
      </c>
      <c r="E319">
        <v>16</v>
      </c>
      <c r="F319">
        <v>16000000</v>
      </c>
      <c r="G319">
        <v>3215479.8</v>
      </c>
      <c r="H319">
        <v>1704834.76</v>
      </c>
      <c r="I319" t="s">
        <v>2494</v>
      </c>
      <c r="J319">
        <v>0</v>
      </c>
      <c r="K319">
        <v>1200000</v>
      </c>
      <c r="L319">
        <v>161404.47</v>
      </c>
      <c r="M319">
        <v>3409669.56</v>
      </c>
      <c r="N319" s="143">
        <v>42689.727213576392</v>
      </c>
      <c r="O319" s="143">
        <v>43054</v>
      </c>
      <c r="P319" t="s">
        <v>3376</v>
      </c>
      <c r="Q319" t="s">
        <v>1280</v>
      </c>
      <c r="R319" t="s">
        <v>1280</v>
      </c>
      <c r="S319" t="s">
        <v>1510</v>
      </c>
      <c r="T319">
        <v>48</v>
      </c>
      <c r="U319">
        <f>IF(Table__192.168.1.150_M_CONSOLIDATED_Delinquency_Compulsory_EOM[[#This Row],[Days in Arrears]] &lt; 8, Table__192.168.1.150_M_CONSOLIDATED_Delinquency_Compulsory_EOM[[#This Row],[Outstanding Balance]], 0 )</f>
        <v>0</v>
      </c>
      <c r="V3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3215479.8</v>
      </c>
      <c r="W3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19" s="105" t="str">
        <f>VLOOKUP(Table__192.168.1.150_M_CONSOLIDATED_Delinquency_Compulsory_EOM[[#This Row],[Client No]],'Global Portfolio'!$B$2:$N$2500,10,FALSE)</f>
        <v>Transportation and Warehousing</v>
      </c>
      <c r="AA319" s="105" t="str">
        <f>VLOOKUP(Table__192.168.1.150_M_CONSOLIDATED_Delinquency_Compulsory_EOM[[#This Row],[Client No]],'Global Portfolio'!$B$2:$N$2500,11,FALSE)</f>
        <v xml:space="preserve"> Passenger Transportation</v>
      </c>
      <c r="AB319" s="105" t="str">
        <f>VLOOKUP(Table__192.168.1.150_M_CONSOLIDATED_Delinquency_Compulsory_EOM[[#This Row],[Client No]],'Global Portfolio'!$B$2:$N$2500,12,FALSE)</f>
        <v>Taxi service</v>
      </c>
    </row>
    <row r="320" spans="1:28" x14ac:dyDescent="0.25">
      <c r="A320">
        <v>102928</v>
      </c>
      <c r="B320" t="s">
        <v>3385</v>
      </c>
      <c r="C320" t="s">
        <v>3390</v>
      </c>
      <c r="D320" t="s">
        <v>1284</v>
      </c>
      <c r="E320">
        <v>15</v>
      </c>
      <c r="F320">
        <v>25000000</v>
      </c>
      <c r="G320">
        <v>20699417.469999999</v>
      </c>
      <c r="H320">
        <v>1202753.77</v>
      </c>
      <c r="I320" t="s">
        <v>491</v>
      </c>
      <c r="J320">
        <v>0</v>
      </c>
      <c r="K320">
        <v>0</v>
      </c>
      <c r="L320">
        <v>708118.97</v>
      </c>
      <c r="M320">
        <v>30975722.079999998</v>
      </c>
      <c r="N320" s="143">
        <v>42690.685126122684</v>
      </c>
      <c r="O320" s="143">
        <v>43785</v>
      </c>
      <c r="P320" t="s">
        <v>3391</v>
      </c>
      <c r="Q320" t="s">
        <v>3392</v>
      </c>
      <c r="R320" t="s">
        <v>1280</v>
      </c>
      <c r="S320" t="s">
        <v>1510</v>
      </c>
      <c r="T320">
        <v>40</v>
      </c>
      <c r="U320">
        <f>IF(Table__192.168.1.150_M_CONSOLIDATED_Delinquency_Compulsory_EOM[[#This Row],[Days in Arrears]] &lt; 8, Table__192.168.1.150_M_CONSOLIDATED_Delinquency_Compulsory_EOM[[#This Row],[Outstanding Balance]], 0 )</f>
        <v>0</v>
      </c>
      <c r="V3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20699417.469999999</v>
      </c>
      <c r="W3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0" s="105" t="str">
        <f>VLOOKUP(Table__192.168.1.150_M_CONSOLIDATED_Delinquency_Compulsory_EOM[[#This Row],[Client No]],'Global Portfolio'!$B$2:$N$2500,10,FALSE)</f>
        <v>Real Estate and Rental</v>
      </c>
      <c r="AA320" s="105" t="str">
        <f>VLOOKUP(Table__192.168.1.150_M_CONSOLIDATED_Delinquency_Compulsory_EOM[[#This Row],[Client No]],'Global Portfolio'!$B$2:$N$2500,11,FALSE)</f>
        <v>Rental</v>
      </c>
      <c r="AB320" s="105" t="str">
        <f>VLOOKUP(Table__192.168.1.150_M_CONSOLIDATED_Delinquency_Compulsory_EOM[[#This Row],[Client No]],'Global Portfolio'!$B$2:$N$2500,12,FALSE)</f>
        <v>General Rental Centers</v>
      </c>
    </row>
    <row r="321" spans="1:28" x14ac:dyDescent="0.25">
      <c r="A321">
        <v>102929</v>
      </c>
      <c r="B321" t="s">
        <v>919</v>
      </c>
      <c r="C321" t="s">
        <v>920</v>
      </c>
      <c r="D321" t="s">
        <v>1284</v>
      </c>
      <c r="E321">
        <v>-16</v>
      </c>
      <c r="F321">
        <v>65000000</v>
      </c>
      <c r="G321">
        <v>57026438.890000001</v>
      </c>
      <c r="H321">
        <v>2572555.2999999998</v>
      </c>
      <c r="I321" t="s">
        <v>90</v>
      </c>
      <c r="J321">
        <v>2579097.3199999998</v>
      </c>
      <c r="K321">
        <v>0</v>
      </c>
      <c r="L321">
        <v>741343.71</v>
      </c>
      <c r="M321">
        <v>95184545.760000005</v>
      </c>
      <c r="N321" s="143">
        <v>42691.430251157406</v>
      </c>
      <c r="O321" s="143">
        <v>44152</v>
      </c>
      <c r="P321" t="s">
        <v>921</v>
      </c>
      <c r="Q321" t="s">
        <v>922</v>
      </c>
      <c r="R321" t="s">
        <v>1280</v>
      </c>
      <c r="S321" t="s">
        <v>1510</v>
      </c>
      <c r="T321">
        <v>36</v>
      </c>
      <c r="U321">
        <f>IF(Table__192.168.1.150_M_CONSOLIDATED_Delinquency_Compulsory_EOM[[#This Row],[Days in Arrears]] &lt; 8, Table__192.168.1.150_M_CONSOLIDATED_Delinquency_Compulsory_EOM[[#This Row],[Outstanding Balance]], 0 )</f>
        <v>57026438.890000001</v>
      </c>
      <c r="V3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1" s="105" t="str">
        <f>VLOOKUP(Table__192.168.1.150_M_CONSOLIDATED_Delinquency_Compulsory_EOM[[#This Row],[Client No]],'Global Portfolio'!$B$2:$N$2500,10,FALSE)</f>
        <v>Real Estate and Rental</v>
      </c>
      <c r="AA321" s="105" t="str">
        <f>VLOOKUP(Table__192.168.1.150_M_CONSOLIDATED_Delinquency_Compulsory_EOM[[#This Row],[Client No]],'Global Portfolio'!$B$2:$N$2500,11,FALSE)</f>
        <v>Rental</v>
      </c>
      <c r="AB321" s="105" t="str">
        <f>VLOOKUP(Table__192.168.1.150_M_CONSOLIDATED_Delinquency_Compulsory_EOM[[#This Row],[Client No]],'Global Portfolio'!$B$2:$N$2500,12,FALSE)</f>
        <v>Others</v>
      </c>
    </row>
    <row r="322" spans="1:28" x14ac:dyDescent="0.25">
      <c r="A322">
        <v>102932</v>
      </c>
      <c r="B322" t="s">
        <v>3393</v>
      </c>
      <c r="C322" t="s">
        <v>3406</v>
      </c>
      <c r="D322" t="s">
        <v>1283</v>
      </c>
      <c r="E322">
        <v>-16</v>
      </c>
      <c r="F322">
        <v>65000000</v>
      </c>
      <c r="G322">
        <v>51843235.170000002</v>
      </c>
      <c r="H322">
        <v>2977246.62</v>
      </c>
      <c r="I322" t="s">
        <v>86</v>
      </c>
      <c r="J322">
        <v>0</v>
      </c>
      <c r="K322">
        <v>0</v>
      </c>
      <c r="L322">
        <v>673962.06</v>
      </c>
      <c r="M322">
        <v>74431165.659999996</v>
      </c>
      <c r="N322" s="143">
        <v>42691.780292905096</v>
      </c>
      <c r="O322" s="143">
        <v>43786</v>
      </c>
      <c r="P322" t="s">
        <v>3407</v>
      </c>
      <c r="Q322" t="s">
        <v>3408</v>
      </c>
      <c r="R322" t="s">
        <v>1280</v>
      </c>
      <c r="S322" t="s">
        <v>1510</v>
      </c>
      <c r="T322">
        <v>36</v>
      </c>
      <c r="U322">
        <f>IF(Table__192.168.1.150_M_CONSOLIDATED_Delinquency_Compulsory_EOM[[#This Row],[Days in Arrears]] &lt; 8, Table__192.168.1.150_M_CONSOLIDATED_Delinquency_Compulsory_EOM[[#This Row],[Outstanding Balance]], 0 )</f>
        <v>51843235.170000002</v>
      </c>
      <c r="V3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2" s="105" t="str">
        <f>VLOOKUP(Table__192.168.1.150_M_CONSOLIDATED_Delinquency_Compulsory_EOM[[#This Row],[Client No]],'Global Portfolio'!$B$2:$N$2500,10,FALSE)</f>
        <v>Manufacturing</v>
      </c>
      <c r="AA322" s="105" t="str">
        <f>VLOOKUP(Table__192.168.1.150_M_CONSOLIDATED_Delinquency_Compulsory_EOM[[#This Row],[Client No]],'Global Portfolio'!$B$2:$N$2500,11,FALSE)</f>
        <v>Apparel Manufacturing</v>
      </c>
      <c r="AB322" s="105" t="str">
        <f>VLOOKUP(Table__192.168.1.150_M_CONSOLIDATED_Delinquency_Compulsory_EOM[[#This Row],[Client No]],'Global Portfolio'!$B$2:$N$2500,12,FALSE)</f>
        <v>Apparel Manufacturing</v>
      </c>
    </row>
    <row r="323" spans="1:28" x14ac:dyDescent="0.25">
      <c r="A323">
        <v>102933</v>
      </c>
      <c r="B323" t="s">
        <v>79</v>
      </c>
      <c r="C323" t="s">
        <v>241</v>
      </c>
      <c r="D323" t="s">
        <v>1283</v>
      </c>
      <c r="E323">
        <v>72</v>
      </c>
      <c r="F323">
        <v>50000000</v>
      </c>
      <c r="G323">
        <v>37085030.789999999</v>
      </c>
      <c r="H323">
        <v>2952370.8</v>
      </c>
      <c r="I323" t="s">
        <v>5725</v>
      </c>
      <c r="J323">
        <v>0</v>
      </c>
      <c r="K323">
        <v>0</v>
      </c>
      <c r="L323">
        <v>1645597.57</v>
      </c>
      <c r="M323">
        <v>46748868.259999998</v>
      </c>
      <c r="N323" s="143">
        <v>42693.545957638889</v>
      </c>
      <c r="O323" s="143">
        <v>43423</v>
      </c>
      <c r="P323" t="s">
        <v>242</v>
      </c>
      <c r="Q323" t="s">
        <v>1280</v>
      </c>
      <c r="R323" t="s">
        <v>1280</v>
      </c>
      <c r="S323" t="s">
        <v>1510</v>
      </c>
      <c r="T323">
        <v>36</v>
      </c>
      <c r="U323">
        <f>IF(Table__192.168.1.150_M_CONSOLIDATED_Delinquency_Compulsory_EOM[[#This Row],[Days in Arrears]] &lt; 8, Table__192.168.1.150_M_CONSOLIDATED_Delinquency_Compulsory_EOM[[#This Row],[Outstanding Balance]], 0 )</f>
        <v>0</v>
      </c>
      <c r="V3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37085030.789999999</v>
      </c>
      <c r="Y3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3" s="105" t="str">
        <f>VLOOKUP(Table__192.168.1.150_M_CONSOLIDATED_Delinquency_Compulsory_EOM[[#This Row],[Client No]],'Global Portfolio'!$B$2:$N$2500,10,FALSE)</f>
        <v>Wholesale Trade</v>
      </c>
      <c r="AA323" s="105" t="str">
        <f>VLOOKUP(Table__192.168.1.150_M_CONSOLIDATED_Delinquency_Compulsory_EOM[[#This Row],[Client No]],'Global Portfolio'!$B$2:$N$2500,11,FALSE)</f>
        <v>Nondurable Goods</v>
      </c>
      <c r="AB323" s="105" t="str">
        <f>VLOOKUP(Table__192.168.1.150_M_CONSOLIDATED_Delinquency_Compulsory_EOM[[#This Row],[Client No]],'Global Portfolio'!$B$2:$N$2500,12,FALSE)</f>
        <v>Farm Product Raw Materials</v>
      </c>
    </row>
    <row r="324" spans="1:28" x14ac:dyDescent="0.25">
      <c r="A324">
        <v>102935</v>
      </c>
      <c r="B324" t="s">
        <v>1051</v>
      </c>
      <c r="C324" t="s">
        <v>1052</v>
      </c>
      <c r="D324" t="s">
        <v>1284</v>
      </c>
      <c r="E324">
        <v>-20</v>
      </c>
      <c r="F324">
        <v>20000000</v>
      </c>
      <c r="G324">
        <v>15951764.710000001</v>
      </c>
      <c r="H324">
        <v>916075.88</v>
      </c>
      <c r="I324" t="s">
        <v>3074</v>
      </c>
      <c r="J324">
        <v>0</v>
      </c>
      <c r="K324">
        <v>1000000</v>
      </c>
      <c r="L324">
        <v>143565.88</v>
      </c>
      <c r="M324">
        <v>22901897.23</v>
      </c>
      <c r="N324" s="143">
        <v>42695.465715706021</v>
      </c>
      <c r="O324" s="143">
        <v>43790</v>
      </c>
      <c r="P324" t="s">
        <v>1053</v>
      </c>
      <c r="Q324" t="s">
        <v>1280</v>
      </c>
      <c r="R324" t="s">
        <v>1280</v>
      </c>
      <c r="S324" t="s">
        <v>1510</v>
      </c>
      <c r="T324">
        <v>36</v>
      </c>
      <c r="U324">
        <f>IF(Table__192.168.1.150_M_CONSOLIDATED_Delinquency_Compulsory_EOM[[#This Row],[Days in Arrears]] &lt; 8, Table__192.168.1.150_M_CONSOLIDATED_Delinquency_Compulsory_EOM[[#This Row],[Outstanding Balance]], 0 )</f>
        <v>15951764.710000001</v>
      </c>
      <c r="V3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4" s="105" t="str">
        <f>VLOOKUP(Table__192.168.1.150_M_CONSOLIDATED_Delinquency_Compulsory_EOM[[#This Row],[Client No]],'Global Portfolio'!$B$2:$N$2500,10,FALSE)</f>
        <v>Agriculture, Forestry, Fishing and Hunting</v>
      </c>
      <c r="AA324" s="105" t="str">
        <f>VLOOKUP(Table__192.168.1.150_M_CONSOLIDATED_Delinquency_Compulsory_EOM[[#This Row],[Client No]],'Global Portfolio'!$B$2:$N$2500,11,FALSE)</f>
        <v>Animal Production</v>
      </c>
      <c r="AB324" s="105" t="str">
        <f>VLOOKUP(Table__192.168.1.150_M_CONSOLIDATED_Delinquency_Compulsory_EOM[[#This Row],[Client No]],'Global Portfolio'!$B$2:$N$2500,12,FALSE)</f>
        <v>Poultry &amp; Egg Production</v>
      </c>
    </row>
    <row r="325" spans="1:28" x14ac:dyDescent="0.25">
      <c r="A325">
        <v>102936</v>
      </c>
      <c r="B325" t="s">
        <v>3446</v>
      </c>
      <c r="C325" t="s">
        <v>3447</v>
      </c>
      <c r="D325" t="s">
        <v>1282</v>
      </c>
      <c r="E325">
        <v>-21</v>
      </c>
      <c r="F325">
        <v>3000000</v>
      </c>
      <c r="G325">
        <v>307362.03000000003</v>
      </c>
      <c r="H325">
        <v>319656.52</v>
      </c>
      <c r="I325" t="s">
        <v>90</v>
      </c>
      <c r="J325">
        <v>0</v>
      </c>
      <c r="K325">
        <v>300000</v>
      </c>
      <c r="L325">
        <v>3278.53</v>
      </c>
      <c r="M325">
        <v>319656.51</v>
      </c>
      <c r="N325" s="143">
        <v>42696.624011689812</v>
      </c>
      <c r="O325" s="143">
        <v>43061</v>
      </c>
      <c r="P325" t="s">
        <v>3448</v>
      </c>
      <c r="Q325" t="s">
        <v>3449</v>
      </c>
      <c r="R325" t="s">
        <v>1280</v>
      </c>
      <c r="S325" t="s">
        <v>1510</v>
      </c>
      <c r="T325">
        <v>48</v>
      </c>
      <c r="U325">
        <f>IF(Table__192.168.1.150_M_CONSOLIDATED_Delinquency_Compulsory_EOM[[#This Row],[Days in Arrears]] &lt; 8, Table__192.168.1.150_M_CONSOLIDATED_Delinquency_Compulsory_EOM[[#This Row],[Outstanding Balance]], 0 )</f>
        <v>307362.03000000003</v>
      </c>
      <c r="V3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5" s="105" t="str">
        <f>VLOOKUP(Table__192.168.1.150_M_CONSOLIDATED_Delinquency_Compulsory_EOM[[#This Row],[Client No]],'Global Portfolio'!$B$2:$N$2500,10,FALSE)</f>
        <v>Real Estate and Rental</v>
      </c>
      <c r="AA325" s="105" t="str">
        <f>VLOOKUP(Table__192.168.1.150_M_CONSOLIDATED_Delinquency_Compulsory_EOM[[#This Row],[Client No]],'Global Portfolio'!$B$2:$N$2500,11,FALSE)</f>
        <v>Rental</v>
      </c>
      <c r="AB325" s="105" t="str">
        <f>VLOOKUP(Table__192.168.1.150_M_CONSOLIDATED_Delinquency_Compulsory_EOM[[#This Row],[Client No]],'Global Portfolio'!$B$2:$N$2500,12,FALSE)</f>
        <v>Others</v>
      </c>
    </row>
    <row r="326" spans="1:28" x14ac:dyDescent="0.25">
      <c r="A326">
        <v>102937</v>
      </c>
      <c r="B326" t="s">
        <v>1446</v>
      </c>
      <c r="C326" t="s">
        <v>1476</v>
      </c>
      <c r="D326" t="s">
        <v>1283</v>
      </c>
      <c r="E326">
        <v>-21</v>
      </c>
      <c r="F326">
        <v>35000000</v>
      </c>
      <c r="G326">
        <v>21978832.079999998</v>
      </c>
      <c r="H326">
        <v>2066659.56</v>
      </c>
      <c r="I326" t="s">
        <v>86</v>
      </c>
      <c r="J326">
        <v>0</v>
      </c>
      <c r="K326">
        <v>1750000</v>
      </c>
      <c r="L326">
        <v>175830.66</v>
      </c>
      <c r="M326">
        <v>26866574.23</v>
      </c>
      <c r="N326" s="143">
        <v>42696.410496215278</v>
      </c>
      <c r="O326" s="143">
        <v>43426</v>
      </c>
      <c r="P326" t="s">
        <v>1477</v>
      </c>
      <c r="Q326" t="s">
        <v>1478</v>
      </c>
      <c r="R326" t="s">
        <v>1280</v>
      </c>
      <c r="S326" t="s">
        <v>1510</v>
      </c>
      <c r="T326">
        <v>36</v>
      </c>
      <c r="U326">
        <f>IF(Table__192.168.1.150_M_CONSOLIDATED_Delinquency_Compulsory_EOM[[#This Row],[Days in Arrears]] &lt; 8, Table__192.168.1.150_M_CONSOLIDATED_Delinquency_Compulsory_EOM[[#This Row],[Outstanding Balance]], 0 )</f>
        <v>21978832.079999998</v>
      </c>
      <c r="V3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6" s="105" t="str">
        <f>VLOOKUP(Table__192.168.1.150_M_CONSOLIDATED_Delinquency_Compulsory_EOM[[#This Row],[Client No]],'Global Portfolio'!$B$2:$N$2500,10,FALSE)</f>
        <v>Transportation and Warehousing</v>
      </c>
      <c r="AA326" s="105" t="str">
        <f>VLOOKUP(Table__192.168.1.150_M_CONSOLIDATED_Delinquency_Compulsory_EOM[[#This Row],[Client No]],'Global Portfolio'!$B$2:$N$2500,11,FALSE)</f>
        <v>Truck Transportation</v>
      </c>
      <c r="AB326" s="105" t="str">
        <f>VLOOKUP(Table__192.168.1.150_M_CONSOLIDATED_Delinquency_Compulsory_EOM[[#This Row],[Client No]],'Global Portfolio'!$B$2:$N$2500,12,FALSE)</f>
        <v>Others</v>
      </c>
    </row>
    <row r="327" spans="1:28" x14ac:dyDescent="0.25">
      <c r="A327">
        <v>102938</v>
      </c>
      <c r="B327" t="s">
        <v>1561</v>
      </c>
      <c r="C327" t="s">
        <v>1587</v>
      </c>
      <c r="D327" t="s">
        <v>1283</v>
      </c>
      <c r="E327">
        <v>-21</v>
      </c>
      <c r="F327">
        <v>65000000</v>
      </c>
      <c r="G327">
        <v>51843235.170000002</v>
      </c>
      <c r="H327">
        <v>2977246.62</v>
      </c>
      <c r="I327" t="s">
        <v>2855</v>
      </c>
      <c r="J327">
        <v>30396.42</v>
      </c>
      <c r="K327">
        <v>1625000</v>
      </c>
      <c r="L327">
        <v>414745.88</v>
      </c>
      <c r="M327">
        <v>74431165.659999996</v>
      </c>
      <c r="N327" s="143">
        <v>42696.446680520836</v>
      </c>
      <c r="O327" s="143">
        <v>43791</v>
      </c>
      <c r="P327" t="s">
        <v>1588</v>
      </c>
      <c r="Q327" t="s">
        <v>1280</v>
      </c>
      <c r="R327" t="s">
        <v>1280</v>
      </c>
      <c r="S327" t="s">
        <v>1510</v>
      </c>
      <c r="T327">
        <v>36</v>
      </c>
      <c r="U327">
        <f>IF(Table__192.168.1.150_M_CONSOLIDATED_Delinquency_Compulsory_EOM[[#This Row],[Days in Arrears]] &lt; 8, Table__192.168.1.150_M_CONSOLIDATED_Delinquency_Compulsory_EOM[[#This Row],[Outstanding Balance]], 0 )</f>
        <v>51843235.170000002</v>
      </c>
      <c r="V3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7" s="105" t="str">
        <f>VLOOKUP(Table__192.168.1.150_M_CONSOLIDATED_Delinquency_Compulsory_EOM[[#This Row],[Client No]],'Global Portfolio'!$B$2:$N$2500,10,FALSE)</f>
        <v>Real Estate and Rental</v>
      </c>
      <c r="AA327" s="105" t="str">
        <f>VLOOKUP(Table__192.168.1.150_M_CONSOLIDATED_Delinquency_Compulsory_EOM[[#This Row],[Client No]],'Global Portfolio'!$B$2:$N$2500,11,FALSE)</f>
        <v>Rental</v>
      </c>
      <c r="AB327" s="105" t="str">
        <f>VLOOKUP(Table__192.168.1.150_M_CONSOLIDATED_Delinquency_Compulsory_EOM[[#This Row],[Client No]],'Global Portfolio'!$B$2:$N$2500,12,FALSE)</f>
        <v>Others</v>
      </c>
    </row>
    <row r="328" spans="1:28" x14ac:dyDescent="0.25">
      <c r="A328">
        <v>102939</v>
      </c>
      <c r="B328" t="s">
        <v>1670</v>
      </c>
      <c r="C328" t="s">
        <v>1671</v>
      </c>
      <c r="D328" t="s">
        <v>1283</v>
      </c>
      <c r="E328">
        <v>-21</v>
      </c>
      <c r="F328">
        <v>31000000</v>
      </c>
      <c r="G328">
        <v>24725235.219999999</v>
      </c>
      <c r="H328">
        <v>1419917.62</v>
      </c>
      <c r="I328" t="s">
        <v>2538</v>
      </c>
      <c r="J328">
        <v>33143.370000000003</v>
      </c>
      <c r="K328">
        <v>1550000</v>
      </c>
      <c r="L328">
        <v>197801.88</v>
      </c>
      <c r="M328">
        <v>35497940.5</v>
      </c>
      <c r="N328" s="143">
        <v>42696.639129594907</v>
      </c>
      <c r="O328" s="143">
        <v>43791</v>
      </c>
      <c r="P328" t="s">
        <v>1672</v>
      </c>
      <c r="Q328" t="s">
        <v>1280</v>
      </c>
      <c r="R328" t="s">
        <v>1280</v>
      </c>
      <c r="S328" t="s">
        <v>1510</v>
      </c>
      <c r="T328">
        <v>36</v>
      </c>
      <c r="U328">
        <f>IF(Table__192.168.1.150_M_CONSOLIDATED_Delinquency_Compulsory_EOM[[#This Row],[Days in Arrears]] &lt; 8, Table__192.168.1.150_M_CONSOLIDATED_Delinquency_Compulsory_EOM[[#This Row],[Outstanding Balance]], 0 )</f>
        <v>24725235.219999999</v>
      </c>
      <c r="V3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8" s="105" t="str">
        <f>VLOOKUP(Table__192.168.1.150_M_CONSOLIDATED_Delinquency_Compulsory_EOM[[#This Row],[Client No]],'Global Portfolio'!$B$2:$N$2500,10,FALSE)</f>
        <v>Educational Services</v>
      </c>
      <c r="AA328" s="105" t="str">
        <f>VLOOKUP(Table__192.168.1.150_M_CONSOLIDATED_Delinquency_Compulsory_EOM[[#This Row],[Client No]],'Global Portfolio'!$B$2:$N$2500,11,FALSE)</f>
        <v>Educational Services</v>
      </c>
      <c r="AB328" s="105" t="str">
        <f>VLOOKUP(Table__192.168.1.150_M_CONSOLIDATED_Delinquency_Compulsory_EOM[[#This Row],[Client No]],'Global Portfolio'!$B$2:$N$2500,12,FALSE)</f>
        <v>Schools</v>
      </c>
    </row>
    <row r="329" spans="1:28" x14ac:dyDescent="0.25">
      <c r="A329">
        <v>102942</v>
      </c>
      <c r="B329" t="s">
        <v>1495</v>
      </c>
      <c r="C329" t="s">
        <v>1496</v>
      </c>
      <c r="D329" t="s">
        <v>1281</v>
      </c>
      <c r="E329">
        <v>-23</v>
      </c>
      <c r="F329">
        <v>30000000</v>
      </c>
      <c r="G329">
        <v>24368329.510000002</v>
      </c>
      <c r="H329">
        <v>1478524.88</v>
      </c>
      <c r="I329" t="s">
        <v>90</v>
      </c>
      <c r="J329">
        <v>2203390.48</v>
      </c>
      <c r="K329">
        <v>0</v>
      </c>
      <c r="L329">
        <v>170578.31</v>
      </c>
      <c r="M329">
        <v>36963122.310000002</v>
      </c>
      <c r="N329" s="143">
        <v>42698.645172337965</v>
      </c>
      <c r="O329" s="143">
        <v>43793</v>
      </c>
      <c r="P329" t="s">
        <v>1497</v>
      </c>
      <c r="Q329" t="s">
        <v>1498</v>
      </c>
      <c r="R329" t="s">
        <v>1280</v>
      </c>
      <c r="S329" t="s">
        <v>1510</v>
      </c>
      <c r="T329">
        <v>42</v>
      </c>
      <c r="U329">
        <f>IF(Table__192.168.1.150_M_CONSOLIDATED_Delinquency_Compulsory_EOM[[#This Row],[Days in Arrears]] &lt; 8, Table__192.168.1.150_M_CONSOLIDATED_Delinquency_Compulsory_EOM[[#This Row],[Outstanding Balance]], 0 )</f>
        <v>24368329.510000002</v>
      </c>
      <c r="V3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29" s="105" t="str">
        <f>VLOOKUP(Table__192.168.1.150_M_CONSOLIDATED_Delinquency_Compulsory_EOM[[#This Row],[Client No]],'Global Portfolio'!$B$2:$N$2500,10,FALSE)</f>
        <v>Retail</v>
      </c>
      <c r="AA329" s="105" t="str">
        <f>VLOOKUP(Table__192.168.1.150_M_CONSOLIDATED_Delinquency_Compulsory_EOM[[#This Row],[Client No]],'Global Portfolio'!$B$2:$N$2500,11,FALSE)</f>
        <v>General Merchandise Stores</v>
      </c>
      <c r="AB329" s="105" t="str">
        <f>VLOOKUP(Table__192.168.1.150_M_CONSOLIDATED_Delinquency_Compulsory_EOM[[#This Row],[Client No]],'Global Portfolio'!$B$2:$N$2500,12,FALSE)</f>
        <v>Others</v>
      </c>
    </row>
    <row r="330" spans="1:28" x14ac:dyDescent="0.25">
      <c r="A330">
        <v>102944</v>
      </c>
      <c r="B330" t="s">
        <v>1119</v>
      </c>
      <c r="C330" t="s">
        <v>1120</v>
      </c>
      <c r="D330" t="s">
        <v>1282</v>
      </c>
      <c r="E330">
        <v>-23</v>
      </c>
      <c r="F330">
        <v>5000000</v>
      </c>
      <c r="G330">
        <v>524718.64</v>
      </c>
      <c r="H330">
        <v>548330.93999999994</v>
      </c>
      <c r="I330" t="s">
        <v>2855</v>
      </c>
      <c r="J330">
        <v>0</v>
      </c>
      <c r="K330">
        <v>0</v>
      </c>
      <c r="L330">
        <v>4722.47</v>
      </c>
      <c r="M330">
        <v>548330.98</v>
      </c>
      <c r="N330" s="143">
        <v>42698.594912384258</v>
      </c>
      <c r="O330" s="143">
        <v>43063</v>
      </c>
      <c r="P330" t="s">
        <v>1121</v>
      </c>
      <c r="Q330" t="s">
        <v>1122</v>
      </c>
      <c r="R330" t="s">
        <v>1280</v>
      </c>
      <c r="S330" t="s">
        <v>1510</v>
      </c>
      <c r="T330">
        <v>54</v>
      </c>
      <c r="U330">
        <f>IF(Table__192.168.1.150_M_CONSOLIDATED_Delinquency_Compulsory_EOM[[#This Row],[Days in Arrears]] &lt; 8, Table__192.168.1.150_M_CONSOLIDATED_Delinquency_Compulsory_EOM[[#This Row],[Outstanding Balance]], 0 )</f>
        <v>524718.64</v>
      </c>
      <c r="V3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0" s="105" t="str">
        <f>VLOOKUP(Table__192.168.1.150_M_CONSOLIDATED_Delinquency_Compulsory_EOM[[#This Row],[Client No]],'Global Portfolio'!$B$2:$N$2500,10,FALSE)</f>
        <v>Real Estate and Rental</v>
      </c>
      <c r="AA330" s="105" t="str">
        <f>VLOOKUP(Table__192.168.1.150_M_CONSOLIDATED_Delinquency_Compulsory_EOM[[#This Row],[Client No]],'Global Portfolio'!$B$2:$N$2500,11,FALSE)</f>
        <v>Rental</v>
      </c>
      <c r="AB330" s="105" t="str">
        <f>VLOOKUP(Table__192.168.1.150_M_CONSOLIDATED_Delinquency_Compulsory_EOM[[#This Row],[Client No]],'Global Portfolio'!$B$2:$N$2500,12,FALSE)</f>
        <v>General Rental Centers</v>
      </c>
    </row>
    <row r="331" spans="1:28" x14ac:dyDescent="0.25">
      <c r="A331">
        <v>102945</v>
      </c>
      <c r="B331" t="s">
        <v>1022</v>
      </c>
      <c r="C331" t="s">
        <v>1025</v>
      </c>
      <c r="D331" t="s">
        <v>1283</v>
      </c>
      <c r="E331">
        <v>-23</v>
      </c>
      <c r="F331">
        <v>55000000</v>
      </c>
      <c r="G331">
        <v>43867352.810000002</v>
      </c>
      <c r="H331">
        <v>2519208.6800000002</v>
      </c>
      <c r="I331" t="s">
        <v>468</v>
      </c>
      <c r="J331">
        <v>1389986.6</v>
      </c>
      <c r="K331">
        <v>0</v>
      </c>
      <c r="L331">
        <v>263204.12</v>
      </c>
      <c r="M331">
        <v>62980217.009999998</v>
      </c>
      <c r="N331" s="143">
        <v>42698.788664467589</v>
      </c>
      <c r="O331" s="143">
        <v>43793</v>
      </c>
      <c r="P331" t="s">
        <v>1026</v>
      </c>
      <c r="Q331" t="s">
        <v>1027</v>
      </c>
      <c r="R331" t="s">
        <v>1280</v>
      </c>
      <c r="S331" t="s">
        <v>1510</v>
      </c>
      <c r="T331">
        <v>36</v>
      </c>
      <c r="U331">
        <f>IF(Table__192.168.1.150_M_CONSOLIDATED_Delinquency_Compulsory_EOM[[#This Row],[Days in Arrears]] &lt; 8, Table__192.168.1.150_M_CONSOLIDATED_Delinquency_Compulsory_EOM[[#This Row],[Outstanding Balance]], 0 )</f>
        <v>43867352.810000002</v>
      </c>
      <c r="V3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1" s="105" t="str">
        <f>VLOOKUP(Table__192.168.1.150_M_CONSOLIDATED_Delinquency_Compulsory_EOM[[#This Row],[Client No]],'Global Portfolio'!$B$2:$N$2500,10,FALSE)</f>
        <v>Agriculture, Forestry, Fishing and Hunting</v>
      </c>
      <c r="AA331" s="105" t="str">
        <f>VLOOKUP(Table__192.168.1.150_M_CONSOLIDATED_Delinquency_Compulsory_EOM[[#This Row],[Client No]],'Global Portfolio'!$B$2:$N$2500,11,FALSE)</f>
        <v>Fishing and Hunting</v>
      </c>
      <c r="AB331" s="105" t="str">
        <f>VLOOKUP(Table__192.168.1.150_M_CONSOLIDATED_Delinquency_Compulsory_EOM[[#This Row],[Client No]],'Global Portfolio'!$B$2:$N$2500,12,FALSE)</f>
        <v>Fishing</v>
      </c>
    </row>
    <row r="332" spans="1:28" x14ac:dyDescent="0.25">
      <c r="A332">
        <v>102946</v>
      </c>
      <c r="B332" t="s">
        <v>776</v>
      </c>
      <c r="C332" t="s">
        <v>1870</v>
      </c>
      <c r="D332" t="s">
        <v>1282</v>
      </c>
      <c r="E332">
        <v>-1</v>
      </c>
      <c r="F332">
        <v>7000000</v>
      </c>
      <c r="G332">
        <v>1419397.29</v>
      </c>
      <c r="H332">
        <v>752558.87</v>
      </c>
      <c r="I332" t="s">
        <v>5167</v>
      </c>
      <c r="J332">
        <v>13838.68</v>
      </c>
      <c r="K332">
        <v>700000</v>
      </c>
      <c r="L332">
        <v>52990.83</v>
      </c>
      <c r="M332">
        <v>1505117.75</v>
      </c>
      <c r="N332" s="143">
        <v>42699.590798611112</v>
      </c>
      <c r="O332" s="143">
        <v>43071</v>
      </c>
      <c r="P332" t="s">
        <v>1871</v>
      </c>
      <c r="Q332" t="s">
        <v>1872</v>
      </c>
      <c r="R332" t="s">
        <v>1280</v>
      </c>
      <c r="S332" t="s">
        <v>1510</v>
      </c>
      <c r="T332">
        <v>48</v>
      </c>
      <c r="U332">
        <f>IF(Table__192.168.1.150_M_CONSOLIDATED_Delinquency_Compulsory_EOM[[#This Row],[Days in Arrears]] &lt; 8, Table__192.168.1.150_M_CONSOLIDATED_Delinquency_Compulsory_EOM[[#This Row],[Outstanding Balance]], 0 )</f>
        <v>1419397.29</v>
      </c>
      <c r="V3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2" s="105" t="str">
        <f>VLOOKUP(Table__192.168.1.150_M_CONSOLIDATED_Delinquency_Compulsory_EOM[[#This Row],[Client No]],'Global Portfolio'!$B$2:$N$2500,10,FALSE)</f>
        <v>Retail</v>
      </c>
      <c r="AA332" s="105" t="str">
        <f>VLOOKUP(Table__192.168.1.150_M_CONSOLIDATED_Delinquency_Compulsory_EOM[[#This Row],[Client No]],'Global Portfolio'!$B$2:$N$2500,11,FALSE)</f>
        <v>Motor Vehicle and Parts Dealers</v>
      </c>
      <c r="AB332" s="105" t="str">
        <f>VLOOKUP(Table__192.168.1.150_M_CONSOLIDATED_Delinquency_Compulsory_EOM[[#This Row],[Client No]],'Global Portfolio'!$B$2:$N$2500,12,FALSE)</f>
        <v>Others</v>
      </c>
    </row>
    <row r="333" spans="1:28" x14ac:dyDescent="0.25">
      <c r="A333">
        <v>102948</v>
      </c>
      <c r="B333" t="s">
        <v>457</v>
      </c>
      <c r="C333" t="s">
        <v>458</v>
      </c>
      <c r="D333" t="s">
        <v>1282</v>
      </c>
      <c r="E333">
        <v>-1</v>
      </c>
      <c r="F333">
        <v>12000000</v>
      </c>
      <c r="G333">
        <v>4847941.7699999996</v>
      </c>
      <c r="H333">
        <v>1088979.17</v>
      </c>
      <c r="I333" t="s">
        <v>963</v>
      </c>
      <c r="J333">
        <v>20.83</v>
      </c>
      <c r="K333">
        <v>1200000</v>
      </c>
      <c r="L333">
        <v>180989.83</v>
      </c>
      <c r="M333">
        <v>5444895.8200000003</v>
      </c>
      <c r="N333" s="143">
        <v>42699.680538541666</v>
      </c>
      <c r="O333" s="143">
        <v>43161</v>
      </c>
      <c r="P333" t="s">
        <v>459</v>
      </c>
      <c r="Q333" t="s">
        <v>460</v>
      </c>
      <c r="R333" t="s">
        <v>1280</v>
      </c>
      <c r="S333" t="s">
        <v>1510</v>
      </c>
      <c r="T333">
        <v>48</v>
      </c>
      <c r="U333">
        <f>IF(Table__192.168.1.150_M_CONSOLIDATED_Delinquency_Compulsory_EOM[[#This Row],[Days in Arrears]] &lt; 8, Table__192.168.1.150_M_CONSOLIDATED_Delinquency_Compulsory_EOM[[#This Row],[Outstanding Balance]], 0 )</f>
        <v>4847941.7699999996</v>
      </c>
      <c r="V3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3" s="105" t="str">
        <f>VLOOKUP(Table__192.168.1.150_M_CONSOLIDATED_Delinquency_Compulsory_EOM[[#This Row],[Client No]],'Global Portfolio'!$B$2:$N$2500,10,FALSE)</f>
        <v>Retail</v>
      </c>
      <c r="AA333" s="105" t="str">
        <f>VLOOKUP(Table__192.168.1.150_M_CONSOLIDATED_Delinquency_Compulsory_EOM[[#This Row],[Client No]],'Global Portfolio'!$B$2:$N$2500,11,FALSE)</f>
        <v>General Merchandise Stores</v>
      </c>
      <c r="AB333" s="105" t="str">
        <f>VLOOKUP(Table__192.168.1.150_M_CONSOLIDATED_Delinquency_Compulsory_EOM[[#This Row],[Client No]],'Global Portfolio'!$B$2:$N$2500,12,FALSE)</f>
        <v>General Stores</v>
      </c>
    </row>
    <row r="334" spans="1:28" x14ac:dyDescent="0.25">
      <c r="A334">
        <v>102949</v>
      </c>
      <c r="B334" t="s">
        <v>3487</v>
      </c>
      <c r="C334" t="s">
        <v>3491</v>
      </c>
      <c r="D334" t="s">
        <v>1284</v>
      </c>
      <c r="E334">
        <v>6</v>
      </c>
      <c r="F334">
        <v>65000000</v>
      </c>
      <c r="G334">
        <v>7193126.7300000004</v>
      </c>
      <c r="H334">
        <v>6530035.5599999996</v>
      </c>
      <c r="I334" t="s">
        <v>2855</v>
      </c>
      <c r="J334">
        <v>0</v>
      </c>
      <c r="K334">
        <v>0</v>
      </c>
      <c r="L334">
        <v>31699.200000000001</v>
      </c>
      <c r="M334">
        <v>7383321.9400000004</v>
      </c>
      <c r="N334" s="143">
        <v>42699.601465046297</v>
      </c>
      <c r="O334" s="143">
        <v>43064</v>
      </c>
      <c r="P334" t="s">
        <v>3492</v>
      </c>
      <c r="Q334" t="s">
        <v>1280</v>
      </c>
      <c r="R334" t="s">
        <v>1280</v>
      </c>
      <c r="S334" t="s">
        <v>1510</v>
      </c>
      <c r="T334">
        <v>36</v>
      </c>
      <c r="U334">
        <f>IF(Table__192.168.1.150_M_CONSOLIDATED_Delinquency_Compulsory_EOM[[#This Row],[Days in Arrears]] &lt; 8, Table__192.168.1.150_M_CONSOLIDATED_Delinquency_Compulsory_EOM[[#This Row],[Outstanding Balance]], 0 )</f>
        <v>7193126.7300000004</v>
      </c>
      <c r="V3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4" s="105" t="str">
        <f>VLOOKUP(Table__192.168.1.150_M_CONSOLIDATED_Delinquency_Compulsory_EOM[[#This Row],[Client No]],'Global Portfolio'!$B$2:$N$2500,10,FALSE)</f>
        <v>Construction</v>
      </c>
      <c r="AA334" s="105" t="str">
        <f>VLOOKUP(Table__192.168.1.150_M_CONSOLIDATED_Delinquency_Compulsory_EOM[[#This Row],[Client No]],'Global Portfolio'!$B$2:$N$2500,11,FALSE)</f>
        <v>Others</v>
      </c>
      <c r="AB334" s="105" t="str">
        <f>VLOOKUP(Table__192.168.1.150_M_CONSOLIDATED_Delinquency_Compulsory_EOM[[#This Row],[Client No]],'Global Portfolio'!$B$2:$N$2500,12,FALSE)</f>
        <v>Others</v>
      </c>
    </row>
    <row r="335" spans="1:28" x14ac:dyDescent="0.25">
      <c r="A335">
        <v>102950</v>
      </c>
      <c r="B335" t="s">
        <v>2164</v>
      </c>
      <c r="C335" t="s">
        <v>2169</v>
      </c>
      <c r="D335" t="s">
        <v>1282</v>
      </c>
      <c r="E335">
        <v>36</v>
      </c>
      <c r="F335">
        <v>4435650</v>
      </c>
      <c r="G335">
        <v>1275569.28</v>
      </c>
      <c r="H335">
        <v>484346.11</v>
      </c>
      <c r="I335" t="s">
        <v>4684</v>
      </c>
      <c r="J335">
        <v>0</v>
      </c>
      <c r="K335">
        <v>0</v>
      </c>
      <c r="L335">
        <v>40815.870000000003</v>
      </c>
      <c r="M335">
        <v>1337242.1599999999</v>
      </c>
      <c r="N335" s="143">
        <v>42702.384067974534</v>
      </c>
      <c r="O335" s="143">
        <v>43064</v>
      </c>
      <c r="P335" t="s">
        <v>2170</v>
      </c>
      <c r="Q335" t="s">
        <v>2171</v>
      </c>
      <c r="R335" t="s">
        <v>1280</v>
      </c>
      <c r="S335" t="s">
        <v>1510</v>
      </c>
      <c r="T335">
        <v>54</v>
      </c>
      <c r="U335">
        <f>IF(Table__192.168.1.150_M_CONSOLIDATED_Delinquency_Compulsory_EOM[[#This Row],[Days in Arrears]] &lt; 8, Table__192.168.1.150_M_CONSOLIDATED_Delinquency_Compulsory_EOM[[#This Row],[Outstanding Balance]], 0 )</f>
        <v>0</v>
      </c>
      <c r="V3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1275569.28</v>
      </c>
      <c r="X3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5" s="105" t="str">
        <f>VLOOKUP(Table__192.168.1.150_M_CONSOLIDATED_Delinquency_Compulsory_EOM[[#This Row],[Client No]],'Global Portfolio'!$B$2:$N$2500,10,FALSE)</f>
        <v>Wholesale Trade</v>
      </c>
      <c r="AA335" s="105" t="str">
        <f>VLOOKUP(Table__192.168.1.150_M_CONSOLIDATED_Delinquency_Compulsory_EOM[[#This Row],[Client No]],'Global Portfolio'!$B$2:$N$2500,11,FALSE)</f>
        <v>Durable Goods</v>
      </c>
      <c r="AB335" s="105" t="str">
        <f>VLOOKUP(Table__192.168.1.150_M_CONSOLIDATED_Delinquency_Compulsory_EOM[[#This Row],[Client No]],'Global Portfolio'!$B$2:$N$2500,12,FALSE)</f>
        <v>Others</v>
      </c>
    </row>
    <row r="336" spans="1:28" x14ac:dyDescent="0.25">
      <c r="A336">
        <v>102951</v>
      </c>
      <c r="B336" t="s">
        <v>651</v>
      </c>
      <c r="C336" t="s">
        <v>652</v>
      </c>
      <c r="D336" t="s">
        <v>1282</v>
      </c>
      <c r="E336">
        <v>-4</v>
      </c>
      <c r="F336">
        <v>7000000</v>
      </c>
      <c r="G336">
        <v>1419397.29</v>
      </c>
      <c r="H336">
        <v>752558.87</v>
      </c>
      <c r="I336" t="s">
        <v>3074</v>
      </c>
      <c r="J336">
        <v>36441.129999999997</v>
      </c>
      <c r="K336">
        <v>700000</v>
      </c>
      <c r="L336">
        <v>47313.24</v>
      </c>
      <c r="M336">
        <v>1505117.75</v>
      </c>
      <c r="N336" s="143">
        <v>42702.545250578703</v>
      </c>
      <c r="O336" s="143">
        <v>43074</v>
      </c>
      <c r="P336" t="s">
        <v>653</v>
      </c>
      <c r="Q336" t="s">
        <v>1280</v>
      </c>
      <c r="R336" t="s">
        <v>1280</v>
      </c>
      <c r="S336" t="s">
        <v>1510</v>
      </c>
      <c r="T336">
        <v>48</v>
      </c>
      <c r="U336">
        <f>IF(Table__192.168.1.150_M_CONSOLIDATED_Delinquency_Compulsory_EOM[[#This Row],[Days in Arrears]] &lt; 8, Table__192.168.1.150_M_CONSOLIDATED_Delinquency_Compulsory_EOM[[#This Row],[Outstanding Balance]], 0 )</f>
        <v>1419397.29</v>
      </c>
      <c r="V3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6" s="105" t="str">
        <f>VLOOKUP(Table__192.168.1.150_M_CONSOLIDATED_Delinquency_Compulsory_EOM[[#This Row],[Client No]],'Global Portfolio'!$B$2:$N$2500,10,FALSE)</f>
        <v>Agriculture, Forestry, Fishing and Hunting</v>
      </c>
      <c r="AA336" s="105" t="str">
        <f>VLOOKUP(Table__192.168.1.150_M_CONSOLIDATED_Delinquency_Compulsory_EOM[[#This Row],[Client No]],'Global Portfolio'!$B$2:$N$2500,11,FALSE)</f>
        <v>Forestry</v>
      </c>
      <c r="AB336" s="105" t="str">
        <f>VLOOKUP(Table__192.168.1.150_M_CONSOLIDATED_Delinquency_Compulsory_EOM[[#This Row],[Client No]],'Global Portfolio'!$B$2:$N$2500,12,FALSE)</f>
        <v>Timber Tract Operations</v>
      </c>
    </row>
    <row r="337" spans="1:28" x14ac:dyDescent="0.25">
      <c r="A337">
        <v>102953</v>
      </c>
      <c r="B337" t="s">
        <v>3529</v>
      </c>
      <c r="C337" t="s">
        <v>3530</v>
      </c>
      <c r="D337" t="s">
        <v>1284</v>
      </c>
      <c r="E337">
        <v>149</v>
      </c>
      <c r="F337">
        <v>5000000</v>
      </c>
      <c r="G337">
        <v>906020.09</v>
      </c>
      <c r="H337">
        <v>936220.73</v>
      </c>
      <c r="I337" t="s">
        <v>86</v>
      </c>
      <c r="J337">
        <v>0</v>
      </c>
      <c r="K337">
        <v>258210.76</v>
      </c>
      <c r="L337">
        <v>30200.67</v>
      </c>
      <c r="M337">
        <v>936220.76</v>
      </c>
      <c r="N337" s="143">
        <v>42703.675373923608</v>
      </c>
      <c r="O337" s="143">
        <v>42888</v>
      </c>
      <c r="P337" t="s">
        <v>3531</v>
      </c>
      <c r="Q337" t="s">
        <v>3532</v>
      </c>
      <c r="R337" t="s">
        <v>1280</v>
      </c>
      <c r="S337" t="s">
        <v>1510</v>
      </c>
      <c r="T337">
        <v>40</v>
      </c>
      <c r="U337">
        <f>IF(Table__192.168.1.150_M_CONSOLIDATED_Delinquency_Compulsory_EOM[[#This Row],[Days in Arrears]] &lt; 8, Table__192.168.1.150_M_CONSOLIDATED_Delinquency_Compulsory_EOM[[#This Row],[Outstanding Balance]], 0 )</f>
        <v>0</v>
      </c>
      <c r="V3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906020.09</v>
      </c>
      <c r="Z337" s="105" t="e">
        <f>VLOOKUP(Table__192.168.1.150_M_CONSOLIDATED_Delinquency_Compulsory_EOM[[#This Row],[Client No]],'Global Portfolio'!$B$2:$N$2500,10,FALSE)</f>
        <v>#N/A</v>
      </c>
      <c r="AA337" s="105" t="e">
        <f>VLOOKUP(Table__192.168.1.150_M_CONSOLIDATED_Delinquency_Compulsory_EOM[[#This Row],[Client No]],'Global Portfolio'!$B$2:$N$2500,11,FALSE)</f>
        <v>#N/A</v>
      </c>
      <c r="AB337" s="105" t="e">
        <f>VLOOKUP(Table__192.168.1.150_M_CONSOLIDATED_Delinquency_Compulsory_EOM[[#This Row],[Client No]],'Global Portfolio'!$B$2:$N$2500,12,FALSE)</f>
        <v>#N/A</v>
      </c>
    </row>
    <row r="338" spans="1:28" x14ac:dyDescent="0.25">
      <c r="A338">
        <v>102954</v>
      </c>
      <c r="B338" t="s">
        <v>2135</v>
      </c>
      <c r="C338" t="s">
        <v>2152</v>
      </c>
      <c r="D338" t="s">
        <v>1284</v>
      </c>
      <c r="E338">
        <v>0</v>
      </c>
      <c r="F338">
        <v>45000000</v>
      </c>
      <c r="G338">
        <v>30073458.710000001</v>
      </c>
      <c r="H338">
        <v>2662293.2000000002</v>
      </c>
      <c r="I338" t="s">
        <v>491</v>
      </c>
      <c r="J338">
        <v>36102.080000000002</v>
      </c>
      <c r="K338">
        <v>2250000</v>
      </c>
      <c r="L338">
        <v>872130.3</v>
      </c>
      <c r="M338">
        <v>37272104.799999997</v>
      </c>
      <c r="N338" s="143">
        <v>42703.748234027778</v>
      </c>
      <c r="O338" s="143">
        <v>43435</v>
      </c>
      <c r="P338" t="s">
        <v>2153</v>
      </c>
      <c r="Q338" t="s">
        <v>1280</v>
      </c>
      <c r="R338" t="s">
        <v>1280</v>
      </c>
      <c r="S338" t="s">
        <v>1510</v>
      </c>
      <c r="T338">
        <v>36</v>
      </c>
      <c r="U338">
        <f>IF(Table__192.168.1.150_M_CONSOLIDATED_Delinquency_Compulsory_EOM[[#This Row],[Days in Arrears]] &lt; 8, Table__192.168.1.150_M_CONSOLIDATED_Delinquency_Compulsory_EOM[[#This Row],[Outstanding Balance]], 0 )</f>
        <v>30073458.710000001</v>
      </c>
      <c r="V3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8" s="105" t="str">
        <f>VLOOKUP(Table__192.168.1.150_M_CONSOLIDATED_Delinquency_Compulsory_EOM[[#This Row],[Client No]],'Global Portfolio'!$B$2:$N$2500,10,FALSE)</f>
        <v>Real Estate and Rental</v>
      </c>
      <c r="AA338" s="105" t="str">
        <f>VLOOKUP(Table__192.168.1.150_M_CONSOLIDATED_Delinquency_Compulsory_EOM[[#This Row],[Client No]],'Global Portfolio'!$B$2:$N$2500,11,FALSE)</f>
        <v>Rental</v>
      </c>
      <c r="AB338" s="105" t="str">
        <f>VLOOKUP(Table__192.168.1.150_M_CONSOLIDATED_Delinquency_Compulsory_EOM[[#This Row],[Client No]],'Global Portfolio'!$B$2:$N$2500,12,FALSE)</f>
        <v>General Rental Centers</v>
      </c>
    </row>
    <row r="339" spans="1:28" x14ac:dyDescent="0.25">
      <c r="A339">
        <v>102955</v>
      </c>
      <c r="B339" t="s">
        <v>1558</v>
      </c>
      <c r="C339" t="s">
        <v>1582</v>
      </c>
      <c r="D339" t="s">
        <v>1284</v>
      </c>
      <c r="E339">
        <v>-1</v>
      </c>
      <c r="F339">
        <v>25000000</v>
      </c>
      <c r="G339">
        <v>16707477.060000001</v>
      </c>
      <c r="H339">
        <v>1479051.78</v>
      </c>
      <c r="I339" t="s">
        <v>1447</v>
      </c>
      <c r="J339">
        <v>6903076.7800000003</v>
      </c>
      <c r="K339">
        <v>1250000</v>
      </c>
      <c r="L339">
        <v>467809.36</v>
      </c>
      <c r="M339">
        <v>20706724.890000001</v>
      </c>
      <c r="N339" s="143">
        <v>42704.745354050923</v>
      </c>
      <c r="O339" s="143">
        <v>43436</v>
      </c>
      <c r="P339" t="s">
        <v>1583</v>
      </c>
      <c r="Q339" t="s">
        <v>1280</v>
      </c>
      <c r="R339" t="s">
        <v>1280</v>
      </c>
      <c r="S339" t="s">
        <v>1510</v>
      </c>
      <c r="T339">
        <v>36</v>
      </c>
      <c r="U339">
        <f>IF(Table__192.168.1.150_M_CONSOLIDATED_Delinquency_Compulsory_EOM[[#This Row],[Days in Arrears]] &lt; 8, Table__192.168.1.150_M_CONSOLIDATED_Delinquency_Compulsory_EOM[[#This Row],[Outstanding Balance]], 0 )</f>
        <v>16707477.060000001</v>
      </c>
      <c r="V3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39" s="105" t="str">
        <f>VLOOKUP(Table__192.168.1.150_M_CONSOLIDATED_Delinquency_Compulsory_EOM[[#This Row],[Client No]],'Global Portfolio'!$B$2:$N$2500,10,FALSE)</f>
        <v>Real Estate and Rental</v>
      </c>
      <c r="AA339" s="105" t="str">
        <f>VLOOKUP(Table__192.168.1.150_M_CONSOLIDATED_Delinquency_Compulsory_EOM[[#This Row],[Client No]],'Global Portfolio'!$B$2:$N$2500,11,FALSE)</f>
        <v>Rental</v>
      </c>
      <c r="AB339" s="105" t="str">
        <f>VLOOKUP(Table__192.168.1.150_M_CONSOLIDATED_Delinquency_Compulsory_EOM[[#This Row],[Client No]],'Global Portfolio'!$B$2:$N$2500,12,FALSE)</f>
        <v>Others</v>
      </c>
    </row>
    <row r="340" spans="1:28" x14ac:dyDescent="0.25">
      <c r="A340">
        <v>102957</v>
      </c>
      <c r="B340" t="s">
        <v>3608</v>
      </c>
      <c r="C340" t="s">
        <v>3609</v>
      </c>
      <c r="D340" t="s">
        <v>1282</v>
      </c>
      <c r="E340">
        <v>119</v>
      </c>
      <c r="F340">
        <v>3500000</v>
      </c>
      <c r="G340">
        <v>1982596.54</v>
      </c>
      <c r="H340">
        <v>384382.61</v>
      </c>
      <c r="I340" t="s">
        <v>1191</v>
      </c>
      <c r="J340">
        <v>0</v>
      </c>
      <c r="K340">
        <v>0</v>
      </c>
      <c r="L340">
        <v>162620.07999999999</v>
      </c>
      <c r="M340">
        <v>2306295.71</v>
      </c>
      <c r="N340" s="143">
        <v>42705.715405752315</v>
      </c>
      <c r="O340" s="143">
        <v>43071</v>
      </c>
      <c r="P340" t="s">
        <v>3610</v>
      </c>
      <c r="Q340" t="s">
        <v>1280</v>
      </c>
      <c r="R340" t="s">
        <v>1280</v>
      </c>
      <c r="S340" t="s">
        <v>1510</v>
      </c>
      <c r="T340">
        <v>54</v>
      </c>
      <c r="U340">
        <f>IF(Table__192.168.1.150_M_CONSOLIDATED_Delinquency_Compulsory_EOM[[#This Row],[Days in Arrears]] &lt; 8, Table__192.168.1.150_M_CONSOLIDATED_Delinquency_Compulsory_EOM[[#This Row],[Outstanding Balance]], 0 )</f>
        <v>0</v>
      </c>
      <c r="V3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1982596.54</v>
      </c>
      <c r="Z340" s="105" t="str">
        <f>VLOOKUP(Table__192.168.1.150_M_CONSOLIDATED_Delinquency_Compulsory_EOM[[#This Row],[Client No]],'Global Portfolio'!$B$2:$N$2500,10,FALSE)</f>
        <v>Retail</v>
      </c>
      <c r="AA340" s="105" t="str">
        <f>VLOOKUP(Table__192.168.1.150_M_CONSOLIDATED_Delinquency_Compulsory_EOM[[#This Row],[Client No]],'Global Portfolio'!$B$2:$N$2500,11,FALSE)</f>
        <v>Second Hand -Clothing and  Accessories</v>
      </c>
      <c r="AB340" s="105" t="str">
        <f>VLOOKUP(Table__192.168.1.150_M_CONSOLIDATED_Delinquency_Compulsory_EOM[[#This Row],[Client No]],'Global Portfolio'!$B$2:$N$2500,12,FALSE)</f>
        <v>Shoes Stores</v>
      </c>
    </row>
    <row r="341" spans="1:28" x14ac:dyDescent="0.25">
      <c r="A341">
        <v>102960</v>
      </c>
      <c r="B341" t="s">
        <v>3554</v>
      </c>
      <c r="C341" t="s">
        <v>3566</v>
      </c>
      <c r="D341" t="s">
        <v>1282</v>
      </c>
      <c r="E341">
        <v>-1</v>
      </c>
      <c r="F341">
        <v>10000000</v>
      </c>
      <c r="G341">
        <v>2059579.07</v>
      </c>
      <c r="H341">
        <v>1099810.2</v>
      </c>
      <c r="I341" t="s">
        <v>1447</v>
      </c>
      <c r="J341">
        <v>1091648.3700000001</v>
      </c>
      <c r="K341">
        <v>1000000</v>
      </c>
      <c r="L341">
        <v>86502.32</v>
      </c>
      <c r="M341">
        <v>2199620.38</v>
      </c>
      <c r="N341" s="143">
        <v>42704.533907210651</v>
      </c>
      <c r="O341" s="143">
        <v>43071</v>
      </c>
      <c r="P341" t="s">
        <v>3567</v>
      </c>
      <c r="Q341" t="s">
        <v>1280</v>
      </c>
      <c r="R341" t="s">
        <v>1280</v>
      </c>
      <c r="S341" t="s">
        <v>1510</v>
      </c>
      <c r="T341">
        <v>54</v>
      </c>
      <c r="U341">
        <f>IF(Table__192.168.1.150_M_CONSOLIDATED_Delinquency_Compulsory_EOM[[#This Row],[Days in Arrears]] &lt; 8, Table__192.168.1.150_M_CONSOLIDATED_Delinquency_Compulsory_EOM[[#This Row],[Outstanding Balance]], 0 )</f>
        <v>2059579.07</v>
      </c>
      <c r="V3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1" s="105" t="str">
        <f>VLOOKUP(Table__192.168.1.150_M_CONSOLIDATED_Delinquency_Compulsory_EOM[[#This Row],[Client No]],'Global Portfolio'!$B$2:$N$2500,10,FALSE)</f>
        <v>Real Estate and Rental</v>
      </c>
      <c r="AA341" s="105" t="str">
        <f>VLOOKUP(Table__192.168.1.150_M_CONSOLIDATED_Delinquency_Compulsory_EOM[[#This Row],[Client No]],'Global Portfolio'!$B$2:$N$2500,11,FALSE)</f>
        <v>Rental</v>
      </c>
      <c r="AB341" s="105" t="str">
        <f>VLOOKUP(Table__192.168.1.150_M_CONSOLIDATED_Delinquency_Compulsory_EOM[[#This Row],[Client No]],'Global Portfolio'!$B$2:$N$2500,12,FALSE)</f>
        <v>General Rental Centers</v>
      </c>
    </row>
    <row r="342" spans="1:28" x14ac:dyDescent="0.25">
      <c r="A342">
        <v>102961</v>
      </c>
      <c r="B342" t="s">
        <v>3549</v>
      </c>
      <c r="C342" t="s">
        <v>3568</v>
      </c>
      <c r="D342" t="s">
        <v>1866</v>
      </c>
      <c r="E342">
        <v>89</v>
      </c>
      <c r="F342">
        <v>6000000</v>
      </c>
      <c r="G342">
        <v>2867921.12</v>
      </c>
      <c r="H342">
        <v>647232.06999999995</v>
      </c>
      <c r="I342" t="s">
        <v>1039</v>
      </c>
      <c r="J342">
        <v>0</v>
      </c>
      <c r="K342">
        <v>0</v>
      </c>
      <c r="L342">
        <v>115513.49</v>
      </c>
      <c r="M342">
        <v>3236160.42</v>
      </c>
      <c r="N342" s="143">
        <v>42704.698594525464</v>
      </c>
      <c r="O342" s="143">
        <v>43071</v>
      </c>
      <c r="P342" t="s">
        <v>3569</v>
      </c>
      <c r="Q342" t="s">
        <v>3570</v>
      </c>
      <c r="R342" t="s">
        <v>1280</v>
      </c>
      <c r="S342" t="s">
        <v>1510</v>
      </c>
      <c r="T342">
        <v>50</v>
      </c>
      <c r="U342">
        <f>IF(Table__192.168.1.150_M_CONSOLIDATED_Delinquency_Compulsory_EOM[[#This Row],[Days in Arrears]] &lt; 8, Table__192.168.1.150_M_CONSOLIDATED_Delinquency_Compulsory_EOM[[#This Row],[Outstanding Balance]], 0 )</f>
        <v>0</v>
      </c>
      <c r="V3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2867921.12</v>
      </c>
      <c r="Y3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2" s="105" t="str">
        <f>VLOOKUP(Table__192.168.1.150_M_CONSOLIDATED_Delinquency_Compulsory_EOM[[#This Row],[Client No]],'Global Portfolio'!$B$2:$N$2500,10,FALSE)</f>
        <v>Retail</v>
      </c>
      <c r="AA342" s="105" t="str">
        <f>VLOOKUP(Table__192.168.1.150_M_CONSOLIDATED_Delinquency_Compulsory_EOM[[#This Row],[Client No]],'Global Portfolio'!$B$2:$N$2500,11,FALSE)</f>
        <v>Food and Beverage Stores</v>
      </c>
      <c r="AB342" s="105" t="str">
        <f>VLOOKUP(Table__192.168.1.150_M_CONSOLIDATED_Delinquency_Compulsory_EOM[[#This Row],[Client No]],'Global Portfolio'!$B$2:$N$2500,12,FALSE)</f>
        <v>Others</v>
      </c>
    </row>
    <row r="343" spans="1:28" x14ac:dyDescent="0.25">
      <c r="A343">
        <v>102962</v>
      </c>
      <c r="B343" t="s">
        <v>492</v>
      </c>
      <c r="C343" t="s">
        <v>497</v>
      </c>
      <c r="D343" t="s">
        <v>1283</v>
      </c>
      <c r="E343">
        <v>-4</v>
      </c>
      <c r="F343">
        <v>65000000</v>
      </c>
      <c r="G343">
        <v>53482136.450000003</v>
      </c>
      <c r="H343">
        <v>2991699.28</v>
      </c>
      <c r="I343" t="s">
        <v>1191</v>
      </c>
      <c r="J343">
        <v>0</v>
      </c>
      <c r="K343">
        <v>3250000</v>
      </c>
      <c r="L343">
        <v>1337053.4099999999</v>
      </c>
      <c r="M343">
        <v>77784180.959999993</v>
      </c>
      <c r="N343" s="143">
        <v>42704.670561608793</v>
      </c>
      <c r="O343" s="143">
        <v>43804</v>
      </c>
      <c r="P343" t="s">
        <v>498</v>
      </c>
      <c r="Q343" t="s">
        <v>499</v>
      </c>
      <c r="R343" t="s">
        <v>1280</v>
      </c>
      <c r="S343" t="s">
        <v>1510</v>
      </c>
      <c r="T343">
        <v>36</v>
      </c>
      <c r="U343">
        <f>IF(Table__192.168.1.150_M_CONSOLIDATED_Delinquency_Compulsory_EOM[[#This Row],[Days in Arrears]] &lt; 8, Table__192.168.1.150_M_CONSOLIDATED_Delinquency_Compulsory_EOM[[#This Row],[Outstanding Balance]], 0 )</f>
        <v>53482136.450000003</v>
      </c>
      <c r="V3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3" s="105" t="str">
        <f>VLOOKUP(Table__192.168.1.150_M_CONSOLIDATED_Delinquency_Compulsory_EOM[[#This Row],[Client No]],'Global Portfolio'!$B$2:$N$2500,10,FALSE)</f>
        <v>Wholesale Trade</v>
      </c>
      <c r="AA343" s="105" t="str">
        <f>VLOOKUP(Table__192.168.1.150_M_CONSOLIDATED_Delinquency_Compulsory_EOM[[#This Row],[Client No]],'Global Portfolio'!$B$2:$N$2500,11,FALSE)</f>
        <v>Nondurable Goods</v>
      </c>
      <c r="AB343" s="105" t="str">
        <f>VLOOKUP(Table__192.168.1.150_M_CONSOLIDATED_Delinquency_Compulsory_EOM[[#This Row],[Client No]],'Global Portfolio'!$B$2:$N$2500,12,FALSE)</f>
        <v>Grocery</v>
      </c>
    </row>
    <row r="344" spans="1:28" x14ac:dyDescent="0.25">
      <c r="A344">
        <v>102964</v>
      </c>
      <c r="B344" t="s">
        <v>3562</v>
      </c>
      <c r="C344" t="s">
        <v>3571</v>
      </c>
      <c r="D344" t="s">
        <v>1281</v>
      </c>
      <c r="E344">
        <v>0</v>
      </c>
      <c r="F344">
        <v>20000000</v>
      </c>
      <c r="G344">
        <v>13873799.4</v>
      </c>
      <c r="H344">
        <v>1313418.3400000001</v>
      </c>
      <c r="I344" t="s">
        <v>2494</v>
      </c>
      <c r="J344">
        <v>0</v>
      </c>
      <c r="K344">
        <v>1500000</v>
      </c>
      <c r="L344">
        <v>536453.57999999996</v>
      </c>
      <c r="M344">
        <v>18387856.780000001</v>
      </c>
      <c r="N344" s="143">
        <v>42704.93469707176</v>
      </c>
      <c r="O344" s="143">
        <v>43435</v>
      </c>
      <c r="P344" t="s">
        <v>3572</v>
      </c>
      <c r="Q344" t="s">
        <v>3573</v>
      </c>
      <c r="R344" t="s">
        <v>1280</v>
      </c>
      <c r="S344" t="s">
        <v>1510</v>
      </c>
      <c r="T344">
        <v>48</v>
      </c>
      <c r="U344">
        <f>IF(Table__192.168.1.150_M_CONSOLIDATED_Delinquency_Compulsory_EOM[[#This Row],[Days in Arrears]] &lt; 8, Table__192.168.1.150_M_CONSOLIDATED_Delinquency_Compulsory_EOM[[#This Row],[Outstanding Balance]], 0 )</f>
        <v>13873799.4</v>
      </c>
      <c r="V3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4" s="105" t="str">
        <f>VLOOKUP(Table__192.168.1.150_M_CONSOLIDATED_Delinquency_Compulsory_EOM[[#This Row],[Client No]],'Global Portfolio'!$B$2:$N$2500,10,FALSE)</f>
        <v>Other Services</v>
      </c>
      <c r="AA344" s="105" t="str">
        <f>VLOOKUP(Table__192.168.1.150_M_CONSOLIDATED_Delinquency_Compulsory_EOM[[#This Row],[Client No]],'Global Portfolio'!$B$2:$N$2500,11,FALSE)</f>
        <v>Others</v>
      </c>
      <c r="AB344" s="105" t="str">
        <f>VLOOKUP(Table__192.168.1.150_M_CONSOLIDATED_Delinquency_Compulsory_EOM[[#This Row],[Client No]],'Global Portfolio'!$B$2:$N$2500,12,FALSE)</f>
        <v>Others</v>
      </c>
    </row>
    <row r="345" spans="1:28" x14ac:dyDescent="0.25">
      <c r="A345">
        <v>102965</v>
      </c>
      <c r="B345" t="s">
        <v>3557</v>
      </c>
      <c r="C345" t="s">
        <v>3574</v>
      </c>
      <c r="D345" t="s">
        <v>1284</v>
      </c>
      <c r="E345">
        <v>-1</v>
      </c>
      <c r="F345">
        <v>12000000</v>
      </c>
      <c r="G345">
        <v>8126257.1500000004</v>
      </c>
      <c r="H345">
        <v>735831.86</v>
      </c>
      <c r="I345" t="s">
        <v>2494</v>
      </c>
      <c r="J345">
        <v>769908.17</v>
      </c>
      <c r="K345">
        <v>600000</v>
      </c>
      <c r="L345">
        <v>252816.89</v>
      </c>
      <c r="M345">
        <v>10301646.189999999</v>
      </c>
      <c r="N345" s="143">
        <v>42704.733085879627</v>
      </c>
      <c r="O345" s="143">
        <v>43436</v>
      </c>
      <c r="P345" t="s">
        <v>3575</v>
      </c>
      <c r="Q345" t="s">
        <v>3576</v>
      </c>
      <c r="R345" t="s">
        <v>1280</v>
      </c>
      <c r="S345" t="s">
        <v>1510</v>
      </c>
      <c r="T345">
        <v>40</v>
      </c>
      <c r="U345">
        <f>IF(Table__192.168.1.150_M_CONSOLIDATED_Delinquency_Compulsory_EOM[[#This Row],[Days in Arrears]] &lt; 8, Table__192.168.1.150_M_CONSOLIDATED_Delinquency_Compulsory_EOM[[#This Row],[Outstanding Balance]], 0 )</f>
        <v>8126257.1500000004</v>
      </c>
      <c r="V3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5" s="105" t="str">
        <f>VLOOKUP(Table__192.168.1.150_M_CONSOLIDATED_Delinquency_Compulsory_EOM[[#This Row],[Client No]],'Global Portfolio'!$B$2:$N$2500,10,FALSE)</f>
        <v>Real Estate and Rental</v>
      </c>
      <c r="AA345" s="105" t="str">
        <f>VLOOKUP(Table__192.168.1.150_M_CONSOLIDATED_Delinquency_Compulsory_EOM[[#This Row],[Client No]],'Global Portfolio'!$B$2:$N$2500,11,FALSE)</f>
        <v>Rental</v>
      </c>
      <c r="AB345" s="105" t="str">
        <f>VLOOKUP(Table__192.168.1.150_M_CONSOLIDATED_Delinquency_Compulsory_EOM[[#This Row],[Client No]],'Global Portfolio'!$B$2:$N$2500,12,FALSE)</f>
        <v>General Rental Centers</v>
      </c>
    </row>
    <row r="346" spans="1:28" x14ac:dyDescent="0.25">
      <c r="A346">
        <v>102966</v>
      </c>
      <c r="B346" t="s">
        <v>3559</v>
      </c>
      <c r="C346" t="s">
        <v>3577</v>
      </c>
      <c r="D346" t="s">
        <v>1283</v>
      </c>
      <c r="E346">
        <v>-1</v>
      </c>
      <c r="F346">
        <v>45000000</v>
      </c>
      <c r="G346">
        <v>30073458.710000001</v>
      </c>
      <c r="H346">
        <v>2662293.2000000002</v>
      </c>
      <c r="I346" t="s">
        <v>90</v>
      </c>
      <c r="J346">
        <v>378363.48</v>
      </c>
      <c r="K346">
        <v>0</v>
      </c>
      <c r="L346">
        <v>842056.84</v>
      </c>
      <c r="M346">
        <v>37272104.799999997</v>
      </c>
      <c r="N346" s="143">
        <v>42704.840857754629</v>
      </c>
      <c r="O346" s="143">
        <v>43436</v>
      </c>
      <c r="P346" t="s">
        <v>3578</v>
      </c>
      <c r="Q346" t="s">
        <v>3579</v>
      </c>
      <c r="R346" t="s">
        <v>1280</v>
      </c>
      <c r="S346" t="s">
        <v>1510</v>
      </c>
      <c r="T346">
        <v>36</v>
      </c>
      <c r="U346">
        <f>IF(Table__192.168.1.150_M_CONSOLIDATED_Delinquency_Compulsory_EOM[[#This Row],[Days in Arrears]] &lt; 8, Table__192.168.1.150_M_CONSOLIDATED_Delinquency_Compulsory_EOM[[#This Row],[Outstanding Balance]], 0 )</f>
        <v>30073458.710000001</v>
      </c>
      <c r="V3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6" s="105" t="str">
        <f>VLOOKUP(Table__192.168.1.150_M_CONSOLIDATED_Delinquency_Compulsory_EOM[[#This Row],[Client No]],'Global Portfolio'!$B$2:$N$2500,10,FALSE)</f>
        <v>Real Estate and Rental</v>
      </c>
      <c r="AA346" s="105" t="str">
        <f>VLOOKUP(Table__192.168.1.150_M_CONSOLIDATED_Delinquency_Compulsory_EOM[[#This Row],[Client No]],'Global Portfolio'!$B$2:$N$2500,11,FALSE)</f>
        <v>Rental</v>
      </c>
      <c r="AB346" s="105" t="str">
        <f>VLOOKUP(Table__192.168.1.150_M_CONSOLIDATED_Delinquency_Compulsory_EOM[[#This Row],[Client No]],'Global Portfolio'!$B$2:$N$2500,12,FALSE)</f>
        <v>Others</v>
      </c>
    </row>
    <row r="347" spans="1:28" x14ac:dyDescent="0.25">
      <c r="A347">
        <v>102969</v>
      </c>
      <c r="B347" t="s">
        <v>3548</v>
      </c>
      <c r="C347" t="s">
        <v>3583</v>
      </c>
      <c r="D347" t="s">
        <v>1284</v>
      </c>
      <c r="E347">
        <v>-1</v>
      </c>
      <c r="F347">
        <v>16000000</v>
      </c>
      <c r="G347">
        <v>10835009.51</v>
      </c>
      <c r="H347">
        <v>981109.15</v>
      </c>
      <c r="I347" t="s">
        <v>468</v>
      </c>
      <c r="J347">
        <v>97709.79</v>
      </c>
      <c r="K347">
        <v>800000</v>
      </c>
      <c r="L347">
        <v>337089.18</v>
      </c>
      <c r="M347">
        <v>13735528.220000001</v>
      </c>
      <c r="N347" s="143">
        <v>42704.872326157405</v>
      </c>
      <c r="O347" s="143">
        <v>43436</v>
      </c>
      <c r="P347" t="s">
        <v>3584</v>
      </c>
      <c r="Q347" t="s">
        <v>1280</v>
      </c>
      <c r="R347" t="s">
        <v>3585</v>
      </c>
      <c r="S347" t="s">
        <v>1510</v>
      </c>
      <c r="T347">
        <v>40</v>
      </c>
      <c r="U347">
        <f>IF(Table__192.168.1.150_M_CONSOLIDATED_Delinquency_Compulsory_EOM[[#This Row],[Days in Arrears]] &lt; 8, Table__192.168.1.150_M_CONSOLIDATED_Delinquency_Compulsory_EOM[[#This Row],[Outstanding Balance]], 0 )</f>
        <v>10835009.51</v>
      </c>
      <c r="V3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7" s="105" t="str">
        <f>VLOOKUP(Table__192.168.1.150_M_CONSOLIDATED_Delinquency_Compulsory_EOM[[#This Row],[Client No]],'Global Portfolio'!$B$2:$N$2500,10,FALSE)</f>
        <v>Retail</v>
      </c>
      <c r="AA347" s="105" t="str">
        <f>VLOOKUP(Table__192.168.1.150_M_CONSOLIDATED_Delinquency_Compulsory_EOM[[#This Row],[Client No]],'Global Portfolio'!$B$2:$N$2500,11,FALSE)</f>
        <v>Electronics Stores</v>
      </c>
      <c r="AB347" s="105" t="str">
        <f>VLOOKUP(Table__192.168.1.150_M_CONSOLIDATED_Delinquency_Compulsory_EOM[[#This Row],[Client No]],'Global Portfolio'!$B$2:$N$2500,12,FALSE)</f>
        <v>Others</v>
      </c>
    </row>
    <row r="348" spans="1:28" x14ac:dyDescent="0.25">
      <c r="A348">
        <v>102970</v>
      </c>
      <c r="B348" t="s">
        <v>192</v>
      </c>
      <c r="C348" t="s">
        <v>193</v>
      </c>
      <c r="D348" t="s">
        <v>1282</v>
      </c>
      <c r="E348">
        <v>-1</v>
      </c>
      <c r="F348">
        <v>12000000</v>
      </c>
      <c r="G348">
        <v>2417793.4500000002</v>
      </c>
      <c r="H348">
        <v>1281904.6000000001</v>
      </c>
      <c r="I348" t="s">
        <v>1191</v>
      </c>
      <c r="J348">
        <v>0</v>
      </c>
      <c r="K348">
        <v>1200000</v>
      </c>
      <c r="L348">
        <v>232560.37</v>
      </c>
      <c r="M348">
        <v>2563809.21</v>
      </c>
      <c r="N348" s="143">
        <v>42704.926051736111</v>
      </c>
      <c r="O348" s="143">
        <v>43071</v>
      </c>
      <c r="P348" t="s">
        <v>194</v>
      </c>
      <c r="Q348" t="s">
        <v>1280</v>
      </c>
      <c r="R348" t="s">
        <v>1280</v>
      </c>
      <c r="S348" t="s">
        <v>1510</v>
      </c>
      <c r="T348">
        <v>48</v>
      </c>
      <c r="U348">
        <f>IF(Table__192.168.1.150_M_CONSOLIDATED_Delinquency_Compulsory_EOM[[#This Row],[Days in Arrears]] &lt; 8, Table__192.168.1.150_M_CONSOLIDATED_Delinquency_Compulsory_EOM[[#This Row],[Outstanding Balance]], 0 )</f>
        <v>2417793.4500000002</v>
      </c>
      <c r="V3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8" s="105" t="str">
        <f>VLOOKUP(Table__192.168.1.150_M_CONSOLIDATED_Delinquency_Compulsory_EOM[[#This Row],[Client No]],'Global Portfolio'!$B$2:$N$2500,10,FALSE)</f>
        <v>Educational Services</v>
      </c>
      <c r="AA348" s="105" t="str">
        <f>VLOOKUP(Table__192.168.1.150_M_CONSOLIDATED_Delinquency_Compulsory_EOM[[#This Row],[Client No]],'Global Portfolio'!$B$2:$N$2500,11,FALSE)</f>
        <v>Educational Services</v>
      </c>
      <c r="AB348" s="105" t="str">
        <f>VLOOKUP(Table__192.168.1.150_M_CONSOLIDATED_Delinquency_Compulsory_EOM[[#This Row],[Client No]],'Global Portfolio'!$B$2:$N$2500,12,FALSE)</f>
        <v>Others</v>
      </c>
    </row>
    <row r="349" spans="1:28" x14ac:dyDescent="0.25">
      <c r="A349">
        <v>102971</v>
      </c>
      <c r="B349" t="s">
        <v>3558</v>
      </c>
      <c r="C349" t="s">
        <v>3586</v>
      </c>
      <c r="D349" t="s">
        <v>1284</v>
      </c>
      <c r="E349">
        <v>0</v>
      </c>
      <c r="F349">
        <v>25000000</v>
      </c>
      <c r="G349">
        <v>16911537.350000001</v>
      </c>
      <c r="H349">
        <v>1531338.22</v>
      </c>
      <c r="I349" t="s">
        <v>491</v>
      </c>
      <c r="J349">
        <v>3562.46</v>
      </c>
      <c r="K349">
        <v>1250000</v>
      </c>
      <c r="L349">
        <v>544927.31000000006</v>
      </c>
      <c r="M349">
        <v>21438735.039999999</v>
      </c>
      <c r="N349" s="143">
        <v>42704.964472187501</v>
      </c>
      <c r="O349" s="143">
        <v>43435</v>
      </c>
      <c r="P349" t="s">
        <v>3587</v>
      </c>
      <c r="Q349" t="s">
        <v>3588</v>
      </c>
      <c r="R349" t="s">
        <v>1280</v>
      </c>
      <c r="S349" t="s">
        <v>1510</v>
      </c>
      <c r="T349">
        <v>40</v>
      </c>
      <c r="U349">
        <f>IF(Table__192.168.1.150_M_CONSOLIDATED_Delinquency_Compulsory_EOM[[#This Row],[Days in Arrears]] &lt; 8, Table__192.168.1.150_M_CONSOLIDATED_Delinquency_Compulsory_EOM[[#This Row],[Outstanding Balance]], 0 )</f>
        <v>16911537.350000001</v>
      </c>
      <c r="V3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49" s="105" t="str">
        <f>VLOOKUP(Table__192.168.1.150_M_CONSOLIDATED_Delinquency_Compulsory_EOM[[#This Row],[Client No]],'Global Portfolio'!$B$2:$N$2500,10,FALSE)</f>
        <v>Real Estate and Rental</v>
      </c>
      <c r="AA349" s="105" t="str">
        <f>VLOOKUP(Table__192.168.1.150_M_CONSOLIDATED_Delinquency_Compulsory_EOM[[#This Row],[Client No]],'Global Portfolio'!$B$2:$N$2500,11,FALSE)</f>
        <v>Rental</v>
      </c>
      <c r="AB349" s="105" t="str">
        <f>VLOOKUP(Table__192.168.1.150_M_CONSOLIDATED_Delinquency_Compulsory_EOM[[#This Row],[Client No]],'Global Portfolio'!$B$2:$N$2500,12,FALSE)</f>
        <v>General Rental Centers</v>
      </c>
    </row>
    <row r="350" spans="1:28" x14ac:dyDescent="0.25">
      <c r="A350">
        <v>102972</v>
      </c>
      <c r="B350" t="s">
        <v>932</v>
      </c>
      <c r="C350" t="s">
        <v>954</v>
      </c>
      <c r="D350" t="s">
        <v>1284</v>
      </c>
      <c r="E350">
        <v>0</v>
      </c>
      <c r="F350">
        <v>20000000</v>
      </c>
      <c r="G350">
        <v>15195493.560000001</v>
      </c>
      <c r="H350">
        <v>1021375.85</v>
      </c>
      <c r="I350" t="s">
        <v>546</v>
      </c>
      <c r="J350">
        <v>89000</v>
      </c>
      <c r="K350">
        <v>1000000</v>
      </c>
      <c r="L350">
        <v>440669.31</v>
      </c>
      <c r="M350">
        <v>20427517.059999999</v>
      </c>
      <c r="N350" s="143">
        <v>42704.975202430556</v>
      </c>
      <c r="O350" s="143">
        <v>43617</v>
      </c>
      <c r="P350" t="s">
        <v>955</v>
      </c>
      <c r="Q350" t="s">
        <v>1280</v>
      </c>
      <c r="R350" t="s">
        <v>1280</v>
      </c>
      <c r="S350" t="s">
        <v>1510</v>
      </c>
      <c r="T350">
        <v>36</v>
      </c>
      <c r="U350">
        <f>IF(Table__192.168.1.150_M_CONSOLIDATED_Delinquency_Compulsory_EOM[[#This Row],[Days in Arrears]] &lt; 8, Table__192.168.1.150_M_CONSOLIDATED_Delinquency_Compulsory_EOM[[#This Row],[Outstanding Balance]], 0 )</f>
        <v>15195493.560000001</v>
      </c>
      <c r="V3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0" s="105" t="str">
        <f>VLOOKUP(Table__192.168.1.150_M_CONSOLIDATED_Delinquency_Compulsory_EOM[[#This Row],[Client No]],'Global Portfolio'!$B$2:$N$2500,10,FALSE)</f>
        <v>Real Estate and Rental</v>
      </c>
      <c r="AA350" s="105" t="str">
        <f>VLOOKUP(Table__192.168.1.150_M_CONSOLIDATED_Delinquency_Compulsory_EOM[[#This Row],[Client No]],'Global Portfolio'!$B$2:$N$2500,11,FALSE)</f>
        <v>Rental</v>
      </c>
      <c r="AB350" s="105" t="str">
        <f>VLOOKUP(Table__192.168.1.150_M_CONSOLIDATED_Delinquency_Compulsory_EOM[[#This Row],[Client No]],'Global Portfolio'!$B$2:$N$2500,12,FALSE)</f>
        <v>General Rental Centers</v>
      </c>
    </row>
    <row r="351" spans="1:28" x14ac:dyDescent="0.25">
      <c r="A351">
        <v>102975</v>
      </c>
      <c r="B351" t="s">
        <v>731</v>
      </c>
      <c r="C351" t="s">
        <v>735</v>
      </c>
      <c r="D351" t="s">
        <v>1283</v>
      </c>
      <c r="E351">
        <v>-9</v>
      </c>
      <c r="F351">
        <v>21163000</v>
      </c>
      <c r="G351">
        <v>11141234.68</v>
      </c>
      <c r="H351">
        <v>1620789.46</v>
      </c>
      <c r="I351" t="s">
        <v>86</v>
      </c>
      <c r="J351">
        <v>0</v>
      </c>
      <c r="K351">
        <v>3050000</v>
      </c>
      <c r="L351">
        <v>259962.14</v>
      </c>
      <c r="M351">
        <v>12966315.689999999</v>
      </c>
      <c r="N351" s="143">
        <v>42705.689972488428</v>
      </c>
      <c r="O351" s="143">
        <v>43261</v>
      </c>
      <c r="P351" t="s">
        <v>736</v>
      </c>
      <c r="Q351" t="s">
        <v>737</v>
      </c>
      <c r="R351" t="s">
        <v>1280</v>
      </c>
      <c r="S351" t="s">
        <v>1510</v>
      </c>
      <c r="T351">
        <v>42</v>
      </c>
      <c r="U351">
        <f>IF(Table__192.168.1.150_M_CONSOLIDATED_Delinquency_Compulsory_EOM[[#This Row],[Days in Arrears]] &lt; 8, Table__192.168.1.150_M_CONSOLIDATED_Delinquency_Compulsory_EOM[[#This Row],[Outstanding Balance]], 0 )</f>
        <v>11141234.68</v>
      </c>
      <c r="V3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1" s="105" t="str">
        <f>VLOOKUP(Table__192.168.1.150_M_CONSOLIDATED_Delinquency_Compulsory_EOM[[#This Row],[Client No]],'Global Portfolio'!$B$2:$N$2500,10,FALSE)</f>
        <v>Real Estate and Rental</v>
      </c>
      <c r="AA351" s="105" t="str">
        <f>VLOOKUP(Table__192.168.1.150_M_CONSOLIDATED_Delinquency_Compulsory_EOM[[#This Row],[Client No]],'Global Portfolio'!$B$2:$N$2500,11,FALSE)</f>
        <v>Rental</v>
      </c>
      <c r="AB351" s="105" t="str">
        <f>VLOOKUP(Table__192.168.1.150_M_CONSOLIDATED_Delinquency_Compulsory_EOM[[#This Row],[Client No]],'Global Portfolio'!$B$2:$N$2500,12,FALSE)</f>
        <v>Others</v>
      </c>
    </row>
    <row r="352" spans="1:28" x14ac:dyDescent="0.25">
      <c r="A352">
        <v>102976</v>
      </c>
      <c r="B352" t="s">
        <v>615</v>
      </c>
      <c r="C352" t="s">
        <v>619</v>
      </c>
      <c r="D352" t="s">
        <v>1283</v>
      </c>
      <c r="E352">
        <v>0</v>
      </c>
      <c r="F352">
        <v>65000000</v>
      </c>
      <c r="G352">
        <v>43355255.359999999</v>
      </c>
      <c r="H352">
        <v>3838082.04</v>
      </c>
      <c r="I352" t="s">
        <v>468</v>
      </c>
      <c r="J352">
        <v>2523250.87</v>
      </c>
      <c r="K352">
        <v>3250000</v>
      </c>
      <c r="L352">
        <v>1257302.4099999999</v>
      </c>
      <c r="M352">
        <v>53733148.439999998</v>
      </c>
      <c r="N352" s="143">
        <v>42705.631719942132</v>
      </c>
      <c r="O352" s="143">
        <v>43435</v>
      </c>
      <c r="P352" t="s">
        <v>620</v>
      </c>
      <c r="Q352" t="s">
        <v>1280</v>
      </c>
      <c r="R352" t="s">
        <v>1280</v>
      </c>
      <c r="S352" t="s">
        <v>1510</v>
      </c>
      <c r="T352">
        <v>36</v>
      </c>
      <c r="U352">
        <f>IF(Table__192.168.1.150_M_CONSOLIDATED_Delinquency_Compulsory_EOM[[#This Row],[Days in Arrears]] &lt; 8, Table__192.168.1.150_M_CONSOLIDATED_Delinquency_Compulsory_EOM[[#This Row],[Outstanding Balance]], 0 )</f>
        <v>43355255.359999999</v>
      </c>
      <c r="V3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2" s="105" t="str">
        <f>VLOOKUP(Table__192.168.1.150_M_CONSOLIDATED_Delinquency_Compulsory_EOM[[#This Row],[Client No]],'Global Portfolio'!$B$2:$N$2500,10,FALSE)</f>
        <v>Educational Services</v>
      </c>
      <c r="AA352" s="105" t="str">
        <f>VLOOKUP(Table__192.168.1.150_M_CONSOLIDATED_Delinquency_Compulsory_EOM[[#This Row],[Client No]],'Global Portfolio'!$B$2:$N$2500,11,FALSE)</f>
        <v>Educational Services</v>
      </c>
      <c r="AB352" s="105" t="str">
        <f>VLOOKUP(Table__192.168.1.150_M_CONSOLIDATED_Delinquency_Compulsory_EOM[[#This Row],[Client No]],'Global Portfolio'!$B$2:$N$2500,12,FALSE)</f>
        <v>Others</v>
      </c>
    </row>
    <row r="353" spans="1:28" x14ac:dyDescent="0.25">
      <c r="A353">
        <v>102977</v>
      </c>
      <c r="B353" t="s">
        <v>3611</v>
      </c>
      <c r="C353" t="s">
        <v>3614</v>
      </c>
      <c r="D353" t="s">
        <v>1284</v>
      </c>
      <c r="E353">
        <v>29</v>
      </c>
      <c r="F353">
        <v>30000000</v>
      </c>
      <c r="G353">
        <v>21394528.030000001</v>
      </c>
      <c r="H353">
        <v>1835632.07</v>
      </c>
      <c r="I353" t="s">
        <v>1448</v>
      </c>
      <c r="J353">
        <v>0</v>
      </c>
      <c r="K353">
        <v>0</v>
      </c>
      <c r="L353">
        <v>1343836.83</v>
      </c>
      <c r="M353">
        <v>27534480.91</v>
      </c>
      <c r="N353" s="143">
        <v>42706.412457141203</v>
      </c>
      <c r="O353" s="143">
        <v>43436</v>
      </c>
      <c r="P353" t="s">
        <v>3615</v>
      </c>
      <c r="Q353" t="s">
        <v>3616</v>
      </c>
      <c r="R353" t="s">
        <v>1280</v>
      </c>
      <c r="S353" t="s">
        <v>1510</v>
      </c>
      <c r="T353">
        <v>40</v>
      </c>
      <c r="U353">
        <f>IF(Table__192.168.1.150_M_CONSOLIDATED_Delinquency_Compulsory_EOM[[#This Row],[Days in Arrears]] &lt; 8, Table__192.168.1.150_M_CONSOLIDATED_Delinquency_Compulsory_EOM[[#This Row],[Outstanding Balance]], 0 )</f>
        <v>0</v>
      </c>
      <c r="V3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21394528.030000001</v>
      </c>
      <c r="W3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3" s="105" t="str">
        <f>VLOOKUP(Table__192.168.1.150_M_CONSOLIDATED_Delinquency_Compulsory_EOM[[#This Row],[Client No]],'Global Portfolio'!$B$2:$N$2500,10,FALSE)</f>
        <v>Information</v>
      </c>
      <c r="AA353" s="105" t="str">
        <f>VLOOKUP(Table__192.168.1.150_M_CONSOLIDATED_Delinquency_Compulsory_EOM[[#This Row],[Client No]],'Global Portfolio'!$B$2:$N$2500,11,FALSE)</f>
        <v>Others</v>
      </c>
      <c r="AB353" s="105" t="str">
        <f>VLOOKUP(Table__192.168.1.150_M_CONSOLIDATED_Delinquency_Compulsory_EOM[[#This Row],[Client No]],'Global Portfolio'!$B$2:$N$2500,12,FALSE)</f>
        <v>Others</v>
      </c>
    </row>
    <row r="354" spans="1:28" x14ac:dyDescent="0.25">
      <c r="A354">
        <v>102979</v>
      </c>
      <c r="B354" t="s">
        <v>3612</v>
      </c>
      <c r="C354" t="s">
        <v>3617</v>
      </c>
      <c r="D354" t="s">
        <v>1866</v>
      </c>
      <c r="E354">
        <v>29</v>
      </c>
      <c r="F354">
        <v>6000000</v>
      </c>
      <c r="G354">
        <v>1785699.53</v>
      </c>
      <c r="H354">
        <v>645510.71</v>
      </c>
      <c r="I354" t="s">
        <v>468</v>
      </c>
      <c r="J354">
        <v>0</v>
      </c>
      <c r="K354">
        <v>0</v>
      </c>
      <c r="L354">
        <v>121638.32</v>
      </c>
      <c r="M354">
        <v>1936532.15</v>
      </c>
      <c r="N354" s="143">
        <v>42706.578117592595</v>
      </c>
      <c r="O354" s="143">
        <v>43071</v>
      </c>
      <c r="P354" t="s">
        <v>3618</v>
      </c>
      <c r="Q354" t="s">
        <v>3619</v>
      </c>
      <c r="R354" t="s">
        <v>1280</v>
      </c>
      <c r="S354" t="s">
        <v>1510</v>
      </c>
      <c r="T354">
        <v>50</v>
      </c>
      <c r="U354">
        <f>IF(Table__192.168.1.150_M_CONSOLIDATED_Delinquency_Compulsory_EOM[[#This Row],[Days in Arrears]] &lt; 8, Table__192.168.1.150_M_CONSOLIDATED_Delinquency_Compulsory_EOM[[#This Row],[Outstanding Balance]], 0 )</f>
        <v>0</v>
      </c>
      <c r="V3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1785699.53</v>
      </c>
      <c r="W3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4" s="105" t="str">
        <f>VLOOKUP(Table__192.168.1.150_M_CONSOLIDATED_Delinquency_Compulsory_EOM[[#This Row],[Client No]],'Global Portfolio'!$B$2:$N$2500,10,FALSE)</f>
        <v>Real Estate and Rental</v>
      </c>
      <c r="AA354" s="105" t="str">
        <f>VLOOKUP(Table__192.168.1.150_M_CONSOLIDATED_Delinquency_Compulsory_EOM[[#This Row],[Client No]],'Global Portfolio'!$B$2:$N$2500,11,FALSE)</f>
        <v>Rental</v>
      </c>
      <c r="AB354" s="105" t="str">
        <f>VLOOKUP(Table__192.168.1.150_M_CONSOLIDATED_Delinquency_Compulsory_EOM[[#This Row],[Client No]],'Global Portfolio'!$B$2:$N$2500,12,FALSE)</f>
        <v>General Rental Centers</v>
      </c>
    </row>
    <row r="355" spans="1:28" x14ac:dyDescent="0.25">
      <c r="A355">
        <v>102980</v>
      </c>
      <c r="B355" t="s">
        <v>3621</v>
      </c>
      <c r="C355" t="s">
        <v>3623</v>
      </c>
      <c r="D355" t="s">
        <v>1281</v>
      </c>
      <c r="E355">
        <v>-4</v>
      </c>
      <c r="F355">
        <v>20000000</v>
      </c>
      <c r="G355">
        <v>10636838.539999999</v>
      </c>
      <c r="H355">
        <v>1579866.56</v>
      </c>
      <c r="I355" t="s">
        <v>86</v>
      </c>
      <c r="J355">
        <v>0</v>
      </c>
      <c r="K355">
        <v>1500000</v>
      </c>
      <c r="L355">
        <v>354561.28000000003</v>
      </c>
      <c r="M355">
        <v>12638932.550000001</v>
      </c>
      <c r="N355" s="143">
        <v>42709.601917326392</v>
      </c>
      <c r="O355" s="143">
        <v>43256</v>
      </c>
      <c r="P355" t="s">
        <v>3624</v>
      </c>
      <c r="Q355" t="s">
        <v>1280</v>
      </c>
      <c r="R355" t="s">
        <v>1280</v>
      </c>
      <c r="S355" t="s">
        <v>1510</v>
      </c>
      <c r="T355">
        <v>48</v>
      </c>
      <c r="U355">
        <f>IF(Table__192.168.1.150_M_CONSOLIDATED_Delinquency_Compulsory_EOM[[#This Row],[Days in Arrears]] &lt; 8, Table__192.168.1.150_M_CONSOLIDATED_Delinquency_Compulsory_EOM[[#This Row],[Outstanding Balance]], 0 )</f>
        <v>10636838.539999999</v>
      </c>
      <c r="V3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5" s="105" t="str">
        <f>VLOOKUP(Table__192.168.1.150_M_CONSOLIDATED_Delinquency_Compulsory_EOM[[#This Row],[Client No]],'Global Portfolio'!$B$2:$N$2500,10,FALSE)</f>
        <v>Retail</v>
      </c>
      <c r="AA355" s="105" t="str">
        <f>VLOOKUP(Table__192.168.1.150_M_CONSOLIDATED_Delinquency_Compulsory_EOM[[#This Row],[Client No]],'Global Portfolio'!$B$2:$N$2500,11,FALSE)</f>
        <v>New-Clothing and  Accessories</v>
      </c>
      <c r="AB355" s="105" t="str">
        <f>VLOOKUP(Table__192.168.1.150_M_CONSOLIDATED_Delinquency_Compulsory_EOM[[#This Row],[Client No]],'Global Portfolio'!$B$2:$N$2500,12,FALSE)</f>
        <v>Others</v>
      </c>
    </row>
    <row r="356" spans="1:28" x14ac:dyDescent="0.25">
      <c r="A356">
        <v>102981</v>
      </c>
      <c r="B356" t="s">
        <v>614</v>
      </c>
      <c r="C356" t="s">
        <v>616</v>
      </c>
      <c r="D356" t="s">
        <v>1281</v>
      </c>
      <c r="E356">
        <v>-4</v>
      </c>
      <c r="F356">
        <v>15100000</v>
      </c>
      <c r="G356">
        <v>5919497.9699999997</v>
      </c>
      <c r="H356">
        <v>1311058.55</v>
      </c>
      <c r="I356" t="s">
        <v>86</v>
      </c>
      <c r="J356">
        <v>0</v>
      </c>
      <c r="K356">
        <v>750000</v>
      </c>
      <c r="L356">
        <v>172652.02</v>
      </c>
      <c r="M356">
        <v>6555292.6799999997</v>
      </c>
      <c r="N356" s="143">
        <v>42709.677225578707</v>
      </c>
      <c r="O356" s="143">
        <v>43164</v>
      </c>
      <c r="P356" t="s">
        <v>617</v>
      </c>
      <c r="Q356" t="s">
        <v>618</v>
      </c>
      <c r="R356" t="s">
        <v>1280</v>
      </c>
      <c r="S356" t="s">
        <v>1510</v>
      </c>
      <c r="T356">
        <v>42</v>
      </c>
      <c r="U356">
        <f>IF(Table__192.168.1.150_M_CONSOLIDATED_Delinquency_Compulsory_EOM[[#This Row],[Days in Arrears]] &lt; 8, Table__192.168.1.150_M_CONSOLIDATED_Delinquency_Compulsory_EOM[[#This Row],[Outstanding Balance]], 0 )</f>
        <v>5919497.9699999997</v>
      </c>
      <c r="V3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6" s="105" t="str">
        <f>VLOOKUP(Table__192.168.1.150_M_CONSOLIDATED_Delinquency_Compulsory_EOM[[#This Row],[Client No]],'Global Portfolio'!$B$2:$N$2500,10,FALSE)</f>
        <v>Real Estate and Rental</v>
      </c>
      <c r="AA356" s="105" t="str">
        <f>VLOOKUP(Table__192.168.1.150_M_CONSOLIDATED_Delinquency_Compulsory_EOM[[#This Row],[Client No]],'Global Portfolio'!$B$2:$N$2500,11,FALSE)</f>
        <v>Real Estate</v>
      </c>
      <c r="AB356" s="105" t="str">
        <f>VLOOKUP(Table__192.168.1.150_M_CONSOLIDATED_Delinquency_Compulsory_EOM[[#This Row],[Client No]],'Global Portfolio'!$B$2:$N$2500,12,FALSE)</f>
        <v>Others</v>
      </c>
    </row>
    <row r="357" spans="1:28" x14ac:dyDescent="0.25">
      <c r="A357">
        <v>102982</v>
      </c>
      <c r="B357" t="s">
        <v>3622</v>
      </c>
      <c r="C357" t="s">
        <v>3625</v>
      </c>
      <c r="D357" t="s">
        <v>1284</v>
      </c>
      <c r="E357">
        <v>-13</v>
      </c>
      <c r="F357">
        <v>5000000</v>
      </c>
      <c r="G357">
        <v>969554.21</v>
      </c>
      <c r="H357">
        <v>506699.55</v>
      </c>
      <c r="I357" t="s">
        <v>546</v>
      </c>
      <c r="J357">
        <v>0</v>
      </c>
      <c r="K357">
        <v>250000</v>
      </c>
      <c r="L357">
        <v>15512.87</v>
      </c>
      <c r="M357">
        <v>1013399.08</v>
      </c>
      <c r="N357" s="143">
        <v>42709.676114201386</v>
      </c>
      <c r="O357" s="143">
        <v>43083</v>
      </c>
      <c r="P357" t="s">
        <v>3626</v>
      </c>
      <c r="Q357" t="s">
        <v>3627</v>
      </c>
      <c r="R357" t="s">
        <v>1280</v>
      </c>
      <c r="S357" t="s">
        <v>1510</v>
      </c>
      <c r="T357">
        <v>36</v>
      </c>
      <c r="U357">
        <f>IF(Table__192.168.1.150_M_CONSOLIDATED_Delinquency_Compulsory_EOM[[#This Row],[Days in Arrears]] &lt; 8, Table__192.168.1.150_M_CONSOLIDATED_Delinquency_Compulsory_EOM[[#This Row],[Outstanding Balance]], 0 )</f>
        <v>969554.21</v>
      </c>
      <c r="V3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7" s="105" t="str">
        <f>VLOOKUP(Table__192.168.1.150_M_CONSOLIDATED_Delinquency_Compulsory_EOM[[#This Row],[Client No]],'Global Portfolio'!$B$2:$N$2500,10,FALSE)</f>
        <v>Real Estate and Rental</v>
      </c>
      <c r="AA357" s="105" t="str">
        <f>VLOOKUP(Table__192.168.1.150_M_CONSOLIDATED_Delinquency_Compulsory_EOM[[#This Row],[Client No]],'Global Portfolio'!$B$2:$N$2500,11,FALSE)</f>
        <v>Rental</v>
      </c>
      <c r="AB357" s="105" t="str">
        <f>VLOOKUP(Table__192.168.1.150_M_CONSOLIDATED_Delinquency_Compulsory_EOM[[#This Row],[Client No]],'Global Portfolio'!$B$2:$N$2500,12,FALSE)</f>
        <v>General Rental Centers</v>
      </c>
    </row>
    <row r="358" spans="1:28" x14ac:dyDescent="0.25">
      <c r="A358">
        <v>102985</v>
      </c>
      <c r="B358" t="s">
        <v>3681</v>
      </c>
      <c r="C358" t="s">
        <v>3684</v>
      </c>
      <c r="D358" t="s">
        <v>1282</v>
      </c>
      <c r="E358">
        <v>-12</v>
      </c>
      <c r="F358">
        <v>5000000</v>
      </c>
      <c r="G358">
        <v>1026841.7</v>
      </c>
      <c r="H358">
        <v>548330.93999999994</v>
      </c>
      <c r="I358" t="s">
        <v>2494</v>
      </c>
      <c r="J358">
        <v>1031150.82</v>
      </c>
      <c r="K358">
        <v>500000</v>
      </c>
      <c r="L358">
        <v>26184.46</v>
      </c>
      <c r="M358">
        <v>1096661.92</v>
      </c>
      <c r="N358" s="143">
        <v>42717.470813113425</v>
      </c>
      <c r="O358" s="143">
        <v>43082</v>
      </c>
      <c r="P358" t="s">
        <v>3685</v>
      </c>
      <c r="Q358" t="s">
        <v>1280</v>
      </c>
      <c r="R358" t="s">
        <v>1280</v>
      </c>
      <c r="S358" t="s">
        <v>1510</v>
      </c>
      <c r="T358">
        <v>54</v>
      </c>
      <c r="U358">
        <f>IF(Table__192.168.1.150_M_CONSOLIDATED_Delinquency_Compulsory_EOM[[#This Row],[Days in Arrears]] &lt; 8, Table__192.168.1.150_M_CONSOLIDATED_Delinquency_Compulsory_EOM[[#This Row],[Outstanding Balance]], 0 )</f>
        <v>1026841.7</v>
      </c>
      <c r="V3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8" s="105" t="e">
        <f>VLOOKUP(Table__192.168.1.150_M_CONSOLIDATED_Delinquency_Compulsory_EOM[[#This Row],[Client No]],'Global Portfolio'!$B$2:$N$2500,10,FALSE)</f>
        <v>#N/A</v>
      </c>
      <c r="AA358" s="105" t="e">
        <f>VLOOKUP(Table__192.168.1.150_M_CONSOLIDATED_Delinquency_Compulsory_EOM[[#This Row],[Client No]],'Global Portfolio'!$B$2:$N$2500,11,FALSE)</f>
        <v>#N/A</v>
      </c>
      <c r="AB358" s="105" t="e">
        <f>VLOOKUP(Table__192.168.1.150_M_CONSOLIDATED_Delinquency_Compulsory_EOM[[#This Row],[Client No]],'Global Portfolio'!$B$2:$N$2500,12,FALSE)</f>
        <v>#N/A</v>
      </c>
    </row>
    <row r="359" spans="1:28" x14ac:dyDescent="0.25">
      <c r="A359">
        <v>102986</v>
      </c>
      <c r="B359" t="s">
        <v>3641</v>
      </c>
      <c r="C359" t="s">
        <v>3642</v>
      </c>
      <c r="D359" t="s">
        <v>1282</v>
      </c>
      <c r="E359">
        <v>23</v>
      </c>
      <c r="F359">
        <v>6000000</v>
      </c>
      <c r="G359">
        <v>1808810.68</v>
      </c>
      <c r="H359">
        <v>657997.13</v>
      </c>
      <c r="I359" t="s">
        <v>2494</v>
      </c>
      <c r="J359">
        <v>0</v>
      </c>
      <c r="K359">
        <v>0</v>
      </c>
      <c r="L359">
        <v>122059.41</v>
      </c>
      <c r="M359">
        <v>1973991.42</v>
      </c>
      <c r="N359" s="143">
        <v>42712.699027083334</v>
      </c>
      <c r="O359" s="143">
        <v>43077</v>
      </c>
      <c r="P359" t="s">
        <v>3643</v>
      </c>
      <c r="Q359" t="s">
        <v>3644</v>
      </c>
      <c r="R359" t="s">
        <v>1280</v>
      </c>
      <c r="S359" t="s">
        <v>1510</v>
      </c>
      <c r="T359">
        <v>54</v>
      </c>
      <c r="U359">
        <f>IF(Table__192.168.1.150_M_CONSOLIDATED_Delinquency_Compulsory_EOM[[#This Row],[Days in Arrears]] &lt; 8, Table__192.168.1.150_M_CONSOLIDATED_Delinquency_Compulsory_EOM[[#This Row],[Outstanding Balance]], 0 )</f>
        <v>0</v>
      </c>
      <c r="V3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1808810.68</v>
      </c>
      <c r="W3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59" s="105" t="str">
        <f>VLOOKUP(Table__192.168.1.150_M_CONSOLIDATED_Delinquency_Compulsory_EOM[[#This Row],[Client No]],'Global Portfolio'!$B$2:$N$2500,10,FALSE)</f>
        <v>Real Estate and Rental</v>
      </c>
      <c r="AA359" s="105" t="str">
        <f>VLOOKUP(Table__192.168.1.150_M_CONSOLIDATED_Delinquency_Compulsory_EOM[[#This Row],[Client No]],'Global Portfolio'!$B$2:$N$2500,11,FALSE)</f>
        <v>Rental</v>
      </c>
      <c r="AB359" s="105" t="str">
        <f>VLOOKUP(Table__192.168.1.150_M_CONSOLIDATED_Delinquency_Compulsory_EOM[[#This Row],[Client No]],'Global Portfolio'!$B$2:$N$2500,12,FALSE)</f>
        <v>General Rental Centers</v>
      </c>
    </row>
    <row r="360" spans="1:28" x14ac:dyDescent="0.25">
      <c r="A360">
        <v>102987</v>
      </c>
      <c r="B360" t="s">
        <v>3646</v>
      </c>
      <c r="C360" t="s">
        <v>3651</v>
      </c>
      <c r="D360" t="s">
        <v>1282</v>
      </c>
      <c r="E360">
        <v>-8</v>
      </c>
      <c r="F360">
        <v>5000000</v>
      </c>
      <c r="G360">
        <v>1026841.7</v>
      </c>
      <c r="H360">
        <v>548330.93999999994</v>
      </c>
      <c r="I360" t="s">
        <v>1448</v>
      </c>
      <c r="J360">
        <v>15530</v>
      </c>
      <c r="K360">
        <v>0</v>
      </c>
      <c r="L360">
        <v>32345.51</v>
      </c>
      <c r="M360">
        <v>1096661.92</v>
      </c>
      <c r="N360" s="143">
        <v>42713.562692789354</v>
      </c>
      <c r="O360" s="143">
        <v>43078</v>
      </c>
      <c r="P360" t="s">
        <v>3652</v>
      </c>
      <c r="Q360" t="s">
        <v>1280</v>
      </c>
      <c r="R360" t="s">
        <v>1280</v>
      </c>
      <c r="S360" t="s">
        <v>1510</v>
      </c>
      <c r="T360">
        <v>54</v>
      </c>
      <c r="U360">
        <f>IF(Table__192.168.1.150_M_CONSOLIDATED_Delinquency_Compulsory_EOM[[#This Row],[Days in Arrears]] &lt; 8, Table__192.168.1.150_M_CONSOLIDATED_Delinquency_Compulsory_EOM[[#This Row],[Outstanding Balance]], 0 )</f>
        <v>1026841.7</v>
      </c>
      <c r="V3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0" s="105" t="str">
        <f>VLOOKUP(Table__192.168.1.150_M_CONSOLIDATED_Delinquency_Compulsory_EOM[[#This Row],[Client No]],'Global Portfolio'!$B$2:$N$2500,10,FALSE)</f>
        <v>Retail</v>
      </c>
      <c r="AA360" s="105" t="str">
        <f>VLOOKUP(Table__192.168.1.150_M_CONSOLIDATED_Delinquency_Compulsory_EOM[[#This Row],[Client No]],'Global Portfolio'!$B$2:$N$2500,11,FALSE)</f>
        <v>General Merchandise Stores</v>
      </c>
      <c r="AB360" s="105" t="str">
        <f>VLOOKUP(Table__192.168.1.150_M_CONSOLIDATED_Delinquency_Compulsory_EOM[[#This Row],[Client No]],'Global Portfolio'!$B$2:$N$2500,12,FALSE)</f>
        <v>General Stores</v>
      </c>
    </row>
    <row r="361" spans="1:28" x14ac:dyDescent="0.25">
      <c r="A361">
        <v>102989</v>
      </c>
      <c r="B361" t="s">
        <v>934</v>
      </c>
      <c r="C361" t="s">
        <v>946</v>
      </c>
      <c r="D361" t="s">
        <v>1279</v>
      </c>
      <c r="E361">
        <v>22</v>
      </c>
      <c r="F361">
        <v>5000000</v>
      </c>
      <c r="G361">
        <v>1425294.5</v>
      </c>
      <c r="H361">
        <v>532760.86</v>
      </c>
      <c r="I361" t="s">
        <v>963</v>
      </c>
      <c r="J361">
        <v>0</v>
      </c>
      <c r="K361">
        <v>0</v>
      </c>
      <c r="L361">
        <v>28135.45</v>
      </c>
      <c r="M361">
        <v>1485978.8</v>
      </c>
      <c r="N361" s="143">
        <v>42713.660623761571</v>
      </c>
      <c r="O361" s="143">
        <v>43078</v>
      </c>
      <c r="P361" t="s">
        <v>947</v>
      </c>
      <c r="Q361" t="s">
        <v>948</v>
      </c>
      <c r="R361" t="s">
        <v>1280</v>
      </c>
      <c r="S361" t="s">
        <v>1510</v>
      </c>
      <c r="T361">
        <v>48</v>
      </c>
      <c r="U361">
        <f>IF(Table__192.168.1.150_M_CONSOLIDATED_Delinquency_Compulsory_EOM[[#This Row],[Days in Arrears]] &lt; 8, Table__192.168.1.150_M_CONSOLIDATED_Delinquency_Compulsory_EOM[[#This Row],[Outstanding Balance]], 0 )</f>
        <v>0</v>
      </c>
      <c r="V3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1425294.5</v>
      </c>
      <c r="W3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1" s="105" t="str">
        <f>VLOOKUP(Table__192.168.1.150_M_CONSOLIDATED_Delinquency_Compulsory_EOM[[#This Row],[Client No]],'Global Portfolio'!$B$2:$N$2500,10,FALSE)</f>
        <v>Real Estate and Rental</v>
      </c>
      <c r="AA361" s="105" t="str">
        <f>VLOOKUP(Table__192.168.1.150_M_CONSOLIDATED_Delinquency_Compulsory_EOM[[#This Row],[Client No]],'Global Portfolio'!$B$2:$N$2500,11,FALSE)</f>
        <v>Rental</v>
      </c>
      <c r="AB361" s="105" t="str">
        <f>VLOOKUP(Table__192.168.1.150_M_CONSOLIDATED_Delinquency_Compulsory_EOM[[#This Row],[Client No]],'Global Portfolio'!$B$2:$N$2500,12,FALSE)</f>
        <v>General Rental Centers</v>
      </c>
    </row>
    <row r="362" spans="1:28" x14ac:dyDescent="0.25">
      <c r="A362">
        <v>102990</v>
      </c>
      <c r="B362" t="s">
        <v>3647</v>
      </c>
      <c r="C362" t="s">
        <v>3653</v>
      </c>
      <c r="D362" t="s">
        <v>1282</v>
      </c>
      <c r="E362">
        <v>-8</v>
      </c>
      <c r="F362">
        <v>10000000</v>
      </c>
      <c r="G362">
        <v>2009674.83</v>
      </c>
      <c r="H362">
        <v>1065521.73</v>
      </c>
      <c r="I362" t="s">
        <v>1909</v>
      </c>
      <c r="J362">
        <v>0</v>
      </c>
      <c r="K362">
        <v>1000000</v>
      </c>
      <c r="L362">
        <v>56270.9</v>
      </c>
      <c r="M362">
        <v>2131043.42</v>
      </c>
      <c r="N362" s="143">
        <v>42713.678413275462</v>
      </c>
      <c r="O362" s="143">
        <v>43078</v>
      </c>
      <c r="P362" t="s">
        <v>3654</v>
      </c>
      <c r="Q362" t="s">
        <v>1280</v>
      </c>
      <c r="R362" t="s">
        <v>1280</v>
      </c>
      <c r="S362" t="s">
        <v>1510</v>
      </c>
      <c r="T362">
        <v>48</v>
      </c>
      <c r="U362">
        <f>IF(Table__192.168.1.150_M_CONSOLIDATED_Delinquency_Compulsory_EOM[[#This Row],[Days in Arrears]] &lt; 8, Table__192.168.1.150_M_CONSOLIDATED_Delinquency_Compulsory_EOM[[#This Row],[Outstanding Balance]], 0 )</f>
        <v>2009674.83</v>
      </c>
      <c r="V3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2" s="105" t="str">
        <f>VLOOKUP(Table__192.168.1.150_M_CONSOLIDATED_Delinquency_Compulsory_EOM[[#This Row],[Client No]],'Global Portfolio'!$B$2:$N$2500,10,FALSE)</f>
        <v>Retail</v>
      </c>
      <c r="AA362" s="105" t="str">
        <f>VLOOKUP(Table__192.168.1.150_M_CONSOLIDATED_Delinquency_Compulsory_EOM[[#This Row],[Client No]],'Global Portfolio'!$B$2:$N$2500,11,FALSE)</f>
        <v>General Merchandise Stores</v>
      </c>
      <c r="AB362" s="105" t="str">
        <f>VLOOKUP(Table__192.168.1.150_M_CONSOLIDATED_Delinquency_Compulsory_EOM[[#This Row],[Client No]],'Global Portfolio'!$B$2:$N$2500,12,FALSE)</f>
        <v>General Stores</v>
      </c>
    </row>
    <row r="363" spans="1:28" x14ac:dyDescent="0.25">
      <c r="A363">
        <v>102996</v>
      </c>
      <c r="B363" t="s">
        <v>765</v>
      </c>
      <c r="C363" t="s">
        <v>768</v>
      </c>
      <c r="D363" t="s">
        <v>1281</v>
      </c>
      <c r="E363">
        <v>-12</v>
      </c>
      <c r="F363">
        <v>22000000</v>
      </c>
      <c r="G363">
        <v>14961137.460000001</v>
      </c>
      <c r="H363">
        <v>1370002.27</v>
      </c>
      <c r="I363" t="s">
        <v>963</v>
      </c>
      <c r="J363">
        <v>0</v>
      </c>
      <c r="K363">
        <v>1650000</v>
      </c>
      <c r="L363">
        <v>296729.23</v>
      </c>
      <c r="M363">
        <v>19180031.629999999</v>
      </c>
      <c r="N363" s="143">
        <v>42717.69995332176</v>
      </c>
      <c r="O363" s="143">
        <v>43447</v>
      </c>
      <c r="P363" t="s">
        <v>769</v>
      </c>
      <c r="Q363" t="s">
        <v>770</v>
      </c>
      <c r="R363" t="s">
        <v>1280</v>
      </c>
      <c r="S363" t="s">
        <v>1510</v>
      </c>
      <c r="T363">
        <v>42</v>
      </c>
      <c r="U363">
        <f>IF(Table__192.168.1.150_M_CONSOLIDATED_Delinquency_Compulsory_EOM[[#This Row],[Days in Arrears]] &lt; 8, Table__192.168.1.150_M_CONSOLIDATED_Delinquency_Compulsory_EOM[[#This Row],[Outstanding Balance]], 0 )</f>
        <v>14961137.460000001</v>
      </c>
      <c r="V3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3" s="105" t="str">
        <f>VLOOKUP(Table__192.168.1.150_M_CONSOLIDATED_Delinquency_Compulsory_EOM[[#This Row],[Client No]],'Global Portfolio'!$B$2:$N$2500,10,FALSE)</f>
        <v>Retail</v>
      </c>
      <c r="AA363" s="105" t="str">
        <f>VLOOKUP(Table__192.168.1.150_M_CONSOLIDATED_Delinquency_Compulsory_EOM[[#This Row],[Client No]],'Global Portfolio'!$B$2:$N$2500,11,FALSE)</f>
        <v>Furniture and Home Furnishings Stores</v>
      </c>
      <c r="AB363" s="105" t="str">
        <f>VLOOKUP(Table__192.168.1.150_M_CONSOLIDATED_Delinquency_Compulsory_EOM[[#This Row],[Client No]],'Global Portfolio'!$B$2:$N$2500,12,FALSE)</f>
        <v>Furniture Stores</v>
      </c>
    </row>
    <row r="364" spans="1:28" x14ac:dyDescent="0.25">
      <c r="A364">
        <v>102997</v>
      </c>
      <c r="B364" t="s">
        <v>1411</v>
      </c>
      <c r="C364" t="s">
        <v>1412</v>
      </c>
      <c r="D364" t="s">
        <v>1281</v>
      </c>
      <c r="E364">
        <v>-12</v>
      </c>
      <c r="F364">
        <v>25000000</v>
      </c>
      <c r="G364">
        <v>13029039.82</v>
      </c>
      <c r="H364">
        <v>1895421.02</v>
      </c>
      <c r="I364" t="s">
        <v>1191</v>
      </c>
      <c r="J364">
        <v>0</v>
      </c>
      <c r="K364">
        <v>1875000</v>
      </c>
      <c r="L364">
        <v>258409.29</v>
      </c>
      <c r="M364">
        <v>15163368.16</v>
      </c>
      <c r="N364" s="143">
        <v>42717.529608645833</v>
      </c>
      <c r="O364" s="143">
        <v>43264</v>
      </c>
      <c r="P364" t="s">
        <v>1413</v>
      </c>
      <c r="Q364" t="s">
        <v>1414</v>
      </c>
      <c r="R364" t="s">
        <v>1280</v>
      </c>
      <c r="S364" t="s">
        <v>1510</v>
      </c>
      <c r="T364">
        <v>42</v>
      </c>
      <c r="U364">
        <f>IF(Table__192.168.1.150_M_CONSOLIDATED_Delinquency_Compulsory_EOM[[#This Row],[Days in Arrears]] &lt; 8, Table__192.168.1.150_M_CONSOLIDATED_Delinquency_Compulsory_EOM[[#This Row],[Outstanding Balance]], 0 )</f>
        <v>13029039.82</v>
      </c>
      <c r="V3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4" s="105" t="str">
        <f>VLOOKUP(Table__192.168.1.150_M_CONSOLIDATED_Delinquency_Compulsory_EOM[[#This Row],[Client No]],'Global Portfolio'!$B$2:$N$2500,10,FALSE)</f>
        <v>Transportation and Warehousing</v>
      </c>
      <c r="AA364" s="105" t="str">
        <f>VLOOKUP(Table__192.168.1.150_M_CONSOLIDATED_Delinquency_Compulsory_EOM[[#This Row],[Client No]],'Global Portfolio'!$B$2:$N$2500,11,FALSE)</f>
        <v xml:space="preserve"> Passenger Transportation</v>
      </c>
      <c r="AB364" s="105" t="str">
        <f>VLOOKUP(Table__192.168.1.150_M_CONSOLIDATED_Delinquency_Compulsory_EOM[[#This Row],[Client No]],'Global Portfolio'!$B$2:$N$2500,12,FALSE)</f>
        <v>Taxi service</v>
      </c>
    </row>
    <row r="365" spans="1:28" x14ac:dyDescent="0.25">
      <c r="A365">
        <v>102998</v>
      </c>
      <c r="B365" t="s">
        <v>3695</v>
      </c>
      <c r="C365" t="s">
        <v>3697</v>
      </c>
      <c r="D365" t="s">
        <v>1282</v>
      </c>
      <c r="E365">
        <v>-13</v>
      </c>
      <c r="F365">
        <v>10000000</v>
      </c>
      <c r="G365">
        <v>2053683.31</v>
      </c>
      <c r="H365">
        <v>1096661.8899999999</v>
      </c>
      <c r="I365" t="s">
        <v>2494</v>
      </c>
      <c r="J365">
        <v>0</v>
      </c>
      <c r="K365">
        <v>1000000</v>
      </c>
      <c r="L365">
        <v>49288.4</v>
      </c>
      <c r="M365">
        <v>2193323.73</v>
      </c>
      <c r="N365" s="143">
        <v>42718.660504432868</v>
      </c>
      <c r="O365" s="143">
        <v>43083</v>
      </c>
      <c r="P365" t="s">
        <v>3698</v>
      </c>
      <c r="Q365" t="s">
        <v>1280</v>
      </c>
      <c r="R365" t="s">
        <v>1280</v>
      </c>
      <c r="S365" t="s">
        <v>1510</v>
      </c>
      <c r="T365">
        <v>54</v>
      </c>
      <c r="U365">
        <f>IF(Table__192.168.1.150_M_CONSOLIDATED_Delinquency_Compulsory_EOM[[#This Row],[Days in Arrears]] &lt; 8, Table__192.168.1.150_M_CONSOLIDATED_Delinquency_Compulsory_EOM[[#This Row],[Outstanding Balance]], 0 )</f>
        <v>2053683.31</v>
      </c>
      <c r="V3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5" s="105" t="str">
        <f>VLOOKUP(Table__192.168.1.150_M_CONSOLIDATED_Delinquency_Compulsory_EOM[[#This Row],[Client No]],'Global Portfolio'!$B$2:$N$2500,10,FALSE)</f>
        <v>Transportation and Warehousing</v>
      </c>
      <c r="AA365" s="105" t="str">
        <f>VLOOKUP(Table__192.168.1.150_M_CONSOLIDATED_Delinquency_Compulsory_EOM[[#This Row],[Client No]],'Global Portfolio'!$B$2:$N$2500,11,FALSE)</f>
        <v>Truck Transportation</v>
      </c>
      <c r="AB365" s="105" t="str">
        <f>VLOOKUP(Table__192.168.1.150_M_CONSOLIDATED_Delinquency_Compulsory_EOM[[#This Row],[Client No]],'Global Portfolio'!$B$2:$N$2500,12,FALSE)</f>
        <v>General Freight Trucking, Local</v>
      </c>
    </row>
    <row r="366" spans="1:28" x14ac:dyDescent="0.25">
      <c r="A366">
        <v>102999</v>
      </c>
      <c r="B366" t="s">
        <v>3705</v>
      </c>
      <c r="C366" t="s">
        <v>3709</v>
      </c>
      <c r="D366" t="s">
        <v>1284</v>
      </c>
      <c r="E366">
        <v>16</v>
      </c>
      <c r="F366">
        <v>65000000</v>
      </c>
      <c r="G366">
        <v>54564092.57</v>
      </c>
      <c r="H366">
        <v>2977246.62</v>
      </c>
      <c r="I366" t="s">
        <v>491</v>
      </c>
      <c r="J366">
        <v>0</v>
      </c>
      <c r="K366">
        <v>0</v>
      </c>
      <c r="L366">
        <v>2435279.31</v>
      </c>
      <c r="M366">
        <v>80385658.900000006</v>
      </c>
      <c r="N366" s="143">
        <v>42719.47424841435</v>
      </c>
      <c r="O366" s="143">
        <v>43814</v>
      </c>
      <c r="P366" t="s">
        <v>3710</v>
      </c>
      <c r="Q366" t="s">
        <v>3711</v>
      </c>
      <c r="R366" t="s">
        <v>1280</v>
      </c>
      <c r="S366" t="s">
        <v>1510</v>
      </c>
      <c r="T366">
        <v>36</v>
      </c>
      <c r="U366">
        <f>IF(Table__192.168.1.150_M_CONSOLIDATED_Delinquency_Compulsory_EOM[[#This Row],[Days in Arrears]] &lt; 8, Table__192.168.1.150_M_CONSOLIDATED_Delinquency_Compulsory_EOM[[#This Row],[Outstanding Balance]], 0 )</f>
        <v>0</v>
      </c>
      <c r="V3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54564092.57</v>
      </c>
      <c r="W3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6" s="105" t="str">
        <f>VLOOKUP(Table__192.168.1.150_M_CONSOLIDATED_Delinquency_Compulsory_EOM[[#This Row],[Client No]],'Global Portfolio'!$B$2:$N$2500,10,FALSE)</f>
        <v>Real Estate and Rental</v>
      </c>
      <c r="AA366" s="105" t="str">
        <f>VLOOKUP(Table__192.168.1.150_M_CONSOLIDATED_Delinquency_Compulsory_EOM[[#This Row],[Client No]],'Global Portfolio'!$B$2:$N$2500,11,FALSE)</f>
        <v>Rental</v>
      </c>
      <c r="AB366" s="105" t="str">
        <f>VLOOKUP(Table__192.168.1.150_M_CONSOLIDATED_Delinquency_Compulsory_EOM[[#This Row],[Client No]],'Global Portfolio'!$B$2:$N$2500,12,FALSE)</f>
        <v>General Rental Centers</v>
      </c>
    </row>
    <row r="367" spans="1:28" x14ac:dyDescent="0.25">
      <c r="A367">
        <v>103000</v>
      </c>
      <c r="B367" t="s">
        <v>3703</v>
      </c>
      <c r="C367" t="s">
        <v>3712</v>
      </c>
      <c r="D367" t="s">
        <v>1284</v>
      </c>
      <c r="E367">
        <v>-19</v>
      </c>
      <c r="F367">
        <v>25000000</v>
      </c>
      <c r="G367">
        <v>16984196.989999998</v>
      </c>
      <c r="H367">
        <v>1537917.55</v>
      </c>
      <c r="I367" t="s">
        <v>86</v>
      </c>
      <c r="J367">
        <v>0</v>
      </c>
      <c r="K367">
        <v>1250000</v>
      </c>
      <c r="L367">
        <v>188713.3</v>
      </c>
      <c r="M367">
        <v>21530845.550000001</v>
      </c>
      <c r="N367" s="143">
        <v>42719.680272303238</v>
      </c>
      <c r="O367" s="143">
        <v>43454</v>
      </c>
      <c r="P367" t="s">
        <v>3713</v>
      </c>
      <c r="Q367" t="s">
        <v>1280</v>
      </c>
      <c r="R367" t="s">
        <v>1280</v>
      </c>
      <c r="S367" t="s">
        <v>1510</v>
      </c>
      <c r="T367">
        <v>40</v>
      </c>
      <c r="U367">
        <f>IF(Table__192.168.1.150_M_CONSOLIDATED_Delinquency_Compulsory_EOM[[#This Row],[Days in Arrears]] &lt; 8, Table__192.168.1.150_M_CONSOLIDATED_Delinquency_Compulsory_EOM[[#This Row],[Outstanding Balance]], 0 )</f>
        <v>16984196.989999998</v>
      </c>
      <c r="V3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7" s="105" t="str">
        <f>VLOOKUP(Table__192.168.1.150_M_CONSOLIDATED_Delinquency_Compulsory_EOM[[#This Row],[Client No]],'Global Portfolio'!$B$2:$N$2500,10,FALSE)</f>
        <v>Retail</v>
      </c>
      <c r="AA367" s="105" t="str">
        <f>VLOOKUP(Table__192.168.1.150_M_CONSOLIDATED_Delinquency_Compulsory_EOM[[#This Row],[Client No]],'Global Portfolio'!$B$2:$N$2500,11,FALSE)</f>
        <v>Miscellaneous Store Retailers</v>
      </c>
      <c r="AB367" s="105" t="str">
        <f>VLOOKUP(Table__192.168.1.150_M_CONSOLIDATED_Delinquency_Compulsory_EOM[[#This Row],[Client No]],'Global Portfolio'!$B$2:$N$2500,12,FALSE)</f>
        <v>Gift, Novelty, &amp; Souvenir Stores</v>
      </c>
    </row>
    <row r="368" spans="1:28" x14ac:dyDescent="0.25">
      <c r="A368">
        <v>103001</v>
      </c>
      <c r="B368" t="s">
        <v>3706</v>
      </c>
      <c r="C368" t="s">
        <v>3714</v>
      </c>
      <c r="D368" t="s">
        <v>1281</v>
      </c>
      <c r="E368">
        <v>76</v>
      </c>
      <c r="F368">
        <v>22000000</v>
      </c>
      <c r="G368">
        <v>15224422.66</v>
      </c>
      <c r="H368">
        <v>1737853.22</v>
      </c>
      <c r="I368" t="s">
        <v>5725</v>
      </c>
      <c r="J368">
        <v>0</v>
      </c>
      <c r="K368">
        <v>0</v>
      </c>
      <c r="L368">
        <v>1154004.7</v>
      </c>
      <c r="M368">
        <v>19116385.420000002</v>
      </c>
      <c r="N368" s="143">
        <v>42719.749187303241</v>
      </c>
      <c r="O368" s="143">
        <v>43266</v>
      </c>
      <c r="P368" t="s">
        <v>3715</v>
      </c>
      <c r="Q368" t="s">
        <v>3716</v>
      </c>
      <c r="R368" t="s">
        <v>1280</v>
      </c>
      <c r="S368" t="s">
        <v>1510</v>
      </c>
      <c r="T368">
        <v>48</v>
      </c>
      <c r="U368">
        <f>IF(Table__192.168.1.150_M_CONSOLIDATED_Delinquency_Compulsory_EOM[[#This Row],[Days in Arrears]] &lt; 8, Table__192.168.1.150_M_CONSOLIDATED_Delinquency_Compulsory_EOM[[#This Row],[Outstanding Balance]], 0 )</f>
        <v>0</v>
      </c>
      <c r="V3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15224422.66</v>
      </c>
      <c r="Y3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8" s="105" t="str">
        <f>VLOOKUP(Table__192.168.1.150_M_CONSOLIDATED_Delinquency_Compulsory_EOM[[#This Row],[Client No]],'Global Portfolio'!$B$2:$N$2500,10,FALSE)</f>
        <v>Real Estate and Rental</v>
      </c>
      <c r="AA368" s="105" t="str">
        <f>VLOOKUP(Table__192.168.1.150_M_CONSOLIDATED_Delinquency_Compulsory_EOM[[#This Row],[Client No]],'Global Portfolio'!$B$2:$N$2500,11,FALSE)</f>
        <v>Rental</v>
      </c>
      <c r="AB368" s="105" t="str">
        <f>VLOOKUP(Table__192.168.1.150_M_CONSOLIDATED_Delinquency_Compulsory_EOM[[#This Row],[Client No]],'Global Portfolio'!$B$2:$N$2500,12,FALSE)</f>
        <v>Others</v>
      </c>
    </row>
    <row r="369" spans="1:28" x14ac:dyDescent="0.25">
      <c r="A369">
        <v>103002</v>
      </c>
      <c r="B369" t="s">
        <v>390</v>
      </c>
      <c r="C369" t="s">
        <v>393</v>
      </c>
      <c r="D369" t="s">
        <v>1283</v>
      </c>
      <c r="E369">
        <v>37</v>
      </c>
      <c r="F369">
        <v>50000000</v>
      </c>
      <c r="G369">
        <v>37337461.75</v>
      </c>
      <c r="H369">
        <v>2975301.83</v>
      </c>
      <c r="I369" t="s">
        <v>1447</v>
      </c>
      <c r="J369">
        <v>0</v>
      </c>
      <c r="K369">
        <v>0</v>
      </c>
      <c r="L369">
        <v>1065568.81</v>
      </c>
      <c r="M369">
        <v>46448029.130000003</v>
      </c>
      <c r="N369" s="143">
        <v>42720.486729861113</v>
      </c>
      <c r="O369" s="143">
        <v>43458</v>
      </c>
      <c r="P369" t="s">
        <v>394</v>
      </c>
      <c r="Q369" t="s">
        <v>1280</v>
      </c>
      <c r="R369" t="s">
        <v>1280</v>
      </c>
      <c r="S369" t="s">
        <v>1510</v>
      </c>
      <c r="T369">
        <v>36</v>
      </c>
      <c r="U369">
        <f>IF(Table__192.168.1.150_M_CONSOLIDATED_Delinquency_Compulsory_EOM[[#This Row],[Days in Arrears]] &lt; 8, Table__192.168.1.150_M_CONSOLIDATED_Delinquency_Compulsory_EOM[[#This Row],[Outstanding Balance]], 0 )</f>
        <v>0</v>
      </c>
      <c r="V3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37337461.75</v>
      </c>
      <c r="X3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69" s="105" t="str">
        <f>VLOOKUP(Table__192.168.1.150_M_CONSOLIDATED_Delinquency_Compulsory_EOM[[#This Row],[Client No]],'Global Portfolio'!$B$2:$N$2500,10,FALSE)</f>
        <v>Transportation and Warehousing</v>
      </c>
      <c r="AA369" s="105" t="str">
        <f>VLOOKUP(Table__192.168.1.150_M_CONSOLIDATED_Delinquency_Compulsory_EOM[[#This Row],[Client No]],'Global Portfolio'!$B$2:$N$2500,11,FALSE)</f>
        <v>Truck Transportation</v>
      </c>
      <c r="AB369" s="105" t="str">
        <f>VLOOKUP(Table__192.168.1.150_M_CONSOLIDATED_Delinquency_Compulsory_EOM[[#This Row],[Client No]],'Global Portfolio'!$B$2:$N$2500,12,FALSE)</f>
        <v>General Freight Trucking, Long-distance</v>
      </c>
    </row>
    <row r="370" spans="1:28" x14ac:dyDescent="0.25">
      <c r="A370">
        <v>103005</v>
      </c>
      <c r="B370" t="s">
        <v>913</v>
      </c>
      <c r="C370" t="s">
        <v>2424</v>
      </c>
      <c r="D370" t="s">
        <v>1285</v>
      </c>
      <c r="E370">
        <v>-20</v>
      </c>
      <c r="F370">
        <v>12165000</v>
      </c>
      <c r="G370">
        <v>10156399.689999999</v>
      </c>
      <c r="H370">
        <v>438028.84</v>
      </c>
      <c r="I370" t="s">
        <v>284</v>
      </c>
      <c r="J370">
        <v>52761.86</v>
      </c>
      <c r="K370">
        <v>0</v>
      </c>
      <c r="L370">
        <v>63477.5</v>
      </c>
      <c r="M370">
        <v>14016923.060000001</v>
      </c>
      <c r="N370" s="143">
        <v>42723.521864155089</v>
      </c>
      <c r="O370" s="143">
        <v>44003</v>
      </c>
      <c r="P370" t="s">
        <v>2425</v>
      </c>
      <c r="Q370" t="s">
        <v>1280</v>
      </c>
      <c r="R370" t="s">
        <v>1280</v>
      </c>
      <c r="S370" t="s">
        <v>1510</v>
      </c>
      <c r="T370">
        <v>25</v>
      </c>
      <c r="U370">
        <f>IF(Table__192.168.1.150_M_CONSOLIDATED_Delinquency_Compulsory_EOM[[#This Row],[Days in Arrears]] &lt; 8, Table__192.168.1.150_M_CONSOLIDATED_Delinquency_Compulsory_EOM[[#This Row],[Outstanding Balance]], 0 )</f>
        <v>10156399.689999999</v>
      </c>
      <c r="V3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0" s="105" t="str">
        <f>VLOOKUP(Table__192.168.1.150_M_CONSOLIDATED_Delinquency_Compulsory_EOM[[#This Row],[Client No]],'Global Portfolio'!$B$2:$N$2500,10,FALSE)</f>
        <v>Finance and Insurance</v>
      </c>
      <c r="AA370" s="105" t="str">
        <f>VLOOKUP(Table__192.168.1.150_M_CONSOLIDATED_Delinquency_Compulsory_EOM[[#This Row],[Client No]],'Global Portfolio'!$B$2:$N$2500,11,FALSE)</f>
        <v>Finance</v>
      </c>
      <c r="AB370" s="105" t="str">
        <f>VLOOKUP(Table__192.168.1.150_M_CONSOLIDATED_Delinquency_Compulsory_EOM[[#This Row],[Client No]],'Global Portfolio'!$B$2:$N$2500,12,FALSE)</f>
        <v>Microfinance Institutions</v>
      </c>
    </row>
    <row r="371" spans="1:28" x14ac:dyDescent="0.25">
      <c r="A371">
        <v>103007</v>
      </c>
      <c r="B371" t="s">
        <v>2925</v>
      </c>
      <c r="C371" t="s">
        <v>2926</v>
      </c>
      <c r="D371" t="s">
        <v>1281</v>
      </c>
      <c r="E371">
        <v>71</v>
      </c>
      <c r="F371">
        <v>16000000</v>
      </c>
      <c r="G371">
        <v>7475767.21</v>
      </c>
      <c r="H371">
        <v>1655743.19</v>
      </c>
      <c r="I371" t="s">
        <v>1467</v>
      </c>
      <c r="J371">
        <v>0</v>
      </c>
      <c r="K371">
        <v>0</v>
      </c>
      <c r="L371">
        <v>467415.22</v>
      </c>
      <c r="M371">
        <v>8278715.9400000004</v>
      </c>
      <c r="N371" s="143">
        <v>42724.610130636574</v>
      </c>
      <c r="O371" s="143">
        <v>43089</v>
      </c>
      <c r="P371" t="s">
        <v>2927</v>
      </c>
      <c r="Q371" t="s">
        <v>1280</v>
      </c>
      <c r="R371" t="s">
        <v>1280</v>
      </c>
      <c r="S371" t="s">
        <v>1510</v>
      </c>
      <c r="T371">
        <v>42</v>
      </c>
      <c r="U371">
        <f>IF(Table__192.168.1.150_M_CONSOLIDATED_Delinquency_Compulsory_EOM[[#This Row],[Days in Arrears]] &lt; 8, Table__192.168.1.150_M_CONSOLIDATED_Delinquency_Compulsory_EOM[[#This Row],[Outstanding Balance]], 0 )</f>
        <v>0</v>
      </c>
      <c r="V3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7475767.21</v>
      </c>
      <c r="Y3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1" s="105" t="str">
        <f>VLOOKUP(Table__192.168.1.150_M_CONSOLIDATED_Delinquency_Compulsory_EOM[[#This Row],[Client No]],'Global Portfolio'!$B$2:$N$2500,10,FALSE)</f>
        <v>Wholesale Trade</v>
      </c>
      <c r="AA371" s="105" t="str">
        <f>VLOOKUP(Table__192.168.1.150_M_CONSOLIDATED_Delinquency_Compulsory_EOM[[#This Row],[Client No]],'Global Portfolio'!$B$2:$N$2500,11,FALSE)</f>
        <v>Nondurable Goods</v>
      </c>
      <c r="AB371" s="105" t="str">
        <f>VLOOKUP(Table__192.168.1.150_M_CONSOLIDATED_Delinquency_Compulsory_EOM[[#This Row],[Client No]],'Global Portfolio'!$B$2:$N$2500,12,FALSE)</f>
        <v>Others</v>
      </c>
    </row>
    <row r="372" spans="1:28" x14ac:dyDescent="0.25">
      <c r="A372">
        <v>103009</v>
      </c>
      <c r="B372" t="s">
        <v>1604</v>
      </c>
      <c r="C372" t="s">
        <v>1609</v>
      </c>
      <c r="D372" t="s">
        <v>1284</v>
      </c>
      <c r="E372">
        <v>-23</v>
      </c>
      <c r="F372">
        <v>65000000</v>
      </c>
      <c r="G372">
        <v>49385354.020000003</v>
      </c>
      <c r="H372">
        <v>3319471.52</v>
      </c>
      <c r="I372" t="s">
        <v>491</v>
      </c>
      <c r="J372">
        <v>0</v>
      </c>
      <c r="K372">
        <v>0</v>
      </c>
      <c r="L372">
        <v>296312.12</v>
      </c>
      <c r="M372">
        <v>66389430.270000003</v>
      </c>
      <c r="N372" s="143">
        <v>42727.369213576392</v>
      </c>
      <c r="O372" s="143">
        <v>43640</v>
      </c>
      <c r="P372" t="s">
        <v>1610</v>
      </c>
      <c r="Q372" t="s">
        <v>1611</v>
      </c>
      <c r="R372" t="s">
        <v>1280</v>
      </c>
      <c r="S372" t="s">
        <v>1510</v>
      </c>
      <c r="T372">
        <v>36</v>
      </c>
      <c r="U372">
        <f>IF(Table__192.168.1.150_M_CONSOLIDATED_Delinquency_Compulsory_EOM[[#This Row],[Days in Arrears]] &lt; 8, Table__192.168.1.150_M_CONSOLIDATED_Delinquency_Compulsory_EOM[[#This Row],[Outstanding Balance]], 0 )</f>
        <v>49385354.020000003</v>
      </c>
      <c r="V3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2" s="105" t="str">
        <f>VLOOKUP(Table__192.168.1.150_M_CONSOLIDATED_Delinquency_Compulsory_EOM[[#This Row],[Client No]],'Global Portfolio'!$B$2:$N$2500,10,FALSE)</f>
        <v>Health Care</v>
      </c>
      <c r="AA372" s="105" t="str">
        <f>VLOOKUP(Table__192.168.1.150_M_CONSOLIDATED_Delinquency_Compulsory_EOM[[#This Row],[Client No]],'Global Portfolio'!$B$2:$N$2500,11,FALSE)</f>
        <v>Health Care</v>
      </c>
      <c r="AB372" s="105" t="str">
        <f>VLOOKUP(Table__192.168.1.150_M_CONSOLIDATED_Delinquency_Compulsory_EOM[[#This Row],[Client No]],'Global Portfolio'!$B$2:$N$2500,12,FALSE)</f>
        <v xml:space="preserve"> Medical &amp; Diagnostic Laboratories</v>
      </c>
    </row>
    <row r="373" spans="1:28" x14ac:dyDescent="0.25">
      <c r="A373">
        <v>103011</v>
      </c>
      <c r="B373" t="s">
        <v>3781</v>
      </c>
      <c r="C373" t="s">
        <v>3784</v>
      </c>
      <c r="D373" t="s">
        <v>1282</v>
      </c>
      <c r="E373">
        <v>-22</v>
      </c>
      <c r="F373">
        <v>7500000</v>
      </c>
      <c r="G373">
        <v>1540262.57</v>
      </c>
      <c r="H373">
        <v>822496.41</v>
      </c>
      <c r="I373" t="s">
        <v>5167</v>
      </c>
      <c r="J373">
        <v>10507.18</v>
      </c>
      <c r="K373">
        <v>750000</v>
      </c>
      <c r="L373">
        <v>16172.76</v>
      </c>
      <c r="M373">
        <v>1644992.9</v>
      </c>
      <c r="N373" s="143">
        <v>42727.653175810185</v>
      </c>
      <c r="O373" s="143">
        <v>43092</v>
      </c>
      <c r="P373" t="s">
        <v>3785</v>
      </c>
      <c r="Q373" t="s">
        <v>1280</v>
      </c>
      <c r="R373" t="s">
        <v>1280</v>
      </c>
      <c r="S373" t="s">
        <v>1510</v>
      </c>
      <c r="T373">
        <v>54</v>
      </c>
      <c r="U373">
        <f>IF(Table__192.168.1.150_M_CONSOLIDATED_Delinquency_Compulsory_EOM[[#This Row],[Days in Arrears]] &lt; 8, Table__192.168.1.150_M_CONSOLIDATED_Delinquency_Compulsory_EOM[[#This Row],[Outstanding Balance]], 0 )</f>
        <v>1540262.57</v>
      </c>
      <c r="V3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3" s="105" t="str">
        <f>VLOOKUP(Table__192.168.1.150_M_CONSOLIDATED_Delinquency_Compulsory_EOM[[#This Row],[Client No]],'Global Portfolio'!$B$2:$N$2500,10,FALSE)</f>
        <v>Transportation and Warehousing</v>
      </c>
      <c r="AA373" s="105" t="str">
        <f>VLOOKUP(Table__192.168.1.150_M_CONSOLIDATED_Delinquency_Compulsory_EOM[[#This Row],[Client No]],'Global Portfolio'!$B$2:$N$2500,11,FALSE)</f>
        <v xml:space="preserve"> Passenger Transportation</v>
      </c>
      <c r="AB373" s="105" t="str">
        <f>VLOOKUP(Table__192.168.1.150_M_CONSOLIDATED_Delinquency_Compulsory_EOM[[#This Row],[Client No]],'Global Portfolio'!$B$2:$N$2500,12,FALSE)</f>
        <v>Others</v>
      </c>
    </row>
    <row r="374" spans="1:28" x14ac:dyDescent="0.25">
      <c r="A374">
        <v>103013</v>
      </c>
      <c r="B374" t="s">
        <v>3782</v>
      </c>
      <c r="C374" t="s">
        <v>3786</v>
      </c>
      <c r="D374" t="s">
        <v>1282</v>
      </c>
      <c r="E374">
        <v>-23</v>
      </c>
      <c r="F374">
        <v>5000000</v>
      </c>
      <c r="G374">
        <v>1026841.7</v>
      </c>
      <c r="H374">
        <v>548330.93999999994</v>
      </c>
      <c r="I374" t="s">
        <v>2494</v>
      </c>
      <c r="J374">
        <v>0</v>
      </c>
      <c r="K374">
        <v>500000</v>
      </c>
      <c r="L374">
        <v>9241.58</v>
      </c>
      <c r="M374">
        <v>1096661.92</v>
      </c>
      <c r="N374" s="143">
        <v>42728.535344097225</v>
      </c>
      <c r="O374" s="143">
        <v>43093</v>
      </c>
      <c r="P374" t="s">
        <v>3787</v>
      </c>
      <c r="Q374" t="s">
        <v>3788</v>
      </c>
      <c r="R374" t="s">
        <v>1280</v>
      </c>
      <c r="S374" t="s">
        <v>1510</v>
      </c>
      <c r="T374">
        <v>54</v>
      </c>
      <c r="U374">
        <f>IF(Table__192.168.1.150_M_CONSOLIDATED_Delinquency_Compulsory_EOM[[#This Row],[Days in Arrears]] &lt; 8, Table__192.168.1.150_M_CONSOLIDATED_Delinquency_Compulsory_EOM[[#This Row],[Outstanding Balance]], 0 )</f>
        <v>1026841.7</v>
      </c>
      <c r="V3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4" s="105" t="str">
        <f>VLOOKUP(Table__192.168.1.150_M_CONSOLIDATED_Delinquency_Compulsory_EOM[[#This Row],[Client No]],'Global Portfolio'!$B$2:$N$2500,10,FALSE)</f>
        <v>Transportation and Warehousing</v>
      </c>
      <c r="AA374" s="105" t="str">
        <f>VLOOKUP(Table__192.168.1.150_M_CONSOLIDATED_Delinquency_Compulsory_EOM[[#This Row],[Client No]],'Global Portfolio'!$B$2:$N$2500,11,FALSE)</f>
        <v>Others</v>
      </c>
      <c r="AB374" s="105" t="str">
        <f>VLOOKUP(Table__192.168.1.150_M_CONSOLIDATED_Delinquency_Compulsory_EOM[[#This Row],[Client No]],'Global Portfolio'!$B$2:$N$2500,12,FALSE)</f>
        <v>Others</v>
      </c>
    </row>
    <row r="375" spans="1:28" x14ac:dyDescent="0.25">
      <c r="A375">
        <v>103014</v>
      </c>
      <c r="B375" t="s">
        <v>861</v>
      </c>
      <c r="C375" t="s">
        <v>865</v>
      </c>
      <c r="D375" t="s">
        <v>1284</v>
      </c>
      <c r="E375">
        <v>7</v>
      </c>
      <c r="F375">
        <v>50000000</v>
      </c>
      <c r="G375">
        <v>34121138.359999999</v>
      </c>
      <c r="H375">
        <v>2952370.8</v>
      </c>
      <c r="I375" t="s">
        <v>1039</v>
      </c>
      <c r="J375">
        <v>0</v>
      </c>
      <c r="K375">
        <v>0</v>
      </c>
      <c r="L375">
        <v>1257457.51</v>
      </c>
      <c r="M375">
        <v>42104133.049999997</v>
      </c>
      <c r="N375" s="143">
        <v>42728.544728125002</v>
      </c>
      <c r="O375" s="143">
        <v>43458</v>
      </c>
      <c r="P375" t="s">
        <v>866</v>
      </c>
      <c r="Q375" t="s">
        <v>867</v>
      </c>
      <c r="R375" t="s">
        <v>1280</v>
      </c>
      <c r="S375" t="s">
        <v>1510</v>
      </c>
      <c r="T375">
        <v>36</v>
      </c>
      <c r="U375">
        <f>IF(Table__192.168.1.150_M_CONSOLIDATED_Delinquency_Compulsory_EOM[[#This Row],[Days in Arrears]] &lt; 8, Table__192.168.1.150_M_CONSOLIDATED_Delinquency_Compulsory_EOM[[#This Row],[Outstanding Balance]], 0 )</f>
        <v>34121138.359999999</v>
      </c>
      <c r="V3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5" s="105" t="str">
        <f>VLOOKUP(Table__192.168.1.150_M_CONSOLIDATED_Delinquency_Compulsory_EOM[[#This Row],[Client No]],'Global Portfolio'!$B$2:$N$2500,10,FALSE)</f>
        <v>Real Estate and Rental</v>
      </c>
      <c r="AA375" s="105" t="str">
        <f>VLOOKUP(Table__192.168.1.150_M_CONSOLIDATED_Delinquency_Compulsory_EOM[[#This Row],[Client No]],'Global Portfolio'!$B$2:$N$2500,11,FALSE)</f>
        <v>Rental</v>
      </c>
      <c r="AB375" s="105" t="str">
        <f>VLOOKUP(Table__192.168.1.150_M_CONSOLIDATED_Delinquency_Compulsory_EOM[[#This Row],[Client No]],'Global Portfolio'!$B$2:$N$2500,12,FALSE)</f>
        <v>General Rental Centers</v>
      </c>
    </row>
    <row r="376" spans="1:28" x14ac:dyDescent="0.25">
      <c r="A376">
        <v>103018</v>
      </c>
      <c r="B376" t="s">
        <v>3808</v>
      </c>
      <c r="C376" t="s">
        <v>3811</v>
      </c>
      <c r="D376" t="s">
        <v>1279</v>
      </c>
      <c r="E376">
        <v>-1</v>
      </c>
      <c r="F376">
        <v>2000000</v>
      </c>
      <c r="G376">
        <v>605533.28</v>
      </c>
      <c r="H376">
        <v>220276.87</v>
      </c>
      <c r="I376" t="s">
        <v>2034</v>
      </c>
      <c r="J376">
        <v>0</v>
      </c>
      <c r="K376">
        <v>200000</v>
      </c>
      <c r="L376">
        <v>25432.400000000001</v>
      </c>
      <c r="M376">
        <v>660830.63</v>
      </c>
      <c r="N376" s="143">
        <v>42733.488834525466</v>
      </c>
      <c r="O376" s="143">
        <v>43102</v>
      </c>
      <c r="P376" t="s">
        <v>3812</v>
      </c>
      <c r="Q376" t="s">
        <v>1280</v>
      </c>
      <c r="R376" t="s">
        <v>1280</v>
      </c>
      <c r="S376" t="s">
        <v>1510</v>
      </c>
      <c r="T376">
        <v>54</v>
      </c>
      <c r="U376">
        <f>IF(Table__192.168.1.150_M_CONSOLIDATED_Delinquency_Compulsory_EOM[[#This Row],[Days in Arrears]] &lt; 8, Table__192.168.1.150_M_CONSOLIDATED_Delinquency_Compulsory_EOM[[#This Row],[Outstanding Balance]], 0 )</f>
        <v>605533.28</v>
      </c>
      <c r="V3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6" s="105" t="str">
        <f>VLOOKUP(Table__192.168.1.150_M_CONSOLIDATED_Delinquency_Compulsory_EOM[[#This Row],[Client No]],'Global Portfolio'!$B$2:$N$2500,10,FALSE)</f>
        <v>Retail</v>
      </c>
      <c r="AA376" s="105" t="str">
        <f>VLOOKUP(Table__192.168.1.150_M_CONSOLIDATED_Delinquency_Compulsory_EOM[[#This Row],[Client No]],'Global Portfolio'!$B$2:$N$2500,11,FALSE)</f>
        <v>General Merchandise Stores</v>
      </c>
      <c r="AB376" s="105" t="str">
        <f>VLOOKUP(Table__192.168.1.150_M_CONSOLIDATED_Delinquency_Compulsory_EOM[[#This Row],[Client No]],'Global Portfolio'!$B$2:$N$2500,12,FALSE)</f>
        <v>General Stores</v>
      </c>
    </row>
    <row r="377" spans="1:28" x14ac:dyDescent="0.25">
      <c r="A377">
        <v>103019</v>
      </c>
      <c r="B377" t="s">
        <v>3807</v>
      </c>
      <c r="C377" t="s">
        <v>3813</v>
      </c>
      <c r="D377" t="s">
        <v>1282</v>
      </c>
      <c r="E377">
        <v>-1</v>
      </c>
      <c r="F377">
        <v>4000000</v>
      </c>
      <c r="G377">
        <v>1211066.54</v>
      </c>
      <c r="H377">
        <v>440553.74</v>
      </c>
      <c r="I377" t="s">
        <v>468</v>
      </c>
      <c r="J377">
        <v>1506213.57</v>
      </c>
      <c r="K377">
        <v>400000</v>
      </c>
      <c r="L377">
        <v>50864.79</v>
      </c>
      <c r="M377">
        <v>1321661.23</v>
      </c>
      <c r="N377" s="143">
        <v>42733.711408298608</v>
      </c>
      <c r="O377" s="143">
        <v>43102</v>
      </c>
      <c r="P377" t="s">
        <v>3814</v>
      </c>
      <c r="Q377" t="s">
        <v>3815</v>
      </c>
      <c r="R377" t="s">
        <v>1280</v>
      </c>
      <c r="S377" t="s">
        <v>1510</v>
      </c>
      <c r="T377">
        <v>54</v>
      </c>
      <c r="U377">
        <f>IF(Table__192.168.1.150_M_CONSOLIDATED_Delinquency_Compulsory_EOM[[#This Row],[Days in Arrears]] &lt; 8, Table__192.168.1.150_M_CONSOLIDATED_Delinquency_Compulsory_EOM[[#This Row],[Outstanding Balance]], 0 )</f>
        <v>1211066.54</v>
      </c>
      <c r="V3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7" s="105" t="str">
        <f>VLOOKUP(Table__192.168.1.150_M_CONSOLIDATED_Delinquency_Compulsory_EOM[[#This Row],[Client No]],'Global Portfolio'!$B$2:$N$2500,10,FALSE)</f>
        <v>Retail</v>
      </c>
      <c r="AA377" s="105" t="str">
        <f>VLOOKUP(Table__192.168.1.150_M_CONSOLIDATED_Delinquency_Compulsory_EOM[[#This Row],[Client No]],'Global Portfolio'!$B$2:$N$2500,11,FALSE)</f>
        <v>General Merchandise Stores</v>
      </c>
      <c r="AB377" s="105" t="str">
        <f>VLOOKUP(Table__192.168.1.150_M_CONSOLIDATED_Delinquency_Compulsory_EOM[[#This Row],[Client No]],'Global Portfolio'!$B$2:$N$2500,12,FALSE)</f>
        <v>General Stores</v>
      </c>
    </row>
    <row r="378" spans="1:28" x14ac:dyDescent="0.25">
      <c r="A378">
        <v>103021</v>
      </c>
      <c r="B378" t="s">
        <v>709</v>
      </c>
      <c r="C378" t="s">
        <v>711</v>
      </c>
      <c r="D378" t="s">
        <v>1283</v>
      </c>
      <c r="E378">
        <v>0</v>
      </c>
      <c r="F378">
        <v>65000000</v>
      </c>
      <c r="G378">
        <v>54617067.43</v>
      </c>
      <c r="H378">
        <v>2980137.15</v>
      </c>
      <c r="I378" t="s">
        <v>90</v>
      </c>
      <c r="J378">
        <v>0</v>
      </c>
      <c r="K378">
        <v>0</v>
      </c>
      <c r="L378">
        <v>1583894.96</v>
      </c>
      <c r="M378">
        <v>80463703.269999996</v>
      </c>
      <c r="N378" s="143">
        <v>42734.610254942127</v>
      </c>
      <c r="O378" s="143">
        <v>43831</v>
      </c>
      <c r="P378" t="s">
        <v>712</v>
      </c>
      <c r="Q378" t="s">
        <v>713</v>
      </c>
      <c r="R378" t="s">
        <v>1280</v>
      </c>
      <c r="S378" t="s">
        <v>1510</v>
      </c>
      <c r="T378">
        <v>36</v>
      </c>
      <c r="U378">
        <f>IF(Table__192.168.1.150_M_CONSOLIDATED_Delinquency_Compulsory_EOM[[#This Row],[Days in Arrears]] &lt; 8, Table__192.168.1.150_M_CONSOLIDATED_Delinquency_Compulsory_EOM[[#This Row],[Outstanding Balance]], 0 )</f>
        <v>54617067.43</v>
      </c>
      <c r="V3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8" s="105" t="str">
        <f>VLOOKUP(Table__192.168.1.150_M_CONSOLIDATED_Delinquency_Compulsory_EOM[[#This Row],[Client No]],'Global Portfolio'!$B$2:$N$2500,10,FALSE)</f>
        <v>Wholesale Trade</v>
      </c>
      <c r="AA378" s="105" t="str">
        <f>VLOOKUP(Table__192.168.1.150_M_CONSOLIDATED_Delinquency_Compulsory_EOM[[#This Row],[Client No]],'Global Portfolio'!$B$2:$N$2500,11,FALSE)</f>
        <v>Others</v>
      </c>
      <c r="AB378" s="105" t="str">
        <f>VLOOKUP(Table__192.168.1.150_M_CONSOLIDATED_Delinquency_Compulsory_EOM[[#This Row],[Client No]],'Global Portfolio'!$B$2:$N$2500,12,FALSE)</f>
        <v>Others</v>
      </c>
    </row>
    <row r="379" spans="1:28" x14ac:dyDescent="0.25">
      <c r="A379">
        <v>103022</v>
      </c>
      <c r="B379" t="s">
        <v>1491</v>
      </c>
      <c r="C379" t="s">
        <v>1492</v>
      </c>
      <c r="D379" t="s">
        <v>1281</v>
      </c>
      <c r="E379">
        <v>-6</v>
      </c>
      <c r="F379">
        <v>18000000</v>
      </c>
      <c r="G379">
        <v>10464154.68</v>
      </c>
      <c r="H379">
        <v>1375471.32</v>
      </c>
      <c r="I379" t="s">
        <v>86</v>
      </c>
      <c r="J379">
        <v>0</v>
      </c>
      <c r="K379">
        <v>1350000</v>
      </c>
      <c r="L379">
        <v>280788.15000000002</v>
      </c>
      <c r="M379">
        <v>12379241.99</v>
      </c>
      <c r="N379" s="143">
        <v>42734.642636886572</v>
      </c>
      <c r="O379" s="143">
        <v>43288</v>
      </c>
      <c r="P379" t="s">
        <v>1493</v>
      </c>
      <c r="Q379" t="s">
        <v>1494</v>
      </c>
      <c r="R379" t="s">
        <v>1280</v>
      </c>
      <c r="S379" t="s">
        <v>1510</v>
      </c>
      <c r="T379">
        <v>42</v>
      </c>
      <c r="U379">
        <f>IF(Table__192.168.1.150_M_CONSOLIDATED_Delinquency_Compulsory_EOM[[#This Row],[Days in Arrears]] &lt; 8, Table__192.168.1.150_M_CONSOLIDATED_Delinquency_Compulsory_EOM[[#This Row],[Outstanding Balance]], 0 )</f>
        <v>10464154.68</v>
      </c>
      <c r="V3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79" s="105" t="str">
        <f>VLOOKUP(Table__192.168.1.150_M_CONSOLIDATED_Delinquency_Compulsory_EOM[[#This Row],[Client No]],'Global Portfolio'!$B$2:$N$2500,10,FALSE)</f>
        <v>Retail</v>
      </c>
      <c r="AA379" s="105" t="str">
        <f>VLOOKUP(Table__192.168.1.150_M_CONSOLIDATED_Delinquency_Compulsory_EOM[[#This Row],[Client No]],'Global Portfolio'!$B$2:$N$2500,11,FALSE)</f>
        <v>Miscellaneous Store Retailers</v>
      </c>
      <c r="AB379" s="105" t="str">
        <f>VLOOKUP(Table__192.168.1.150_M_CONSOLIDATED_Delinquency_Compulsory_EOM[[#This Row],[Client No]],'Global Portfolio'!$B$2:$N$2500,12,FALSE)</f>
        <v>Printing Stores</v>
      </c>
    </row>
    <row r="380" spans="1:28" x14ac:dyDescent="0.25">
      <c r="A380">
        <v>103024</v>
      </c>
      <c r="B380" t="s">
        <v>806</v>
      </c>
      <c r="C380" t="s">
        <v>807</v>
      </c>
      <c r="D380" t="s">
        <v>1282</v>
      </c>
      <c r="E380">
        <v>60</v>
      </c>
      <c r="F380">
        <v>10000000</v>
      </c>
      <c r="G380">
        <v>4749594.84</v>
      </c>
      <c r="H380">
        <v>1066887.78</v>
      </c>
      <c r="I380" t="s">
        <v>468</v>
      </c>
      <c r="J380">
        <v>0</v>
      </c>
      <c r="K380">
        <v>0</v>
      </c>
      <c r="L380">
        <v>344891.42</v>
      </c>
      <c r="M380">
        <v>5334438.88</v>
      </c>
      <c r="N380" s="143">
        <v>42735.676254317128</v>
      </c>
      <c r="O380" s="143">
        <v>43101</v>
      </c>
      <c r="P380" t="s">
        <v>808</v>
      </c>
      <c r="Q380" t="s">
        <v>1280</v>
      </c>
      <c r="R380" t="s">
        <v>1280</v>
      </c>
      <c r="S380" t="s">
        <v>1510</v>
      </c>
      <c r="T380">
        <v>48</v>
      </c>
      <c r="U380">
        <f>IF(Table__192.168.1.150_M_CONSOLIDATED_Delinquency_Compulsory_EOM[[#This Row],[Days in Arrears]] &lt; 8, Table__192.168.1.150_M_CONSOLIDATED_Delinquency_Compulsory_EOM[[#This Row],[Outstanding Balance]], 0 )</f>
        <v>0</v>
      </c>
      <c r="V3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4749594.84</v>
      </c>
      <c r="Y3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0" s="105" t="str">
        <f>VLOOKUP(Table__192.168.1.150_M_CONSOLIDATED_Delinquency_Compulsory_EOM[[#This Row],[Client No]],'Global Portfolio'!$B$2:$N$2500,10,FALSE)</f>
        <v>Retail</v>
      </c>
      <c r="AA380" s="105" t="str">
        <f>VLOOKUP(Table__192.168.1.150_M_CONSOLIDATED_Delinquency_Compulsory_EOM[[#This Row],[Client No]],'Global Portfolio'!$B$2:$N$2500,11,FALSE)</f>
        <v>Others</v>
      </c>
      <c r="AB380" s="105" t="str">
        <f>VLOOKUP(Table__192.168.1.150_M_CONSOLIDATED_Delinquency_Compulsory_EOM[[#This Row],[Client No]],'Global Portfolio'!$B$2:$N$2500,12,FALSE)</f>
        <v>Others</v>
      </c>
    </row>
    <row r="381" spans="1:28" x14ac:dyDescent="0.25">
      <c r="A381">
        <v>103027</v>
      </c>
      <c r="B381" t="s">
        <v>1142</v>
      </c>
      <c r="C381" t="s">
        <v>2349</v>
      </c>
      <c r="D381" t="s">
        <v>1282</v>
      </c>
      <c r="E381">
        <v>0</v>
      </c>
      <c r="F381">
        <v>15000000</v>
      </c>
      <c r="G381">
        <v>4441066.08</v>
      </c>
      <c r="H381">
        <v>1600331.67</v>
      </c>
      <c r="I381" t="s">
        <v>468</v>
      </c>
      <c r="J381">
        <v>1589668.33</v>
      </c>
      <c r="K381">
        <v>1500000</v>
      </c>
      <c r="L381">
        <v>171721.22</v>
      </c>
      <c r="M381">
        <v>4800995.0199999996</v>
      </c>
      <c r="N381" s="143">
        <v>42735.800914467596</v>
      </c>
      <c r="O381" s="143">
        <v>43101</v>
      </c>
      <c r="P381" t="s">
        <v>2350</v>
      </c>
      <c r="Q381" t="s">
        <v>1280</v>
      </c>
      <c r="R381" t="s">
        <v>1280</v>
      </c>
      <c r="S381" t="s">
        <v>1510</v>
      </c>
      <c r="T381">
        <v>48</v>
      </c>
      <c r="U381">
        <f>IF(Table__192.168.1.150_M_CONSOLIDATED_Delinquency_Compulsory_EOM[[#This Row],[Days in Arrears]] &lt; 8, Table__192.168.1.150_M_CONSOLIDATED_Delinquency_Compulsory_EOM[[#This Row],[Outstanding Balance]], 0 )</f>
        <v>4441066.08</v>
      </c>
      <c r="V3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1" s="105" t="str">
        <f>VLOOKUP(Table__192.168.1.150_M_CONSOLIDATED_Delinquency_Compulsory_EOM[[#This Row],[Client No]],'Global Portfolio'!$B$2:$N$2500,10,FALSE)</f>
        <v>Real Estate and Rental</v>
      </c>
      <c r="AA381" s="105" t="str">
        <f>VLOOKUP(Table__192.168.1.150_M_CONSOLIDATED_Delinquency_Compulsory_EOM[[#This Row],[Client No]],'Global Portfolio'!$B$2:$N$2500,11,FALSE)</f>
        <v>Rental</v>
      </c>
      <c r="AB381" s="105" t="str">
        <f>VLOOKUP(Table__192.168.1.150_M_CONSOLIDATED_Delinquency_Compulsory_EOM[[#This Row],[Client No]],'Global Portfolio'!$B$2:$N$2500,12,FALSE)</f>
        <v>General Rental Centers</v>
      </c>
    </row>
    <row r="382" spans="1:28" x14ac:dyDescent="0.25">
      <c r="A382">
        <v>103032</v>
      </c>
      <c r="B382" t="s">
        <v>638</v>
      </c>
      <c r="C382" t="s">
        <v>642</v>
      </c>
      <c r="D382" t="s">
        <v>1283</v>
      </c>
      <c r="E382">
        <v>-8</v>
      </c>
      <c r="F382">
        <v>42474000</v>
      </c>
      <c r="G382">
        <v>38341211.009999998</v>
      </c>
      <c r="H382">
        <v>1681026.36</v>
      </c>
      <c r="I382" t="s">
        <v>1191</v>
      </c>
      <c r="J382">
        <v>3023222.52</v>
      </c>
      <c r="K382">
        <v>5700000</v>
      </c>
      <c r="L382">
        <v>805165.43</v>
      </c>
      <c r="M382">
        <v>65560028.549999997</v>
      </c>
      <c r="N382" s="143">
        <v>42744.597391631942</v>
      </c>
      <c r="O382" s="143">
        <v>44205</v>
      </c>
      <c r="P382" t="s">
        <v>643</v>
      </c>
      <c r="Q382" t="s">
        <v>644</v>
      </c>
      <c r="R382" t="s">
        <v>1280</v>
      </c>
      <c r="S382" t="s">
        <v>1510</v>
      </c>
      <c r="T382">
        <v>36</v>
      </c>
      <c r="U382">
        <f>IF(Table__192.168.1.150_M_CONSOLIDATED_Delinquency_Compulsory_EOM[[#This Row],[Days in Arrears]] &lt; 8, Table__192.168.1.150_M_CONSOLIDATED_Delinquency_Compulsory_EOM[[#This Row],[Outstanding Balance]], 0 )</f>
        <v>38341211.009999998</v>
      </c>
      <c r="V3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2" s="105" t="str">
        <f>VLOOKUP(Table__192.168.1.150_M_CONSOLIDATED_Delinquency_Compulsory_EOM[[#This Row],[Client No]],'Global Portfolio'!$B$2:$N$2500,10,FALSE)</f>
        <v>Wholesale Trade</v>
      </c>
      <c r="AA382" s="105" t="str">
        <f>VLOOKUP(Table__192.168.1.150_M_CONSOLIDATED_Delinquency_Compulsory_EOM[[#This Row],[Client No]],'Global Portfolio'!$B$2:$N$2500,11,FALSE)</f>
        <v>Others</v>
      </c>
      <c r="AB382" s="105" t="str">
        <f>VLOOKUP(Table__192.168.1.150_M_CONSOLIDATED_Delinquency_Compulsory_EOM[[#This Row],[Client No]],'Global Portfolio'!$B$2:$N$2500,12,FALSE)</f>
        <v>Others</v>
      </c>
    </row>
    <row r="383" spans="1:28" x14ac:dyDescent="0.25">
      <c r="A383">
        <v>103033</v>
      </c>
      <c r="B383" t="s">
        <v>1443</v>
      </c>
      <c r="C383" t="s">
        <v>1451</v>
      </c>
      <c r="D383" t="s">
        <v>1283</v>
      </c>
      <c r="E383">
        <v>-8</v>
      </c>
      <c r="F383">
        <v>65000000</v>
      </c>
      <c r="G383">
        <v>54564092.57</v>
      </c>
      <c r="H383">
        <v>2977246.62</v>
      </c>
      <c r="I383" t="s">
        <v>86</v>
      </c>
      <c r="J383">
        <v>0</v>
      </c>
      <c r="K383">
        <v>3250000</v>
      </c>
      <c r="L383">
        <v>1145845.94</v>
      </c>
      <c r="M383">
        <v>80385658.900000006</v>
      </c>
      <c r="N383" s="143">
        <v>42744.666961030096</v>
      </c>
      <c r="O383" s="143">
        <v>43839</v>
      </c>
      <c r="P383" t="s">
        <v>1452</v>
      </c>
      <c r="Q383" t="s">
        <v>1453</v>
      </c>
      <c r="R383" t="s">
        <v>1280</v>
      </c>
      <c r="S383" t="s">
        <v>1510</v>
      </c>
      <c r="T383">
        <v>36</v>
      </c>
      <c r="U383">
        <f>IF(Table__192.168.1.150_M_CONSOLIDATED_Delinquency_Compulsory_EOM[[#This Row],[Days in Arrears]] &lt; 8, Table__192.168.1.150_M_CONSOLIDATED_Delinquency_Compulsory_EOM[[#This Row],[Outstanding Balance]], 0 )</f>
        <v>54564092.57</v>
      </c>
      <c r="V3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3" s="105" t="str">
        <f>VLOOKUP(Table__192.168.1.150_M_CONSOLIDATED_Delinquency_Compulsory_EOM[[#This Row],[Client No]],'Global Portfolio'!$B$2:$N$2500,10,FALSE)</f>
        <v>Transportation and Warehousing</v>
      </c>
      <c r="AA383" s="105" t="str">
        <f>VLOOKUP(Table__192.168.1.150_M_CONSOLIDATED_Delinquency_Compulsory_EOM[[#This Row],[Client No]],'Global Portfolio'!$B$2:$N$2500,11,FALSE)</f>
        <v>Truck Transportation</v>
      </c>
      <c r="AB383" s="105" t="str">
        <f>VLOOKUP(Table__192.168.1.150_M_CONSOLIDATED_Delinquency_Compulsory_EOM[[#This Row],[Client No]],'Global Portfolio'!$B$2:$N$2500,12,FALSE)</f>
        <v>Others</v>
      </c>
    </row>
    <row r="384" spans="1:28" x14ac:dyDescent="0.25">
      <c r="A384">
        <v>103034</v>
      </c>
      <c r="B384" t="s">
        <v>3849</v>
      </c>
      <c r="C384" t="s">
        <v>3852</v>
      </c>
      <c r="D384" t="s">
        <v>1283</v>
      </c>
      <c r="E384">
        <v>-14</v>
      </c>
      <c r="F384">
        <v>65000000</v>
      </c>
      <c r="G384">
        <v>51318627.119999997</v>
      </c>
      <c r="H384">
        <v>3329130.5</v>
      </c>
      <c r="I384" t="s">
        <v>2855</v>
      </c>
      <c r="J384">
        <v>0</v>
      </c>
      <c r="K384">
        <v>4000000</v>
      </c>
      <c r="L384">
        <v>769779.41</v>
      </c>
      <c r="M384">
        <v>69911740.719999999</v>
      </c>
      <c r="N384" s="143">
        <v>42746.718805671298</v>
      </c>
      <c r="O384" s="143">
        <v>43661</v>
      </c>
      <c r="P384" t="s">
        <v>3853</v>
      </c>
      <c r="Q384" t="s">
        <v>3854</v>
      </c>
      <c r="R384" t="s">
        <v>1280</v>
      </c>
      <c r="S384" t="s">
        <v>1510</v>
      </c>
      <c r="T384">
        <v>36</v>
      </c>
      <c r="U384">
        <f>IF(Table__192.168.1.150_M_CONSOLIDATED_Delinquency_Compulsory_EOM[[#This Row],[Days in Arrears]] &lt; 8, Table__192.168.1.150_M_CONSOLIDATED_Delinquency_Compulsory_EOM[[#This Row],[Outstanding Balance]], 0 )</f>
        <v>51318627.119999997</v>
      </c>
      <c r="V3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4" s="105" t="str">
        <f>VLOOKUP(Table__192.168.1.150_M_CONSOLIDATED_Delinquency_Compulsory_EOM[[#This Row],[Client No]],'Global Portfolio'!$B$2:$N$2500,10,FALSE)</f>
        <v>Real Estate and Rental</v>
      </c>
      <c r="AA384" s="105" t="str">
        <f>VLOOKUP(Table__192.168.1.150_M_CONSOLIDATED_Delinquency_Compulsory_EOM[[#This Row],[Client No]],'Global Portfolio'!$B$2:$N$2500,11,FALSE)</f>
        <v>Rental</v>
      </c>
      <c r="AB384" s="105" t="str">
        <f>VLOOKUP(Table__192.168.1.150_M_CONSOLIDATED_Delinquency_Compulsory_EOM[[#This Row],[Client No]],'Global Portfolio'!$B$2:$N$2500,12,FALSE)</f>
        <v>General Rental Centers</v>
      </c>
    </row>
    <row r="385" spans="1:28" x14ac:dyDescent="0.25">
      <c r="A385">
        <v>103035</v>
      </c>
      <c r="B385" t="s">
        <v>3861</v>
      </c>
      <c r="C385" t="s">
        <v>3862</v>
      </c>
      <c r="D385" t="s">
        <v>1281</v>
      </c>
      <c r="E385">
        <v>-12</v>
      </c>
      <c r="F385">
        <v>16000000</v>
      </c>
      <c r="G385">
        <v>7410775.8899999997</v>
      </c>
      <c r="H385">
        <v>1390767.04</v>
      </c>
      <c r="I385" t="s">
        <v>468</v>
      </c>
      <c r="J385">
        <v>0</v>
      </c>
      <c r="K385">
        <v>1200000</v>
      </c>
      <c r="L385">
        <v>146980.39000000001</v>
      </c>
      <c r="M385">
        <v>8344602.2199999997</v>
      </c>
      <c r="N385" s="143">
        <v>42747.567707326387</v>
      </c>
      <c r="O385" s="143">
        <v>43203</v>
      </c>
      <c r="P385" t="s">
        <v>3863</v>
      </c>
      <c r="Q385" t="s">
        <v>3864</v>
      </c>
      <c r="R385" t="s">
        <v>1280</v>
      </c>
      <c r="S385" t="s">
        <v>1510</v>
      </c>
      <c r="T385">
        <v>42</v>
      </c>
      <c r="U385">
        <f>IF(Table__192.168.1.150_M_CONSOLIDATED_Delinquency_Compulsory_EOM[[#This Row],[Days in Arrears]] &lt; 8, Table__192.168.1.150_M_CONSOLIDATED_Delinquency_Compulsory_EOM[[#This Row],[Outstanding Balance]], 0 )</f>
        <v>7410775.8899999997</v>
      </c>
      <c r="V3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5" s="105" t="str">
        <f>VLOOKUP(Table__192.168.1.150_M_CONSOLIDATED_Delinquency_Compulsory_EOM[[#This Row],[Client No]],'Global Portfolio'!$B$2:$N$2500,10,FALSE)</f>
        <v>Agriculture, Forestry, Fishing and Hunting</v>
      </c>
      <c r="AA385" s="105" t="str">
        <f>VLOOKUP(Table__192.168.1.150_M_CONSOLIDATED_Delinquency_Compulsory_EOM[[#This Row],[Client No]],'Global Portfolio'!$B$2:$N$2500,11,FALSE)</f>
        <v>Animal Production</v>
      </c>
      <c r="AB385" s="105" t="str">
        <f>VLOOKUP(Table__192.168.1.150_M_CONSOLIDATED_Delinquency_Compulsory_EOM[[#This Row],[Client No]],'Global Portfolio'!$B$2:$N$2500,12,FALSE)</f>
        <v>Poultry &amp; Egg Production</v>
      </c>
    </row>
    <row r="386" spans="1:28" x14ac:dyDescent="0.25">
      <c r="A386">
        <v>103036</v>
      </c>
      <c r="B386" t="s">
        <v>685</v>
      </c>
      <c r="C386" t="s">
        <v>1760</v>
      </c>
      <c r="D386" t="s">
        <v>1284</v>
      </c>
      <c r="E386">
        <v>-11</v>
      </c>
      <c r="F386">
        <v>20000000</v>
      </c>
      <c r="G386">
        <v>5683363.9000000004</v>
      </c>
      <c r="H386">
        <v>2009241.71</v>
      </c>
      <c r="I386" t="s">
        <v>86</v>
      </c>
      <c r="J386">
        <v>2740.49</v>
      </c>
      <c r="K386">
        <v>1000000</v>
      </c>
      <c r="L386">
        <v>102300.55</v>
      </c>
      <c r="M386">
        <v>6027725.1100000003</v>
      </c>
      <c r="N386" s="143">
        <v>42747.564159062502</v>
      </c>
      <c r="O386" s="143">
        <v>43112</v>
      </c>
      <c r="P386" t="s">
        <v>1761</v>
      </c>
      <c r="Q386" t="s">
        <v>1832</v>
      </c>
      <c r="R386" t="s">
        <v>1280</v>
      </c>
      <c r="S386" t="s">
        <v>1510</v>
      </c>
      <c r="T386">
        <v>36</v>
      </c>
      <c r="U386">
        <f>IF(Table__192.168.1.150_M_CONSOLIDATED_Delinquency_Compulsory_EOM[[#This Row],[Days in Arrears]] &lt; 8, Table__192.168.1.150_M_CONSOLIDATED_Delinquency_Compulsory_EOM[[#This Row],[Outstanding Balance]], 0 )</f>
        <v>5683363.9000000004</v>
      </c>
      <c r="V3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6" s="105" t="str">
        <f>VLOOKUP(Table__192.168.1.150_M_CONSOLIDATED_Delinquency_Compulsory_EOM[[#This Row],[Client No]],'Global Portfolio'!$B$2:$N$2500,10,FALSE)</f>
        <v>Transportation and Warehousing</v>
      </c>
      <c r="AA386" s="105" t="str">
        <f>VLOOKUP(Table__192.168.1.150_M_CONSOLIDATED_Delinquency_Compulsory_EOM[[#This Row],[Client No]],'Global Portfolio'!$B$2:$N$2500,11,FALSE)</f>
        <v>Truck Transportation</v>
      </c>
      <c r="AB386" s="105" t="str">
        <f>VLOOKUP(Table__192.168.1.150_M_CONSOLIDATED_Delinquency_Compulsory_EOM[[#This Row],[Client No]],'Global Portfolio'!$B$2:$N$2500,12,FALSE)</f>
        <v>General Freight Trucking, Long-distance</v>
      </c>
    </row>
    <row r="387" spans="1:28" x14ac:dyDescent="0.25">
      <c r="A387">
        <v>103037</v>
      </c>
      <c r="B387" t="s">
        <v>1356</v>
      </c>
      <c r="C387" t="s">
        <v>1357</v>
      </c>
      <c r="D387" t="s">
        <v>1284</v>
      </c>
      <c r="E387">
        <v>-22</v>
      </c>
      <c r="F387">
        <v>55000000</v>
      </c>
      <c r="G387">
        <v>38769731.990000002</v>
      </c>
      <c r="H387">
        <v>3247607.88</v>
      </c>
      <c r="I387" t="s">
        <v>90</v>
      </c>
      <c r="J387">
        <v>0</v>
      </c>
      <c r="K387">
        <v>0</v>
      </c>
      <c r="L387">
        <v>271388.12</v>
      </c>
      <c r="M387">
        <v>48714118.109999999</v>
      </c>
      <c r="N387" s="143">
        <v>42758.473323611113</v>
      </c>
      <c r="O387" s="143">
        <v>43488</v>
      </c>
      <c r="P387" t="s">
        <v>1358</v>
      </c>
      <c r="Q387" t="s">
        <v>1280</v>
      </c>
      <c r="R387" t="s">
        <v>1280</v>
      </c>
      <c r="S387" t="s">
        <v>1510</v>
      </c>
      <c r="T387">
        <v>36</v>
      </c>
      <c r="U387">
        <f>IF(Table__192.168.1.150_M_CONSOLIDATED_Delinquency_Compulsory_EOM[[#This Row],[Days in Arrears]] &lt; 8, Table__192.168.1.150_M_CONSOLIDATED_Delinquency_Compulsory_EOM[[#This Row],[Outstanding Balance]], 0 )</f>
        <v>38769731.990000002</v>
      </c>
      <c r="V3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7" s="105" t="str">
        <f>VLOOKUP(Table__192.168.1.150_M_CONSOLIDATED_Delinquency_Compulsory_EOM[[#This Row],[Client No]],'Global Portfolio'!$B$2:$N$2500,10,FALSE)</f>
        <v>Real Estate and Rental</v>
      </c>
      <c r="AA387" s="105" t="str">
        <f>VLOOKUP(Table__192.168.1.150_M_CONSOLIDATED_Delinquency_Compulsory_EOM[[#This Row],[Client No]],'Global Portfolio'!$B$2:$N$2500,11,FALSE)</f>
        <v>Rental</v>
      </c>
      <c r="AB387" s="105" t="str">
        <f>VLOOKUP(Table__192.168.1.150_M_CONSOLIDATED_Delinquency_Compulsory_EOM[[#This Row],[Client No]],'Global Portfolio'!$B$2:$N$2500,12,FALSE)</f>
        <v>Others</v>
      </c>
    </row>
    <row r="388" spans="1:28" x14ac:dyDescent="0.25">
      <c r="A388">
        <v>103038</v>
      </c>
      <c r="B388" t="s">
        <v>3867</v>
      </c>
      <c r="C388" t="s">
        <v>3868</v>
      </c>
      <c r="D388" t="s">
        <v>1284</v>
      </c>
      <c r="E388">
        <v>-12</v>
      </c>
      <c r="F388">
        <v>35000000</v>
      </c>
      <c r="G388">
        <v>24960282.780000001</v>
      </c>
      <c r="H388">
        <v>2141570.7400000002</v>
      </c>
      <c r="I388" t="s">
        <v>468</v>
      </c>
      <c r="J388">
        <v>0</v>
      </c>
      <c r="K388">
        <v>1750000</v>
      </c>
      <c r="L388">
        <v>471472.01</v>
      </c>
      <c r="M388">
        <v>32123561.239999998</v>
      </c>
      <c r="N388" s="143">
        <v>42748.569454629629</v>
      </c>
      <c r="O388" s="143">
        <v>43478</v>
      </c>
      <c r="P388" t="s">
        <v>3869</v>
      </c>
      <c r="Q388" t="s">
        <v>3870</v>
      </c>
      <c r="R388" t="s">
        <v>1280</v>
      </c>
      <c r="S388" t="s">
        <v>1510</v>
      </c>
      <c r="T388">
        <v>40</v>
      </c>
      <c r="U388">
        <f>IF(Table__192.168.1.150_M_CONSOLIDATED_Delinquency_Compulsory_EOM[[#This Row],[Days in Arrears]] &lt; 8, Table__192.168.1.150_M_CONSOLIDATED_Delinquency_Compulsory_EOM[[#This Row],[Outstanding Balance]], 0 )</f>
        <v>24960282.780000001</v>
      </c>
      <c r="V3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8" s="105" t="str">
        <f>VLOOKUP(Table__192.168.1.150_M_CONSOLIDATED_Delinquency_Compulsory_EOM[[#This Row],[Client No]],'Global Portfolio'!$B$2:$N$2500,10,FALSE)</f>
        <v>Wholesale Trade</v>
      </c>
      <c r="AA388" s="105" t="str">
        <f>VLOOKUP(Table__192.168.1.150_M_CONSOLIDATED_Delinquency_Compulsory_EOM[[#This Row],[Client No]],'Global Portfolio'!$B$2:$N$2500,11,FALSE)</f>
        <v>Durable Goods</v>
      </c>
      <c r="AB388" s="105" t="str">
        <f>VLOOKUP(Table__192.168.1.150_M_CONSOLIDATED_Delinquency_Compulsory_EOM[[#This Row],[Client No]],'Global Portfolio'!$B$2:$N$2500,12,FALSE)</f>
        <v>Others</v>
      </c>
    </row>
    <row r="389" spans="1:28" x14ac:dyDescent="0.25">
      <c r="A389">
        <v>103041</v>
      </c>
      <c r="B389" t="s">
        <v>2060</v>
      </c>
      <c r="C389" t="s">
        <v>2062</v>
      </c>
      <c r="D389" t="s">
        <v>1283</v>
      </c>
      <c r="E389">
        <v>78</v>
      </c>
      <c r="F389">
        <v>65000000</v>
      </c>
      <c r="G389">
        <v>58355347.810000002</v>
      </c>
      <c r="H389">
        <v>2977246.62</v>
      </c>
      <c r="I389" t="s">
        <v>5725</v>
      </c>
      <c r="J389">
        <v>0</v>
      </c>
      <c r="K389">
        <v>0</v>
      </c>
      <c r="L389">
        <v>3244475.11</v>
      </c>
      <c r="M389">
        <v>89154479.349999994</v>
      </c>
      <c r="N389" s="143">
        <v>42748.729617824072</v>
      </c>
      <c r="O389" s="143">
        <v>43843</v>
      </c>
      <c r="P389" t="s">
        <v>2063</v>
      </c>
      <c r="Q389" t="s">
        <v>1280</v>
      </c>
      <c r="R389" t="s">
        <v>1280</v>
      </c>
      <c r="S389" t="s">
        <v>1510</v>
      </c>
      <c r="T389">
        <v>36</v>
      </c>
      <c r="U389">
        <f>IF(Table__192.168.1.150_M_CONSOLIDATED_Delinquency_Compulsory_EOM[[#This Row],[Days in Arrears]] &lt; 8, Table__192.168.1.150_M_CONSOLIDATED_Delinquency_Compulsory_EOM[[#This Row],[Outstanding Balance]], 0 )</f>
        <v>0</v>
      </c>
      <c r="V3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58355347.810000002</v>
      </c>
      <c r="Y3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89" s="105" t="str">
        <f>VLOOKUP(Table__192.168.1.150_M_CONSOLIDATED_Delinquency_Compulsory_EOM[[#This Row],[Client No]],'Global Portfolio'!$B$2:$N$2500,10,FALSE)</f>
        <v>Retail</v>
      </c>
      <c r="AA389" s="105" t="str">
        <f>VLOOKUP(Table__192.168.1.150_M_CONSOLIDATED_Delinquency_Compulsory_EOM[[#This Row],[Client No]],'Global Portfolio'!$B$2:$N$2500,11,FALSE)</f>
        <v>Others</v>
      </c>
      <c r="AB389" s="105" t="str">
        <f>VLOOKUP(Table__192.168.1.150_M_CONSOLIDATED_Delinquency_Compulsory_EOM[[#This Row],[Client No]],'Global Portfolio'!$B$2:$N$2500,12,FALSE)</f>
        <v>Others</v>
      </c>
    </row>
    <row r="390" spans="1:28" x14ac:dyDescent="0.25">
      <c r="A390">
        <v>103042</v>
      </c>
      <c r="B390" t="s">
        <v>3877</v>
      </c>
      <c r="C390" t="s">
        <v>3879</v>
      </c>
      <c r="D390" t="s">
        <v>1279</v>
      </c>
      <c r="E390">
        <v>-13</v>
      </c>
      <c r="F390">
        <v>5000000</v>
      </c>
      <c r="G390">
        <v>1478459.94</v>
      </c>
      <c r="H390">
        <v>532760.86</v>
      </c>
      <c r="I390" t="s">
        <v>5167</v>
      </c>
      <c r="J390">
        <v>0</v>
      </c>
      <c r="K390">
        <v>300000</v>
      </c>
      <c r="L390">
        <v>31540.48</v>
      </c>
      <c r="M390">
        <v>1598282.64</v>
      </c>
      <c r="N390" s="143">
        <v>42749.543612303241</v>
      </c>
      <c r="O390" s="143">
        <v>43114</v>
      </c>
      <c r="P390" t="s">
        <v>3880</v>
      </c>
      <c r="Q390" t="s">
        <v>3881</v>
      </c>
      <c r="R390" t="s">
        <v>3882</v>
      </c>
      <c r="S390" t="s">
        <v>1510</v>
      </c>
      <c r="T390">
        <v>48</v>
      </c>
      <c r="U390">
        <f>IF(Table__192.168.1.150_M_CONSOLIDATED_Delinquency_Compulsory_EOM[[#This Row],[Days in Arrears]] &lt; 8, Table__192.168.1.150_M_CONSOLIDATED_Delinquency_Compulsory_EOM[[#This Row],[Outstanding Balance]], 0 )</f>
        <v>1478459.94</v>
      </c>
      <c r="V3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0" s="105" t="str">
        <f>VLOOKUP(Table__192.168.1.150_M_CONSOLIDATED_Delinquency_Compulsory_EOM[[#This Row],[Client No]],'Global Portfolio'!$B$2:$N$2500,10,FALSE)</f>
        <v>Retail</v>
      </c>
      <c r="AA390" s="105" t="str">
        <f>VLOOKUP(Table__192.168.1.150_M_CONSOLIDATED_Delinquency_Compulsory_EOM[[#This Row],[Client No]],'Global Portfolio'!$B$2:$N$2500,11,FALSE)</f>
        <v>Furniture and Home Furnishings Stores</v>
      </c>
      <c r="AB390" s="105" t="str">
        <f>VLOOKUP(Table__192.168.1.150_M_CONSOLIDATED_Delinquency_Compulsory_EOM[[#This Row],[Client No]],'Global Portfolio'!$B$2:$N$2500,12,FALSE)</f>
        <v>Kitchen Ware</v>
      </c>
    </row>
    <row r="391" spans="1:28" x14ac:dyDescent="0.25">
      <c r="A391">
        <v>103044</v>
      </c>
      <c r="B391" t="s">
        <v>1939</v>
      </c>
      <c r="C391" t="s">
        <v>1940</v>
      </c>
      <c r="D391" t="s">
        <v>1282</v>
      </c>
      <c r="E391">
        <v>-13</v>
      </c>
      <c r="F391">
        <v>4000000</v>
      </c>
      <c r="G391">
        <v>1182767.92</v>
      </c>
      <c r="H391">
        <v>426208.69</v>
      </c>
      <c r="I391" t="s">
        <v>1447</v>
      </c>
      <c r="J391">
        <v>0</v>
      </c>
      <c r="K391">
        <v>0</v>
      </c>
      <c r="L391">
        <v>61883.72</v>
      </c>
      <c r="M391">
        <v>1278626.08</v>
      </c>
      <c r="N391" s="143">
        <v>42749.609014085647</v>
      </c>
      <c r="O391" s="143">
        <v>43114</v>
      </c>
      <c r="P391" t="s">
        <v>1941</v>
      </c>
      <c r="Q391" t="s">
        <v>1280</v>
      </c>
      <c r="R391" t="s">
        <v>1280</v>
      </c>
      <c r="S391" t="s">
        <v>1510</v>
      </c>
      <c r="T391">
        <v>48</v>
      </c>
      <c r="U391">
        <f>IF(Table__192.168.1.150_M_CONSOLIDATED_Delinquency_Compulsory_EOM[[#This Row],[Days in Arrears]] &lt; 8, Table__192.168.1.150_M_CONSOLIDATED_Delinquency_Compulsory_EOM[[#This Row],[Outstanding Balance]], 0 )</f>
        <v>1182767.92</v>
      </c>
      <c r="V3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1" s="105" t="str">
        <f>VLOOKUP(Table__192.168.1.150_M_CONSOLIDATED_Delinquency_Compulsory_EOM[[#This Row],[Client No]],'Global Portfolio'!$B$2:$N$2500,10,FALSE)</f>
        <v>Retail</v>
      </c>
      <c r="AA391" s="105" t="str">
        <f>VLOOKUP(Table__192.168.1.150_M_CONSOLIDATED_Delinquency_Compulsory_EOM[[#This Row],[Client No]],'Global Portfolio'!$B$2:$N$2500,11,FALSE)</f>
        <v>General Merchandise Stores</v>
      </c>
      <c r="AB391" s="105" t="str">
        <f>VLOOKUP(Table__192.168.1.150_M_CONSOLIDATED_Delinquency_Compulsory_EOM[[#This Row],[Client No]],'Global Portfolio'!$B$2:$N$2500,12,FALSE)</f>
        <v>General Stores</v>
      </c>
    </row>
    <row r="392" spans="1:28" x14ac:dyDescent="0.25">
      <c r="A392">
        <v>103045</v>
      </c>
      <c r="B392" t="s">
        <v>3888</v>
      </c>
      <c r="C392" t="s">
        <v>3889</v>
      </c>
      <c r="D392" t="s">
        <v>1281</v>
      </c>
      <c r="E392">
        <v>-15</v>
      </c>
      <c r="F392">
        <v>18000000</v>
      </c>
      <c r="G392">
        <v>10572148.58</v>
      </c>
      <c r="H392">
        <v>1421879.91</v>
      </c>
      <c r="I392" t="s">
        <v>468</v>
      </c>
      <c r="J392">
        <v>0</v>
      </c>
      <c r="K392">
        <v>1350000</v>
      </c>
      <c r="L392">
        <v>197346.77</v>
      </c>
      <c r="M392">
        <v>12796919.1</v>
      </c>
      <c r="N392" s="143">
        <v>42751.566293634256</v>
      </c>
      <c r="O392" s="143">
        <v>43297</v>
      </c>
      <c r="P392" t="s">
        <v>3890</v>
      </c>
      <c r="Q392" t="s">
        <v>3891</v>
      </c>
      <c r="R392" t="s">
        <v>1280</v>
      </c>
      <c r="S392" t="s">
        <v>1510</v>
      </c>
      <c r="T392">
        <v>48</v>
      </c>
      <c r="U392">
        <f>IF(Table__192.168.1.150_M_CONSOLIDATED_Delinquency_Compulsory_EOM[[#This Row],[Days in Arrears]] &lt; 8, Table__192.168.1.150_M_CONSOLIDATED_Delinquency_Compulsory_EOM[[#This Row],[Outstanding Balance]], 0 )</f>
        <v>10572148.58</v>
      </c>
      <c r="V3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2" s="105" t="str">
        <f>VLOOKUP(Table__192.168.1.150_M_CONSOLIDATED_Delinquency_Compulsory_EOM[[#This Row],[Client No]],'Global Portfolio'!$B$2:$N$2500,10,FALSE)</f>
        <v>Educational Services</v>
      </c>
      <c r="AA392" s="105" t="str">
        <f>VLOOKUP(Table__192.168.1.150_M_CONSOLIDATED_Delinquency_Compulsory_EOM[[#This Row],[Client No]],'Global Portfolio'!$B$2:$N$2500,11,FALSE)</f>
        <v>Educational Services</v>
      </c>
      <c r="AB392" s="105" t="str">
        <f>VLOOKUP(Table__192.168.1.150_M_CONSOLIDATED_Delinquency_Compulsory_EOM[[#This Row],[Client No]],'Global Portfolio'!$B$2:$N$2500,12,FALSE)</f>
        <v>Schools</v>
      </c>
    </row>
    <row r="393" spans="1:28" x14ac:dyDescent="0.25">
      <c r="A393">
        <v>103046</v>
      </c>
      <c r="B393" t="s">
        <v>3887</v>
      </c>
      <c r="C393" t="s">
        <v>3892</v>
      </c>
      <c r="D393" t="s">
        <v>1283</v>
      </c>
      <c r="E393">
        <v>-15</v>
      </c>
      <c r="F393">
        <v>50000000</v>
      </c>
      <c r="G393">
        <v>41972378.890000001</v>
      </c>
      <c r="H393">
        <v>2290189.71</v>
      </c>
      <c r="I393" t="s">
        <v>4684</v>
      </c>
      <c r="J393">
        <v>6125410.96</v>
      </c>
      <c r="K393">
        <v>2500000</v>
      </c>
      <c r="L393">
        <v>587613.30000000005</v>
      </c>
      <c r="M393">
        <v>61835122.159999996</v>
      </c>
      <c r="N393" s="143">
        <v>42751.604390127315</v>
      </c>
      <c r="O393" s="143">
        <v>43846</v>
      </c>
      <c r="P393" t="s">
        <v>3893</v>
      </c>
      <c r="Q393" t="s">
        <v>1280</v>
      </c>
      <c r="R393" t="s">
        <v>1280</v>
      </c>
      <c r="S393" t="s">
        <v>1510</v>
      </c>
      <c r="T393">
        <v>36</v>
      </c>
      <c r="U393">
        <f>IF(Table__192.168.1.150_M_CONSOLIDATED_Delinquency_Compulsory_EOM[[#This Row],[Days in Arrears]] &lt; 8, Table__192.168.1.150_M_CONSOLIDATED_Delinquency_Compulsory_EOM[[#This Row],[Outstanding Balance]], 0 )</f>
        <v>41972378.890000001</v>
      </c>
      <c r="V3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3" s="105" t="str">
        <f>VLOOKUP(Table__192.168.1.150_M_CONSOLIDATED_Delinquency_Compulsory_EOM[[#This Row],[Client No]],'Global Portfolio'!$B$2:$N$2500,10,FALSE)</f>
        <v>Retail</v>
      </c>
      <c r="AA393" s="105" t="str">
        <f>VLOOKUP(Table__192.168.1.150_M_CONSOLIDATED_Delinquency_Compulsory_EOM[[#This Row],[Client No]],'Global Portfolio'!$B$2:$N$2500,11,FALSE)</f>
        <v>Miscellaneous Store Retailers</v>
      </c>
      <c r="AB393" s="105" t="str">
        <f>VLOOKUP(Table__192.168.1.150_M_CONSOLIDATED_Delinquency_Compulsory_EOM[[#This Row],[Client No]],'Global Portfolio'!$B$2:$N$2500,12,FALSE)</f>
        <v>Others</v>
      </c>
    </row>
    <row r="394" spans="1:28" x14ac:dyDescent="0.25">
      <c r="A394">
        <v>103047</v>
      </c>
      <c r="B394" t="s">
        <v>91</v>
      </c>
      <c r="C394" t="s">
        <v>252</v>
      </c>
      <c r="D394" t="s">
        <v>1279</v>
      </c>
      <c r="E394">
        <v>-16</v>
      </c>
      <c r="F394">
        <v>5000000</v>
      </c>
      <c r="G394">
        <v>604683.37</v>
      </c>
      <c r="H394">
        <v>631894.11</v>
      </c>
      <c r="I394" t="s">
        <v>1667</v>
      </c>
      <c r="J394">
        <v>0</v>
      </c>
      <c r="K394">
        <v>500000</v>
      </c>
      <c r="L394">
        <v>11791.33</v>
      </c>
      <c r="M394">
        <v>631894.12</v>
      </c>
      <c r="N394" s="143">
        <v>42752.591254664352</v>
      </c>
      <c r="O394" s="143">
        <v>43056</v>
      </c>
      <c r="P394" t="s">
        <v>253</v>
      </c>
      <c r="Q394" t="s">
        <v>254</v>
      </c>
      <c r="R394" t="s">
        <v>1280</v>
      </c>
      <c r="S394" t="s">
        <v>1510</v>
      </c>
      <c r="T394">
        <v>54</v>
      </c>
      <c r="U394">
        <f>IF(Table__192.168.1.150_M_CONSOLIDATED_Delinquency_Compulsory_EOM[[#This Row],[Days in Arrears]] &lt; 8, Table__192.168.1.150_M_CONSOLIDATED_Delinquency_Compulsory_EOM[[#This Row],[Outstanding Balance]], 0 )</f>
        <v>604683.37</v>
      </c>
      <c r="V3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4" s="105" t="e">
        <f>VLOOKUP(Table__192.168.1.150_M_CONSOLIDATED_Delinquency_Compulsory_EOM[[#This Row],[Client No]],'Global Portfolio'!$B$2:$N$2500,10,FALSE)</f>
        <v>#N/A</v>
      </c>
      <c r="AA394" s="105" t="e">
        <f>VLOOKUP(Table__192.168.1.150_M_CONSOLIDATED_Delinquency_Compulsory_EOM[[#This Row],[Client No]],'Global Portfolio'!$B$2:$N$2500,11,FALSE)</f>
        <v>#N/A</v>
      </c>
      <c r="AB394" s="105" t="e">
        <f>VLOOKUP(Table__192.168.1.150_M_CONSOLIDATED_Delinquency_Compulsory_EOM[[#This Row],[Client No]],'Global Portfolio'!$B$2:$N$2500,12,FALSE)</f>
        <v>#N/A</v>
      </c>
    </row>
    <row r="395" spans="1:28" x14ac:dyDescent="0.25">
      <c r="A395">
        <v>103048</v>
      </c>
      <c r="B395" t="s">
        <v>3897</v>
      </c>
      <c r="C395" t="s">
        <v>3903</v>
      </c>
      <c r="D395" t="s">
        <v>1279</v>
      </c>
      <c r="E395">
        <v>-14</v>
      </c>
      <c r="F395">
        <v>4000000</v>
      </c>
      <c r="G395">
        <v>1202411.95</v>
      </c>
      <c r="H395">
        <v>437405.43</v>
      </c>
      <c r="I395" t="s">
        <v>1448</v>
      </c>
      <c r="J395">
        <v>0</v>
      </c>
      <c r="K395">
        <v>400000</v>
      </c>
      <c r="L395">
        <v>27054.27</v>
      </c>
      <c r="M395">
        <v>1312216.31</v>
      </c>
      <c r="N395" s="143">
        <v>42752.6407056713</v>
      </c>
      <c r="O395" s="143">
        <v>43115</v>
      </c>
      <c r="P395" t="s">
        <v>3904</v>
      </c>
      <c r="Q395" t="s">
        <v>3905</v>
      </c>
      <c r="R395" t="s">
        <v>1280</v>
      </c>
      <c r="S395" t="s">
        <v>1510</v>
      </c>
      <c r="T395">
        <v>54</v>
      </c>
      <c r="U395">
        <f>IF(Table__192.168.1.150_M_CONSOLIDATED_Delinquency_Compulsory_EOM[[#This Row],[Days in Arrears]] &lt; 8, Table__192.168.1.150_M_CONSOLIDATED_Delinquency_Compulsory_EOM[[#This Row],[Outstanding Balance]], 0 )</f>
        <v>1202411.95</v>
      </c>
      <c r="V3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5" s="105" t="str">
        <f>VLOOKUP(Table__192.168.1.150_M_CONSOLIDATED_Delinquency_Compulsory_EOM[[#This Row],[Client No]],'Global Portfolio'!$B$2:$N$2500,10,FALSE)</f>
        <v>Retail</v>
      </c>
      <c r="AA395" s="105" t="str">
        <f>VLOOKUP(Table__192.168.1.150_M_CONSOLIDATED_Delinquency_Compulsory_EOM[[#This Row],[Client No]],'Global Portfolio'!$B$2:$N$2500,11,FALSE)</f>
        <v>Building Material and Garden Equipment</v>
      </c>
      <c r="AB395" s="105" t="str">
        <f>VLOOKUP(Table__192.168.1.150_M_CONSOLIDATED_Delinquency_Compulsory_EOM[[#This Row],[Client No]],'Global Portfolio'!$B$2:$N$2500,12,FALSE)</f>
        <v>Hardware Stores</v>
      </c>
    </row>
    <row r="396" spans="1:28" x14ac:dyDescent="0.25">
      <c r="A396">
        <v>103049</v>
      </c>
      <c r="B396" t="s">
        <v>1605</v>
      </c>
      <c r="C396" t="s">
        <v>1617</v>
      </c>
      <c r="D396" t="s">
        <v>1283</v>
      </c>
      <c r="E396">
        <v>-16</v>
      </c>
      <c r="F396">
        <v>40000000</v>
      </c>
      <c r="G396">
        <v>28196168.73</v>
      </c>
      <c r="H396">
        <v>2361896.64</v>
      </c>
      <c r="I396" t="s">
        <v>468</v>
      </c>
      <c r="J396">
        <v>69000</v>
      </c>
      <c r="K396">
        <v>0</v>
      </c>
      <c r="L396">
        <v>366550.19</v>
      </c>
      <c r="M396">
        <v>35428449.539999999</v>
      </c>
      <c r="N396" s="143">
        <v>42752.741705243054</v>
      </c>
      <c r="O396" s="143">
        <v>43482</v>
      </c>
      <c r="P396" t="s">
        <v>1618</v>
      </c>
      <c r="Q396" t="s">
        <v>1280</v>
      </c>
      <c r="R396" t="s">
        <v>1619</v>
      </c>
      <c r="S396" t="s">
        <v>1510</v>
      </c>
      <c r="T396">
        <v>36</v>
      </c>
      <c r="U396">
        <f>IF(Table__192.168.1.150_M_CONSOLIDATED_Delinquency_Compulsory_EOM[[#This Row],[Days in Arrears]] &lt; 8, Table__192.168.1.150_M_CONSOLIDATED_Delinquency_Compulsory_EOM[[#This Row],[Outstanding Balance]], 0 )</f>
        <v>28196168.73</v>
      </c>
      <c r="V3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6" s="105" t="str">
        <f>VLOOKUP(Table__192.168.1.150_M_CONSOLIDATED_Delinquency_Compulsory_EOM[[#This Row],[Client No]],'Global Portfolio'!$B$2:$N$2500,10,FALSE)</f>
        <v>Retail</v>
      </c>
      <c r="AA396" s="105" t="str">
        <f>VLOOKUP(Table__192.168.1.150_M_CONSOLIDATED_Delinquency_Compulsory_EOM[[#This Row],[Client No]],'Global Portfolio'!$B$2:$N$2500,11,FALSE)</f>
        <v>General Merchandise Stores</v>
      </c>
      <c r="AB396" s="105" t="str">
        <f>VLOOKUP(Table__192.168.1.150_M_CONSOLIDATED_Delinquency_Compulsory_EOM[[#This Row],[Client No]],'Global Portfolio'!$B$2:$N$2500,12,FALSE)</f>
        <v>General Stores</v>
      </c>
    </row>
    <row r="397" spans="1:28" x14ac:dyDescent="0.25">
      <c r="A397">
        <v>103051</v>
      </c>
      <c r="B397" t="s">
        <v>3921</v>
      </c>
      <c r="C397" t="s">
        <v>3926</v>
      </c>
      <c r="D397" t="s">
        <v>1281</v>
      </c>
      <c r="E397">
        <v>-17</v>
      </c>
      <c r="F397">
        <v>16000000</v>
      </c>
      <c r="G397">
        <v>7543736.8899999997</v>
      </c>
      <c r="H397">
        <v>1439057.61</v>
      </c>
      <c r="I397" t="s">
        <v>2538</v>
      </c>
      <c r="J397">
        <v>0</v>
      </c>
      <c r="K397">
        <v>1500000</v>
      </c>
      <c r="L397">
        <v>120699.79</v>
      </c>
      <c r="M397">
        <v>8634345.5999999996</v>
      </c>
      <c r="N397" s="143">
        <v>42753.750005520837</v>
      </c>
      <c r="O397" s="143">
        <v>43208</v>
      </c>
      <c r="P397" t="s">
        <v>3927</v>
      </c>
      <c r="Q397" t="s">
        <v>3928</v>
      </c>
      <c r="R397" t="s">
        <v>1280</v>
      </c>
      <c r="S397" t="s">
        <v>1510</v>
      </c>
      <c r="T397">
        <v>48</v>
      </c>
      <c r="U397">
        <f>IF(Table__192.168.1.150_M_CONSOLIDATED_Delinquency_Compulsory_EOM[[#This Row],[Days in Arrears]] &lt; 8, Table__192.168.1.150_M_CONSOLIDATED_Delinquency_Compulsory_EOM[[#This Row],[Outstanding Balance]], 0 )</f>
        <v>7543736.8899999997</v>
      </c>
      <c r="V3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7" s="105" t="str">
        <f>VLOOKUP(Table__192.168.1.150_M_CONSOLIDATED_Delinquency_Compulsory_EOM[[#This Row],[Client No]],'Global Portfolio'!$B$2:$N$2500,10,FALSE)</f>
        <v>Retail</v>
      </c>
      <c r="AA397" s="105" t="str">
        <f>VLOOKUP(Table__192.168.1.150_M_CONSOLIDATED_Delinquency_Compulsory_EOM[[#This Row],[Client No]],'Global Portfolio'!$B$2:$N$2500,11,FALSE)</f>
        <v>Electronics Stores</v>
      </c>
      <c r="AB397" s="105" t="str">
        <f>VLOOKUP(Table__192.168.1.150_M_CONSOLIDATED_Delinquency_Compulsory_EOM[[#This Row],[Client No]],'Global Portfolio'!$B$2:$N$2500,12,FALSE)</f>
        <v>Radio, Television, &amp; Other Electronics Stores</v>
      </c>
    </row>
    <row r="398" spans="1:28" x14ac:dyDescent="0.25">
      <c r="A398">
        <v>103052</v>
      </c>
      <c r="B398" t="s">
        <v>2758</v>
      </c>
      <c r="C398" t="s">
        <v>2761</v>
      </c>
      <c r="D398" t="s">
        <v>1283</v>
      </c>
      <c r="E398">
        <v>73</v>
      </c>
      <c r="F398">
        <v>65000000</v>
      </c>
      <c r="G398">
        <v>58355347.810000002</v>
      </c>
      <c r="H398">
        <v>2977246.62</v>
      </c>
      <c r="I398" t="s">
        <v>5724</v>
      </c>
      <c r="J398">
        <v>0</v>
      </c>
      <c r="K398">
        <v>0</v>
      </c>
      <c r="L398">
        <v>3324672.35</v>
      </c>
      <c r="M398">
        <v>89234676.590000004</v>
      </c>
      <c r="N398" s="143">
        <v>42753.754402546299</v>
      </c>
      <c r="O398" s="143">
        <v>43848</v>
      </c>
      <c r="P398" t="s">
        <v>2762</v>
      </c>
      <c r="Q398" t="s">
        <v>2763</v>
      </c>
      <c r="R398" t="s">
        <v>1280</v>
      </c>
      <c r="S398" t="s">
        <v>1510</v>
      </c>
      <c r="T398">
        <v>36</v>
      </c>
      <c r="U398">
        <f>IF(Table__192.168.1.150_M_CONSOLIDATED_Delinquency_Compulsory_EOM[[#This Row],[Days in Arrears]] &lt; 8, Table__192.168.1.150_M_CONSOLIDATED_Delinquency_Compulsory_EOM[[#This Row],[Outstanding Balance]], 0 )</f>
        <v>0</v>
      </c>
      <c r="V3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3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58355347.810000002</v>
      </c>
      <c r="Y3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8" s="105" t="str">
        <f>VLOOKUP(Table__192.168.1.150_M_CONSOLIDATED_Delinquency_Compulsory_EOM[[#This Row],[Client No]],'Global Portfolio'!$B$2:$N$2500,10,FALSE)</f>
        <v>Transportation and Warehousing</v>
      </c>
      <c r="AA398" s="105" t="str">
        <f>VLOOKUP(Table__192.168.1.150_M_CONSOLIDATED_Delinquency_Compulsory_EOM[[#This Row],[Client No]],'Global Portfolio'!$B$2:$N$2500,11,FALSE)</f>
        <v xml:space="preserve"> Passenger Transportation</v>
      </c>
      <c r="AB398" s="105" t="str">
        <f>VLOOKUP(Table__192.168.1.150_M_CONSOLIDATED_Delinquency_Compulsory_EOM[[#This Row],[Client No]],'Global Portfolio'!$B$2:$N$2500,12,FALSE)</f>
        <v>Others</v>
      </c>
    </row>
    <row r="399" spans="1:28" x14ac:dyDescent="0.25">
      <c r="A399">
        <v>103054</v>
      </c>
      <c r="B399" t="s">
        <v>408</v>
      </c>
      <c r="C399" t="s">
        <v>412</v>
      </c>
      <c r="D399" t="s">
        <v>1283</v>
      </c>
      <c r="E399">
        <v>13</v>
      </c>
      <c r="F399">
        <v>35000000</v>
      </c>
      <c r="G399">
        <v>21707697.300000001</v>
      </c>
      <c r="H399">
        <v>2544804.36</v>
      </c>
      <c r="I399" t="s">
        <v>1191</v>
      </c>
      <c r="J399">
        <v>0</v>
      </c>
      <c r="K399">
        <v>1750000</v>
      </c>
      <c r="L399">
        <v>839609.13</v>
      </c>
      <c r="M399">
        <v>25398652.219999999</v>
      </c>
      <c r="N399" s="143">
        <v>42753.798224386577</v>
      </c>
      <c r="O399" s="143">
        <v>43299</v>
      </c>
      <c r="P399" t="s">
        <v>413</v>
      </c>
      <c r="Q399" t="s">
        <v>414</v>
      </c>
      <c r="R399" t="s">
        <v>1280</v>
      </c>
      <c r="S399" t="s">
        <v>1510</v>
      </c>
      <c r="T399">
        <v>36</v>
      </c>
      <c r="U399">
        <f>IF(Table__192.168.1.150_M_CONSOLIDATED_Delinquency_Compulsory_EOM[[#This Row],[Days in Arrears]] &lt; 8, Table__192.168.1.150_M_CONSOLIDATED_Delinquency_Compulsory_EOM[[#This Row],[Outstanding Balance]], 0 )</f>
        <v>0</v>
      </c>
      <c r="V3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21707697.300000001</v>
      </c>
      <c r="W3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3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3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399" s="105" t="str">
        <f>VLOOKUP(Table__192.168.1.150_M_CONSOLIDATED_Delinquency_Compulsory_EOM[[#This Row],[Client No]],'Global Portfolio'!$B$2:$N$2500,10,FALSE)</f>
        <v>Manufacturing</v>
      </c>
      <c r="AA399" s="105" t="str">
        <f>VLOOKUP(Table__192.168.1.150_M_CONSOLIDATED_Delinquency_Compulsory_EOM[[#This Row],[Client No]],'Global Portfolio'!$B$2:$N$2500,11,FALSE)</f>
        <v>Machinery Manufacturing</v>
      </c>
      <c r="AB399" s="105" t="str">
        <f>VLOOKUP(Table__192.168.1.150_M_CONSOLIDATED_Delinquency_Compulsory_EOM[[#This Row],[Client No]],'Global Portfolio'!$B$2:$N$2500,12,FALSE)</f>
        <v>Metalworking Machinery</v>
      </c>
    </row>
    <row r="400" spans="1:28" x14ac:dyDescent="0.25">
      <c r="A400">
        <v>103057</v>
      </c>
      <c r="B400" t="s">
        <v>3941</v>
      </c>
      <c r="C400" t="s">
        <v>3945</v>
      </c>
      <c r="D400" t="s">
        <v>1279</v>
      </c>
      <c r="E400">
        <v>-19</v>
      </c>
      <c r="F400">
        <v>4500000</v>
      </c>
      <c r="G400">
        <v>1356607.98</v>
      </c>
      <c r="H400">
        <v>493497.85</v>
      </c>
      <c r="I400" t="s">
        <v>468</v>
      </c>
      <c r="J400">
        <v>493539.71</v>
      </c>
      <c r="K400">
        <v>450000</v>
      </c>
      <c r="L400">
        <v>20349.12</v>
      </c>
      <c r="M400">
        <v>1480493.53</v>
      </c>
      <c r="N400" s="143">
        <v>42755.644958530094</v>
      </c>
      <c r="O400" s="143">
        <v>43120</v>
      </c>
      <c r="P400" t="s">
        <v>3946</v>
      </c>
      <c r="Q400" t="s">
        <v>1280</v>
      </c>
      <c r="R400" t="s">
        <v>1280</v>
      </c>
      <c r="S400" t="s">
        <v>1510</v>
      </c>
      <c r="T400">
        <v>54</v>
      </c>
      <c r="U400">
        <f>IF(Table__192.168.1.150_M_CONSOLIDATED_Delinquency_Compulsory_EOM[[#This Row],[Days in Arrears]] &lt; 8, Table__192.168.1.150_M_CONSOLIDATED_Delinquency_Compulsory_EOM[[#This Row],[Outstanding Balance]], 0 )</f>
        <v>1356607.98</v>
      </c>
      <c r="V4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0" s="105" t="str">
        <f>VLOOKUP(Table__192.168.1.150_M_CONSOLIDATED_Delinquency_Compulsory_EOM[[#This Row],[Client No]],'Global Portfolio'!$B$2:$N$2500,10,FALSE)</f>
        <v>Wholesale Trade</v>
      </c>
      <c r="AA400" s="105" t="str">
        <f>VLOOKUP(Table__192.168.1.150_M_CONSOLIDATED_Delinquency_Compulsory_EOM[[#This Row],[Client No]],'Global Portfolio'!$B$2:$N$2500,11,FALSE)</f>
        <v>Durable Goods</v>
      </c>
      <c r="AB400" s="105" t="str">
        <f>VLOOKUP(Table__192.168.1.150_M_CONSOLIDATED_Delinquency_Compulsory_EOM[[#This Row],[Client No]],'Global Portfolio'!$B$2:$N$2500,12,FALSE)</f>
        <v>Others</v>
      </c>
    </row>
    <row r="401" spans="1:28" x14ac:dyDescent="0.25">
      <c r="A401">
        <v>103058</v>
      </c>
      <c r="B401" t="s">
        <v>3939</v>
      </c>
      <c r="C401" t="s">
        <v>3947</v>
      </c>
      <c r="D401" t="s">
        <v>1282</v>
      </c>
      <c r="E401">
        <v>-19</v>
      </c>
      <c r="F401">
        <v>5000000</v>
      </c>
      <c r="G401">
        <v>1507342.24</v>
      </c>
      <c r="H401">
        <v>548330.93999999994</v>
      </c>
      <c r="I401" t="s">
        <v>5167</v>
      </c>
      <c r="J401">
        <v>0</v>
      </c>
      <c r="K401">
        <v>0</v>
      </c>
      <c r="L401">
        <v>22610.13</v>
      </c>
      <c r="M401">
        <v>1644992.86</v>
      </c>
      <c r="N401" s="143">
        <v>42755.545407523146</v>
      </c>
      <c r="O401" s="143">
        <v>43120</v>
      </c>
      <c r="P401" t="s">
        <v>3948</v>
      </c>
      <c r="Q401" t="s">
        <v>3949</v>
      </c>
      <c r="R401" t="s">
        <v>1280</v>
      </c>
      <c r="S401" t="s">
        <v>1510</v>
      </c>
      <c r="T401">
        <v>54</v>
      </c>
      <c r="U401">
        <f>IF(Table__192.168.1.150_M_CONSOLIDATED_Delinquency_Compulsory_EOM[[#This Row],[Days in Arrears]] &lt; 8, Table__192.168.1.150_M_CONSOLIDATED_Delinquency_Compulsory_EOM[[#This Row],[Outstanding Balance]], 0 )</f>
        <v>1507342.24</v>
      </c>
      <c r="V4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1" s="105" t="str">
        <f>VLOOKUP(Table__192.168.1.150_M_CONSOLIDATED_Delinquency_Compulsory_EOM[[#This Row],[Client No]],'Global Portfolio'!$B$2:$N$2500,10,FALSE)</f>
        <v>Retail</v>
      </c>
      <c r="AA401" s="105" t="str">
        <f>VLOOKUP(Table__192.168.1.150_M_CONSOLIDATED_Delinquency_Compulsory_EOM[[#This Row],[Client No]],'Global Portfolio'!$B$2:$N$2500,11,FALSE)</f>
        <v>General Merchandise Stores</v>
      </c>
      <c r="AB401" s="105" t="str">
        <f>VLOOKUP(Table__192.168.1.150_M_CONSOLIDATED_Delinquency_Compulsory_EOM[[#This Row],[Client No]],'Global Portfolio'!$B$2:$N$2500,12,FALSE)</f>
        <v>General Stores</v>
      </c>
    </row>
    <row r="402" spans="1:28" x14ac:dyDescent="0.25">
      <c r="A402">
        <v>103059</v>
      </c>
      <c r="B402" t="s">
        <v>3964</v>
      </c>
      <c r="C402" t="s">
        <v>3968</v>
      </c>
      <c r="D402" t="s">
        <v>1281</v>
      </c>
      <c r="E402">
        <v>-22</v>
      </c>
      <c r="F402">
        <v>20000000</v>
      </c>
      <c r="G402">
        <v>9429671.0999999996</v>
      </c>
      <c r="H402">
        <v>1798822.01</v>
      </c>
      <c r="I402" t="s">
        <v>2494</v>
      </c>
      <c r="J402">
        <v>0</v>
      </c>
      <c r="K402">
        <v>0</v>
      </c>
      <c r="L402">
        <v>88010.26</v>
      </c>
      <c r="M402">
        <v>10792931.98</v>
      </c>
      <c r="N402" s="143">
        <v>42758.605742858796</v>
      </c>
      <c r="O402" s="143">
        <v>43213</v>
      </c>
      <c r="P402" t="s">
        <v>3969</v>
      </c>
      <c r="Q402" t="s">
        <v>1280</v>
      </c>
      <c r="R402" t="s">
        <v>1280</v>
      </c>
      <c r="S402" t="s">
        <v>1510</v>
      </c>
      <c r="T402">
        <v>48</v>
      </c>
      <c r="U402">
        <f>IF(Table__192.168.1.150_M_CONSOLIDATED_Delinquency_Compulsory_EOM[[#This Row],[Days in Arrears]] &lt; 8, Table__192.168.1.150_M_CONSOLIDATED_Delinquency_Compulsory_EOM[[#This Row],[Outstanding Balance]], 0 )</f>
        <v>9429671.0999999996</v>
      </c>
      <c r="V4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2" s="105" t="str">
        <f>VLOOKUP(Table__192.168.1.150_M_CONSOLIDATED_Delinquency_Compulsory_EOM[[#This Row],[Client No]],'Global Portfolio'!$B$2:$N$2500,10,FALSE)</f>
        <v>Retail</v>
      </c>
      <c r="AA402" s="105" t="str">
        <f>VLOOKUP(Table__192.168.1.150_M_CONSOLIDATED_Delinquency_Compulsory_EOM[[#This Row],[Client No]],'Global Portfolio'!$B$2:$N$2500,11,FALSE)</f>
        <v>Furniture and Home Furnishings Stores</v>
      </c>
      <c r="AB402" s="105" t="str">
        <f>VLOOKUP(Table__192.168.1.150_M_CONSOLIDATED_Delinquency_Compulsory_EOM[[#This Row],[Client No]],'Global Portfolio'!$B$2:$N$2500,12,FALSE)</f>
        <v>Furniture Stores</v>
      </c>
    </row>
    <row r="403" spans="1:28" x14ac:dyDescent="0.25">
      <c r="A403">
        <v>103060</v>
      </c>
      <c r="B403" t="s">
        <v>732</v>
      </c>
      <c r="C403" t="s">
        <v>2069</v>
      </c>
      <c r="D403" t="s">
        <v>1282</v>
      </c>
      <c r="E403">
        <v>-24</v>
      </c>
      <c r="F403">
        <v>6000000</v>
      </c>
      <c r="G403">
        <v>1774151.84</v>
      </c>
      <c r="H403">
        <v>639313.04</v>
      </c>
      <c r="I403" t="s">
        <v>2861</v>
      </c>
      <c r="J403">
        <v>0</v>
      </c>
      <c r="K403">
        <v>0</v>
      </c>
      <c r="L403">
        <v>11827.68</v>
      </c>
      <c r="M403">
        <v>1917939.06</v>
      </c>
      <c r="N403" s="143">
        <v>42760.566499189816</v>
      </c>
      <c r="O403" s="143">
        <v>43125</v>
      </c>
      <c r="P403" t="s">
        <v>2070</v>
      </c>
      <c r="Q403" t="s">
        <v>1280</v>
      </c>
      <c r="R403" t="s">
        <v>1280</v>
      </c>
      <c r="S403" t="s">
        <v>1510</v>
      </c>
      <c r="T403">
        <v>48</v>
      </c>
      <c r="U403">
        <f>IF(Table__192.168.1.150_M_CONSOLIDATED_Delinquency_Compulsory_EOM[[#This Row],[Days in Arrears]] &lt; 8, Table__192.168.1.150_M_CONSOLIDATED_Delinquency_Compulsory_EOM[[#This Row],[Outstanding Balance]], 0 )</f>
        <v>1774151.84</v>
      </c>
      <c r="V4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3" s="105" t="str">
        <f>VLOOKUP(Table__192.168.1.150_M_CONSOLIDATED_Delinquency_Compulsory_EOM[[#This Row],[Client No]],'Global Portfolio'!$B$2:$N$2500,10,FALSE)</f>
        <v>Real Estate and Rental</v>
      </c>
      <c r="AA403" s="105" t="str">
        <f>VLOOKUP(Table__192.168.1.150_M_CONSOLIDATED_Delinquency_Compulsory_EOM[[#This Row],[Client No]],'Global Portfolio'!$B$2:$N$2500,11,FALSE)</f>
        <v>Rental</v>
      </c>
      <c r="AB403" s="105" t="str">
        <f>VLOOKUP(Table__192.168.1.150_M_CONSOLIDATED_Delinquency_Compulsory_EOM[[#This Row],[Client No]],'Global Portfolio'!$B$2:$N$2500,12,FALSE)</f>
        <v>General Rental Centers</v>
      </c>
    </row>
    <row r="404" spans="1:28" x14ac:dyDescent="0.25">
      <c r="A404">
        <v>103061</v>
      </c>
      <c r="B404" t="s">
        <v>3986</v>
      </c>
      <c r="C404" t="s">
        <v>3987</v>
      </c>
      <c r="D404" t="s">
        <v>1283</v>
      </c>
      <c r="E404">
        <v>0</v>
      </c>
      <c r="F404">
        <v>35000000</v>
      </c>
      <c r="G404">
        <v>26060335.260000002</v>
      </c>
      <c r="H404">
        <v>2074685.42</v>
      </c>
      <c r="I404" t="s">
        <v>963</v>
      </c>
      <c r="J404">
        <v>0</v>
      </c>
      <c r="K404">
        <v>0</v>
      </c>
      <c r="L404">
        <v>755749.72</v>
      </c>
      <c r="M404">
        <v>33194966.75</v>
      </c>
      <c r="N404" s="143">
        <v>42762.731174305554</v>
      </c>
      <c r="O404" s="143">
        <v>43497</v>
      </c>
      <c r="P404" t="s">
        <v>3988</v>
      </c>
      <c r="Q404" t="s">
        <v>1280</v>
      </c>
      <c r="R404" t="s">
        <v>1280</v>
      </c>
      <c r="S404" t="s">
        <v>1510</v>
      </c>
      <c r="T404">
        <v>36</v>
      </c>
      <c r="U404">
        <f>IF(Table__192.168.1.150_M_CONSOLIDATED_Delinquency_Compulsory_EOM[[#This Row],[Days in Arrears]] &lt; 8, Table__192.168.1.150_M_CONSOLIDATED_Delinquency_Compulsory_EOM[[#This Row],[Outstanding Balance]], 0 )</f>
        <v>26060335.260000002</v>
      </c>
      <c r="V4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4" s="105" t="str">
        <f>VLOOKUP(Table__192.168.1.150_M_CONSOLIDATED_Delinquency_Compulsory_EOM[[#This Row],[Client No]],'Global Portfolio'!$B$2:$N$2500,10,FALSE)</f>
        <v>Transportation and Warehousing</v>
      </c>
      <c r="AA404" s="105" t="str">
        <f>VLOOKUP(Table__192.168.1.150_M_CONSOLIDATED_Delinquency_Compulsory_EOM[[#This Row],[Client No]],'Global Portfolio'!$B$2:$N$2500,11,FALSE)</f>
        <v xml:space="preserve"> Passenger Transportation</v>
      </c>
      <c r="AB404" s="105" t="str">
        <f>VLOOKUP(Table__192.168.1.150_M_CONSOLIDATED_Delinquency_Compulsory_EOM[[#This Row],[Client No]],'Global Portfolio'!$B$2:$N$2500,12,FALSE)</f>
        <v>Others</v>
      </c>
    </row>
    <row r="405" spans="1:28" x14ac:dyDescent="0.25">
      <c r="A405">
        <v>103063</v>
      </c>
      <c r="B405" t="s">
        <v>579</v>
      </c>
      <c r="C405" t="s">
        <v>584</v>
      </c>
      <c r="D405" t="s">
        <v>1284</v>
      </c>
      <c r="E405">
        <v>0</v>
      </c>
      <c r="F405">
        <v>65000000</v>
      </c>
      <c r="G405">
        <v>56028092.560000002</v>
      </c>
      <c r="H405">
        <v>2985918.21</v>
      </c>
      <c r="I405" t="s">
        <v>963</v>
      </c>
      <c r="J405">
        <v>99982.83</v>
      </c>
      <c r="K405">
        <v>0</v>
      </c>
      <c r="L405">
        <v>1624814.68</v>
      </c>
      <c r="M405">
        <v>83605710.140000001</v>
      </c>
      <c r="N405" s="143">
        <v>42763.488965046294</v>
      </c>
      <c r="O405" s="143">
        <v>43862</v>
      </c>
      <c r="P405" t="s">
        <v>585</v>
      </c>
      <c r="Q405" t="s">
        <v>586</v>
      </c>
      <c r="R405" t="s">
        <v>1280</v>
      </c>
      <c r="S405" t="s">
        <v>1510</v>
      </c>
      <c r="T405">
        <v>36</v>
      </c>
      <c r="U405">
        <f>IF(Table__192.168.1.150_M_CONSOLIDATED_Delinquency_Compulsory_EOM[[#This Row],[Days in Arrears]] &lt; 8, Table__192.168.1.150_M_CONSOLIDATED_Delinquency_Compulsory_EOM[[#This Row],[Outstanding Balance]], 0 )</f>
        <v>56028092.560000002</v>
      </c>
      <c r="V4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5" s="105" t="str">
        <f>VLOOKUP(Table__192.168.1.150_M_CONSOLIDATED_Delinquency_Compulsory_EOM[[#This Row],[Client No]],'Global Portfolio'!$B$2:$N$2500,10,FALSE)</f>
        <v>Construction</v>
      </c>
      <c r="AA405" s="105" t="str">
        <f>VLOOKUP(Table__192.168.1.150_M_CONSOLIDATED_Delinquency_Compulsory_EOM[[#This Row],[Client No]],'Global Portfolio'!$B$2:$N$2500,11,FALSE)</f>
        <v>Construction of Buildings</v>
      </c>
      <c r="AB405" s="105" t="str">
        <f>VLOOKUP(Table__192.168.1.150_M_CONSOLIDATED_Delinquency_Compulsory_EOM[[#This Row],[Client No]],'Global Portfolio'!$B$2:$N$2500,12,FALSE)</f>
        <v>Others</v>
      </c>
    </row>
    <row r="406" spans="1:28" x14ac:dyDescent="0.25">
      <c r="A406">
        <v>103064</v>
      </c>
      <c r="B406" t="s">
        <v>3989</v>
      </c>
      <c r="C406" t="s">
        <v>3992</v>
      </c>
      <c r="D406" t="s">
        <v>1281</v>
      </c>
      <c r="E406">
        <v>-2</v>
      </c>
      <c r="F406">
        <v>20000000</v>
      </c>
      <c r="G406">
        <v>7735464.4800000004</v>
      </c>
      <c r="H406">
        <v>2131043.4500000002</v>
      </c>
      <c r="I406" t="s">
        <v>86</v>
      </c>
      <c r="J406">
        <v>0</v>
      </c>
      <c r="K406">
        <v>1500000</v>
      </c>
      <c r="L406">
        <v>278476.71999999997</v>
      </c>
      <c r="M406">
        <v>8524173.8399999999</v>
      </c>
      <c r="N406" s="143">
        <v>42763.562554895834</v>
      </c>
      <c r="O406" s="143">
        <v>43134</v>
      </c>
      <c r="P406" t="s">
        <v>3993</v>
      </c>
      <c r="Q406" t="s">
        <v>1280</v>
      </c>
      <c r="R406" t="s">
        <v>1280</v>
      </c>
      <c r="S406" t="s">
        <v>1510</v>
      </c>
      <c r="T406">
        <v>48</v>
      </c>
      <c r="U406">
        <f>IF(Table__192.168.1.150_M_CONSOLIDATED_Delinquency_Compulsory_EOM[[#This Row],[Days in Arrears]] &lt; 8, Table__192.168.1.150_M_CONSOLIDATED_Delinquency_Compulsory_EOM[[#This Row],[Outstanding Balance]], 0 )</f>
        <v>7735464.4800000004</v>
      </c>
      <c r="V4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6" s="105" t="str">
        <f>VLOOKUP(Table__192.168.1.150_M_CONSOLIDATED_Delinquency_Compulsory_EOM[[#This Row],[Client No]],'Global Portfolio'!$B$2:$N$2500,10,FALSE)</f>
        <v>Retail</v>
      </c>
      <c r="AA406" s="105" t="str">
        <f>VLOOKUP(Table__192.168.1.150_M_CONSOLIDATED_Delinquency_Compulsory_EOM[[#This Row],[Client No]],'Global Portfolio'!$B$2:$N$2500,11,FALSE)</f>
        <v>General Merchandise Stores</v>
      </c>
      <c r="AB406" s="105" t="str">
        <f>VLOOKUP(Table__192.168.1.150_M_CONSOLIDATED_Delinquency_Compulsory_EOM[[#This Row],[Client No]],'Global Portfolio'!$B$2:$N$2500,12,FALSE)</f>
        <v>Others</v>
      </c>
    </row>
    <row r="407" spans="1:28" x14ac:dyDescent="0.25">
      <c r="A407">
        <v>103065</v>
      </c>
      <c r="B407" t="s">
        <v>1124</v>
      </c>
      <c r="C407" t="s">
        <v>1127</v>
      </c>
      <c r="D407" t="s">
        <v>1285</v>
      </c>
      <c r="E407">
        <v>-20</v>
      </c>
      <c r="F407">
        <v>38938000</v>
      </c>
      <c r="G407">
        <v>35285965.060000002</v>
      </c>
      <c r="H407">
        <v>1070907.5900000001</v>
      </c>
      <c r="I407" t="s">
        <v>284</v>
      </c>
      <c r="J407">
        <v>1199177.3899999999</v>
      </c>
      <c r="K407">
        <v>0</v>
      </c>
      <c r="L407">
        <v>194072.81</v>
      </c>
      <c r="M407">
        <v>54616287.030000001</v>
      </c>
      <c r="N407" s="143">
        <v>42763.603369560187</v>
      </c>
      <c r="O407" s="143">
        <v>44582</v>
      </c>
      <c r="P407" t="s">
        <v>1128</v>
      </c>
      <c r="Q407" t="s">
        <v>1280</v>
      </c>
      <c r="R407" t="s">
        <v>1280</v>
      </c>
      <c r="S407" t="s">
        <v>1510</v>
      </c>
      <c r="T407">
        <v>22</v>
      </c>
      <c r="U407">
        <f>IF(Table__192.168.1.150_M_CONSOLIDATED_Delinquency_Compulsory_EOM[[#This Row],[Days in Arrears]] &lt; 8, Table__192.168.1.150_M_CONSOLIDATED_Delinquency_Compulsory_EOM[[#This Row],[Outstanding Balance]], 0 )</f>
        <v>35285965.060000002</v>
      </c>
      <c r="V4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7" s="105" t="str">
        <f>VLOOKUP(Table__192.168.1.150_M_CONSOLIDATED_Delinquency_Compulsory_EOM[[#This Row],[Client No]],'Global Portfolio'!$B$2:$N$2500,10,FALSE)</f>
        <v>Finance and Insurance</v>
      </c>
      <c r="AA407" s="105" t="str">
        <f>VLOOKUP(Table__192.168.1.150_M_CONSOLIDATED_Delinquency_Compulsory_EOM[[#This Row],[Client No]],'Global Portfolio'!$B$2:$N$2500,11,FALSE)</f>
        <v>Finance</v>
      </c>
      <c r="AB407" s="105" t="str">
        <f>VLOOKUP(Table__192.168.1.150_M_CONSOLIDATED_Delinquency_Compulsory_EOM[[#This Row],[Client No]],'Global Portfolio'!$B$2:$N$2500,12,FALSE)</f>
        <v>Others</v>
      </c>
    </row>
    <row r="408" spans="1:28" x14ac:dyDescent="0.25">
      <c r="A408">
        <v>103066</v>
      </c>
      <c r="B408" t="s">
        <v>2104</v>
      </c>
      <c r="C408" t="s">
        <v>2109</v>
      </c>
      <c r="D408" t="s">
        <v>1282</v>
      </c>
      <c r="E408">
        <v>-2</v>
      </c>
      <c r="F408">
        <v>10000000</v>
      </c>
      <c r="G408">
        <v>1294859.76</v>
      </c>
      <c r="H408">
        <v>1346654.2</v>
      </c>
      <c r="I408" t="s">
        <v>468</v>
      </c>
      <c r="J408">
        <v>1342345.8</v>
      </c>
      <c r="K408">
        <v>1000000</v>
      </c>
      <c r="L408">
        <v>50067.91</v>
      </c>
      <c r="M408">
        <v>1350107.11</v>
      </c>
      <c r="N408" s="143">
        <v>42765.530551701391</v>
      </c>
      <c r="O408" s="143">
        <v>43042</v>
      </c>
      <c r="P408" t="s">
        <v>2110</v>
      </c>
      <c r="Q408" t="s">
        <v>1280</v>
      </c>
      <c r="R408" t="s">
        <v>1280</v>
      </c>
      <c r="S408" t="s">
        <v>1510</v>
      </c>
      <c r="T408">
        <v>48</v>
      </c>
      <c r="U408">
        <f>IF(Table__192.168.1.150_M_CONSOLIDATED_Delinquency_Compulsory_EOM[[#This Row],[Days in Arrears]] &lt; 8, Table__192.168.1.150_M_CONSOLIDATED_Delinquency_Compulsory_EOM[[#This Row],[Outstanding Balance]], 0 )</f>
        <v>1294859.76</v>
      </c>
      <c r="V4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8" s="105" t="str">
        <f>VLOOKUP(Table__192.168.1.150_M_CONSOLIDATED_Delinquency_Compulsory_EOM[[#This Row],[Client No]],'Global Portfolio'!$B$2:$N$2500,10,FALSE)</f>
        <v>Retail</v>
      </c>
      <c r="AA408" s="105" t="str">
        <f>VLOOKUP(Table__192.168.1.150_M_CONSOLIDATED_Delinquency_Compulsory_EOM[[#This Row],[Client No]],'Global Portfolio'!$B$2:$N$2500,11,FALSE)</f>
        <v>Building Material and Garden Equipment</v>
      </c>
      <c r="AB408" s="105" t="str">
        <f>VLOOKUP(Table__192.168.1.150_M_CONSOLIDATED_Delinquency_Compulsory_EOM[[#This Row],[Client No]],'Global Portfolio'!$B$2:$N$2500,12,FALSE)</f>
        <v>Others</v>
      </c>
    </row>
    <row r="409" spans="1:28" x14ac:dyDescent="0.25">
      <c r="A409">
        <v>103067</v>
      </c>
      <c r="B409" t="s">
        <v>665</v>
      </c>
      <c r="C409" t="s">
        <v>666</v>
      </c>
      <c r="D409" t="s">
        <v>1281</v>
      </c>
      <c r="E409">
        <v>0</v>
      </c>
      <c r="F409">
        <v>20000000</v>
      </c>
      <c r="G409">
        <v>12624989.9</v>
      </c>
      <c r="H409">
        <v>1518046.05</v>
      </c>
      <c r="I409" t="s">
        <v>86</v>
      </c>
      <c r="J409">
        <v>0</v>
      </c>
      <c r="K409">
        <v>0</v>
      </c>
      <c r="L409">
        <v>427145.49</v>
      </c>
      <c r="M409">
        <v>15183882.890000001</v>
      </c>
      <c r="N409" s="143">
        <v>42765.62096990741</v>
      </c>
      <c r="O409" s="143">
        <v>43315</v>
      </c>
      <c r="P409" t="s">
        <v>667</v>
      </c>
      <c r="Q409" t="s">
        <v>668</v>
      </c>
      <c r="R409" t="s">
        <v>1280</v>
      </c>
      <c r="S409" t="s">
        <v>1510</v>
      </c>
      <c r="T409">
        <v>42</v>
      </c>
      <c r="U409">
        <f>IF(Table__192.168.1.150_M_CONSOLIDATED_Delinquency_Compulsory_EOM[[#This Row],[Days in Arrears]] &lt; 8, Table__192.168.1.150_M_CONSOLIDATED_Delinquency_Compulsory_EOM[[#This Row],[Outstanding Balance]], 0 )</f>
        <v>12624989.9</v>
      </c>
      <c r="V4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09" s="105" t="str">
        <f>VLOOKUP(Table__192.168.1.150_M_CONSOLIDATED_Delinquency_Compulsory_EOM[[#This Row],[Client No]],'Global Portfolio'!$B$2:$N$2500,10,FALSE)</f>
        <v>Restaurants and Hotels</v>
      </c>
      <c r="AA409" s="105" t="str">
        <f>VLOOKUP(Table__192.168.1.150_M_CONSOLIDATED_Delinquency_Compulsory_EOM[[#This Row],[Client No]],'Global Portfolio'!$B$2:$N$2500,11,FALSE)</f>
        <v>Restaurant</v>
      </c>
      <c r="AB409" s="105" t="str">
        <f>VLOOKUP(Table__192.168.1.150_M_CONSOLIDATED_Delinquency_Compulsory_EOM[[#This Row],[Client No]],'Global Portfolio'!$B$2:$N$2500,12,FALSE)</f>
        <v>Others</v>
      </c>
    </row>
    <row r="410" spans="1:28" x14ac:dyDescent="0.25">
      <c r="A410">
        <v>103068</v>
      </c>
      <c r="B410" t="s">
        <v>811</v>
      </c>
      <c r="C410" t="s">
        <v>1894</v>
      </c>
      <c r="D410" t="s">
        <v>1279</v>
      </c>
      <c r="E410">
        <v>60</v>
      </c>
      <c r="F410">
        <v>2500000</v>
      </c>
      <c r="G410">
        <v>1398192.91</v>
      </c>
      <c r="H410">
        <v>266721.95</v>
      </c>
      <c r="I410" t="s">
        <v>2538</v>
      </c>
      <c r="J410">
        <v>0</v>
      </c>
      <c r="K410">
        <v>0</v>
      </c>
      <c r="L410">
        <v>88770.55</v>
      </c>
      <c r="M410">
        <v>1586362.43</v>
      </c>
      <c r="N410" s="143">
        <v>42765.675759456019</v>
      </c>
      <c r="O410" s="143">
        <v>43134</v>
      </c>
      <c r="P410" t="s">
        <v>1895</v>
      </c>
      <c r="Q410" t="s">
        <v>1280</v>
      </c>
      <c r="R410" t="s">
        <v>1280</v>
      </c>
      <c r="S410" t="s">
        <v>1510</v>
      </c>
      <c r="T410">
        <v>48</v>
      </c>
      <c r="U410">
        <f>IF(Table__192.168.1.150_M_CONSOLIDATED_Delinquency_Compulsory_EOM[[#This Row],[Days in Arrears]] &lt; 8, Table__192.168.1.150_M_CONSOLIDATED_Delinquency_Compulsory_EOM[[#This Row],[Outstanding Balance]], 0 )</f>
        <v>0</v>
      </c>
      <c r="V4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1398192.91</v>
      </c>
      <c r="Y4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0" s="105" t="str">
        <f>VLOOKUP(Table__192.168.1.150_M_CONSOLIDATED_Delinquency_Compulsory_EOM[[#This Row],[Client No]],'Global Portfolio'!$B$2:$N$2500,10,FALSE)</f>
        <v>Retail</v>
      </c>
      <c r="AA410" s="105" t="str">
        <f>VLOOKUP(Table__192.168.1.150_M_CONSOLIDATED_Delinquency_Compulsory_EOM[[#This Row],[Client No]],'Global Portfolio'!$B$2:$N$2500,11,FALSE)</f>
        <v>Others</v>
      </c>
      <c r="AB410" s="105" t="str">
        <f>VLOOKUP(Table__192.168.1.150_M_CONSOLIDATED_Delinquency_Compulsory_EOM[[#This Row],[Client No]],'Global Portfolio'!$B$2:$N$2500,12,FALSE)</f>
        <v>Others</v>
      </c>
    </row>
    <row r="411" spans="1:28" x14ac:dyDescent="0.25">
      <c r="A411">
        <v>103069</v>
      </c>
      <c r="B411" t="s">
        <v>639</v>
      </c>
      <c r="C411" t="s">
        <v>640</v>
      </c>
      <c r="D411" t="s">
        <v>1284</v>
      </c>
      <c r="E411">
        <v>30</v>
      </c>
      <c r="F411">
        <v>10000000</v>
      </c>
      <c r="G411">
        <v>3993945.48</v>
      </c>
      <c r="H411">
        <v>1005596.21</v>
      </c>
      <c r="I411" t="s">
        <v>86</v>
      </c>
      <c r="J411">
        <v>0</v>
      </c>
      <c r="K411">
        <v>500000</v>
      </c>
      <c r="L411">
        <v>108399.1</v>
      </c>
      <c r="M411">
        <v>4280382.88</v>
      </c>
      <c r="N411" s="143">
        <v>42765.716487962964</v>
      </c>
      <c r="O411" s="143">
        <v>43134</v>
      </c>
      <c r="P411" t="s">
        <v>641</v>
      </c>
      <c r="Q411" t="s">
        <v>1280</v>
      </c>
      <c r="R411" t="s">
        <v>1280</v>
      </c>
      <c r="S411" t="s">
        <v>1510</v>
      </c>
      <c r="T411">
        <v>36</v>
      </c>
      <c r="U411">
        <f>IF(Table__192.168.1.150_M_CONSOLIDATED_Delinquency_Compulsory_EOM[[#This Row],[Days in Arrears]] &lt; 8, Table__192.168.1.150_M_CONSOLIDATED_Delinquency_Compulsory_EOM[[#This Row],[Outstanding Balance]], 0 )</f>
        <v>0</v>
      </c>
      <c r="V4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3993945.48</v>
      </c>
      <c r="X4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1" s="105" t="str">
        <f>VLOOKUP(Table__192.168.1.150_M_CONSOLIDATED_Delinquency_Compulsory_EOM[[#This Row],[Client No]],'Global Portfolio'!$B$2:$N$2500,10,FALSE)</f>
        <v>Real Estate and Rental</v>
      </c>
      <c r="AA411" s="105" t="str">
        <f>VLOOKUP(Table__192.168.1.150_M_CONSOLIDATED_Delinquency_Compulsory_EOM[[#This Row],[Client No]],'Global Portfolio'!$B$2:$N$2500,11,FALSE)</f>
        <v>Rental</v>
      </c>
      <c r="AB411" s="105" t="str">
        <f>VLOOKUP(Table__192.168.1.150_M_CONSOLIDATED_Delinquency_Compulsory_EOM[[#This Row],[Client No]],'Global Portfolio'!$B$2:$N$2500,12,FALSE)</f>
        <v>Machinery &amp; Equipment</v>
      </c>
    </row>
    <row r="412" spans="1:28" x14ac:dyDescent="0.25">
      <c r="A412">
        <v>103070</v>
      </c>
      <c r="B412" t="s">
        <v>4012</v>
      </c>
      <c r="C412" t="s">
        <v>4017</v>
      </c>
      <c r="D412" t="s">
        <v>1283</v>
      </c>
      <c r="E412">
        <v>180</v>
      </c>
      <c r="F412">
        <v>50000000</v>
      </c>
      <c r="G412">
        <v>48442901.219999999</v>
      </c>
      <c r="H412">
        <v>2292413.19</v>
      </c>
      <c r="I412" t="s">
        <v>5725</v>
      </c>
      <c r="J412">
        <v>0</v>
      </c>
      <c r="K412">
        <v>0</v>
      </c>
      <c r="L412">
        <v>1680044.28</v>
      </c>
      <c r="M412">
        <v>76792747.760000005</v>
      </c>
      <c r="N412" s="143">
        <v>42766.59911087963</v>
      </c>
      <c r="O412" s="143">
        <v>43864</v>
      </c>
      <c r="P412" t="s">
        <v>4018</v>
      </c>
      <c r="Q412" t="s">
        <v>1280</v>
      </c>
      <c r="R412" t="s">
        <v>1280</v>
      </c>
      <c r="S412" t="s">
        <v>1510</v>
      </c>
      <c r="T412">
        <v>36</v>
      </c>
      <c r="U412">
        <f>IF(Table__192.168.1.150_M_CONSOLIDATED_Delinquency_Compulsory_EOM[[#This Row],[Days in Arrears]] &lt; 8, Table__192.168.1.150_M_CONSOLIDATED_Delinquency_Compulsory_EOM[[#This Row],[Outstanding Balance]], 0 )</f>
        <v>0</v>
      </c>
      <c r="V4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48442901.219999999</v>
      </c>
      <c r="Z412" s="105" t="str">
        <f>VLOOKUP(Table__192.168.1.150_M_CONSOLIDATED_Delinquency_Compulsory_EOM[[#This Row],[Client No]],'Global Portfolio'!$B$2:$N$2500,10,FALSE)</f>
        <v>Retail</v>
      </c>
      <c r="AA412" s="105" t="str">
        <f>VLOOKUP(Table__192.168.1.150_M_CONSOLIDATED_Delinquency_Compulsory_EOM[[#This Row],[Client No]],'Global Portfolio'!$B$2:$N$2500,11,FALSE)</f>
        <v>Others</v>
      </c>
      <c r="AB412" s="105" t="str">
        <f>VLOOKUP(Table__192.168.1.150_M_CONSOLIDATED_Delinquency_Compulsory_EOM[[#This Row],[Client No]],'Global Portfolio'!$B$2:$N$2500,12,FALSE)</f>
        <v>Others</v>
      </c>
    </row>
    <row r="413" spans="1:28" x14ac:dyDescent="0.25">
      <c r="A413">
        <v>103071</v>
      </c>
      <c r="B413" t="s">
        <v>93</v>
      </c>
      <c r="C413" t="s">
        <v>255</v>
      </c>
      <c r="D413" t="s">
        <v>1866</v>
      </c>
      <c r="E413">
        <v>0</v>
      </c>
      <c r="F413">
        <v>7000000</v>
      </c>
      <c r="G413">
        <v>2679456.13</v>
      </c>
      <c r="H413">
        <v>732373.41</v>
      </c>
      <c r="I413" t="s">
        <v>1447</v>
      </c>
      <c r="J413">
        <v>9591.31</v>
      </c>
      <c r="K413">
        <v>700000</v>
      </c>
      <c r="L413">
        <v>94971.83</v>
      </c>
      <c r="M413">
        <v>2931220.62</v>
      </c>
      <c r="N413" s="143">
        <v>42766.770023611112</v>
      </c>
      <c r="O413" s="143">
        <v>43134</v>
      </c>
      <c r="P413" t="s">
        <v>256</v>
      </c>
      <c r="Q413" t="s">
        <v>257</v>
      </c>
      <c r="R413" t="s">
        <v>1280</v>
      </c>
      <c r="S413" t="s">
        <v>1510</v>
      </c>
      <c r="T413">
        <v>44</v>
      </c>
      <c r="U413">
        <f>IF(Table__192.168.1.150_M_CONSOLIDATED_Delinquency_Compulsory_EOM[[#This Row],[Days in Arrears]] &lt; 8, Table__192.168.1.150_M_CONSOLIDATED_Delinquency_Compulsory_EOM[[#This Row],[Outstanding Balance]], 0 )</f>
        <v>2679456.13</v>
      </c>
      <c r="V4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3" s="105" t="str">
        <f>VLOOKUP(Table__192.168.1.150_M_CONSOLIDATED_Delinquency_Compulsory_EOM[[#This Row],[Client No]],'Global Portfolio'!$B$2:$N$2500,10,FALSE)</f>
        <v>Retail</v>
      </c>
      <c r="AA413" s="105" t="str">
        <f>VLOOKUP(Table__192.168.1.150_M_CONSOLIDATED_Delinquency_Compulsory_EOM[[#This Row],[Client No]],'Global Portfolio'!$B$2:$N$2500,11,FALSE)</f>
        <v>Second Hand -Clothing and  Accessories</v>
      </c>
      <c r="AB413" s="105" t="str">
        <f>VLOOKUP(Table__192.168.1.150_M_CONSOLIDATED_Delinquency_Compulsory_EOM[[#This Row],[Client No]],'Global Portfolio'!$B$2:$N$2500,12,FALSE)</f>
        <v>Clothing Stores</v>
      </c>
    </row>
    <row r="414" spans="1:28" x14ac:dyDescent="0.25">
      <c r="A414">
        <v>103072</v>
      </c>
      <c r="B414" t="s">
        <v>4015</v>
      </c>
      <c r="C414" t="s">
        <v>4019</v>
      </c>
      <c r="D414" t="s">
        <v>1279</v>
      </c>
      <c r="E414">
        <v>0</v>
      </c>
      <c r="F414">
        <v>4000000</v>
      </c>
      <c r="G414">
        <v>1549076.36</v>
      </c>
      <c r="H414">
        <v>426755.11</v>
      </c>
      <c r="I414" t="s">
        <v>963</v>
      </c>
      <c r="J414">
        <v>0</v>
      </c>
      <c r="K414">
        <v>400000</v>
      </c>
      <c r="L414">
        <v>135891.14000000001</v>
      </c>
      <c r="M414">
        <v>1708114.7</v>
      </c>
      <c r="N414" s="143">
        <v>42766.783886226855</v>
      </c>
      <c r="O414" s="143">
        <v>43134</v>
      </c>
      <c r="P414" t="s">
        <v>4020</v>
      </c>
      <c r="Q414" t="s">
        <v>4021</v>
      </c>
      <c r="R414" t="s">
        <v>1280</v>
      </c>
      <c r="S414" t="s">
        <v>1510</v>
      </c>
      <c r="T414">
        <v>48</v>
      </c>
      <c r="U414">
        <f>IF(Table__192.168.1.150_M_CONSOLIDATED_Delinquency_Compulsory_EOM[[#This Row],[Days in Arrears]] &lt; 8, Table__192.168.1.150_M_CONSOLIDATED_Delinquency_Compulsory_EOM[[#This Row],[Outstanding Balance]], 0 )</f>
        <v>1549076.36</v>
      </c>
      <c r="V4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4" s="105" t="str">
        <f>VLOOKUP(Table__192.168.1.150_M_CONSOLIDATED_Delinquency_Compulsory_EOM[[#This Row],[Client No]],'Global Portfolio'!$B$2:$N$2500,10,FALSE)</f>
        <v>Real Estate and Rental</v>
      </c>
      <c r="AA414" s="105" t="str">
        <f>VLOOKUP(Table__192.168.1.150_M_CONSOLIDATED_Delinquency_Compulsory_EOM[[#This Row],[Client No]],'Global Portfolio'!$B$2:$N$2500,11,FALSE)</f>
        <v>Rental</v>
      </c>
      <c r="AB414" s="105" t="str">
        <f>VLOOKUP(Table__192.168.1.150_M_CONSOLIDATED_Delinquency_Compulsory_EOM[[#This Row],[Client No]],'Global Portfolio'!$B$2:$N$2500,12,FALSE)</f>
        <v>General Rental Centers</v>
      </c>
    </row>
    <row r="415" spans="1:28" x14ac:dyDescent="0.25">
      <c r="A415">
        <v>103073</v>
      </c>
      <c r="B415" t="s">
        <v>1899</v>
      </c>
      <c r="C415" t="s">
        <v>1901</v>
      </c>
      <c r="D415" t="s">
        <v>1283</v>
      </c>
      <c r="E415">
        <v>26</v>
      </c>
      <c r="F415">
        <v>65000000</v>
      </c>
      <c r="G415">
        <v>50377873.240000002</v>
      </c>
      <c r="H415">
        <v>3856713.5</v>
      </c>
      <c r="I415" t="s">
        <v>1447</v>
      </c>
      <c r="J415">
        <v>0</v>
      </c>
      <c r="K415">
        <v>0</v>
      </c>
      <c r="L415">
        <v>1211114.3</v>
      </c>
      <c r="M415">
        <v>63648206.280000001</v>
      </c>
      <c r="N415" s="143">
        <v>42766.845477395836</v>
      </c>
      <c r="O415" s="143">
        <v>43503</v>
      </c>
      <c r="P415" t="s">
        <v>1902</v>
      </c>
      <c r="Q415" t="s">
        <v>1280</v>
      </c>
      <c r="R415" t="s">
        <v>1903</v>
      </c>
      <c r="S415" t="s">
        <v>1510</v>
      </c>
      <c r="T415">
        <v>36</v>
      </c>
      <c r="U415">
        <f>IF(Table__192.168.1.150_M_CONSOLIDATED_Delinquency_Compulsory_EOM[[#This Row],[Days in Arrears]] &lt; 8, Table__192.168.1.150_M_CONSOLIDATED_Delinquency_Compulsory_EOM[[#This Row],[Outstanding Balance]], 0 )</f>
        <v>0</v>
      </c>
      <c r="V4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50377873.240000002</v>
      </c>
      <c r="W4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5" s="105" t="str">
        <f>VLOOKUP(Table__192.168.1.150_M_CONSOLIDATED_Delinquency_Compulsory_EOM[[#This Row],[Client No]],'Global Portfolio'!$B$2:$N$2500,10,FALSE)</f>
        <v>Construction</v>
      </c>
      <c r="AA415" s="105" t="str">
        <f>VLOOKUP(Table__192.168.1.150_M_CONSOLIDATED_Delinquency_Compulsory_EOM[[#This Row],[Client No]],'Global Portfolio'!$B$2:$N$2500,11,FALSE)</f>
        <v>Construction of Buildings</v>
      </c>
      <c r="AB415" s="105" t="str">
        <f>VLOOKUP(Table__192.168.1.150_M_CONSOLIDATED_Delinquency_Compulsory_EOM[[#This Row],[Client No]],'Global Portfolio'!$B$2:$N$2500,12,FALSE)</f>
        <v>Residential Construction</v>
      </c>
    </row>
    <row r="416" spans="1:28" x14ac:dyDescent="0.25">
      <c r="A416">
        <v>103074</v>
      </c>
      <c r="B416" t="s">
        <v>130</v>
      </c>
      <c r="C416" t="s">
        <v>131</v>
      </c>
      <c r="D416" t="s">
        <v>1283</v>
      </c>
      <c r="E416">
        <v>0</v>
      </c>
      <c r="F416">
        <v>65000000</v>
      </c>
      <c r="G416">
        <v>52902140.829999998</v>
      </c>
      <c r="H416">
        <v>3319471.52</v>
      </c>
      <c r="I416" t="s">
        <v>90</v>
      </c>
      <c r="J416">
        <v>3309028.36</v>
      </c>
      <c r="K416">
        <v>0</v>
      </c>
      <c r="L416">
        <v>1534162.08</v>
      </c>
      <c r="M416">
        <v>73034818.890000001</v>
      </c>
      <c r="N416" s="143">
        <v>42766.894392326387</v>
      </c>
      <c r="O416" s="143">
        <v>43680</v>
      </c>
      <c r="P416" t="s">
        <v>132</v>
      </c>
      <c r="Q416" t="s">
        <v>133</v>
      </c>
      <c r="R416" t="s">
        <v>1280</v>
      </c>
      <c r="S416" t="s">
        <v>1510</v>
      </c>
      <c r="T416">
        <v>36</v>
      </c>
      <c r="U416">
        <f>IF(Table__192.168.1.150_M_CONSOLIDATED_Delinquency_Compulsory_EOM[[#This Row],[Days in Arrears]] &lt; 8, Table__192.168.1.150_M_CONSOLIDATED_Delinquency_Compulsory_EOM[[#This Row],[Outstanding Balance]], 0 )</f>
        <v>52902140.829999998</v>
      </c>
      <c r="V4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6" s="105" t="str">
        <f>VLOOKUP(Table__192.168.1.150_M_CONSOLIDATED_Delinquency_Compulsory_EOM[[#This Row],[Client No]],'Global Portfolio'!$B$2:$N$2500,10,FALSE)</f>
        <v>Retail</v>
      </c>
      <c r="AA416" s="105" t="str">
        <f>VLOOKUP(Table__192.168.1.150_M_CONSOLIDATED_Delinquency_Compulsory_EOM[[#This Row],[Client No]],'Global Portfolio'!$B$2:$N$2500,11,FALSE)</f>
        <v>Others</v>
      </c>
      <c r="AB416" s="105" t="str">
        <f>VLOOKUP(Table__192.168.1.150_M_CONSOLIDATED_Delinquency_Compulsory_EOM[[#This Row],[Client No]],'Global Portfolio'!$B$2:$N$2500,12,FALSE)</f>
        <v>Others</v>
      </c>
    </row>
    <row r="417" spans="1:28" x14ac:dyDescent="0.25">
      <c r="A417">
        <v>103075</v>
      </c>
      <c r="B417" t="s">
        <v>4010</v>
      </c>
      <c r="C417" t="s">
        <v>4022</v>
      </c>
      <c r="D417" t="s">
        <v>1282</v>
      </c>
      <c r="E417">
        <v>0</v>
      </c>
      <c r="F417">
        <v>2500000</v>
      </c>
      <c r="G417">
        <v>984987.52</v>
      </c>
      <c r="H417">
        <v>274559.01</v>
      </c>
      <c r="I417" t="s">
        <v>2494</v>
      </c>
      <c r="J417">
        <v>2971.87</v>
      </c>
      <c r="K417">
        <v>250000</v>
      </c>
      <c r="L417">
        <v>42846.96</v>
      </c>
      <c r="M417">
        <v>1099024.26</v>
      </c>
      <c r="N417" s="143">
        <v>42766.930841747686</v>
      </c>
      <c r="O417" s="143">
        <v>43134</v>
      </c>
      <c r="P417" t="s">
        <v>4023</v>
      </c>
      <c r="Q417" t="s">
        <v>4024</v>
      </c>
      <c r="R417" t="s">
        <v>1280</v>
      </c>
      <c r="S417" t="s">
        <v>1510</v>
      </c>
      <c r="T417">
        <v>54</v>
      </c>
      <c r="U417">
        <f>IF(Table__192.168.1.150_M_CONSOLIDATED_Delinquency_Compulsory_EOM[[#This Row],[Days in Arrears]] &lt; 8, Table__192.168.1.150_M_CONSOLIDATED_Delinquency_Compulsory_EOM[[#This Row],[Outstanding Balance]], 0 )</f>
        <v>984987.52</v>
      </c>
      <c r="V4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7" s="105" t="str">
        <f>VLOOKUP(Table__192.168.1.150_M_CONSOLIDATED_Delinquency_Compulsory_EOM[[#This Row],[Client No]],'Global Portfolio'!$B$2:$N$2500,10,FALSE)</f>
        <v>Retail</v>
      </c>
      <c r="AA417" s="105" t="str">
        <f>VLOOKUP(Table__192.168.1.150_M_CONSOLIDATED_Delinquency_Compulsory_EOM[[#This Row],[Client No]],'Global Portfolio'!$B$2:$N$2500,11,FALSE)</f>
        <v>Others</v>
      </c>
      <c r="AB417" s="105" t="str">
        <f>VLOOKUP(Table__192.168.1.150_M_CONSOLIDATED_Delinquency_Compulsory_EOM[[#This Row],[Client No]],'Global Portfolio'!$B$2:$N$2500,12,FALSE)</f>
        <v>Others</v>
      </c>
    </row>
    <row r="418" spans="1:28" x14ac:dyDescent="0.25">
      <c r="A418">
        <v>103076</v>
      </c>
      <c r="B418" t="s">
        <v>4041</v>
      </c>
      <c r="C418" t="s">
        <v>4043</v>
      </c>
      <c r="D418" t="s">
        <v>1282</v>
      </c>
      <c r="E418">
        <v>-1</v>
      </c>
      <c r="F418">
        <v>6000000</v>
      </c>
      <c r="G418">
        <v>1395230.32</v>
      </c>
      <c r="H418">
        <v>739745.67</v>
      </c>
      <c r="I418" t="s">
        <v>5725</v>
      </c>
      <c r="J418">
        <v>7650.76</v>
      </c>
      <c r="K418">
        <v>600000</v>
      </c>
      <c r="L418">
        <v>52088.6</v>
      </c>
      <c r="M418">
        <v>1479491.28</v>
      </c>
      <c r="N418" s="143">
        <v>42768.689616203701</v>
      </c>
      <c r="O418" s="143">
        <v>43071</v>
      </c>
      <c r="P418" t="s">
        <v>4044</v>
      </c>
      <c r="Q418" t="s">
        <v>1280</v>
      </c>
      <c r="R418" t="s">
        <v>1280</v>
      </c>
      <c r="S418" t="s">
        <v>1510</v>
      </c>
      <c r="T418">
        <v>48</v>
      </c>
      <c r="U418">
        <f>IF(Table__192.168.1.150_M_CONSOLIDATED_Delinquency_Compulsory_EOM[[#This Row],[Days in Arrears]] &lt; 8, Table__192.168.1.150_M_CONSOLIDATED_Delinquency_Compulsory_EOM[[#This Row],[Outstanding Balance]], 0 )</f>
        <v>1395230.32</v>
      </c>
      <c r="V4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8" s="105" t="str">
        <f>VLOOKUP(Table__192.168.1.150_M_CONSOLIDATED_Delinquency_Compulsory_EOM[[#This Row],[Client No]],'Global Portfolio'!$B$2:$N$2500,10,FALSE)</f>
        <v>Agriculture, Forestry, Fishing and Hunting</v>
      </c>
      <c r="AA418" s="105" t="str">
        <f>VLOOKUP(Table__192.168.1.150_M_CONSOLIDATED_Delinquency_Compulsory_EOM[[#This Row],[Client No]],'Global Portfolio'!$B$2:$N$2500,11,FALSE)</f>
        <v>Animal Production</v>
      </c>
      <c r="AB418" s="105" t="str">
        <f>VLOOKUP(Table__192.168.1.150_M_CONSOLIDATED_Delinquency_Compulsory_EOM[[#This Row],[Client No]],'Global Portfolio'!$B$2:$N$2500,12,FALSE)</f>
        <v>Poultry &amp; Egg Production</v>
      </c>
    </row>
    <row r="419" spans="1:28" x14ac:dyDescent="0.25">
      <c r="A419">
        <v>103077</v>
      </c>
      <c r="B419" t="s">
        <v>1015</v>
      </c>
      <c r="C419" t="s">
        <v>1019</v>
      </c>
      <c r="D419" t="s">
        <v>1283</v>
      </c>
      <c r="E419">
        <v>-2</v>
      </c>
      <c r="F419">
        <v>40000000</v>
      </c>
      <c r="G419">
        <v>14937098.289999999</v>
      </c>
      <c r="H419">
        <v>4018483.42</v>
      </c>
      <c r="I419" t="s">
        <v>2855</v>
      </c>
      <c r="J419">
        <v>4010516.58</v>
      </c>
      <c r="K419">
        <v>1000000</v>
      </c>
      <c r="L419">
        <v>403301.65</v>
      </c>
      <c r="M419">
        <v>16073933.67</v>
      </c>
      <c r="N419" s="143">
        <v>42769.700199687497</v>
      </c>
      <c r="O419" s="143">
        <v>43134</v>
      </c>
      <c r="P419" t="s">
        <v>1020</v>
      </c>
      <c r="Q419" t="s">
        <v>1021</v>
      </c>
      <c r="R419" t="s">
        <v>1280</v>
      </c>
      <c r="S419" t="s">
        <v>1510</v>
      </c>
      <c r="T419">
        <v>36</v>
      </c>
      <c r="U419">
        <f>IF(Table__192.168.1.150_M_CONSOLIDATED_Delinquency_Compulsory_EOM[[#This Row],[Days in Arrears]] &lt; 8, Table__192.168.1.150_M_CONSOLIDATED_Delinquency_Compulsory_EOM[[#This Row],[Outstanding Balance]], 0 )</f>
        <v>14937098.289999999</v>
      </c>
      <c r="V4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19" s="105" t="str">
        <f>VLOOKUP(Table__192.168.1.150_M_CONSOLIDATED_Delinquency_Compulsory_EOM[[#This Row],[Client No]],'Global Portfolio'!$B$2:$N$2500,10,FALSE)</f>
        <v>Retail</v>
      </c>
      <c r="AA419" s="105" t="str">
        <f>VLOOKUP(Table__192.168.1.150_M_CONSOLIDATED_Delinquency_Compulsory_EOM[[#This Row],[Client No]],'Global Portfolio'!$B$2:$N$2500,11,FALSE)</f>
        <v>General Merchandise Stores</v>
      </c>
      <c r="AB419" s="105" t="str">
        <f>VLOOKUP(Table__192.168.1.150_M_CONSOLIDATED_Delinquency_Compulsory_EOM[[#This Row],[Client No]],'Global Portfolio'!$B$2:$N$2500,12,FALSE)</f>
        <v>General Stores</v>
      </c>
    </row>
    <row r="420" spans="1:28" x14ac:dyDescent="0.25">
      <c r="A420">
        <v>103078</v>
      </c>
      <c r="B420" t="s">
        <v>1947</v>
      </c>
      <c r="C420" t="s">
        <v>1949</v>
      </c>
      <c r="D420" t="s">
        <v>1281</v>
      </c>
      <c r="E420">
        <v>-2</v>
      </c>
      <c r="F420">
        <v>20000000</v>
      </c>
      <c r="G420">
        <v>12610774.810000001</v>
      </c>
      <c r="H420">
        <v>1516336.82</v>
      </c>
      <c r="I420" t="s">
        <v>4684</v>
      </c>
      <c r="J420">
        <v>0</v>
      </c>
      <c r="K420">
        <v>1500000</v>
      </c>
      <c r="L420">
        <v>397239.41</v>
      </c>
      <c r="M420">
        <v>15163368.109999999</v>
      </c>
      <c r="N420" s="143">
        <v>42769.714571296296</v>
      </c>
      <c r="O420" s="143">
        <v>43315</v>
      </c>
      <c r="P420" t="s">
        <v>1950</v>
      </c>
      <c r="Q420" t="s">
        <v>1951</v>
      </c>
      <c r="R420" t="s">
        <v>1280</v>
      </c>
      <c r="S420" t="s">
        <v>1510</v>
      </c>
      <c r="T420">
        <v>42</v>
      </c>
      <c r="U420">
        <f>IF(Table__192.168.1.150_M_CONSOLIDATED_Delinquency_Compulsory_EOM[[#This Row],[Days in Arrears]] &lt; 8, Table__192.168.1.150_M_CONSOLIDATED_Delinquency_Compulsory_EOM[[#This Row],[Outstanding Balance]], 0 )</f>
        <v>12610774.810000001</v>
      </c>
      <c r="V4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0" s="105" t="str">
        <f>VLOOKUP(Table__192.168.1.150_M_CONSOLIDATED_Delinquency_Compulsory_EOM[[#This Row],[Client No]],'Global Portfolio'!$B$2:$N$2500,10,FALSE)</f>
        <v>Retail</v>
      </c>
      <c r="AA420" s="105" t="str">
        <f>VLOOKUP(Table__192.168.1.150_M_CONSOLIDATED_Delinquency_Compulsory_EOM[[#This Row],[Client No]],'Global Portfolio'!$B$2:$N$2500,11,FALSE)</f>
        <v>General Merchandise Stores</v>
      </c>
      <c r="AB420" s="105" t="str">
        <f>VLOOKUP(Table__192.168.1.150_M_CONSOLIDATED_Delinquency_Compulsory_EOM[[#This Row],[Client No]],'Global Portfolio'!$B$2:$N$2500,12,FALSE)</f>
        <v>Others</v>
      </c>
    </row>
    <row r="421" spans="1:28" x14ac:dyDescent="0.25">
      <c r="A421">
        <v>103079</v>
      </c>
      <c r="B421" t="s">
        <v>4046</v>
      </c>
      <c r="C421" t="s">
        <v>4047</v>
      </c>
      <c r="D421" t="s">
        <v>1281</v>
      </c>
      <c r="E421">
        <v>-2</v>
      </c>
      <c r="F421">
        <v>16000000</v>
      </c>
      <c r="G421">
        <v>6081675.8700000001</v>
      </c>
      <c r="H421">
        <v>1655743.19</v>
      </c>
      <c r="I421" t="s">
        <v>5167</v>
      </c>
      <c r="J421">
        <v>3256.81</v>
      </c>
      <c r="K421">
        <v>1200000</v>
      </c>
      <c r="L421">
        <v>191572.79</v>
      </c>
      <c r="M421">
        <v>6622972.75</v>
      </c>
      <c r="N421" s="143">
        <v>42769.727911192131</v>
      </c>
      <c r="O421" s="143">
        <v>43134</v>
      </c>
      <c r="P421" t="s">
        <v>4048</v>
      </c>
      <c r="Q421" t="s">
        <v>1280</v>
      </c>
      <c r="R421" t="s">
        <v>1280</v>
      </c>
      <c r="S421" t="s">
        <v>1510</v>
      </c>
      <c r="T421">
        <v>42</v>
      </c>
      <c r="U421">
        <f>IF(Table__192.168.1.150_M_CONSOLIDATED_Delinquency_Compulsory_EOM[[#This Row],[Days in Arrears]] &lt; 8, Table__192.168.1.150_M_CONSOLIDATED_Delinquency_Compulsory_EOM[[#This Row],[Outstanding Balance]], 0 )</f>
        <v>6081675.8700000001</v>
      </c>
      <c r="V4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1" s="105" t="str">
        <f>VLOOKUP(Table__192.168.1.150_M_CONSOLIDATED_Delinquency_Compulsory_EOM[[#This Row],[Client No]],'Global Portfolio'!$B$2:$N$2500,10,FALSE)</f>
        <v>Restaurants and Hotels</v>
      </c>
      <c r="AA421" s="105" t="str">
        <f>VLOOKUP(Table__192.168.1.150_M_CONSOLIDATED_Delinquency_Compulsory_EOM[[#This Row],[Client No]],'Global Portfolio'!$B$2:$N$2500,11,FALSE)</f>
        <v>Others</v>
      </c>
      <c r="AB421" s="105" t="str">
        <f>VLOOKUP(Table__192.168.1.150_M_CONSOLIDATED_Delinquency_Compulsory_EOM[[#This Row],[Client No]],'Global Portfolio'!$B$2:$N$2500,12,FALSE)</f>
        <v>Others</v>
      </c>
    </row>
    <row r="422" spans="1:28" x14ac:dyDescent="0.25">
      <c r="A422">
        <v>103081</v>
      </c>
      <c r="B422" t="s">
        <v>4056</v>
      </c>
      <c r="C422" t="s">
        <v>4057</v>
      </c>
      <c r="D422" t="s">
        <v>1282</v>
      </c>
      <c r="E422">
        <v>-6</v>
      </c>
      <c r="F422">
        <v>10000000</v>
      </c>
      <c r="G422">
        <v>3867732.21</v>
      </c>
      <c r="H422">
        <v>1065521.73</v>
      </c>
      <c r="I422" t="s">
        <v>2494</v>
      </c>
      <c r="J422">
        <v>3241.33</v>
      </c>
      <c r="K422">
        <v>0</v>
      </c>
      <c r="L422">
        <v>308350.99</v>
      </c>
      <c r="M422">
        <v>4262086.88</v>
      </c>
      <c r="N422" s="143">
        <v>42773.480308715276</v>
      </c>
      <c r="O422" s="143">
        <v>43138</v>
      </c>
      <c r="P422" t="s">
        <v>4058</v>
      </c>
      <c r="Q422" t="s">
        <v>4059</v>
      </c>
      <c r="R422" t="s">
        <v>1280</v>
      </c>
      <c r="S422" t="s">
        <v>1510</v>
      </c>
      <c r="T422">
        <v>48</v>
      </c>
      <c r="U422">
        <f>IF(Table__192.168.1.150_M_CONSOLIDATED_Delinquency_Compulsory_EOM[[#This Row],[Days in Arrears]] &lt; 8, Table__192.168.1.150_M_CONSOLIDATED_Delinquency_Compulsory_EOM[[#This Row],[Outstanding Balance]], 0 )</f>
        <v>3867732.21</v>
      </c>
      <c r="V4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2" s="105" t="str">
        <f>VLOOKUP(Table__192.168.1.150_M_CONSOLIDATED_Delinquency_Compulsory_EOM[[#This Row],[Client No]],'Global Portfolio'!$B$2:$N$2500,10,FALSE)</f>
        <v>Retail</v>
      </c>
      <c r="AA422" s="105" t="str">
        <f>VLOOKUP(Table__192.168.1.150_M_CONSOLIDATED_Delinquency_Compulsory_EOM[[#This Row],[Client No]],'Global Portfolio'!$B$2:$N$2500,11,FALSE)</f>
        <v>Health and Personal Care Stores</v>
      </c>
      <c r="AB422" s="105" t="str">
        <f>VLOOKUP(Table__192.168.1.150_M_CONSOLIDATED_Delinquency_Compulsory_EOM[[#This Row],[Client No]],'Global Portfolio'!$B$2:$N$2500,12,FALSE)</f>
        <v>Others</v>
      </c>
    </row>
    <row r="423" spans="1:28" x14ac:dyDescent="0.25">
      <c r="A423">
        <v>103082</v>
      </c>
      <c r="B423" t="s">
        <v>478</v>
      </c>
      <c r="C423" t="s">
        <v>479</v>
      </c>
      <c r="D423" t="s">
        <v>1284</v>
      </c>
      <c r="E423">
        <v>-6</v>
      </c>
      <c r="F423">
        <v>20000000</v>
      </c>
      <c r="G423">
        <v>14834012.310000001</v>
      </c>
      <c r="H423">
        <v>1180948.32</v>
      </c>
      <c r="I423" t="s">
        <v>86</v>
      </c>
      <c r="J423">
        <v>0</v>
      </c>
      <c r="K423">
        <v>0</v>
      </c>
      <c r="L423">
        <v>734715.35</v>
      </c>
      <c r="M423">
        <v>18895173.079999998</v>
      </c>
      <c r="N423" s="143">
        <v>42773.655355821757</v>
      </c>
      <c r="O423" s="143">
        <v>43503</v>
      </c>
      <c r="P423" t="s">
        <v>480</v>
      </c>
      <c r="Q423" t="s">
        <v>1280</v>
      </c>
      <c r="R423" t="s">
        <v>1280</v>
      </c>
      <c r="S423" t="s">
        <v>1510</v>
      </c>
      <c r="T423">
        <v>36</v>
      </c>
      <c r="U423">
        <f>IF(Table__192.168.1.150_M_CONSOLIDATED_Delinquency_Compulsory_EOM[[#This Row],[Days in Arrears]] &lt; 8, Table__192.168.1.150_M_CONSOLIDATED_Delinquency_Compulsory_EOM[[#This Row],[Outstanding Balance]], 0 )</f>
        <v>14834012.310000001</v>
      </c>
      <c r="V4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3" s="105" t="str">
        <f>VLOOKUP(Table__192.168.1.150_M_CONSOLIDATED_Delinquency_Compulsory_EOM[[#This Row],[Client No]],'Global Portfolio'!$B$2:$N$2500,10,FALSE)</f>
        <v>Agriculture, Forestry, Fishing and Hunting</v>
      </c>
      <c r="AA423" s="105" t="str">
        <f>VLOOKUP(Table__192.168.1.150_M_CONSOLIDATED_Delinquency_Compulsory_EOM[[#This Row],[Client No]],'Global Portfolio'!$B$2:$N$2500,11,FALSE)</f>
        <v>Crop Production</v>
      </c>
      <c r="AB423" s="105" t="str">
        <f>VLOOKUP(Table__192.168.1.150_M_CONSOLIDATED_Delinquency_Compulsory_EOM[[#This Row],[Client No]],'Global Portfolio'!$B$2:$N$2500,12,FALSE)</f>
        <v>Maize</v>
      </c>
    </row>
    <row r="424" spans="1:28" x14ac:dyDescent="0.25">
      <c r="A424">
        <v>103083</v>
      </c>
      <c r="B424" t="s">
        <v>4060</v>
      </c>
      <c r="C424" t="s">
        <v>4062</v>
      </c>
      <c r="D424" t="s">
        <v>1282</v>
      </c>
      <c r="E424">
        <v>-7</v>
      </c>
      <c r="F424">
        <v>5500000</v>
      </c>
      <c r="G424">
        <v>724076.12</v>
      </c>
      <c r="H424">
        <v>756659.59</v>
      </c>
      <c r="I424" t="s">
        <v>2855</v>
      </c>
      <c r="J424">
        <v>0</v>
      </c>
      <c r="K424">
        <v>550000</v>
      </c>
      <c r="L424">
        <v>23894.51</v>
      </c>
      <c r="M424">
        <v>756659.55</v>
      </c>
      <c r="N424" s="143">
        <v>42774.582986076392</v>
      </c>
      <c r="O424" s="143">
        <v>43047</v>
      </c>
      <c r="P424" t="s">
        <v>4063</v>
      </c>
      <c r="Q424" t="s">
        <v>4064</v>
      </c>
      <c r="R424" t="s">
        <v>1280</v>
      </c>
      <c r="S424" t="s">
        <v>1510</v>
      </c>
      <c r="T424">
        <v>54</v>
      </c>
      <c r="U424">
        <f>IF(Table__192.168.1.150_M_CONSOLIDATED_Delinquency_Compulsory_EOM[[#This Row],[Days in Arrears]] &lt; 8, Table__192.168.1.150_M_CONSOLIDATED_Delinquency_Compulsory_EOM[[#This Row],[Outstanding Balance]], 0 )</f>
        <v>724076.12</v>
      </c>
      <c r="V4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4" s="105" t="str">
        <f>VLOOKUP(Table__192.168.1.150_M_CONSOLIDATED_Delinquency_Compulsory_EOM[[#This Row],[Client No]],'Global Portfolio'!$B$2:$N$2500,10,FALSE)</f>
        <v>Agriculture, Forestry, Fishing and Hunting</v>
      </c>
      <c r="AA424" s="105" t="str">
        <f>VLOOKUP(Table__192.168.1.150_M_CONSOLIDATED_Delinquency_Compulsory_EOM[[#This Row],[Client No]],'Global Portfolio'!$B$2:$N$2500,11,FALSE)</f>
        <v>Animal Production</v>
      </c>
      <c r="AB424" s="105" t="str">
        <f>VLOOKUP(Table__192.168.1.150_M_CONSOLIDATED_Delinquency_Compulsory_EOM[[#This Row],[Client No]],'Global Portfolio'!$B$2:$N$2500,12,FALSE)</f>
        <v>Poultry &amp; Egg Production</v>
      </c>
    </row>
    <row r="425" spans="1:28" x14ac:dyDescent="0.25">
      <c r="A425">
        <v>103084</v>
      </c>
      <c r="B425" t="s">
        <v>1064</v>
      </c>
      <c r="C425" t="s">
        <v>1065</v>
      </c>
      <c r="D425" t="s">
        <v>1284</v>
      </c>
      <c r="E425">
        <v>-8</v>
      </c>
      <c r="F425">
        <v>15000000</v>
      </c>
      <c r="G425">
        <v>9303298.8499999996</v>
      </c>
      <c r="H425">
        <v>1090630.44</v>
      </c>
      <c r="I425" t="s">
        <v>1039</v>
      </c>
      <c r="J425">
        <v>0</v>
      </c>
      <c r="K425">
        <v>750000</v>
      </c>
      <c r="L425">
        <v>195369.28</v>
      </c>
      <c r="M425">
        <v>10906304.380000001</v>
      </c>
      <c r="N425" s="143">
        <v>42775.522620833333</v>
      </c>
      <c r="O425" s="143">
        <v>43321</v>
      </c>
      <c r="P425" t="s">
        <v>1066</v>
      </c>
      <c r="Q425" t="s">
        <v>1280</v>
      </c>
      <c r="R425" t="s">
        <v>1280</v>
      </c>
      <c r="S425" t="s">
        <v>1510</v>
      </c>
      <c r="T425">
        <v>36</v>
      </c>
      <c r="U425">
        <f>IF(Table__192.168.1.150_M_CONSOLIDATED_Delinquency_Compulsory_EOM[[#This Row],[Days in Arrears]] &lt; 8, Table__192.168.1.150_M_CONSOLIDATED_Delinquency_Compulsory_EOM[[#This Row],[Outstanding Balance]], 0 )</f>
        <v>9303298.8499999996</v>
      </c>
      <c r="V4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5" s="105" t="str">
        <f>VLOOKUP(Table__192.168.1.150_M_CONSOLIDATED_Delinquency_Compulsory_EOM[[#This Row],[Client No]],'Global Portfolio'!$B$2:$N$2500,10,FALSE)</f>
        <v>Real Estate and Rental</v>
      </c>
      <c r="AA425" s="105" t="str">
        <f>VLOOKUP(Table__192.168.1.150_M_CONSOLIDATED_Delinquency_Compulsory_EOM[[#This Row],[Client No]],'Global Portfolio'!$B$2:$N$2500,11,FALSE)</f>
        <v>Real Estate</v>
      </c>
      <c r="AB425" s="105" t="str">
        <f>VLOOKUP(Table__192.168.1.150_M_CONSOLIDATED_Delinquency_Compulsory_EOM[[#This Row],[Client No]],'Global Portfolio'!$B$2:$N$2500,12,FALSE)</f>
        <v>Real Estate</v>
      </c>
    </row>
    <row r="426" spans="1:28" x14ac:dyDescent="0.25">
      <c r="A426">
        <v>103085</v>
      </c>
      <c r="B426" t="s">
        <v>1542</v>
      </c>
      <c r="C426" t="s">
        <v>1544</v>
      </c>
      <c r="D426" t="s">
        <v>1281</v>
      </c>
      <c r="E426">
        <v>-14</v>
      </c>
      <c r="F426">
        <v>17500000</v>
      </c>
      <c r="G426">
        <v>11109056.92</v>
      </c>
      <c r="H426">
        <v>1335768.21</v>
      </c>
      <c r="I426" t="s">
        <v>1191</v>
      </c>
      <c r="J426">
        <v>0</v>
      </c>
      <c r="K426">
        <v>0</v>
      </c>
      <c r="L426">
        <v>194408.5</v>
      </c>
      <c r="M426">
        <v>13357681.98</v>
      </c>
      <c r="N426" s="143">
        <v>42775.669208182873</v>
      </c>
      <c r="O426" s="143">
        <v>43327</v>
      </c>
      <c r="P426" t="s">
        <v>1545</v>
      </c>
      <c r="Q426" t="s">
        <v>1546</v>
      </c>
      <c r="R426" t="s">
        <v>1280</v>
      </c>
      <c r="S426" t="s">
        <v>1510</v>
      </c>
      <c r="T426">
        <v>42</v>
      </c>
      <c r="U426">
        <f>IF(Table__192.168.1.150_M_CONSOLIDATED_Delinquency_Compulsory_EOM[[#This Row],[Days in Arrears]] &lt; 8, Table__192.168.1.150_M_CONSOLIDATED_Delinquency_Compulsory_EOM[[#This Row],[Outstanding Balance]], 0 )</f>
        <v>11109056.92</v>
      </c>
      <c r="V4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6" s="105" t="str">
        <f>VLOOKUP(Table__192.168.1.150_M_CONSOLIDATED_Delinquency_Compulsory_EOM[[#This Row],[Client No]],'Global Portfolio'!$B$2:$N$2500,10,FALSE)</f>
        <v>Retail</v>
      </c>
      <c r="AA426" s="105" t="str">
        <f>VLOOKUP(Table__192.168.1.150_M_CONSOLIDATED_Delinquency_Compulsory_EOM[[#This Row],[Client No]],'Global Portfolio'!$B$2:$N$2500,11,FALSE)</f>
        <v>Building Material and Garden Equipment</v>
      </c>
      <c r="AB426" s="105" t="str">
        <f>VLOOKUP(Table__192.168.1.150_M_CONSOLIDATED_Delinquency_Compulsory_EOM[[#This Row],[Client No]],'Global Portfolio'!$B$2:$N$2500,12,FALSE)</f>
        <v>Others</v>
      </c>
    </row>
    <row r="427" spans="1:28" x14ac:dyDescent="0.25">
      <c r="A427">
        <v>103086</v>
      </c>
      <c r="B427" t="s">
        <v>1028</v>
      </c>
      <c r="C427" t="s">
        <v>1029</v>
      </c>
      <c r="D427" t="s">
        <v>1284</v>
      </c>
      <c r="E427">
        <v>-9</v>
      </c>
      <c r="F427">
        <v>16500000</v>
      </c>
      <c r="G427">
        <v>10233628.779999999</v>
      </c>
      <c r="H427">
        <v>1199693.48</v>
      </c>
      <c r="I427" t="s">
        <v>963</v>
      </c>
      <c r="J427">
        <v>93087.75</v>
      </c>
      <c r="K427">
        <v>825000</v>
      </c>
      <c r="L427">
        <v>204672.58</v>
      </c>
      <c r="M427">
        <v>11996934.869999999</v>
      </c>
      <c r="N427" s="143">
        <v>42776.647220682869</v>
      </c>
      <c r="O427" s="143">
        <v>43322</v>
      </c>
      <c r="P427" t="s">
        <v>1030</v>
      </c>
      <c r="Q427" t="s">
        <v>1031</v>
      </c>
      <c r="R427" t="s">
        <v>1280</v>
      </c>
      <c r="S427" t="s">
        <v>1510</v>
      </c>
      <c r="T427">
        <v>36</v>
      </c>
      <c r="U427">
        <f>IF(Table__192.168.1.150_M_CONSOLIDATED_Delinquency_Compulsory_EOM[[#This Row],[Days in Arrears]] &lt; 8, Table__192.168.1.150_M_CONSOLIDATED_Delinquency_Compulsory_EOM[[#This Row],[Outstanding Balance]], 0 )</f>
        <v>10233628.779999999</v>
      </c>
      <c r="V4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7" s="105" t="str">
        <f>VLOOKUP(Table__192.168.1.150_M_CONSOLIDATED_Delinquency_Compulsory_EOM[[#This Row],[Client No]],'Global Portfolio'!$B$2:$N$2500,10,FALSE)</f>
        <v>Retail</v>
      </c>
      <c r="AA427" s="105" t="str">
        <f>VLOOKUP(Table__192.168.1.150_M_CONSOLIDATED_Delinquency_Compulsory_EOM[[#This Row],[Client No]],'Global Portfolio'!$B$2:$N$2500,11,FALSE)</f>
        <v>General Merchandise Stores</v>
      </c>
      <c r="AB427" s="105" t="str">
        <f>VLOOKUP(Table__192.168.1.150_M_CONSOLIDATED_Delinquency_Compulsory_EOM[[#This Row],[Client No]],'Global Portfolio'!$B$2:$N$2500,12,FALSE)</f>
        <v>General Stores</v>
      </c>
    </row>
    <row r="428" spans="1:28" x14ac:dyDescent="0.25">
      <c r="A428">
        <v>103088</v>
      </c>
      <c r="B428" t="s">
        <v>2124</v>
      </c>
      <c r="C428" t="s">
        <v>2126</v>
      </c>
      <c r="D428" t="s">
        <v>1283</v>
      </c>
      <c r="E428">
        <v>18</v>
      </c>
      <c r="F428">
        <v>31000000</v>
      </c>
      <c r="G428">
        <v>24071158.579999998</v>
      </c>
      <c r="H428">
        <v>1830469.89</v>
      </c>
      <c r="I428" t="s">
        <v>1447</v>
      </c>
      <c r="J428">
        <v>26709.72</v>
      </c>
      <c r="K428">
        <v>0</v>
      </c>
      <c r="L428">
        <v>732862.28</v>
      </c>
      <c r="M428">
        <v>30365957.829999998</v>
      </c>
      <c r="N428" s="143">
        <v>42779.397830173613</v>
      </c>
      <c r="O428" s="143">
        <v>43509</v>
      </c>
      <c r="P428" t="s">
        <v>2127</v>
      </c>
      <c r="Q428" t="s">
        <v>1280</v>
      </c>
      <c r="R428" t="s">
        <v>1280</v>
      </c>
      <c r="S428" t="s">
        <v>1510</v>
      </c>
      <c r="T428">
        <v>36</v>
      </c>
      <c r="U428">
        <f>IF(Table__192.168.1.150_M_CONSOLIDATED_Delinquency_Compulsory_EOM[[#This Row],[Days in Arrears]] &lt; 8, Table__192.168.1.150_M_CONSOLIDATED_Delinquency_Compulsory_EOM[[#This Row],[Outstanding Balance]], 0 )</f>
        <v>0</v>
      </c>
      <c r="V4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24071158.579999998</v>
      </c>
      <c r="W4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8" s="105" t="str">
        <f>VLOOKUP(Table__192.168.1.150_M_CONSOLIDATED_Delinquency_Compulsory_EOM[[#This Row],[Client No]],'Global Portfolio'!$B$2:$N$2500,10,FALSE)</f>
        <v>Construction</v>
      </c>
      <c r="AA428" s="105" t="str">
        <f>VLOOKUP(Table__192.168.1.150_M_CONSOLIDATED_Delinquency_Compulsory_EOM[[#This Row],[Client No]],'Global Portfolio'!$B$2:$N$2500,11,FALSE)</f>
        <v>Construction of Buildings</v>
      </c>
      <c r="AB428" s="105" t="str">
        <f>VLOOKUP(Table__192.168.1.150_M_CONSOLIDATED_Delinquency_Compulsory_EOM[[#This Row],[Client No]],'Global Portfolio'!$B$2:$N$2500,12,FALSE)</f>
        <v>Others</v>
      </c>
    </row>
    <row r="429" spans="1:28" x14ac:dyDescent="0.25">
      <c r="A429">
        <v>103089</v>
      </c>
      <c r="B429" t="s">
        <v>4104</v>
      </c>
      <c r="C429" t="s">
        <v>4105</v>
      </c>
      <c r="D429" t="s">
        <v>1282</v>
      </c>
      <c r="E429">
        <v>-13</v>
      </c>
      <c r="F429">
        <v>7000000</v>
      </c>
      <c r="G429">
        <v>2754011.9</v>
      </c>
      <c r="H429">
        <v>767663.32</v>
      </c>
      <c r="I429" t="s">
        <v>5167</v>
      </c>
      <c r="J429">
        <v>0</v>
      </c>
      <c r="K429">
        <v>700000</v>
      </c>
      <c r="L429">
        <v>66096.289999999994</v>
      </c>
      <c r="M429">
        <v>3070653.3</v>
      </c>
      <c r="N429" s="143">
        <v>42780.510733530093</v>
      </c>
      <c r="O429" s="143">
        <v>43145</v>
      </c>
      <c r="P429" t="s">
        <v>4106</v>
      </c>
      <c r="Q429" t="s">
        <v>4107</v>
      </c>
      <c r="R429" t="s">
        <v>1280</v>
      </c>
      <c r="S429" t="s">
        <v>1510</v>
      </c>
      <c r="T429">
        <v>54</v>
      </c>
      <c r="U429">
        <f>IF(Table__192.168.1.150_M_CONSOLIDATED_Delinquency_Compulsory_EOM[[#This Row],[Days in Arrears]] &lt; 8, Table__192.168.1.150_M_CONSOLIDATED_Delinquency_Compulsory_EOM[[#This Row],[Outstanding Balance]], 0 )</f>
        <v>2754011.9</v>
      </c>
      <c r="V4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29" s="105" t="str">
        <f>VLOOKUP(Table__192.168.1.150_M_CONSOLIDATED_Delinquency_Compulsory_EOM[[#This Row],[Client No]],'Global Portfolio'!$B$2:$N$2500,10,FALSE)</f>
        <v>Real Estate and Rental</v>
      </c>
      <c r="AA429" s="105" t="str">
        <f>VLOOKUP(Table__192.168.1.150_M_CONSOLIDATED_Delinquency_Compulsory_EOM[[#This Row],[Client No]],'Global Portfolio'!$B$2:$N$2500,11,FALSE)</f>
        <v>Rental</v>
      </c>
      <c r="AB429" s="105" t="str">
        <f>VLOOKUP(Table__192.168.1.150_M_CONSOLIDATED_Delinquency_Compulsory_EOM[[#This Row],[Client No]],'Global Portfolio'!$B$2:$N$2500,12,FALSE)</f>
        <v>Others</v>
      </c>
    </row>
    <row r="430" spans="1:28" x14ac:dyDescent="0.25">
      <c r="A430">
        <v>103091</v>
      </c>
      <c r="B430" t="s">
        <v>841</v>
      </c>
      <c r="C430" t="s">
        <v>842</v>
      </c>
      <c r="D430" t="s">
        <v>1283</v>
      </c>
      <c r="E430">
        <v>-13</v>
      </c>
      <c r="F430">
        <v>55000000</v>
      </c>
      <c r="G430">
        <v>37944964.439999998</v>
      </c>
      <c r="H430">
        <v>3567947.71</v>
      </c>
      <c r="I430" t="s">
        <v>86</v>
      </c>
      <c r="J430">
        <v>0</v>
      </c>
      <c r="K430">
        <v>2750000</v>
      </c>
      <c r="L430">
        <v>607119.43000000005</v>
      </c>
      <c r="M430">
        <v>46383320.100000001</v>
      </c>
      <c r="N430" s="143">
        <v>42780.685994212959</v>
      </c>
      <c r="O430" s="143">
        <v>43418</v>
      </c>
      <c r="P430" t="s">
        <v>843</v>
      </c>
      <c r="Q430" t="s">
        <v>1280</v>
      </c>
      <c r="R430" t="s">
        <v>1280</v>
      </c>
      <c r="S430" t="s">
        <v>1510</v>
      </c>
      <c r="T430">
        <v>36</v>
      </c>
      <c r="U430">
        <f>IF(Table__192.168.1.150_M_CONSOLIDATED_Delinquency_Compulsory_EOM[[#This Row],[Days in Arrears]] &lt; 8, Table__192.168.1.150_M_CONSOLIDATED_Delinquency_Compulsory_EOM[[#This Row],[Outstanding Balance]], 0 )</f>
        <v>37944964.439999998</v>
      </c>
      <c r="V4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0" s="105" t="str">
        <f>VLOOKUP(Table__192.168.1.150_M_CONSOLIDATED_Delinquency_Compulsory_EOM[[#This Row],[Client No]],'Global Portfolio'!$B$2:$N$2500,10,FALSE)</f>
        <v>Retail</v>
      </c>
      <c r="AA430" s="105" t="str">
        <f>VLOOKUP(Table__192.168.1.150_M_CONSOLIDATED_Delinquency_Compulsory_EOM[[#This Row],[Client No]],'Global Portfolio'!$B$2:$N$2500,11,FALSE)</f>
        <v>Others</v>
      </c>
      <c r="AB430" s="105" t="str">
        <f>VLOOKUP(Table__192.168.1.150_M_CONSOLIDATED_Delinquency_Compulsory_EOM[[#This Row],[Client No]],'Global Portfolio'!$B$2:$N$2500,12,FALSE)</f>
        <v>Others</v>
      </c>
    </row>
    <row r="431" spans="1:28" x14ac:dyDescent="0.25">
      <c r="A431">
        <v>103092</v>
      </c>
      <c r="B431" t="s">
        <v>1529</v>
      </c>
      <c r="C431" t="s">
        <v>1538</v>
      </c>
      <c r="D431" t="s">
        <v>1283</v>
      </c>
      <c r="E431">
        <v>-13</v>
      </c>
      <c r="F431">
        <v>40000000</v>
      </c>
      <c r="G431">
        <v>24808796.93</v>
      </c>
      <c r="H431">
        <v>2908347.84</v>
      </c>
      <c r="I431" t="s">
        <v>90</v>
      </c>
      <c r="J431">
        <v>269371.21999999997</v>
      </c>
      <c r="K431">
        <v>2000000</v>
      </c>
      <c r="L431">
        <v>396940.75</v>
      </c>
      <c r="M431">
        <v>29083478.32</v>
      </c>
      <c r="N431" s="143">
        <v>42780.734529895832</v>
      </c>
      <c r="O431" s="143">
        <v>43326</v>
      </c>
      <c r="P431" t="s">
        <v>1539</v>
      </c>
      <c r="Q431" t="s">
        <v>1280</v>
      </c>
      <c r="R431" t="s">
        <v>1280</v>
      </c>
      <c r="S431" t="s">
        <v>1510</v>
      </c>
      <c r="T431">
        <v>36</v>
      </c>
      <c r="U431">
        <f>IF(Table__192.168.1.150_M_CONSOLIDATED_Delinquency_Compulsory_EOM[[#This Row],[Days in Arrears]] &lt; 8, Table__192.168.1.150_M_CONSOLIDATED_Delinquency_Compulsory_EOM[[#This Row],[Outstanding Balance]], 0 )</f>
        <v>24808796.93</v>
      </c>
      <c r="V4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1" s="105" t="str">
        <f>VLOOKUP(Table__192.168.1.150_M_CONSOLIDATED_Delinquency_Compulsory_EOM[[#This Row],[Client No]],'Global Portfolio'!$B$2:$N$2500,10,FALSE)</f>
        <v>Retail</v>
      </c>
      <c r="AA431" s="105" t="str">
        <f>VLOOKUP(Table__192.168.1.150_M_CONSOLIDATED_Delinquency_Compulsory_EOM[[#This Row],[Client No]],'Global Portfolio'!$B$2:$N$2500,11,FALSE)</f>
        <v>General Merchandise Stores</v>
      </c>
      <c r="AB431" s="105" t="str">
        <f>VLOOKUP(Table__192.168.1.150_M_CONSOLIDATED_Delinquency_Compulsory_EOM[[#This Row],[Client No]],'Global Portfolio'!$B$2:$N$2500,12,FALSE)</f>
        <v>Others</v>
      </c>
    </row>
    <row r="432" spans="1:28" x14ac:dyDescent="0.25">
      <c r="A432">
        <v>103093</v>
      </c>
      <c r="B432" t="s">
        <v>174</v>
      </c>
      <c r="C432" t="s">
        <v>175</v>
      </c>
      <c r="D432" t="s">
        <v>1279</v>
      </c>
      <c r="E432">
        <v>-14</v>
      </c>
      <c r="F432">
        <v>3000000</v>
      </c>
      <c r="G432">
        <v>1160319.6599999999</v>
      </c>
      <c r="H432">
        <v>319656.52</v>
      </c>
      <c r="I432" t="s">
        <v>90</v>
      </c>
      <c r="J432">
        <v>157088.68</v>
      </c>
      <c r="K432">
        <v>300000</v>
      </c>
      <c r="L432">
        <v>23206.39</v>
      </c>
      <c r="M432">
        <v>1278626.07</v>
      </c>
      <c r="N432" s="143">
        <v>42781.736808333335</v>
      </c>
      <c r="O432" s="143">
        <v>43146</v>
      </c>
      <c r="P432" t="s">
        <v>176</v>
      </c>
      <c r="Q432" t="s">
        <v>1280</v>
      </c>
      <c r="R432" t="s">
        <v>1280</v>
      </c>
      <c r="S432" t="s">
        <v>1510</v>
      </c>
      <c r="T432">
        <v>48</v>
      </c>
      <c r="U432">
        <f>IF(Table__192.168.1.150_M_CONSOLIDATED_Delinquency_Compulsory_EOM[[#This Row],[Days in Arrears]] &lt; 8, Table__192.168.1.150_M_CONSOLIDATED_Delinquency_Compulsory_EOM[[#This Row],[Outstanding Balance]], 0 )</f>
        <v>1160319.6599999999</v>
      </c>
      <c r="V4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2" s="105" t="str">
        <f>VLOOKUP(Table__192.168.1.150_M_CONSOLIDATED_Delinquency_Compulsory_EOM[[#This Row],[Client No]],'Global Portfolio'!$B$2:$N$2500,10,FALSE)</f>
        <v>Retail</v>
      </c>
      <c r="AA432" s="105" t="str">
        <f>VLOOKUP(Table__192.168.1.150_M_CONSOLIDATED_Delinquency_Compulsory_EOM[[#This Row],[Client No]],'Global Portfolio'!$B$2:$N$2500,11,FALSE)</f>
        <v>General Merchandise Stores</v>
      </c>
      <c r="AB432" s="105" t="str">
        <f>VLOOKUP(Table__192.168.1.150_M_CONSOLIDATED_Delinquency_Compulsory_EOM[[#This Row],[Client No]],'Global Portfolio'!$B$2:$N$2500,12,FALSE)</f>
        <v>General Stores</v>
      </c>
    </row>
    <row r="433" spans="1:28" x14ac:dyDescent="0.25">
      <c r="A433">
        <v>103094</v>
      </c>
      <c r="B433" t="s">
        <v>4110</v>
      </c>
      <c r="C433" t="s">
        <v>4112</v>
      </c>
      <c r="D433" t="s">
        <v>1283</v>
      </c>
      <c r="E433">
        <v>-14</v>
      </c>
      <c r="F433">
        <v>35000000</v>
      </c>
      <c r="G433">
        <v>13069961.02</v>
      </c>
      <c r="H433">
        <v>3516172.99</v>
      </c>
      <c r="I433" t="s">
        <v>468</v>
      </c>
      <c r="J433">
        <v>858150.82</v>
      </c>
      <c r="K433">
        <v>1750000</v>
      </c>
      <c r="L433">
        <v>196049.42</v>
      </c>
      <c r="M433">
        <v>14064691.98</v>
      </c>
      <c r="N433" s="143">
        <v>42781.798640624998</v>
      </c>
      <c r="O433" s="143">
        <v>43146</v>
      </c>
      <c r="P433" t="s">
        <v>4113</v>
      </c>
      <c r="Q433" t="s">
        <v>4114</v>
      </c>
      <c r="R433" t="s">
        <v>1280</v>
      </c>
      <c r="S433" t="s">
        <v>1510</v>
      </c>
      <c r="T433">
        <v>36</v>
      </c>
      <c r="U433">
        <f>IF(Table__192.168.1.150_M_CONSOLIDATED_Delinquency_Compulsory_EOM[[#This Row],[Days in Arrears]] &lt; 8, Table__192.168.1.150_M_CONSOLIDATED_Delinquency_Compulsory_EOM[[#This Row],[Outstanding Balance]], 0 )</f>
        <v>13069961.02</v>
      </c>
      <c r="V4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3" s="105" t="str">
        <f>VLOOKUP(Table__192.168.1.150_M_CONSOLIDATED_Delinquency_Compulsory_EOM[[#This Row],[Client No]],'Global Portfolio'!$B$2:$N$2500,10,FALSE)</f>
        <v>Real Estate and Rental</v>
      </c>
      <c r="AA433" s="105" t="str">
        <f>VLOOKUP(Table__192.168.1.150_M_CONSOLIDATED_Delinquency_Compulsory_EOM[[#This Row],[Client No]],'Global Portfolio'!$B$2:$N$2500,11,FALSE)</f>
        <v>Rental</v>
      </c>
      <c r="AB433" s="105" t="str">
        <f>VLOOKUP(Table__192.168.1.150_M_CONSOLIDATED_Delinquency_Compulsory_EOM[[#This Row],[Client No]],'Global Portfolio'!$B$2:$N$2500,12,FALSE)</f>
        <v>General Rental Centers</v>
      </c>
    </row>
    <row r="434" spans="1:28" x14ac:dyDescent="0.25">
      <c r="A434">
        <v>103095</v>
      </c>
      <c r="B434" t="s">
        <v>415</v>
      </c>
      <c r="C434" t="s">
        <v>417</v>
      </c>
      <c r="D434" t="s">
        <v>1283</v>
      </c>
      <c r="E434">
        <v>-16</v>
      </c>
      <c r="F434">
        <v>45000000</v>
      </c>
      <c r="G434">
        <v>36589035.710000001</v>
      </c>
      <c r="H434">
        <v>2295866.67</v>
      </c>
      <c r="I434" t="s">
        <v>1925</v>
      </c>
      <c r="J434">
        <v>2722430.5</v>
      </c>
      <c r="K434">
        <v>2250000</v>
      </c>
      <c r="L434">
        <v>475657.46</v>
      </c>
      <c r="M434">
        <v>50509066.710000001</v>
      </c>
      <c r="N434" s="143">
        <v>42783.688062303241</v>
      </c>
      <c r="O434" s="143">
        <v>43694</v>
      </c>
      <c r="P434" t="s">
        <v>418</v>
      </c>
      <c r="Q434" t="s">
        <v>419</v>
      </c>
      <c r="R434" t="s">
        <v>1280</v>
      </c>
      <c r="S434" t="s">
        <v>1510</v>
      </c>
      <c r="T434">
        <v>36</v>
      </c>
      <c r="U434">
        <f>IF(Table__192.168.1.150_M_CONSOLIDATED_Delinquency_Compulsory_EOM[[#This Row],[Days in Arrears]] &lt; 8, Table__192.168.1.150_M_CONSOLIDATED_Delinquency_Compulsory_EOM[[#This Row],[Outstanding Balance]], 0 )</f>
        <v>36589035.710000001</v>
      </c>
      <c r="V4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4" s="105" t="str">
        <f>VLOOKUP(Table__192.168.1.150_M_CONSOLIDATED_Delinquency_Compulsory_EOM[[#This Row],[Client No]],'Global Portfolio'!$B$2:$N$2500,10,FALSE)</f>
        <v>Construction</v>
      </c>
      <c r="AA434" s="105" t="str">
        <f>VLOOKUP(Table__192.168.1.150_M_CONSOLIDATED_Delinquency_Compulsory_EOM[[#This Row],[Client No]],'Global Portfolio'!$B$2:$N$2500,11,FALSE)</f>
        <v>Others</v>
      </c>
      <c r="AB434" s="105" t="str">
        <f>VLOOKUP(Table__192.168.1.150_M_CONSOLIDATED_Delinquency_Compulsory_EOM[[#This Row],[Client No]],'Global Portfolio'!$B$2:$N$2500,12,FALSE)</f>
        <v>Others</v>
      </c>
    </row>
    <row r="435" spans="1:28" x14ac:dyDescent="0.25">
      <c r="A435">
        <v>103096</v>
      </c>
      <c r="B435" t="s">
        <v>230</v>
      </c>
      <c r="C435" t="s">
        <v>231</v>
      </c>
      <c r="D435" t="s">
        <v>1283</v>
      </c>
      <c r="E435">
        <v>-19</v>
      </c>
      <c r="F435">
        <v>55000000</v>
      </c>
      <c r="G435">
        <v>40793533.850000001</v>
      </c>
      <c r="H435">
        <v>3247607.88</v>
      </c>
      <c r="I435" t="s">
        <v>86</v>
      </c>
      <c r="J435">
        <v>0</v>
      </c>
      <c r="K435">
        <v>2750000</v>
      </c>
      <c r="L435">
        <v>407935.34</v>
      </c>
      <c r="M435">
        <v>51961725.990000002</v>
      </c>
      <c r="N435" s="143">
        <v>42786.551654629628</v>
      </c>
      <c r="O435" s="143">
        <v>43516</v>
      </c>
      <c r="P435" t="s">
        <v>232</v>
      </c>
      <c r="Q435" t="s">
        <v>1280</v>
      </c>
      <c r="R435" t="s">
        <v>1280</v>
      </c>
      <c r="S435" t="s">
        <v>1510</v>
      </c>
      <c r="T435">
        <v>36</v>
      </c>
      <c r="U435">
        <f>IF(Table__192.168.1.150_M_CONSOLIDATED_Delinquency_Compulsory_EOM[[#This Row],[Days in Arrears]] &lt; 8, Table__192.168.1.150_M_CONSOLIDATED_Delinquency_Compulsory_EOM[[#This Row],[Outstanding Balance]], 0 )</f>
        <v>40793533.850000001</v>
      </c>
      <c r="V4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5" s="105" t="str">
        <f>VLOOKUP(Table__192.168.1.150_M_CONSOLIDATED_Delinquency_Compulsory_EOM[[#This Row],[Client No]],'Global Portfolio'!$B$2:$N$2500,10,FALSE)</f>
        <v>Construction</v>
      </c>
      <c r="AA435" s="105" t="str">
        <f>VLOOKUP(Table__192.168.1.150_M_CONSOLIDATED_Delinquency_Compulsory_EOM[[#This Row],[Client No]],'Global Portfolio'!$B$2:$N$2500,11,FALSE)</f>
        <v>Construction of Buildings</v>
      </c>
      <c r="AB435" s="105" t="str">
        <f>VLOOKUP(Table__192.168.1.150_M_CONSOLIDATED_Delinquency_Compulsory_EOM[[#This Row],[Client No]],'Global Portfolio'!$B$2:$N$2500,12,FALSE)</f>
        <v>Others</v>
      </c>
    </row>
    <row r="436" spans="1:28" x14ac:dyDescent="0.25">
      <c r="A436">
        <v>103097</v>
      </c>
      <c r="B436" t="s">
        <v>4128</v>
      </c>
      <c r="C436" t="s">
        <v>4131</v>
      </c>
      <c r="D436" t="s">
        <v>1283</v>
      </c>
      <c r="E436">
        <v>11</v>
      </c>
      <c r="F436">
        <v>55000000</v>
      </c>
      <c r="G436">
        <v>43142057.140000001</v>
      </c>
      <c r="H436">
        <v>3365325.45</v>
      </c>
      <c r="I436" t="s">
        <v>4684</v>
      </c>
      <c r="J436">
        <v>2892179.82</v>
      </c>
      <c r="K436">
        <v>0</v>
      </c>
      <c r="L436">
        <v>1346010.8</v>
      </c>
      <c r="M436">
        <v>56660532.770000003</v>
      </c>
      <c r="N436" s="143">
        <v>42786.513189849538</v>
      </c>
      <c r="O436" s="143">
        <v>43516</v>
      </c>
      <c r="P436" t="s">
        <v>4132</v>
      </c>
      <c r="Q436" t="s">
        <v>4133</v>
      </c>
      <c r="R436" t="s">
        <v>1280</v>
      </c>
      <c r="S436" t="s">
        <v>1510</v>
      </c>
      <c r="T436">
        <v>40</v>
      </c>
      <c r="U436">
        <f>IF(Table__192.168.1.150_M_CONSOLIDATED_Delinquency_Compulsory_EOM[[#This Row],[Days in Arrears]] &lt; 8, Table__192.168.1.150_M_CONSOLIDATED_Delinquency_Compulsory_EOM[[#This Row],[Outstanding Balance]], 0 )</f>
        <v>0</v>
      </c>
      <c r="V4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43142057.140000001</v>
      </c>
      <c r="W4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6" s="105" t="str">
        <f>VLOOKUP(Table__192.168.1.150_M_CONSOLIDATED_Delinquency_Compulsory_EOM[[#This Row],[Client No]],'Global Portfolio'!$B$2:$N$2500,10,FALSE)</f>
        <v>Real Estate and Rental</v>
      </c>
      <c r="AA436" s="105" t="str">
        <f>VLOOKUP(Table__192.168.1.150_M_CONSOLIDATED_Delinquency_Compulsory_EOM[[#This Row],[Client No]],'Global Portfolio'!$B$2:$N$2500,11,FALSE)</f>
        <v>Rental</v>
      </c>
      <c r="AB436" s="105" t="str">
        <f>VLOOKUP(Table__192.168.1.150_M_CONSOLIDATED_Delinquency_Compulsory_EOM[[#This Row],[Client No]],'Global Portfolio'!$B$2:$N$2500,12,FALSE)</f>
        <v>Others</v>
      </c>
    </row>
    <row r="437" spans="1:28" x14ac:dyDescent="0.25">
      <c r="A437">
        <v>103098</v>
      </c>
      <c r="B437" t="s">
        <v>1116</v>
      </c>
      <c r="C437" t="s">
        <v>1117</v>
      </c>
      <c r="D437" t="s">
        <v>1282</v>
      </c>
      <c r="E437">
        <v>-19</v>
      </c>
      <c r="F437">
        <v>15000000</v>
      </c>
      <c r="G437">
        <v>9610599.8000000007</v>
      </c>
      <c r="H437">
        <v>1184899.92</v>
      </c>
      <c r="I437" t="s">
        <v>1447</v>
      </c>
      <c r="J437">
        <v>20468.38</v>
      </c>
      <c r="K437">
        <v>1500000</v>
      </c>
      <c r="L437">
        <v>128141.33</v>
      </c>
      <c r="M437">
        <v>11848999.26</v>
      </c>
      <c r="N437" s="143">
        <v>42786.562125231481</v>
      </c>
      <c r="O437" s="143">
        <v>43332</v>
      </c>
      <c r="P437" t="s">
        <v>1118</v>
      </c>
      <c r="Q437" t="s">
        <v>1280</v>
      </c>
      <c r="R437" t="s">
        <v>1280</v>
      </c>
      <c r="S437" t="s">
        <v>1510</v>
      </c>
      <c r="T437">
        <v>48</v>
      </c>
      <c r="U437">
        <f>IF(Table__192.168.1.150_M_CONSOLIDATED_Delinquency_Compulsory_EOM[[#This Row],[Days in Arrears]] &lt; 8, Table__192.168.1.150_M_CONSOLIDATED_Delinquency_Compulsory_EOM[[#This Row],[Outstanding Balance]], 0 )</f>
        <v>9610599.8000000007</v>
      </c>
      <c r="V4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7" s="105" t="str">
        <f>VLOOKUP(Table__192.168.1.150_M_CONSOLIDATED_Delinquency_Compulsory_EOM[[#This Row],[Client No]],'Global Portfolio'!$B$2:$N$2500,10,FALSE)</f>
        <v>Health Care</v>
      </c>
      <c r="AA437" s="105" t="str">
        <f>VLOOKUP(Table__192.168.1.150_M_CONSOLIDATED_Delinquency_Compulsory_EOM[[#This Row],[Client No]],'Global Portfolio'!$B$2:$N$2500,11,FALSE)</f>
        <v>Health Care</v>
      </c>
      <c r="AB437" s="105" t="str">
        <f>VLOOKUP(Table__192.168.1.150_M_CONSOLIDATED_Delinquency_Compulsory_EOM[[#This Row],[Client No]],'Global Portfolio'!$B$2:$N$2500,12,FALSE)</f>
        <v>Others</v>
      </c>
    </row>
    <row r="438" spans="1:28" x14ac:dyDescent="0.25">
      <c r="A438">
        <v>103099</v>
      </c>
      <c r="B438" t="s">
        <v>4352</v>
      </c>
      <c r="C438" t="s">
        <v>4353</v>
      </c>
      <c r="D438" t="s">
        <v>1283</v>
      </c>
      <c r="E438">
        <v>30</v>
      </c>
      <c r="F438">
        <v>55000000</v>
      </c>
      <c r="G438">
        <v>47114080.979999997</v>
      </c>
      <c r="H438">
        <v>3387037.23</v>
      </c>
      <c r="I438" t="s">
        <v>1039</v>
      </c>
      <c r="J438">
        <v>0</v>
      </c>
      <c r="K438">
        <v>0</v>
      </c>
      <c r="L438">
        <v>1946719.32</v>
      </c>
      <c r="M438">
        <v>63270370.829999998</v>
      </c>
      <c r="N438" s="143">
        <v>42819.574463344907</v>
      </c>
      <c r="O438" s="143">
        <v>43556</v>
      </c>
      <c r="P438" t="s">
        <v>4354</v>
      </c>
      <c r="Q438" t="s">
        <v>4355</v>
      </c>
      <c r="R438" t="s">
        <v>1280</v>
      </c>
      <c r="S438" t="s">
        <v>1510</v>
      </c>
      <c r="T438">
        <v>40</v>
      </c>
      <c r="U438">
        <f>IF(Table__192.168.1.150_M_CONSOLIDATED_Delinquency_Compulsory_EOM[[#This Row],[Days in Arrears]] &lt; 8, Table__192.168.1.150_M_CONSOLIDATED_Delinquency_Compulsory_EOM[[#This Row],[Outstanding Balance]], 0 )</f>
        <v>0</v>
      </c>
      <c r="V4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47114080.979999997</v>
      </c>
      <c r="X4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8" s="105" t="str">
        <f>VLOOKUP(Table__192.168.1.150_M_CONSOLIDATED_Delinquency_Compulsory_EOM[[#This Row],[Client No]],'Global Portfolio'!$B$2:$N$2500,10,FALSE)</f>
        <v>Retail</v>
      </c>
      <c r="AA438" s="105" t="str">
        <f>VLOOKUP(Table__192.168.1.150_M_CONSOLIDATED_Delinquency_Compulsory_EOM[[#This Row],[Client No]],'Global Portfolio'!$B$2:$N$2500,11,FALSE)</f>
        <v>General Merchandise Stores</v>
      </c>
      <c r="AB438" s="105" t="str">
        <f>VLOOKUP(Table__192.168.1.150_M_CONSOLIDATED_Delinquency_Compulsory_EOM[[#This Row],[Client No]],'Global Portfolio'!$B$2:$N$2500,12,FALSE)</f>
        <v>General Stores</v>
      </c>
    </row>
    <row r="439" spans="1:28" x14ac:dyDescent="0.25">
      <c r="A439">
        <v>103100</v>
      </c>
      <c r="B439" t="s">
        <v>1024</v>
      </c>
      <c r="C439" t="s">
        <v>2332</v>
      </c>
      <c r="D439" t="s">
        <v>1283</v>
      </c>
      <c r="E439">
        <v>11</v>
      </c>
      <c r="F439">
        <v>40000000</v>
      </c>
      <c r="G439">
        <v>17796140</v>
      </c>
      <c r="H439">
        <v>4018483.42</v>
      </c>
      <c r="I439" t="s">
        <v>86</v>
      </c>
      <c r="J439">
        <v>0</v>
      </c>
      <c r="K439">
        <v>0</v>
      </c>
      <c r="L439">
        <v>149370.98000000001</v>
      </c>
      <c r="M439">
        <v>18932975.379999999</v>
      </c>
      <c r="N439" s="143">
        <v>42786.588575462963</v>
      </c>
      <c r="O439" s="143">
        <v>43151</v>
      </c>
      <c r="P439" t="s">
        <v>2333</v>
      </c>
      <c r="Q439" t="s">
        <v>2334</v>
      </c>
      <c r="R439" t="s">
        <v>1280</v>
      </c>
      <c r="S439" t="s">
        <v>1510</v>
      </c>
      <c r="T439">
        <v>36</v>
      </c>
      <c r="U439">
        <f>IF(Table__192.168.1.150_M_CONSOLIDATED_Delinquency_Compulsory_EOM[[#This Row],[Days in Arrears]] &lt; 8, Table__192.168.1.150_M_CONSOLIDATED_Delinquency_Compulsory_EOM[[#This Row],[Outstanding Balance]], 0 )</f>
        <v>0</v>
      </c>
      <c r="V4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17796140</v>
      </c>
      <c r="W4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39" s="105" t="str">
        <f>VLOOKUP(Table__192.168.1.150_M_CONSOLIDATED_Delinquency_Compulsory_EOM[[#This Row],[Client No]],'Global Portfolio'!$B$2:$N$2500,10,FALSE)</f>
        <v>Transportation and Warehousing</v>
      </c>
      <c r="AA439" s="105" t="str">
        <f>VLOOKUP(Table__192.168.1.150_M_CONSOLIDATED_Delinquency_Compulsory_EOM[[#This Row],[Client No]],'Global Portfolio'!$B$2:$N$2500,11,FALSE)</f>
        <v>Others</v>
      </c>
      <c r="AB439" s="105" t="str">
        <f>VLOOKUP(Table__192.168.1.150_M_CONSOLIDATED_Delinquency_Compulsory_EOM[[#This Row],[Client No]],'Global Portfolio'!$B$2:$N$2500,12,FALSE)</f>
        <v>Others</v>
      </c>
    </row>
    <row r="440" spans="1:28" x14ac:dyDescent="0.25">
      <c r="A440">
        <v>103101</v>
      </c>
      <c r="B440" t="s">
        <v>4122</v>
      </c>
      <c r="C440" t="s">
        <v>4134</v>
      </c>
      <c r="D440" t="s">
        <v>1282</v>
      </c>
      <c r="E440">
        <v>41</v>
      </c>
      <c r="F440">
        <v>3000000</v>
      </c>
      <c r="G440">
        <v>851743.54</v>
      </c>
      <c r="H440">
        <v>454828.96</v>
      </c>
      <c r="I440" t="s">
        <v>4684</v>
      </c>
      <c r="J440">
        <v>0</v>
      </c>
      <c r="K440">
        <v>300000</v>
      </c>
      <c r="L440">
        <v>57914.400000000001</v>
      </c>
      <c r="M440">
        <v>909657.94</v>
      </c>
      <c r="N440" s="143">
        <v>42786.700476157406</v>
      </c>
      <c r="O440" s="143">
        <v>43028</v>
      </c>
      <c r="P440" t="s">
        <v>4135</v>
      </c>
      <c r="Q440" t="s">
        <v>4136</v>
      </c>
      <c r="R440" t="s">
        <v>1280</v>
      </c>
      <c r="S440" t="s">
        <v>1510</v>
      </c>
      <c r="T440">
        <v>54</v>
      </c>
      <c r="U440">
        <f>IF(Table__192.168.1.150_M_CONSOLIDATED_Delinquency_Compulsory_EOM[[#This Row],[Days in Arrears]] &lt; 8, Table__192.168.1.150_M_CONSOLIDATED_Delinquency_Compulsory_EOM[[#This Row],[Outstanding Balance]], 0 )</f>
        <v>0</v>
      </c>
      <c r="V4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851743.54</v>
      </c>
      <c r="X4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0" s="105" t="str">
        <f>VLOOKUP(Table__192.168.1.150_M_CONSOLIDATED_Delinquency_Compulsory_EOM[[#This Row],[Client No]],'Global Portfolio'!$B$2:$N$2500,10,FALSE)</f>
        <v>Retail</v>
      </c>
      <c r="AA440" s="105" t="str">
        <f>VLOOKUP(Table__192.168.1.150_M_CONSOLIDATED_Delinquency_Compulsory_EOM[[#This Row],[Client No]],'Global Portfolio'!$B$2:$N$2500,11,FALSE)</f>
        <v>Second Hand -Clothing and  Accessories</v>
      </c>
      <c r="AB440" s="105" t="str">
        <f>VLOOKUP(Table__192.168.1.150_M_CONSOLIDATED_Delinquency_Compulsory_EOM[[#This Row],[Client No]],'Global Portfolio'!$B$2:$N$2500,12,FALSE)</f>
        <v>Others</v>
      </c>
    </row>
    <row r="441" spans="1:28" x14ac:dyDescent="0.25">
      <c r="A441">
        <v>103102</v>
      </c>
      <c r="B441" t="s">
        <v>4123</v>
      </c>
      <c r="C441" t="s">
        <v>4137</v>
      </c>
      <c r="D441" t="s">
        <v>1282</v>
      </c>
      <c r="E441">
        <v>-19</v>
      </c>
      <c r="F441">
        <v>5000000</v>
      </c>
      <c r="G441">
        <v>1967151.37</v>
      </c>
      <c r="H441">
        <v>548330.93999999994</v>
      </c>
      <c r="I441" t="s">
        <v>2494</v>
      </c>
      <c r="J441">
        <v>0</v>
      </c>
      <c r="K441">
        <v>0</v>
      </c>
      <c r="L441">
        <v>29507.27</v>
      </c>
      <c r="M441">
        <v>2193323.7999999998</v>
      </c>
      <c r="N441" s="143">
        <v>42786.695248414355</v>
      </c>
      <c r="O441" s="143">
        <v>43151</v>
      </c>
      <c r="P441" t="s">
        <v>4138</v>
      </c>
      <c r="Q441" t="s">
        <v>4139</v>
      </c>
      <c r="R441" t="s">
        <v>1280</v>
      </c>
      <c r="S441" t="s">
        <v>1510</v>
      </c>
      <c r="T441">
        <v>54</v>
      </c>
      <c r="U441">
        <f>IF(Table__192.168.1.150_M_CONSOLIDATED_Delinquency_Compulsory_EOM[[#This Row],[Days in Arrears]] &lt; 8, Table__192.168.1.150_M_CONSOLIDATED_Delinquency_Compulsory_EOM[[#This Row],[Outstanding Balance]], 0 )</f>
        <v>1967151.37</v>
      </c>
      <c r="V4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1" s="105" t="str">
        <f>VLOOKUP(Table__192.168.1.150_M_CONSOLIDATED_Delinquency_Compulsory_EOM[[#This Row],[Client No]],'Global Portfolio'!$B$2:$N$2500,10,FALSE)</f>
        <v>Retail</v>
      </c>
      <c r="AA441" s="105" t="str">
        <f>VLOOKUP(Table__192.168.1.150_M_CONSOLIDATED_Delinquency_Compulsory_EOM[[#This Row],[Client No]],'Global Portfolio'!$B$2:$N$2500,11,FALSE)</f>
        <v>General Merchandise Stores</v>
      </c>
      <c r="AB441" s="105" t="str">
        <f>VLOOKUP(Table__192.168.1.150_M_CONSOLIDATED_Delinquency_Compulsory_EOM[[#This Row],[Client No]],'Global Portfolio'!$B$2:$N$2500,12,FALSE)</f>
        <v>General Stores</v>
      </c>
    </row>
    <row r="442" spans="1:28" x14ac:dyDescent="0.25">
      <c r="A442">
        <v>103103</v>
      </c>
      <c r="B442" t="s">
        <v>4126</v>
      </c>
      <c r="C442" t="s">
        <v>4140</v>
      </c>
      <c r="D442" t="s">
        <v>1279</v>
      </c>
      <c r="E442">
        <v>-19</v>
      </c>
      <c r="F442">
        <v>5000000</v>
      </c>
      <c r="G442">
        <v>1967151.37</v>
      </c>
      <c r="H442">
        <v>548330.93999999994</v>
      </c>
      <c r="I442" t="s">
        <v>4684</v>
      </c>
      <c r="J442">
        <v>0</v>
      </c>
      <c r="K442">
        <v>500000</v>
      </c>
      <c r="L442">
        <v>29507.27</v>
      </c>
      <c r="M442">
        <v>2193323.7999999998</v>
      </c>
      <c r="N442" s="143">
        <v>42786.698819942132</v>
      </c>
      <c r="O442" s="143">
        <v>43151</v>
      </c>
      <c r="P442" t="s">
        <v>4141</v>
      </c>
      <c r="Q442" t="s">
        <v>4142</v>
      </c>
      <c r="R442" t="s">
        <v>1280</v>
      </c>
      <c r="S442" t="s">
        <v>1510</v>
      </c>
      <c r="T442">
        <v>54</v>
      </c>
      <c r="U442">
        <f>IF(Table__192.168.1.150_M_CONSOLIDATED_Delinquency_Compulsory_EOM[[#This Row],[Days in Arrears]] &lt; 8, Table__192.168.1.150_M_CONSOLIDATED_Delinquency_Compulsory_EOM[[#This Row],[Outstanding Balance]], 0 )</f>
        <v>1967151.37</v>
      </c>
      <c r="V4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2" s="105" t="str">
        <f>VLOOKUP(Table__192.168.1.150_M_CONSOLIDATED_Delinquency_Compulsory_EOM[[#This Row],[Client No]],'Global Portfolio'!$B$2:$N$2500,10,FALSE)</f>
        <v>Real Estate and Rental</v>
      </c>
      <c r="AA442" s="105" t="str">
        <f>VLOOKUP(Table__192.168.1.150_M_CONSOLIDATED_Delinquency_Compulsory_EOM[[#This Row],[Client No]],'Global Portfolio'!$B$2:$N$2500,11,FALSE)</f>
        <v>Rental</v>
      </c>
      <c r="AB442" s="105" t="str">
        <f>VLOOKUP(Table__192.168.1.150_M_CONSOLIDATED_Delinquency_Compulsory_EOM[[#This Row],[Client No]],'Global Portfolio'!$B$2:$N$2500,12,FALSE)</f>
        <v>General Rental Centers</v>
      </c>
    </row>
    <row r="443" spans="1:28" x14ac:dyDescent="0.25">
      <c r="A443">
        <v>103104</v>
      </c>
      <c r="B443" t="s">
        <v>4161</v>
      </c>
      <c r="C443" t="s">
        <v>4162</v>
      </c>
      <c r="D443" t="s">
        <v>1279</v>
      </c>
      <c r="E443">
        <v>-20</v>
      </c>
      <c r="F443">
        <v>2500000</v>
      </c>
      <c r="G443">
        <v>983575.67</v>
      </c>
      <c r="H443">
        <v>274165.46999999997</v>
      </c>
      <c r="I443" t="s">
        <v>1191</v>
      </c>
      <c r="J443">
        <v>14834.53</v>
      </c>
      <c r="K443">
        <v>250000</v>
      </c>
      <c r="L443">
        <v>13278.27</v>
      </c>
      <c r="M443">
        <v>1096661.8899999999</v>
      </c>
      <c r="N443" s="143">
        <v>42787.723566932873</v>
      </c>
      <c r="O443" s="143">
        <v>43152</v>
      </c>
      <c r="P443" t="s">
        <v>4163</v>
      </c>
      <c r="Q443" t="s">
        <v>1280</v>
      </c>
      <c r="R443" t="s">
        <v>1280</v>
      </c>
      <c r="S443" t="s">
        <v>1510</v>
      </c>
      <c r="T443">
        <v>54</v>
      </c>
      <c r="U443">
        <f>IF(Table__192.168.1.150_M_CONSOLIDATED_Delinquency_Compulsory_EOM[[#This Row],[Days in Arrears]] &lt; 8, Table__192.168.1.150_M_CONSOLIDATED_Delinquency_Compulsory_EOM[[#This Row],[Outstanding Balance]], 0 )</f>
        <v>983575.67</v>
      </c>
      <c r="V4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3" s="105" t="str">
        <f>VLOOKUP(Table__192.168.1.150_M_CONSOLIDATED_Delinquency_Compulsory_EOM[[#This Row],[Client No]],'Global Portfolio'!$B$2:$N$2500,10,FALSE)</f>
        <v>Real Estate and Rental</v>
      </c>
      <c r="AA443" s="105" t="str">
        <f>VLOOKUP(Table__192.168.1.150_M_CONSOLIDATED_Delinquency_Compulsory_EOM[[#This Row],[Client No]],'Global Portfolio'!$B$2:$N$2500,11,FALSE)</f>
        <v>Real Estate</v>
      </c>
      <c r="AB443" s="105" t="str">
        <f>VLOOKUP(Table__192.168.1.150_M_CONSOLIDATED_Delinquency_Compulsory_EOM[[#This Row],[Client No]],'Global Portfolio'!$B$2:$N$2500,12,FALSE)</f>
        <v>Others</v>
      </c>
    </row>
    <row r="444" spans="1:28" x14ac:dyDescent="0.25">
      <c r="A444">
        <v>103105</v>
      </c>
      <c r="B444" t="s">
        <v>1135</v>
      </c>
      <c r="C444" t="s">
        <v>1136</v>
      </c>
      <c r="D444" t="s">
        <v>1282</v>
      </c>
      <c r="E444">
        <v>0</v>
      </c>
      <c r="F444">
        <v>12000000</v>
      </c>
      <c r="G444">
        <v>8698654.6600000001</v>
      </c>
      <c r="H444">
        <v>923614.3</v>
      </c>
      <c r="I444" t="s">
        <v>468</v>
      </c>
      <c r="J444">
        <v>15385.7</v>
      </c>
      <c r="K444">
        <v>1200000</v>
      </c>
      <c r="L444">
        <v>706435.25</v>
      </c>
      <c r="M444">
        <v>11094749.5</v>
      </c>
      <c r="N444" s="143">
        <v>42787.705114351855</v>
      </c>
      <c r="O444" s="143">
        <v>43344</v>
      </c>
      <c r="P444" t="s">
        <v>1137</v>
      </c>
      <c r="Q444" t="s">
        <v>1138</v>
      </c>
      <c r="R444" t="s">
        <v>1280</v>
      </c>
      <c r="S444" t="s">
        <v>1510</v>
      </c>
      <c r="T444">
        <v>48</v>
      </c>
      <c r="U444">
        <f>IF(Table__192.168.1.150_M_CONSOLIDATED_Delinquency_Compulsory_EOM[[#This Row],[Days in Arrears]] &lt; 8, Table__192.168.1.150_M_CONSOLIDATED_Delinquency_Compulsory_EOM[[#This Row],[Outstanding Balance]], 0 )</f>
        <v>8698654.6600000001</v>
      </c>
      <c r="V4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4" s="105" t="str">
        <f>VLOOKUP(Table__192.168.1.150_M_CONSOLIDATED_Delinquency_Compulsory_EOM[[#This Row],[Client No]],'Global Portfolio'!$B$2:$N$2500,10,FALSE)</f>
        <v>Real Estate and Rental</v>
      </c>
      <c r="AA444" s="105" t="str">
        <f>VLOOKUP(Table__192.168.1.150_M_CONSOLIDATED_Delinquency_Compulsory_EOM[[#This Row],[Client No]],'Global Portfolio'!$B$2:$N$2500,11,FALSE)</f>
        <v>Rental</v>
      </c>
      <c r="AB444" s="105" t="str">
        <f>VLOOKUP(Table__192.168.1.150_M_CONSOLIDATED_Delinquency_Compulsory_EOM[[#This Row],[Client No]],'Global Portfolio'!$B$2:$N$2500,12,FALSE)</f>
        <v>General Rental Centers</v>
      </c>
    </row>
    <row r="445" spans="1:28" x14ac:dyDescent="0.25">
      <c r="A445">
        <v>103106</v>
      </c>
      <c r="B445" t="s">
        <v>2189</v>
      </c>
      <c r="C445" t="s">
        <v>2196</v>
      </c>
      <c r="D445" t="s">
        <v>1283</v>
      </c>
      <c r="E445">
        <v>-20</v>
      </c>
      <c r="F445">
        <v>40000000</v>
      </c>
      <c r="G445">
        <v>24808796.93</v>
      </c>
      <c r="H445">
        <v>2908347.84</v>
      </c>
      <c r="I445" t="s">
        <v>468</v>
      </c>
      <c r="J445">
        <v>0</v>
      </c>
      <c r="K445">
        <v>2000000</v>
      </c>
      <c r="L445">
        <v>223279.17</v>
      </c>
      <c r="M445">
        <v>29083478.32</v>
      </c>
      <c r="N445" s="143">
        <v>42787.732135335646</v>
      </c>
      <c r="O445" s="143">
        <v>43333</v>
      </c>
      <c r="P445" t="s">
        <v>2197</v>
      </c>
      <c r="Q445" t="s">
        <v>1280</v>
      </c>
      <c r="R445" t="s">
        <v>1280</v>
      </c>
      <c r="S445" t="s">
        <v>1510</v>
      </c>
      <c r="T445">
        <v>36</v>
      </c>
      <c r="U445">
        <f>IF(Table__192.168.1.150_M_CONSOLIDATED_Delinquency_Compulsory_EOM[[#This Row],[Days in Arrears]] &lt; 8, Table__192.168.1.150_M_CONSOLIDATED_Delinquency_Compulsory_EOM[[#This Row],[Outstanding Balance]], 0 )</f>
        <v>24808796.93</v>
      </c>
      <c r="V4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5" s="105" t="str">
        <f>VLOOKUP(Table__192.168.1.150_M_CONSOLIDATED_Delinquency_Compulsory_EOM[[#This Row],[Client No]],'Global Portfolio'!$B$2:$N$2500,10,FALSE)</f>
        <v>Construction</v>
      </c>
      <c r="AA445" s="105" t="str">
        <f>VLOOKUP(Table__192.168.1.150_M_CONSOLIDATED_Delinquency_Compulsory_EOM[[#This Row],[Client No]],'Global Portfolio'!$B$2:$N$2500,11,FALSE)</f>
        <v>Others</v>
      </c>
      <c r="AB445" s="105" t="str">
        <f>VLOOKUP(Table__192.168.1.150_M_CONSOLIDATED_Delinquency_Compulsory_EOM[[#This Row],[Client No]],'Global Portfolio'!$B$2:$N$2500,12,FALSE)</f>
        <v>Others</v>
      </c>
    </row>
    <row r="446" spans="1:28" x14ac:dyDescent="0.25">
      <c r="A446">
        <v>103108</v>
      </c>
      <c r="B446" t="s">
        <v>4183</v>
      </c>
      <c r="C446" t="s">
        <v>4185</v>
      </c>
      <c r="D446" t="s">
        <v>1283</v>
      </c>
      <c r="E446">
        <v>7</v>
      </c>
      <c r="F446">
        <v>35000000</v>
      </c>
      <c r="G446">
        <v>11605983.99</v>
      </c>
      <c r="H446">
        <v>4103067.73</v>
      </c>
      <c r="I446" t="s">
        <v>1447</v>
      </c>
      <c r="J446">
        <v>0</v>
      </c>
      <c r="K446">
        <v>1750000</v>
      </c>
      <c r="L446">
        <v>395286.09</v>
      </c>
      <c r="M446">
        <v>12309203.210000001</v>
      </c>
      <c r="N446" s="143">
        <v>42790.731250810182</v>
      </c>
      <c r="O446" s="143">
        <v>43093</v>
      </c>
      <c r="P446" t="s">
        <v>4186</v>
      </c>
      <c r="Q446" t="s">
        <v>1280</v>
      </c>
      <c r="R446" t="s">
        <v>1280</v>
      </c>
      <c r="S446" t="s">
        <v>1510</v>
      </c>
      <c r="T446">
        <v>36</v>
      </c>
      <c r="U446">
        <f>IF(Table__192.168.1.150_M_CONSOLIDATED_Delinquency_Compulsory_EOM[[#This Row],[Days in Arrears]] &lt; 8, Table__192.168.1.150_M_CONSOLIDATED_Delinquency_Compulsory_EOM[[#This Row],[Outstanding Balance]], 0 )</f>
        <v>11605983.99</v>
      </c>
      <c r="V4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6" s="105" t="str">
        <f>VLOOKUP(Table__192.168.1.150_M_CONSOLIDATED_Delinquency_Compulsory_EOM[[#This Row],[Client No]],'Global Portfolio'!$B$2:$N$2500,10,FALSE)</f>
        <v>Wholesale Trade</v>
      </c>
      <c r="AA446" s="105" t="str">
        <f>VLOOKUP(Table__192.168.1.150_M_CONSOLIDATED_Delinquency_Compulsory_EOM[[#This Row],[Client No]],'Global Portfolio'!$B$2:$N$2500,11,FALSE)</f>
        <v>Nondurable Goods</v>
      </c>
      <c r="AB446" s="105" t="str">
        <f>VLOOKUP(Table__192.168.1.150_M_CONSOLIDATED_Delinquency_Compulsory_EOM[[#This Row],[Client No]],'Global Portfolio'!$B$2:$N$2500,12,FALSE)</f>
        <v>Others</v>
      </c>
    </row>
    <row r="447" spans="1:28" x14ac:dyDescent="0.25">
      <c r="A447">
        <v>103109</v>
      </c>
      <c r="B447" t="s">
        <v>173</v>
      </c>
      <c r="C447" t="s">
        <v>1989</v>
      </c>
      <c r="D447" t="s">
        <v>1282</v>
      </c>
      <c r="E447">
        <v>0</v>
      </c>
      <c r="F447">
        <v>7000000</v>
      </c>
      <c r="G447">
        <v>3337487.38</v>
      </c>
      <c r="H447">
        <v>749690.16</v>
      </c>
      <c r="I447" t="s">
        <v>5167</v>
      </c>
      <c r="J447">
        <v>0</v>
      </c>
      <c r="K447">
        <v>0</v>
      </c>
      <c r="L447">
        <v>129049.51</v>
      </c>
      <c r="M447">
        <v>3748450.79</v>
      </c>
      <c r="N447" s="143">
        <v>42793.752921446758</v>
      </c>
      <c r="O447" s="143">
        <v>43160</v>
      </c>
      <c r="P447" t="s">
        <v>1990</v>
      </c>
      <c r="Q447" t="s">
        <v>1991</v>
      </c>
      <c r="R447" t="s">
        <v>1280</v>
      </c>
      <c r="S447" t="s">
        <v>1510</v>
      </c>
      <c r="T447">
        <v>48</v>
      </c>
      <c r="U447">
        <f>IF(Table__192.168.1.150_M_CONSOLIDATED_Delinquency_Compulsory_EOM[[#This Row],[Days in Arrears]] &lt; 8, Table__192.168.1.150_M_CONSOLIDATED_Delinquency_Compulsory_EOM[[#This Row],[Outstanding Balance]], 0 )</f>
        <v>3337487.38</v>
      </c>
      <c r="V4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7" s="105" t="str">
        <f>VLOOKUP(Table__192.168.1.150_M_CONSOLIDATED_Delinquency_Compulsory_EOM[[#This Row],[Client No]],'Global Portfolio'!$B$2:$N$2500,10,FALSE)</f>
        <v>Real Estate and Rental</v>
      </c>
      <c r="AA447" s="105" t="str">
        <f>VLOOKUP(Table__192.168.1.150_M_CONSOLIDATED_Delinquency_Compulsory_EOM[[#This Row],[Client No]],'Global Portfolio'!$B$2:$N$2500,11,FALSE)</f>
        <v>Rental</v>
      </c>
      <c r="AB447" s="105" t="str">
        <f>VLOOKUP(Table__192.168.1.150_M_CONSOLIDATED_Delinquency_Compulsory_EOM[[#This Row],[Client No]],'Global Portfolio'!$B$2:$N$2500,12,FALSE)</f>
        <v>Machinery &amp; Equipment</v>
      </c>
    </row>
    <row r="448" spans="1:28" x14ac:dyDescent="0.25">
      <c r="A448">
        <v>103110</v>
      </c>
      <c r="B448" t="s">
        <v>366</v>
      </c>
      <c r="C448" t="s">
        <v>387</v>
      </c>
      <c r="D448" t="s">
        <v>1281</v>
      </c>
      <c r="E448">
        <v>-4</v>
      </c>
      <c r="F448">
        <v>26000000</v>
      </c>
      <c r="G448">
        <v>20645298.440000001</v>
      </c>
      <c r="H448">
        <v>1631869.04</v>
      </c>
      <c r="I448" t="s">
        <v>2538</v>
      </c>
      <c r="J448">
        <v>0</v>
      </c>
      <c r="K448">
        <v>500000</v>
      </c>
      <c r="L448">
        <v>602154.54</v>
      </c>
      <c r="M448">
        <v>27741773.809999999</v>
      </c>
      <c r="N448" s="143">
        <v>42794.581930787041</v>
      </c>
      <c r="O448" s="143">
        <v>43529</v>
      </c>
      <c r="P448" t="s">
        <v>388</v>
      </c>
      <c r="Q448" t="s">
        <v>389</v>
      </c>
      <c r="R448" t="s">
        <v>1280</v>
      </c>
      <c r="S448" t="s">
        <v>1510</v>
      </c>
      <c r="T448">
        <v>42</v>
      </c>
      <c r="U448">
        <f>IF(Table__192.168.1.150_M_CONSOLIDATED_Delinquency_Compulsory_EOM[[#This Row],[Days in Arrears]] &lt; 8, Table__192.168.1.150_M_CONSOLIDATED_Delinquency_Compulsory_EOM[[#This Row],[Outstanding Balance]], 0 )</f>
        <v>20645298.440000001</v>
      </c>
      <c r="V4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8" s="105" t="str">
        <f>VLOOKUP(Table__192.168.1.150_M_CONSOLIDATED_Delinquency_Compulsory_EOM[[#This Row],[Client No]],'Global Portfolio'!$B$2:$N$2500,10,FALSE)</f>
        <v>Retail</v>
      </c>
      <c r="AA448" s="105" t="str">
        <f>VLOOKUP(Table__192.168.1.150_M_CONSOLIDATED_Delinquency_Compulsory_EOM[[#This Row],[Client No]],'Global Portfolio'!$B$2:$N$2500,11,FALSE)</f>
        <v>General Merchandise Stores</v>
      </c>
      <c r="AB448" s="105" t="str">
        <f>VLOOKUP(Table__192.168.1.150_M_CONSOLIDATED_Delinquency_Compulsory_EOM[[#This Row],[Client No]],'Global Portfolio'!$B$2:$N$2500,12,FALSE)</f>
        <v>General Stores</v>
      </c>
    </row>
    <row r="449" spans="1:28" x14ac:dyDescent="0.25">
      <c r="A449">
        <v>103112</v>
      </c>
      <c r="B449" t="s">
        <v>4209</v>
      </c>
      <c r="C449" t="s">
        <v>4210</v>
      </c>
      <c r="D449" t="s">
        <v>1284</v>
      </c>
      <c r="E449">
        <v>0</v>
      </c>
      <c r="F449">
        <v>20000000</v>
      </c>
      <c r="G449">
        <v>9228539.8699999992</v>
      </c>
      <c r="H449">
        <v>2015093.87</v>
      </c>
      <c r="I449" t="s">
        <v>4684</v>
      </c>
      <c r="J449">
        <v>2039000</v>
      </c>
      <c r="K449">
        <v>1000000</v>
      </c>
      <c r="L449">
        <v>267627.65999999997</v>
      </c>
      <c r="M449">
        <v>10075469.34</v>
      </c>
      <c r="N449" s="143">
        <v>42794.806688159719</v>
      </c>
      <c r="O449" s="143">
        <v>43160</v>
      </c>
      <c r="P449" t="s">
        <v>4211</v>
      </c>
      <c r="Q449" t="s">
        <v>4212</v>
      </c>
      <c r="R449" t="s">
        <v>1280</v>
      </c>
      <c r="S449" t="s">
        <v>1510</v>
      </c>
      <c r="T449">
        <v>36</v>
      </c>
      <c r="U449">
        <f>IF(Table__192.168.1.150_M_CONSOLIDATED_Delinquency_Compulsory_EOM[[#This Row],[Days in Arrears]] &lt; 8, Table__192.168.1.150_M_CONSOLIDATED_Delinquency_Compulsory_EOM[[#This Row],[Outstanding Balance]], 0 )</f>
        <v>9228539.8699999992</v>
      </c>
      <c r="V4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49" s="105" t="str">
        <f>VLOOKUP(Table__192.168.1.150_M_CONSOLIDATED_Delinquency_Compulsory_EOM[[#This Row],[Client No]],'Global Portfolio'!$B$2:$N$2500,10,FALSE)</f>
        <v>Retail</v>
      </c>
      <c r="AA449" s="105" t="str">
        <f>VLOOKUP(Table__192.168.1.150_M_CONSOLIDATED_Delinquency_Compulsory_EOM[[#This Row],[Client No]],'Global Portfolio'!$B$2:$N$2500,11,FALSE)</f>
        <v>Second Hand -Clothing and  Accessories</v>
      </c>
      <c r="AB449" s="105" t="str">
        <f>VLOOKUP(Table__192.168.1.150_M_CONSOLIDATED_Delinquency_Compulsory_EOM[[#This Row],[Client No]],'Global Portfolio'!$B$2:$N$2500,12,FALSE)</f>
        <v>Clothing Stores</v>
      </c>
    </row>
    <row r="450" spans="1:28" x14ac:dyDescent="0.25">
      <c r="A450">
        <v>103113</v>
      </c>
      <c r="B450" t="s">
        <v>2337</v>
      </c>
      <c r="C450" t="s">
        <v>2339</v>
      </c>
      <c r="D450" t="s">
        <v>1282</v>
      </c>
      <c r="E450">
        <v>0</v>
      </c>
      <c r="F450">
        <v>5000000</v>
      </c>
      <c r="G450">
        <v>2380878.88</v>
      </c>
      <c r="H450">
        <v>534809.93999999994</v>
      </c>
      <c r="I450" t="s">
        <v>1447</v>
      </c>
      <c r="J450">
        <v>369683.03</v>
      </c>
      <c r="K450">
        <v>0</v>
      </c>
      <c r="L450">
        <v>92060.65</v>
      </c>
      <c r="M450">
        <v>2674049.7599999998</v>
      </c>
      <c r="N450" s="143">
        <v>42794.808092974534</v>
      </c>
      <c r="O450" s="143">
        <v>43160</v>
      </c>
      <c r="P450" t="s">
        <v>2340</v>
      </c>
      <c r="Q450" t="s">
        <v>1280</v>
      </c>
      <c r="R450" t="s">
        <v>1280</v>
      </c>
      <c r="S450" t="s">
        <v>1510</v>
      </c>
      <c r="T450">
        <v>48</v>
      </c>
      <c r="U450">
        <f>IF(Table__192.168.1.150_M_CONSOLIDATED_Delinquency_Compulsory_EOM[[#This Row],[Days in Arrears]] &lt; 8, Table__192.168.1.150_M_CONSOLIDATED_Delinquency_Compulsory_EOM[[#This Row],[Outstanding Balance]], 0 )</f>
        <v>2380878.88</v>
      </c>
      <c r="V4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0" s="105" t="str">
        <f>VLOOKUP(Table__192.168.1.150_M_CONSOLIDATED_Delinquency_Compulsory_EOM[[#This Row],[Client No]],'Global Portfolio'!$B$2:$N$2500,10,FALSE)</f>
        <v>Real Estate and Rental</v>
      </c>
      <c r="AA450" s="105" t="str">
        <f>VLOOKUP(Table__192.168.1.150_M_CONSOLIDATED_Delinquency_Compulsory_EOM[[#This Row],[Client No]],'Global Portfolio'!$B$2:$N$2500,11,FALSE)</f>
        <v>Rental</v>
      </c>
      <c r="AB450" s="105" t="str">
        <f>VLOOKUP(Table__192.168.1.150_M_CONSOLIDATED_Delinquency_Compulsory_EOM[[#This Row],[Client No]],'Global Portfolio'!$B$2:$N$2500,12,FALSE)</f>
        <v>Others</v>
      </c>
    </row>
    <row r="451" spans="1:28" x14ac:dyDescent="0.25">
      <c r="A451">
        <v>103114</v>
      </c>
      <c r="B451" t="s">
        <v>432</v>
      </c>
      <c r="C451" t="s">
        <v>433</v>
      </c>
      <c r="D451" t="s">
        <v>1283</v>
      </c>
      <c r="E451">
        <v>0</v>
      </c>
      <c r="F451">
        <v>55000000</v>
      </c>
      <c r="G451">
        <v>46276133.030000001</v>
      </c>
      <c r="H451">
        <v>2814232.25</v>
      </c>
      <c r="I451" t="s">
        <v>468</v>
      </c>
      <c r="J451">
        <v>0</v>
      </c>
      <c r="K451">
        <v>2750000</v>
      </c>
      <c r="L451">
        <v>1342007.8600000001</v>
      </c>
      <c r="M451">
        <v>64727341.770000003</v>
      </c>
      <c r="N451" s="143">
        <v>42794.908129085648</v>
      </c>
      <c r="O451" s="143">
        <v>43709</v>
      </c>
      <c r="P451" t="s">
        <v>434</v>
      </c>
      <c r="Q451" t="s">
        <v>435</v>
      </c>
      <c r="R451" t="s">
        <v>1280</v>
      </c>
      <c r="S451" t="s">
        <v>1510</v>
      </c>
      <c r="T451">
        <v>36</v>
      </c>
      <c r="U451">
        <f>IF(Table__192.168.1.150_M_CONSOLIDATED_Delinquency_Compulsory_EOM[[#This Row],[Days in Arrears]] &lt; 8, Table__192.168.1.150_M_CONSOLIDATED_Delinquency_Compulsory_EOM[[#This Row],[Outstanding Balance]], 0 )</f>
        <v>46276133.030000001</v>
      </c>
      <c r="V4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1" s="105" t="str">
        <f>VLOOKUP(Table__192.168.1.150_M_CONSOLIDATED_Delinquency_Compulsory_EOM[[#This Row],[Client No]],'Global Portfolio'!$B$2:$N$2500,10,FALSE)</f>
        <v>Wholesale Trade</v>
      </c>
      <c r="AA451" s="105" t="str">
        <f>VLOOKUP(Table__192.168.1.150_M_CONSOLIDATED_Delinquency_Compulsory_EOM[[#This Row],[Client No]],'Global Portfolio'!$B$2:$N$2500,11,FALSE)</f>
        <v>Others</v>
      </c>
      <c r="AB451" s="105" t="str">
        <f>VLOOKUP(Table__192.168.1.150_M_CONSOLIDATED_Delinquency_Compulsory_EOM[[#This Row],[Client No]],'Global Portfolio'!$B$2:$N$2500,12,FALSE)</f>
        <v>Others</v>
      </c>
    </row>
    <row r="452" spans="1:28" x14ac:dyDescent="0.25">
      <c r="A452">
        <v>103117</v>
      </c>
      <c r="B452" t="s">
        <v>4206</v>
      </c>
      <c r="C452" t="s">
        <v>4213</v>
      </c>
      <c r="D452" t="s">
        <v>1282</v>
      </c>
      <c r="E452">
        <v>89</v>
      </c>
      <c r="F452">
        <v>3500000</v>
      </c>
      <c r="G452">
        <v>1903662.33</v>
      </c>
      <c r="H452">
        <v>530633.79</v>
      </c>
      <c r="I452" t="s">
        <v>1448</v>
      </c>
      <c r="J452">
        <v>0</v>
      </c>
      <c r="K452">
        <v>0</v>
      </c>
      <c r="L452">
        <v>149117.96</v>
      </c>
      <c r="M452">
        <v>2122535.12</v>
      </c>
      <c r="N452" s="143">
        <v>42796.546903969909</v>
      </c>
      <c r="O452" s="143">
        <v>43041</v>
      </c>
      <c r="P452" t="s">
        <v>5833</v>
      </c>
      <c r="Q452" t="s">
        <v>1280</v>
      </c>
      <c r="R452" t="s">
        <v>1280</v>
      </c>
      <c r="S452" t="s">
        <v>1510</v>
      </c>
      <c r="T452">
        <v>54</v>
      </c>
      <c r="U452">
        <f>IF(Table__192.168.1.150_M_CONSOLIDATED_Delinquency_Compulsory_EOM[[#This Row],[Days in Arrears]] &lt; 8, Table__192.168.1.150_M_CONSOLIDATED_Delinquency_Compulsory_EOM[[#This Row],[Outstanding Balance]], 0 )</f>
        <v>0</v>
      </c>
      <c r="V4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1903662.33</v>
      </c>
      <c r="Y4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2" s="105" t="str">
        <f>VLOOKUP(Table__192.168.1.150_M_CONSOLIDATED_Delinquency_Compulsory_EOM[[#This Row],[Client No]],'Global Portfolio'!$B$2:$N$2500,10,FALSE)</f>
        <v>Real Estate and Rental</v>
      </c>
      <c r="AA452" s="105" t="str">
        <f>VLOOKUP(Table__192.168.1.150_M_CONSOLIDATED_Delinquency_Compulsory_EOM[[#This Row],[Client No]],'Global Portfolio'!$B$2:$N$2500,11,FALSE)</f>
        <v>Rental</v>
      </c>
      <c r="AB452" s="105" t="str">
        <f>VLOOKUP(Table__192.168.1.150_M_CONSOLIDATED_Delinquency_Compulsory_EOM[[#This Row],[Client No]],'Global Portfolio'!$B$2:$N$2500,12,FALSE)</f>
        <v>Others</v>
      </c>
    </row>
    <row r="453" spans="1:28" x14ac:dyDescent="0.25">
      <c r="A453">
        <v>103119</v>
      </c>
      <c r="B453" t="s">
        <v>2269</v>
      </c>
      <c r="C453" t="s">
        <v>2271</v>
      </c>
      <c r="D453" t="s">
        <v>1279</v>
      </c>
      <c r="E453">
        <v>-6</v>
      </c>
      <c r="F453">
        <v>3500000</v>
      </c>
      <c r="G453">
        <v>1660229.73</v>
      </c>
      <c r="H453">
        <v>372932.6</v>
      </c>
      <c r="I453" t="s">
        <v>1447</v>
      </c>
      <c r="J453">
        <v>0</v>
      </c>
      <c r="K453">
        <v>350000</v>
      </c>
      <c r="L453">
        <v>50913.71</v>
      </c>
      <c r="M453">
        <v>1864663.06</v>
      </c>
      <c r="N453" s="143">
        <v>42801.556260300924</v>
      </c>
      <c r="O453" s="143">
        <v>43166</v>
      </c>
      <c r="P453" t="s">
        <v>2272</v>
      </c>
      <c r="Q453" t="s">
        <v>1280</v>
      </c>
      <c r="R453" t="s">
        <v>1280</v>
      </c>
      <c r="S453" t="s">
        <v>1510</v>
      </c>
      <c r="T453">
        <v>48</v>
      </c>
      <c r="U453">
        <f>IF(Table__192.168.1.150_M_CONSOLIDATED_Delinquency_Compulsory_EOM[[#This Row],[Days in Arrears]] &lt; 8, Table__192.168.1.150_M_CONSOLIDATED_Delinquency_Compulsory_EOM[[#This Row],[Outstanding Balance]], 0 )</f>
        <v>1660229.73</v>
      </c>
      <c r="V4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3" s="105" t="str">
        <f>VLOOKUP(Table__192.168.1.150_M_CONSOLIDATED_Delinquency_Compulsory_EOM[[#This Row],[Client No]],'Global Portfolio'!$B$2:$N$2500,10,FALSE)</f>
        <v>Retail</v>
      </c>
      <c r="AA453" s="105" t="str">
        <f>VLOOKUP(Table__192.168.1.150_M_CONSOLIDATED_Delinquency_Compulsory_EOM[[#This Row],[Client No]],'Global Portfolio'!$B$2:$N$2500,11,FALSE)</f>
        <v>Second Hand -Clothing and  Accessories</v>
      </c>
      <c r="AB453" s="105" t="str">
        <f>VLOOKUP(Table__192.168.1.150_M_CONSOLIDATED_Delinquency_Compulsory_EOM[[#This Row],[Client No]],'Global Portfolio'!$B$2:$N$2500,12,FALSE)</f>
        <v>Others</v>
      </c>
    </row>
    <row r="454" spans="1:28" x14ac:dyDescent="0.25">
      <c r="A454">
        <v>103122</v>
      </c>
      <c r="B454" t="s">
        <v>4240</v>
      </c>
      <c r="C454" t="s">
        <v>4241</v>
      </c>
      <c r="D454" t="s">
        <v>1282</v>
      </c>
      <c r="E454">
        <v>51</v>
      </c>
      <c r="F454">
        <v>4000000</v>
      </c>
      <c r="G454">
        <v>2302403.92</v>
      </c>
      <c r="H454">
        <v>438035.09</v>
      </c>
      <c r="I454" t="s">
        <v>963</v>
      </c>
      <c r="J454">
        <v>0</v>
      </c>
      <c r="K454">
        <v>0</v>
      </c>
      <c r="L454">
        <v>101669.81</v>
      </c>
      <c r="M454">
        <v>2671285.33</v>
      </c>
      <c r="N454" s="143">
        <v>42805.452683599535</v>
      </c>
      <c r="O454" s="143">
        <v>43169</v>
      </c>
      <c r="P454" t="s">
        <v>4242</v>
      </c>
      <c r="Q454" t="s">
        <v>1280</v>
      </c>
      <c r="R454" t="s">
        <v>1280</v>
      </c>
      <c r="S454" t="s">
        <v>1510</v>
      </c>
      <c r="T454">
        <v>54</v>
      </c>
      <c r="U454">
        <f>IF(Table__192.168.1.150_M_CONSOLIDATED_Delinquency_Compulsory_EOM[[#This Row],[Days in Arrears]] &lt; 8, Table__192.168.1.150_M_CONSOLIDATED_Delinquency_Compulsory_EOM[[#This Row],[Outstanding Balance]], 0 )</f>
        <v>0</v>
      </c>
      <c r="V4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2302403.92</v>
      </c>
      <c r="X4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4" s="105" t="str">
        <f>VLOOKUP(Table__192.168.1.150_M_CONSOLIDATED_Delinquency_Compulsory_EOM[[#This Row],[Client No]],'Global Portfolio'!$B$2:$N$2500,10,FALSE)</f>
        <v>Educational Services</v>
      </c>
      <c r="AA454" s="105" t="str">
        <f>VLOOKUP(Table__192.168.1.150_M_CONSOLIDATED_Delinquency_Compulsory_EOM[[#This Row],[Client No]],'Global Portfolio'!$B$2:$N$2500,11,FALSE)</f>
        <v>Educational Services</v>
      </c>
      <c r="AB454" s="105" t="str">
        <f>VLOOKUP(Table__192.168.1.150_M_CONSOLIDATED_Delinquency_Compulsory_EOM[[#This Row],[Client No]],'Global Portfolio'!$B$2:$N$2500,12,FALSE)</f>
        <v>Others</v>
      </c>
    </row>
    <row r="455" spans="1:28" x14ac:dyDescent="0.25">
      <c r="A455">
        <v>103123</v>
      </c>
      <c r="B455" t="s">
        <v>1488</v>
      </c>
      <c r="C455" t="s">
        <v>1489</v>
      </c>
      <c r="D455" t="s">
        <v>1284</v>
      </c>
      <c r="E455">
        <v>-10</v>
      </c>
      <c r="F455">
        <v>40227873</v>
      </c>
      <c r="G455">
        <v>18508318.760000002</v>
      </c>
      <c r="H455">
        <v>4041376.02</v>
      </c>
      <c r="I455" t="s">
        <v>546</v>
      </c>
      <c r="J455">
        <v>46589.58</v>
      </c>
      <c r="K455">
        <v>2500000</v>
      </c>
      <c r="L455">
        <v>351658.06</v>
      </c>
      <c r="M455">
        <v>20206880.039999999</v>
      </c>
      <c r="N455" s="143">
        <v>42805.507712268518</v>
      </c>
      <c r="O455" s="143">
        <v>43170</v>
      </c>
      <c r="P455" t="s">
        <v>1490</v>
      </c>
      <c r="Q455" t="s">
        <v>1280</v>
      </c>
      <c r="R455" t="s">
        <v>1280</v>
      </c>
      <c r="S455" t="s">
        <v>1510</v>
      </c>
      <c r="T455">
        <v>36</v>
      </c>
      <c r="U455">
        <f>IF(Table__192.168.1.150_M_CONSOLIDATED_Delinquency_Compulsory_EOM[[#This Row],[Days in Arrears]] &lt; 8, Table__192.168.1.150_M_CONSOLIDATED_Delinquency_Compulsory_EOM[[#This Row],[Outstanding Balance]], 0 )</f>
        <v>18508318.760000002</v>
      </c>
      <c r="V4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5" s="105" t="str">
        <f>VLOOKUP(Table__192.168.1.150_M_CONSOLIDATED_Delinquency_Compulsory_EOM[[#This Row],[Client No]],'Global Portfolio'!$B$2:$N$2500,10,FALSE)</f>
        <v>Real Estate and Rental</v>
      </c>
      <c r="AA455" s="105" t="str">
        <f>VLOOKUP(Table__192.168.1.150_M_CONSOLIDATED_Delinquency_Compulsory_EOM[[#This Row],[Client No]],'Global Portfolio'!$B$2:$N$2500,11,FALSE)</f>
        <v>Rental</v>
      </c>
      <c r="AB455" s="105" t="str">
        <f>VLOOKUP(Table__192.168.1.150_M_CONSOLIDATED_Delinquency_Compulsory_EOM[[#This Row],[Client No]],'Global Portfolio'!$B$2:$N$2500,12,FALSE)</f>
        <v>Others</v>
      </c>
    </row>
    <row r="456" spans="1:28" x14ac:dyDescent="0.25">
      <c r="A456">
        <v>103125</v>
      </c>
      <c r="B456" t="s">
        <v>2442</v>
      </c>
      <c r="C456" t="s">
        <v>2443</v>
      </c>
      <c r="D456" t="s">
        <v>1866</v>
      </c>
      <c r="E456">
        <v>-15</v>
      </c>
      <c r="F456">
        <v>8000000</v>
      </c>
      <c r="G456">
        <v>3756889.31</v>
      </c>
      <c r="H456">
        <v>836012.54</v>
      </c>
      <c r="I456" t="s">
        <v>1925</v>
      </c>
      <c r="J456">
        <v>5974.92</v>
      </c>
      <c r="K456">
        <v>800000</v>
      </c>
      <c r="L456">
        <v>64284.55</v>
      </c>
      <c r="M456">
        <v>4180062.62</v>
      </c>
      <c r="N456" s="143">
        <v>42810.643248958331</v>
      </c>
      <c r="O456" s="143">
        <v>43175</v>
      </c>
      <c r="P456" t="s">
        <v>2444</v>
      </c>
      <c r="Q456" t="s">
        <v>2445</v>
      </c>
      <c r="R456" t="s">
        <v>1280</v>
      </c>
      <c r="S456" t="s">
        <v>1510</v>
      </c>
      <c r="T456">
        <v>44</v>
      </c>
      <c r="U456">
        <f>IF(Table__192.168.1.150_M_CONSOLIDATED_Delinquency_Compulsory_EOM[[#This Row],[Days in Arrears]] &lt; 8, Table__192.168.1.150_M_CONSOLIDATED_Delinquency_Compulsory_EOM[[#This Row],[Outstanding Balance]], 0 )</f>
        <v>3756889.31</v>
      </c>
      <c r="V4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6" s="105" t="str">
        <f>VLOOKUP(Table__192.168.1.150_M_CONSOLIDATED_Delinquency_Compulsory_EOM[[#This Row],[Client No]],'Global Portfolio'!$B$2:$N$2500,10,FALSE)</f>
        <v>Retail</v>
      </c>
      <c r="AA456" s="105" t="str">
        <f>VLOOKUP(Table__192.168.1.150_M_CONSOLIDATED_Delinquency_Compulsory_EOM[[#This Row],[Client No]],'Global Portfolio'!$B$2:$N$2500,11,FALSE)</f>
        <v>General Merchandise Stores</v>
      </c>
      <c r="AB456" s="105" t="str">
        <f>VLOOKUP(Table__192.168.1.150_M_CONSOLIDATED_Delinquency_Compulsory_EOM[[#This Row],[Client No]],'Global Portfolio'!$B$2:$N$2500,12,FALSE)</f>
        <v>General Stores</v>
      </c>
    </row>
    <row r="457" spans="1:28" x14ac:dyDescent="0.25">
      <c r="A457">
        <v>103126</v>
      </c>
      <c r="B457" t="s">
        <v>1608</v>
      </c>
      <c r="C457" t="s">
        <v>1628</v>
      </c>
      <c r="D457" t="s">
        <v>1284</v>
      </c>
      <c r="E457">
        <v>-16</v>
      </c>
      <c r="F457">
        <v>10000000</v>
      </c>
      <c r="G457">
        <v>4600869.3899999997</v>
      </c>
      <c r="H457">
        <v>1004620.85</v>
      </c>
      <c r="I457" t="s">
        <v>1467</v>
      </c>
      <c r="J457">
        <v>0</v>
      </c>
      <c r="K457">
        <v>500000</v>
      </c>
      <c r="L457">
        <v>59811.3</v>
      </c>
      <c r="M457">
        <v>5023104.32</v>
      </c>
      <c r="N457" s="143">
        <v>42811.458580868057</v>
      </c>
      <c r="O457" s="143">
        <v>43176</v>
      </c>
      <c r="P457" t="s">
        <v>1629</v>
      </c>
      <c r="Q457" t="s">
        <v>1280</v>
      </c>
      <c r="R457" t="s">
        <v>1630</v>
      </c>
      <c r="S457" t="s">
        <v>1510</v>
      </c>
      <c r="T457">
        <v>36</v>
      </c>
      <c r="U457">
        <f>IF(Table__192.168.1.150_M_CONSOLIDATED_Delinquency_Compulsory_EOM[[#This Row],[Days in Arrears]] &lt; 8, Table__192.168.1.150_M_CONSOLIDATED_Delinquency_Compulsory_EOM[[#This Row],[Outstanding Balance]], 0 )</f>
        <v>4600869.3899999997</v>
      </c>
      <c r="V4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7" s="105" t="str">
        <f>VLOOKUP(Table__192.168.1.150_M_CONSOLIDATED_Delinquency_Compulsory_EOM[[#This Row],[Client No]],'Global Portfolio'!$B$2:$N$2500,10,FALSE)</f>
        <v>Construction</v>
      </c>
      <c r="AA457" s="105" t="str">
        <f>VLOOKUP(Table__192.168.1.150_M_CONSOLIDATED_Delinquency_Compulsory_EOM[[#This Row],[Client No]],'Global Portfolio'!$B$2:$N$2500,11,FALSE)</f>
        <v>Construction of Buildings</v>
      </c>
      <c r="AB457" s="105" t="str">
        <f>VLOOKUP(Table__192.168.1.150_M_CONSOLIDATED_Delinquency_Compulsory_EOM[[#This Row],[Client No]],'Global Portfolio'!$B$2:$N$2500,12,FALSE)</f>
        <v>Others</v>
      </c>
    </row>
    <row r="458" spans="1:28" x14ac:dyDescent="0.25">
      <c r="A458">
        <v>103129</v>
      </c>
      <c r="B458" t="s">
        <v>4271</v>
      </c>
      <c r="C458" t="s">
        <v>4275</v>
      </c>
      <c r="D458" t="s">
        <v>1279</v>
      </c>
      <c r="E458">
        <v>-19</v>
      </c>
      <c r="F458">
        <v>2000000</v>
      </c>
      <c r="G458">
        <v>694821.79</v>
      </c>
      <c r="H458">
        <v>252757.64</v>
      </c>
      <c r="I458" t="s">
        <v>963</v>
      </c>
      <c r="J458">
        <v>20000</v>
      </c>
      <c r="K458">
        <v>0</v>
      </c>
      <c r="L458">
        <v>10422.33</v>
      </c>
      <c r="M458">
        <v>758272.97</v>
      </c>
      <c r="N458" s="143">
        <v>42814.751309525462</v>
      </c>
      <c r="O458" s="143">
        <v>43120</v>
      </c>
      <c r="P458" t="s">
        <v>4276</v>
      </c>
      <c r="Q458" t="s">
        <v>1280</v>
      </c>
      <c r="R458" t="s">
        <v>1280</v>
      </c>
      <c r="S458" t="s">
        <v>1510</v>
      </c>
      <c r="T458">
        <v>54</v>
      </c>
      <c r="U458">
        <f>IF(Table__192.168.1.150_M_CONSOLIDATED_Delinquency_Compulsory_EOM[[#This Row],[Days in Arrears]] &lt; 8, Table__192.168.1.150_M_CONSOLIDATED_Delinquency_Compulsory_EOM[[#This Row],[Outstanding Balance]], 0 )</f>
        <v>694821.79</v>
      </c>
      <c r="V4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8" s="105" t="str">
        <f>VLOOKUP(Table__192.168.1.150_M_CONSOLIDATED_Delinquency_Compulsory_EOM[[#This Row],[Client No]],'Global Portfolio'!$B$2:$N$2500,10,FALSE)</f>
        <v>Real Estate and Rental</v>
      </c>
      <c r="AA458" s="105" t="str">
        <f>VLOOKUP(Table__192.168.1.150_M_CONSOLIDATED_Delinquency_Compulsory_EOM[[#This Row],[Client No]],'Global Portfolio'!$B$2:$N$2500,11,FALSE)</f>
        <v>Rental</v>
      </c>
      <c r="AB458" s="105" t="str">
        <f>VLOOKUP(Table__192.168.1.150_M_CONSOLIDATED_Delinquency_Compulsory_EOM[[#This Row],[Client No]],'Global Portfolio'!$B$2:$N$2500,12,FALSE)</f>
        <v>Others</v>
      </c>
    </row>
    <row r="459" spans="1:28" x14ac:dyDescent="0.25">
      <c r="A459">
        <v>103130</v>
      </c>
      <c r="B459" t="s">
        <v>4307</v>
      </c>
      <c r="C459" t="s">
        <v>4310</v>
      </c>
      <c r="D459" t="s">
        <v>1279</v>
      </c>
      <c r="E459">
        <v>38</v>
      </c>
      <c r="F459">
        <v>2000000</v>
      </c>
      <c r="G459">
        <v>834735.54</v>
      </c>
      <c r="H459">
        <v>303654.55</v>
      </c>
      <c r="I459" t="s">
        <v>1039</v>
      </c>
      <c r="J459">
        <v>0</v>
      </c>
      <c r="K459">
        <v>200000</v>
      </c>
      <c r="L459">
        <v>63152.08</v>
      </c>
      <c r="M459">
        <v>910963.65</v>
      </c>
      <c r="N459" s="143">
        <v>42816.715197534722</v>
      </c>
      <c r="O459" s="143">
        <v>43062</v>
      </c>
      <c r="P459" t="s">
        <v>4311</v>
      </c>
      <c r="Q459" t="s">
        <v>1280</v>
      </c>
      <c r="R459" t="s">
        <v>1280</v>
      </c>
      <c r="S459" t="s">
        <v>1510</v>
      </c>
      <c r="T459">
        <v>54</v>
      </c>
      <c r="U459">
        <f>IF(Table__192.168.1.150_M_CONSOLIDATED_Delinquency_Compulsory_EOM[[#This Row],[Days in Arrears]] &lt; 8, Table__192.168.1.150_M_CONSOLIDATED_Delinquency_Compulsory_EOM[[#This Row],[Outstanding Balance]], 0 )</f>
        <v>0</v>
      </c>
      <c r="V4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834735.54</v>
      </c>
      <c r="X4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59" s="105" t="str">
        <f>VLOOKUP(Table__192.168.1.150_M_CONSOLIDATED_Delinquency_Compulsory_EOM[[#This Row],[Client No]],'Global Portfolio'!$B$2:$N$2500,10,FALSE)</f>
        <v>Retail</v>
      </c>
      <c r="AA459" s="105" t="str">
        <f>VLOOKUP(Table__192.168.1.150_M_CONSOLIDATED_Delinquency_Compulsory_EOM[[#This Row],[Client No]],'Global Portfolio'!$B$2:$N$2500,11,FALSE)</f>
        <v>Others</v>
      </c>
      <c r="AB459" s="105" t="str">
        <f>VLOOKUP(Table__192.168.1.150_M_CONSOLIDATED_Delinquency_Compulsory_EOM[[#This Row],[Client No]],'Global Portfolio'!$B$2:$N$2500,12,FALSE)</f>
        <v>Others</v>
      </c>
    </row>
    <row r="460" spans="1:28" x14ac:dyDescent="0.25">
      <c r="A460">
        <v>103131</v>
      </c>
      <c r="B460" t="s">
        <v>4278</v>
      </c>
      <c r="C460" t="s">
        <v>4285</v>
      </c>
      <c r="D460" t="s">
        <v>1282</v>
      </c>
      <c r="E460">
        <v>40</v>
      </c>
      <c r="F460">
        <v>4000000</v>
      </c>
      <c r="G460">
        <v>2195477.5099999998</v>
      </c>
      <c r="H460">
        <v>493163.78</v>
      </c>
      <c r="I460" t="s">
        <v>1467</v>
      </c>
      <c r="J460">
        <v>0</v>
      </c>
      <c r="K460">
        <v>0</v>
      </c>
      <c r="L460">
        <v>152588.19</v>
      </c>
      <c r="M460">
        <v>2458982.65</v>
      </c>
      <c r="N460" s="143">
        <v>42815.560575694442</v>
      </c>
      <c r="O460" s="143">
        <v>43121</v>
      </c>
      <c r="P460" t="s">
        <v>4286</v>
      </c>
      <c r="Q460" t="s">
        <v>4287</v>
      </c>
      <c r="R460" t="s">
        <v>1280</v>
      </c>
      <c r="S460" t="s">
        <v>1510</v>
      </c>
      <c r="T460">
        <v>48</v>
      </c>
      <c r="U460">
        <f>IF(Table__192.168.1.150_M_CONSOLIDATED_Delinquency_Compulsory_EOM[[#This Row],[Days in Arrears]] &lt; 8, Table__192.168.1.150_M_CONSOLIDATED_Delinquency_Compulsory_EOM[[#This Row],[Outstanding Balance]], 0 )</f>
        <v>0</v>
      </c>
      <c r="V4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2195477.5099999998</v>
      </c>
      <c r="X4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0" s="105" t="str">
        <f>VLOOKUP(Table__192.168.1.150_M_CONSOLIDATED_Delinquency_Compulsory_EOM[[#This Row],[Client No]],'Global Portfolio'!$B$2:$N$2500,10,FALSE)</f>
        <v>Agriculture, Forestry, Fishing and Hunting</v>
      </c>
      <c r="AA460" s="105" t="str">
        <f>VLOOKUP(Table__192.168.1.150_M_CONSOLIDATED_Delinquency_Compulsory_EOM[[#This Row],[Client No]],'Global Portfolio'!$B$2:$N$2500,11,FALSE)</f>
        <v>Crop Production</v>
      </c>
      <c r="AB460" s="105" t="str">
        <f>VLOOKUP(Table__192.168.1.150_M_CONSOLIDATED_Delinquency_Compulsory_EOM[[#This Row],[Client No]],'Global Portfolio'!$B$2:$N$2500,12,FALSE)</f>
        <v>Others</v>
      </c>
    </row>
    <row r="461" spans="1:28" x14ac:dyDescent="0.25">
      <c r="A461">
        <v>103132</v>
      </c>
      <c r="B461" t="s">
        <v>4282</v>
      </c>
      <c r="C461" t="s">
        <v>4288</v>
      </c>
      <c r="D461" t="s">
        <v>1866</v>
      </c>
      <c r="E461">
        <v>-20</v>
      </c>
      <c r="F461">
        <v>10000000</v>
      </c>
      <c r="G461">
        <v>4767156.04</v>
      </c>
      <c r="H461">
        <v>1075851.19</v>
      </c>
      <c r="I461" t="s">
        <v>2034</v>
      </c>
      <c r="J461">
        <v>0</v>
      </c>
      <c r="K461">
        <v>1000000</v>
      </c>
      <c r="L461">
        <v>59589.45</v>
      </c>
      <c r="M461">
        <v>5379255.9100000001</v>
      </c>
      <c r="N461" s="143">
        <v>42815.719858946759</v>
      </c>
      <c r="O461" s="143">
        <v>43180</v>
      </c>
      <c r="P461" t="s">
        <v>4289</v>
      </c>
      <c r="Q461" t="s">
        <v>1280</v>
      </c>
      <c r="R461" t="s">
        <v>1280</v>
      </c>
      <c r="S461" t="s">
        <v>1510</v>
      </c>
      <c r="T461">
        <v>50</v>
      </c>
      <c r="U461">
        <f>IF(Table__192.168.1.150_M_CONSOLIDATED_Delinquency_Compulsory_EOM[[#This Row],[Days in Arrears]] &lt; 8, Table__192.168.1.150_M_CONSOLIDATED_Delinquency_Compulsory_EOM[[#This Row],[Outstanding Balance]], 0 )</f>
        <v>4767156.04</v>
      </c>
      <c r="V4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1" s="105" t="e">
        <f>VLOOKUP(Table__192.168.1.150_M_CONSOLIDATED_Delinquency_Compulsory_EOM[[#This Row],[Client No]],'Global Portfolio'!$B$2:$N$2500,10,FALSE)</f>
        <v>#N/A</v>
      </c>
      <c r="AA461" s="105" t="e">
        <f>VLOOKUP(Table__192.168.1.150_M_CONSOLIDATED_Delinquency_Compulsory_EOM[[#This Row],[Client No]],'Global Portfolio'!$B$2:$N$2500,11,FALSE)</f>
        <v>#N/A</v>
      </c>
      <c r="AB461" s="105" t="e">
        <f>VLOOKUP(Table__192.168.1.150_M_CONSOLIDATED_Delinquency_Compulsory_EOM[[#This Row],[Client No]],'Global Portfolio'!$B$2:$N$2500,12,FALSE)</f>
        <v>#N/A</v>
      </c>
    </row>
    <row r="462" spans="1:28" x14ac:dyDescent="0.25">
      <c r="A462">
        <v>103134</v>
      </c>
      <c r="B462" t="s">
        <v>4331</v>
      </c>
      <c r="C462" t="s">
        <v>4333</v>
      </c>
      <c r="D462" t="s">
        <v>1283</v>
      </c>
      <c r="E462">
        <v>-23</v>
      </c>
      <c r="F462">
        <v>35000000</v>
      </c>
      <c r="G462">
        <v>16269963.73</v>
      </c>
      <c r="H462">
        <v>3586501.9</v>
      </c>
      <c r="I462" t="s">
        <v>1448</v>
      </c>
      <c r="J462">
        <v>287063.69</v>
      </c>
      <c r="K462">
        <v>1750000</v>
      </c>
      <c r="L462">
        <v>108466.42</v>
      </c>
      <c r="M462">
        <v>17932509.489999998</v>
      </c>
      <c r="N462" s="143">
        <v>42818.553093368057</v>
      </c>
      <c r="O462" s="143">
        <v>43183</v>
      </c>
      <c r="P462" t="s">
        <v>4334</v>
      </c>
      <c r="Q462" t="s">
        <v>4335</v>
      </c>
      <c r="R462" t="s">
        <v>1280</v>
      </c>
      <c r="S462" t="s">
        <v>1510</v>
      </c>
      <c r="T462">
        <v>40</v>
      </c>
      <c r="U462">
        <f>IF(Table__192.168.1.150_M_CONSOLIDATED_Delinquency_Compulsory_EOM[[#This Row],[Days in Arrears]] &lt; 8, Table__192.168.1.150_M_CONSOLIDATED_Delinquency_Compulsory_EOM[[#This Row],[Outstanding Balance]], 0 )</f>
        <v>16269963.73</v>
      </c>
      <c r="V4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2" s="105" t="str">
        <f>VLOOKUP(Table__192.168.1.150_M_CONSOLIDATED_Delinquency_Compulsory_EOM[[#This Row],[Client No]],'Global Portfolio'!$B$2:$N$2500,10,FALSE)</f>
        <v>Transportation and Warehousing</v>
      </c>
      <c r="AA462" s="105" t="str">
        <f>VLOOKUP(Table__192.168.1.150_M_CONSOLIDATED_Delinquency_Compulsory_EOM[[#This Row],[Client No]],'Global Portfolio'!$B$2:$N$2500,11,FALSE)</f>
        <v xml:space="preserve"> Passenger Transportation</v>
      </c>
      <c r="AB462" s="105" t="str">
        <f>VLOOKUP(Table__192.168.1.150_M_CONSOLIDATED_Delinquency_Compulsory_EOM[[#This Row],[Client No]],'Global Portfolio'!$B$2:$N$2500,12,FALSE)</f>
        <v>Taxi service</v>
      </c>
    </row>
    <row r="463" spans="1:28" x14ac:dyDescent="0.25">
      <c r="A463">
        <v>103135</v>
      </c>
      <c r="B463" t="s">
        <v>4326</v>
      </c>
      <c r="C463" t="s">
        <v>4336</v>
      </c>
      <c r="D463" t="s">
        <v>1282</v>
      </c>
      <c r="E463">
        <v>127</v>
      </c>
      <c r="F463">
        <v>5000000</v>
      </c>
      <c r="G463">
        <v>3750488.76</v>
      </c>
      <c r="H463">
        <v>758048.27</v>
      </c>
      <c r="I463" t="s">
        <v>546</v>
      </c>
      <c r="J463">
        <v>0</v>
      </c>
      <c r="K463">
        <v>500000</v>
      </c>
      <c r="L463">
        <v>149751.64000000001</v>
      </c>
      <c r="M463">
        <v>4212915.82</v>
      </c>
      <c r="N463" s="143">
        <v>42818.509962847224</v>
      </c>
      <c r="O463" s="143">
        <v>43063</v>
      </c>
      <c r="P463" t="s">
        <v>4337</v>
      </c>
      <c r="Q463" t="s">
        <v>4338</v>
      </c>
      <c r="R463" t="s">
        <v>1280</v>
      </c>
      <c r="S463" t="s">
        <v>1510</v>
      </c>
      <c r="T463">
        <v>54</v>
      </c>
      <c r="U463">
        <f>IF(Table__192.168.1.150_M_CONSOLIDATED_Delinquency_Compulsory_EOM[[#This Row],[Days in Arrears]] &lt; 8, Table__192.168.1.150_M_CONSOLIDATED_Delinquency_Compulsory_EOM[[#This Row],[Outstanding Balance]], 0 )</f>
        <v>0</v>
      </c>
      <c r="V4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3750488.76</v>
      </c>
      <c r="Z463" s="105" t="str">
        <f>VLOOKUP(Table__192.168.1.150_M_CONSOLIDATED_Delinquency_Compulsory_EOM[[#This Row],[Client No]],'Global Portfolio'!$B$2:$N$2500,10,FALSE)</f>
        <v>Retail</v>
      </c>
      <c r="AA463" s="105" t="str">
        <f>VLOOKUP(Table__192.168.1.150_M_CONSOLIDATED_Delinquency_Compulsory_EOM[[#This Row],[Client No]],'Global Portfolio'!$B$2:$N$2500,11,FALSE)</f>
        <v>Furniture and Home Furnishings Stores</v>
      </c>
      <c r="AB463" s="105" t="str">
        <f>VLOOKUP(Table__192.168.1.150_M_CONSOLIDATED_Delinquency_Compulsory_EOM[[#This Row],[Client No]],'Global Portfolio'!$B$2:$N$2500,12,FALSE)</f>
        <v>Others</v>
      </c>
    </row>
    <row r="464" spans="1:28" x14ac:dyDescent="0.25">
      <c r="A464">
        <v>103136</v>
      </c>
      <c r="B464" t="s">
        <v>853</v>
      </c>
      <c r="C464" t="s">
        <v>858</v>
      </c>
      <c r="D464" t="s">
        <v>1282</v>
      </c>
      <c r="E464">
        <v>-23</v>
      </c>
      <c r="F464">
        <v>8000000</v>
      </c>
      <c r="G464">
        <v>3794810.74</v>
      </c>
      <c r="H464">
        <v>852417.38</v>
      </c>
      <c r="I464" t="s">
        <v>90</v>
      </c>
      <c r="J464">
        <v>0</v>
      </c>
      <c r="K464">
        <v>800000</v>
      </c>
      <c r="L464">
        <v>30358.49</v>
      </c>
      <c r="M464">
        <v>4262086.91</v>
      </c>
      <c r="N464" s="143">
        <v>42818.624222951388</v>
      </c>
      <c r="O464" s="143">
        <v>43183</v>
      </c>
      <c r="P464" t="s">
        <v>859</v>
      </c>
      <c r="Q464" t="s">
        <v>1280</v>
      </c>
      <c r="R464" t="s">
        <v>1280</v>
      </c>
      <c r="S464" t="s">
        <v>1510</v>
      </c>
      <c r="T464">
        <v>48</v>
      </c>
      <c r="U464">
        <f>IF(Table__192.168.1.150_M_CONSOLIDATED_Delinquency_Compulsory_EOM[[#This Row],[Days in Arrears]] &lt; 8, Table__192.168.1.150_M_CONSOLIDATED_Delinquency_Compulsory_EOM[[#This Row],[Outstanding Balance]], 0 )</f>
        <v>3794810.74</v>
      </c>
      <c r="V4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4" s="105" t="str">
        <f>VLOOKUP(Table__192.168.1.150_M_CONSOLIDATED_Delinquency_Compulsory_EOM[[#This Row],[Client No]],'Global Portfolio'!$B$2:$N$2500,10,FALSE)</f>
        <v>Retail</v>
      </c>
      <c r="AA464" s="105" t="str">
        <f>VLOOKUP(Table__192.168.1.150_M_CONSOLIDATED_Delinquency_Compulsory_EOM[[#This Row],[Client No]],'Global Portfolio'!$B$2:$N$2500,11,FALSE)</f>
        <v>General Merchandise Stores</v>
      </c>
      <c r="AB464" s="105" t="str">
        <f>VLOOKUP(Table__192.168.1.150_M_CONSOLIDATED_Delinquency_Compulsory_EOM[[#This Row],[Client No]],'Global Portfolio'!$B$2:$N$2500,12,FALSE)</f>
        <v>Others</v>
      </c>
    </row>
    <row r="465" spans="1:28" x14ac:dyDescent="0.25">
      <c r="A465">
        <v>103137</v>
      </c>
      <c r="B465" t="s">
        <v>1011</v>
      </c>
      <c r="C465" t="s">
        <v>1012</v>
      </c>
      <c r="D465" t="s">
        <v>1282</v>
      </c>
      <c r="E465">
        <v>-23</v>
      </c>
      <c r="F465">
        <v>7000000</v>
      </c>
      <c r="G465">
        <v>3320459.39</v>
      </c>
      <c r="H465">
        <v>745865.21</v>
      </c>
      <c r="I465" t="s">
        <v>468</v>
      </c>
      <c r="J465">
        <v>383965.67</v>
      </c>
      <c r="K465">
        <v>700000</v>
      </c>
      <c r="L465">
        <v>26563.68</v>
      </c>
      <c r="M465">
        <v>3729326.04</v>
      </c>
      <c r="N465" s="143">
        <v>42818.652881828704</v>
      </c>
      <c r="O465" s="143">
        <v>43183</v>
      </c>
      <c r="P465" t="s">
        <v>1013</v>
      </c>
      <c r="Q465" t="s">
        <v>1014</v>
      </c>
      <c r="R465" t="s">
        <v>1280</v>
      </c>
      <c r="S465" t="s">
        <v>1510</v>
      </c>
      <c r="T465">
        <v>48</v>
      </c>
      <c r="U465">
        <f>IF(Table__192.168.1.150_M_CONSOLIDATED_Delinquency_Compulsory_EOM[[#This Row],[Days in Arrears]] &lt; 8, Table__192.168.1.150_M_CONSOLIDATED_Delinquency_Compulsory_EOM[[#This Row],[Outstanding Balance]], 0 )</f>
        <v>3320459.39</v>
      </c>
      <c r="V4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5" s="105" t="str">
        <f>VLOOKUP(Table__192.168.1.150_M_CONSOLIDATED_Delinquency_Compulsory_EOM[[#This Row],[Client No]],'Global Portfolio'!$B$2:$N$2500,10,FALSE)</f>
        <v>Real Estate and Rental</v>
      </c>
      <c r="AA465" s="105" t="str">
        <f>VLOOKUP(Table__192.168.1.150_M_CONSOLIDATED_Delinquency_Compulsory_EOM[[#This Row],[Client No]],'Global Portfolio'!$B$2:$N$2500,11,FALSE)</f>
        <v>Rental</v>
      </c>
      <c r="AB465" s="105" t="str">
        <f>VLOOKUP(Table__192.168.1.150_M_CONSOLIDATED_Delinquency_Compulsory_EOM[[#This Row],[Client No]],'Global Portfolio'!$B$2:$N$2500,12,FALSE)</f>
        <v>General Rental Centers</v>
      </c>
    </row>
    <row r="466" spans="1:28" x14ac:dyDescent="0.25">
      <c r="A466">
        <v>103138</v>
      </c>
      <c r="B466" t="s">
        <v>4330</v>
      </c>
      <c r="C466" t="s">
        <v>4339</v>
      </c>
      <c r="D466" t="s">
        <v>1866</v>
      </c>
      <c r="E466">
        <v>-23</v>
      </c>
      <c r="F466">
        <v>9000000</v>
      </c>
      <c r="G466">
        <v>3095098.46</v>
      </c>
      <c r="H466">
        <v>1118844.02</v>
      </c>
      <c r="I466" t="s">
        <v>468</v>
      </c>
      <c r="J466">
        <v>415341.66</v>
      </c>
      <c r="K466">
        <v>500000</v>
      </c>
      <c r="L466">
        <v>25792.49</v>
      </c>
      <c r="M466">
        <v>3356532.03</v>
      </c>
      <c r="N466" s="143">
        <v>42818.790010416669</v>
      </c>
      <c r="O466" s="143">
        <v>43124</v>
      </c>
      <c r="P466" t="s">
        <v>4340</v>
      </c>
      <c r="Q466" t="s">
        <v>4341</v>
      </c>
      <c r="R466" t="s">
        <v>1280</v>
      </c>
      <c r="S466" t="s">
        <v>1510</v>
      </c>
      <c r="T466">
        <v>50</v>
      </c>
      <c r="U466">
        <f>IF(Table__192.168.1.150_M_CONSOLIDATED_Delinquency_Compulsory_EOM[[#This Row],[Days in Arrears]] &lt; 8, Table__192.168.1.150_M_CONSOLIDATED_Delinquency_Compulsory_EOM[[#This Row],[Outstanding Balance]], 0 )</f>
        <v>3095098.46</v>
      </c>
      <c r="V4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6" s="105" t="str">
        <f>VLOOKUP(Table__192.168.1.150_M_CONSOLIDATED_Delinquency_Compulsory_EOM[[#This Row],[Client No]],'Global Portfolio'!$B$2:$N$2500,10,FALSE)</f>
        <v>Retail</v>
      </c>
      <c r="AA466" s="105" t="str">
        <f>VLOOKUP(Table__192.168.1.150_M_CONSOLIDATED_Delinquency_Compulsory_EOM[[#This Row],[Client No]],'Global Portfolio'!$B$2:$N$2500,11,FALSE)</f>
        <v>Others</v>
      </c>
      <c r="AB466" s="105" t="str">
        <f>VLOOKUP(Table__192.168.1.150_M_CONSOLIDATED_Delinquency_Compulsory_EOM[[#This Row],[Client No]],'Global Portfolio'!$B$2:$N$2500,12,FALSE)</f>
        <v>Others</v>
      </c>
    </row>
    <row r="467" spans="1:28" x14ac:dyDescent="0.25">
      <c r="A467">
        <v>103139</v>
      </c>
      <c r="B467" t="s">
        <v>2921</v>
      </c>
      <c r="C467" t="s">
        <v>2922</v>
      </c>
      <c r="D467" t="s">
        <v>1282</v>
      </c>
      <c r="E467">
        <v>-23</v>
      </c>
      <c r="F467">
        <v>8000000</v>
      </c>
      <c r="G467">
        <v>2737148.79</v>
      </c>
      <c r="H467">
        <v>986327.55</v>
      </c>
      <c r="I467" t="s">
        <v>90</v>
      </c>
      <c r="J467">
        <v>0</v>
      </c>
      <c r="K467">
        <v>0</v>
      </c>
      <c r="L467">
        <v>50068.13</v>
      </c>
      <c r="M467">
        <v>2958982.71</v>
      </c>
      <c r="N467" s="143">
        <v>42818.802715590275</v>
      </c>
      <c r="O467" s="143">
        <v>43124</v>
      </c>
      <c r="P467" t="s">
        <v>2923</v>
      </c>
      <c r="Q467" t="s">
        <v>2924</v>
      </c>
      <c r="R467" t="s">
        <v>1280</v>
      </c>
      <c r="S467" t="s">
        <v>1510</v>
      </c>
      <c r="T467">
        <v>48</v>
      </c>
      <c r="U467">
        <f>IF(Table__192.168.1.150_M_CONSOLIDATED_Delinquency_Compulsory_EOM[[#This Row],[Days in Arrears]] &lt; 8, Table__192.168.1.150_M_CONSOLIDATED_Delinquency_Compulsory_EOM[[#This Row],[Outstanding Balance]], 0 )</f>
        <v>2737148.79</v>
      </c>
      <c r="V4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7" s="105" t="str">
        <f>VLOOKUP(Table__192.168.1.150_M_CONSOLIDATED_Delinquency_Compulsory_EOM[[#This Row],[Client No]],'Global Portfolio'!$B$2:$N$2500,10,FALSE)</f>
        <v>Transportation and Warehousing</v>
      </c>
      <c r="AA467" s="105" t="str">
        <f>VLOOKUP(Table__192.168.1.150_M_CONSOLIDATED_Delinquency_Compulsory_EOM[[#This Row],[Client No]],'Global Portfolio'!$B$2:$N$2500,11,FALSE)</f>
        <v xml:space="preserve"> Passenger Transportation</v>
      </c>
      <c r="AB467" s="105" t="str">
        <f>VLOOKUP(Table__192.168.1.150_M_CONSOLIDATED_Delinquency_Compulsory_EOM[[#This Row],[Client No]],'Global Portfolio'!$B$2:$N$2500,12,FALSE)</f>
        <v>Taxi service</v>
      </c>
    </row>
    <row r="468" spans="1:28" x14ac:dyDescent="0.25">
      <c r="A468">
        <v>103141</v>
      </c>
      <c r="B468" t="s">
        <v>4356</v>
      </c>
      <c r="C468" t="s">
        <v>4361</v>
      </c>
      <c r="D468" t="s">
        <v>1283</v>
      </c>
      <c r="E468">
        <v>0</v>
      </c>
      <c r="F468">
        <v>50000000</v>
      </c>
      <c r="G468">
        <v>27316791.77</v>
      </c>
      <c r="H468">
        <v>5042611.47</v>
      </c>
      <c r="I468" t="s">
        <v>86</v>
      </c>
      <c r="J468">
        <v>5055388.53</v>
      </c>
      <c r="K468">
        <v>2500000</v>
      </c>
      <c r="L468">
        <v>792186.96</v>
      </c>
      <c r="M468">
        <v>30255668.879999999</v>
      </c>
      <c r="N468" s="143">
        <v>42821.535370682868</v>
      </c>
      <c r="O468" s="143">
        <v>43191</v>
      </c>
      <c r="P468" t="s">
        <v>4362</v>
      </c>
      <c r="Q468" t="s">
        <v>1280</v>
      </c>
      <c r="R468" t="s">
        <v>1280</v>
      </c>
      <c r="S468" t="s">
        <v>1510</v>
      </c>
      <c r="T468">
        <v>36</v>
      </c>
      <c r="U468">
        <f>IF(Table__192.168.1.150_M_CONSOLIDATED_Delinquency_Compulsory_EOM[[#This Row],[Days in Arrears]] &lt; 8, Table__192.168.1.150_M_CONSOLIDATED_Delinquency_Compulsory_EOM[[#This Row],[Outstanding Balance]], 0 )</f>
        <v>27316791.77</v>
      </c>
      <c r="V4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8" s="105" t="str">
        <f>VLOOKUP(Table__192.168.1.150_M_CONSOLIDATED_Delinquency_Compulsory_EOM[[#This Row],[Client No]],'Global Portfolio'!$B$2:$N$2500,10,FALSE)</f>
        <v>Retail</v>
      </c>
      <c r="AA468" s="105" t="str">
        <f>VLOOKUP(Table__192.168.1.150_M_CONSOLIDATED_Delinquency_Compulsory_EOM[[#This Row],[Client No]],'Global Portfolio'!$B$2:$N$2500,11,FALSE)</f>
        <v>Motor Vehicle and Parts Dealers</v>
      </c>
      <c r="AB468" s="105" t="str">
        <f>VLOOKUP(Table__192.168.1.150_M_CONSOLIDATED_Delinquency_Compulsory_EOM[[#This Row],[Client No]],'Global Portfolio'!$B$2:$N$2500,12,FALSE)</f>
        <v>Motorcycle Dealers</v>
      </c>
    </row>
    <row r="469" spans="1:28" x14ac:dyDescent="0.25">
      <c r="A469">
        <v>103142</v>
      </c>
      <c r="B469" t="s">
        <v>4360</v>
      </c>
      <c r="C469" t="s">
        <v>4363</v>
      </c>
      <c r="D469" t="s">
        <v>1279</v>
      </c>
      <c r="E469">
        <v>0</v>
      </c>
      <c r="F469">
        <v>1500000</v>
      </c>
      <c r="G469">
        <v>428316.96</v>
      </c>
      <c r="H469">
        <v>228720.21</v>
      </c>
      <c r="I469" t="s">
        <v>2494</v>
      </c>
      <c r="J469">
        <v>0</v>
      </c>
      <c r="K469">
        <v>0</v>
      </c>
      <c r="L469">
        <v>18631.79</v>
      </c>
      <c r="M469">
        <v>457440.42</v>
      </c>
      <c r="N469" s="143">
        <v>42821.547604201391</v>
      </c>
      <c r="O469" s="143">
        <v>43070</v>
      </c>
      <c r="P469" t="s">
        <v>4364</v>
      </c>
      <c r="Q469" t="s">
        <v>1280</v>
      </c>
      <c r="R469" t="s">
        <v>1280</v>
      </c>
      <c r="S469" t="s">
        <v>1510</v>
      </c>
      <c r="T469">
        <v>54</v>
      </c>
      <c r="U469">
        <f>IF(Table__192.168.1.150_M_CONSOLIDATED_Delinquency_Compulsory_EOM[[#This Row],[Days in Arrears]] &lt; 8, Table__192.168.1.150_M_CONSOLIDATED_Delinquency_Compulsory_EOM[[#This Row],[Outstanding Balance]], 0 )</f>
        <v>428316.96</v>
      </c>
      <c r="V4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69" s="105" t="str">
        <f>VLOOKUP(Table__192.168.1.150_M_CONSOLIDATED_Delinquency_Compulsory_EOM[[#This Row],[Client No]],'Global Portfolio'!$B$2:$N$2500,10,FALSE)</f>
        <v>Retail</v>
      </c>
      <c r="AA469" s="105" t="str">
        <f>VLOOKUP(Table__192.168.1.150_M_CONSOLIDATED_Delinquency_Compulsory_EOM[[#This Row],[Client No]],'Global Portfolio'!$B$2:$N$2500,11,FALSE)</f>
        <v>Others</v>
      </c>
      <c r="AB469" s="105" t="str">
        <f>VLOOKUP(Table__192.168.1.150_M_CONSOLIDATED_Delinquency_Compulsory_EOM[[#This Row],[Client No]],'Global Portfolio'!$B$2:$N$2500,12,FALSE)</f>
        <v>Others</v>
      </c>
    </row>
    <row r="470" spans="1:28" x14ac:dyDescent="0.25">
      <c r="A470">
        <v>103143</v>
      </c>
      <c r="B470" t="s">
        <v>4358</v>
      </c>
      <c r="C470" t="s">
        <v>4365</v>
      </c>
      <c r="D470" t="s">
        <v>1282</v>
      </c>
      <c r="E470">
        <v>7</v>
      </c>
      <c r="F470">
        <v>6000000</v>
      </c>
      <c r="G470">
        <v>3092574.59</v>
      </c>
      <c r="H470">
        <v>655163.65</v>
      </c>
      <c r="I470" t="s">
        <v>2175</v>
      </c>
      <c r="J470">
        <v>0</v>
      </c>
      <c r="K470">
        <v>600000</v>
      </c>
      <c r="L470">
        <v>25885.38</v>
      </c>
      <c r="M470">
        <v>3492239.65</v>
      </c>
      <c r="N470" s="143">
        <v>42821.581233136574</v>
      </c>
      <c r="O470" s="143">
        <v>43183</v>
      </c>
      <c r="P470" t="s">
        <v>4366</v>
      </c>
      <c r="Q470" t="s">
        <v>4367</v>
      </c>
      <c r="R470" t="s">
        <v>1280</v>
      </c>
      <c r="S470" t="s">
        <v>1510</v>
      </c>
      <c r="T470">
        <v>54</v>
      </c>
      <c r="U470">
        <f>IF(Table__192.168.1.150_M_CONSOLIDATED_Delinquency_Compulsory_EOM[[#This Row],[Days in Arrears]] &lt; 8, Table__192.168.1.150_M_CONSOLIDATED_Delinquency_Compulsory_EOM[[#This Row],[Outstanding Balance]], 0 )</f>
        <v>3092574.59</v>
      </c>
      <c r="V4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0" s="105" t="str">
        <f>VLOOKUP(Table__192.168.1.150_M_CONSOLIDATED_Delinquency_Compulsory_EOM[[#This Row],[Client No]],'Global Portfolio'!$B$2:$N$2500,10,FALSE)</f>
        <v>Retail</v>
      </c>
      <c r="AA470" s="105" t="str">
        <f>VLOOKUP(Table__192.168.1.150_M_CONSOLIDATED_Delinquency_Compulsory_EOM[[#This Row],[Client No]],'Global Portfolio'!$B$2:$N$2500,11,FALSE)</f>
        <v>Electronics Stores</v>
      </c>
      <c r="AB470" s="105" t="str">
        <f>VLOOKUP(Table__192.168.1.150_M_CONSOLIDATED_Delinquency_Compulsory_EOM[[#This Row],[Client No]],'Global Portfolio'!$B$2:$N$2500,12,FALSE)</f>
        <v>Radio, Television, &amp; Other Electronics Stores</v>
      </c>
    </row>
    <row r="471" spans="1:28" x14ac:dyDescent="0.25">
      <c r="A471">
        <v>103144</v>
      </c>
      <c r="B471" t="s">
        <v>2931</v>
      </c>
      <c r="C471" t="s">
        <v>2932</v>
      </c>
      <c r="D471" t="s">
        <v>1279</v>
      </c>
      <c r="E471">
        <v>0</v>
      </c>
      <c r="F471">
        <v>5000000</v>
      </c>
      <c r="G471">
        <v>2243403.6800000002</v>
      </c>
      <c r="H471">
        <v>618035.37</v>
      </c>
      <c r="I471" t="s">
        <v>2494</v>
      </c>
      <c r="J471">
        <v>0</v>
      </c>
      <c r="K471">
        <v>500000</v>
      </c>
      <c r="L471">
        <v>86744.94</v>
      </c>
      <c r="M471">
        <v>2472141.5299999998</v>
      </c>
      <c r="N471" s="143">
        <v>42823.50057758102</v>
      </c>
      <c r="O471" s="143">
        <v>43132</v>
      </c>
      <c r="P471" t="s">
        <v>2933</v>
      </c>
      <c r="Q471" t="s">
        <v>2934</v>
      </c>
      <c r="R471" t="s">
        <v>1280</v>
      </c>
      <c r="S471" t="s">
        <v>1510</v>
      </c>
      <c r="T471">
        <v>48</v>
      </c>
      <c r="U471">
        <f>IF(Table__192.168.1.150_M_CONSOLIDATED_Delinquency_Compulsory_EOM[[#This Row],[Days in Arrears]] &lt; 8, Table__192.168.1.150_M_CONSOLIDATED_Delinquency_Compulsory_EOM[[#This Row],[Outstanding Balance]], 0 )</f>
        <v>2243403.6800000002</v>
      </c>
      <c r="V4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1" s="105" t="str">
        <f>VLOOKUP(Table__192.168.1.150_M_CONSOLIDATED_Delinquency_Compulsory_EOM[[#This Row],[Client No]],'Global Portfolio'!$B$2:$N$2500,10,FALSE)</f>
        <v>Retail</v>
      </c>
      <c r="AA471" s="105" t="str">
        <f>VLOOKUP(Table__192.168.1.150_M_CONSOLIDATED_Delinquency_Compulsory_EOM[[#This Row],[Client No]],'Global Portfolio'!$B$2:$N$2500,11,FALSE)</f>
        <v>General Merchandise Stores</v>
      </c>
      <c r="AB471" s="105" t="str">
        <f>VLOOKUP(Table__192.168.1.150_M_CONSOLIDATED_Delinquency_Compulsory_EOM[[#This Row],[Client No]],'Global Portfolio'!$B$2:$N$2500,12,FALSE)</f>
        <v>General Stores</v>
      </c>
    </row>
    <row r="472" spans="1:28" x14ac:dyDescent="0.25">
      <c r="A472">
        <v>103145</v>
      </c>
      <c r="B472" t="s">
        <v>4375</v>
      </c>
      <c r="C472" t="s">
        <v>4376</v>
      </c>
      <c r="D472" t="s">
        <v>1866</v>
      </c>
      <c r="E472">
        <v>0</v>
      </c>
      <c r="F472">
        <v>10000000</v>
      </c>
      <c r="G472">
        <v>5557652.9699999997</v>
      </c>
      <c r="H472">
        <v>1048711.8700000001</v>
      </c>
      <c r="I472" t="s">
        <v>4684</v>
      </c>
      <c r="J472">
        <v>1063485.22</v>
      </c>
      <c r="K472">
        <v>1000000</v>
      </c>
      <c r="L472">
        <v>196987.92</v>
      </c>
      <c r="M472">
        <v>6292271.1699999999</v>
      </c>
      <c r="N472" s="143">
        <v>42822.714810034726</v>
      </c>
      <c r="O472" s="143">
        <v>43191</v>
      </c>
      <c r="P472" t="s">
        <v>4377</v>
      </c>
      <c r="Q472" t="s">
        <v>1280</v>
      </c>
      <c r="R472" t="s">
        <v>1280</v>
      </c>
      <c r="S472" t="s">
        <v>1510</v>
      </c>
      <c r="T472">
        <v>44</v>
      </c>
      <c r="U472">
        <f>IF(Table__192.168.1.150_M_CONSOLIDATED_Delinquency_Compulsory_EOM[[#This Row],[Days in Arrears]] &lt; 8, Table__192.168.1.150_M_CONSOLIDATED_Delinquency_Compulsory_EOM[[#This Row],[Outstanding Balance]], 0 )</f>
        <v>5557652.9699999997</v>
      </c>
      <c r="V4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2" s="105" t="str">
        <f>VLOOKUP(Table__192.168.1.150_M_CONSOLIDATED_Delinquency_Compulsory_EOM[[#This Row],[Client No]],'Global Portfolio'!$B$2:$N$2500,10,FALSE)</f>
        <v>Restaurants and Hotels</v>
      </c>
      <c r="AA472" s="105" t="str">
        <f>VLOOKUP(Table__192.168.1.150_M_CONSOLIDATED_Delinquency_Compulsory_EOM[[#This Row],[Client No]],'Global Portfolio'!$B$2:$N$2500,11,FALSE)</f>
        <v>Hotel</v>
      </c>
      <c r="AB472" s="105" t="str">
        <f>VLOOKUP(Table__192.168.1.150_M_CONSOLIDATED_Delinquency_Compulsory_EOM[[#This Row],[Client No]],'Global Portfolio'!$B$2:$N$2500,12,FALSE)</f>
        <v>Hotel</v>
      </c>
    </row>
    <row r="473" spans="1:28" x14ac:dyDescent="0.25">
      <c r="A473">
        <v>103146</v>
      </c>
      <c r="B473" t="s">
        <v>4374</v>
      </c>
      <c r="C473" t="s">
        <v>4378</v>
      </c>
      <c r="D473" t="s">
        <v>1279</v>
      </c>
      <c r="E473">
        <v>30</v>
      </c>
      <c r="F473">
        <v>2500000</v>
      </c>
      <c r="G473">
        <v>465821.2</v>
      </c>
      <c r="H473">
        <v>486783.18</v>
      </c>
      <c r="I473" t="s">
        <v>90</v>
      </c>
      <c r="J473">
        <v>30000</v>
      </c>
      <c r="K473">
        <v>0</v>
      </c>
      <c r="L473">
        <v>61983.19</v>
      </c>
      <c r="M473">
        <v>486783.15</v>
      </c>
      <c r="N473" s="143">
        <v>42822.749953356484</v>
      </c>
      <c r="O473" s="143">
        <v>43009</v>
      </c>
      <c r="P473" t="s">
        <v>4379</v>
      </c>
      <c r="Q473" t="s">
        <v>1280</v>
      </c>
      <c r="R473" t="s">
        <v>1280</v>
      </c>
      <c r="S473" t="s">
        <v>1510</v>
      </c>
      <c r="T473">
        <v>54</v>
      </c>
      <c r="U473">
        <f>IF(Table__192.168.1.150_M_CONSOLIDATED_Delinquency_Compulsory_EOM[[#This Row],[Days in Arrears]] &lt; 8, Table__192.168.1.150_M_CONSOLIDATED_Delinquency_Compulsory_EOM[[#This Row],[Outstanding Balance]], 0 )</f>
        <v>0</v>
      </c>
      <c r="V4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465821.2</v>
      </c>
      <c r="X4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3" s="105" t="str">
        <f>VLOOKUP(Table__192.168.1.150_M_CONSOLIDATED_Delinquency_Compulsory_EOM[[#This Row],[Client No]],'Global Portfolio'!$B$2:$N$2500,10,FALSE)</f>
        <v>Health Care</v>
      </c>
      <c r="AA473" s="105" t="str">
        <f>VLOOKUP(Table__192.168.1.150_M_CONSOLIDATED_Delinquency_Compulsory_EOM[[#This Row],[Client No]],'Global Portfolio'!$B$2:$N$2500,11,FALSE)</f>
        <v>Health Care</v>
      </c>
      <c r="AB473" s="105" t="str">
        <f>VLOOKUP(Table__192.168.1.150_M_CONSOLIDATED_Delinquency_Compulsory_EOM[[#This Row],[Client No]],'Global Portfolio'!$B$2:$N$2500,12,FALSE)</f>
        <v xml:space="preserve"> Medical &amp; Diagnostic Laboratories</v>
      </c>
    </row>
    <row r="474" spans="1:28" x14ac:dyDescent="0.25">
      <c r="A474">
        <v>103147</v>
      </c>
      <c r="B474" t="s">
        <v>1520</v>
      </c>
      <c r="C474" t="s">
        <v>1524</v>
      </c>
      <c r="D474" t="s">
        <v>1283</v>
      </c>
      <c r="E474">
        <v>0</v>
      </c>
      <c r="F474">
        <v>55000000</v>
      </c>
      <c r="G474">
        <v>44752747.549999997</v>
      </c>
      <c r="H474">
        <v>3253913.91</v>
      </c>
      <c r="I474" t="s">
        <v>1925</v>
      </c>
      <c r="J474">
        <v>153902.60999999999</v>
      </c>
      <c r="K474">
        <v>0</v>
      </c>
      <c r="L474">
        <v>1297829.68</v>
      </c>
      <c r="M474">
        <v>58570450.420000002</v>
      </c>
      <c r="N474" s="143">
        <v>42823.728314814813</v>
      </c>
      <c r="O474" s="143">
        <v>43556</v>
      </c>
      <c r="P474" t="s">
        <v>1525</v>
      </c>
      <c r="Q474" t="s">
        <v>1526</v>
      </c>
      <c r="R474" t="s">
        <v>1280</v>
      </c>
      <c r="S474" t="s">
        <v>1510</v>
      </c>
      <c r="T474">
        <v>36</v>
      </c>
      <c r="U474">
        <f>IF(Table__192.168.1.150_M_CONSOLIDATED_Delinquency_Compulsory_EOM[[#This Row],[Days in Arrears]] &lt; 8, Table__192.168.1.150_M_CONSOLIDATED_Delinquency_Compulsory_EOM[[#This Row],[Outstanding Balance]], 0 )</f>
        <v>44752747.549999997</v>
      </c>
      <c r="V4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4" s="105" t="str">
        <f>VLOOKUP(Table__192.168.1.150_M_CONSOLIDATED_Delinquency_Compulsory_EOM[[#This Row],[Client No]],'Global Portfolio'!$B$2:$N$2500,10,FALSE)</f>
        <v>Retail</v>
      </c>
      <c r="AA474" s="105" t="str">
        <f>VLOOKUP(Table__192.168.1.150_M_CONSOLIDATED_Delinquency_Compulsory_EOM[[#This Row],[Client No]],'Global Portfolio'!$B$2:$N$2500,11,FALSE)</f>
        <v>General Merchandise Stores</v>
      </c>
      <c r="AB474" s="105" t="str">
        <f>VLOOKUP(Table__192.168.1.150_M_CONSOLIDATED_Delinquency_Compulsory_EOM[[#This Row],[Client No]],'Global Portfolio'!$B$2:$N$2500,12,FALSE)</f>
        <v>General Stores</v>
      </c>
    </row>
    <row r="475" spans="1:28" x14ac:dyDescent="0.25">
      <c r="A475">
        <v>103148</v>
      </c>
      <c r="B475" t="s">
        <v>634</v>
      </c>
      <c r="C475" t="s">
        <v>635</v>
      </c>
      <c r="D475" t="s">
        <v>1283</v>
      </c>
      <c r="E475">
        <v>0</v>
      </c>
      <c r="F475">
        <v>35000000</v>
      </c>
      <c r="G475">
        <v>28451425.239999998</v>
      </c>
      <c r="H475">
        <v>2068666.02</v>
      </c>
      <c r="I475" t="s">
        <v>86</v>
      </c>
      <c r="J475">
        <v>247700.88</v>
      </c>
      <c r="K475">
        <v>750000</v>
      </c>
      <c r="L475">
        <v>1368659.13</v>
      </c>
      <c r="M475">
        <v>37235988.490000002</v>
      </c>
      <c r="N475" s="143">
        <v>42824.69433283565</v>
      </c>
      <c r="O475" s="143">
        <v>43556</v>
      </c>
      <c r="P475" t="s">
        <v>636</v>
      </c>
      <c r="Q475" t="s">
        <v>637</v>
      </c>
      <c r="R475" t="s">
        <v>1280</v>
      </c>
      <c r="S475" t="s">
        <v>1510</v>
      </c>
      <c r="T475">
        <v>36</v>
      </c>
      <c r="U475">
        <f>IF(Table__192.168.1.150_M_CONSOLIDATED_Delinquency_Compulsory_EOM[[#This Row],[Days in Arrears]] &lt; 8, Table__192.168.1.150_M_CONSOLIDATED_Delinquency_Compulsory_EOM[[#This Row],[Outstanding Balance]], 0 )</f>
        <v>28451425.239999998</v>
      </c>
      <c r="V4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5" s="105" t="str">
        <f>VLOOKUP(Table__192.168.1.150_M_CONSOLIDATED_Delinquency_Compulsory_EOM[[#This Row],[Client No]],'Global Portfolio'!$B$2:$N$2500,10,FALSE)</f>
        <v>Retail</v>
      </c>
      <c r="AA475" s="105" t="str">
        <f>VLOOKUP(Table__192.168.1.150_M_CONSOLIDATED_Delinquency_Compulsory_EOM[[#This Row],[Client No]],'Global Portfolio'!$B$2:$N$2500,11,FALSE)</f>
        <v>Second Hand -Clothing and  Accessories</v>
      </c>
      <c r="AB475" s="105" t="str">
        <f>VLOOKUP(Table__192.168.1.150_M_CONSOLIDATED_Delinquency_Compulsory_EOM[[#This Row],[Client No]],'Global Portfolio'!$B$2:$N$2500,12,FALSE)</f>
        <v>Others</v>
      </c>
    </row>
    <row r="476" spans="1:28" x14ac:dyDescent="0.25">
      <c r="A476">
        <v>103149</v>
      </c>
      <c r="B476" t="s">
        <v>4420</v>
      </c>
      <c r="C476" t="s">
        <v>4424</v>
      </c>
      <c r="D476" t="s">
        <v>1281</v>
      </c>
      <c r="E476">
        <v>30</v>
      </c>
      <c r="F476">
        <v>20000000</v>
      </c>
      <c r="G476">
        <v>12807037.58</v>
      </c>
      <c r="H476">
        <v>2133775.56</v>
      </c>
      <c r="I476" t="s">
        <v>2861</v>
      </c>
      <c r="J476">
        <v>0</v>
      </c>
      <c r="K476">
        <v>0</v>
      </c>
      <c r="L476">
        <v>944789.18</v>
      </c>
      <c r="M476">
        <v>14939164.550000001</v>
      </c>
      <c r="N476" s="143">
        <v>42825.540685879627</v>
      </c>
      <c r="O476" s="143">
        <v>43192</v>
      </c>
      <c r="P476" t="s">
        <v>4425</v>
      </c>
      <c r="Q476" t="s">
        <v>1280</v>
      </c>
      <c r="R476" t="s">
        <v>1280</v>
      </c>
      <c r="S476" t="s">
        <v>1510</v>
      </c>
      <c r="T476">
        <v>48</v>
      </c>
      <c r="U476">
        <f>IF(Table__192.168.1.150_M_CONSOLIDATED_Delinquency_Compulsory_EOM[[#This Row],[Days in Arrears]] &lt; 8, Table__192.168.1.150_M_CONSOLIDATED_Delinquency_Compulsory_EOM[[#This Row],[Outstanding Balance]], 0 )</f>
        <v>0</v>
      </c>
      <c r="V4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12807037.58</v>
      </c>
      <c r="X4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6" s="105" t="str">
        <f>VLOOKUP(Table__192.168.1.150_M_CONSOLIDATED_Delinquency_Compulsory_EOM[[#This Row],[Client No]],'Global Portfolio'!$B$2:$N$2500,10,FALSE)</f>
        <v>Retail</v>
      </c>
      <c r="AA476" s="105" t="str">
        <f>VLOOKUP(Table__192.168.1.150_M_CONSOLIDATED_Delinquency_Compulsory_EOM[[#This Row],[Client No]],'Global Portfolio'!$B$2:$N$2500,11,FALSE)</f>
        <v>New-Clothing and  Accessories</v>
      </c>
      <c r="AB476" s="105" t="str">
        <f>VLOOKUP(Table__192.168.1.150_M_CONSOLIDATED_Delinquency_Compulsory_EOM[[#This Row],[Client No]],'Global Portfolio'!$B$2:$N$2500,12,FALSE)</f>
        <v>Clothing Stores</v>
      </c>
    </row>
    <row r="477" spans="1:28" x14ac:dyDescent="0.25">
      <c r="A477">
        <v>103151</v>
      </c>
      <c r="B477" t="s">
        <v>1143</v>
      </c>
      <c r="C477" t="s">
        <v>2351</v>
      </c>
      <c r="D477" t="s">
        <v>1282</v>
      </c>
      <c r="E477">
        <v>0</v>
      </c>
      <c r="F477">
        <v>5000000</v>
      </c>
      <c r="G477">
        <v>2799966.38</v>
      </c>
      <c r="H477">
        <v>534126.92000000004</v>
      </c>
      <c r="I477" t="s">
        <v>1909</v>
      </c>
      <c r="J477">
        <v>163346.17000000001</v>
      </c>
      <c r="K477">
        <v>500000</v>
      </c>
      <c r="L477">
        <v>108265.37</v>
      </c>
      <c r="M477">
        <v>3204761.48</v>
      </c>
      <c r="N477" s="143">
        <v>42823.699560844907</v>
      </c>
      <c r="O477" s="143">
        <v>43191</v>
      </c>
      <c r="P477" t="s">
        <v>2352</v>
      </c>
      <c r="Q477" t="s">
        <v>2353</v>
      </c>
      <c r="R477" t="s">
        <v>1280</v>
      </c>
      <c r="S477" t="s">
        <v>1510</v>
      </c>
      <c r="T477">
        <v>48</v>
      </c>
      <c r="U477">
        <f>IF(Table__192.168.1.150_M_CONSOLIDATED_Delinquency_Compulsory_EOM[[#This Row],[Days in Arrears]] &lt; 8, Table__192.168.1.150_M_CONSOLIDATED_Delinquency_Compulsory_EOM[[#This Row],[Outstanding Balance]], 0 )</f>
        <v>2799966.38</v>
      </c>
      <c r="V4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7" s="105" t="str">
        <f>VLOOKUP(Table__192.168.1.150_M_CONSOLIDATED_Delinquency_Compulsory_EOM[[#This Row],[Client No]],'Global Portfolio'!$B$2:$N$2500,10,FALSE)</f>
        <v>Real Estate and Rental</v>
      </c>
      <c r="AA477" s="105" t="str">
        <f>VLOOKUP(Table__192.168.1.150_M_CONSOLIDATED_Delinquency_Compulsory_EOM[[#This Row],[Client No]],'Global Portfolio'!$B$2:$N$2500,11,FALSE)</f>
        <v>Rental</v>
      </c>
      <c r="AB477" s="105" t="str">
        <f>VLOOKUP(Table__192.168.1.150_M_CONSOLIDATED_Delinquency_Compulsory_EOM[[#This Row],[Client No]],'Global Portfolio'!$B$2:$N$2500,12,FALSE)</f>
        <v>Others</v>
      </c>
    </row>
    <row r="478" spans="1:28" x14ac:dyDescent="0.25">
      <c r="A478">
        <v>103152</v>
      </c>
      <c r="B478" t="s">
        <v>4417</v>
      </c>
      <c r="C478" t="s">
        <v>4426</v>
      </c>
      <c r="D478" t="s">
        <v>1282</v>
      </c>
      <c r="E478">
        <v>0</v>
      </c>
      <c r="F478">
        <v>6000000</v>
      </c>
      <c r="G478">
        <v>3398736.85</v>
      </c>
      <c r="H478">
        <v>658941.63</v>
      </c>
      <c r="I478" t="s">
        <v>1039</v>
      </c>
      <c r="J478">
        <v>0</v>
      </c>
      <c r="K478">
        <v>600000</v>
      </c>
      <c r="L478">
        <v>147845.04999999999</v>
      </c>
      <c r="M478">
        <v>3953649.72</v>
      </c>
      <c r="N478" s="143">
        <v>42825.540231712963</v>
      </c>
      <c r="O478" s="143">
        <v>43191</v>
      </c>
      <c r="P478" t="s">
        <v>4427</v>
      </c>
      <c r="Q478" t="s">
        <v>1280</v>
      </c>
      <c r="R478" t="s">
        <v>1280</v>
      </c>
      <c r="S478" t="s">
        <v>1510</v>
      </c>
      <c r="T478">
        <v>54</v>
      </c>
      <c r="U478">
        <f>IF(Table__192.168.1.150_M_CONSOLIDATED_Delinquency_Compulsory_EOM[[#This Row],[Days in Arrears]] &lt; 8, Table__192.168.1.150_M_CONSOLIDATED_Delinquency_Compulsory_EOM[[#This Row],[Outstanding Balance]], 0 )</f>
        <v>3398736.85</v>
      </c>
      <c r="V4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8" s="105" t="str">
        <f>VLOOKUP(Table__192.168.1.150_M_CONSOLIDATED_Delinquency_Compulsory_EOM[[#This Row],[Client No]],'Global Portfolio'!$B$2:$N$2500,10,FALSE)</f>
        <v>Wholesale Trade</v>
      </c>
      <c r="AA478" s="105" t="str">
        <f>VLOOKUP(Table__192.168.1.150_M_CONSOLIDATED_Delinquency_Compulsory_EOM[[#This Row],[Client No]],'Global Portfolio'!$B$2:$N$2500,11,FALSE)</f>
        <v>Others</v>
      </c>
      <c r="AB478" s="105" t="str">
        <f>VLOOKUP(Table__192.168.1.150_M_CONSOLIDATED_Delinquency_Compulsory_EOM[[#This Row],[Client No]],'Global Portfolio'!$B$2:$N$2500,12,FALSE)</f>
        <v>Others</v>
      </c>
    </row>
    <row r="479" spans="1:28" x14ac:dyDescent="0.25">
      <c r="A479">
        <v>103155</v>
      </c>
      <c r="B479" t="s">
        <v>211</v>
      </c>
      <c r="C479" t="s">
        <v>212</v>
      </c>
      <c r="D479" t="s">
        <v>1279</v>
      </c>
      <c r="E479">
        <v>30</v>
      </c>
      <c r="F479">
        <v>2500000</v>
      </c>
      <c r="G479">
        <v>1600879.67</v>
      </c>
      <c r="H479">
        <v>266721.95</v>
      </c>
      <c r="I479" t="s">
        <v>1448</v>
      </c>
      <c r="J479">
        <v>0</v>
      </c>
      <c r="K479">
        <v>250000</v>
      </c>
      <c r="L479">
        <v>84820.6</v>
      </c>
      <c r="M479">
        <v>1833775.54</v>
      </c>
      <c r="N479" s="143">
        <v>42825.804170289353</v>
      </c>
      <c r="O479" s="143">
        <v>43191</v>
      </c>
      <c r="P479" t="s">
        <v>213</v>
      </c>
      <c r="Q479" t="s">
        <v>214</v>
      </c>
      <c r="R479" t="s">
        <v>1280</v>
      </c>
      <c r="S479" t="s">
        <v>1510</v>
      </c>
      <c r="T479">
        <v>48</v>
      </c>
      <c r="U479">
        <f>IF(Table__192.168.1.150_M_CONSOLIDATED_Delinquency_Compulsory_EOM[[#This Row],[Days in Arrears]] &lt; 8, Table__192.168.1.150_M_CONSOLIDATED_Delinquency_Compulsory_EOM[[#This Row],[Outstanding Balance]], 0 )</f>
        <v>0</v>
      </c>
      <c r="V4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1600879.67</v>
      </c>
      <c r="X4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79" s="105" t="str">
        <f>VLOOKUP(Table__192.168.1.150_M_CONSOLIDATED_Delinquency_Compulsory_EOM[[#This Row],[Client No]],'Global Portfolio'!$B$2:$N$2500,10,FALSE)</f>
        <v>Retail</v>
      </c>
      <c r="AA479" s="105" t="str">
        <f>VLOOKUP(Table__192.168.1.150_M_CONSOLIDATED_Delinquency_Compulsory_EOM[[#This Row],[Client No]],'Global Portfolio'!$B$2:$N$2500,11,FALSE)</f>
        <v>Others</v>
      </c>
      <c r="AB479" s="105" t="str">
        <f>VLOOKUP(Table__192.168.1.150_M_CONSOLIDATED_Delinquency_Compulsory_EOM[[#This Row],[Client No]],'Global Portfolio'!$B$2:$N$2500,12,FALSE)</f>
        <v>Others</v>
      </c>
    </row>
    <row r="480" spans="1:28" x14ac:dyDescent="0.25">
      <c r="A480">
        <v>103158</v>
      </c>
      <c r="B480" t="s">
        <v>102</v>
      </c>
      <c r="C480" t="s">
        <v>261</v>
      </c>
      <c r="D480" t="s">
        <v>1866</v>
      </c>
      <c r="E480">
        <v>-2</v>
      </c>
      <c r="F480">
        <v>10000000</v>
      </c>
      <c r="G480">
        <v>5538064.9800000004</v>
      </c>
      <c r="H480">
        <v>1045015.67</v>
      </c>
      <c r="I480" t="s">
        <v>90</v>
      </c>
      <c r="J480">
        <v>37698.019999999997</v>
      </c>
      <c r="K480">
        <v>1000000</v>
      </c>
      <c r="L480">
        <v>182756.14</v>
      </c>
      <c r="M480">
        <v>6270094.0099999998</v>
      </c>
      <c r="N480" s="143">
        <v>42828.694925266202</v>
      </c>
      <c r="O480" s="143">
        <v>43193</v>
      </c>
      <c r="P480" t="s">
        <v>262</v>
      </c>
      <c r="Q480" t="s">
        <v>263</v>
      </c>
      <c r="R480" t="s">
        <v>1280</v>
      </c>
      <c r="S480" t="s">
        <v>1510</v>
      </c>
      <c r="T480">
        <v>44</v>
      </c>
      <c r="U480">
        <f>IF(Table__192.168.1.150_M_CONSOLIDATED_Delinquency_Compulsory_EOM[[#This Row],[Days in Arrears]] &lt; 8, Table__192.168.1.150_M_CONSOLIDATED_Delinquency_Compulsory_EOM[[#This Row],[Outstanding Balance]], 0 )</f>
        <v>5538064.9800000004</v>
      </c>
      <c r="V4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0" s="105" t="str">
        <f>VLOOKUP(Table__192.168.1.150_M_CONSOLIDATED_Delinquency_Compulsory_EOM[[#This Row],[Client No]],'Global Portfolio'!$B$2:$N$2500,10,FALSE)</f>
        <v>Wholesale Trade</v>
      </c>
      <c r="AA480" s="105" t="str">
        <f>VLOOKUP(Table__192.168.1.150_M_CONSOLIDATED_Delinquency_Compulsory_EOM[[#This Row],[Client No]],'Global Portfolio'!$B$2:$N$2500,11,FALSE)</f>
        <v>Others</v>
      </c>
      <c r="AB480" s="105" t="str">
        <f>VLOOKUP(Table__192.168.1.150_M_CONSOLIDATED_Delinquency_Compulsory_EOM[[#This Row],[Client No]],'Global Portfolio'!$B$2:$N$2500,12,FALSE)</f>
        <v>Others</v>
      </c>
    </row>
    <row r="481" spans="1:28" x14ac:dyDescent="0.25">
      <c r="A481">
        <v>103160</v>
      </c>
      <c r="B481" t="s">
        <v>4471</v>
      </c>
      <c r="C481" t="s">
        <v>4472</v>
      </c>
      <c r="D481" t="s">
        <v>1284</v>
      </c>
      <c r="E481">
        <v>-6</v>
      </c>
      <c r="F481">
        <v>55000000</v>
      </c>
      <c r="G481">
        <v>40133337.729999997</v>
      </c>
      <c r="H481">
        <v>4112522.63</v>
      </c>
      <c r="I481" t="s">
        <v>2175</v>
      </c>
      <c r="J481">
        <v>2149749.48</v>
      </c>
      <c r="K481">
        <v>0</v>
      </c>
      <c r="L481">
        <v>1025629.74</v>
      </c>
      <c r="M481">
        <v>49350271.549999997</v>
      </c>
      <c r="N481" s="143">
        <v>42832.668168750002</v>
      </c>
      <c r="O481" s="143">
        <v>43380</v>
      </c>
      <c r="P481" t="s">
        <v>4473</v>
      </c>
      <c r="Q481" t="s">
        <v>1280</v>
      </c>
      <c r="R481" t="s">
        <v>1280</v>
      </c>
      <c r="S481" t="s">
        <v>1510</v>
      </c>
      <c r="T481">
        <v>40</v>
      </c>
      <c r="U481">
        <f>IF(Table__192.168.1.150_M_CONSOLIDATED_Delinquency_Compulsory_EOM[[#This Row],[Days in Arrears]] &lt; 8, Table__192.168.1.150_M_CONSOLIDATED_Delinquency_Compulsory_EOM[[#This Row],[Outstanding Balance]], 0 )</f>
        <v>40133337.729999997</v>
      </c>
      <c r="V4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1" s="105" t="str">
        <f>VLOOKUP(Table__192.168.1.150_M_CONSOLIDATED_Delinquency_Compulsory_EOM[[#This Row],[Client No]],'Global Portfolio'!$B$2:$N$2500,10,FALSE)</f>
        <v>Wholesale Trade</v>
      </c>
      <c r="AA481" s="105" t="str">
        <f>VLOOKUP(Table__192.168.1.150_M_CONSOLIDATED_Delinquency_Compulsory_EOM[[#This Row],[Client No]],'Global Portfolio'!$B$2:$N$2500,11,FALSE)</f>
        <v>Durable Goods</v>
      </c>
      <c r="AB481" s="105" t="str">
        <f>VLOOKUP(Table__192.168.1.150_M_CONSOLIDATED_Delinquency_Compulsory_EOM[[#This Row],[Client No]],'Global Portfolio'!$B$2:$N$2500,12,FALSE)</f>
        <v>Furniture &amp; Home Furnishings</v>
      </c>
    </row>
    <row r="482" spans="1:28" x14ac:dyDescent="0.25">
      <c r="A482">
        <v>103161</v>
      </c>
      <c r="B482" t="s">
        <v>4486</v>
      </c>
      <c r="C482" t="s">
        <v>4487</v>
      </c>
      <c r="D482" t="s">
        <v>1279</v>
      </c>
      <c r="E482">
        <v>-9</v>
      </c>
      <c r="F482">
        <v>4000000</v>
      </c>
      <c r="G482">
        <v>1135658.06</v>
      </c>
      <c r="H482">
        <v>606438.61</v>
      </c>
      <c r="I482" t="s">
        <v>2494</v>
      </c>
      <c r="J482">
        <v>0</v>
      </c>
      <c r="K482">
        <v>400000</v>
      </c>
      <c r="L482">
        <v>34069.74</v>
      </c>
      <c r="M482">
        <v>1212877.25</v>
      </c>
      <c r="N482" s="143">
        <v>42835.743929548611</v>
      </c>
      <c r="O482" s="143">
        <v>43079</v>
      </c>
      <c r="P482" t="s">
        <v>4488</v>
      </c>
      <c r="Q482" t="s">
        <v>4489</v>
      </c>
      <c r="R482" t="s">
        <v>1280</v>
      </c>
      <c r="S482" t="s">
        <v>1510</v>
      </c>
      <c r="T482">
        <v>54</v>
      </c>
      <c r="U482">
        <f>IF(Table__192.168.1.150_M_CONSOLIDATED_Delinquency_Compulsory_EOM[[#This Row],[Days in Arrears]] &lt; 8, Table__192.168.1.150_M_CONSOLIDATED_Delinquency_Compulsory_EOM[[#This Row],[Outstanding Balance]], 0 )</f>
        <v>1135658.06</v>
      </c>
      <c r="V4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2" s="105" t="str">
        <f>VLOOKUP(Table__192.168.1.150_M_CONSOLIDATED_Delinquency_Compulsory_EOM[[#This Row],[Client No]],'Global Portfolio'!$B$2:$N$2500,10,FALSE)</f>
        <v>Retail</v>
      </c>
      <c r="AA482" s="105" t="str">
        <f>VLOOKUP(Table__192.168.1.150_M_CONSOLIDATED_Delinquency_Compulsory_EOM[[#This Row],[Client No]],'Global Portfolio'!$B$2:$N$2500,11,FALSE)</f>
        <v>General Merchandise Stores</v>
      </c>
      <c r="AB482" s="105" t="str">
        <f>VLOOKUP(Table__192.168.1.150_M_CONSOLIDATED_Delinquency_Compulsory_EOM[[#This Row],[Client No]],'Global Portfolio'!$B$2:$N$2500,12,FALSE)</f>
        <v>General Stores</v>
      </c>
    </row>
    <row r="483" spans="1:28" x14ac:dyDescent="0.25">
      <c r="A483">
        <v>103162</v>
      </c>
      <c r="B483" t="s">
        <v>2035</v>
      </c>
      <c r="C483" t="s">
        <v>2039</v>
      </c>
      <c r="D483" t="s">
        <v>1283</v>
      </c>
      <c r="E483">
        <v>20</v>
      </c>
      <c r="F483">
        <v>45000000</v>
      </c>
      <c r="G483">
        <v>34796417.969999999</v>
      </c>
      <c r="H483">
        <v>3271891.32</v>
      </c>
      <c r="I483" t="s">
        <v>5725</v>
      </c>
      <c r="J483">
        <v>0</v>
      </c>
      <c r="K483">
        <v>0</v>
      </c>
      <c r="L483">
        <v>2243614.96</v>
      </c>
      <c r="M483">
        <v>42534369.700000003</v>
      </c>
      <c r="N483" s="143">
        <v>42836.656538773146</v>
      </c>
      <c r="O483" s="143">
        <v>43384</v>
      </c>
      <c r="P483" t="s">
        <v>2040</v>
      </c>
      <c r="Q483" t="s">
        <v>2041</v>
      </c>
      <c r="R483" t="s">
        <v>1280</v>
      </c>
      <c r="S483" t="s">
        <v>1510</v>
      </c>
      <c r="T483">
        <v>36</v>
      </c>
      <c r="U483">
        <f>IF(Table__192.168.1.150_M_CONSOLIDATED_Delinquency_Compulsory_EOM[[#This Row],[Days in Arrears]] &lt; 8, Table__192.168.1.150_M_CONSOLIDATED_Delinquency_Compulsory_EOM[[#This Row],[Outstanding Balance]], 0 )</f>
        <v>0</v>
      </c>
      <c r="V4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34796417.969999999</v>
      </c>
      <c r="W4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3" s="105" t="str">
        <f>VLOOKUP(Table__192.168.1.150_M_CONSOLIDATED_Delinquency_Compulsory_EOM[[#This Row],[Client No]],'Global Portfolio'!$B$2:$N$2500,10,FALSE)</f>
        <v>Retail</v>
      </c>
      <c r="AA483" s="105" t="str">
        <f>VLOOKUP(Table__192.168.1.150_M_CONSOLIDATED_Delinquency_Compulsory_EOM[[#This Row],[Client No]],'Global Portfolio'!$B$2:$N$2500,11,FALSE)</f>
        <v>General Merchandise Stores</v>
      </c>
      <c r="AB483" s="105" t="str">
        <f>VLOOKUP(Table__192.168.1.150_M_CONSOLIDATED_Delinquency_Compulsory_EOM[[#This Row],[Client No]],'Global Portfolio'!$B$2:$N$2500,12,FALSE)</f>
        <v>General Stores</v>
      </c>
    </row>
    <row r="484" spans="1:28" x14ac:dyDescent="0.25">
      <c r="A484">
        <v>103163</v>
      </c>
      <c r="B484" t="s">
        <v>845</v>
      </c>
      <c r="C484" t="s">
        <v>850</v>
      </c>
      <c r="D484" t="s">
        <v>1283</v>
      </c>
      <c r="E484">
        <v>-10</v>
      </c>
      <c r="F484">
        <v>50000000</v>
      </c>
      <c r="G484">
        <v>40605470.369999997</v>
      </c>
      <c r="H484">
        <v>2952370.8</v>
      </c>
      <c r="I484" t="s">
        <v>86</v>
      </c>
      <c r="J484">
        <v>0</v>
      </c>
      <c r="K484">
        <v>1271370.45</v>
      </c>
      <c r="L484">
        <v>1241130.45</v>
      </c>
      <c r="M484">
        <v>53142674.329999998</v>
      </c>
      <c r="N484" s="143">
        <v>42836.70204290509</v>
      </c>
      <c r="O484" s="143">
        <v>43566</v>
      </c>
      <c r="P484" t="s">
        <v>851</v>
      </c>
      <c r="Q484" t="s">
        <v>852</v>
      </c>
      <c r="R484" t="s">
        <v>1280</v>
      </c>
      <c r="S484" t="s">
        <v>1510</v>
      </c>
      <c r="T484">
        <v>36</v>
      </c>
      <c r="U484">
        <f>IF(Table__192.168.1.150_M_CONSOLIDATED_Delinquency_Compulsory_EOM[[#This Row],[Days in Arrears]] &lt; 8, Table__192.168.1.150_M_CONSOLIDATED_Delinquency_Compulsory_EOM[[#This Row],[Outstanding Balance]], 0 )</f>
        <v>40605470.369999997</v>
      </c>
      <c r="V4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4" s="105" t="str">
        <f>VLOOKUP(Table__192.168.1.150_M_CONSOLIDATED_Delinquency_Compulsory_EOM[[#This Row],[Client No]],'Global Portfolio'!$B$2:$N$2500,10,FALSE)</f>
        <v>Wholesale Trade</v>
      </c>
      <c r="AA484" s="105" t="str">
        <f>VLOOKUP(Table__192.168.1.150_M_CONSOLIDATED_Delinquency_Compulsory_EOM[[#This Row],[Client No]],'Global Portfolio'!$B$2:$N$2500,11,FALSE)</f>
        <v>Others</v>
      </c>
      <c r="AB484" s="105" t="str">
        <f>VLOOKUP(Table__192.168.1.150_M_CONSOLIDATED_Delinquency_Compulsory_EOM[[#This Row],[Client No]],'Global Portfolio'!$B$2:$N$2500,12,FALSE)</f>
        <v>Others</v>
      </c>
    </row>
    <row r="485" spans="1:28" x14ac:dyDescent="0.25">
      <c r="A485">
        <v>103164</v>
      </c>
      <c r="B485" t="s">
        <v>747</v>
      </c>
      <c r="C485" t="s">
        <v>751</v>
      </c>
      <c r="D485" t="s">
        <v>1283</v>
      </c>
      <c r="E485">
        <v>20</v>
      </c>
      <c r="F485">
        <v>45000000</v>
      </c>
      <c r="G485">
        <v>36108753.939999998</v>
      </c>
      <c r="H485">
        <v>3024706.84</v>
      </c>
      <c r="I485" t="s">
        <v>1191</v>
      </c>
      <c r="J485">
        <v>0</v>
      </c>
      <c r="K485">
        <v>2250000</v>
      </c>
      <c r="L485">
        <v>1732148.34</v>
      </c>
      <c r="M485">
        <v>45370309.490000002</v>
      </c>
      <c r="N485" s="143">
        <v>42836.730920254631</v>
      </c>
      <c r="O485" s="143">
        <v>43445</v>
      </c>
      <c r="P485" t="s">
        <v>752</v>
      </c>
      <c r="Q485" t="s">
        <v>1280</v>
      </c>
      <c r="R485" t="s">
        <v>1280</v>
      </c>
      <c r="S485" t="s">
        <v>1510</v>
      </c>
      <c r="T485">
        <v>36</v>
      </c>
      <c r="U485">
        <f>IF(Table__192.168.1.150_M_CONSOLIDATED_Delinquency_Compulsory_EOM[[#This Row],[Days in Arrears]] &lt; 8, Table__192.168.1.150_M_CONSOLIDATED_Delinquency_Compulsory_EOM[[#This Row],[Outstanding Balance]], 0 )</f>
        <v>0</v>
      </c>
      <c r="V4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36108753.939999998</v>
      </c>
      <c r="W4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5" s="105" t="str">
        <f>VLOOKUP(Table__192.168.1.150_M_CONSOLIDATED_Delinquency_Compulsory_EOM[[#This Row],[Client No]],'Global Portfolio'!$B$2:$N$2500,10,FALSE)</f>
        <v>Transportation and Warehousing</v>
      </c>
      <c r="AA485" s="105" t="str">
        <f>VLOOKUP(Table__192.168.1.150_M_CONSOLIDATED_Delinquency_Compulsory_EOM[[#This Row],[Client No]],'Global Portfolio'!$B$2:$N$2500,11,FALSE)</f>
        <v>Truck Transportation</v>
      </c>
      <c r="AB485" s="105" t="str">
        <f>VLOOKUP(Table__192.168.1.150_M_CONSOLIDATED_Delinquency_Compulsory_EOM[[#This Row],[Client No]],'Global Portfolio'!$B$2:$N$2500,12,FALSE)</f>
        <v>General Freight Trucking, Long-distance</v>
      </c>
    </row>
    <row r="486" spans="1:28" x14ac:dyDescent="0.25">
      <c r="A486">
        <v>103167</v>
      </c>
      <c r="B486" t="s">
        <v>2716</v>
      </c>
      <c r="C486" t="s">
        <v>2717</v>
      </c>
      <c r="D486" t="s">
        <v>1282</v>
      </c>
      <c r="E486">
        <v>-11</v>
      </c>
      <c r="F486">
        <v>3500000</v>
      </c>
      <c r="G486">
        <v>1954963.78</v>
      </c>
      <c r="H486">
        <v>372932.6</v>
      </c>
      <c r="I486" t="s">
        <v>2494</v>
      </c>
      <c r="J486">
        <v>0</v>
      </c>
      <c r="K486">
        <v>350000</v>
      </c>
      <c r="L486">
        <v>46919.13</v>
      </c>
      <c r="M486">
        <v>2237595.66</v>
      </c>
      <c r="N486" s="143">
        <v>42837.703277581022</v>
      </c>
      <c r="O486" s="143">
        <v>43202</v>
      </c>
      <c r="P486" t="s">
        <v>2718</v>
      </c>
      <c r="Q486" t="s">
        <v>2719</v>
      </c>
      <c r="R486" t="s">
        <v>1280</v>
      </c>
      <c r="S486" t="s">
        <v>1510</v>
      </c>
      <c r="T486">
        <v>48</v>
      </c>
      <c r="U486">
        <f>IF(Table__192.168.1.150_M_CONSOLIDATED_Delinquency_Compulsory_EOM[[#This Row],[Days in Arrears]] &lt; 8, Table__192.168.1.150_M_CONSOLIDATED_Delinquency_Compulsory_EOM[[#This Row],[Outstanding Balance]], 0 )</f>
        <v>1954963.78</v>
      </c>
      <c r="V4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6" s="105" t="str">
        <f>VLOOKUP(Table__192.168.1.150_M_CONSOLIDATED_Delinquency_Compulsory_EOM[[#This Row],[Client No]],'Global Portfolio'!$B$2:$N$2500,10,FALSE)</f>
        <v>Retail</v>
      </c>
      <c r="AA486" s="105" t="str">
        <f>VLOOKUP(Table__192.168.1.150_M_CONSOLIDATED_Delinquency_Compulsory_EOM[[#This Row],[Client No]],'Global Portfolio'!$B$2:$N$2500,11,FALSE)</f>
        <v>Furniture and Home Furnishings Stores</v>
      </c>
      <c r="AB486" s="105" t="str">
        <f>VLOOKUP(Table__192.168.1.150_M_CONSOLIDATED_Delinquency_Compulsory_EOM[[#This Row],[Client No]],'Global Portfolio'!$B$2:$N$2500,12,FALSE)</f>
        <v>Others</v>
      </c>
    </row>
    <row r="487" spans="1:28" x14ac:dyDescent="0.25">
      <c r="A487">
        <v>103168</v>
      </c>
      <c r="B487" t="s">
        <v>4502</v>
      </c>
      <c r="C487" t="s">
        <v>4505</v>
      </c>
      <c r="D487" t="s">
        <v>1282</v>
      </c>
      <c r="E487">
        <v>-14</v>
      </c>
      <c r="F487">
        <v>2500000</v>
      </c>
      <c r="G487">
        <v>709786.29</v>
      </c>
      <c r="H487">
        <v>379024.13</v>
      </c>
      <c r="I487" t="s">
        <v>468</v>
      </c>
      <c r="J487">
        <v>1371673.97</v>
      </c>
      <c r="K487">
        <v>250000</v>
      </c>
      <c r="L487">
        <v>15970.19</v>
      </c>
      <c r="M487">
        <v>758048.28</v>
      </c>
      <c r="N487" s="143">
        <v>42840.496137534719</v>
      </c>
      <c r="O487" s="143">
        <v>43084</v>
      </c>
      <c r="P487" t="s">
        <v>4506</v>
      </c>
      <c r="Q487" t="s">
        <v>1280</v>
      </c>
      <c r="R487" t="s">
        <v>1280</v>
      </c>
      <c r="S487" t="s">
        <v>1510</v>
      </c>
      <c r="T487">
        <v>54</v>
      </c>
      <c r="U487">
        <f>IF(Table__192.168.1.150_M_CONSOLIDATED_Delinquency_Compulsory_EOM[[#This Row],[Days in Arrears]] &lt; 8, Table__192.168.1.150_M_CONSOLIDATED_Delinquency_Compulsory_EOM[[#This Row],[Outstanding Balance]], 0 )</f>
        <v>709786.29</v>
      </c>
      <c r="V4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7" s="105" t="str">
        <f>VLOOKUP(Table__192.168.1.150_M_CONSOLIDATED_Delinquency_Compulsory_EOM[[#This Row],[Client No]],'Global Portfolio'!$B$2:$N$2500,10,FALSE)</f>
        <v>Real Estate and Rental</v>
      </c>
      <c r="AA487" s="105" t="str">
        <f>VLOOKUP(Table__192.168.1.150_M_CONSOLIDATED_Delinquency_Compulsory_EOM[[#This Row],[Client No]],'Global Portfolio'!$B$2:$N$2500,11,FALSE)</f>
        <v>Rental</v>
      </c>
      <c r="AB487" s="105" t="str">
        <f>VLOOKUP(Table__192.168.1.150_M_CONSOLIDATED_Delinquency_Compulsory_EOM[[#This Row],[Client No]],'Global Portfolio'!$B$2:$N$2500,12,FALSE)</f>
        <v>General Rental Centers</v>
      </c>
    </row>
    <row r="488" spans="1:28" x14ac:dyDescent="0.25">
      <c r="A488">
        <v>103169</v>
      </c>
      <c r="B488" t="s">
        <v>4503</v>
      </c>
      <c r="C488" t="s">
        <v>4507</v>
      </c>
      <c r="D488" t="s">
        <v>1284</v>
      </c>
      <c r="E488">
        <v>-12</v>
      </c>
      <c r="F488">
        <v>25000000</v>
      </c>
      <c r="G488">
        <v>20457792.91</v>
      </c>
      <c r="H488">
        <v>1529693.39</v>
      </c>
      <c r="I488" t="s">
        <v>1925</v>
      </c>
      <c r="J488">
        <v>59306.61</v>
      </c>
      <c r="K488">
        <v>1250000</v>
      </c>
      <c r="L488">
        <v>386424.98</v>
      </c>
      <c r="M488">
        <v>27534480.949999999</v>
      </c>
      <c r="N488" s="143">
        <v>42838.697300960652</v>
      </c>
      <c r="O488" s="143">
        <v>43568</v>
      </c>
      <c r="P488" t="s">
        <v>4508</v>
      </c>
      <c r="Q488" t="s">
        <v>4509</v>
      </c>
      <c r="R488" t="s">
        <v>1280</v>
      </c>
      <c r="S488" t="s">
        <v>1510</v>
      </c>
      <c r="T488">
        <v>40</v>
      </c>
      <c r="U488">
        <f>IF(Table__192.168.1.150_M_CONSOLIDATED_Delinquency_Compulsory_EOM[[#This Row],[Days in Arrears]] &lt; 8, Table__192.168.1.150_M_CONSOLIDATED_Delinquency_Compulsory_EOM[[#This Row],[Outstanding Balance]], 0 )</f>
        <v>20457792.91</v>
      </c>
      <c r="V4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8" s="105" t="str">
        <f>VLOOKUP(Table__192.168.1.150_M_CONSOLIDATED_Delinquency_Compulsory_EOM[[#This Row],[Client No]],'Global Portfolio'!$B$2:$N$2500,10,FALSE)</f>
        <v>Real Estate and Rental</v>
      </c>
      <c r="AA488" s="105" t="str">
        <f>VLOOKUP(Table__192.168.1.150_M_CONSOLIDATED_Delinquency_Compulsory_EOM[[#This Row],[Client No]],'Global Portfolio'!$B$2:$N$2500,11,FALSE)</f>
        <v>Rental</v>
      </c>
      <c r="AB488" s="105" t="str">
        <f>VLOOKUP(Table__192.168.1.150_M_CONSOLIDATED_Delinquency_Compulsory_EOM[[#This Row],[Client No]],'Global Portfolio'!$B$2:$N$2500,12,FALSE)</f>
        <v>Machinery &amp; Equipment</v>
      </c>
    </row>
    <row r="489" spans="1:28" x14ac:dyDescent="0.25">
      <c r="A489">
        <v>103170</v>
      </c>
      <c r="B489" t="s">
        <v>4501</v>
      </c>
      <c r="C489" t="s">
        <v>4510</v>
      </c>
      <c r="D489" t="s">
        <v>1284</v>
      </c>
      <c r="E489">
        <v>-12</v>
      </c>
      <c r="F489">
        <v>35000000</v>
      </c>
      <c r="G489">
        <v>31626489.760000002</v>
      </c>
      <c r="H489">
        <v>1683855.28</v>
      </c>
      <c r="I489" t="s">
        <v>468</v>
      </c>
      <c r="J489">
        <v>0</v>
      </c>
      <c r="K489">
        <v>1750000</v>
      </c>
      <c r="L489">
        <v>597389.25</v>
      </c>
      <c r="M489">
        <v>50515658.460000001</v>
      </c>
      <c r="N489" s="143">
        <v>42838.715688738426</v>
      </c>
      <c r="O489" s="143">
        <v>43934</v>
      </c>
      <c r="P489" t="s">
        <v>4511</v>
      </c>
      <c r="Q489" t="s">
        <v>4512</v>
      </c>
      <c r="R489" t="s">
        <v>1280</v>
      </c>
      <c r="S489" t="s">
        <v>1510</v>
      </c>
      <c r="T489">
        <v>40</v>
      </c>
      <c r="U489">
        <f>IF(Table__192.168.1.150_M_CONSOLIDATED_Delinquency_Compulsory_EOM[[#This Row],[Days in Arrears]] &lt; 8, Table__192.168.1.150_M_CONSOLIDATED_Delinquency_Compulsory_EOM[[#This Row],[Outstanding Balance]], 0 )</f>
        <v>31626489.760000002</v>
      </c>
      <c r="V4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89" s="105" t="str">
        <f>VLOOKUP(Table__192.168.1.150_M_CONSOLIDATED_Delinquency_Compulsory_EOM[[#This Row],[Client No]],'Global Portfolio'!$B$2:$N$2500,10,FALSE)</f>
        <v>Wholesale Trade</v>
      </c>
      <c r="AA489" s="105" t="str">
        <f>VLOOKUP(Table__192.168.1.150_M_CONSOLIDATED_Delinquency_Compulsory_EOM[[#This Row],[Client No]],'Global Portfolio'!$B$2:$N$2500,11,FALSE)</f>
        <v>Others</v>
      </c>
      <c r="AB489" s="105" t="str">
        <f>VLOOKUP(Table__192.168.1.150_M_CONSOLIDATED_Delinquency_Compulsory_EOM[[#This Row],[Client No]],'Global Portfolio'!$B$2:$N$2500,12,FALSE)</f>
        <v>Others</v>
      </c>
    </row>
    <row r="490" spans="1:28" x14ac:dyDescent="0.25">
      <c r="A490">
        <v>103171</v>
      </c>
      <c r="B490" t="s">
        <v>611</v>
      </c>
      <c r="C490" t="s">
        <v>612</v>
      </c>
      <c r="D490" t="s">
        <v>1283</v>
      </c>
      <c r="E490">
        <v>-18</v>
      </c>
      <c r="F490">
        <v>45000000</v>
      </c>
      <c r="G490">
        <v>36544923.329999998</v>
      </c>
      <c r="H490">
        <v>2657133.7200000002</v>
      </c>
      <c r="I490" t="s">
        <v>1925</v>
      </c>
      <c r="J490">
        <v>34073.08</v>
      </c>
      <c r="K490">
        <v>0</v>
      </c>
      <c r="L490">
        <v>401994.16</v>
      </c>
      <c r="M490">
        <v>47828406.880000003</v>
      </c>
      <c r="N490" s="143">
        <v>42844.408231597219</v>
      </c>
      <c r="O490" s="143">
        <v>43574</v>
      </c>
      <c r="P490" t="s">
        <v>613</v>
      </c>
      <c r="Q490" t="s">
        <v>1280</v>
      </c>
      <c r="R490" t="s">
        <v>1280</v>
      </c>
      <c r="S490" t="s">
        <v>1510</v>
      </c>
      <c r="T490">
        <v>36</v>
      </c>
      <c r="U490">
        <f>IF(Table__192.168.1.150_M_CONSOLIDATED_Delinquency_Compulsory_EOM[[#This Row],[Days in Arrears]] &lt; 8, Table__192.168.1.150_M_CONSOLIDATED_Delinquency_Compulsory_EOM[[#This Row],[Outstanding Balance]], 0 )</f>
        <v>36544923.329999998</v>
      </c>
      <c r="V4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0" s="105" t="str">
        <f>VLOOKUP(Table__192.168.1.150_M_CONSOLIDATED_Delinquency_Compulsory_EOM[[#This Row],[Client No]],'Global Portfolio'!$B$2:$N$2500,10,FALSE)</f>
        <v>Wholesale Trade</v>
      </c>
      <c r="AA490" s="105" t="str">
        <f>VLOOKUP(Table__192.168.1.150_M_CONSOLIDATED_Delinquency_Compulsory_EOM[[#This Row],[Client No]],'Global Portfolio'!$B$2:$N$2500,11,FALSE)</f>
        <v>Durable Goods</v>
      </c>
      <c r="AB490" s="105" t="str">
        <f>VLOOKUP(Table__192.168.1.150_M_CONSOLIDATED_Delinquency_Compulsory_EOM[[#This Row],[Client No]],'Global Portfolio'!$B$2:$N$2500,12,FALSE)</f>
        <v>Others</v>
      </c>
    </row>
    <row r="491" spans="1:28" x14ac:dyDescent="0.25">
      <c r="A491">
        <v>103172</v>
      </c>
      <c r="B491" t="s">
        <v>4524</v>
      </c>
      <c r="C491" t="s">
        <v>4525</v>
      </c>
      <c r="D491" t="s">
        <v>1282</v>
      </c>
      <c r="E491">
        <v>13</v>
      </c>
      <c r="F491">
        <v>6000000</v>
      </c>
      <c r="G491">
        <v>3877380.33</v>
      </c>
      <c r="H491">
        <v>657997.13</v>
      </c>
      <c r="I491" t="s">
        <v>1039</v>
      </c>
      <c r="J491">
        <v>0</v>
      </c>
      <c r="K491">
        <v>0</v>
      </c>
      <c r="L491">
        <v>367779.71</v>
      </c>
      <c r="M491">
        <v>4605979.9400000004</v>
      </c>
      <c r="N491" s="143">
        <v>42843.689945798615</v>
      </c>
      <c r="O491" s="143">
        <v>43208</v>
      </c>
      <c r="P491" t="s">
        <v>4526</v>
      </c>
      <c r="Q491" t="s">
        <v>4527</v>
      </c>
      <c r="R491" t="s">
        <v>1280</v>
      </c>
      <c r="S491" t="s">
        <v>1510</v>
      </c>
      <c r="T491">
        <v>54</v>
      </c>
      <c r="U491">
        <f>IF(Table__192.168.1.150_M_CONSOLIDATED_Delinquency_Compulsory_EOM[[#This Row],[Days in Arrears]] &lt; 8, Table__192.168.1.150_M_CONSOLIDATED_Delinquency_Compulsory_EOM[[#This Row],[Outstanding Balance]], 0 )</f>
        <v>0</v>
      </c>
      <c r="V4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3877380.33</v>
      </c>
      <c r="W4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1" s="105" t="str">
        <f>VLOOKUP(Table__192.168.1.150_M_CONSOLIDATED_Delinquency_Compulsory_EOM[[#This Row],[Client No]],'Global Portfolio'!$B$2:$N$2500,10,FALSE)</f>
        <v>Retail</v>
      </c>
      <c r="AA491" s="105" t="str">
        <f>VLOOKUP(Table__192.168.1.150_M_CONSOLIDATED_Delinquency_Compulsory_EOM[[#This Row],[Client No]],'Global Portfolio'!$B$2:$N$2500,11,FALSE)</f>
        <v>General Merchandise Stores</v>
      </c>
      <c r="AB491" s="105" t="str">
        <f>VLOOKUP(Table__192.168.1.150_M_CONSOLIDATED_Delinquency_Compulsory_EOM[[#This Row],[Client No]],'Global Portfolio'!$B$2:$N$2500,12,FALSE)</f>
        <v>General Stores</v>
      </c>
    </row>
    <row r="492" spans="1:28" x14ac:dyDescent="0.25">
      <c r="A492">
        <v>103173</v>
      </c>
      <c r="B492" t="s">
        <v>4523</v>
      </c>
      <c r="C492" t="s">
        <v>4528</v>
      </c>
      <c r="D492" t="s">
        <v>1283</v>
      </c>
      <c r="E492">
        <v>-17</v>
      </c>
      <c r="F492">
        <v>35000000</v>
      </c>
      <c r="G492">
        <v>19215934.48</v>
      </c>
      <c r="H492">
        <v>3586501.9</v>
      </c>
      <c r="I492" t="s">
        <v>1191</v>
      </c>
      <c r="J492">
        <v>409000</v>
      </c>
      <c r="K492">
        <v>1750000</v>
      </c>
      <c r="L492">
        <v>256212.46</v>
      </c>
      <c r="M492">
        <v>21519011.390000001</v>
      </c>
      <c r="N492" s="143">
        <v>42843.712621377315</v>
      </c>
      <c r="O492" s="143">
        <v>43208</v>
      </c>
      <c r="P492" t="s">
        <v>4529</v>
      </c>
      <c r="Q492" t="s">
        <v>4530</v>
      </c>
      <c r="R492" t="s">
        <v>1280</v>
      </c>
      <c r="S492" t="s">
        <v>1510</v>
      </c>
      <c r="T492">
        <v>40</v>
      </c>
      <c r="U492">
        <f>IF(Table__192.168.1.150_M_CONSOLIDATED_Delinquency_Compulsory_EOM[[#This Row],[Days in Arrears]] &lt; 8, Table__192.168.1.150_M_CONSOLIDATED_Delinquency_Compulsory_EOM[[#This Row],[Outstanding Balance]], 0 )</f>
        <v>19215934.48</v>
      </c>
      <c r="V4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2" s="105" t="str">
        <f>VLOOKUP(Table__192.168.1.150_M_CONSOLIDATED_Delinquency_Compulsory_EOM[[#This Row],[Client No]],'Global Portfolio'!$B$2:$N$2500,10,FALSE)</f>
        <v>Wholesale Trade</v>
      </c>
      <c r="AA492" s="105" t="str">
        <f>VLOOKUP(Table__192.168.1.150_M_CONSOLIDATED_Delinquency_Compulsory_EOM[[#This Row],[Client No]],'Global Portfolio'!$B$2:$N$2500,11,FALSE)</f>
        <v>Durable Goods</v>
      </c>
      <c r="AB492" s="105" t="str">
        <f>VLOOKUP(Table__192.168.1.150_M_CONSOLIDATED_Delinquency_Compulsory_EOM[[#This Row],[Client No]],'Global Portfolio'!$B$2:$N$2500,12,FALSE)</f>
        <v>Machinery &amp; Equipment</v>
      </c>
    </row>
    <row r="493" spans="1:28" x14ac:dyDescent="0.25">
      <c r="A493">
        <v>103175</v>
      </c>
      <c r="B493" t="s">
        <v>4531</v>
      </c>
      <c r="C493" t="s">
        <v>4532</v>
      </c>
      <c r="D493" t="s">
        <v>1281</v>
      </c>
      <c r="E493">
        <v>-19</v>
      </c>
      <c r="F493">
        <v>30000000</v>
      </c>
      <c r="G493">
        <v>16561238.32</v>
      </c>
      <c r="H493">
        <v>3108017.94</v>
      </c>
      <c r="I493" t="s">
        <v>546</v>
      </c>
      <c r="J493">
        <v>80899.100000000006</v>
      </c>
      <c r="K493">
        <v>0</v>
      </c>
      <c r="L493">
        <v>193214.45</v>
      </c>
      <c r="M493">
        <v>18648107.559999999</v>
      </c>
      <c r="N493" s="143">
        <v>42844.763246956019</v>
      </c>
      <c r="O493" s="143">
        <v>43210</v>
      </c>
      <c r="P493" t="s">
        <v>4533</v>
      </c>
      <c r="Q493" t="s">
        <v>1280</v>
      </c>
      <c r="R493" t="s">
        <v>4534</v>
      </c>
      <c r="S493" t="s">
        <v>1510</v>
      </c>
      <c r="T493">
        <v>42</v>
      </c>
      <c r="U493">
        <f>IF(Table__192.168.1.150_M_CONSOLIDATED_Delinquency_Compulsory_EOM[[#This Row],[Days in Arrears]] &lt; 8, Table__192.168.1.150_M_CONSOLIDATED_Delinquency_Compulsory_EOM[[#This Row],[Outstanding Balance]], 0 )</f>
        <v>16561238.32</v>
      </c>
      <c r="V4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3" s="105" t="str">
        <f>VLOOKUP(Table__192.168.1.150_M_CONSOLIDATED_Delinquency_Compulsory_EOM[[#This Row],[Client No]],'Global Portfolio'!$B$2:$N$2500,10,FALSE)</f>
        <v>Transportation and Warehousing</v>
      </c>
      <c r="AA493" s="105" t="str">
        <f>VLOOKUP(Table__192.168.1.150_M_CONSOLIDATED_Delinquency_Compulsory_EOM[[#This Row],[Client No]],'Global Portfolio'!$B$2:$N$2500,11,FALSE)</f>
        <v>Truck Transportation</v>
      </c>
      <c r="AB493" s="105" t="str">
        <f>VLOOKUP(Table__192.168.1.150_M_CONSOLIDATED_Delinquency_Compulsory_EOM[[#This Row],[Client No]],'Global Portfolio'!$B$2:$N$2500,12,FALSE)</f>
        <v>General Freight Trucking, Local</v>
      </c>
    </row>
    <row r="494" spans="1:28" x14ac:dyDescent="0.25">
      <c r="A494">
        <v>103176</v>
      </c>
      <c r="B494" t="s">
        <v>4536</v>
      </c>
      <c r="C494" t="s">
        <v>4538</v>
      </c>
      <c r="D494" t="s">
        <v>1279</v>
      </c>
      <c r="E494">
        <v>-19</v>
      </c>
      <c r="F494">
        <v>4000000</v>
      </c>
      <c r="G494">
        <v>2262576.9</v>
      </c>
      <c r="H494">
        <v>438664.75</v>
      </c>
      <c r="I494" t="s">
        <v>2034</v>
      </c>
      <c r="J494">
        <v>0</v>
      </c>
      <c r="K494">
        <v>400000</v>
      </c>
      <c r="L494">
        <v>33938.65</v>
      </c>
      <c r="M494">
        <v>2631988.56</v>
      </c>
      <c r="N494" s="143">
        <v>42845.790484872683</v>
      </c>
      <c r="O494" s="143">
        <v>43210</v>
      </c>
      <c r="P494" t="s">
        <v>4539</v>
      </c>
      <c r="Q494" t="s">
        <v>4540</v>
      </c>
      <c r="R494" t="s">
        <v>1280</v>
      </c>
      <c r="S494" t="s">
        <v>1510</v>
      </c>
      <c r="T494">
        <v>54</v>
      </c>
      <c r="U494">
        <f>IF(Table__192.168.1.150_M_CONSOLIDATED_Delinquency_Compulsory_EOM[[#This Row],[Days in Arrears]] &lt; 8, Table__192.168.1.150_M_CONSOLIDATED_Delinquency_Compulsory_EOM[[#This Row],[Outstanding Balance]], 0 )</f>
        <v>2262576.9</v>
      </c>
      <c r="V4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4" s="105" t="str">
        <f>VLOOKUP(Table__192.168.1.150_M_CONSOLIDATED_Delinquency_Compulsory_EOM[[#This Row],[Client No]],'Global Portfolio'!$B$2:$N$2500,10,FALSE)</f>
        <v>Retail</v>
      </c>
      <c r="AA494" s="105" t="str">
        <f>VLOOKUP(Table__192.168.1.150_M_CONSOLIDATED_Delinquency_Compulsory_EOM[[#This Row],[Client No]],'Global Portfolio'!$B$2:$N$2500,11,FALSE)</f>
        <v>New-Clothing and  Accessories</v>
      </c>
      <c r="AB494" s="105" t="str">
        <f>VLOOKUP(Table__192.168.1.150_M_CONSOLIDATED_Delinquency_Compulsory_EOM[[#This Row],[Client No]],'Global Portfolio'!$B$2:$N$2500,12,FALSE)</f>
        <v>Others</v>
      </c>
    </row>
    <row r="495" spans="1:28" x14ac:dyDescent="0.25">
      <c r="A495">
        <v>103177</v>
      </c>
      <c r="B495" t="s">
        <v>4535</v>
      </c>
      <c r="C495" t="s">
        <v>4541</v>
      </c>
      <c r="D495" t="s">
        <v>1282</v>
      </c>
      <c r="E495">
        <v>11</v>
      </c>
      <c r="F495">
        <v>7000000</v>
      </c>
      <c r="G495">
        <v>4523610.37</v>
      </c>
      <c r="H495">
        <v>767663.32</v>
      </c>
      <c r="I495" t="s">
        <v>5167</v>
      </c>
      <c r="J495">
        <v>0</v>
      </c>
      <c r="K495">
        <v>0</v>
      </c>
      <c r="L495">
        <v>230618.43</v>
      </c>
      <c r="M495">
        <v>5341306.58</v>
      </c>
      <c r="N495" s="143">
        <v>42845.712040509257</v>
      </c>
      <c r="O495" s="143">
        <v>43210</v>
      </c>
      <c r="P495" t="s">
        <v>4542</v>
      </c>
      <c r="Q495" t="s">
        <v>4543</v>
      </c>
      <c r="R495" t="s">
        <v>1280</v>
      </c>
      <c r="S495" t="s">
        <v>1510</v>
      </c>
      <c r="T495">
        <v>54</v>
      </c>
      <c r="U495">
        <f>IF(Table__192.168.1.150_M_CONSOLIDATED_Delinquency_Compulsory_EOM[[#This Row],[Days in Arrears]] &lt; 8, Table__192.168.1.150_M_CONSOLIDATED_Delinquency_Compulsory_EOM[[#This Row],[Outstanding Balance]], 0 )</f>
        <v>0</v>
      </c>
      <c r="V4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4523610.37</v>
      </c>
      <c r="W4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5" s="105" t="str">
        <f>VLOOKUP(Table__192.168.1.150_M_CONSOLIDATED_Delinquency_Compulsory_EOM[[#This Row],[Client No]],'Global Portfolio'!$B$2:$N$2500,10,FALSE)</f>
        <v>Construction</v>
      </c>
      <c r="AA495" s="105" t="str">
        <f>VLOOKUP(Table__192.168.1.150_M_CONSOLIDATED_Delinquency_Compulsory_EOM[[#This Row],[Client No]],'Global Portfolio'!$B$2:$N$2500,11,FALSE)</f>
        <v>Construction of Buildings</v>
      </c>
      <c r="AB495" s="105" t="str">
        <f>VLOOKUP(Table__192.168.1.150_M_CONSOLIDATED_Delinquency_Compulsory_EOM[[#This Row],[Client No]],'Global Portfolio'!$B$2:$N$2500,12,FALSE)</f>
        <v>Nonresidential Construction</v>
      </c>
    </row>
    <row r="496" spans="1:28" x14ac:dyDescent="0.25">
      <c r="A496">
        <v>103178</v>
      </c>
      <c r="B496" t="s">
        <v>601</v>
      </c>
      <c r="C496" t="s">
        <v>1914</v>
      </c>
      <c r="D496" t="s">
        <v>1281</v>
      </c>
      <c r="E496">
        <v>-19</v>
      </c>
      <c r="F496">
        <v>20000000</v>
      </c>
      <c r="G496">
        <v>11028394.18</v>
      </c>
      <c r="H496">
        <v>2069678.99</v>
      </c>
      <c r="I496" t="s">
        <v>2855</v>
      </c>
      <c r="J496">
        <v>0</v>
      </c>
      <c r="K496">
        <v>1500000</v>
      </c>
      <c r="L496">
        <v>128664.6</v>
      </c>
      <c r="M496">
        <v>12418073.869999999</v>
      </c>
      <c r="N496" s="143">
        <v>42845.736991701386</v>
      </c>
      <c r="O496" s="143">
        <v>43210</v>
      </c>
      <c r="P496" t="s">
        <v>1915</v>
      </c>
      <c r="Q496" t="s">
        <v>1916</v>
      </c>
      <c r="R496" t="s">
        <v>1280</v>
      </c>
      <c r="S496" t="s">
        <v>1510</v>
      </c>
      <c r="T496">
        <v>42</v>
      </c>
      <c r="U496">
        <f>IF(Table__192.168.1.150_M_CONSOLIDATED_Delinquency_Compulsory_EOM[[#This Row],[Days in Arrears]] &lt; 8, Table__192.168.1.150_M_CONSOLIDATED_Delinquency_Compulsory_EOM[[#This Row],[Outstanding Balance]], 0 )</f>
        <v>11028394.18</v>
      </c>
      <c r="V4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6" s="105" t="str">
        <f>VLOOKUP(Table__192.168.1.150_M_CONSOLIDATED_Delinquency_Compulsory_EOM[[#This Row],[Client No]],'Global Portfolio'!$B$2:$N$2500,10,FALSE)</f>
        <v>Retail</v>
      </c>
      <c r="AA496" s="105" t="str">
        <f>VLOOKUP(Table__192.168.1.150_M_CONSOLIDATED_Delinquency_Compulsory_EOM[[#This Row],[Client No]],'Global Portfolio'!$B$2:$N$2500,11,FALSE)</f>
        <v>Others</v>
      </c>
      <c r="AB496" s="105" t="str">
        <f>VLOOKUP(Table__192.168.1.150_M_CONSOLIDATED_Delinquency_Compulsory_EOM[[#This Row],[Client No]],'Global Portfolio'!$B$2:$N$2500,12,FALSE)</f>
        <v>Others</v>
      </c>
    </row>
    <row r="497" spans="1:28" x14ac:dyDescent="0.25">
      <c r="A497">
        <v>103180</v>
      </c>
      <c r="B497" t="s">
        <v>1641</v>
      </c>
      <c r="C497" t="s">
        <v>1643</v>
      </c>
      <c r="D497" t="s">
        <v>1285</v>
      </c>
      <c r="E497">
        <v>-20</v>
      </c>
      <c r="F497">
        <v>6118000</v>
      </c>
      <c r="G497">
        <v>4296496.2</v>
      </c>
      <c r="H497">
        <v>402127.89</v>
      </c>
      <c r="I497" t="s">
        <v>284</v>
      </c>
      <c r="J497">
        <v>354248.15</v>
      </c>
      <c r="K497">
        <v>0</v>
      </c>
      <c r="L497">
        <v>23630.73</v>
      </c>
      <c r="M497">
        <v>4825534.7699999996</v>
      </c>
      <c r="N497" s="143">
        <v>42846.412896608796</v>
      </c>
      <c r="O497" s="143">
        <v>43394</v>
      </c>
      <c r="P497" t="s">
        <v>1644</v>
      </c>
      <c r="Q497" t="s">
        <v>1280</v>
      </c>
      <c r="R497" t="s">
        <v>1280</v>
      </c>
      <c r="S497" t="s">
        <v>1510</v>
      </c>
      <c r="T497">
        <v>22</v>
      </c>
      <c r="U497">
        <f>IF(Table__192.168.1.150_M_CONSOLIDATED_Delinquency_Compulsory_EOM[[#This Row],[Days in Arrears]] &lt; 8, Table__192.168.1.150_M_CONSOLIDATED_Delinquency_Compulsory_EOM[[#This Row],[Outstanding Balance]], 0 )</f>
        <v>4296496.2</v>
      </c>
      <c r="V4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7" s="105" t="str">
        <f>VLOOKUP(Table__192.168.1.150_M_CONSOLIDATED_Delinquency_Compulsory_EOM[[#This Row],[Client No]],'Global Portfolio'!$B$2:$N$2500,10,FALSE)</f>
        <v>Finance and Insurance</v>
      </c>
      <c r="AA497" s="105" t="str">
        <f>VLOOKUP(Table__192.168.1.150_M_CONSOLIDATED_Delinquency_Compulsory_EOM[[#This Row],[Client No]],'Global Portfolio'!$B$2:$N$2500,11,FALSE)</f>
        <v>Finance</v>
      </c>
      <c r="AB497" s="105" t="str">
        <f>VLOOKUP(Table__192.168.1.150_M_CONSOLIDATED_Delinquency_Compulsory_EOM[[#This Row],[Client No]],'Global Portfolio'!$B$2:$N$2500,12,FALSE)</f>
        <v>Microfinance Institutions</v>
      </c>
    </row>
    <row r="498" spans="1:28" x14ac:dyDescent="0.25">
      <c r="A498">
        <v>103181</v>
      </c>
      <c r="B498" t="s">
        <v>4565</v>
      </c>
      <c r="C498" t="s">
        <v>4568</v>
      </c>
      <c r="D498" t="s">
        <v>1279</v>
      </c>
      <c r="E498">
        <v>-23</v>
      </c>
      <c r="F498">
        <v>1000000</v>
      </c>
      <c r="G498">
        <v>283914.53999999998</v>
      </c>
      <c r="H498">
        <v>151609.65</v>
      </c>
      <c r="I498" t="s">
        <v>2494</v>
      </c>
      <c r="J498">
        <v>0</v>
      </c>
      <c r="K498">
        <v>250000</v>
      </c>
      <c r="L498">
        <v>2555.23</v>
      </c>
      <c r="M498">
        <v>303219.34000000003</v>
      </c>
      <c r="N498" s="143">
        <v>42849.712158020833</v>
      </c>
      <c r="O498" s="143">
        <v>43093</v>
      </c>
      <c r="P498" t="s">
        <v>4569</v>
      </c>
      <c r="Q498" t="s">
        <v>1280</v>
      </c>
      <c r="R498" t="s">
        <v>1280</v>
      </c>
      <c r="S498" t="s">
        <v>1510</v>
      </c>
      <c r="T498">
        <v>54</v>
      </c>
      <c r="U498">
        <f>IF(Table__192.168.1.150_M_CONSOLIDATED_Delinquency_Compulsory_EOM[[#This Row],[Days in Arrears]] &lt; 8, Table__192.168.1.150_M_CONSOLIDATED_Delinquency_Compulsory_EOM[[#This Row],[Outstanding Balance]], 0 )</f>
        <v>283914.53999999998</v>
      </c>
      <c r="V4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8" s="105" t="str">
        <f>VLOOKUP(Table__192.168.1.150_M_CONSOLIDATED_Delinquency_Compulsory_EOM[[#This Row],[Client No]],'Global Portfolio'!$B$2:$N$2500,10,FALSE)</f>
        <v>Retail</v>
      </c>
      <c r="AA498" s="105" t="str">
        <f>VLOOKUP(Table__192.168.1.150_M_CONSOLIDATED_Delinquency_Compulsory_EOM[[#This Row],[Client No]],'Global Portfolio'!$B$2:$N$2500,11,FALSE)</f>
        <v>General Merchandise Stores</v>
      </c>
      <c r="AB498" s="105" t="str">
        <f>VLOOKUP(Table__192.168.1.150_M_CONSOLIDATED_Delinquency_Compulsory_EOM[[#This Row],[Client No]],'Global Portfolio'!$B$2:$N$2500,12,FALSE)</f>
        <v>General Stores</v>
      </c>
    </row>
    <row r="499" spans="1:28" x14ac:dyDescent="0.25">
      <c r="A499">
        <v>103182</v>
      </c>
      <c r="B499" t="s">
        <v>4577</v>
      </c>
      <c r="C499" t="s">
        <v>4578</v>
      </c>
      <c r="D499" t="s">
        <v>1284</v>
      </c>
      <c r="E499">
        <v>-24</v>
      </c>
      <c r="F499">
        <v>40000000</v>
      </c>
      <c r="G499">
        <v>28949705.949999999</v>
      </c>
      <c r="H499">
        <v>2908347.84</v>
      </c>
      <c r="I499" t="s">
        <v>5167</v>
      </c>
      <c r="J499">
        <v>0</v>
      </c>
      <c r="K499">
        <v>0</v>
      </c>
      <c r="L499">
        <v>144748.53</v>
      </c>
      <c r="M499">
        <v>34900174</v>
      </c>
      <c r="N499" s="143">
        <v>42850.729542013891</v>
      </c>
      <c r="O499" s="143">
        <v>43398</v>
      </c>
      <c r="P499" t="s">
        <v>4579</v>
      </c>
      <c r="Q499" t="s">
        <v>4580</v>
      </c>
      <c r="R499" t="s">
        <v>1280</v>
      </c>
      <c r="S499" t="s">
        <v>1510</v>
      </c>
      <c r="T499">
        <v>36</v>
      </c>
      <c r="U499">
        <f>IF(Table__192.168.1.150_M_CONSOLIDATED_Delinquency_Compulsory_EOM[[#This Row],[Days in Arrears]] &lt; 8, Table__192.168.1.150_M_CONSOLIDATED_Delinquency_Compulsory_EOM[[#This Row],[Outstanding Balance]], 0 )</f>
        <v>28949705.949999999</v>
      </c>
      <c r="V4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4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4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4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499" s="105" t="str">
        <f>VLOOKUP(Table__192.168.1.150_M_CONSOLIDATED_Delinquency_Compulsory_EOM[[#This Row],[Client No]],'Global Portfolio'!$B$2:$N$2500,10,FALSE)</f>
        <v>Real Estate and Rental</v>
      </c>
      <c r="AA499" s="105" t="str">
        <f>VLOOKUP(Table__192.168.1.150_M_CONSOLIDATED_Delinquency_Compulsory_EOM[[#This Row],[Client No]],'Global Portfolio'!$B$2:$N$2500,11,FALSE)</f>
        <v>Rental</v>
      </c>
      <c r="AB499" s="105" t="str">
        <f>VLOOKUP(Table__192.168.1.150_M_CONSOLIDATED_Delinquency_Compulsory_EOM[[#This Row],[Client No]],'Global Portfolio'!$B$2:$N$2500,12,FALSE)</f>
        <v>General Rental Centers</v>
      </c>
    </row>
    <row r="500" spans="1:28" x14ac:dyDescent="0.25">
      <c r="A500">
        <v>103183</v>
      </c>
      <c r="B500" t="s">
        <v>4576</v>
      </c>
      <c r="C500" t="s">
        <v>4581</v>
      </c>
      <c r="D500" t="s">
        <v>1282</v>
      </c>
      <c r="E500">
        <v>0</v>
      </c>
      <c r="F500">
        <v>3000000</v>
      </c>
      <c r="G500">
        <v>1261076.79</v>
      </c>
      <c r="H500">
        <v>458746.15</v>
      </c>
      <c r="I500" t="s">
        <v>2175</v>
      </c>
      <c r="J500">
        <v>0</v>
      </c>
      <c r="K500">
        <v>300000</v>
      </c>
      <c r="L500">
        <v>54856.84</v>
      </c>
      <c r="M500">
        <v>1376238.43</v>
      </c>
      <c r="N500" s="143">
        <v>42850.732010648149</v>
      </c>
      <c r="O500" s="143">
        <v>43101</v>
      </c>
      <c r="P500" t="s">
        <v>4582</v>
      </c>
      <c r="Q500" t="s">
        <v>1280</v>
      </c>
      <c r="R500" t="s">
        <v>1280</v>
      </c>
      <c r="S500" t="s">
        <v>1510</v>
      </c>
      <c r="T500">
        <v>54</v>
      </c>
      <c r="U500">
        <f>IF(Table__192.168.1.150_M_CONSOLIDATED_Delinquency_Compulsory_EOM[[#This Row],[Days in Arrears]] &lt; 8, Table__192.168.1.150_M_CONSOLIDATED_Delinquency_Compulsory_EOM[[#This Row],[Outstanding Balance]], 0 )</f>
        <v>1261076.79</v>
      </c>
      <c r="V5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0" s="105" t="str">
        <f>VLOOKUP(Table__192.168.1.150_M_CONSOLIDATED_Delinquency_Compulsory_EOM[[#This Row],[Client No]],'Global Portfolio'!$B$2:$N$2500,10,FALSE)</f>
        <v>Retail</v>
      </c>
      <c r="AA500" s="105" t="str">
        <f>VLOOKUP(Table__192.168.1.150_M_CONSOLIDATED_Delinquency_Compulsory_EOM[[#This Row],[Client No]],'Global Portfolio'!$B$2:$N$2500,11,FALSE)</f>
        <v>Others</v>
      </c>
      <c r="AB500" s="105" t="str">
        <f>VLOOKUP(Table__192.168.1.150_M_CONSOLIDATED_Delinquency_Compulsory_EOM[[#This Row],[Client No]],'Global Portfolio'!$B$2:$N$2500,12,FALSE)</f>
        <v>Others</v>
      </c>
    </row>
    <row r="501" spans="1:28" x14ac:dyDescent="0.25">
      <c r="A501">
        <v>103185</v>
      </c>
      <c r="B501" t="s">
        <v>4596</v>
      </c>
      <c r="C501" t="s">
        <v>4597</v>
      </c>
      <c r="D501" t="s">
        <v>1283</v>
      </c>
      <c r="E501">
        <v>0</v>
      </c>
      <c r="F501">
        <v>55000000</v>
      </c>
      <c r="G501">
        <v>50928630.68</v>
      </c>
      <c r="H501">
        <v>2660284.42</v>
      </c>
      <c r="I501" t="s">
        <v>468</v>
      </c>
      <c r="J501">
        <v>1071775.24</v>
      </c>
      <c r="K501">
        <v>2750000</v>
      </c>
      <c r="L501">
        <v>1641033.66</v>
      </c>
      <c r="M501">
        <v>82468816.870000005</v>
      </c>
      <c r="N501" s="143">
        <v>42851.579203969908</v>
      </c>
      <c r="O501" s="143">
        <v>43952</v>
      </c>
      <c r="P501" t="s">
        <v>4598</v>
      </c>
      <c r="Q501" t="s">
        <v>4599</v>
      </c>
      <c r="R501" t="s">
        <v>1280</v>
      </c>
      <c r="S501" t="s">
        <v>1510</v>
      </c>
      <c r="T501">
        <v>40</v>
      </c>
      <c r="U501">
        <f>IF(Table__192.168.1.150_M_CONSOLIDATED_Delinquency_Compulsory_EOM[[#This Row],[Days in Arrears]] &lt; 8, Table__192.168.1.150_M_CONSOLIDATED_Delinquency_Compulsory_EOM[[#This Row],[Outstanding Balance]], 0 )</f>
        <v>50928630.68</v>
      </c>
      <c r="V5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1" s="105" t="str">
        <f>VLOOKUP(Table__192.168.1.150_M_CONSOLIDATED_Delinquency_Compulsory_EOM[[#This Row],[Client No]],'Global Portfolio'!$B$2:$N$2500,10,FALSE)</f>
        <v>Health Care</v>
      </c>
      <c r="AA501" s="105" t="str">
        <f>VLOOKUP(Table__192.168.1.150_M_CONSOLIDATED_Delinquency_Compulsory_EOM[[#This Row],[Client No]],'Global Portfolio'!$B$2:$N$2500,11,FALSE)</f>
        <v>Health Care</v>
      </c>
      <c r="AB501" s="105" t="str">
        <f>VLOOKUP(Table__192.168.1.150_M_CONSOLIDATED_Delinquency_Compulsory_EOM[[#This Row],[Client No]],'Global Portfolio'!$B$2:$N$2500,12,FALSE)</f>
        <v xml:space="preserve"> Medical &amp; Diagnostic Laboratories</v>
      </c>
    </row>
    <row r="502" spans="1:28" x14ac:dyDescent="0.25">
      <c r="A502">
        <v>103187</v>
      </c>
      <c r="B502" t="s">
        <v>4620</v>
      </c>
      <c r="C502" t="s">
        <v>4624</v>
      </c>
      <c r="D502" t="s">
        <v>1282</v>
      </c>
      <c r="E502">
        <v>0</v>
      </c>
      <c r="F502">
        <v>12000000</v>
      </c>
      <c r="G502">
        <v>5029949.62</v>
      </c>
      <c r="H502">
        <v>1829761.67</v>
      </c>
      <c r="I502" t="s">
        <v>90</v>
      </c>
      <c r="J502">
        <v>0</v>
      </c>
      <c r="K502">
        <v>1200000</v>
      </c>
      <c r="L502">
        <v>218802.81</v>
      </c>
      <c r="M502">
        <v>5489285.0300000003</v>
      </c>
      <c r="N502" s="143">
        <v>42852.668469062497</v>
      </c>
      <c r="O502" s="143">
        <v>43101</v>
      </c>
      <c r="P502" t="s">
        <v>4625</v>
      </c>
      <c r="Q502" t="s">
        <v>4626</v>
      </c>
      <c r="R502" t="s">
        <v>4627</v>
      </c>
      <c r="S502" t="s">
        <v>1510</v>
      </c>
      <c r="T502">
        <v>54</v>
      </c>
      <c r="U502">
        <f>IF(Table__192.168.1.150_M_CONSOLIDATED_Delinquency_Compulsory_EOM[[#This Row],[Days in Arrears]] &lt; 8, Table__192.168.1.150_M_CONSOLIDATED_Delinquency_Compulsory_EOM[[#This Row],[Outstanding Balance]], 0 )</f>
        <v>5029949.62</v>
      </c>
      <c r="V5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2" s="105" t="str">
        <f>VLOOKUP(Table__192.168.1.150_M_CONSOLIDATED_Delinquency_Compulsory_EOM[[#This Row],[Client No]],'Global Portfolio'!$B$2:$N$2500,10,FALSE)</f>
        <v>Retail</v>
      </c>
      <c r="AA502" s="105" t="str">
        <f>VLOOKUP(Table__192.168.1.150_M_CONSOLIDATED_Delinquency_Compulsory_EOM[[#This Row],[Client No]],'Global Portfolio'!$B$2:$N$2500,11,FALSE)</f>
        <v>Others</v>
      </c>
      <c r="AB502" s="105" t="str">
        <f>VLOOKUP(Table__192.168.1.150_M_CONSOLIDATED_Delinquency_Compulsory_EOM[[#This Row],[Client No]],'Global Portfolio'!$B$2:$N$2500,12,FALSE)</f>
        <v>Others</v>
      </c>
    </row>
    <row r="503" spans="1:28" x14ac:dyDescent="0.25">
      <c r="A503">
        <v>103188</v>
      </c>
      <c r="B503" t="s">
        <v>4631</v>
      </c>
      <c r="C503" t="s">
        <v>4635</v>
      </c>
      <c r="D503" t="s">
        <v>1279</v>
      </c>
      <c r="E503">
        <v>0</v>
      </c>
      <c r="F503">
        <v>1500000</v>
      </c>
      <c r="G503">
        <v>279492.7</v>
      </c>
      <c r="H503">
        <v>292069.90999999997</v>
      </c>
      <c r="I503" t="s">
        <v>2175</v>
      </c>
      <c r="J503">
        <v>287009.39</v>
      </c>
      <c r="K503">
        <v>150000</v>
      </c>
      <c r="L503">
        <v>12157.93</v>
      </c>
      <c r="M503">
        <v>292069.87</v>
      </c>
      <c r="N503" s="143">
        <v>42853.672854085649</v>
      </c>
      <c r="O503" s="143">
        <v>43040</v>
      </c>
      <c r="P503" t="s">
        <v>4636</v>
      </c>
      <c r="Q503" t="s">
        <v>1280</v>
      </c>
      <c r="R503" t="s">
        <v>1280</v>
      </c>
      <c r="S503" t="s">
        <v>1510</v>
      </c>
      <c r="T503">
        <v>54</v>
      </c>
      <c r="U503">
        <f>IF(Table__192.168.1.150_M_CONSOLIDATED_Delinquency_Compulsory_EOM[[#This Row],[Days in Arrears]] &lt; 8, Table__192.168.1.150_M_CONSOLIDATED_Delinquency_Compulsory_EOM[[#This Row],[Outstanding Balance]], 0 )</f>
        <v>279492.7</v>
      </c>
      <c r="V5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3" s="105" t="e">
        <f>VLOOKUP(Table__192.168.1.150_M_CONSOLIDATED_Delinquency_Compulsory_EOM[[#This Row],[Client No]],'Global Portfolio'!$B$2:$N$2500,10,FALSE)</f>
        <v>#N/A</v>
      </c>
      <c r="AA503" s="105" t="e">
        <f>VLOOKUP(Table__192.168.1.150_M_CONSOLIDATED_Delinquency_Compulsory_EOM[[#This Row],[Client No]],'Global Portfolio'!$B$2:$N$2500,11,FALSE)</f>
        <v>#N/A</v>
      </c>
      <c r="AB503" s="105" t="e">
        <f>VLOOKUP(Table__192.168.1.150_M_CONSOLIDATED_Delinquency_Compulsory_EOM[[#This Row],[Client No]],'Global Portfolio'!$B$2:$N$2500,12,FALSE)</f>
        <v>#N/A</v>
      </c>
    </row>
    <row r="504" spans="1:28" x14ac:dyDescent="0.25">
      <c r="A504">
        <v>103189</v>
      </c>
      <c r="B504" t="s">
        <v>1606</v>
      </c>
      <c r="C504" t="s">
        <v>1612</v>
      </c>
      <c r="D504" t="s">
        <v>1284</v>
      </c>
      <c r="E504">
        <v>-16</v>
      </c>
      <c r="F504">
        <v>20000000</v>
      </c>
      <c r="G504">
        <v>16915666.48</v>
      </c>
      <c r="H504">
        <v>1180948.32</v>
      </c>
      <c r="I504" t="s">
        <v>86</v>
      </c>
      <c r="J504">
        <v>0</v>
      </c>
      <c r="K504">
        <v>1000000</v>
      </c>
      <c r="L504">
        <v>219903.66</v>
      </c>
      <c r="M504">
        <v>22438018.039999999</v>
      </c>
      <c r="N504" s="143">
        <v>42872.613226273148</v>
      </c>
      <c r="O504" s="143">
        <v>43602</v>
      </c>
      <c r="P504" t="s">
        <v>1613</v>
      </c>
      <c r="Q504" t="s">
        <v>1280</v>
      </c>
      <c r="R504" t="s">
        <v>1280</v>
      </c>
      <c r="S504" t="s">
        <v>1510</v>
      </c>
      <c r="T504">
        <v>36</v>
      </c>
      <c r="U504">
        <f>IF(Table__192.168.1.150_M_CONSOLIDATED_Delinquency_Compulsory_EOM[[#This Row],[Days in Arrears]] &lt; 8, Table__192.168.1.150_M_CONSOLIDATED_Delinquency_Compulsory_EOM[[#This Row],[Outstanding Balance]], 0 )</f>
        <v>16915666.48</v>
      </c>
      <c r="V5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4" s="105" t="str">
        <f>VLOOKUP(Table__192.168.1.150_M_CONSOLIDATED_Delinquency_Compulsory_EOM[[#This Row],[Client No]],'Global Portfolio'!$B$2:$N$2500,10,FALSE)</f>
        <v>Restaurants and Hotels</v>
      </c>
      <c r="AA504" s="105" t="str">
        <f>VLOOKUP(Table__192.168.1.150_M_CONSOLIDATED_Delinquency_Compulsory_EOM[[#This Row],[Client No]],'Global Portfolio'!$B$2:$N$2500,11,FALSE)</f>
        <v>Restaurant</v>
      </c>
      <c r="AB504" s="105" t="str">
        <f>VLOOKUP(Table__192.168.1.150_M_CONSOLIDATED_Delinquency_Compulsory_EOM[[#This Row],[Client No]],'Global Portfolio'!$B$2:$N$2500,12,FALSE)</f>
        <v>Others</v>
      </c>
    </row>
    <row r="505" spans="1:28" x14ac:dyDescent="0.25">
      <c r="A505">
        <v>103190</v>
      </c>
      <c r="B505" t="s">
        <v>1528</v>
      </c>
      <c r="C505" t="s">
        <v>1531</v>
      </c>
      <c r="D505" t="s">
        <v>1283</v>
      </c>
      <c r="E505">
        <v>0</v>
      </c>
      <c r="F505">
        <v>45000000</v>
      </c>
      <c r="G505">
        <v>34863983.869999997</v>
      </c>
      <c r="H505">
        <v>3278244.5</v>
      </c>
      <c r="I505" t="s">
        <v>963</v>
      </c>
      <c r="J505">
        <v>0</v>
      </c>
      <c r="K505">
        <v>1450000</v>
      </c>
      <c r="L505">
        <v>1011055.53</v>
      </c>
      <c r="M505">
        <v>42620361.32</v>
      </c>
      <c r="N505" s="143">
        <v>42854.553883449073</v>
      </c>
      <c r="O505" s="143">
        <v>43406</v>
      </c>
      <c r="P505" t="s">
        <v>1532</v>
      </c>
      <c r="Q505" t="s">
        <v>1280</v>
      </c>
      <c r="R505" t="s">
        <v>1280</v>
      </c>
      <c r="S505" t="s">
        <v>1510</v>
      </c>
      <c r="T505">
        <v>36</v>
      </c>
      <c r="U505">
        <f>IF(Table__192.168.1.150_M_CONSOLIDATED_Delinquency_Compulsory_EOM[[#This Row],[Days in Arrears]] &lt; 8, Table__192.168.1.150_M_CONSOLIDATED_Delinquency_Compulsory_EOM[[#This Row],[Outstanding Balance]], 0 )</f>
        <v>34863983.869999997</v>
      </c>
      <c r="V5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5" s="105" t="str">
        <f>VLOOKUP(Table__192.168.1.150_M_CONSOLIDATED_Delinquency_Compulsory_EOM[[#This Row],[Client No]],'Global Portfolio'!$B$2:$N$2500,10,FALSE)</f>
        <v>Retail</v>
      </c>
      <c r="AA505" s="105" t="str">
        <f>VLOOKUP(Table__192.168.1.150_M_CONSOLIDATED_Delinquency_Compulsory_EOM[[#This Row],[Client No]],'Global Portfolio'!$B$2:$N$2500,11,FALSE)</f>
        <v>Miscellaneous Store Retailers</v>
      </c>
      <c r="AB505" s="105" t="str">
        <f>VLOOKUP(Table__192.168.1.150_M_CONSOLIDATED_Delinquency_Compulsory_EOM[[#This Row],[Client No]],'Global Portfolio'!$B$2:$N$2500,12,FALSE)</f>
        <v>Others</v>
      </c>
    </row>
    <row r="506" spans="1:28" x14ac:dyDescent="0.25">
      <c r="A506">
        <v>103192</v>
      </c>
      <c r="B506" t="s">
        <v>4650</v>
      </c>
      <c r="C506" t="s">
        <v>4653</v>
      </c>
      <c r="D506" t="s">
        <v>1281</v>
      </c>
      <c r="E506">
        <v>0</v>
      </c>
      <c r="F506">
        <v>30000000</v>
      </c>
      <c r="G506">
        <v>19235153.739999998</v>
      </c>
      <c r="H506">
        <v>3204761.5</v>
      </c>
      <c r="I506" t="s">
        <v>86</v>
      </c>
      <c r="J506">
        <v>9397.25</v>
      </c>
      <c r="K506">
        <v>0</v>
      </c>
      <c r="L506">
        <v>743759.28</v>
      </c>
      <c r="M506">
        <v>22437439.190000001</v>
      </c>
      <c r="N506" s="143">
        <v>42854.47204980324</v>
      </c>
      <c r="O506" s="143">
        <v>43222</v>
      </c>
      <c r="P506" t="s">
        <v>4654</v>
      </c>
      <c r="Q506" t="s">
        <v>1280</v>
      </c>
      <c r="R506" t="s">
        <v>1280</v>
      </c>
      <c r="S506" t="s">
        <v>1510</v>
      </c>
      <c r="T506">
        <v>48</v>
      </c>
      <c r="U506">
        <f>IF(Table__192.168.1.150_M_CONSOLIDATED_Delinquency_Compulsory_EOM[[#This Row],[Days in Arrears]] &lt; 8, Table__192.168.1.150_M_CONSOLIDATED_Delinquency_Compulsory_EOM[[#This Row],[Outstanding Balance]], 0 )</f>
        <v>19235153.739999998</v>
      </c>
      <c r="V5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6" s="105" t="str">
        <f>VLOOKUP(Table__192.168.1.150_M_CONSOLIDATED_Delinquency_Compulsory_EOM[[#This Row],[Client No]],'Global Portfolio'!$B$2:$N$2500,10,FALSE)</f>
        <v>Transportation and Warehousing</v>
      </c>
      <c r="AA506" s="105" t="str">
        <f>VLOOKUP(Table__192.168.1.150_M_CONSOLIDATED_Delinquency_Compulsory_EOM[[#This Row],[Client No]],'Global Portfolio'!$B$2:$N$2500,11,FALSE)</f>
        <v xml:space="preserve"> Passenger Transportation</v>
      </c>
      <c r="AB506" s="105" t="str">
        <f>VLOOKUP(Table__192.168.1.150_M_CONSOLIDATED_Delinquency_Compulsory_EOM[[#This Row],[Client No]],'Global Portfolio'!$B$2:$N$2500,12,FALSE)</f>
        <v>Taxi service</v>
      </c>
    </row>
    <row r="507" spans="1:28" x14ac:dyDescent="0.25">
      <c r="A507">
        <v>103193</v>
      </c>
      <c r="B507" t="s">
        <v>4632</v>
      </c>
      <c r="C507" t="s">
        <v>4637</v>
      </c>
      <c r="D507" t="s">
        <v>1279</v>
      </c>
      <c r="E507">
        <v>150</v>
      </c>
      <c r="F507">
        <v>5000000</v>
      </c>
      <c r="G507">
        <v>5000000</v>
      </c>
      <c r="H507">
        <v>761312.59</v>
      </c>
      <c r="I507" t="s">
        <v>2494</v>
      </c>
      <c r="J507">
        <v>0</v>
      </c>
      <c r="K507">
        <v>500000</v>
      </c>
      <c r="L507">
        <v>449378.43</v>
      </c>
      <c r="M507">
        <v>6090500.7199999997</v>
      </c>
      <c r="N507" s="143">
        <v>42853.803187233796</v>
      </c>
      <c r="O507" s="143">
        <v>43101</v>
      </c>
      <c r="P507" t="s">
        <v>4638</v>
      </c>
      <c r="Q507" t="s">
        <v>1280</v>
      </c>
      <c r="R507" t="s">
        <v>1280</v>
      </c>
      <c r="S507" t="s">
        <v>1510</v>
      </c>
      <c r="T507">
        <v>54</v>
      </c>
      <c r="U507">
        <f>IF(Table__192.168.1.150_M_CONSOLIDATED_Delinquency_Compulsory_EOM[[#This Row],[Days in Arrears]] &lt; 8, Table__192.168.1.150_M_CONSOLIDATED_Delinquency_Compulsory_EOM[[#This Row],[Outstanding Balance]], 0 )</f>
        <v>0</v>
      </c>
      <c r="V5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5000000</v>
      </c>
      <c r="Z507" s="105" t="str">
        <f>VLOOKUP(Table__192.168.1.150_M_CONSOLIDATED_Delinquency_Compulsory_EOM[[#This Row],[Client No]],'Global Portfolio'!$B$2:$N$2500,10,FALSE)</f>
        <v>Retail</v>
      </c>
      <c r="AA507" s="105" t="str">
        <f>VLOOKUP(Table__192.168.1.150_M_CONSOLIDATED_Delinquency_Compulsory_EOM[[#This Row],[Client No]],'Global Portfolio'!$B$2:$N$2500,11,FALSE)</f>
        <v>Others</v>
      </c>
      <c r="AB507" s="105" t="str">
        <f>VLOOKUP(Table__192.168.1.150_M_CONSOLIDATED_Delinquency_Compulsory_EOM[[#This Row],[Client No]],'Global Portfolio'!$B$2:$N$2500,12,FALSE)</f>
        <v>Others</v>
      </c>
    </row>
    <row r="508" spans="1:28" x14ac:dyDescent="0.25">
      <c r="A508">
        <v>103195</v>
      </c>
      <c r="B508" t="s">
        <v>4648</v>
      </c>
      <c r="C508" t="s">
        <v>4655</v>
      </c>
      <c r="D508" t="s">
        <v>1282</v>
      </c>
      <c r="E508">
        <v>0</v>
      </c>
      <c r="F508">
        <v>5000000</v>
      </c>
      <c r="G508">
        <v>3205858.94</v>
      </c>
      <c r="H508">
        <v>534126.92000000004</v>
      </c>
      <c r="I508" t="s">
        <v>2861</v>
      </c>
      <c r="J508">
        <v>0</v>
      </c>
      <c r="K508">
        <v>500000</v>
      </c>
      <c r="L508">
        <v>123959.88</v>
      </c>
      <c r="M508">
        <v>3738888.4</v>
      </c>
      <c r="N508" s="143">
        <v>42854.724098032406</v>
      </c>
      <c r="O508" s="143">
        <v>43221</v>
      </c>
      <c r="P508" t="s">
        <v>4656</v>
      </c>
      <c r="Q508" t="s">
        <v>1280</v>
      </c>
      <c r="R508" t="s">
        <v>1280</v>
      </c>
      <c r="S508" t="s">
        <v>1510</v>
      </c>
      <c r="T508">
        <v>48</v>
      </c>
      <c r="U508">
        <f>IF(Table__192.168.1.150_M_CONSOLIDATED_Delinquency_Compulsory_EOM[[#This Row],[Days in Arrears]] &lt; 8, Table__192.168.1.150_M_CONSOLIDATED_Delinquency_Compulsory_EOM[[#This Row],[Outstanding Balance]], 0 )</f>
        <v>3205858.94</v>
      </c>
      <c r="V5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8" s="105" t="str">
        <f>VLOOKUP(Table__192.168.1.150_M_CONSOLIDATED_Delinquency_Compulsory_EOM[[#This Row],[Client No]],'Global Portfolio'!$B$2:$N$2500,10,FALSE)</f>
        <v>Retail</v>
      </c>
      <c r="AA508" s="105" t="str">
        <f>VLOOKUP(Table__192.168.1.150_M_CONSOLIDATED_Delinquency_Compulsory_EOM[[#This Row],[Client No]],'Global Portfolio'!$B$2:$N$2500,11,FALSE)</f>
        <v>General Merchandise Stores</v>
      </c>
      <c r="AB508" s="105" t="str">
        <f>VLOOKUP(Table__192.168.1.150_M_CONSOLIDATED_Delinquency_Compulsory_EOM[[#This Row],[Client No]],'Global Portfolio'!$B$2:$N$2500,12,FALSE)</f>
        <v>Others</v>
      </c>
    </row>
    <row r="509" spans="1:28" x14ac:dyDescent="0.25">
      <c r="A509">
        <v>103196</v>
      </c>
      <c r="B509" t="s">
        <v>1338</v>
      </c>
      <c r="C509" t="s">
        <v>1339</v>
      </c>
      <c r="D509" t="s">
        <v>1283</v>
      </c>
      <c r="E509">
        <v>0</v>
      </c>
      <c r="F509">
        <v>55000000</v>
      </c>
      <c r="G509">
        <v>34491741.5</v>
      </c>
      <c r="H509">
        <v>5536143.6600000001</v>
      </c>
      <c r="I509" t="s">
        <v>2494</v>
      </c>
      <c r="J509">
        <v>0</v>
      </c>
      <c r="K509">
        <v>0</v>
      </c>
      <c r="L509">
        <v>1000260.5</v>
      </c>
      <c r="M509">
        <v>38753005.640000001</v>
      </c>
      <c r="N509" s="143">
        <v>42854.692172997682</v>
      </c>
      <c r="O509" s="143">
        <v>43221</v>
      </c>
      <c r="P509" t="s">
        <v>1340</v>
      </c>
      <c r="Q509" t="s">
        <v>1280</v>
      </c>
      <c r="R509" t="s">
        <v>1341</v>
      </c>
      <c r="S509" t="s">
        <v>1510</v>
      </c>
      <c r="T509">
        <v>36</v>
      </c>
      <c r="U509">
        <f>IF(Table__192.168.1.150_M_CONSOLIDATED_Delinquency_Compulsory_EOM[[#This Row],[Days in Arrears]] &lt; 8, Table__192.168.1.150_M_CONSOLIDATED_Delinquency_Compulsory_EOM[[#This Row],[Outstanding Balance]], 0 )</f>
        <v>34491741.5</v>
      </c>
      <c r="V5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09" s="105" t="str">
        <f>VLOOKUP(Table__192.168.1.150_M_CONSOLIDATED_Delinquency_Compulsory_EOM[[#This Row],[Client No]],'Global Portfolio'!$B$2:$N$2500,10,FALSE)</f>
        <v>Retail</v>
      </c>
      <c r="AA509" s="105" t="str">
        <f>VLOOKUP(Table__192.168.1.150_M_CONSOLIDATED_Delinquency_Compulsory_EOM[[#This Row],[Client No]],'Global Portfolio'!$B$2:$N$2500,11,FALSE)</f>
        <v>Others</v>
      </c>
      <c r="AB509" s="105" t="str">
        <f>VLOOKUP(Table__192.168.1.150_M_CONSOLIDATED_Delinquency_Compulsory_EOM[[#This Row],[Client No]],'Global Portfolio'!$B$2:$N$2500,12,FALSE)</f>
        <v>Others</v>
      </c>
    </row>
    <row r="510" spans="1:28" x14ac:dyDescent="0.25">
      <c r="A510">
        <v>103197</v>
      </c>
      <c r="B510" t="s">
        <v>4647</v>
      </c>
      <c r="C510" t="s">
        <v>4657</v>
      </c>
      <c r="D510" t="s">
        <v>1284</v>
      </c>
      <c r="E510">
        <v>0</v>
      </c>
      <c r="F510">
        <v>20000000</v>
      </c>
      <c r="G510">
        <v>15603875.48</v>
      </c>
      <c r="H510">
        <v>1498678.82</v>
      </c>
      <c r="I510" t="s">
        <v>468</v>
      </c>
      <c r="J510">
        <v>1498555.31</v>
      </c>
      <c r="K510">
        <v>1000000</v>
      </c>
      <c r="L510">
        <v>502791.54</v>
      </c>
      <c r="M510">
        <v>19482824.739999998</v>
      </c>
      <c r="N510" s="143">
        <v>42854.752476076392</v>
      </c>
      <c r="O510" s="143">
        <v>43405</v>
      </c>
      <c r="P510" t="s">
        <v>4658</v>
      </c>
      <c r="Q510" t="s">
        <v>1280</v>
      </c>
      <c r="R510" t="s">
        <v>1280</v>
      </c>
      <c r="S510" t="s">
        <v>1510</v>
      </c>
      <c r="T510">
        <v>40</v>
      </c>
      <c r="U510">
        <f>IF(Table__192.168.1.150_M_CONSOLIDATED_Delinquency_Compulsory_EOM[[#This Row],[Days in Arrears]] &lt; 8, Table__192.168.1.150_M_CONSOLIDATED_Delinquency_Compulsory_EOM[[#This Row],[Outstanding Balance]], 0 )</f>
        <v>15603875.48</v>
      </c>
      <c r="V5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0" s="105" t="str">
        <f>VLOOKUP(Table__192.168.1.150_M_CONSOLIDATED_Delinquency_Compulsory_EOM[[#This Row],[Client No]],'Global Portfolio'!$B$2:$N$2500,10,FALSE)</f>
        <v>Retail</v>
      </c>
      <c r="AA510" s="105" t="str">
        <f>VLOOKUP(Table__192.168.1.150_M_CONSOLIDATED_Delinquency_Compulsory_EOM[[#This Row],[Client No]],'Global Portfolio'!$B$2:$N$2500,11,FALSE)</f>
        <v>General Merchandise Stores</v>
      </c>
      <c r="AB510" s="105" t="str">
        <f>VLOOKUP(Table__192.168.1.150_M_CONSOLIDATED_Delinquency_Compulsory_EOM[[#This Row],[Client No]],'Global Portfolio'!$B$2:$N$2500,12,FALSE)</f>
        <v>General Stores</v>
      </c>
    </row>
    <row r="511" spans="1:28" x14ac:dyDescent="0.25">
      <c r="A511">
        <v>103199</v>
      </c>
      <c r="B511" t="s">
        <v>764</v>
      </c>
      <c r="C511" t="s">
        <v>773</v>
      </c>
      <c r="D511" t="s">
        <v>1282</v>
      </c>
      <c r="E511">
        <v>-2</v>
      </c>
      <c r="F511">
        <v>12000000</v>
      </c>
      <c r="G511">
        <v>7674383.5999999996</v>
      </c>
      <c r="H511">
        <v>1278626.07</v>
      </c>
      <c r="I511" t="s">
        <v>963</v>
      </c>
      <c r="J511">
        <v>0</v>
      </c>
      <c r="K511">
        <v>1200000</v>
      </c>
      <c r="L511">
        <v>276277.81</v>
      </c>
      <c r="M511">
        <v>8950382.5099999998</v>
      </c>
      <c r="N511" s="143">
        <v>42858.693313425923</v>
      </c>
      <c r="O511" s="143">
        <v>43223</v>
      </c>
      <c r="P511" t="s">
        <v>774</v>
      </c>
      <c r="Q511" t="s">
        <v>775</v>
      </c>
      <c r="R511" t="s">
        <v>1280</v>
      </c>
      <c r="S511" t="s">
        <v>1510</v>
      </c>
      <c r="T511">
        <v>48</v>
      </c>
      <c r="U511">
        <f>IF(Table__192.168.1.150_M_CONSOLIDATED_Delinquency_Compulsory_EOM[[#This Row],[Days in Arrears]] &lt; 8, Table__192.168.1.150_M_CONSOLIDATED_Delinquency_Compulsory_EOM[[#This Row],[Outstanding Balance]], 0 )</f>
        <v>7674383.5999999996</v>
      </c>
      <c r="V5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1" s="105" t="str">
        <f>VLOOKUP(Table__192.168.1.150_M_CONSOLIDATED_Delinquency_Compulsory_EOM[[#This Row],[Client No]],'Global Portfolio'!$B$2:$N$2500,10,FALSE)</f>
        <v>Retail</v>
      </c>
      <c r="AA511" s="105" t="str">
        <f>VLOOKUP(Table__192.168.1.150_M_CONSOLIDATED_Delinquency_Compulsory_EOM[[#This Row],[Client No]],'Global Portfolio'!$B$2:$N$2500,11,FALSE)</f>
        <v>Others</v>
      </c>
      <c r="AB511" s="105" t="str">
        <f>VLOOKUP(Table__192.168.1.150_M_CONSOLIDATED_Delinquency_Compulsory_EOM[[#This Row],[Client No]],'Global Portfolio'!$B$2:$N$2500,12,FALSE)</f>
        <v>Others</v>
      </c>
    </row>
    <row r="512" spans="1:28" x14ac:dyDescent="0.25">
      <c r="A512">
        <v>103200</v>
      </c>
      <c r="B512" t="s">
        <v>4677</v>
      </c>
      <c r="C512" t="s">
        <v>4678</v>
      </c>
      <c r="D512" t="s">
        <v>1281</v>
      </c>
      <c r="E512">
        <v>-3</v>
      </c>
      <c r="F512">
        <v>25000000</v>
      </c>
      <c r="G512">
        <v>15988299.130000001</v>
      </c>
      <c r="H512">
        <v>2663804.3199999998</v>
      </c>
      <c r="I512" t="s">
        <v>2494</v>
      </c>
      <c r="J512">
        <v>31329.58</v>
      </c>
      <c r="K512">
        <v>0</v>
      </c>
      <c r="L512">
        <v>554261.04</v>
      </c>
      <c r="M512">
        <v>18646630.199999999</v>
      </c>
      <c r="N512" s="143">
        <v>42859.722962268519</v>
      </c>
      <c r="O512" s="143">
        <v>43224</v>
      </c>
      <c r="P512" t="s">
        <v>4679</v>
      </c>
      <c r="Q512" t="s">
        <v>4680</v>
      </c>
      <c r="R512" t="s">
        <v>1280</v>
      </c>
      <c r="S512" t="s">
        <v>1510</v>
      </c>
      <c r="T512">
        <v>48</v>
      </c>
      <c r="U512">
        <f>IF(Table__192.168.1.150_M_CONSOLIDATED_Delinquency_Compulsory_EOM[[#This Row],[Days in Arrears]] &lt; 8, Table__192.168.1.150_M_CONSOLIDATED_Delinquency_Compulsory_EOM[[#This Row],[Outstanding Balance]], 0 )</f>
        <v>15988299.130000001</v>
      </c>
      <c r="V5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2" s="105" t="str">
        <f>VLOOKUP(Table__192.168.1.150_M_CONSOLIDATED_Delinquency_Compulsory_EOM[[#This Row],[Client No]],'Global Portfolio'!$B$2:$N$2500,10,FALSE)</f>
        <v>Manufacturing</v>
      </c>
      <c r="AA512" s="105" t="str">
        <f>VLOOKUP(Table__192.168.1.150_M_CONSOLIDATED_Delinquency_Compulsory_EOM[[#This Row],[Client No]],'Global Portfolio'!$B$2:$N$2500,11,FALSE)</f>
        <v>Chemical Manufacturing</v>
      </c>
      <c r="AB512" s="105" t="str">
        <f>VLOOKUP(Table__192.168.1.150_M_CONSOLIDATED_Delinquency_Compulsory_EOM[[#This Row],[Client No]],'Global Portfolio'!$B$2:$N$2500,12,FALSE)</f>
        <v>Chemical Manufacturing</v>
      </c>
    </row>
    <row r="513" spans="1:28" x14ac:dyDescent="0.25">
      <c r="A513">
        <v>103204</v>
      </c>
      <c r="B513" t="s">
        <v>4694</v>
      </c>
      <c r="C513" t="s">
        <v>4699</v>
      </c>
      <c r="D513" t="s">
        <v>1279</v>
      </c>
      <c r="E513">
        <v>23</v>
      </c>
      <c r="F513">
        <v>1000000</v>
      </c>
      <c r="G513">
        <v>290873.24</v>
      </c>
      <c r="H513">
        <v>193878.39</v>
      </c>
      <c r="I513" t="s">
        <v>3074</v>
      </c>
      <c r="J513">
        <v>0</v>
      </c>
      <c r="K513">
        <v>100000</v>
      </c>
      <c r="L513">
        <v>6122.47</v>
      </c>
      <c r="M513">
        <v>299222.07</v>
      </c>
      <c r="N513" s="143">
        <v>42863.729602083331</v>
      </c>
      <c r="O513" s="143">
        <v>43047</v>
      </c>
      <c r="P513" t="s">
        <v>4700</v>
      </c>
      <c r="Q513" t="s">
        <v>1280</v>
      </c>
      <c r="R513" t="s">
        <v>1280</v>
      </c>
      <c r="S513" t="s">
        <v>1510</v>
      </c>
      <c r="T513">
        <v>54</v>
      </c>
      <c r="U513">
        <f>IF(Table__192.168.1.150_M_CONSOLIDATED_Delinquency_Compulsory_EOM[[#This Row],[Days in Arrears]] &lt; 8, Table__192.168.1.150_M_CONSOLIDATED_Delinquency_Compulsory_EOM[[#This Row],[Outstanding Balance]], 0 )</f>
        <v>0</v>
      </c>
      <c r="V5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290873.24</v>
      </c>
      <c r="W5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3" s="105" t="str">
        <f>VLOOKUP(Table__192.168.1.150_M_CONSOLIDATED_Delinquency_Compulsory_EOM[[#This Row],[Client No]],'Global Portfolio'!$B$2:$N$2500,10,FALSE)</f>
        <v>Retail</v>
      </c>
      <c r="AA513" s="105" t="str">
        <f>VLOOKUP(Table__192.168.1.150_M_CONSOLIDATED_Delinquency_Compulsory_EOM[[#This Row],[Client No]],'Global Portfolio'!$B$2:$N$2500,11,FALSE)</f>
        <v>General Merchandise Stores</v>
      </c>
      <c r="AB513" s="105" t="str">
        <f>VLOOKUP(Table__192.168.1.150_M_CONSOLIDATED_Delinquency_Compulsory_EOM[[#This Row],[Client No]],'Global Portfolio'!$B$2:$N$2500,12,FALSE)</f>
        <v>General Stores</v>
      </c>
    </row>
    <row r="514" spans="1:28" x14ac:dyDescent="0.25">
      <c r="A514">
        <v>103206</v>
      </c>
      <c r="B514" t="s">
        <v>4723</v>
      </c>
      <c r="C514" t="s">
        <v>4725</v>
      </c>
      <c r="D514" t="s">
        <v>1285</v>
      </c>
      <c r="E514">
        <v>-20</v>
      </c>
      <c r="F514">
        <v>14000000</v>
      </c>
      <c r="G514">
        <v>12648526.73</v>
      </c>
      <c r="H514">
        <v>538516.64</v>
      </c>
      <c r="I514" t="s">
        <v>284</v>
      </c>
      <c r="J514">
        <v>303965.09000000003</v>
      </c>
      <c r="K514">
        <v>0</v>
      </c>
      <c r="L514">
        <v>69566.899999999994</v>
      </c>
      <c r="M514">
        <v>16694015.949999999</v>
      </c>
      <c r="N514" s="143">
        <v>42864.697911261574</v>
      </c>
      <c r="O514" s="143">
        <v>43972</v>
      </c>
      <c r="P514" t="s">
        <v>4726</v>
      </c>
      <c r="Q514" t="s">
        <v>1280</v>
      </c>
      <c r="R514" t="s">
        <v>1280</v>
      </c>
      <c r="S514" t="s">
        <v>1510</v>
      </c>
      <c r="T514">
        <v>22</v>
      </c>
      <c r="U514">
        <f>IF(Table__192.168.1.150_M_CONSOLIDATED_Delinquency_Compulsory_EOM[[#This Row],[Days in Arrears]] &lt; 8, Table__192.168.1.150_M_CONSOLIDATED_Delinquency_Compulsory_EOM[[#This Row],[Outstanding Balance]], 0 )</f>
        <v>12648526.73</v>
      </c>
      <c r="V5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4" s="105" t="str">
        <f>VLOOKUP(Table__192.168.1.150_M_CONSOLIDATED_Delinquency_Compulsory_EOM[[#This Row],[Client No]],'Global Portfolio'!$B$2:$N$2500,10,FALSE)</f>
        <v>Finance and Insurance</v>
      </c>
      <c r="AA514" s="105" t="str">
        <f>VLOOKUP(Table__192.168.1.150_M_CONSOLIDATED_Delinquency_Compulsory_EOM[[#This Row],[Client No]],'Global Portfolio'!$B$2:$N$2500,11,FALSE)</f>
        <v>Finance</v>
      </c>
      <c r="AB514" s="105" t="str">
        <f>VLOOKUP(Table__192.168.1.150_M_CONSOLIDATED_Delinquency_Compulsory_EOM[[#This Row],[Client No]],'Global Portfolio'!$B$2:$N$2500,12,FALSE)</f>
        <v>Commercial Banks</v>
      </c>
    </row>
    <row r="515" spans="1:28" x14ac:dyDescent="0.25">
      <c r="A515">
        <v>103207</v>
      </c>
      <c r="B515" t="s">
        <v>4730</v>
      </c>
      <c r="C515" t="s">
        <v>4732</v>
      </c>
      <c r="D515" t="s">
        <v>1282</v>
      </c>
      <c r="E515">
        <v>21</v>
      </c>
      <c r="F515">
        <v>4000000</v>
      </c>
      <c r="G515">
        <v>2607383.38</v>
      </c>
      <c r="H515">
        <v>505515.29</v>
      </c>
      <c r="I515" t="s">
        <v>2175</v>
      </c>
      <c r="J515">
        <v>0</v>
      </c>
      <c r="K515">
        <v>0</v>
      </c>
      <c r="L515">
        <v>150129.82</v>
      </c>
      <c r="M515">
        <v>3028271.58</v>
      </c>
      <c r="N515" s="143">
        <v>42865.59297716435</v>
      </c>
      <c r="O515" s="143">
        <v>43169</v>
      </c>
      <c r="P515" t="s">
        <v>4733</v>
      </c>
      <c r="Q515" t="s">
        <v>1280</v>
      </c>
      <c r="R515" t="s">
        <v>1280</v>
      </c>
      <c r="S515" t="s">
        <v>1510</v>
      </c>
      <c r="T515">
        <v>54</v>
      </c>
      <c r="U515">
        <f>IF(Table__192.168.1.150_M_CONSOLIDATED_Delinquency_Compulsory_EOM[[#This Row],[Days in Arrears]] &lt; 8, Table__192.168.1.150_M_CONSOLIDATED_Delinquency_Compulsory_EOM[[#This Row],[Outstanding Balance]], 0 )</f>
        <v>0</v>
      </c>
      <c r="V5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2607383.38</v>
      </c>
      <c r="W5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5" s="105" t="str">
        <f>VLOOKUP(Table__192.168.1.150_M_CONSOLIDATED_Delinquency_Compulsory_EOM[[#This Row],[Client No]],'Global Portfolio'!$B$2:$N$2500,10,FALSE)</f>
        <v>Retail</v>
      </c>
      <c r="AA515" s="105" t="str">
        <f>VLOOKUP(Table__192.168.1.150_M_CONSOLIDATED_Delinquency_Compulsory_EOM[[#This Row],[Client No]],'Global Portfolio'!$B$2:$N$2500,11,FALSE)</f>
        <v>Others</v>
      </c>
      <c r="AB515" s="105" t="str">
        <f>VLOOKUP(Table__192.168.1.150_M_CONSOLIDATED_Delinquency_Compulsory_EOM[[#This Row],[Client No]],'Global Portfolio'!$B$2:$N$2500,12,FALSE)</f>
        <v>Others</v>
      </c>
    </row>
    <row r="516" spans="1:28" x14ac:dyDescent="0.25">
      <c r="A516">
        <v>103209</v>
      </c>
      <c r="B516" t="s">
        <v>4737</v>
      </c>
      <c r="C516" t="s">
        <v>4741</v>
      </c>
      <c r="D516" t="s">
        <v>1283</v>
      </c>
      <c r="E516">
        <v>-10</v>
      </c>
      <c r="F516">
        <v>40000000</v>
      </c>
      <c r="G516">
        <v>25219284.5</v>
      </c>
      <c r="H516">
        <v>4098859.31</v>
      </c>
      <c r="I516" t="s">
        <v>468</v>
      </c>
      <c r="J516">
        <v>217209.15</v>
      </c>
      <c r="K516">
        <v>2000000</v>
      </c>
      <c r="L516">
        <v>532407.12</v>
      </c>
      <c r="M516">
        <v>28692015.23</v>
      </c>
      <c r="N516" s="143">
        <v>42866.529079629632</v>
      </c>
      <c r="O516" s="143">
        <v>43231</v>
      </c>
      <c r="P516" t="s">
        <v>4742</v>
      </c>
      <c r="Q516" t="s">
        <v>1280</v>
      </c>
      <c r="R516" t="s">
        <v>1280</v>
      </c>
      <c r="S516" t="s">
        <v>1510</v>
      </c>
      <c r="T516">
        <v>40</v>
      </c>
      <c r="U516">
        <f>IF(Table__192.168.1.150_M_CONSOLIDATED_Delinquency_Compulsory_EOM[[#This Row],[Days in Arrears]] &lt; 8, Table__192.168.1.150_M_CONSOLIDATED_Delinquency_Compulsory_EOM[[#This Row],[Outstanding Balance]], 0 )</f>
        <v>25219284.5</v>
      </c>
      <c r="V5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6" s="105" t="str">
        <f>VLOOKUP(Table__192.168.1.150_M_CONSOLIDATED_Delinquency_Compulsory_EOM[[#This Row],[Client No]],'Global Portfolio'!$B$2:$N$2500,10,FALSE)</f>
        <v>Wholesale Trade</v>
      </c>
      <c r="AA516" s="105" t="str">
        <f>VLOOKUP(Table__192.168.1.150_M_CONSOLIDATED_Delinquency_Compulsory_EOM[[#This Row],[Client No]],'Global Portfolio'!$B$2:$N$2500,11,FALSE)</f>
        <v>Others</v>
      </c>
      <c r="AB516" s="105" t="str">
        <f>VLOOKUP(Table__192.168.1.150_M_CONSOLIDATED_Delinquency_Compulsory_EOM[[#This Row],[Client No]],'Global Portfolio'!$B$2:$N$2500,12,FALSE)</f>
        <v>Others</v>
      </c>
    </row>
    <row r="517" spans="1:28" x14ac:dyDescent="0.25">
      <c r="A517">
        <v>103210</v>
      </c>
      <c r="B517" t="s">
        <v>4738</v>
      </c>
      <c r="C517" t="s">
        <v>4743</v>
      </c>
      <c r="D517" t="s">
        <v>1282</v>
      </c>
      <c r="E517">
        <v>-10</v>
      </c>
      <c r="F517">
        <v>7000000</v>
      </c>
      <c r="G517">
        <v>4523610.37</v>
      </c>
      <c r="H517">
        <v>767663.32</v>
      </c>
      <c r="I517" t="s">
        <v>5167</v>
      </c>
      <c r="J517">
        <v>29167.39</v>
      </c>
      <c r="K517">
        <v>0</v>
      </c>
      <c r="L517">
        <v>128922.9</v>
      </c>
      <c r="M517">
        <v>5373643.2599999998</v>
      </c>
      <c r="N517" s="143">
        <v>42866.691571412041</v>
      </c>
      <c r="O517" s="143">
        <v>43231</v>
      </c>
      <c r="P517" t="s">
        <v>4744</v>
      </c>
      <c r="Q517" t="s">
        <v>1280</v>
      </c>
      <c r="R517" t="s">
        <v>1280</v>
      </c>
      <c r="S517" t="s">
        <v>1510</v>
      </c>
      <c r="T517">
        <v>54</v>
      </c>
      <c r="U517">
        <f>IF(Table__192.168.1.150_M_CONSOLIDATED_Delinquency_Compulsory_EOM[[#This Row],[Days in Arrears]] &lt; 8, Table__192.168.1.150_M_CONSOLIDATED_Delinquency_Compulsory_EOM[[#This Row],[Outstanding Balance]], 0 )</f>
        <v>4523610.37</v>
      </c>
      <c r="V5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7" s="105" t="str">
        <f>VLOOKUP(Table__192.168.1.150_M_CONSOLIDATED_Delinquency_Compulsory_EOM[[#This Row],[Client No]],'Global Portfolio'!$B$2:$N$2500,10,FALSE)</f>
        <v>Retail</v>
      </c>
      <c r="AA517" s="105" t="str">
        <f>VLOOKUP(Table__192.168.1.150_M_CONSOLIDATED_Delinquency_Compulsory_EOM[[#This Row],[Client No]],'Global Portfolio'!$B$2:$N$2500,11,FALSE)</f>
        <v>Others</v>
      </c>
      <c r="AB517" s="105" t="str">
        <f>VLOOKUP(Table__192.168.1.150_M_CONSOLIDATED_Delinquency_Compulsory_EOM[[#This Row],[Client No]],'Global Portfolio'!$B$2:$N$2500,12,FALSE)</f>
        <v>Others</v>
      </c>
    </row>
    <row r="518" spans="1:28" x14ac:dyDescent="0.25">
      <c r="A518">
        <v>103211</v>
      </c>
      <c r="B518" t="s">
        <v>4751</v>
      </c>
      <c r="C518" t="s">
        <v>4752</v>
      </c>
      <c r="D518" t="s">
        <v>1284</v>
      </c>
      <c r="E518">
        <v>-11</v>
      </c>
      <c r="F518">
        <v>12000000</v>
      </c>
      <c r="G518">
        <v>4835445.09</v>
      </c>
      <c r="H518">
        <v>1709476.67</v>
      </c>
      <c r="I518" t="s">
        <v>86</v>
      </c>
      <c r="J518">
        <v>0</v>
      </c>
      <c r="K518">
        <v>0</v>
      </c>
      <c r="L518">
        <v>87038.01</v>
      </c>
      <c r="M518">
        <v>5128429.97</v>
      </c>
      <c r="N518" s="143">
        <v>42867.662933217594</v>
      </c>
      <c r="O518" s="143">
        <v>43112</v>
      </c>
      <c r="P518" t="s">
        <v>4753</v>
      </c>
      <c r="Q518" t="s">
        <v>1280</v>
      </c>
      <c r="R518" t="s">
        <v>1280</v>
      </c>
      <c r="S518" t="s">
        <v>1510</v>
      </c>
      <c r="T518">
        <v>36</v>
      </c>
      <c r="U518">
        <f>IF(Table__192.168.1.150_M_CONSOLIDATED_Delinquency_Compulsory_EOM[[#This Row],[Days in Arrears]] &lt; 8, Table__192.168.1.150_M_CONSOLIDATED_Delinquency_Compulsory_EOM[[#This Row],[Outstanding Balance]], 0 )</f>
        <v>4835445.09</v>
      </c>
      <c r="V5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8" s="105" t="str">
        <f>VLOOKUP(Table__192.168.1.150_M_CONSOLIDATED_Delinquency_Compulsory_EOM[[#This Row],[Client No]],'Global Portfolio'!$B$2:$N$2500,10,FALSE)</f>
        <v>Retail</v>
      </c>
      <c r="AA518" s="105" t="str">
        <f>VLOOKUP(Table__192.168.1.150_M_CONSOLIDATED_Delinquency_Compulsory_EOM[[#This Row],[Client No]],'Global Portfolio'!$B$2:$N$2500,11,FALSE)</f>
        <v>Others</v>
      </c>
      <c r="AB518" s="105" t="str">
        <f>VLOOKUP(Table__192.168.1.150_M_CONSOLIDATED_Delinquency_Compulsory_EOM[[#This Row],[Client No]],'Global Portfolio'!$B$2:$N$2500,12,FALSE)</f>
        <v>Others</v>
      </c>
    </row>
    <row r="519" spans="1:28" x14ac:dyDescent="0.25">
      <c r="A519">
        <v>103212</v>
      </c>
      <c r="B519" t="s">
        <v>4754</v>
      </c>
      <c r="C519" t="s">
        <v>4756</v>
      </c>
      <c r="D519" t="s">
        <v>1282</v>
      </c>
      <c r="E519">
        <v>18</v>
      </c>
      <c r="F519">
        <v>5000000</v>
      </c>
      <c r="G519">
        <v>3616728.44</v>
      </c>
      <c r="H519">
        <v>548330.93999999994</v>
      </c>
      <c r="I519" t="s">
        <v>2494</v>
      </c>
      <c r="J519">
        <v>0</v>
      </c>
      <c r="K519">
        <v>500000</v>
      </c>
      <c r="L519">
        <v>245147.11</v>
      </c>
      <c r="M519">
        <v>4353255.6900000004</v>
      </c>
      <c r="N519" s="143">
        <v>42868.464225613425</v>
      </c>
      <c r="O519" s="143">
        <v>43233</v>
      </c>
      <c r="P519" t="s">
        <v>4757</v>
      </c>
      <c r="Q519" t="s">
        <v>4758</v>
      </c>
      <c r="R519" t="s">
        <v>1280</v>
      </c>
      <c r="S519" t="s">
        <v>1510</v>
      </c>
      <c r="T519">
        <v>54</v>
      </c>
      <c r="U519">
        <f>IF(Table__192.168.1.150_M_CONSOLIDATED_Delinquency_Compulsory_EOM[[#This Row],[Days in Arrears]] &lt; 8, Table__192.168.1.150_M_CONSOLIDATED_Delinquency_Compulsory_EOM[[#This Row],[Outstanding Balance]], 0 )</f>
        <v>0</v>
      </c>
      <c r="V5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3616728.44</v>
      </c>
      <c r="W5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19" s="105" t="str">
        <f>VLOOKUP(Table__192.168.1.150_M_CONSOLIDATED_Delinquency_Compulsory_EOM[[#This Row],[Client No]],'Global Portfolio'!$B$2:$N$2500,10,FALSE)</f>
        <v>Retail</v>
      </c>
      <c r="AA519" s="105" t="str">
        <f>VLOOKUP(Table__192.168.1.150_M_CONSOLIDATED_Delinquency_Compulsory_EOM[[#This Row],[Client No]],'Global Portfolio'!$B$2:$N$2500,11,FALSE)</f>
        <v>Others</v>
      </c>
      <c r="AB519" s="105" t="str">
        <f>VLOOKUP(Table__192.168.1.150_M_CONSOLIDATED_Delinquency_Compulsory_EOM[[#This Row],[Client No]],'Global Portfolio'!$B$2:$N$2500,12,FALSE)</f>
        <v>Others</v>
      </c>
    </row>
    <row r="520" spans="1:28" x14ac:dyDescent="0.25">
      <c r="A520">
        <v>103213</v>
      </c>
      <c r="B520" t="s">
        <v>440</v>
      </c>
      <c r="C520" t="s">
        <v>448</v>
      </c>
      <c r="D520" t="s">
        <v>1281</v>
      </c>
      <c r="E520">
        <v>-14</v>
      </c>
      <c r="F520">
        <v>20000000</v>
      </c>
      <c r="G520">
        <v>12655143.16</v>
      </c>
      <c r="H520">
        <v>2069678.99</v>
      </c>
      <c r="I520" t="s">
        <v>1667</v>
      </c>
      <c r="J520">
        <v>58349.85</v>
      </c>
      <c r="K520">
        <v>1500000</v>
      </c>
      <c r="L520">
        <v>221465.01</v>
      </c>
      <c r="M520">
        <v>14487752.859999999</v>
      </c>
      <c r="N520" s="143">
        <v>42870.572094293981</v>
      </c>
      <c r="O520" s="143">
        <v>43235</v>
      </c>
      <c r="P520" t="s">
        <v>449</v>
      </c>
      <c r="Q520" t="s">
        <v>450</v>
      </c>
      <c r="R520" t="s">
        <v>1280</v>
      </c>
      <c r="S520" t="s">
        <v>1510</v>
      </c>
      <c r="T520">
        <v>42</v>
      </c>
      <c r="U520">
        <f>IF(Table__192.168.1.150_M_CONSOLIDATED_Delinquency_Compulsory_EOM[[#This Row],[Days in Arrears]] &lt; 8, Table__192.168.1.150_M_CONSOLIDATED_Delinquency_Compulsory_EOM[[#This Row],[Outstanding Balance]], 0 )</f>
        <v>12655143.16</v>
      </c>
      <c r="V5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0" s="105" t="str">
        <f>VLOOKUP(Table__192.168.1.150_M_CONSOLIDATED_Delinquency_Compulsory_EOM[[#This Row],[Client No]],'Global Portfolio'!$B$2:$N$2500,10,FALSE)</f>
        <v>Wholesale Trade</v>
      </c>
      <c r="AA520" s="105" t="str">
        <f>VLOOKUP(Table__192.168.1.150_M_CONSOLIDATED_Delinquency_Compulsory_EOM[[#This Row],[Client No]],'Global Portfolio'!$B$2:$N$2500,11,FALSE)</f>
        <v>Others</v>
      </c>
      <c r="AB520" s="105" t="str">
        <f>VLOOKUP(Table__192.168.1.150_M_CONSOLIDATED_Delinquency_Compulsory_EOM[[#This Row],[Client No]],'Global Portfolio'!$B$2:$N$2500,12,FALSE)</f>
        <v>Others</v>
      </c>
    </row>
    <row r="521" spans="1:28" x14ac:dyDescent="0.25">
      <c r="A521">
        <v>103216</v>
      </c>
      <c r="B521" t="s">
        <v>3296</v>
      </c>
      <c r="C521" t="s">
        <v>3297</v>
      </c>
      <c r="D521" t="s">
        <v>1866</v>
      </c>
      <c r="E521">
        <v>15</v>
      </c>
      <c r="F521">
        <v>7000000</v>
      </c>
      <c r="G521">
        <v>3751638.15</v>
      </c>
      <c r="H521">
        <v>1025432</v>
      </c>
      <c r="I521" t="s">
        <v>2538</v>
      </c>
      <c r="J521">
        <v>0</v>
      </c>
      <c r="K521">
        <v>0</v>
      </c>
      <c r="L521">
        <v>137560.07</v>
      </c>
      <c r="M521">
        <v>4101728.04</v>
      </c>
      <c r="N521" s="143">
        <v>42871.590581400465</v>
      </c>
      <c r="O521" s="143">
        <v>43116</v>
      </c>
      <c r="P521" t="s">
        <v>3298</v>
      </c>
      <c r="Q521" t="s">
        <v>3299</v>
      </c>
      <c r="R521" t="s">
        <v>1280</v>
      </c>
      <c r="S521" t="s">
        <v>1510</v>
      </c>
      <c r="T521">
        <v>44</v>
      </c>
      <c r="U521">
        <f>IF(Table__192.168.1.150_M_CONSOLIDATED_Delinquency_Compulsory_EOM[[#This Row],[Days in Arrears]] &lt; 8, Table__192.168.1.150_M_CONSOLIDATED_Delinquency_Compulsory_EOM[[#This Row],[Outstanding Balance]], 0 )</f>
        <v>0</v>
      </c>
      <c r="V5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3751638.15</v>
      </c>
      <c r="W5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1" s="105" t="str">
        <f>VLOOKUP(Table__192.168.1.150_M_CONSOLIDATED_Delinquency_Compulsory_EOM[[#This Row],[Client No]],'Global Portfolio'!$B$2:$N$2500,10,FALSE)</f>
        <v>Retail</v>
      </c>
      <c r="AA521" s="105" t="str">
        <f>VLOOKUP(Table__192.168.1.150_M_CONSOLIDATED_Delinquency_Compulsory_EOM[[#This Row],[Client No]],'Global Portfolio'!$B$2:$N$2500,11,FALSE)</f>
        <v>General Merchandise Stores</v>
      </c>
      <c r="AB521" s="105" t="str">
        <f>VLOOKUP(Table__192.168.1.150_M_CONSOLIDATED_Delinquency_Compulsory_EOM[[#This Row],[Client No]],'Global Portfolio'!$B$2:$N$2500,12,FALSE)</f>
        <v>Others</v>
      </c>
    </row>
    <row r="522" spans="1:28" x14ac:dyDescent="0.25">
      <c r="A522">
        <v>103219</v>
      </c>
      <c r="B522" t="s">
        <v>4778</v>
      </c>
      <c r="C522" t="s">
        <v>4781</v>
      </c>
      <c r="D522" t="s">
        <v>1282</v>
      </c>
      <c r="E522">
        <v>14</v>
      </c>
      <c r="F522">
        <v>10000000</v>
      </c>
      <c r="G522">
        <v>7233456.8399999999</v>
      </c>
      <c r="H522">
        <v>1096661.8899999999</v>
      </c>
      <c r="I522" t="s">
        <v>1039</v>
      </c>
      <c r="J522">
        <v>0</v>
      </c>
      <c r="K522">
        <v>1000000</v>
      </c>
      <c r="L522">
        <v>451182.31</v>
      </c>
      <c r="M522">
        <v>8772956.9600000009</v>
      </c>
      <c r="N522" s="143">
        <v>42872.656395949074</v>
      </c>
      <c r="O522" s="143">
        <v>43237</v>
      </c>
      <c r="P522" t="s">
        <v>4782</v>
      </c>
      <c r="Q522" t="s">
        <v>4783</v>
      </c>
      <c r="R522" t="s">
        <v>1280</v>
      </c>
      <c r="S522" t="s">
        <v>1510</v>
      </c>
      <c r="T522">
        <v>54</v>
      </c>
      <c r="U522">
        <f>IF(Table__192.168.1.150_M_CONSOLIDATED_Delinquency_Compulsory_EOM[[#This Row],[Days in Arrears]] &lt; 8, Table__192.168.1.150_M_CONSOLIDATED_Delinquency_Compulsory_EOM[[#This Row],[Outstanding Balance]], 0 )</f>
        <v>0</v>
      </c>
      <c r="V5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7233456.8399999999</v>
      </c>
      <c r="W5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2" s="105" t="str">
        <f>VLOOKUP(Table__192.168.1.150_M_CONSOLIDATED_Delinquency_Compulsory_EOM[[#This Row],[Client No]],'Global Portfolio'!$B$2:$N$2500,10,FALSE)</f>
        <v>Retail</v>
      </c>
      <c r="AA522" s="105" t="str">
        <f>VLOOKUP(Table__192.168.1.150_M_CONSOLIDATED_Delinquency_Compulsory_EOM[[#This Row],[Client No]],'Global Portfolio'!$B$2:$N$2500,11,FALSE)</f>
        <v>Others</v>
      </c>
      <c r="AB522" s="105" t="str">
        <f>VLOOKUP(Table__192.168.1.150_M_CONSOLIDATED_Delinquency_Compulsory_EOM[[#This Row],[Client No]],'Global Portfolio'!$B$2:$N$2500,12,FALSE)</f>
        <v>Others</v>
      </c>
    </row>
    <row r="523" spans="1:28" x14ac:dyDescent="0.25">
      <c r="A523">
        <v>103220</v>
      </c>
      <c r="B523" t="s">
        <v>4798</v>
      </c>
      <c r="C523" t="s">
        <v>4802</v>
      </c>
      <c r="D523" t="s">
        <v>1282</v>
      </c>
      <c r="E523">
        <v>73</v>
      </c>
      <c r="F523">
        <v>4000000</v>
      </c>
      <c r="G523">
        <v>3444235.58</v>
      </c>
      <c r="H523">
        <v>438664.75</v>
      </c>
      <c r="I523" t="s">
        <v>2034</v>
      </c>
      <c r="J523">
        <v>0</v>
      </c>
      <c r="K523">
        <v>0</v>
      </c>
      <c r="L523">
        <v>138702.46</v>
      </c>
      <c r="M523">
        <v>4203656.17</v>
      </c>
      <c r="N523" s="143">
        <v>42873.577588541666</v>
      </c>
      <c r="O523" s="143">
        <v>43238</v>
      </c>
      <c r="P523" t="s">
        <v>4803</v>
      </c>
      <c r="Q523" t="s">
        <v>4804</v>
      </c>
      <c r="R523" t="s">
        <v>1280</v>
      </c>
      <c r="S523" t="s">
        <v>1510</v>
      </c>
      <c r="T523">
        <v>54</v>
      </c>
      <c r="U523">
        <f>IF(Table__192.168.1.150_M_CONSOLIDATED_Delinquency_Compulsory_EOM[[#This Row],[Days in Arrears]] &lt; 8, Table__192.168.1.150_M_CONSOLIDATED_Delinquency_Compulsory_EOM[[#This Row],[Outstanding Balance]], 0 )</f>
        <v>0</v>
      </c>
      <c r="V5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3444235.58</v>
      </c>
      <c r="Y5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3" s="105" t="str">
        <f>VLOOKUP(Table__192.168.1.150_M_CONSOLIDATED_Delinquency_Compulsory_EOM[[#This Row],[Client No]],'Global Portfolio'!$B$2:$N$2500,10,FALSE)</f>
        <v>Real Estate and Rental</v>
      </c>
      <c r="AA523" s="105" t="str">
        <f>VLOOKUP(Table__192.168.1.150_M_CONSOLIDATED_Delinquency_Compulsory_EOM[[#This Row],[Client No]],'Global Portfolio'!$B$2:$N$2500,11,FALSE)</f>
        <v>Rental</v>
      </c>
      <c r="AB523" s="105" t="str">
        <f>VLOOKUP(Table__192.168.1.150_M_CONSOLIDATED_Delinquency_Compulsory_EOM[[#This Row],[Client No]],'Global Portfolio'!$B$2:$N$2500,12,FALSE)</f>
        <v>Others</v>
      </c>
    </row>
    <row r="524" spans="1:28" x14ac:dyDescent="0.25">
      <c r="A524">
        <v>103221</v>
      </c>
      <c r="B524" t="s">
        <v>911</v>
      </c>
      <c r="C524" t="s">
        <v>2217</v>
      </c>
      <c r="D524" t="s">
        <v>1866</v>
      </c>
      <c r="E524">
        <v>13</v>
      </c>
      <c r="F524">
        <v>6000000</v>
      </c>
      <c r="G524">
        <v>4280211.46</v>
      </c>
      <c r="H524">
        <v>627009.4</v>
      </c>
      <c r="I524" t="s">
        <v>963</v>
      </c>
      <c r="J524">
        <v>0</v>
      </c>
      <c r="K524">
        <v>0</v>
      </c>
      <c r="L524">
        <v>212823.19</v>
      </c>
      <c r="M524">
        <v>5016075.22</v>
      </c>
      <c r="N524" s="143">
        <v>42873.523146331019</v>
      </c>
      <c r="O524" s="143">
        <v>43238</v>
      </c>
      <c r="P524" t="s">
        <v>2218</v>
      </c>
      <c r="Q524" t="s">
        <v>2219</v>
      </c>
      <c r="R524" t="s">
        <v>1280</v>
      </c>
      <c r="S524" t="s">
        <v>1510</v>
      </c>
      <c r="T524">
        <v>44</v>
      </c>
      <c r="U524">
        <f>IF(Table__192.168.1.150_M_CONSOLIDATED_Delinquency_Compulsory_EOM[[#This Row],[Days in Arrears]] &lt; 8, Table__192.168.1.150_M_CONSOLIDATED_Delinquency_Compulsory_EOM[[#This Row],[Outstanding Balance]], 0 )</f>
        <v>0</v>
      </c>
      <c r="V5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4280211.46</v>
      </c>
      <c r="W5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4" s="105" t="str">
        <f>VLOOKUP(Table__192.168.1.150_M_CONSOLIDATED_Delinquency_Compulsory_EOM[[#This Row],[Client No]],'Global Portfolio'!$B$2:$N$2500,10,FALSE)</f>
        <v>Retail</v>
      </c>
      <c r="AA524" s="105" t="str">
        <f>VLOOKUP(Table__192.168.1.150_M_CONSOLIDATED_Delinquency_Compulsory_EOM[[#This Row],[Client No]],'Global Portfolio'!$B$2:$N$2500,11,FALSE)</f>
        <v>Others</v>
      </c>
      <c r="AB524" s="105" t="str">
        <f>VLOOKUP(Table__192.168.1.150_M_CONSOLIDATED_Delinquency_Compulsory_EOM[[#This Row],[Client No]],'Global Portfolio'!$B$2:$N$2500,12,FALSE)</f>
        <v>Others</v>
      </c>
    </row>
    <row r="525" spans="1:28" x14ac:dyDescent="0.25">
      <c r="A525">
        <v>103222</v>
      </c>
      <c r="B525" t="s">
        <v>4814</v>
      </c>
      <c r="C525" t="s">
        <v>4815</v>
      </c>
      <c r="D525" t="s">
        <v>1283</v>
      </c>
      <c r="E525">
        <v>-18</v>
      </c>
      <c r="F525">
        <v>40000000</v>
      </c>
      <c r="G525">
        <v>7224854.54</v>
      </c>
      <c r="H525">
        <v>7465683.0300000003</v>
      </c>
      <c r="I525" t="s">
        <v>1191</v>
      </c>
      <c r="J525">
        <v>0</v>
      </c>
      <c r="K525">
        <v>1000000</v>
      </c>
      <c r="L525">
        <v>88303.78</v>
      </c>
      <c r="M525">
        <v>7465683.0199999996</v>
      </c>
      <c r="N525" s="143">
        <v>42874.597573611114</v>
      </c>
      <c r="O525" s="143">
        <v>43058</v>
      </c>
      <c r="P525" t="s">
        <v>4816</v>
      </c>
      <c r="Q525" t="s">
        <v>4817</v>
      </c>
      <c r="R525" t="s">
        <v>1280</v>
      </c>
      <c r="S525" t="s">
        <v>1510</v>
      </c>
      <c r="T525">
        <v>40</v>
      </c>
      <c r="U525">
        <f>IF(Table__192.168.1.150_M_CONSOLIDATED_Delinquency_Compulsory_EOM[[#This Row],[Days in Arrears]] &lt; 8, Table__192.168.1.150_M_CONSOLIDATED_Delinquency_Compulsory_EOM[[#This Row],[Outstanding Balance]], 0 )</f>
        <v>7224854.54</v>
      </c>
      <c r="V5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5" s="105" t="e">
        <f>VLOOKUP(Table__192.168.1.150_M_CONSOLIDATED_Delinquency_Compulsory_EOM[[#This Row],[Client No]],'Global Portfolio'!$B$2:$N$2500,10,FALSE)</f>
        <v>#N/A</v>
      </c>
      <c r="AA525" s="105" t="e">
        <f>VLOOKUP(Table__192.168.1.150_M_CONSOLIDATED_Delinquency_Compulsory_EOM[[#This Row],[Client No]],'Global Portfolio'!$B$2:$N$2500,11,FALSE)</f>
        <v>#N/A</v>
      </c>
      <c r="AB525" s="105" t="e">
        <f>VLOOKUP(Table__192.168.1.150_M_CONSOLIDATED_Delinquency_Compulsory_EOM[[#This Row],[Client No]],'Global Portfolio'!$B$2:$N$2500,12,FALSE)</f>
        <v>#N/A</v>
      </c>
    </row>
    <row r="526" spans="1:28" x14ac:dyDescent="0.25">
      <c r="A526">
        <v>103223</v>
      </c>
      <c r="B526" t="s">
        <v>462</v>
      </c>
      <c r="C526" t="s">
        <v>465</v>
      </c>
      <c r="D526" t="s">
        <v>1281</v>
      </c>
      <c r="E526">
        <v>-18</v>
      </c>
      <c r="F526">
        <v>25000000</v>
      </c>
      <c r="G526">
        <v>19528027.09</v>
      </c>
      <c r="H526">
        <v>1895421.02</v>
      </c>
      <c r="I526" t="s">
        <v>1447</v>
      </c>
      <c r="J526">
        <v>55670.559999999998</v>
      </c>
      <c r="K526">
        <v>1875000</v>
      </c>
      <c r="L526">
        <v>250609.68</v>
      </c>
      <c r="M526">
        <v>24640473.260000002</v>
      </c>
      <c r="N526" s="143">
        <v>42874.675922800925</v>
      </c>
      <c r="O526" s="143">
        <v>43423</v>
      </c>
      <c r="P526" t="s">
        <v>466</v>
      </c>
      <c r="Q526" t="s">
        <v>467</v>
      </c>
      <c r="R526" t="s">
        <v>1280</v>
      </c>
      <c r="S526" t="s">
        <v>1510</v>
      </c>
      <c r="T526">
        <v>42</v>
      </c>
      <c r="U526">
        <f>IF(Table__192.168.1.150_M_CONSOLIDATED_Delinquency_Compulsory_EOM[[#This Row],[Days in Arrears]] &lt; 8, Table__192.168.1.150_M_CONSOLIDATED_Delinquency_Compulsory_EOM[[#This Row],[Outstanding Balance]], 0 )</f>
        <v>19528027.09</v>
      </c>
      <c r="V5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6" s="105" t="str">
        <f>VLOOKUP(Table__192.168.1.150_M_CONSOLIDATED_Delinquency_Compulsory_EOM[[#This Row],[Client No]],'Global Portfolio'!$B$2:$N$2500,10,FALSE)</f>
        <v>Retail</v>
      </c>
      <c r="AA526" s="105" t="str">
        <f>VLOOKUP(Table__192.168.1.150_M_CONSOLIDATED_Delinquency_Compulsory_EOM[[#This Row],[Client No]],'Global Portfolio'!$B$2:$N$2500,11,FALSE)</f>
        <v>General Merchandise Stores</v>
      </c>
      <c r="AB526" s="105" t="str">
        <f>VLOOKUP(Table__192.168.1.150_M_CONSOLIDATED_Delinquency_Compulsory_EOM[[#This Row],[Client No]],'Global Portfolio'!$B$2:$N$2500,12,FALSE)</f>
        <v>General Stores</v>
      </c>
    </row>
    <row r="527" spans="1:28" x14ac:dyDescent="0.25">
      <c r="A527">
        <v>103224</v>
      </c>
      <c r="B527" t="s">
        <v>113</v>
      </c>
      <c r="C527" t="s">
        <v>273</v>
      </c>
      <c r="D527" t="s">
        <v>1284</v>
      </c>
      <c r="E527">
        <v>-19</v>
      </c>
      <c r="F527">
        <v>40000000</v>
      </c>
      <c r="G527">
        <v>33831332.939999998</v>
      </c>
      <c r="H527">
        <v>2361896.64</v>
      </c>
      <c r="I527" t="s">
        <v>1039</v>
      </c>
      <c r="J527">
        <v>0</v>
      </c>
      <c r="K527">
        <v>0</v>
      </c>
      <c r="L527">
        <v>338313.33</v>
      </c>
      <c r="M527">
        <v>44876036.100000001</v>
      </c>
      <c r="N527" s="143">
        <v>42875.655063391205</v>
      </c>
      <c r="O527" s="143">
        <v>43605</v>
      </c>
      <c r="P527" t="s">
        <v>274</v>
      </c>
      <c r="Q527" t="s">
        <v>275</v>
      </c>
      <c r="R527" t="s">
        <v>1280</v>
      </c>
      <c r="S527" t="s">
        <v>1510</v>
      </c>
      <c r="T527">
        <v>36</v>
      </c>
      <c r="U527">
        <f>IF(Table__192.168.1.150_M_CONSOLIDATED_Delinquency_Compulsory_EOM[[#This Row],[Days in Arrears]] &lt; 8, Table__192.168.1.150_M_CONSOLIDATED_Delinquency_Compulsory_EOM[[#This Row],[Outstanding Balance]], 0 )</f>
        <v>33831332.939999998</v>
      </c>
      <c r="V5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7" s="105" t="str">
        <f>VLOOKUP(Table__192.168.1.150_M_CONSOLIDATED_Delinquency_Compulsory_EOM[[#This Row],[Client No]],'Global Portfolio'!$B$2:$N$2500,10,FALSE)</f>
        <v>Real Estate and Rental</v>
      </c>
      <c r="AA527" s="105" t="str">
        <f>VLOOKUP(Table__192.168.1.150_M_CONSOLIDATED_Delinquency_Compulsory_EOM[[#This Row],[Client No]],'Global Portfolio'!$B$2:$N$2500,11,FALSE)</f>
        <v>Rental</v>
      </c>
      <c r="AB527" s="105" t="str">
        <f>VLOOKUP(Table__192.168.1.150_M_CONSOLIDATED_Delinquency_Compulsory_EOM[[#This Row],[Client No]],'Global Portfolio'!$B$2:$N$2500,12,FALSE)</f>
        <v>Machinery &amp; Equipment</v>
      </c>
    </row>
    <row r="528" spans="1:28" x14ac:dyDescent="0.25">
      <c r="A528">
        <v>103226</v>
      </c>
      <c r="B528" t="s">
        <v>3286</v>
      </c>
      <c r="C528" t="s">
        <v>3287</v>
      </c>
      <c r="D528" t="s">
        <v>1284</v>
      </c>
      <c r="E528">
        <v>-21</v>
      </c>
      <c r="F528">
        <v>20000000</v>
      </c>
      <c r="G528">
        <v>15465074.65</v>
      </c>
      <c r="H528">
        <v>1454173.92</v>
      </c>
      <c r="I528" t="s">
        <v>491</v>
      </c>
      <c r="J528">
        <v>0</v>
      </c>
      <c r="K528">
        <v>0</v>
      </c>
      <c r="L528">
        <v>123720.6</v>
      </c>
      <c r="M528">
        <v>18904260.899999999</v>
      </c>
      <c r="N528" s="143">
        <v>42877.711354976855</v>
      </c>
      <c r="O528" s="143">
        <v>43426</v>
      </c>
      <c r="P528" t="s">
        <v>3288</v>
      </c>
      <c r="Q528" t="s">
        <v>1280</v>
      </c>
      <c r="R528" t="s">
        <v>1280</v>
      </c>
      <c r="S528" t="s">
        <v>1510</v>
      </c>
      <c r="T528">
        <v>36</v>
      </c>
      <c r="U528">
        <f>IF(Table__192.168.1.150_M_CONSOLIDATED_Delinquency_Compulsory_EOM[[#This Row],[Days in Arrears]] &lt; 8, Table__192.168.1.150_M_CONSOLIDATED_Delinquency_Compulsory_EOM[[#This Row],[Outstanding Balance]], 0 )</f>
        <v>15465074.65</v>
      </c>
      <c r="V5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8" s="105" t="str">
        <f>VLOOKUP(Table__192.168.1.150_M_CONSOLIDATED_Delinquency_Compulsory_EOM[[#This Row],[Client No]],'Global Portfolio'!$B$2:$N$2500,10,FALSE)</f>
        <v>Retail</v>
      </c>
      <c r="AA528" s="105" t="str">
        <f>VLOOKUP(Table__192.168.1.150_M_CONSOLIDATED_Delinquency_Compulsory_EOM[[#This Row],[Client No]],'Global Portfolio'!$B$2:$N$2500,11,FALSE)</f>
        <v>Others</v>
      </c>
      <c r="AB528" s="105" t="str">
        <f>VLOOKUP(Table__192.168.1.150_M_CONSOLIDATED_Delinquency_Compulsory_EOM[[#This Row],[Client No]],'Global Portfolio'!$B$2:$N$2500,12,FALSE)</f>
        <v>Others</v>
      </c>
    </row>
    <row r="529" spans="1:28" x14ac:dyDescent="0.25">
      <c r="A529">
        <v>103228</v>
      </c>
      <c r="B529" t="s">
        <v>4832</v>
      </c>
      <c r="C529" t="s">
        <v>4835</v>
      </c>
      <c r="D529" t="s">
        <v>1282</v>
      </c>
      <c r="E529">
        <v>-22</v>
      </c>
      <c r="F529">
        <v>10000000</v>
      </c>
      <c r="G529">
        <v>6395319.6399999997</v>
      </c>
      <c r="H529">
        <v>1065521.73</v>
      </c>
      <c r="I529" t="s">
        <v>2538</v>
      </c>
      <c r="J529">
        <v>4868.63</v>
      </c>
      <c r="K529">
        <v>0</v>
      </c>
      <c r="L529">
        <v>59689.65</v>
      </c>
      <c r="M529">
        <v>7458652.0700000003</v>
      </c>
      <c r="N529" s="143">
        <v>42878.671710416667</v>
      </c>
      <c r="O529" s="143">
        <v>43243</v>
      </c>
      <c r="P529" t="s">
        <v>4836</v>
      </c>
      <c r="Q529" t="s">
        <v>1280</v>
      </c>
      <c r="R529" t="s">
        <v>1280</v>
      </c>
      <c r="S529" t="s">
        <v>1510</v>
      </c>
      <c r="T529">
        <v>48</v>
      </c>
      <c r="U529">
        <f>IF(Table__192.168.1.150_M_CONSOLIDATED_Delinquency_Compulsory_EOM[[#This Row],[Days in Arrears]] &lt; 8, Table__192.168.1.150_M_CONSOLIDATED_Delinquency_Compulsory_EOM[[#This Row],[Outstanding Balance]], 0 )</f>
        <v>6395319.6399999997</v>
      </c>
      <c r="V5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29" s="105" t="str">
        <f>VLOOKUP(Table__192.168.1.150_M_CONSOLIDATED_Delinquency_Compulsory_EOM[[#This Row],[Client No]],'Global Portfolio'!$B$2:$N$2500,10,FALSE)</f>
        <v>Retail</v>
      </c>
      <c r="AA529" s="105" t="str">
        <f>VLOOKUP(Table__192.168.1.150_M_CONSOLIDATED_Delinquency_Compulsory_EOM[[#This Row],[Client No]],'Global Portfolio'!$B$2:$N$2500,11,FALSE)</f>
        <v>Others</v>
      </c>
      <c r="AB529" s="105" t="str">
        <f>VLOOKUP(Table__192.168.1.150_M_CONSOLIDATED_Delinquency_Compulsory_EOM[[#This Row],[Client No]],'Global Portfolio'!$B$2:$N$2500,12,FALSE)</f>
        <v>Others</v>
      </c>
    </row>
    <row r="530" spans="1:28" x14ac:dyDescent="0.25">
      <c r="A530">
        <v>103229</v>
      </c>
      <c r="B530" t="s">
        <v>2938</v>
      </c>
      <c r="C530" t="s">
        <v>2939</v>
      </c>
      <c r="D530" t="s">
        <v>1866</v>
      </c>
      <c r="E530">
        <v>-21</v>
      </c>
      <c r="F530">
        <v>6000000</v>
      </c>
      <c r="G530">
        <v>3810143.15</v>
      </c>
      <c r="H530">
        <v>627009.4</v>
      </c>
      <c r="I530" t="s">
        <v>2494</v>
      </c>
      <c r="J530">
        <v>0</v>
      </c>
      <c r="K530">
        <v>600000</v>
      </c>
      <c r="L530">
        <v>37254.730000000003</v>
      </c>
      <c r="M530">
        <v>4389065.82</v>
      </c>
      <c r="N530" s="143">
        <v>42877.588088622688</v>
      </c>
      <c r="O530" s="143">
        <v>43242</v>
      </c>
      <c r="P530" t="s">
        <v>2940</v>
      </c>
      <c r="Q530" t="s">
        <v>2941</v>
      </c>
      <c r="R530" t="s">
        <v>1280</v>
      </c>
      <c r="S530" t="s">
        <v>1510</v>
      </c>
      <c r="T530">
        <v>44</v>
      </c>
      <c r="U530">
        <f>IF(Table__192.168.1.150_M_CONSOLIDATED_Delinquency_Compulsory_EOM[[#This Row],[Days in Arrears]] &lt; 8, Table__192.168.1.150_M_CONSOLIDATED_Delinquency_Compulsory_EOM[[#This Row],[Outstanding Balance]], 0 )</f>
        <v>3810143.15</v>
      </c>
      <c r="V5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0" s="105" t="str">
        <f>VLOOKUP(Table__192.168.1.150_M_CONSOLIDATED_Delinquency_Compulsory_EOM[[#This Row],[Client No]],'Global Portfolio'!$B$2:$N$2500,10,FALSE)</f>
        <v>Retail</v>
      </c>
      <c r="AA530" s="105" t="str">
        <f>VLOOKUP(Table__192.168.1.150_M_CONSOLIDATED_Delinquency_Compulsory_EOM[[#This Row],[Client No]],'Global Portfolio'!$B$2:$N$2500,11,FALSE)</f>
        <v>General Merchandise Stores</v>
      </c>
      <c r="AB530" s="105" t="str">
        <f>VLOOKUP(Table__192.168.1.150_M_CONSOLIDATED_Delinquency_Compulsory_EOM[[#This Row],[Client No]],'Global Portfolio'!$B$2:$N$2500,12,FALSE)</f>
        <v>General Stores</v>
      </c>
    </row>
    <row r="531" spans="1:28" x14ac:dyDescent="0.25">
      <c r="A531">
        <v>103230</v>
      </c>
      <c r="B531" t="s">
        <v>4831</v>
      </c>
      <c r="C531" t="s">
        <v>4837</v>
      </c>
      <c r="D531" t="s">
        <v>1282</v>
      </c>
      <c r="E531">
        <v>-22</v>
      </c>
      <c r="F531">
        <v>5000000</v>
      </c>
      <c r="G531">
        <v>2467759.7200000002</v>
      </c>
      <c r="H531">
        <v>687872.35</v>
      </c>
      <c r="I531" t="s">
        <v>1467</v>
      </c>
      <c r="J531">
        <v>231044.58</v>
      </c>
      <c r="K531">
        <v>500000</v>
      </c>
      <c r="L531">
        <v>25911.48</v>
      </c>
      <c r="M531">
        <v>2751489.4</v>
      </c>
      <c r="N531" s="143">
        <v>42878.627374571763</v>
      </c>
      <c r="O531" s="143">
        <v>43154</v>
      </c>
      <c r="P531" t="s">
        <v>4838</v>
      </c>
      <c r="Q531" t="s">
        <v>1280</v>
      </c>
      <c r="R531" t="s">
        <v>1280</v>
      </c>
      <c r="S531" t="s">
        <v>1510</v>
      </c>
      <c r="T531">
        <v>54</v>
      </c>
      <c r="U531">
        <f>IF(Table__192.168.1.150_M_CONSOLIDATED_Delinquency_Compulsory_EOM[[#This Row],[Days in Arrears]] &lt; 8, Table__192.168.1.150_M_CONSOLIDATED_Delinquency_Compulsory_EOM[[#This Row],[Outstanding Balance]], 0 )</f>
        <v>2467759.7200000002</v>
      </c>
      <c r="V5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1" s="105" t="str">
        <f>VLOOKUP(Table__192.168.1.150_M_CONSOLIDATED_Delinquency_Compulsory_EOM[[#This Row],[Client No]],'Global Portfolio'!$B$2:$N$2500,10,FALSE)</f>
        <v>Retail</v>
      </c>
      <c r="AA531" s="105" t="str">
        <f>VLOOKUP(Table__192.168.1.150_M_CONSOLIDATED_Delinquency_Compulsory_EOM[[#This Row],[Client No]],'Global Portfolio'!$B$2:$N$2500,11,FALSE)</f>
        <v>General Merchandise Stores</v>
      </c>
      <c r="AB531" s="105" t="str">
        <f>VLOOKUP(Table__192.168.1.150_M_CONSOLIDATED_Delinquency_Compulsory_EOM[[#This Row],[Client No]],'Global Portfolio'!$B$2:$N$2500,12,FALSE)</f>
        <v>General Stores</v>
      </c>
    </row>
    <row r="532" spans="1:28" x14ac:dyDescent="0.25">
      <c r="A532">
        <v>103231</v>
      </c>
      <c r="B532" t="s">
        <v>436</v>
      </c>
      <c r="C532" t="s">
        <v>1921</v>
      </c>
      <c r="D532" t="s">
        <v>1282</v>
      </c>
      <c r="E532">
        <v>0</v>
      </c>
      <c r="F532">
        <v>12000000</v>
      </c>
      <c r="G532">
        <v>10025832</v>
      </c>
      <c r="H532">
        <v>949135.22</v>
      </c>
      <c r="I532" t="s">
        <v>90</v>
      </c>
      <c r="J532">
        <v>11965.59</v>
      </c>
      <c r="K532">
        <v>1200000</v>
      </c>
      <c r="L532">
        <v>387665.5</v>
      </c>
      <c r="M532">
        <v>13287893.050000001</v>
      </c>
      <c r="N532" s="143">
        <v>42885.689436111112</v>
      </c>
      <c r="O532" s="143">
        <v>43435</v>
      </c>
      <c r="P532" t="s">
        <v>1922</v>
      </c>
      <c r="Q532" t="s">
        <v>1280</v>
      </c>
      <c r="R532" t="s">
        <v>1280</v>
      </c>
      <c r="S532" t="s">
        <v>1510</v>
      </c>
      <c r="T532">
        <v>48</v>
      </c>
      <c r="U532">
        <f>IF(Table__192.168.1.150_M_CONSOLIDATED_Delinquency_Compulsory_EOM[[#This Row],[Days in Arrears]] &lt; 8, Table__192.168.1.150_M_CONSOLIDATED_Delinquency_Compulsory_EOM[[#This Row],[Outstanding Balance]], 0 )</f>
        <v>10025832</v>
      </c>
      <c r="V5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2" s="105" t="str">
        <f>VLOOKUP(Table__192.168.1.150_M_CONSOLIDATED_Delinquency_Compulsory_EOM[[#This Row],[Client No]],'Global Portfolio'!$B$2:$N$2500,10,FALSE)</f>
        <v>Real Estate and Rental</v>
      </c>
      <c r="AA532" s="105" t="str">
        <f>VLOOKUP(Table__192.168.1.150_M_CONSOLIDATED_Delinquency_Compulsory_EOM[[#This Row],[Client No]],'Global Portfolio'!$B$2:$N$2500,11,FALSE)</f>
        <v>Rental</v>
      </c>
      <c r="AB532" s="105" t="str">
        <f>VLOOKUP(Table__192.168.1.150_M_CONSOLIDATED_Delinquency_Compulsory_EOM[[#This Row],[Client No]],'Global Portfolio'!$B$2:$N$2500,12,FALSE)</f>
        <v>Others</v>
      </c>
    </row>
    <row r="533" spans="1:28" x14ac:dyDescent="0.25">
      <c r="A533">
        <v>103232</v>
      </c>
      <c r="B533" t="s">
        <v>4862</v>
      </c>
      <c r="C533" t="s">
        <v>4863</v>
      </c>
      <c r="D533" t="s">
        <v>1286</v>
      </c>
      <c r="E533">
        <v>-20</v>
      </c>
      <c r="F533">
        <v>1470000</v>
      </c>
      <c r="G533">
        <v>256222.25</v>
      </c>
      <c r="H533">
        <v>261560.21</v>
      </c>
      <c r="I533" t="s">
        <v>284</v>
      </c>
      <c r="J533">
        <v>137637</v>
      </c>
      <c r="K533">
        <v>0</v>
      </c>
      <c r="L533">
        <v>1601.39</v>
      </c>
      <c r="M533">
        <v>261560.21</v>
      </c>
      <c r="N533" s="143">
        <v>42886.706072106484</v>
      </c>
      <c r="O533" s="143">
        <v>43060</v>
      </c>
      <c r="P533" t="s">
        <v>4864</v>
      </c>
      <c r="Q533" t="s">
        <v>1280</v>
      </c>
      <c r="R533" t="s">
        <v>1280</v>
      </c>
      <c r="S533" t="s">
        <v>1510</v>
      </c>
      <c r="T533">
        <v>25</v>
      </c>
      <c r="U533">
        <f>IF(Table__192.168.1.150_M_CONSOLIDATED_Delinquency_Compulsory_EOM[[#This Row],[Days in Arrears]] &lt; 8, Table__192.168.1.150_M_CONSOLIDATED_Delinquency_Compulsory_EOM[[#This Row],[Outstanding Balance]], 0 )</f>
        <v>256222.25</v>
      </c>
      <c r="V5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3" s="105" t="e">
        <f>VLOOKUP(Table__192.168.1.150_M_CONSOLIDATED_Delinquency_Compulsory_EOM[[#This Row],[Client No]],'Global Portfolio'!$B$2:$N$2500,10,FALSE)</f>
        <v>#N/A</v>
      </c>
      <c r="AA533" s="105" t="e">
        <f>VLOOKUP(Table__192.168.1.150_M_CONSOLIDATED_Delinquency_Compulsory_EOM[[#This Row],[Client No]],'Global Portfolio'!$B$2:$N$2500,11,FALSE)</f>
        <v>#N/A</v>
      </c>
      <c r="AB533" s="105" t="e">
        <f>VLOOKUP(Table__192.168.1.150_M_CONSOLIDATED_Delinquency_Compulsory_EOM[[#This Row],[Client No]],'Global Portfolio'!$B$2:$N$2500,12,FALSE)</f>
        <v>#N/A</v>
      </c>
    </row>
    <row r="534" spans="1:28" x14ac:dyDescent="0.25">
      <c r="A534">
        <v>103233</v>
      </c>
      <c r="B534" t="s">
        <v>778</v>
      </c>
      <c r="C534" t="s">
        <v>780</v>
      </c>
      <c r="D534" t="s">
        <v>1866</v>
      </c>
      <c r="E534">
        <v>0</v>
      </c>
      <c r="F534">
        <v>7000000</v>
      </c>
      <c r="G534">
        <v>4993580.03</v>
      </c>
      <c r="H534">
        <v>731510.97</v>
      </c>
      <c r="I534" t="s">
        <v>1448</v>
      </c>
      <c r="J534">
        <v>23490.2</v>
      </c>
      <c r="K534">
        <v>700000</v>
      </c>
      <c r="L534">
        <v>176994.67</v>
      </c>
      <c r="M534">
        <v>5852087.75</v>
      </c>
      <c r="N534" s="143">
        <v>42887.506757442126</v>
      </c>
      <c r="O534" s="143">
        <v>43252</v>
      </c>
      <c r="P534" t="s">
        <v>781</v>
      </c>
      <c r="Q534" t="s">
        <v>782</v>
      </c>
      <c r="R534" t="s">
        <v>1280</v>
      </c>
      <c r="S534" t="s">
        <v>1510</v>
      </c>
      <c r="T534">
        <v>44</v>
      </c>
      <c r="U534">
        <f>IF(Table__192.168.1.150_M_CONSOLIDATED_Delinquency_Compulsory_EOM[[#This Row],[Days in Arrears]] &lt; 8, Table__192.168.1.150_M_CONSOLIDATED_Delinquency_Compulsory_EOM[[#This Row],[Outstanding Balance]], 0 )</f>
        <v>4993580.03</v>
      </c>
      <c r="V5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4" s="105" t="str">
        <f>VLOOKUP(Table__192.168.1.150_M_CONSOLIDATED_Delinquency_Compulsory_EOM[[#This Row],[Client No]],'Global Portfolio'!$B$2:$N$2500,10,FALSE)</f>
        <v>Retail</v>
      </c>
      <c r="AA534" s="105" t="str">
        <f>VLOOKUP(Table__192.168.1.150_M_CONSOLIDATED_Delinquency_Compulsory_EOM[[#This Row],[Client No]],'Global Portfolio'!$B$2:$N$2500,11,FALSE)</f>
        <v>General Merchandise Stores</v>
      </c>
      <c r="AB534" s="105" t="str">
        <f>VLOOKUP(Table__192.168.1.150_M_CONSOLIDATED_Delinquency_Compulsory_EOM[[#This Row],[Client No]],'Global Portfolio'!$B$2:$N$2500,12,FALSE)</f>
        <v>General Stores</v>
      </c>
    </row>
    <row r="535" spans="1:28" x14ac:dyDescent="0.25">
      <c r="A535">
        <v>103234</v>
      </c>
      <c r="B535" t="s">
        <v>4877</v>
      </c>
      <c r="C535" t="s">
        <v>4878</v>
      </c>
      <c r="D535" t="s">
        <v>1282</v>
      </c>
      <c r="E535">
        <v>-1</v>
      </c>
      <c r="F535">
        <v>15000000</v>
      </c>
      <c r="G535">
        <v>11912399</v>
      </c>
      <c r="H535">
        <v>1396707.12</v>
      </c>
      <c r="I535" t="s">
        <v>546</v>
      </c>
      <c r="J535">
        <v>0</v>
      </c>
      <c r="K535">
        <v>1500000</v>
      </c>
      <c r="L535">
        <v>500320.76</v>
      </c>
      <c r="M535">
        <v>15363778.359999999</v>
      </c>
      <c r="N535" s="143">
        <v>42888.546742592589</v>
      </c>
      <c r="O535" s="143">
        <v>43345</v>
      </c>
      <c r="P535" t="s">
        <v>4879</v>
      </c>
      <c r="Q535" t="s">
        <v>4880</v>
      </c>
      <c r="R535" t="s">
        <v>1280</v>
      </c>
      <c r="S535" t="s">
        <v>1510</v>
      </c>
      <c r="T535">
        <v>54</v>
      </c>
      <c r="U535">
        <f>IF(Table__192.168.1.150_M_CONSOLIDATED_Delinquency_Compulsory_EOM[[#This Row],[Days in Arrears]] &lt; 8, Table__192.168.1.150_M_CONSOLIDATED_Delinquency_Compulsory_EOM[[#This Row],[Outstanding Balance]], 0 )</f>
        <v>11912399</v>
      </c>
      <c r="V5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5" s="105" t="str">
        <f>VLOOKUP(Table__192.168.1.150_M_CONSOLIDATED_Delinquency_Compulsory_EOM[[#This Row],[Client No]],'Global Portfolio'!$B$2:$N$2500,10,FALSE)</f>
        <v>Transportation and Warehousing</v>
      </c>
      <c r="AA535" s="105" t="str">
        <f>VLOOKUP(Table__192.168.1.150_M_CONSOLIDATED_Delinquency_Compulsory_EOM[[#This Row],[Client No]],'Global Portfolio'!$B$2:$N$2500,11,FALSE)</f>
        <v>Truck Transportation</v>
      </c>
      <c r="AB535" s="105" t="str">
        <f>VLOOKUP(Table__192.168.1.150_M_CONSOLIDATED_Delinquency_Compulsory_EOM[[#This Row],[Client No]],'Global Portfolio'!$B$2:$N$2500,12,FALSE)</f>
        <v>General Freight Trucking, Long-distance</v>
      </c>
    </row>
    <row r="536" spans="1:28" x14ac:dyDescent="0.25">
      <c r="A536">
        <v>103236</v>
      </c>
      <c r="B536" t="s">
        <v>2946</v>
      </c>
      <c r="C536" t="s">
        <v>2947</v>
      </c>
      <c r="D536" t="s">
        <v>1281</v>
      </c>
      <c r="E536">
        <v>24</v>
      </c>
      <c r="F536">
        <v>20000000</v>
      </c>
      <c r="G536">
        <v>17464274.16</v>
      </c>
      <c r="H536">
        <v>1516336.82</v>
      </c>
      <c r="I536" t="s">
        <v>1447</v>
      </c>
      <c r="J536">
        <v>0</v>
      </c>
      <c r="K536">
        <v>0</v>
      </c>
      <c r="L536">
        <v>1055587.78</v>
      </c>
      <c r="M536">
        <v>22745052.210000001</v>
      </c>
      <c r="N536" s="143">
        <v>42893.679667048615</v>
      </c>
      <c r="O536" s="143">
        <v>43441</v>
      </c>
      <c r="P536" t="s">
        <v>2948</v>
      </c>
      <c r="Q536" t="s">
        <v>2949</v>
      </c>
      <c r="R536" t="s">
        <v>1280</v>
      </c>
      <c r="S536" t="s">
        <v>1510</v>
      </c>
      <c r="T536">
        <v>42</v>
      </c>
      <c r="U536">
        <f>IF(Table__192.168.1.150_M_CONSOLIDATED_Delinquency_Compulsory_EOM[[#This Row],[Days in Arrears]] &lt; 8, Table__192.168.1.150_M_CONSOLIDATED_Delinquency_Compulsory_EOM[[#This Row],[Outstanding Balance]], 0 )</f>
        <v>0</v>
      </c>
      <c r="V5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17464274.16</v>
      </c>
      <c r="W5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6" s="105" t="str">
        <f>VLOOKUP(Table__192.168.1.150_M_CONSOLIDATED_Delinquency_Compulsory_EOM[[#This Row],[Client No]],'Global Portfolio'!$B$2:$N$2500,10,FALSE)</f>
        <v>Retail</v>
      </c>
      <c r="AA536" s="105" t="str">
        <f>VLOOKUP(Table__192.168.1.150_M_CONSOLIDATED_Delinquency_Compulsory_EOM[[#This Row],[Client No]],'Global Portfolio'!$B$2:$N$2500,11,FALSE)</f>
        <v>Others</v>
      </c>
      <c r="AB536" s="105" t="str">
        <f>VLOOKUP(Table__192.168.1.150_M_CONSOLIDATED_Delinquency_Compulsory_EOM[[#This Row],[Client No]],'Global Portfolio'!$B$2:$N$2500,12,FALSE)</f>
        <v>Others</v>
      </c>
    </row>
    <row r="537" spans="1:28" x14ac:dyDescent="0.25">
      <c r="A537">
        <v>103237</v>
      </c>
      <c r="B537" t="s">
        <v>931</v>
      </c>
      <c r="C537" t="s">
        <v>939</v>
      </c>
      <c r="D537" t="s">
        <v>1866</v>
      </c>
      <c r="E537">
        <v>-9</v>
      </c>
      <c r="F537">
        <v>6000000</v>
      </c>
      <c r="G537">
        <v>4280211.46</v>
      </c>
      <c r="H537">
        <v>627009.4</v>
      </c>
      <c r="I537" t="s">
        <v>86</v>
      </c>
      <c r="J537">
        <v>0</v>
      </c>
      <c r="K537">
        <v>600000</v>
      </c>
      <c r="L537">
        <v>104627.39</v>
      </c>
      <c r="M537">
        <v>5016075.22</v>
      </c>
      <c r="N537" s="143">
        <v>42896.482501967592</v>
      </c>
      <c r="O537" s="143">
        <v>43261</v>
      </c>
      <c r="P537" t="s">
        <v>940</v>
      </c>
      <c r="Q537" t="s">
        <v>941</v>
      </c>
      <c r="R537" t="s">
        <v>1280</v>
      </c>
      <c r="S537" t="s">
        <v>1510</v>
      </c>
      <c r="T537">
        <v>44</v>
      </c>
      <c r="U537">
        <f>IF(Table__192.168.1.150_M_CONSOLIDATED_Delinquency_Compulsory_EOM[[#This Row],[Days in Arrears]] &lt; 8, Table__192.168.1.150_M_CONSOLIDATED_Delinquency_Compulsory_EOM[[#This Row],[Outstanding Balance]], 0 )</f>
        <v>4280211.46</v>
      </c>
      <c r="V5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7" s="105" t="str">
        <f>VLOOKUP(Table__192.168.1.150_M_CONSOLIDATED_Delinquency_Compulsory_EOM[[#This Row],[Client No]],'Global Portfolio'!$B$2:$N$2500,10,FALSE)</f>
        <v>Retail</v>
      </c>
      <c r="AA537" s="105" t="str">
        <f>VLOOKUP(Table__192.168.1.150_M_CONSOLIDATED_Delinquency_Compulsory_EOM[[#This Row],[Client No]],'Global Portfolio'!$B$2:$N$2500,11,FALSE)</f>
        <v>Health and Personal Care Stores</v>
      </c>
      <c r="AB537" s="105" t="str">
        <f>VLOOKUP(Table__192.168.1.150_M_CONSOLIDATED_Delinquency_Compulsory_EOM[[#This Row],[Client No]],'Global Portfolio'!$B$2:$N$2500,12,FALSE)</f>
        <v>Pharmacies &amp; Drug Stores</v>
      </c>
    </row>
    <row r="538" spans="1:28" x14ac:dyDescent="0.25">
      <c r="A538">
        <v>103238</v>
      </c>
      <c r="B538" t="s">
        <v>4887</v>
      </c>
      <c r="C538" t="s">
        <v>4888</v>
      </c>
      <c r="D538" t="s">
        <v>1279</v>
      </c>
      <c r="E538">
        <v>-11</v>
      </c>
      <c r="F538">
        <v>3000000</v>
      </c>
      <c r="G538">
        <v>1938924.03</v>
      </c>
      <c r="H538">
        <v>369872.83</v>
      </c>
      <c r="I538" t="s">
        <v>86</v>
      </c>
      <c r="J538">
        <v>4264.2299999999996</v>
      </c>
      <c r="K538">
        <v>300000</v>
      </c>
      <c r="L538">
        <v>46534.18</v>
      </c>
      <c r="M538">
        <v>2219237.0299999998</v>
      </c>
      <c r="N538" s="143">
        <v>42898.650460185185</v>
      </c>
      <c r="O538" s="143">
        <v>43202</v>
      </c>
      <c r="P538" t="s">
        <v>4889</v>
      </c>
      <c r="Q538" t="s">
        <v>4890</v>
      </c>
      <c r="R538" t="s">
        <v>1280</v>
      </c>
      <c r="S538" t="s">
        <v>1510</v>
      </c>
      <c r="T538">
        <v>48</v>
      </c>
      <c r="U538">
        <f>IF(Table__192.168.1.150_M_CONSOLIDATED_Delinquency_Compulsory_EOM[[#This Row],[Days in Arrears]] &lt; 8, Table__192.168.1.150_M_CONSOLIDATED_Delinquency_Compulsory_EOM[[#This Row],[Outstanding Balance]], 0 )</f>
        <v>1938924.03</v>
      </c>
      <c r="V5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8" s="105" t="str">
        <f>VLOOKUP(Table__192.168.1.150_M_CONSOLIDATED_Delinquency_Compulsory_EOM[[#This Row],[Client No]],'Global Portfolio'!$B$2:$N$2500,10,FALSE)</f>
        <v>Retail</v>
      </c>
      <c r="AA538" s="105" t="str">
        <f>VLOOKUP(Table__192.168.1.150_M_CONSOLIDATED_Delinquency_Compulsory_EOM[[#This Row],[Client No]],'Global Portfolio'!$B$2:$N$2500,11,FALSE)</f>
        <v>General Merchandise Stores</v>
      </c>
      <c r="AB538" s="105" t="str">
        <f>VLOOKUP(Table__192.168.1.150_M_CONSOLIDATED_Delinquency_Compulsory_EOM[[#This Row],[Client No]],'Global Portfolio'!$B$2:$N$2500,12,FALSE)</f>
        <v>Others</v>
      </c>
    </row>
    <row r="539" spans="1:28" x14ac:dyDescent="0.25">
      <c r="A539">
        <v>103240</v>
      </c>
      <c r="B539" t="s">
        <v>787</v>
      </c>
      <c r="C539" t="s">
        <v>790</v>
      </c>
      <c r="D539" t="s">
        <v>1283</v>
      </c>
      <c r="E539">
        <v>16</v>
      </c>
      <c r="F539">
        <v>32000000</v>
      </c>
      <c r="G539">
        <v>27775734.129999999</v>
      </c>
      <c r="H539">
        <v>2326678.27</v>
      </c>
      <c r="I539" t="s">
        <v>1447</v>
      </c>
      <c r="J539">
        <v>0</v>
      </c>
      <c r="K539">
        <v>0</v>
      </c>
      <c r="L539">
        <v>1227506.94</v>
      </c>
      <c r="M539">
        <v>34900174.009999998</v>
      </c>
      <c r="N539" s="143">
        <v>42901.710854594909</v>
      </c>
      <c r="O539" s="143">
        <v>43449</v>
      </c>
      <c r="P539" t="s">
        <v>791</v>
      </c>
      <c r="Q539" t="s">
        <v>1280</v>
      </c>
      <c r="R539" t="s">
        <v>1280</v>
      </c>
      <c r="S539" t="s">
        <v>1510</v>
      </c>
      <c r="T539">
        <v>36</v>
      </c>
      <c r="U539">
        <f>IF(Table__192.168.1.150_M_CONSOLIDATED_Delinquency_Compulsory_EOM[[#This Row],[Days in Arrears]] &lt; 8, Table__192.168.1.150_M_CONSOLIDATED_Delinquency_Compulsory_EOM[[#This Row],[Outstanding Balance]], 0 )</f>
        <v>0</v>
      </c>
      <c r="V5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27775734.129999999</v>
      </c>
      <c r="W5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39" s="105" t="str">
        <f>VLOOKUP(Table__192.168.1.150_M_CONSOLIDATED_Delinquency_Compulsory_EOM[[#This Row],[Client No]],'Global Portfolio'!$B$2:$N$2500,10,FALSE)</f>
        <v>Wholesale Trade</v>
      </c>
      <c r="AA539" s="105" t="str">
        <f>VLOOKUP(Table__192.168.1.150_M_CONSOLIDATED_Delinquency_Compulsory_EOM[[#This Row],[Client No]],'Global Portfolio'!$B$2:$N$2500,11,FALSE)</f>
        <v>Others</v>
      </c>
      <c r="AB539" s="105" t="str">
        <f>VLOOKUP(Table__192.168.1.150_M_CONSOLIDATED_Delinquency_Compulsory_EOM[[#This Row],[Client No]],'Global Portfolio'!$B$2:$N$2500,12,FALSE)</f>
        <v>Others</v>
      </c>
    </row>
    <row r="540" spans="1:28" x14ac:dyDescent="0.25">
      <c r="A540">
        <v>103242</v>
      </c>
      <c r="B540" t="s">
        <v>2530</v>
      </c>
      <c r="C540" t="s">
        <v>2532</v>
      </c>
      <c r="D540" t="s">
        <v>1283</v>
      </c>
      <c r="E540">
        <v>-15</v>
      </c>
      <c r="F540">
        <v>40000000</v>
      </c>
      <c r="G540">
        <v>35139057.840000004</v>
      </c>
      <c r="H540">
        <v>2361896.64</v>
      </c>
      <c r="I540" t="s">
        <v>468</v>
      </c>
      <c r="J540">
        <v>27500.04</v>
      </c>
      <c r="K540">
        <v>2000000</v>
      </c>
      <c r="L540">
        <v>491946.81</v>
      </c>
      <c r="M540">
        <v>47237932.740000002</v>
      </c>
      <c r="N540" s="143">
        <v>42902.657832442128</v>
      </c>
      <c r="O540" s="143">
        <v>43632</v>
      </c>
      <c r="P540" t="s">
        <v>2533</v>
      </c>
      <c r="Q540" t="s">
        <v>1280</v>
      </c>
      <c r="R540" t="s">
        <v>1280</v>
      </c>
      <c r="S540" t="s">
        <v>1510</v>
      </c>
      <c r="T540">
        <v>36</v>
      </c>
      <c r="U540">
        <f>IF(Table__192.168.1.150_M_CONSOLIDATED_Delinquency_Compulsory_EOM[[#This Row],[Days in Arrears]] &lt; 8, Table__192.168.1.150_M_CONSOLIDATED_Delinquency_Compulsory_EOM[[#This Row],[Outstanding Balance]], 0 )</f>
        <v>35139057.840000004</v>
      </c>
      <c r="V5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0" s="105" t="str">
        <f>VLOOKUP(Table__192.168.1.150_M_CONSOLIDATED_Delinquency_Compulsory_EOM[[#This Row],[Client No]],'Global Portfolio'!$B$2:$N$2500,10,FALSE)</f>
        <v>Wholesale Trade</v>
      </c>
      <c r="AA540" s="105" t="str">
        <f>VLOOKUP(Table__192.168.1.150_M_CONSOLIDATED_Delinquency_Compulsory_EOM[[#This Row],[Client No]],'Global Portfolio'!$B$2:$N$2500,11,FALSE)</f>
        <v>Durable Goods</v>
      </c>
      <c r="AB540" s="105" t="str">
        <f>VLOOKUP(Table__192.168.1.150_M_CONSOLIDATED_Delinquency_Compulsory_EOM[[#This Row],[Client No]],'Global Portfolio'!$B$2:$N$2500,12,FALSE)</f>
        <v>Others</v>
      </c>
    </row>
    <row r="541" spans="1:28" x14ac:dyDescent="0.25">
      <c r="A541">
        <v>103243</v>
      </c>
      <c r="B541" t="s">
        <v>1725</v>
      </c>
      <c r="C541" t="s">
        <v>1726</v>
      </c>
      <c r="D541" t="s">
        <v>1284</v>
      </c>
      <c r="E541">
        <v>-19</v>
      </c>
      <c r="F541">
        <v>35000000</v>
      </c>
      <c r="G541">
        <v>30866080.199999999</v>
      </c>
      <c r="H541">
        <v>2074685.42</v>
      </c>
      <c r="I541" t="s">
        <v>86</v>
      </c>
      <c r="J541">
        <v>0</v>
      </c>
      <c r="K541">
        <v>1750000</v>
      </c>
      <c r="L541">
        <v>308660.8</v>
      </c>
      <c r="M541">
        <v>41493708.43</v>
      </c>
      <c r="N541" s="143">
        <v>42902.556814467593</v>
      </c>
      <c r="O541" s="143">
        <v>43636</v>
      </c>
      <c r="P541" t="s">
        <v>1727</v>
      </c>
      <c r="Q541" t="s">
        <v>1280</v>
      </c>
      <c r="R541" t="s">
        <v>1280</v>
      </c>
      <c r="S541" t="s">
        <v>1510</v>
      </c>
      <c r="T541">
        <v>36</v>
      </c>
      <c r="U541">
        <f>IF(Table__192.168.1.150_M_CONSOLIDATED_Delinquency_Compulsory_EOM[[#This Row],[Days in Arrears]] &lt; 8, Table__192.168.1.150_M_CONSOLIDATED_Delinquency_Compulsory_EOM[[#This Row],[Outstanding Balance]], 0 )</f>
        <v>30866080.199999999</v>
      </c>
      <c r="V5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1" s="105" t="str">
        <f>VLOOKUP(Table__192.168.1.150_M_CONSOLIDATED_Delinquency_Compulsory_EOM[[#This Row],[Client No]],'Global Portfolio'!$B$2:$N$2500,10,FALSE)</f>
        <v>Real Estate and Rental</v>
      </c>
      <c r="AA541" s="105" t="str">
        <f>VLOOKUP(Table__192.168.1.150_M_CONSOLIDATED_Delinquency_Compulsory_EOM[[#This Row],[Client No]],'Global Portfolio'!$B$2:$N$2500,11,FALSE)</f>
        <v>Rental</v>
      </c>
      <c r="AB541" s="105" t="str">
        <f>VLOOKUP(Table__192.168.1.150_M_CONSOLIDATED_Delinquency_Compulsory_EOM[[#This Row],[Client No]],'Global Portfolio'!$B$2:$N$2500,12,FALSE)</f>
        <v>Others</v>
      </c>
    </row>
    <row r="542" spans="1:28" x14ac:dyDescent="0.25">
      <c r="A542">
        <v>103244</v>
      </c>
      <c r="B542" t="s">
        <v>4903</v>
      </c>
      <c r="C542" t="s">
        <v>4905</v>
      </c>
      <c r="D542" t="s">
        <v>1284</v>
      </c>
      <c r="E542">
        <v>-19</v>
      </c>
      <c r="F542">
        <v>22000000</v>
      </c>
      <c r="G542">
        <v>15574935.359999999</v>
      </c>
      <c r="H542">
        <v>2218749.0499999998</v>
      </c>
      <c r="I542" t="s">
        <v>2494</v>
      </c>
      <c r="J542">
        <v>678716.52</v>
      </c>
      <c r="K542">
        <v>0</v>
      </c>
      <c r="L542">
        <v>155749.35</v>
      </c>
      <c r="M542">
        <v>17749992.379999999</v>
      </c>
      <c r="N542" s="143">
        <v>42902.535563807869</v>
      </c>
      <c r="O542" s="143">
        <v>43271</v>
      </c>
      <c r="P542" t="s">
        <v>4906</v>
      </c>
      <c r="Q542" t="s">
        <v>1280</v>
      </c>
      <c r="R542" t="s">
        <v>1280</v>
      </c>
      <c r="S542" t="s">
        <v>1510</v>
      </c>
      <c r="T542">
        <v>36</v>
      </c>
      <c r="U542">
        <f>IF(Table__192.168.1.150_M_CONSOLIDATED_Delinquency_Compulsory_EOM[[#This Row],[Days in Arrears]] &lt; 8, Table__192.168.1.150_M_CONSOLIDATED_Delinquency_Compulsory_EOM[[#This Row],[Outstanding Balance]], 0 )</f>
        <v>15574935.359999999</v>
      </c>
      <c r="V5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2" s="105" t="str">
        <f>VLOOKUP(Table__192.168.1.150_M_CONSOLIDATED_Delinquency_Compulsory_EOM[[#This Row],[Client No]],'Global Portfolio'!$B$2:$N$2500,10,FALSE)</f>
        <v>Real Estate and Rental</v>
      </c>
      <c r="AA542" s="105" t="str">
        <f>VLOOKUP(Table__192.168.1.150_M_CONSOLIDATED_Delinquency_Compulsory_EOM[[#This Row],[Client No]],'Global Portfolio'!$B$2:$N$2500,11,FALSE)</f>
        <v>Others</v>
      </c>
      <c r="AB542" s="105" t="str">
        <f>VLOOKUP(Table__192.168.1.150_M_CONSOLIDATED_Delinquency_Compulsory_EOM[[#This Row],[Client No]],'Global Portfolio'!$B$2:$N$2500,12,FALSE)</f>
        <v>Others</v>
      </c>
    </row>
    <row r="543" spans="1:28" x14ac:dyDescent="0.25">
      <c r="A543">
        <v>103245</v>
      </c>
      <c r="B543" t="s">
        <v>3822</v>
      </c>
      <c r="C543" t="s">
        <v>3823</v>
      </c>
      <c r="D543" t="s">
        <v>1282</v>
      </c>
      <c r="E543">
        <v>12</v>
      </c>
      <c r="F543">
        <v>4000000</v>
      </c>
      <c r="G543">
        <v>3169002.95</v>
      </c>
      <c r="H543">
        <v>426208.69</v>
      </c>
      <c r="I543" t="s">
        <v>468</v>
      </c>
      <c r="J543">
        <v>0</v>
      </c>
      <c r="K543">
        <v>0</v>
      </c>
      <c r="L543">
        <v>237177.05</v>
      </c>
      <c r="M543">
        <v>3827227.2</v>
      </c>
      <c r="N543" s="143">
        <v>42905.720340162035</v>
      </c>
      <c r="O543" s="143">
        <v>43270</v>
      </c>
      <c r="P543" t="s">
        <v>3824</v>
      </c>
      <c r="Q543" t="s">
        <v>3825</v>
      </c>
      <c r="R543" t="s">
        <v>1280</v>
      </c>
      <c r="S543" t="s">
        <v>1510</v>
      </c>
      <c r="T543">
        <v>48</v>
      </c>
      <c r="U543">
        <f>IF(Table__192.168.1.150_M_CONSOLIDATED_Delinquency_Compulsory_EOM[[#This Row],[Days in Arrears]] &lt; 8, Table__192.168.1.150_M_CONSOLIDATED_Delinquency_Compulsory_EOM[[#This Row],[Outstanding Balance]], 0 )</f>
        <v>0</v>
      </c>
      <c r="V5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3169002.95</v>
      </c>
      <c r="W5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3" s="105" t="str">
        <f>VLOOKUP(Table__192.168.1.150_M_CONSOLIDATED_Delinquency_Compulsory_EOM[[#This Row],[Client No]],'Global Portfolio'!$B$2:$N$2500,10,FALSE)</f>
        <v>Retail</v>
      </c>
      <c r="AA543" s="105" t="str">
        <f>VLOOKUP(Table__192.168.1.150_M_CONSOLIDATED_Delinquency_Compulsory_EOM[[#This Row],[Client No]],'Global Portfolio'!$B$2:$N$2500,11,FALSE)</f>
        <v>Miscellaneous Store Retailers</v>
      </c>
      <c r="AB543" s="105" t="str">
        <f>VLOOKUP(Table__192.168.1.150_M_CONSOLIDATED_Delinquency_Compulsory_EOM[[#This Row],[Client No]],'Global Portfolio'!$B$2:$N$2500,12,FALSE)</f>
        <v>Others</v>
      </c>
    </row>
    <row r="544" spans="1:28" x14ac:dyDescent="0.25">
      <c r="A544">
        <v>103246</v>
      </c>
      <c r="B544" t="s">
        <v>4927</v>
      </c>
      <c r="C544" t="s">
        <v>4930</v>
      </c>
      <c r="D544" t="s">
        <v>1282</v>
      </c>
      <c r="E544">
        <v>-20</v>
      </c>
      <c r="F544">
        <v>3000000</v>
      </c>
      <c r="G544">
        <v>1955537.52</v>
      </c>
      <c r="H544">
        <v>379136.47</v>
      </c>
      <c r="I544" t="s">
        <v>2538</v>
      </c>
      <c r="J544">
        <v>203828.91</v>
      </c>
      <c r="K544">
        <v>0</v>
      </c>
      <c r="L544">
        <v>26399.759999999998</v>
      </c>
      <c r="M544">
        <v>2274818.77</v>
      </c>
      <c r="N544" s="143">
        <v>42907.661151273147</v>
      </c>
      <c r="O544" s="143">
        <v>43211</v>
      </c>
      <c r="P544" t="s">
        <v>4931</v>
      </c>
      <c r="Q544" t="s">
        <v>1280</v>
      </c>
      <c r="R544" t="s">
        <v>1280</v>
      </c>
      <c r="S544" t="s">
        <v>1510</v>
      </c>
      <c r="T544">
        <v>54</v>
      </c>
      <c r="U544">
        <f>IF(Table__192.168.1.150_M_CONSOLIDATED_Delinquency_Compulsory_EOM[[#This Row],[Days in Arrears]] &lt; 8, Table__192.168.1.150_M_CONSOLIDATED_Delinquency_Compulsory_EOM[[#This Row],[Outstanding Balance]], 0 )</f>
        <v>1955537.52</v>
      </c>
      <c r="V5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4" s="105" t="str">
        <f>VLOOKUP(Table__192.168.1.150_M_CONSOLIDATED_Delinquency_Compulsory_EOM[[#This Row],[Client No]],'Global Portfolio'!$B$2:$N$2500,10,FALSE)</f>
        <v>Wholesale Trade</v>
      </c>
      <c r="AA544" s="105" t="str">
        <f>VLOOKUP(Table__192.168.1.150_M_CONSOLIDATED_Delinquency_Compulsory_EOM[[#This Row],[Client No]],'Global Portfolio'!$B$2:$N$2500,11,FALSE)</f>
        <v>Others</v>
      </c>
      <c r="AB544" s="105" t="str">
        <f>VLOOKUP(Table__192.168.1.150_M_CONSOLIDATED_Delinquency_Compulsory_EOM[[#This Row],[Client No]],'Global Portfolio'!$B$2:$N$2500,12,FALSE)</f>
        <v>Others</v>
      </c>
    </row>
    <row r="545" spans="1:28" x14ac:dyDescent="0.25">
      <c r="A545">
        <v>103247</v>
      </c>
      <c r="B545" t="s">
        <v>3157</v>
      </c>
      <c r="C545" t="s">
        <v>3158</v>
      </c>
      <c r="D545" t="s">
        <v>1282</v>
      </c>
      <c r="E545">
        <v>-19</v>
      </c>
      <c r="F545">
        <v>15000000</v>
      </c>
      <c r="G545">
        <v>10760828.92</v>
      </c>
      <c r="H545">
        <v>1598282.59</v>
      </c>
      <c r="I545" t="s">
        <v>2175</v>
      </c>
      <c r="J545">
        <v>0</v>
      </c>
      <c r="K545">
        <v>1500000</v>
      </c>
      <c r="L545">
        <v>143477.72</v>
      </c>
      <c r="M545">
        <v>12786260.73</v>
      </c>
      <c r="N545" s="143">
        <v>42906.645920254632</v>
      </c>
      <c r="O545" s="143">
        <v>43271</v>
      </c>
      <c r="P545" t="s">
        <v>3159</v>
      </c>
      <c r="Q545" t="s">
        <v>1280</v>
      </c>
      <c r="R545" t="s">
        <v>1280</v>
      </c>
      <c r="S545" t="s">
        <v>1510</v>
      </c>
      <c r="T545">
        <v>48</v>
      </c>
      <c r="U545">
        <f>IF(Table__192.168.1.150_M_CONSOLIDATED_Delinquency_Compulsory_EOM[[#This Row],[Days in Arrears]] &lt; 8, Table__192.168.1.150_M_CONSOLIDATED_Delinquency_Compulsory_EOM[[#This Row],[Outstanding Balance]], 0 )</f>
        <v>10760828.92</v>
      </c>
      <c r="V5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5" s="105" t="str">
        <f>VLOOKUP(Table__192.168.1.150_M_CONSOLIDATED_Delinquency_Compulsory_EOM[[#This Row],[Client No]],'Global Portfolio'!$B$2:$N$2500,10,FALSE)</f>
        <v>Retail</v>
      </c>
      <c r="AA545" s="105" t="str">
        <f>VLOOKUP(Table__192.168.1.150_M_CONSOLIDATED_Delinquency_Compulsory_EOM[[#This Row],[Client No]],'Global Portfolio'!$B$2:$N$2500,11,FALSE)</f>
        <v>Others</v>
      </c>
      <c r="AB545" s="105" t="str">
        <f>VLOOKUP(Table__192.168.1.150_M_CONSOLIDATED_Delinquency_Compulsory_EOM[[#This Row],[Client No]],'Global Portfolio'!$B$2:$N$2500,12,FALSE)</f>
        <v>Others</v>
      </c>
    </row>
    <row r="546" spans="1:28" x14ac:dyDescent="0.25">
      <c r="A546">
        <v>103249</v>
      </c>
      <c r="B546" t="s">
        <v>4928</v>
      </c>
      <c r="C546" t="s">
        <v>4932</v>
      </c>
      <c r="D546" t="s">
        <v>1279</v>
      </c>
      <c r="E546">
        <v>-20</v>
      </c>
      <c r="F546">
        <v>3500000</v>
      </c>
      <c r="G546">
        <v>2531709.91</v>
      </c>
      <c r="H546">
        <v>383831.66</v>
      </c>
      <c r="I546" t="s">
        <v>1191</v>
      </c>
      <c r="J546">
        <v>77963.55</v>
      </c>
      <c r="K546">
        <v>350000</v>
      </c>
      <c r="L546">
        <v>34178.080000000002</v>
      </c>
      <c r="M546">
        <v>3070653.29</v>
      </c>
      <c r="N546" s="143">
        <v>42907.708400844909</v>
      </c>
      <c r="O546" s="143">
        <v>43272</v>
      </c>
      <c r="P546" t="s">
        <v>4933</v>
      </c>
      <c r="Q546" t="s">
        <v>4934</v>
      </c>
      <c r="R546" t="s">
        <v>1280</v>
      </c>
      <c r="S546" t="s">
        <v>1510</v>
      </c>
      <c r="T546">
        <v>54</v>
      </c>
      <c r="U546">
        <f>IF(Table__192.168.1.150_M_CONSOLIDATED_Delinquency_Compulsory_EOM[[#This Row],[Days in Arrears]] &lt; 8, Table__192.168.1.150_M_CONSOLIDATED_Delinquency_Compulsory_EOM[[#This Row],[Outstanding Balance]], 0 )</f>
        <v>2531709.91</v>
      </c>
      <c r="V5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6" s="105" t="str">
        <f>VLOOKUP(Table__192.168.1.150_M_CONSOLIDATED_Delinquency_Compulsory_EOM[[#This Row],[Client No]],'Global Portfolio'!$B$2:$N$2500,10,FALSE)</f>
        <v>Retail</v>
      </c>
      <c r="AA546" s="105" t="str">
        <f>VLOOKUP(Table__192.168.1.150_M_CONSOLIDATED_Delinquency_Compulsory_EOM[[#This Row],[Client No]],'Global Portfolio'!$B$2:$N$2500,11,FALSE)</f>
        <v>Others</v>
      </c>
      <c r="AB546" s="105" t="str">
        <f>VLOOKUP(Table__192.168.1.150_M_CONSOLIDATED_Delinquency_Compulsory_EOM[[#This Row],[Client No]],'Global Portfolio'!$B$2:$N$2500,12,FALSE)</f>
        <v>Others</v>
      </c>
    </row>
    <row r="547" spans="1:28" x14ac:dyDescent="0.25">
      <c r="A547">
        <v>103252</v>
      </c>
      <c r="B547" t="s">
        <v>1380</v>
      </c>
      <c r="C547" t="s">
        <v>1381</v>
      </c>
      <c r="D547" t="s">
        <v>1284</v>
      </c>
      <c r="E547">
        <v>-22</v>
      </c>
      <c r="F547">
        <v>20000000</v>
      </c>
      <c r="G547">
        <v>16426454.92</v>
      </c>
      <c r="H547">
        <v>1454173.92</v>
      </c>
      <c r="I547" t="s">
        <v>963</v>
      </c>
      <c r="J547">
        <v>0</v>
      </c>
      <c r="K547">
        <v>1000000</v>
      </c>
      <c r="L547">
        <v>114985.18</v>
      </c>
      <c r="M547">
        <v>20358434.82</v>
      </c>
      <c r="N547" s="143">
        <v>42909.574963113424</v>
      </c>
      <c r="O547" s="143">
        <v>43457</v>
      </c>
      <c r="P547" t="s">
        <v>1382</v>
      </c>
      <c r="Q547" t="s">
        <v>1280</v>
      </c>
      <c r="R547" t="s">
        <v>1383</v>
      </c>
      <c r="S547" t="s">
        <v>1510</v>
      </c>
      <c r="T547">
        <v>36</v>
      </c>
      <c r="U547">
        <f>IF(Table__192.168.1.150_M_CONSOLIDATED_Delinquency_Compulsory_EOM[[#This Row],[Days in Arrears]] &lt; 8, Table__192.168.1.150_M_CONSOLIDATED_Delinquency_Compulsory_EOM[[#This Row],[Outstanding Balance]], 0 )</f>
        <v>16426454.92</v>
      </c>
      <c r="V5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7" s="105" t="str">
        <f>VLOOKUP(Table__192.168.1.150_M_CONSOLIDATED_Delinquency_Compulsory_EOM[[#This Row],[Client No]],'Global Portfolio'!$B$2:$N$2500,10,FALSE)</f>
        <v>Real Estate and Rental</v>
      </c>
      <c r="AA547" s="105" t="str">
        <f>VLOOKUP(Table__192.168.1.150_M_CONSOLIDATED_Delinquency_Compulsory_EOM[[#This Row],[Client No]],'Global Portfolio'!$B$2:$N$2500,11,FALSE)</f>
        <v>Rental</v>
      </c>
      <c r="AB547" s="105" t="str">
        <f>VLOOKUP(Table__192.168.1.150_M_CONSOLIDATED_Delinquency_Compulsory_EOM[[#This Row],[Client No]],'Global Portfolio'!$B$2:$N$2500,12,FALSE)</f>
        <v>General Rental Centers</v>
      </c>
    </row>
    <row r="548" spans="1:28" x14ac:dyDescent="0.25">
      <c r="A548">
        <v>103253</v>
      </c>
      <c r="B548" t="s">
        <v>4954</v>
      </c>
      <c r="C548" t="s">
        <v>4956</v>
      </c>
      <c r="D548" t="s">
        <v>1279</v>
      </c>
      <c r="E548">
        <v>0</v>
      </c>
      <c r="F548">
        <v>5000000</v>
      </c>
      <c r="G548">
        <v>3327290.52</v>
      </c>
      <c r="H548">
        <v>747399.67</v>
      </c>
      <c r="I548" t="s">
        <v>1448</v>
      </c>
      <c r="J548">
        <v>4600.33</v>
      </c>
      <c r="K548">
        <v>500000</v>
      </c>
      <c r="L548">
        <v>128655.23</v>
      </c>
      <c r="M548">
        <v>3736998.32</v>
      </c>
      <c r="N548" s="143">
        <v>42912.611653206019</v>
      </c>
      <c r="O548" s="143">
        <v>43160</v>
      </c>
      <c r="P548" t="s">
        <v>4957</v>
      </c>
      <c r="Q548" t="s">
        <v>4958</v>
      </c>
      <c r="R548" t="s">
        <v>1280</v>
      </c>
      <c r="S548" t="s">
        <v>1510</v>
      </c>
      <c r="T548">
        <v>48</v>
      </c>
      <c r="U548">
        <f>IF(Table__192.168.1.150_M_CONSOLIDATED_Delinquency_Compulsory_EOM[[#This Row],[Days in Arrears]] &lt; 8, Table__192.168.1.150_M_CONSOLIDATED_Delinquency_Compulsory_EOM[[#This Row],[Outstanding Balance]], 0 )</f>
        <v>3327290.52</v>
      </c>
      <c r="V5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8" s="105" t="str">
        <f>VLOOKUP(Table__192.168.1.150_M_CONSOLIDATED_Delinquency_Compulsory_EOM[[#This Row],[Client No]],'Global Portfolio'!$B$2:$N$2500,10,FALSE)</f>
        <v>Retail</v>
      </c>
      <c r="AA548" s="105" t="str">
        <f>VLOOKUP(Table__192.168.1.150_M_CONSOLIDATED_Delinquency_Compulsory_EOM[[#This Row],[Client No]],'Global Portfolio'!$B$2:$N$2500,11,FALSE)</f>
        <v>Others</v>
      </c>
      <c r="AB548" s="105" t="str">
        <f>VLOOKUP(Table__192.168.1.150_M_CONSOLIDATED_Delinquency_Compulsory_EOM[[#This Row],[Client No]],'Global Portfolio'!$B$2:$N$2500,12,FALSE)</f>
        <v>Others</v>
      </c>
    </row>
    <row r="549" spans="1:28" x14ac:dyDescent="0.25">
      <c r="A549">
        <v>103254</v>
      </c>
      <c r="B549" t="s">
        <v>365</v>
      </c>
      <c r="C549" t="s">
        <v>373</v>
      </c>
      <c r="D549" t="s">
        <v>1279</v>
      </c>
      <c r="E549">
        <v>0</v>
      </c>
      <c r="F549">
        <v>4000000</v>
      </c>
      <c r="G549">
        <v>3185254.24</v>
      </c>
      <c r="H549">
        <v>428394.38</v>
      </c>
      <c r="I549" t="s">
        <v>1448</v>
      </c>
      <c r="J549">
        <v>0</v>
      </c>
      <c r="K549">
        <v>400000</v>
      </c>
      <c r="L549">
        <v>123163.16</v>
      </c>
      <c r="M549">
        <v>3855549.38</v>
      </c>
      <c r="N549" s="143">
        <v>42913.651675497684</v>
      </c>
      <c r="O549" s="143">
        <v>43282</v>
      </c>
      <c r="P549" t="s">
        <v>374</v>
      </c>
      <c r="Q549" t="s">
        <v>1280</v>
      </c>
      <c r="R549" t="s">
        <v>1280</v>
      </c>
      <c r="S549" t="s">
        <v>1510</v>
      </c>
      <c r="T549">
        <v>48</v>
      </c>
      <c r="U549">
        <f>IF(Table__192.168.1.150_M_CONSOLIDATED_Delinquency_Compulsory_EOM[[#This Row],[Days in Arrears]] &lt; 8, Table__192.168.1.150_M_CONSOLIDATED_Delinquency_Compulsory_EOM[[#This Row],[Outstanding Balance]], 0 )</f>
        <v>3185254.24</v>
      </c>
      <c r="V5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49" s="105" t="str">
        <f>VLOOKUP(Table__192.168.1.150_M_CONSOLIDATED_Delinquency_Compulsory_EOM[[#This Row],[Client No]],'Global Portfolio'!$B$2:$N$2500,10,FALSE)</f>
        <v>Retail</v>
      </c>
      <c r="AA549" s="105" t="str">
        <f>VLOOKUP(Table__192.168.1.150_M_CONSOLIDATED_Delinquency_Compulsory_EOM[[#This Row],[Client No]],'Global Portfolio'!$B$2:$N$2500,11,FALSE)</f>
        <v>Others</v>
      </c>
      <c r="AB549" s="105" t="str">
        <f>VLOOKUP(Table__192.168.1.150_M_CONSOLIDATED_Delinquency_Compulsory_EOM[[#This Row],[Client No]],'Global Portfolio'!$B$2:$N$2500,12,FALSE)</f>
        <v>Others</v>
      </c>
    </row>
    <row r="550" spans="1:28" x14ac:dyDescent="0.25">
      <c r="A550">
        <v>103255</v>
      </c>
      <c r="B550" t="s">
        <v>83</v>
      </c>
      <c r="C550" t="s">
        <v>2426</v>
      </c>
      <c r="D550" t="s">
        <v>1282</v>
      </c>
      <c r="E550">
        <v>30</v>
      </c>
      <c r="F550">
        <v>5000000</v>
      </c>
      <c r="G550">
        <v>3999826.78</v>
      </c>
      <c r="H550">
        <v>536176</v>
      </c>
      <c r="I550" t="s">
        <v>1447</v>
      </c>
      <c r="J550">
        <v>0</v>
      </c>
      <c r="K550">
        <v>500000</v>
      </c>
      <c r="L550">
        <v>154150.32</v>
      </c>
      <c r="M550">
        <v>4838764.41</v>
      </c>
      <c r="N550" s="143">
        <v>42912.638030983799</v>
      </c>
      <c r="O550" s="143">
        <v>43282</v>
      </c>
      <c r="P550" t="s">
        <v>2427</v>
      </c>
      <c r="Q550" t="s">
        <v>2428</v>
      </c>
      <c r="R550" t="s">
        <v>1280</v>
      </c>
      <c r="S550" t="s">
        <v>1510</v>
      </c>
      <c r="T550">
        <v>48</v>
      </c>
      <c r="U550">
        <f>IF(Table__192.168.1.150_M_CONSOLIDATED_Delinquency_Compulsory_EOM[[#This Row],[Days in Arrears]] &lt; 8, Table__192.168.1.150_M_CONSOLIDATED_Delinquency_Compulsory_EOM[[#This Row],[Outstanding Balance]], 0 )</f>
        <v>0</v>
      </c>
      <c r="V5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3999826.78</v>
      </c>
      <c r="X5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0" s="105" t="str">
        <f>VLOOKUP(Table__192.168.1.150_M_CONSOLIDATED_Delinquency_Compulsory_EOM[[#This Row],[Client No]],'Global Portfolio'!$B$2:$N$2500,10,FALSE)</f>
        <v>Retail</v>
      </c>
      <c r="AA550" s="105" t="str">
        <f>VLOOKUP(Table__192.168.1.150_M_CONSOLIDATED_Delinquency_Compulsory_EOM[[#This Row],[Client No]],'Global Portfolio'!$B$2:$N$2500,11,FALSE)</f>
        <v>Others</v>
      </c>
      <c r="AB550" s="105" t="str">
        <f>VLOOKUP(Table__192.168.1.150_M_CONSOLIDATED_Delinquency_Compulsory_EOM[[#This Row],[Client No]],'Global Portfolio'!$B$2:$N$2500,12,FALSE)</f>
        <v>Others</v>
      </c>
    </row>
    <row r="551" spans="1:28" x14ac:dyDescent="0.25">
      <c r="A551">
        <v>103256</v>
      </c>
      <c r="B551" t="s">
        <v>4982</v>
      </c>
      <c r="C551" t="s">
        <v>4983</v>
      </c>
      <c r="D551" t="s">
        <v>1282</v>
      </c>
      <c r="E551">
        <v>0</v>
      </c>
      <c r="F551">
        <v>10000000</v>
      </c>
      <c r="G551">
        <v>7982847.71</v>
      </c>
      <c r="H551">
        <v>1098236.04</v>
      </c>
      <c r="I551" t="s">
        <v>1191</v>
      </c>
      <c r="J551">
        <v>0</v>
      </c>
      <c r="K551">
        <v>1000000</v>
      </c>
      <c r="L551">
        <v>347253.88</v>
      </c>
      <c r="M551">
        <v>9884124.4000000004</v>
      </c>
      <c r="N551" s="143">
        <v>42916.532879861108</v>
      </c>
      <c r="O551" s="143">
        <v>43282</v>
      </c>
      <c r="P551" t="s">
        <v>4984</v>
      </c>
      <c r="Q551" t="s">
        <v>1280</v>
      </c>
      <c r="R551" t="s">
        <v>1280</v>
      </c>
      <c r="S551" t="s">
        <v>1510</v>
      </c>
      <c r="T551">
        <v>54</v>
      </c>
      <c r="U551">
        <f>IF(Table__192.168.1.150_M_CONSOLIDATED_Delinquency_Compulsory_EOM[[#This Row],[Days in Arrears]] &lt; 8, Table__192.168.1.150_M_CONSOLIDATED_Delinquency_Compulsory_EOM[[#This Row],[Outstanding Balance]], 0 )</f>
        <v>7982847.71</v>
      </c>
      <c r="V5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1" s="105" t="str">
        <f>VLOOKUP(Table__192.168.1.150_M_CONSOLIDATED_Delinquency_Compulsory_EOM[[#This Row],[Client No]],'Global Portfolio'!$B$2:$N$2500,10,FALSE)</f>
        <v>Real Estate and Rental</v>
      </c>
      <c r="AA551" s="105" t="str">
        <f>VLOOKUP(Table__192.168.1.150_M_CONSOLIDATED_Delinquency_Compulsory_EOM[[#This Row],[Client No]],'Global Portfolio'!$B$2:$N$2500,11,FALSE)</f>
        <v>Real Estate</v>
      </c>
      <c r="AB551" s="105" t="str">
        <f>VLOOKUP(Table__192.168.1.150_M_CONSOLIDATED_Delinquency_Compulsory_EOM[[#This Row],[Client No]],'Global Portfolio'!$B$2:$N$2500,12,FALSE)</f>
        <v>Real Estate</v>
      </c>
    </row>
    <row r="552" spans="1:28" x14ac:dyDescent="0.25">
      <c r="A552">
        <v>103257</v>
      </c>
      <c r="B552" t="s">
        <v>3196</v>
      </c>
      <c r="C552" t="s">
        <v>3197</v>
      </c>
      <c r="D552" t="s">
        <v>1282</v>
      </c>
      <c r="E552">
        <v>-4</v>
      </c>
      <c r="F552">
        <v>5000000</v>
      </c>
      <c r="G552">
        <v>3547750.49</v>
      </c>
      <c r="H552">
        <v>676775.64</v>
      </c>
      <c r="I552" t="s">
        <v>491</v>
      </c>
      <c r="J552">
        <v>0</v>
      </c>
      <c r="K552">
        <v>500000</v>
      </c>
      <c r="L552">
        <v>118258.35</v>
      </c>
      <c r="M552">
        <v>4060653.79</v>
      </c>
      <c r="N552" s="143">
        <v>42916.649968831021</v>
      </c>
      <c r="O552" s="143">
        <v>43195</v>
      </c>
      <c r="P552" t="s">
        <v>3198</v>
      </c>
      <c r="Q552" t="s">
        <v>1280</v>
      </c>
      <c r="R552" t="s">
        <v>1280</v>
      </c>
      <c r="S552" t="s">
        <v>1510</v>
      </c>
      <c r="T552">
        <v>48</v>
      </c>
      <c r="U552">
        <f>IF(Table__192.168.1.150_M_CONSOLIDATED_Delinquency_Compulsory_EOM[[#This Row],[Days in Arrears]] &lt; 8, Table__192.168.1.150_M_CONSOLIDATED_Delinquency_Compulsory_EOM[[#This Row],[Outstanding Balance]], 0 )</f>
        <v>3547750.49</v>
      </c>
      <c r="V5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2" s="105" t="str">
        <f>VLOOKUP(Table__192.168.1.150_M_CONSOLIDATED_Delinquency_Compulsory_EOM[[#This Row],[Client No]],'Global Portfolio'!$B$2:$N$2500,10,FALSE)</f>
        <v>Retail</v>
      </c>
      <c r="AA552" s="105" t="str">
        <f>VLOOKUP(Table__192.168.1.150_M_CONSOLIDATED_Delinquency_Compulsory_EOM[[#This Row],[Client No]],'Global Portfolio'!$B$2:$N$2500,11,FALSE)</f>
        <v>General Merchandise Stores</v>
      </c>
      <c r="AB552" s="105" t="str">
        <f>VLOOKUP(Table__192.168.1.150_M_CONSOLIDATED_Delinquency_Compulsory_EOM[[#This Row],[Client No]],'Global Portfolio'!$B$2:$N$2500,12,FALSE)</f>
        <v>General Stores</v>
      </c>
    </row>
    <row r="553" spans="1:28" x14ac:dyDescent="0.25">
      <c r="A553">
        <v>103258</v>
      </c>
      <c r="B553" t="s">
        <v>4994</v>
      </c>
      <c r="C553" t="s">
        <v>4995</v>
      </c>
      <c r="D553" t="s">
        <v>1286</v>
      </c>
      <c r="E553">
        <v>-20</v>
      </c>
      <c r="F553">
        <v>2000000</v>
      </c>
      <c r="G553">
        <v>687727.38</v>
      </c>
      <c r="H553">
        <v>354646.35</v>
      </c>
      <c r="I553" t="s">
        <v>284</v>
      </c>
      <c r="J553">
        <v>89198.38</v>
      </c>
      <c r="K553">
        <v>0</v>
      </c>
      <c r="L553">
        <v>4298.3</v>
      </c>
      <c r="M553">
        <v>709292.71</v>
      </c>
      <c r="N553" s="143">
        <v>42921.436926539354</v>
      </c>
      <c r="O553" s="143">
        <v>43090</v>
      </c>
      <c r="P553" t="s">
        <v>4996</v>
      </c>
      <c r="Q553" t="s">
        <v>1280</v>
      </c>
      <c r="R553" t="s">
        <v>1280</v>
      </c>
      <c r="S553" t="s">
        <v>1510</v>
      </c>
      <c r="T553">
        <v>25</v>
      </c>
      <c r="U553">
        <f>IF(Table__192.168.1.150_M_CONSOLIDATED_Delinquency_Compulsory_EOM[[#This Row],[Days in Arrears]] &lt; 8, Table__192.168.1.150_M_CONSOLIDATED_Delinquency_Compulsory_EOM[[#This Row],[Outstanding Balance]], 0 )</f>
        <v>687727.38</v>
      </c>
      <c r="V5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3" s="105" t="str">
        <f>VLOOKUP(Table__192.168.1.150_M_CONSOLIDATED_Delinquency_Compulsory_EOM[[#This Row],[Client No]],'Global Portfolio'!$B$2:$N$2500,10,FALSE)</f>
        <v>Other Services</v>
      </c>
      <c r="AA553" s="105" t="str">
        <f>VLOOKUP(Table__192.168.1.150_M_CONSOLIDATED_Delinquency_Compulsory_EOM[[#This Row],[Client No]],'Global Portfolio'!$B$2:$N$2500,11,FALSE)</f>
        <v>Others</v>
      </c>
      <c r="AB553" s="105" t="str">
        <f>VLOOKUP(Table__192.168.1.150_M_CONSOLIDATED_Delinquency_Compulsory_EOM[[#This Row],[Client No]],'Global Portfolio'!$B$2:$N$2500,12,FALSE)</f>
        <v>Others</v>
      </c>
    </row>
    <row r="554" spans="1:28" x14ac:dyDescent="0.25">
      <c r="A554">
        <v>103259</v>
      </c>
      <c r="B554" t="s">
        <v>3550</v>
      </c>
      <c r="C554" t="s">
        <v>3580</v>
      </c>
      <c r="D554" t="s">
        <v>1866</v>
      </c>
      <c r="E554">
        <v>-10</v>
      </c>
      <c r="F554">
        <v>6000000</v>
      </c>
      <c r="G554">
        <v>4733653.5599999996</v>
      </c>
      <c r="H554">
        <v>627009.4</v>
      </c>
      <c r="I554" t="s">
        <v>2034</v>
      </c>
      <c r="J554">
        <v>555477.18000000005</v>
      </c>
      <c r="K554">
        <v>0</v>
      </c>
      <c r="L554">
        <v>109925.95</v>
      </c>
      <c r="M554">
        <v>5643084.6200000001</v>
      </c>
      <c r="N554" s="143">
        <v>42927.551533831022</v>
      </c>
      <c r="O554" s="143">
        <v>43292</v>
      </c>
      <c r="P554" t="s">
        <v>3581</v>
      </c>
      <c r="Q554" t="s">
        <v>3582</v>
      </c>
      <c r="R554" t="s">
        <v>1280</v>
      </c>
      <c r="S554" t="s">
        <v>1510</v>
      </c>
      <c r="T554">
        <v>44</v>
      </c>
      <c r="U554">
        <f>IF(Table__192.168.1.150_M_CONSOLIDATED_Delinquency_Compulsory_EOM[[#This Row],[Days in Arrears]] &lt; 8, Table__192.168.1.150_M_CONSOLIDATED_Delinquency_Compulsory_EOM[[#This Row],[Outstanding Balance]], 0 )</f>
        <v>4733653.5599999996</v>
      </c>
      <c r="V5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4" s="105" t="str">
        <f>VLOOKUP(Table__192.168.1.150_M_CONSOLIDATED_Delinquency_Compulsory_EOM[[#This Row],[Client No]],'Global Portfolio'!$B$2:$N$2500,10,FALSE)</f>
        <v>Retail</v>
      </c>
      <c r="AA554" s="105" t="str">
        <f>VLOOKUP(Table__192.168.1.150_M_CONSOLIDATED_Delinquency_Compulsory_EOM[[#This Row],[Client No]],'Global Portfolio'!$B$2:$N$2500,11,FALSE)</f>
        <v>General Merchandise Stores</v>
      </c>
      <c r="AB554" s="105" t="str">
        <f>VLOOKUP(Table__192.168.1.150_M_CONSOLIDATED_Delinquency_Compulsory_EOM[[#This Row],[Client No]],'Global Portfolio'!$B$2:$N$2500,12,FALSE)</f>
        <v>General Stores</v>
      </c>
    </row>
    <row r="555" spans="1:28" x14ac:dyDescent="0.25">
      <c r="A555">
        <v>103260</v>
      </c>
      <c r="B555" t="s">
        <v>5024</v>
      </c>
      <c r="C555" t="s">
        <v>5027</v>
      </c>
      <c r="D555" t="s">
        <v>1282</v>
      </c>
      <c r="E555">
        <v>-11</v>
      </c>
      <c r="F555">
        <v>6000000</v>
      </c>
      <c r="G555">
        <v>4468275.6100000003</v>
      </c>
      <c r="H555">
        <v>758272.93</v>
      </c>
      <c r="I555" t="s">
        <v>491</v>
      </c>
      <c r="J555">
        <v>0</v>
      </c>
      <c r="K555">
        <v>600000</v>
      </c>
      <c r="L555">
        <v>120643.44</v>
      </c>
      <c r="M555">
        <v>5307910.51</v>
      </c>
      <c r="N555" s="143">
        <v>42928.569796956021</v>
      </c>
      <c r="O555" s="143">
        <v>43232</v>
      </c>
      <c r="P555" t="s">
        <v>5028</v>
      </c>
      <c r="Q555" t="s">
        <v>1280</v>
      </c>
      <c r="R555" t="s">
        <v>1280</v>
      </c>
      <c r="S555" t="s">
        <v>1510</v>
      </c>
      <c r="T555">
        <v>54</v>
      </c>
      <c r="U555">
        <f>IF(Table__192.168.1.150_M_CONSOLIDATED_Delinquency_Compulsory_EOM[[#This Row],[Days in Arrears]] &lt; 8, Table__192.168.1.150_M_CONSOLIDATED_Delinquency_Compulsory_EOM[[#This Row],[Outstanding Balance]], 0 )</f>
        <v>4468275.6100000003</v>
      </c>
      <c r="V5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5" s="105" t="str">
        <f>VLOOKUP(Table__192.168.1.150_M_CONSOLIDATED_Delinquency_Compulsory_EOM[[#This Row],[Client No]],'Global Portfolio'!$B$2:$N$2500,10,FALSE)</f>
        <v>Retail</v>
      </c>
      <c r="AA555" s="105" t="str">
        <f>VLOOKUP(Table__192.168.1.150_M_CONSOLIDATED_Delinquency_Compulsory_EOM[[#This Row],[Client No]],'Global Portfolio'!$B$2:$N$2500,11,FALSE)</f>
        <v>Others</v>
      </c>
      <c r="AB555" s="105" t="str">
        <f>VLOOKUP(Table__192.168.1.150_M_CONSOLIDATED_Delinquency_Compulsory_EOM[[#This Row],[Client No]],'Global Portfolio'!$B$2:$N$2500,12,FALSE)</f>
        <v>Others</v>
      </c>
    </row>
    <row r="556" spans="1:28" x14ac:dyDescent="0.25">
      <c r="A556">
        <v>103261</v>
      </c>
      <c r="B556" t="s">
        <v>5026</v>
      </c>
      <c r="C556" t="s">
        <v>5029</v>
      </c>
      <c r="D556" t="s">
        <v>1284</v>
      </c>
      <c r="E556">
        <v>-11</v>
      </c>
      <c r="F556">
        <v>10000000</v>
      </c>
      <c r="G556">
        <v>7855949.1500000004</v>
      </c>
      <c r="H556">
        <v>1024714.83</v>
      </c>
      <c r="I556" t="s">
        <v>1191</v>
      </c>
      <c r="J556">
        <v>26819.79</v>
      </c>
      <c r="K556">
        <v>500000</v>
      </c>
      <c r="L556">
        <v>157118.98000000001</v>
      </c>
      <c r="M556">
        <v>9222433.4299999997</v>
      </c>
      <c r="N556" s="143">
        <v>42928.637483252314</v>
      </c>
      <c r="O556" s="143">
        <v>43293</v>
      </c>
      <c r="P556" t="s">
        <v>5030</v>
      </c>
      <c r="Q556" t="s">
        <v>5031</v>
      </c>
      <c r="R556" t="s">
        <v>1280</v>
      </c>
      <c r="S556" t="s">
        <v>1510</v>
      </c>
      <c r="T556">
        <v>40</v>
      </c>
      <c r="U556">
        <f>IF(Table__192.168.1.150_M_CONSOLIDATED_Delinquency_Compulsory_EOM[[#This Row],[Days in Arrears]] &lt; 8, Table__192.168.1.150_M_CONSOLIDATED_Delinquency_Compulsory_EOM[[#This Row],[Outstanding Balance]], 0 )</f>
        <v>7855949.1500000004</v>
      </c>
      <c r="V5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6" s="105" t="str">
        <f>VLOOKUP(Table__192.168.1.150_M_CONSOLIDATED_Delinquency_Compulsory_EOM[[#This Row],[Client No]],'Global Portfolio'!$B$2:$N$2500,10,FALSE)</f>
        <v>Retail</v>
      </c>
      <c r="AA556" s="105" t="str">
        <f>VLOOKUP(Table__192.168.1.150_M_CONSOLIDATED_Delinquency_Compulsory_EOM[[#This Row],[Client No]],'Global Portfolio'!$B$2:$N$2500,11,FALSE)</f>
        <v>General Merchandise Stores</v>
      </c>
      <c r="AB556" s="105" t="str">
        <f>VLOOKUP(Table__192.168.1.150_M_CONSOLIDATED_Delinquency_Compulsory_EOM[[#This Row],[Client No]],'Global Portfolio'!$B$2:$N$2500,12,FALSE)</f>
        <v>General Stores</v>
      </c>
    </row>
    <row r="557" spans="1:28" x14ac:dyDescent="0.25">
      <c r="A557">
        <v>103262</v>
      </c>
      <c r="B557" t="s">
        <v>3682</v>
      </c>
      <c r="C557" t="s">
        <v>3686</v>
      </c>
      <c r="D557" t="s">
        <v>1282</v>
      </c>
      <c r="E557">
        <v>-13</v>
      </c>
      <c r="F557">
        <v>3500000</v>
      </c>
      <c r="G557">
        <v>2772877.6</v>
      </c>
      <c r="H557">
        <v>372932.6</v>
      </c>
      <c r="I557" t="s">
        <v>86</v>
      </c>
      <c r="J557">
        <v>0</v>
      </c>
      <c r="K557">
        <v>350000</v>
      </c>
      <c r="L557">
        <v>59154.720000000001</v>
      </c>
      <c r="M557">
        <v>3356393.46</v>
      </c>
      <c r="N557" s="143">
        <v>42930.724245289355</v>
      </c>
      <c r="O557" s="143">
        <v>43295</v>
      </c>
      <c r="P557" t="s">
        <v>3687</v>
      </c>
      <c r="Q557" t="s">
        <v>1280</v>
      </c>
      <c r="R557" t="s">
        <v>1280</v>
      </c>
      <c r="S557" t="s">
        <v>1510</v>
      </c>
      <c r="T557">
        <v>48</v>
      </c>
      <c r="U557">
        <f>IF(Table__192.168.1.150_M_CONSOLIDATED_Delinquency_Compulsory_EOM[[#This Row],[Days in Arrears]] &lt; 8, Table__192.168.1.150_M_CONSOLIDATED_Delinquency_Compulsory_EOM[[#This Row],[Outstanding Balance]], 0 )</f>
        <v>2772877.6</v>
      </c>
      <c r="V5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7" s="105" t="str">
        <f>VLOOKUP(Table__192.168.1.150_M_CONSOLIDATED_Delinquency_Compulsory_EOM[[#This Row],[Client No]],'Global Portfolio'!$B$2:$N$2500,10,FALSE)</f>
        <v>Retail</v>
      </c>
      <c r="AA557" s="105" t="str">
        <f>VLOOKUP(Table__192.168.1.150_M_CONSOLIDATED_Delinquency_Compulsory_EOM[[#This Row],[Client No]],'Global Portfolio'!$B$2:$N$2500,11,FALSE)</f>
        <v>General Merchandise Stores</v>
      </c>
      <c r="AB557" s="105" t="str">
        <f>VLOOKUP(Table__192.168.1.150_M_CONSOLIDATED_Delinquency_Compulsory_EOM[[#This Row],[Client No]],'Global Portfolio'!$B$2:$N$2500,12,FALSE)</f>
        <v>General Stores</v>
      </c>
    </row>
    <row r="558" spans="1:28" x14ac:dyDescent="0.25">
      <c r="A558">
        <v>103263</v>
      </c>
      <c r="B558" t="s">
        <v>5042</v>
      </c>
      <c r="C558" t="s">
        <v>5044</v>
      </c>
      <c r="D558" t="s">
        <v>1282</v>
      </c>
      <c r="E558">
        <v>-16</v>
      </c>
      <c r="F558">
        <v>7000000</v>
      </c>
      <c r="G558">
        <v>5579983.8499999996</v>
      </c>
      <c r="H558">
        <v>767663.32</v>
      </c>
      <c r="I558" t="s">
        <v>1039</v>
      </c>
      <c r="J558">
        <v>0</v>
      </c>
      <c r="K558">
        <v>600000</v>
      </c>
      <c r="L558">
        <v>108809.69</v>
      </c>
      <c r="M558">
        <v>6908969.9000000004</v>
      </c>
      <c r="N558" s="143">
        <v>42933.649654201392</v>
      </c>
      <c r="O558" s="143">
        <v>43298</v>
      </c>
      <c r="P558" t="s">
        <v>5045</v>
      </c>
      <c r="Q558" t="s">
        <v>1280</v>
      </c>
      <c r="R558" t="s">
        <v>1280</v>
      </c>
      <c r="S558" t="s">
        <v>1510</v>
      </c>
      <c r="T558">
        <v>54</v>
      </c>
      <c r="U558">
        <f>IF(Table__192.168.1.150_M_CONSOLIDATED_Delinquency_Compulsory_EOM[[#This Row],[Days in Arrears]] &lt; 8, Table__192.168.1.150_M_CONSOLIDATED_Delinquency_Compulsory_EOM[[#This Row],[Outstanding Balance]], 0 )</f>
        <v>5579983.8499999996</v>
      </c>
      <c r="V5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8" s="105" t="str">
        <f>VLOOKUP(Table__192.168.1.150_M_CONSOLIDATED_Delinquency_Compulsory_EOM[[#This Row],[Client No]],'Global Portfolio'!$B$2:$N$2500,10,FALSE)</f>
        <v>Retail</v>
      </c>
      <c r="AA558" s="105" t="str">
        <f>VLOOKUP(Table__192.168.1.150_M_CONSOLIDATED_Delinquency_Compulsory_EOM[[#This Row],[Client No]],'Global Portfolio'!$B$2:$N$2500,11,FALSE)</f>
        <v>General Merchandise Stores</v>
      </c>
      <c r="AB558" s="105" t="str">
        <f>VLOOKUP(Table__192.168.1.150_M_CONSOLIDATED_Delinquency_Compulsory_EOM[[#This Row],[Client No]],'Global Portfolio'!$B$2:$N$2500,12,FALSE)</f>
        <v>General Stores</v>
      </c>
    </row>
    <row r="559" spans="1:28" x14ac:dyDescent="0.25">
      <c r="A559">
        <v>103264</v>
      </c>
      <c r="B559" t="s">
        <v>901</v>
      </c>
      <c r="C559" t="s">
        <v>2436</v>
      </c>
      <c r="D559" t="s">
        <v>1866</v>
      </c>
      <c r="E559">
        <v>-14</v>
      </c>
      <c r="F559">
        <v>6000000</v>
      </c>
      <c r="G559">
        <v>4733653.5599999996</v>
      </c>
      <c r="H559">
        <v>627009.4</v>
      </c>
      <c r="I559" t="s">
        <v>86</v>
      </c>
      <c r="J559">
        <v>0</v>
      </c>
      <c r="K559">
        <v>600000</v>
      </c>
      <c r="L559">
        <v>86783.65</v>
      </c>
      <c r="M559">
        <v>5643084.6200000001</v>
      </c>
      <c r="N559" s="143">
        <v>42931.511849884257</v>
      </c>
      <c r="O559" s="143">
        <v>43296</v>
      </c>
      <c r="P559" t="s">
        <v>2437</v>
      </c>
      <c r="Q559" t="s">
        <v>2438</v>
      </c>
      <c r="R559" t="s">
        <v>1280</v>
      </c>
      <c r="S559" t="s">
        <v>1510</v>
      </c>
      <c r="T559">
        <v>44</v>
      </c>
      <c r="U559">
        <f>IF(Table__192.168.1.150_M_CONSOLIDATED_Delinquency_Compulsory_EOM[[#This Row],[Days in Arrears]] &lt; 8, Table__192.168.1.150_M_CONSOLIDATED_Delinquency_Compulsory_EOM[[#This Row],[Outstanding Balance]], 0 )</f>
        <v>4733653.5599999996</v>
      </c>
      <c r="V5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59" s="105" t="str">
        <f>VLOOKUP(Table__192.168.1.150_M_CONSOLIDATED_Delinquency_Compulsory_EOM[[#This Row],[Client No]],'Global Portfolio'!$B$2:$N$2500,10,FALSE)</f>
        <v>Retail</v>
      </c>
      <c r="AA559" s="105" t="str">
        <f>VLOOKUP(Table__192.168.1.150_M_CONSOLIDATED_Delinquency_Compulsory_EOM[[#This Row],[Client No]],'Global Portfolio'!$B$2:$N$2500,11,FALSE)</f>
        <v>Others</v>
      </c>
      <c r="AB559" s="105" t="str">
        <f>VLOOKUP(Table__192.168.1.150_M_CONSOLIDATED_Delinquency_Compulsory_EOM[[#This Row],[Client No]],'Global Portfolio'!$B$2:$N$2500,12,FALSE)</f>
        <v>Others</v>
      </c>
    </row>
    <row r="560" spans="1:28" x14ac:dyDescent="0.25">
      <c r="A560">
        <v>103265</v>
      </c>
      <c r="B560" t="s">
        <v>1600</v>
      </c>
      <c r="C560" t="s">
        <v>1923</v>
      </c>
      <c r="D560" t="s">
        <v>1285</v>
      </c>
      <c r="E560">
        <v>-20</v>
      </c>
      <c r="F560">
        <v>11029000</v>
      </c>
      <c r="G560">
        <v>10200890.539999999</v>
      </c>
      <c r="H560">
        <v>482385.78</v>
      </c>
      <c r="I560" t="s">
        <v>284</v>
      </c>
      <c r="J560">
        <v>0</v>
      </c>
      <c r="K560">
        <v>0</v>
      </c>
      <c r="L560">
        <v>56104.9</v>
      </c>
      <c r="M560">
        <v>13024416.15</v>
      </c>
      <c r="N560" s="143">
        <v>42933.644140509263</v>
      </c>
      <c r="O560" s="143">
        <v>43851</v>
      </c>
      <c r="P560" t="s">
        <v>1924</v>
      </c>
      <c r="Q560" t="s">
        <v>1280</v>
      </c>
      <c r="R560" t="s">
        <v>1280</v>
      </c>
      <c r="S560" t="s">
        <v>1510</v>
      </c>
      <c r="T560">
        <v>22</v>
      </c>
      <c r="U560">
        <f>IF(Table__192.168.1.150_M_CONSOLIDATED_Delinquency_Compulsory_EOM[[#This Row],[Days in Arrears]] &lt; 8, Table__192.168.1.150_M_CONSOLIDATED_Delinquency_Compulsory_EOM[[#This Row],[Outstanding Balance]], 0 )</f>
        <v>10200890.539999999</v>
      </c>
      <c r="V5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0" s="105" t="str">
        <f>VLOOKUP(Table__192.168.1.150_M_CONSOLIDATED_Delinquency_Compulsory_EOM[[#This Row],[Client No]],'Global Portfolio'!$B$2:$N$2500,10,FALSE)</f>
        <v>Finance and Insurance</v>
      </c>
      <c r="AA560" s="105" t="str">
        <f>VLOOKUP(Table__192.168.1.150_M_CONSOLIDATED_Delinquency_Compulsory_EOM[[#This Row],[Client No]],'Global Portfolio'!$B$2:$N$2500,11,FALSE)</f>
        <v>Finance</v>
      </c>
      <c r="AB560" s="105" t="str">
        <f>VLOOKUP(Table__192.168.1.150_M_CONSOLIDATED_Delinquency_Compulsory_EOM[[#This Row],[Client No]],'Global Portfolio'!$B$2:$N$2500,12,FALSE)</f>
        <v>Microfinance Institutions</v>
      </c>
    </row>
    <row r="561" spans="1:28" x14ac:dyDescent="0.25">
      <c r="A561">
        <v>103266</v>
      </c>
      <c r="B561" t="s">
        <v>3180</v>
      </c>
      <c r="C561" t="s">
        <v>3181</v>
      </c>
      <c r="D561" t="s">
        <v>1866</v>
      </c>
      <c r="E561">
        <v>-17</v>
      </c>
      <c r="F561">
        <v>10000000</v>
      </c>
      <c r="G561">
        <v>7889422.5999999996</v>
      </c>
      <c r="H561">
        <v>1045015.67</v>
      </c>
      <c r="I561" t="s">
        <v>2855</v>
      </c>
      <c r="J561">
        <v>0</v>
      </c>
      <c r="K561">
        <v>1000000</v>
      </c>
      <c r="L561">
        <v>115711.53</v>
      </c>
      <c r="M561">
        <v>9405141.0199999996</v>
      </c>
      <c r="N561" s="143">
        <v>42934.646169641201</v>
      </c>
      <c r="O561" s="143">
        <v>43299</v>
      </c>
      <c r="P561" t="s">
        <v>3182</v>
      </c>
      <c r="Q561" t="s">
        <v>1280</v>
      </c>
      <c r="R561" t="s">
        <v>1280</v>
      </c>
      <c r="S561" t="s">
        <v>1510</v>
      </c>
      <c r="T561">
        <v>44</v>
      </c>
      <c r="U561">
        <f>IF(Table__192.168.1.150_M_CONSOLIDATED_Delinquency_Compulsory_EOM[[#This Row],[Days in Arrears]] &lt; 8, Table__192.168.1.150_M_CONSOLIDATED_Delinquency_Compulsory_EOM[[#This Row],[Outstanding Balance]], 0 )</f>
        <v>7889422.5999999996</v>
      </c>
      <c r="V5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1" s="105" t="str">
        <f>VLOOKUP(Table__192.168.1.150_M_CONSOLIDATED_Delinquency_Compulsory_EOM[[#This Row],[Client No]],'Global Portfolio'!$B$2:$N$2500,10,FALSE)</f>
        <v>Retail</v>
      </c>
      <c r="AA561" s="105" t="str">
        <f>VLOOKUP(Table__192.168.1.150_M_CONSOLIDATED_Delinquency_Compulsory_EOM[[#This Row],[Client No]],'Global Portfolio'!$B$2:$N$2500,11,FALSE)</f>
        <v>Food and Beverage Stores</v>
      </c>
      <c r="AB561" s="105" t="str">
        <f>VLOOKUP(Table__192.168.1.150_M_CONSOLIDATED_Delinquency_Compulsory_EOM[[#This Row],[Client No]],'Global Portfolio'!$B$2:$N$2500,12,FALSE)</f>
        <v>Confectionery &amp; Nut Stores</v>
      </c>
    </row>
    <row r="562" spans="1:28" x14ac:dyDescent="0.25">
      <c r="A562">
        <v>103267</v>
      </c>
      <c r="B562" t="s">
        <v>5051</v>
      </c>
      <c r="C562" t="s">
        <v>5054</v>
      </c>
      <c r="D562" t="s">
        <v>1282</v>
      </c>
      <c r="E562">
        <v>-19</v>
      </c>
      <c r="F562">
        <v>10000000</v>
      </c>
      <c r="G562">
        <v>7971405.4800000004</v>
      </c>
      <c r="H562">
        <v>1096661.8899999999</v>
      </c>
      <c r="I562" t="s">
        <v>1191</v>
      </c>
      <c r="J562">
        <v>206434.76</v>
      </c>
      <c r="K562">
        <v>0</v>
      </c>
      <c r="L562">
        <v>119571.08</v>
      </c>
      <c r="M562">
        <v>9869956.9600000009</v>
      </c>
      <c r="N562" s="143">
        <v>42936.509644131947</v>
      </c>
      <c r="O562" s="143">
        <v>43301</v>
      </c>
      <c r="P562" t="s">
        <v>5055</v>
      </c>
      <c r="Q562" t="s">
        <v>5056</v>
      </c>
      <c r="R562" t="s">
        <v>1280</v>
      </c>
      <c r="S562" t="s">
        <v>1510</v>
      </c>
      <c r="T562">
        <v>54</v>
      </c>
      <c r="U562">
        <f>IF(Table__192.168.1.150_M_CONSOLIDATED_Delinquency_Compulsory_EOM[[#This Row],[Days in Arrears]] &lt; 8, Table__192.168.1.150_M_CONSOLIDATED_Delinquency_Compulsory_EOM[[#This Row],[Outstanding Balance]], 0 )</f>
        <v>7971405.4800000004</v>
      </c>
      <c r="V5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2" s="105" t="str">
        <f>VLOOKUP(Table__192.168.1.150_M_CONSOLIDATED_Delinquency_Compulsory_EOM[[#This Row],[Client No]],'Global Portfolio'!$B$2:$N$2500,10,FALSE)</f>
        <v>Retail</v>
      </c>
      <c r="AA562" s="105" t="str">
        <f>VLOOKUP(Table__192.168.1.150_M_CONSOLIDATED_Delinquency_Compulsory_EOM[[#This Row],[Client No]],'Global Portfolio'!$B$2:$N$2500,11,FALSE)</f>
        <v>General Merchandise Stores</v>
      </c>
      <c r="AB562" s="105" t="str">
        <f>VLOOKUP(Table__192.168.1.150_M_CONSOLIDATED_Delinquency_Compulsory_EOM[[#This Row],[Client No]],'Global Portfolio'!$B$2:$N$2500,12,FALSE)</f>
        <v>General Stores</v>
      </c>
    </row>
    <row r="563" spans="1:28" x14ac:dyDescent="0.25">
      <c r="A563">
        <v>103268</v>
      </c>
      <c r="B563" t="s">
        <v>5052</v>
      </c>
      <c r="C563" t="s">
        <v>5057</v>
      </c>
      <c r="D563" t="s">
        <v>1866</v>
      </c>
      <c r="E563">
        <v>-19</v>
      </c>
      <c r="F563">
        <v>10000000</v>
      </c>
      <c r="G563">
        <v>7938903.96</v>
      </c>
      <c r="H563">
        <v>1075851.19</v>
      </c>
      <c r="I563" t="s">
        <v>2175</v>
      </c>
      <c r="J563">
        <v>20000</v>
      </c>
      <c r="K563">
        <v>1000000</v>
      </c>
      <c r="L563">
        <v>110262.56</v>
      </c>
      <c r="M563">
        <v>9682660.6699999999</v>
      </c>
      <c r="N563" s="143">
        <v>42936.650801469907</v>
      </c>
      <c r="O563" s="143">
        <v>43301</v>
      </c>
      <c r="P563" t="s">
        <v>5058</v>
      </c>
      <c r="Q563" t="s">
        <v>5059</v>
      </c>
      <c r="R563" t="s">
        <v>1280</v>
      </c>
      <c r="S563" t="s">
        <v>1510</v>
      </c>
      <c r="T563">
        <v>50</v>
      </c>
      <c r="U563">
        <f>IF(Table__192.168.1.150_M_CONSOLIDATED_Delinquency_Compulsory_EOM[[#This Row],[Days in Arrears]] &lt; 8, Table__192.168.1.150_M_CONSOLIDATED_Delinquency_Compulsory_EOM[[#This Row],[Outstanding Balance]], 0 )</f>
        <v>7938903.96</v>
      </c>
      <c r="V5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3" s="105" t="str">
        <f>VLOOKUP(Table__192.168.1.150_M_CONSOLIDATED_Delinquency_Compulsory_EOM[[#This Row],[Client No]],'Global Portfolio'!$B$2:$N$2500,10,FALSE)</f>
        <v>Retail</v>
      </c>
      <c r="AA563" s="105" t="str">
        <f>VLOOKUP(Table__192.168.1.150_M_CONSOLIDATED_Delinquency_Compulsory_EOM[[#This Row],[Client No]],'Global Portfolio'!$B$2:$N$2500,11,FALSE)</f>
        <v>General Merchandise Stores</v>
      </c>
      <c r="AB563" s="105" t="str">
        <f>VLOOKUP(Table__192.168.1.150_M_CONSOLIDATED_Delinquency_Compulsory_EOM[[#This Row],[Client No]],'Global Portfolio'!$B$2:$N$2500,12,FALSE)</f>
        <v>General Stores</v>
      </c>
    </row>
    <row r="564" spans="1:28" x14ac:dyDescent="0.25">
      <c r="A564">
        <v>103269</v>
      </c>
      <c r="B564" t="s">
        <v>5102</v>
      </c>
      <c r="C564" t="s">
        <v>5103</v>
      </c>
      <c r="D564" t="s">
        <v>1281</v>
      </c>
      <c r="E564">
        <v>0</v>
      </c>
      <c r="F564">
        <v>20000000</v>
      </c>
      <c r="G564">
        <v>17309715.289999999</v>
      </c>
      <c r="H564">
        <v>2081343.84</v>
      </c>
      <c r="I564" t="s">
        <v>963</v>
      </c>
      <c r="J564">
        <v>0</v>
      </c>
      <c r="K564">
        <v>1500000</v>
      </c>
      <c r="L564">
        <v>585645.37</v>
      </c>
      <c r="M564">
        <v>20813438.469999999</v>
      </c>
      <c r="N564" s="143">
        <v>42942.4851346875</v>
      </c>
      <c r="O564" s="143">
        <v>43313</v>
      </c>
      <c r="P564" t="s">
        <v>5104</v>
      </c>
      <c r="Q564" t="s">
        <v>5105</v>
      </c>
      <c r="R564" t="s">
        <v>1280</v>
      </c>
      <c r="S564" t="s">
        <v>1510</v>
      </c>
      <c r="T564">
        <v>42</v>
      </c>
      <c r="U564">
        <f>IF(Table__192.168.1.150_M_CONSOLIDATED_Delinquency_Compulsory_EOM[[#This Row],[Days in Arrears]] &lt; 8, Table__192.168.1.150_M_CONSOLIDATED_Delinquency_Compulsory_EOM[[#This Row],[Outstanding Balance]], 0 )</f>
        <v>17309715.289999999</v>
      </c>
      <c r="V5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4" s="105" t="str">
        <f>VLOOKUP(Table__192.168.1.150_M_CONSOLIDATED_Delinquency_Compulsory_EOM[[#This Row],[Client No]],'Global Portfolio'!$B$2:$N$2500,10,FALSE)</f>
        <v>Retail</v>
      </c>
      <c r="AA564" s="105" t="str">
        <f>VLOOKUP(Table__192.168.1.150_M_CONSOLIDATED_Delinquency_Compulsory_EOM[[#This Row],[Client No]],'Global Portfolio'!$B$2:$N$2500,11,FALSE)</f>
        <v>General Merchandise Stores</v>
      </c>
      <c r="AB564" s="105" t="str">
        <f>VLOOKUP(Table__192.168.1.150_M_CONSOLIDATED_Delinquency_Compulsory_EOM[[#This Row],[Client No]],'Global Portfolio'!$B$2:$N$2500,12,FALSE)</f>
        <v>General Stores</v>
      </c>
    </row>
    <row r="565" spans="1:28" x14ac:dyDescent="0.25">
      <c r="A565">
        <v>103270</v>
      </c>
      <c r="B565" t="s">
        <v>935</v>
      </c>
      <c r="C565" t="s">
        <v>1336</v>
      </c>
      <c r="D565" t="s">
        <v>1282</v>
      </c>
      <c r="E565">
        <v>40</v>
      </c>
      <c r="F565">
        <v>12000000</v>
      </c>
      <c r="G565">
        <v>11692958.02</v>
      </c>
      <c r="H565">
        <v>787041.98</v>
      </c>
      <c r="I565" t="s">
        <v>1191</v>
      </c>
      <c r="J565">
        <v>0</v>
      </c>
      <c r="K565">
        <v>0</v>
      </c>
      <c r="L565">
        <v>922663.69</v>
      </c>
      <c r="M565">
        <v>18101965.350000001</v>
      </c>
      <c r="N565" s="143">
        <v>42937.715785185188</v>
      </c>
      <c r="O565" s="143">
        <v>43667</v>
      </c>
      <c r="P565" t="s">
        <v>1337</v>
      </c>
      <c r="Q565" t="s">
        <v>1280</v>
      </c>
      <c r="R565" t="s">
        <v>1280</v>
      </c>
      <c r="S565" t="s">
        <v>1510</v>
      </c>
      <c r="T565">
        <v>48</v>
      </c>
      <c r="U565">
        <f>IF(Table__192.168.1.150_M_CONSOLIDATED_Delinquency_Compulsory_EOM[[#This Row],[Days in Arrears]] &lt; 8, Table__192.168.1.150_M_CONSOLIDATED_Delinquency_Compulsory_EOM[[#This Row],[Outstanding Balance]], 0 )</f>
        <v>0</v>
      </c>
      <c r="V5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11692958.02</v>
      </c>
      <c r="X5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5" s="105" t="str">
        <f>VLOOKUP(Table__192.168.1.150_M_CONSOLIDATED_Delinquency_Compulsory_EOM[[#This Row],[Client No]],'Global Portfolio'!$B$2:$N$2500,10,FALSE)</f>
        <v>Retail</v>
      </c>
      <c r="AA565" s="105" t="str">
        <f>VLOOKUP(Table__192.168.1.150_M_CONSOLIDATED_Delinquency_Compulsory_EOM[[#This Row],[Client No]],'Global Portfolio'!$B$2:$N$2500,11,FALSE)</f>
        <v>General Merchandise Stores</v>
      </c>
      <c r="AB565" s="105" t="str">
        <f>VLOOKUP(Table__192.168.1.150_M_CONSOLIDATED_Delinquency_Compulsory_EOM[[#This Row],[Client No]],'Global Portfolio'!$B$2:$N$2500,12,FALSE)</f>
        <v>General Stores</v>
      </c>
    </row>
    <row r="566" spans="1:28" x14ac:dyDescent="0.25">
      <c r="A566">
        <v>103271</v>
      </c>
      <c r="B566" t="s">
        <v>5063</v>
      </c>
      <c r="C566" t="s">
        <v>5067</v>
      </c>
      <c r="D566" t="s">
        <v>1282</v>
      </c>
      <c r="E566">
        <v>-20</v>
      </c>
      <c r="F566">
        <v>10000000</v>
      </c>
      <c r="G566">
        <v>6655628.54</v>
      </c>
      <c r="H566">
        <v>1516096.53</v>
      </c>
      <c r="I566" t="s">
        <v>1667</v>
      </c>
      <c r="J566">
        <v>0</v>
      </c>
      <c r="K566">
        <v>1000000</v>
      </c>
      <c r="L566">
        <v>89850.99</v>
      </c>
      <c r="M566">
        <v>7580482.6799999997</v>
      </c>
      <c r="N566" s="143">
        <v>42937.581503587964</v>
      </c>
      <c r="O566" s="143">
        <v>43180</v>
      </c>
      <c r="P566" t="s">
        <v>5068</v>
      </c>
      <c r="Q566" t="s">
        <v>1280</v>
      </c>
      <c r="R566" t="s">
        <v>1280</v>
      </c>
      <c r="S566" t="s">
        <v>1510</v>
      </c>
      <c r="T566">
        <v>54</v>
      </c>
      <c r="U566">
        <f>IF(Table__192.168.1.150_M_CONSOLIDATED_Delinquency_Compulsory_EOM[[#This Row],[Days in Arrears]] &lt; 8, Table__192.168.1.150_M_CONSOLIDATED_Delinquency_Compulsory_EOM[[#This Row],[Outstanding Balance]], 0 )</f>
        <v>6655628.54</v>
      </c>
      <c r="V5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6" s="105" t="str">
        <f>VLOOKUP(Table__192.168.1.150_M_CONSOLIDATED_Delinquency_Compulsory_EOM[[#This Row],[Client No]],'Global Portfolio'!$B$2:$N$2500,10,FALSE)</f>
        <v>Wholesale Trade</v>
      </c>
      <c r="AA566" s="105" t="str">
        <f>VLOOKUP(Table__192.168.1.150_M_CONSOLIDATED_Delinquency_Compulsory_EOM[[#This Row],[Client No]],'Global Portfolio'!$B$2:$N$2500,11,FALSE)</f>
        <v>Others</v>
      </c>
      <c r="AB566" s="105" t="str">
        <f>VLOOKUP(Table__192.168.1.150_M_CONSOLIDATED_Delinquency_Compulsory_EOM[[#This Row],[Client No]],'Global Portfolio'!$B$2:$N$2500,12,FALSE)</f>
        <v>Others</v>
      </c>
    </row>
    <row r="567" spans="1:28" x14ac:dyDescent="0.25">
      <c r="A567">
        <v>103272</v>
      </c>
      <c r="B567" t="s">
        <v>5064</v>
      </c>
      <c r="C567" t="s">
        <v>5069</v>
      </c>
      <c r="D567" t="s">
        <v>1282</v>
      </c>
      <c r="E567">
        <v>-20</v>
      </c>
      <c r="F567">
        <v>8000000</v>
      </c>
      <c r="G567">
        <v>6377124.3899999997</v>
      </c>
      <c r="H567">
        <v>877329.51</v>
      </c>
      <c r="I567" t="s">
        <v>491</v>
      </c>
      <c r="J567">
        <v>216.68</v>
      </c>
      <c r="K567">
        <v>800000</v>
      </c>
      <c r="L567">
        <v>86091.18</v>
      </c>
      <c r="M567">
        <v>7895965.5899999999</v>
      </c>
      <c r="N567" s="143">
        <v>42937.69081940972</v>
      </c>
      <c r="O567" s="143">
        <v>43302</v>
      </c>
      <c r="P567" t="s">
        <v>5070</v>
      </c>
      <c r="Q567" t="s">
        <v>5071</v>
      </c>
      <c r="R567" t="s">
        <v>1280</v>
      </c>
      <c r="S567" t="s">
        <v>1510</v>
      </c>
      <c r="T567">
        <v>54</v>
      </c>
      <c r="U567">
        <f>IF(Table__192.168.1.150_M_CONSOLIDATED_Delinquency_Compulsory_EOM[[#This Row],[Days in Arrears]] &lt; 8, Table__192.168.1.150_M_CONSOLIDATED_Delinquency_Compulsory_EOM[[#This Row],[Outstanding Balance]], 0 )</f>
        <v>6377124.3899999997</v>
      </c>
      <c r="V5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7" s="105" t="str">
        <f>VLOOKUP(Table__192.168.1.150_M_CONSOLIDATED_Delinquency_Compulsory_EOM[[#This Row],[Client No]],'Global Portfolio'!$B$2:$N$2500,10,FALSE)</f>
        <v>Retail</v>
      </c>
      <c r="AA567" s="105" t="str">
        <f>VLOOKUP(Table__192.168.1.150_M_CONSOLIDATED_Delinquency_Compulsory_EOM[[#This Row],[Client No]],'Global Portfolio'!$B$2:$N$2500,11,FALSE)</f>
        <v>Others</v>
      </c>
      <c r="AB567" s="105" t="str">
        <f>VLOOKUP(Table__192.168.1.150_M_CONSOLIDATED_Delinquency_Compulsory_EOM[[#This Row],[Client No]],'Global Portfolio'!$B$2:$N$2500,12,FALSE)</f>
        <v>Others</v>
      </c>
    </row>
    <row r="568" spans="1:28" x14ac:dyDescent="0.25">
      <c r="A568">
        <v>103273</v>
      </c>
      <c r="B568" t="s">
        <v>562</v>
      </c>
      <c r="C568" t="s">
        <v>563</v>
      </c>
      <c r="D568" t="s">
        <v>1282</v>
      </c>
      <c r="E568">
        <v>-23</v>
      </c>
      <c r="F568">
        <v>13000000</v>
      </c>
      <c r="G568">
        <v>10299259.609999999</v>
      </c>
      <c r="H568">
        <v>1385178.24</v>
      </c>
      <c r="I568" t="s">
        <v>4684</v>
      </c>
      <c r="J568">
        <v>0</v>
      </c>
      <c r="K568">
        <v>1300000</v>
      </c>
      <c r="L568">
        <v>82394.080000000002</v>
      </c>
      <c r="M568">
        <v>12466604.23</v>
      </c>
      <c r="N568" s="143">
        <v>42940.558297488424</v>
      </c>
      <c r="O568" s="143">
        <v>43305</v>
      </c>
      <c r="P568" t="s">
        <v>564</v>
      </c>
      <c r="Q568" t="s">
        <v>565</v>
      </c>
      <c r="R568" t="s">
        <v>1280</v>
      </c>
      <c r="S568" t="s">
        <v>1510</v>
      </c>
      <c r="T568">
        <v>48</v>
      </c>
      <c r="U568">
        <f>IF(Table__192.168.1.150_M_CONSOLIDATED_Delinquency_Compulsory_EOM[[#This Row],[Days in Arrears]] &lt; 8, Table__192.168.1.150_M_CONSOLIDATED_Delinquency_Compulsory_EOM[[#This Row],[Outstanding Balance]], 0 )</f>
        <v>10299259.609999999</v>
      </c>
      <c r="V5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8" s="105" t="str">
        <f>VLOOKUP(Table__192.168.1.150_M_CONSOLIDATED_Delinquency_Compulsory_EOM[[#This Row],[Client No]],'Global Portfolio'!$B$2:$N$2500,10,FALSE)</f>
        <v>Retail</v>
      </c>
      <c r="AA568" s="105" t="str">
        <f>VLOOKUP(Table__192.168.1.150_M_CONSOLIDATED_Delinquency_Compulsory_EOM[[#This Row],[Client No]],'Global Portfolio'!$B$2:$N$2500,11,FALSE)</f>
        <v>General Merchandise Stores</v>
      </c>
      <c r="AB568" s="105" t="str">
        <f>VLOOKUP(Table__192.168.1.150_M_CONSOLIDATED_Delinquency_Compulsory_EOM[[#This Row],[Client No]],'Global Portfolio'!$B$2:$N$2500,12,FALSE)</f>
        <v>General Stores</v>
      </c>
    </row>
    <row r="569" spans="1:28" x14ac:dyDescent="0.25">
      <c r="A569">
        <v>103274</v>
      </c>
      <c r="B569" t="s">
        <v>5117</v>
      </c>
      <c r="C569" t="s">
        <v>5118</v>
      </c>
      <c r="D569" t="s">
        <v>1279</v>
      </c>
      <c r="E569">
        <v>30</v>
      </c>
      <c r="F569">
        <v>1000000</v>
      </c>
      <c r="G569">
        <v>854786.73</v>
      </c>
      <c r="H569">
        <v>194713.27</v>
      </c>
      <c r="I569" t="s">
        <v>1191</v>
      </c>
      <c r="J569">
        <v>0</v>
      </c>
      <c r="K569">
        <v>100000</v>
      </c>
      <c r="L569">
        <v>68851.839999999997</v>
      </c>
      <c r="M569">
        <v>973566.35</v>
      </c>
      <c r="N569" s="143">
        <v>42944.603416516205</v>
      </c>
      <c r="O569" s="143">
        <v>43132</v>
      </c>
      <c r="P569" t="s">
        <v>5119</v>
      </c>
      <c r="Q569" t="s">
        <v>1280</v>
      </c>
      <c r="R569" t="s">
        <v>1280</v>
      </c>
      <c r="S569" t="s">
        <v>1510</v>
      </c>
      <c r="T569">
        <v>54</v>
      </c>
      <c r="U569">
        <f>IF(Table__192.168.1.150_M_CONSOLIDATED_Delinquency_Compulsory_EOM[[#This Row],[Days in Arrears]] &lt; 8, Table__192.168.1.150_M_CONSOLIDATED_Delinquency_Compulsory_EOM[[#This Row],[Outstanding Balance]], 0 )</f>
        <v>0</v>
      </c>
      <c r="V5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854786.73</v>
      </c>
      <c r="X5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69" s="105" t="str">
        <f>VLOOKUP(Table__192.168.1.150_M_CONSOLIDATED_Delinquency_Compulsory_EOM[[#This Row],[Client No]],'Global Portfolio'!$B$2:$N$2500,10,FALSE)</f>
        <v>Retail</v>
      </c>
      <c r="AA569" s="105" t="str">
        <f>VLOOKUP(Table__192.168.1.150_M_CONSOLIDATED_Delinquency_Compulsory_EOM[[#This Row],[Client No]],'Global Portfolio'!$B$2:$N$2500,11,FALSE)</f>
        <v>General Merchandise Stores</v>
      </c>
      <c r="AB569" s="105" t="str">
        <f>VLOOKUP(Table__192.168.1.150_M_CONSOLIDATED_Delinquency_Compulsory_EOM[[#This Row],[Client No]],'Global Portfolio'!$B$2:$N$2500,12,FALSE)</f>
        <v>Others</v>
      </c>
    </row>
    <row r="570" spans="1:28" x14ac:dyDescent="0.25">
      <c r="A570">
        <v>103275</v>
      </c>
      <c r="B570" t="s">
        <v>2770</v>
      </c>
      <c r="C570" t="s">
        <v>2772</v>
      </c>
      <c r="D570" t="s">
        <v>1282</v>
      </c>
      <c r="E570">
        <v>0</v>
      </c>
      <c r="F570">
        <v>15000000</v>
      </c>
      <c r="G570">
        <v>13029983.02</v>
      </c>
      <c r="H570">
        <v>1606478.91</v>
      </c>
      <c r="I570" t="s">
        <v>1191</v>
      </c>
      <c r="J570">
        <v>511.68</v>
      </c>
      <c r="K570">
        <v>1500000</v>
      </c>
      <c r="L570">
        <v>503826.01</v>
      </c>
      <c r="M570">
        <v>16064789.119999999</v>
      </c>
      <c r="N570" s="143">
        <v>42943.421116435187</v>
      </c>
      <c r="O570" s="143">
        <v>43313</v>
      </c>
      <c r="P570" t="s">
        <v>2773</v>
      </c>
      <c r="Q570" t="s">
        <v>1280</v>
      </c>
      <c r="R570" t="s">
        <v>1280</v>
      </c>
      <c r="S570" t="s">
        <v>1510</v>
      </c>
      <c r="T570">
        <v>48</v>
      </c>
      <c r="U570">
        <f>IF(Table__192.168.1.150_M_CONSOLIDATED_Delinquency_Compulsory_EOM[[#This Row],[Days in Arrears]] &lt; 8, Table__192.168.1.150_M_CONSOLIDATED_Delinquency_Compulsory_EOM[[#This Row],[Outstanding Balance]], 0 )</f>
        <v>13029983.02</v>
      </c>
      <c r="V5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0" s="105" t="str">
        <f>VLOOKUP(Table__192.168.1.150_M_CONSOLIDATED_Delinquency_Compulsory_EOM[[#This Row],[Client No]],'Global Portfolio'!$B$2:$N$2500,10,FALSE)</f>
        <v>Wholesale Trade</v>
      </c>
      <c r="AA570" s="105" t="str">
        <f>VLOOKUP(Table__192.168.1.150_M_CONSOLIDATED_Delinquency_Compulsory_EOM[[#This Row],[Client No]],'Global Portfolio'!$B$2:$N$2500,11,FALSE)</f>
        <v>Durable Goods</v>
      </c>
      <c r="AB570" s="105" t="str">
        <f>VLOOKUP(Table__192.168.1.150_M_CONSOLIDATED_Delinquency_Compulsory_EOM[[#This Row],[Client No]],'Global Portfolio'!$B$2:$N$2500,12,FALSE)</f>
        <v>Others</v>
      </c>
    </row>
    <row r="571" spans="1:28" x14ac:dyDescent="0.25">
      <c r="A571">
        <v>103276</v>
      </c>
      <c r="B571" t="s">
        <v>5110</v>
      </c>
      <c r="C571" t="s">
        <v>5111</v>
      </c>
      <c r="D571" t="s">
        <v>1866</v>
      </c>
      <c r="E571">
        <v>0</v>
      </c>
      <c r="F571">
        <v>6000000</v>
      </c>
      <c r="G571">
        <v>5014145.8899999997</v>
      </c>
      <c r="H571">
        <v>749874.12</v>
      </c>
      <c r="I571" t="s">
        <v>5124</v>
      </c>
      <c r="J571">
        <v>60925.88</v>
      </c>
      <c r="K571">
        <v>600000</v>
      </c>
      <c r="L571">
        <v>201958.65</v>
      </c>
      <c r="M571">
        <v>5998993.0099999998</v>
      </c>
      <c r="N571" s="143">
        <v>42943.604014502314</v>
      </c>
      <c r="O571" s="143">
        <v>43252</v>
      </c>
      <c r="P571" t="s">
        <v>5112</v>
      </c>
      <c r="Q571" t="s">
        <v>1280</v>
      </c>
      <c r="R571" t="s">
        <v>1280</v>
      </c>
      <c r="S571" t="s">
        <v>1510</v>
      </c>
      <c r="T571">
        <v>50</v>
      </c>
      <c r="U571">
        <f>IF(Table__192.168.1.150_M_CONSOLIDATED_Delinquency_Compulsory_EOM[[#This Row],[Days in Arrears]] &lt; 8, Table__192.168.1.150_M_CONSOLIDATED_Delinquency_Compulsory_EOM[[#This Row],[Outstanding Balance]], 0 )</f>
        <v>5014145.8899999997</v>
      </c>
      <c r="V5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1" s="105" t="str">
        <f>VLOOKUP(Table__192.168.1.150_M_CONSOLIDATED_Delinquency_Compulsory_EOM[[#This Row],[Client No]],'Global Portfolio'!$B$2:$N$2500,10,FALSE)</f>
        <v>Retail</v>
      </c>
      <c r="AA571" s="105" t="str">
        <f>VLOOKUP(Table__192.168.1.150_M_CONSOLIDATED_Delinquency_Compulsory_EOM[[#This Row],[Client No]],'Global Portfolio'!$B$2:$N$2500,11,FALSE)</f>
        <v>General Merchandise Stores</v>
      </c>
      <c r="AB571" s="105" t="str">
        <f>VLOOKUP(Table__192.168.1.150_M_CONSOLIDATED_Delinquency_Compulsory_EOM[[#This Row],[Client No]],'Global Portfolio'!$B$2:$N$2500,12,FALSE)</f>
        <v>General Stores</v>
      </c>
    </row>
    <row r="572" spans="1:28" x14ac:dyDescent="0.25">
      <c r="A572">
        <v>103277</v>
      </c>
      <c r="B572" t="s">
        <v>1541</v>
      </c>
      <c r="C572" t="s">
        <v>1551</v>
      </c>
      <c r="D572" t="s">
        <v>1281</v>
      </c>
      <c r="E572">
        <v>30</v>
      </c>
      <c r="F572">
        <v>25000000</v>
      </c>
      <c r="G572">
        <v>23314151.719999999</v>
      </c>
      <c r="H572">
        <v>2590014.9500000002</v>
      </c>
      <c r="I572" t="s">
        <v>5167</v>
      </c>
      <c r="J572">
        <v>0</v>
      </c>
      <c r="K572">
        <v>0</v>
      </c>
      <c r="L572">
        <v>1544769.78</v>
      </c>
      <c r="M572">
        <v>28490164.390000001</v>
      </c>
      <c r="N572" s="143">
        <v>42947.694353125</v>
      </c>
      <c r="O572" s="143">
        <v>43313</v>
      </c>
      <c r="P572" t="s">
        <v>1552</v>
      </c>
      <c r="Q572" t="s">
        <v>1280</v>
      </c>
      <c r="R572" t="s">
        <v>1280</v>
      </c>
      <c r="S572" t="s">
        <v>1510</v>
      </c>
      <c r="T572">
        <v>42</v>
      </c>
      <c r="U572">
        <f>IF(Table__192.168.1.150_M_CONSOLIDATED_Delinquency_Compulsory_EOM[[#This Row],[Days in Arrears]] &lt; 8, Table__192.168.1.150_M_CONSOLIDATED_Delinquency_Compulsory_EOM[[#This Row],[Outstanding Balance]], 0 )</f>
        <v>0</v>
      </c>
      <c r="V5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23314151.719999999</v>
      </c>
      <c r="X5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2" s="105" t="str">
        <f>VLOOKUP(Table__192.168.1.150_M_CONSOLIDATED_Delinquency_Compulsory_EOM[[#This Row],[Client No]],'Global Portfolio'!$B$2:$N$2500,10,FALSE)</f>
        <v>Real Estate and Rental</v>
      </c>
      <c r="AA572" s="105" t="str">
        <f>VLOOKUP(Table__192.168.1.150_M_CONSOLIDATED_Delinquency_Compulsory_EOM[[#This Row],[Client No]],'Global Portfolio'!$B$2:$N$2500,11,FALSE)</f>
        <v>Real Estate</v>
      </c>
      <c r="AB572" s="105" t="str">
        <f>VLOOKUP(Table__192.168.1.150_M_CONSOLIDATED_Delinquency_Compulsory_EOM[[#This Row],[Client No]],'Global Portfolio'!$B$2:$N$2500,12,FALSE)</f>
        <v>Real Estate</v>
      </c>
    </row>
    <row r="573" spans="1:28" x14ac:dyDescent="0.25">
      <c r="A573">
        <v>103278</v>
      </c>
      <c r="B573" t="s">
        <v>5123</v>
      </c>
      <c r="C573" t="s">
        <v>5128</v>
      </c>
      <c r="D573" t="s">
        <v>1279</v>
      </c>
      <c r="E573">
        <v>0</v>
      </c>
      <c r="F573">
        <v>1500000</v>
      </c>
      <c r="G573">
        <v>1174658.5900000001</v>
      </c>
      <c r="H573">
        <v>227740.91</v>
      </c>
      <c r="I573" t="s">
        <v>5124</v>
      </c>
      <c r="J573">
        <v>216950.04</v>
      </c>
      <c r="K573">
        <v>150000</v>
      </c>
      <c r="L573">
        <v>51097.65</v>
      </c>
      <c r="M573">
        <v>1366445.5</v>
      </c>
      <c r="N573" s="143">
        <v>42947.548754085648</v>
      </c>
      <c r="O573" s="143">
        <v>43191</v>
      </c>
      <c r="P573" t="s">
        <v>5129</v>
      </c>
      <c r="Q573" t="s">
        <v>1280</v>
      </c>
      <c r="R573" t="s">
        <v>1280</v>
      </c>
      <c r="S573" t="s">
        <v>1510</v>
      </c>
      <c r="T573">
        <v>54</v>
      </c>
      <c r="U573">
        <f>IF(Table__192.168.1.150_M_CONSOLIDATED_Delinquency_Compulsory_EOM[[#This Row],[Days in Arrears]] &lt; 8, Table__192.168.1.150_M_CONSOLIDATED_Delinquency_Compulsory_EOM[[#This Row],[Outstanding Balance]], 0 )</f>
        <v>1174658.5900000001</v>
      </c>
      <c r="V5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3" s="105" t="str">
        <f>VLOOKUP(Table__192.168.1.150_M_CONSOLIDATED_Delinquency_Compulsory_EOM[[#This Row],[Client No]],'Global Portfolio'!$B$2:$N$2500,10,FALSE)</f>
        <v>Retail</v>
      </c>
      <c r="AA573" s="105" t="str">
        <f>VLOOKUP(Table__192.168.1.150_M_CONSOLIDATED_Delinquency_Compulsory_EOM[[#This Row],[Client No]],'Global Portfolio'!$B$2:$N$2500,11,FALSE)</f>
        <v>General Merchandise Stores</v>
      </c>
      <c r="AB573" s="105" t="str">
        <f>VLOOKUP(Table__192.168.1.150_M_CONSOLIDATED_Delinquency_Compulsory_EOM[[#This Row],[Client No]],'Global Portfolio'!$B$2:$N$2500,12,FALSE)</f>
        <v>General Stores</v>
      </c>
    </row>
    <row r="574" spans="1:28" x14ac:dyDescent="0.25">
      <c r="A574">
        <v>103279</v>
      </c>
      <c r="B574" t="s">
        <v>5122</v>
      </c>
      <c r="C574" t="s">
        <v>5130</v>
      </c>
      <c r="D574" t="s">
        <v>1282</v>
      </c>
      <c r="E574">
        <v>0</v>
      </c>
      <c r="F574">
        <v>5000000</v>
      </c>
      <c r="G574">
        <v>4345016.1500000004</v>
      </c>
      <c r="H574">
        <v>549118.02</v>
      </c>
      <c r="I574" t="s">
        <v>4683</v>
      </c>
      <c r="J574">
        <v>136518.37</v>
      </c>
      <c r="K574">
        <v>500000</v>
      </c>
      <c r="L574">
        <v>189008.2</v>
      </c>
      <c r="M574">
        <v>5491180.21</v>
      </c>
      <c r="N574" s="143">
        <v>42947.689028935187</v>
      </c>
      <c r="O574" s="143">
        <v>43313</v>
      </c>
      <c r="P574" t="s">
        <v>5131</v>
      </c>
      <c r="Q574" t="s">
        <v>1280</v>
      </c>
      <c r="R574" t="s">
        <v>1280</v>
      </c>
      <c r="S574" t="s">
        <v>1510</v>
      </c>
      <c r="T574">
        <v>54</v>
      </c>
      <c r="U574">
        <f>IF(Table__192.168.1.150_M_CONSOLIDATED_Delinquency_Compulsory_EOM[[#This Row],[Days in Arrears]] &lt; 8, Table__192.168.1.150_M_CONSOLIDATED_Delinquency_Compulsory_EOM[[#This Row],[Outstanding Balance]], 0 )</f>
        <v>4345016.1500000004</v>
      </c>
      <c r="V5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4" s="105" t="str">
        <f>VLOOKUP(Table__192.168.1.150_M_CONSOLIDATED_Delinquency_Compulsory_EOM[[#This Row],[Client No]],'Global Portfolio'!$B$2:$N$2500,10,FALSE)</f>
        <v>Agriculture, Forestry, Fishing and Hunting</v>
      </c>
      <c r="AA574" s="105" t="str">
        <f>VLOOKUP(Table__192.168.1.150_M_CONSOLIDATED_Delinquency_Compulsory_EOM[[#This Row],[Client No]],'Global Portfolio'!$B$2:$N$2500,11,FALSE)</f>
        <v>Forestry</v>
      </c>
      <c r="AB574" s="105" t="str">
        <f>VLOOKUP(Table__192.168.1.150_M_CONSOLIDATED_Delinquency_Compulsory_EOM[[#This Row],[Client No]],'Global Portfolio'!$B$2:$N$2500,12,FALSE)</f>
        <v>Timber Tract Operations</v>
      </c>
    </row>
    <row r="575" spans="1:28" x14ac:dyDescent="0.25">
      <c r="A575">
        <v>103280</v>
      </c>
      <c r="B575" t="s">
        <v>5125</v>
      </c>
      <c r="C575" t="s">
        <v>5132</v>
      </c>
      <c r="D575" t="s">
        <v>1281</v>
      </c>
      <c r="E575">
        <v>30</v>
      </c>
      <c r="F575">
        <v>30000000</v>
      </c>
      <c r="G575">
        <v>25509805.93</v>
      </c>
      <c r="H575">
        <v>5730194.0700000003</v>
      </c>
      <c r="I575" t="s">
        <v>2175</v>
      </c>
      <c r="J575">
        <v>0</v>
      </c>
      <c r="K575">
        <v>1500000</v>
      </c>
      <c r="L575">
        <v>1824659.07</v>
      </c>
      <c r="M575">
        <v>28650970.359999999</v>
      </c>
      <c r="N575" s="143">
        <v>42947.675540972225</v>
      </c>
      <c r="O575" s="143">
        <v>43132</v>
      </c>
      <c r="P575" t="s">
        <v>5133</v>
      </c>
      <c r="Q575" t="s">
        <v>5134</v>
      </c>
      <c r="R575" t="s">
        <v>1280</v>
      </c>
      <c r="S575" t="s">
        <v>1510</v>
      </c>
      <c r="T575">
        <v>48</v>
      </c>
      <c r="U575">
        <f>IF(Table__192.168.1.150_M_CONSOLIDATED_Delinquency_Compulsory_EOM[[#This Row],[Days in Arrears]] &lt; 8, Table__192.168.1.150_M_CONSOLIDATED_Delinquency_Compulsory_EOM[[#This Row],[Outstanding Balance]], 0 )</f>
        <v>0</v>
      </c>
      <c r="V5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25509805.93</v>
      </c>
      <c r="X5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5" s="105" t="str">
        <f>VLOOKUP(Table__192.168.1.150_M_CONSOLIDATED_Delinquency_Compulsory_EOM[[#This Row],[Client No]],'Global Portfolio'!$B$2:$N$2500,10,FALSE)</f>
        <v>Retail</v>
      </c>
      <c r="AA575" s="105" t="str">
        <f>VLOOKUP(Table__192.168.1.150_M_CONSOLIDATED_Delinquency_Compulsory_EOM[[#This Row],[Client No]],'Global Portfolio'!$B$2:$N$2500,11,FALSE)</f>
        <v>General Merchandise Stores</v>
      </c>
      <c r="AB575" s="105" t="str">
        <f>VLOOKUP(Table__192.168.1.150_M_CONSOLIDATED_Delinquency_Compulsory_EOM[[#This Row],[Client No]],'Global Portfolio'!$B$2:$N$2500,12,FALSE)</f>
        <v>General Stores</v>
      </c>
    </row>
    <row r="576" spans="1:28" x14ac:dyDescent="0.25">
      <c r="A576">
        <v>103281</v>
      </c>
      <c r="B576" t="s">
        <v>5142</v>
      </c>
      <c r="C576" t="s">
        <v>5144</v>
      </c>
      <c r="D576" t="s">
        <v>1282</v>
      </c>
      <c r="E576">
        <v>-2</v>
      </c>
      <c r="F576">
        <v>5000000</v>
      </c>
      <c r="G576">
        <v>4167901.55</v>
      </c>
      <c r="H576">
        <v>631894.11</v>
      </c>
      <c r="I576" t="s">
        <v>2175</v>
      </c>
      <c r="J576">
        <v>570052.31000000006</v>
      </c>
      <c r="K576">
        <v>500000</v>
      </c>
      <c r="L576">
        <v>168800.01</v>
      </c>
      <c r="M576">
        <v>5055152.8899999997</v>
      </c>
      <c r="N576" s="143">
        <v>42950.703443483799</v>
      </c>
      <c r="O576" s="143">
        <v>43254</v>
      </c>
      <c r="P576" t="s">
        <v>5145</v>
      </c>
      <c r="Q576" t="s">
        <v>1280</v>
      </c>
      <c r="R576" t="s">
        <v>1280</v>
      </c>
      <c r="S576" t="s">
        <v>1510</v>
      </c>
      <c r="T576">
        <v>54</v>
      </c>
      <c r="U576">
        <f>IF(Table__192.168.1.150_M_CONSOLIDATED_Delinquency_Compulsory_EOM[[#This Row],[Days in Arrears]] &lt; 8, Table__192.168.1.150_M_CONSOLIDATED_Delinquency_Compulsory_EOM[[#This Row],[Outstanding Balance]], 0 )</f>
        <v>4167901.55</v>
      </c>
      <c r="V5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6" s="105" t="str">
        <f>VLOOKUP(Table__192.168.1.150_M_CONSOLIDATED_Delinquency_Compulsory_EOM[[#This Row],[Client No]],'Global Portfolio'!$B$2:$N$2500,10,FALSE)</f>
        <v>Wholesale Trade</v>
      </c>
      <c r="AA576" s="105" t="str">
        <f>VLOOKUP(Table__192.168.1.150_M_CONSOLIDATED_Delinquency_Compulsory_EOM[[#This Row],[Client No]],'Global Portfolio'!$B$2:$N$2500,11,FALSE)</f>
        <v>Nondurable Goods</v>
      </c>
      <c r="AB576" s="105" t="str">
        <f>VLOOKUP(Table__192.168.1.150_M_CONSOLIDATED_Delinquency_Compulsory_EOM[[#This Row],[Client No]],'Global Portfolio'!$B$2:$N$2500,12,FALSE)</f>
        <v>Grocery</v>
      </c>
    </row>
    <row r="577" spans="1:28" x14ac:dyDescent="0.25">
      <c r="A577">
        <v>103282</v>
      </c>
      <c r="B577" t="s">
        <v>2789</v>
      </c>
      <c r="C577" t="s">
        <v>2793</v>
      </c>
      <c r="D577" t="s">
        <v>1279</v>
      </c>
      <c r="E577">
        <v>-3</v>
      </c>
      <c r="F577">
        <v>3000000</v>
      </c>
      <c r="G577">
        <v>2077337.15</v>
      </c>
      <c r="H577">
        <v>572285.71</v>
      </c>
      <c r="I577" t="s">
        <v>2538</v>
      </c>
      <c r="J577">
        <v>65617.289999999994</v>
      </c>
      <c r="K577">
        <v>300000</v>
      </c>
      <c r="L577">
        <v>72014.350000000006</v>
      </c>
      <c r="M577">
        <v>2289142.83</v>
      </c>
      <c r="N577" s="143">
        <v>42951.56538148148</v>
      </c>
      <c r="O577" s="143">
        <v>43135</v>
      </c>
      <c r="P577" t="s">
        <v>2794</v>
      </c>
      <c r="Q577" t="s">
        <v>1280</v>
      </c>
      <c r="R577" t="s">
        <v>1280</v>
      </c>
      <c r="S577" t="s">
        <v>1510</v>
      </c>
      <c r="T577">
        <v>48</v>
      </c>
      <c r="U577">
        <f>IF(Table__192.168.1.150_M_CONSOLIDATED_Delinquency_Compulsory_EOM[[#This Row],[Days in Arrears]] &lt; 8, Table__192.168.1.150_M_CONSOLIDATED_Delinquency_Compulsory_EOM[[#This Row],[Outstanding Balance]], 0 )</f>
        <v>2077337.15</v>
      </c>
      <c r="V5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7" s="105" t="str">
        <f>VLOOKUP(Table__192.168.1.150_M_CONSOLIDATED_Delinquency_Compulsory_EOM[[#This Row],[Client No]],'Global Portfolio'!$B$2:$N$2500,10,FALSE)</f>
        <v>Retail</v>
      </c>
      <c r="AA577" s="105" t="str">
        <f>VLOOKUP(Table__192.168.1.150_M_CONSOLIDATED_Delinquency_Compulsory_EOM[[#This Row],[Client No]],'Global Portfolio'!$B$2:$N$2500,11,FALSE)</f>
        <v>General Merchandise Stores</v>
      </c>
      <c r="AB577" s="105" t="str">
        <f>VLOOKUP(Table__192.168.1.150_M_CONSOLIDATED_Delinquency_Compulsory_EOM[[#This Row],[Client No]],'Global Portfolio'!$B$2:$N$2500,12,FALSE)</f>
        <v>General Stores</v>
      </c>
    </row>
    <row r="578" spans="1:28" x14ac:dyDescent="0.25">
      <c r="A578">
        <v>103283</v>
      </c>
      <c r="B578" t="s">
        <v>5141</v>
      </c>
      <c r="C578" t="s">
        <v>5146</v>
      </c>
      <c r="D578" t="s">
        <v>1282</v>
      </c>
      <c r="E578">
        <v>-2</v>
      </c>
      <c r="F578">
        <v>3500000</v>
      </c>
      <c r="G578">
        <v>3037151.76</v>
      </c>
      <c r="H578">
        <v>383831.66</v>
      </c>
      <c r="I578" t="s">
        <v>1039</v>
      </c>
      <c r="J578">
        <v>7917.52</v>
      </c>
      <c r="K578">
        <v>350000</v>
      </c>
      <c r="L578">
        <v>123004.65</v>
      </c>
      <c r="M578">
        <v>3838316.61</v>
      </c>
      <c r="N578" s="143">
        <v>42950.647246643515</v>
      </c>
      <c r="O578" s="143">
        <v>43315</v>
      </c>
      <c r="P578" t="s">
        <v>5147</v>
      </c>
      <c r="Q578" t="s">
        <v>1280</v>
      </c>
      <c r="R578" t="s">
        <v>1280</v>
      </c>
      <c r="S578" t="s">
        <v>1510</v>
      </c>
      <c r="T578">
        <v>54</v>
      </c>
      <c r="U578">
        <f>IF(Table__192.168.1.150_M_CONSOLIDATED_Delinquency_Compulsory_EOM[[#This Row],[Days in Arrears]] &lt; 8, Table__192.168.1.150_M_CONSOLIDATED_Delinquency_Compulsory_EOM[[#This Row],[Outstanding Balance]], 0 )</f>
        <v>3037151.76</v>
      </c>
      <c r="V5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8" s="105" t="str">
        <f>VLOOKUP(Table__192.168.1.150_M_CONSOLIDATED_Delinquency_Compulsory_EOM[[#This Row],[Client No]],'Global Portfolio'!$B$2:$N$2500,10,FALSE)</f>
        <v>Retail</v>
      </c>
      <c r="AA578" s="105" t="str">
        <f>VLOOKUP(Table__192.168.1.150_M_CONSOLIDATED_Delinquency_Compulsory_EOM[[#This Row],[Client No]],'Global Portfolio'!$B$2:$N$2500,11,FALSE)</f>
        <v>General Merchandise Stores</v>
      </c>
      <c r="AB578" s="105" t="str">
        <f>VLOOKUP(Table__192.168.1.150_M_CONSOLIDATED_Delinquency_Compulsory_EOM[[#This Row],[Client No]],'Global Portfolio'!$B$2:$N$2500,12,FALSE)</f>
        <v>General Stores</v>
      </c>
    </row>
    <row r="579" spans="1:28" x14ac:dyDescent="0.25">
      <c r="A579">
        <v>103284</v>
      </c>
      <c r="B579" t="s">
        <v>5151</v>
      </c>
      <c r="C579" t="s">
        <v>5153</v>
      </c>
      <c r="D579" t="s">
        <v>1286</v>
      </c>
      <c r="E579">
        <v>-20</v>
      </c>
      <c r="F579">
        <v>2300000</v>
      </c>
      <c r="G579">
        <v>1172652.92</v>
      </c>
      <c r="H579">
        <v>407283.08</v>
      </c>
      <c r="I579" t="s">
        <v>284</v>
      </c>
      <c r="J579">
        <v>32198.39</v>
      </c>
      <c r="K579">
        <v>0</v>
      </c>
      <c r="L579">
        <v>7329.08</v>
      </c>
      <c r="M579">
        <v>1221849.26</v>
      </c>
      <c r="N579" s="143">
        <v>42954.633464432867</v>
      </c>
      <c r="O579" s="143">
        <v>43121</v>
      </c>
      <c r="P579" t="s">
        <v>5154</v>
      </c>
      <c r="Q579" t="s">
        <v>1280</v>
      </c>
      <c r="R579" t="s">
        <v>1280</v>
      </c>
      <c r="S579" t="s">
        <v>1510</v>
      </c>
      <c r="T579">
        <v>25</v>
      </c>
      <c r="U579">
        <f>IF(Table__192.168.1.150_M_CONSOLIDATED_Delinquency_Compulsory_EOM[[#This Row],[Days in Arrears]] &lt; 8, Table__192.168.1.150_M_CONSOLIDATED_Delinquency_Compulsory_EOM[[#This Row],[Outstanding Balance]], 0 )</f>
        <v>1172652.92</v>
      </c>
      <c r="V5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79" s="105" t="str">
        <f>VLOOKUP(Table__192.168.1.150_M_CONSOLIDATED_Delinquency_Compulsory_EOM[[#This Row],[Client No]],'Global Portfolio'!$B$2:$N$2500,10,FALSE)</f>
        <v>Other Services</v>
      </c>
      <c r="AA579" s="105" t="str">
        <f>VLOOKUP(Table__192.168.1.150_M_CONSOLIDATED_Delinquency_Compulsory_EOM[[#This Row],[Client No]],'Global Portfolio'!$B$2:$N$2500,11,FALSE)</f>
        <v>Others</v>
      </c>
      <c r="AB579" s="105" t="str">
        <f>VLOOKUP(Table__192.168.1.150_M_CONSOLIDATED_Delinquency_Compulsory_EOM[[#This Row],[Client No]],'Global Portfolio'!$B$2:$N$2500,12,FALSE)</f>
        <v>Others</v>
      </c>
    </row>
    <row r="580" spans="1:28" x14ac:dyDescent="0.25">
      <c r="A580">
        <v>103286</v>
      </c>
      <c r="B580" t="s">
        <v>5161</v>
      </c>
      <c r="C580" t="s">
        <v>5162</v>
      </c>
      <c r="D580" t="s">
        <v>1279</v>
      </c>
      <c r="E580">
        <v>-7</v>
      </c>
      <c r="F580">
        <v>3500000</v>
      </c>
      <c r="G580">
        <v>2434402.9300000002</v>
      </c>
      <c r="H580">
        <v>678574.36</v>
      </c>
      <c r="I580" t="s">
        <v>5124</v>
      </c>
      <c r="J580">
        <v>0</v>
      </c>
      <c r="K580">
        <v>350000</v>
      </c>
      <c r="L580">
        <v>80335.3</v>
      </c>
      <c r="M580">
        <v>2714297.4</v>
      </c>
      <c r="N580" s="143">
        <v>42955.56868434028</v>
      </c>
      <c r="O580" s="143">
        <v>43139</v>
      </c>
      <c r="P580" t="s">
        <v>5163</v>
      </c>
      <c r="Q580" t="s">
        <v>1280</v>
      </c>
      <c r="R580" t="s">
        <v>1280</v>
      </c>
      <c r="S580" t="s">
        <v>1510</v>
      </c>
      <c r="T580">
        <v>54</v>
      </c>
      <c r="U580">
        <f>IF(Table__192.168.1.150_M_CONSOLIDATED_Delinquency_Compulsory_EOM[[#This Row],[Days in Arrears]] &lt; 8, Table__192.168.1.150_M_CONSOLIDATED_Delinquency_Compulsory_EOM[[#This Row],[Outstanding Balance]], 0 )</f>
        <v>2434402.9300000002</v>
      </c>
      <c r="V5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0" s="105" t="str">
        <f>VLOOKUP(Table__192.168.1.150_M_CONSOLIDATED_Delinquency_Compulsory_EOM[[#This Row],[Client No]],'Global Portfolio'!$B$2:$N$2500,10,FALSE)</f>
        <v>Retail</v>
      </c>
      <c r="AA580" s="105" t="str">
        <f>VLOOKUP(Table__192.168.1.150_M_CONSOLIDATED_Delinquency_Compulsory_EOM[[#This Row],[Client No]],'Global Portfolio'!$B$2:$N$2500,11,FALSE)</f>
        <v>Building Material and Garden Equipment</v>
      </c>
      <c r="AB580" s="105" t="str">
        <f>VLOOKUP(Table__192.168.1.150_M_CONSOLIDATED_Delinquency_Compulsory_EOM[[#This Row],[Client No]],'Global Portfolio'!$B$2:$N$2500,12,FALSE)</f>
        <v>Hardware Stores</v>
      </c>
    </row>
    <row r="581" spans="1:28" x14ac:dyDescent="0.25">
      <c r="A581">
        <v>103287</v>
      </c>
      <c r="B581" t="s">
        <v>5164</v>
      </c>
      <c r="C581" t="s">
        <v>5168</v>
      </c>
      <c r="D581" t="s">
        <v>1282</v>
      </c>
      <c r="E581">
        <v>-8</v>
      </c>
      <c r="F581">
        <v>3000000</v>
      </c>
      <c r="G581">
        <v>2345949.7799999998</v>
      </c>
      <c r="H581">
        <v>454828.96</v>
      </c>
      <c r="I581" t="s">
        <v>1925</v>
      </c>
      <c r="J581">
        <v>3342.08</v>
      </c>
      <c r="K581">
        <v>300000</v>
      </c>
      <c r="L581">
        <v>73897.42</v>
      </c>
      <c r="M581">
        <v>2728973.78</v>
      </c>
      <c r="N581" s="143">
        <v>42956.540528437501</v>
      </c>
      <c r="O581" s="143">
        <v>43199</v>
      </c>
      <c r="P581" t="s">
        <v>5169</v>
      </c>
      <c r="Q581" t="s">
        <v>5170</v>
      </c>
      <c r="R581" t="s">
        <v>1280</v>
      </c>
      <c r="S581" t="s">
        <v>1510</v>
      </c>
      <c r="T581">
        <v>54</v>
      </c>
      <c r="U581">
        <f>IF(Table__192.168.1.150_M_CONSOLIDATED_Delinquency_Compulsory_EOM[[#This Row],[Days in Arrears]] &lt; 8, Table__192.168.1.150_M_CONSOLIDATED_Delinquency_Compulsory_EOM[[#This Row],[Outstanding Balance]], 0 )</f>
        <v>2345949.7799999998</v>
      </c>
      <c r="V5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1" s="105" t="str">
        <f>VLOOKUP(Table__192.168.1.150_M_CONSOLIDATED_Delinquency_Compulsory_EOM[[#This Row],[Client No]],'Global Portfolio'!$B$2:$N$2500,10,FALSE)</f>
        <v>Retail</v>
      </c>
      <c r="AA581" s="105" t="str">
        <f>VLOOKUP(Table__192.168.1.150_M_CONSOLIDATED_Delinquency_Compulsory_EOM[[#This Row],[Client No]],'Global Portfolio'!$B$2:$N$2500,11,FALSE)</f>
        <v>General Merchandise Stores</v>
      </c>
      <c r="AB581" s="105" t="str">
        <f>VLOOKUP(Table__192.168.1.150_M_CONSOLIDATED_Delinquency_Compulsory_EOM[[#This Row],[Client No]],'Global Portfolio'!$B$2:$N$2500,12,FALSE)</f>
        <v>General Stores</v>
      </c>
    </row>
    <row r="582" spans="1:28" x14ac:dyDescent="0.25">
      <c r="A582">
        <v>103288</v>
      </c>
      <c r="B582" t="s">
        <v>1565</v>
      </c>
      <c r="C582" t="s">
        <v>1594</v>
      </c>
      <c r="D582" t="s">
        <v>1867</v>
      </c>
      <c r="E582">
        <v>-8</v>
      </c>
      <c r="F582">
        <v>15000000</v>
      </c>
      <c r="G582">
        <v>12055985.689999999</v>
      </c>
      <c r="H582">
        <v>1971690.08</v>
      </c>
      <c r="I582" t="s">
        <v>963</v>
      </c>
      <c r="J582">
        <v>33086.71</v>
      </c>
      <c r="K582">
        <v>0</v>
      </c>
      <c r="L582">
        <v>769737.5</v>
      </c>
      <c r="M582">
        <v>13801830.529999999</v>
      </c>
      <c r="N582" s="143">
        <v>42956.716109641202</v>
      </c>
      <c r="O582" s="143">
        <v>43229</v>
      </c>
      <c r="P582" t="s">
        <v>1595</v>
      </c>
      <c r="Q582" t="s">
        <v>1596</v>
      </c>
      <c r="R582" t="s">
        <v>1280</v>
      </c>
      <c r="S582" t="s">
        <v>1510</v>
      </c>
      <c r="T582">
        <v>42</v>
      </c>
      <c r="U582">
        <f>IF(Table__192.168.1.150_M_CONSOLIDATED_Delinquency_Compulsory_EOM[[#This Row],[Days in Arrears]] &lt; 8, Table__192.168.1.150_M_CONSOLIDATED_Delinquency_Compulsory_EOM[[#This Row],[Outstanding Balance]], 0 )</f>
        <v>12055985.689999999</v>
      </c>
      <c r="V5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2" s="105" t="str">
        <f>VLOOKUP(Table__192.168.1.150_M_CONSOLIDATED_Delinquency_Compulsory_EOM[[#This Row],[Client No]],'Global Portfolio'!$B$2:$N$2500,10,FALSE)</f>
        <v>Educational Services</v>
      </c>
      <c r="AA582" s="105" t="str">
        <f>VLOOKUP(Table__192.168.1.150_M_CONSOLIDATED_Delinquency_Compulsory_EOM[[#This Row],[Client No]],'Global Portfolio'!$B$2:$N$2500,11,FALSE)</f>
        <v>Educational Services</v>
      </c>
      <c r="AB582" s="105" t="str">
        <f>VLOOKUP(Table__192.168.1.150_M_CONSOLIDATED_Delinquency_Compulsory_EOM[[#This Row],[Client No]],'Global Portfolio'!$B$2:$N$2500,12,FALSE)</f>
        <v>Schools</v>
      </c>
    </row>
    <row r="583" spans="1:28" x14ac:dyDescent="0.25">
      <c r="A583">
        <v>103289</v>
      </c>
      <c r="B583" t="s">
        <v>547</v>
      </c>
      <c r="C583" t="s">
        <v>548</v>
      </c>
      <c r="D583" t="s">
        <v>1281</v>
      </c>
      <c r="E583">
        <v>-13</v>
      </c>
      <c r="F583">
        <v>30000000</v>
      </c>
      <c r="G583">
        <v>27689256.879999999</v>
      </c>
      <c r="H583">
        <v>2274505.2200000002</v>
      </c>
      <c r="I583" t="s">
        <v>1448</v>
      </c>
      <c r="J583">
        <v>361700.9</v>
      </c>
      <c r="K583">
        <v>0</v>
      </c>
      <c r="L583">
        <v>516866.13</v>
      </c>
      <c r="M583">
        <v>36706151.859999999</v>
      </c>
      <c r="N583" s="143">
        <v>42956.687870405091</v>
      </c>
      <c r="O583" s="143">
        <v>43510</v>
      </c>
      <c r="P583" t="s">
        <v>549</v>
      </c>
      <c r="Q583" t="s">
        <v>550</v>
      </c>
      <c r="R583" t="s">
        <v>1280</v>
      </c>
      <c r="S583" t="s">
        <v>1510</v>
      </c>
      <c r="T583">
        <v>42</v>
      </c>
      <c r="U583">
        <f>IF(Table__192.168.1.150_M_CONSOLIDATED_Delinquency_Compulsory_EOM[[#This Row],[Days in Arrears]] &lt; 8, Table__192.168.1.150_M_CONSOLIDATED_Delinquency_Compulsory_EOM[[#This Row],[Outstanding Balance]], 0 )</f>
        <v>27689256.879999999</v>
      </c>
      <c r="V5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3" s="105" t="str">
        <f>VLOOKUP(Table__192.168.1.150_M_CONSOLIDATED_Delinquency_Compulsory_EOM[[#This Row],[Client No]],'Global Portfolio'!$B$2:$N$2500,10,FALSE)</f>
        <v>Retail</v>
      </c>
      <c r="AA583" s="105" t="str">
        <f>VLOOKUP(Table__192.168.1.150_M_CONSOLIDATED_Delinquency_Compulsory_EOM[[#This Row],[Client No]],'Global Portfolio'!$B$2:$N$2500,11,FALSE)</f>
        <v>General Merchandise Stores</v>
      </c>
      <c r="AB583" s="105" t="str">
        <f>VLOOKUP(Table__192.168.1.150_M_CONSOLIDATED_Delinquency_Compulsory_EOM[[#This Row],[Client No]],'Global Portfolio'!$B$2:$N$2500,12,FALSE)</f>
        <v>General Stores</v>
      </c>
    </row>
    <row r="584" spans="1:28" x14ac:dyDescent="0.25">
      <c r="A584">
        <v>103290</v>
      </c>
      <c r="B584" t="s">
        <v>1384</v>
      </c>
      <c r="C584" t="s">
        <v>1385</v>
      </c>
      <c r="D584" t="s">
        <v>1281</v>
      </c>
      <c r="E584">
        <v>-10</v>
      </c>
      <c r="F584">
        <v>22000000</v>
      </c>
      <c r="G584">
        <v>19679791.640000001</v>
      </c>
      <c r="H584">
        <v>1910151.53</v>
      </c>
      <c r="I584" t="s">
        <v>963</v>
      </c>
      <c r="J584">
        <v>0</v>
      </c>
      <c r="K584">
        <v>1650000</v>
      </c>
      <c r="L584">
        <v>436235.38</v>
      </c>
      <c r="M584">
        <v>24831969.829999998</v>
      </c>
      <c r="N584" s="143">
        <v>42958.6777147338</v>
      </c>
      <c r="O584" s="143">
        <v>43415</v>
      </c>
      <c r="P584" t="s">
        <v>1386</v>
      </c>
      <c r="Q584" t="s">
        <v>1387</v>
      </c>
      <c r="R584" t="s">
        <v>1280</v>
      </c>
      <c r="S584" t="s">
        <v>1510</v>
      </c>
      <c r="T584">
        <v>42</v>
      </c>
      <c r="U584">
        <f>IF(Table__192.168.1.150_M_CONSOLIDATED_Delinquency_Compulsory_EOM[[#This Row],[Days in Arrears]] &lt; 8, Table__192.168.1.150_M_CONSOLIDATED_Delinquency_Compulsory_EOM[[#This Row],[Outstanding Balance]], 0 )</f>
        <v>19679791.640000001</v>
      </c>
      <c r="V5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4" s="105" t="str">
        <f>VLOOKUP(Table__192.168.1.150_M_CONSOLIDATED_Delinquency_Compulsory_EOM[[#This Row],[Client No]],'Global Portfolio'!$B$2:$N$2500,10,FALSE)</f>
        <v>Retail</v>
      </c>
      <c r="AA584" s="105" t="str">
        <f>VLOOKUP(Table__192.168.1.150_M_CONSOLIDATED_Delinquency_Compulsory_EOM[[#This Row],[Client No]],'Global Portfolio'!$B$2:$N$2500,11,FALSE)</f>
        <v>New-Clothing and  Accessories</v>
      </c>
      <c r="AB584" s="105" t="str">
        <f>VLOOKUP(Table__192.168.1.150_M_CONSOLIDATED_Delinquency_Compulsory_EOM[[#This Row],[Client No]],'Global Portfolio'!$B$2:$N$2500,12,FALSE)</f>
        <v>Others</v>
      </c>
    </row>
    <row r="585" spans="1:28" x14ac:dyDescent="0.25">
      <c r="A585">
        <v>103291</v>
      </c>
      <c r="B585" t="s">
        <v>5183</v>
      </c>
      <c r="C585" t="s">
        <v>5184</v>
      </c>
      <c r="D585" t="s">
        <v>1283</v>
      </c>
      <c r="E585">
        <v>-11</v>
      </c>
      <c r="F585">
        <v>35000000</v>
      </c>
      <c r="G585">
        <v>29993668.829999998</v>
      </c>
      <c r="H585">
        <v>3516172.99</v>
      </c>
      <c r="I585" t="s">
        <v>1467</v>
      </c>
      <c r="J585">
        <v>471.38</v>
      </c>
      <c r="K585">
        <v>1750000</v>
      </c>
      <c r="L585">
        <v>539886.04</v>
      </c>
      <c r="M585">
        <v>35161729.920000002</v>
      </c>
      <c r="N585" s="143">
        <v>42959.445603969907</v>
      </c>
      <c r="O585" s="143">
        <v>43324</v>
      </c>
      <c r="P585" t="s">
        <v>5185</v>
      </c>
      <c r="Q585" t="s">
        <v>5186</v>
      </c>
      <c r="R585" t="s">
        <v>1280</v>
      </c>
      <c r="S585" t="s">
        <v>1510</v>
      </c>
      <c r="T585">
        <v>36</v>
      </c>
      <c r="U585">
        <f>IF(Table__192.168.1.150_M_CONSOLIDATED_Delinquency_Compulsory_EOM[[#This Row],[Days in Arrears]] &lt; 8, Table__192.168.1.150_M_CONSOLIDATED_Delinquency_Compulsory_EOM[[#This Row],[Outstanding Balance]], 0 )</f>
        <v>29993668.829999998</v>
      </c>
      <c r="V5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5" s="105" t="str">
        <f>VLOOKUP(Table__192.168.1.150_M_CONSOLIDATED_Delinquency_Compulsory_EOM[[#This Row],[Client No]],'Global Portfolio'!$B$2:$N$2500,10,FALSE)</f>
        <v>Retail</v>
      </c>
      <c r="AA585" s="105" t="str">
        <f>VLOOKUP(Table__192.168.1.150_M_CONSOLIDATED_Delinquency_Compulsory_EOM[[#This Row],[Client No]],'Global Portfolio'!$B$2:$N$2500,11,FALSE)</f>
        <v>General Merchandise Stores</v>
      </c>
      <c r="AB585" s="105" t="str">
        <f>VLOOKUP(Table__192.168.1.150_M_CONSOLIDATED_Delinquency_Compulsory_EOM[[#This Row],[Client No]],'Global Portfolio'!$B$2:$N$2500,12,FALSE)</f>
        <v>General Stores</v>
      </c>
    </row>
    <row r="586" spans="1:28" x14ac:dyDescent="0.25">
      <c r="A586">
        <v>103292</v>
      </c>
      <c r="B586" t="s">
        <v>2234</v>
      </c>
      <c r="C586" t="s">
        <v>2240</v>
      </c>
      <c r="D586" t="s">
        <v>1281</v>
      </c>
      <c r="E586">
        <v>-13</v>
      </c>
      <c r="F586">
        <v>20000000</v>
      </c>
      <c r="G586">
        <v>17212703.260000002</v>
      </c>
      <c r="H586">
        <v>2069678.99</v>
      </c>
      <c r="I586" t="s">
        <v>90</v>
      </c>
      <c r="J586">
        <v>0</v>
      </c>
      <c r="K586">
        <v>1500000</v>
      </c>
      <c r="L586">
        <v>321303.78999999998</v>
      </c>
      <c r="M586">
        <v>20696789.829999998</v>
      </c>
      <c r="N586" s="143">
        <v>42961.548503900463</v>
      </c>
      <c r="O586" s="143">
        <v>43326</v>
      </c>
      <c r="P586" t="s">
        <v>2241</v>
      </c>
      <c r="Q586" t="s">
        <v>2242</v>
      </c>
      <c r="R586" t="s">
        <v>1280</v>
      </c>
      <c r="S586" t="s">
        <v>1510</v>
      </c>
      <c r="T586">
        <v>42</v>
      </c>
      <c r="U586">
        <f>IF(Table__192.168.1.150_M_CONSOLIDATED_Delinquency_Compulsory_EOM[[#This Row],[Days in Arrears]] &lt; 8, Table__192.168.1.150_M_CONSOLIDATED_Delinquency_Compulsory_EOM[[#This Row],[Outstanding Balance]], 0 )</f>
        <v>17212703.260000002</v>
      </c>
      <c r="V5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6" s="105" t="str">
        <f>VLOOKUP(Table__192.168.1.150_M_CONSOLIDATED_Delinquency_Compulsory_EOM[[#This Row],[Client No]],'Global Portfolio'!$B$2:$N$2500,10,FALSE)</f>
        <v>Retail</v>
      </c>
      <c r="AA586" s="105" t="str">
        <f>VLOOKUP(Table__192.168.1.150_M_CONSOLIDATED_Delinquency_Compulsory_EOM[[#This Row],[Client No]],'Global Portfolio'!$B$2:$N$2500,11,FALSE)</f>
        <v>Building Material and Garden Equipment</v>
      </c>
      <c r="AB586" s="105" t="str">
        <f>VLOOKUP(Table__192.168.1.150_M_CONSOLIDATED_Delinquency_Compulsory_EOM[[#This Row],[Client No]],'Global Portfolio'!$B$2:$N$2500,12,FALSE)</f>
        <v>Hardware Stores</v>
      </c>
    </row>
    <row r="587" spans="1:28" x14ac:dyDescent="0.25">
      <c r="A587">
        <v>103293</v>
      </c>
      <c r="B587" t="s">
        <v>5191</v>
      </c>
      <c r="C587" t="s">
        <v>5194</v>
      </c>
      <c r="D587" t="s">
        <v>1282</v>
      </c>
      <c r="E587">
        <v>-13</v>
      </c>
      <c r="F587">
        <v>15000000</v>
      </c>
      <c r="G587">
        <v>13016364.66</v>
      </c>
      <c r="H587">
        <v>1644992.83</v>
      </c>
      <c r="I587" t="s">
        <v>4683</v>
      </c>
      <c r="J587">
        <v>305490.92</v>
      </c>
      <c r="K587">
        <v>1500000</v>
      </c>
      <c r="L587">
        <v>312392.75</v>
      </c>
      <c r="M587">
        <v>16449928.300000001</v>
      </c>
      <c r="N587" s="143">
        <v>42961.705719097219</v>
      </c>
      <c r="O587" s="143">
        <v>43326</v>
      </c>
      <c r="P587" t="s">
        <v>5195</v>
      </c>
      <c r="Q587" t="s">
        <v>5196</v>
      </c>
      <c r="R587" t="s">
        <v>1280</v>
      </c>
      <c r="S587" t="s">
        <v>1510</v>
      </c>
      <c r="T587">
        <v>54</v>
      </c>
      <c r="U587">
        <f>IF(Table__192.168.1.150_M_CONSOLIDATED_Delinquency_Compulsory_EOM[[#This Row],[Days in Arrears]] &lt; 8, Table__192.168.1.150_M_CONSOLIDATED_Delinquency_Compulsory_EOM[[#This Row],[Outstanding Balance]], 0 )</f>
        <v>13016364.66</v>
      </c>
      <c r="V5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7" s="105" t="str">
        <f>VLOOKUP(Table__192.168.1.150_M_CONSOLIDATED_Delinquency_Compulsory_EOM[[#This Row],[Client No]],'Global Portfolio'!$B$2:$N$2500,10,FALSE)</f>
        <v>Retail</v>
      </c>
      <c r="AA587" s="105" t="str">
        <f>VLOOKUP(Table__192.168.1.150_M_CONSOLIDATED_Delinquency_Compulsory_EOM[[#This Row],[Client No]],'Global Portfolio'!$B$2:$N$2500,11,FALSE)</f>
        <v>General Merchandise Stores</v>
      </c>
      <c r="AB587" s="105" t="str">
        <f>VLOOKUP(Table__192.168.1.150_M_CONSOLIDATED_Delinquency_Compulsory_EOM[[#This Row],[Client No]],'Global Portfolio'!$B$2:$N$2500,12,FALSE)</f>
        <v>General Stores</v>
      </c>
    </row>
    <row r="588" spans="1:28" x14ac:dyDescent="0.25">
      <c r="A588">
        <v>103294</v>
      </c>
      <c r="B588" t="s">
        <v>305</v>
      </c>
      <c r="C588" t="s">
        <v>306</v>
      </c>
      <c r="D588" t="s">
        <v>1282</v>
      </c>
      <c r="E588">
        <v>-14</v>
      </c>
      <c r="F588">
        <v>6000000</v>
      </c>
      <c r="G588">
        <v>4980518.83</v>
      </c>
      <c r="H588">
        <v>739745.67</v>
      </c>
      <c r="I588" t="s">
        <v>468</v>
      </c>
      <c r="J588">
        <v>91900.64</v>
      </c>
      <c r="K588">
        <v>600000</v>
      </c>
      <c r="L588">
        <v>99610.38</v>
      </c>
      <c r="M588">
        <v>5917965.2999999998</v>
      </c>
      <c r="N588" s="143">
        <v>42962.466988194443</v>
      </c>
      <c r="O588" s="143">
        <v>43266</v>
      </c>
      <c r="P588" t="s">
        <v>307</v>
      </c>
      <c r="Q588" t="s">
        <v>1280</v>
      </c>
      <c r="R588" t="s">
        <v>1280</v>
      </c>
      <c r="S588" t="s">
        <v>1510</v>
      </c>
      <c r="T588">
        <v>48</v>
      </c>
      <c r="U588">
        <f>IF(Table__192.168.1.150_M_CONSOLIDATED_Delinquency_Compulsory_EOM[[#This Row],[Days in Arrears]] &lt; 8, Table__192.168.1.150_M_CONSOLIDATED_Delinquency_Compulsory_EOM[[#This Row],[Outstanding Balance]], 0 )</f>
        <v>4980518.83</v>
      </c>
      <c r="V5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8" s="105" t="str">
        <f>VLOOKUP(Table__192.168.1.150_M_CONSOLIDATED_Delinquency_Compulsory_EOM[[#This Row],[Client No]],'Global Portfolio'!$B$2:$N$2500,10,FALSE)</f>
        <v>Retail</v>
      </c>
      <c r="AA588" s="105" t="str">
        <f>VLOOKUP(Table__192.168.1.150_M_CONSOLIDATED_Delinquency_Compulsory_EOM[[#This Row],[Client No]],'Global Portfolio'!$B$2:$N$2500,11,FALSE)</f>
        <v>General Merchandise Stores</v>
      </c>
      <c r="AB588" s="105" t="str">
        <f>VLOOKUP(Table__192.168.1.150_M_CONSOLIDATED_Delinquency_Compulsory_EOM[[#This Row],[Client No]],'Global Portfolio'!$B$2:$N$2500,12,FALSE)</f>
        <v>General Stores</v>
      </c>
    </row>
    <row r="589" spans="1:28" x14ac:dyDescent="0.25">
      <c r="A589">
        <v>103295</v>
      </c>
      <c r="B589" t="s">
        <v>5190</v>
      </c>
      <c r="C589" t="s">
        <v>5197</v>
      </c>
      <c r="D589" t="s">
        <v>1279</v>
      </c>
      <c r="E589">
        <v>-13</v>
      </c>
      <c r="F589">
        <v>1200000</v>
      </c>
      <c r="G589">
        <v>834652.43</v>
      </c>
      <c r="H589">
        <v>232654.07</v>
      </c>
      <c r="I589" t="s">
        <v>5124</v>
      </c>
      <c r="J589">
        <v>0</v>
      </c>
      <c r="K589">
        <v>120000</v>
      </c>
      <c r="L589">
        <v>20031.66</v>
      </c>
      <c r="M589">
        <v>930616.26</v>
      </c>
      <c r="N589" s="143">
        <v>42961.61328391204</v>
      </c>
      <c r="O589" s="143">
        <v>43145</v>
      </c>
      <c r="P589" t="s">
        <v>5198</v>
      </c>
      <c r="Q589" t="s">
        <v>5199</v>
      </c>
      <c r="R589" t="s">
        <v>1280</v>
      </c>
      <c r="S589" t="s">
        <v>1510</v>
      </c>
      <c r="T589">
        <v>54</v>
      </c>
      <c r="U589">
        <f>IF(Table__192.168.1.150_M_CONSOLIDATED_Delinquency_Compulsory_EOM[[#This Row],[Days in Arrears]] &lt; 8, Table__192.168.1.150_M_CONSOLIDATED_Delinquency_Compulsory_EOM[[#This Row],[Outstanding Balance]], 0 )</f>
        <v>834652.43</v>
      </c>
      <c r="V5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89" s="105" t="str">
        <f>VLOOKUP(Table__192.168.1.150_M_CONSOLIDATED_Delinquency_Compulsory_EOM[[#This Row],[Client No]],'Global Portfolio'!$B$2:$N$2500,10,FALSE)</f>
        <v>Retail</v>
      </c>
      <c r="AA589" s="105" t="str">
        <f>VLOOKUP(Table__192.168.1.150_M_CONSOLIDATED_Delinquency_Compulsory_EOM[[#This Row],[Client No]],'Global Portfolio'!$B$2:$N$2500,11,FALSE)</f>
        <v>Food and Beverage Stores</v>
      </c>
      <c r="AB589" s="105" t="str">
        <f>VLOOKUP(Table__192.168.1.150_M_CONSOLIDATED_Delinquency_Compulsory_EOM[[#This Row],[Client No]],'Global Portfolio'!$B$2:$N$2500,12,FALSE)</f>
        <v>Baked Goods Stores</v>
      </c>
    </row>
    <row r="590" spans="1:28" x14ac:dyDescent="0.25">
      <c r="A590">
        <v>103296</v>
      </c>
      <c r="B590" t="s">
        <v>5193</v>
      </c>
      <c r="C590" t="s">
        <v>5200</v>
      </c>
      <c r="D590" t="s">
        <v>1281</v>
      </c>
      <c r="E590">
        <v>-13</v>
      </c>
      <c r="F590">
        <v>20000000</v>
      </c>
      <c r="G590">
        <v>17212703.260000002</v>
      </c>
      <c r="H590">
        <v>2069678.99</v>
      </c>
      <c r="I590" t="s">
        <v>1909</v>
      </c>
      <c r="J590">
        <v>0</v>
      </c>
      <c r="K590">
        <v>1500000</v>
      </c>
      <c r="L590">
        <v>321303.78999999998</v>
      </c>
      <c r="M590">
        <v>20696789.829999998</v>
      </c>
      <c r="N590" s="143">
        <v>42961.64805625</v>
      </c>
      <c r="O590" s="143">
        <v>43326</v>
      </c>
      <c r="P590" t="s">
        <v>5201</v>
      </c>
      <c r="Q590" t="s">
        <v>5202</v>
      </c>
      <c r="R590" t="s">
        <v>5203</v>
      </c>
      <c r="S590" t="s">
        <v>1510</v>
      </c>
      <c r="T590">
        <v>42</v>
      </c>
      <c r="U590">
        <f>IF(Table__192.168.1.150_M_CONSOLIDATED_Delinquency_Compulsory_EOM[[#This Row],[Days in Arrears]] &lt; 8, Table__192.168.1.150_M_CONSOLIDATED_Delinquency_Compulsory_EOM[[#This Row],[Outstanding Balance]], 0 )</f>
        <v>17212703.260000002</v>
      </c>
      <c r="V5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0" s="105" t="str">
        <f>VLOOKUP(Table__192.168.1.150_M_CONSOLIDATED_Delinquency_Compulsory_EOM[[#This Row],[Client No]],'Global Portfolio'!$B$2:$N$2500,10,FALSE)</f>
        <v>Retail</v>
      </c>
      <c r="AA590" s="105" t="str">
        <f>VLOOKUP(Table__192.168.1.150_M_CONSOLIDATED_Delinquency_Compulsory_EOM[[#This Row],[Client No]],'Global Portfolio'!$B$2:$N$2500,11,FALSE)</f>
        <v>General Merchandise Stores</v>
      </c>
      <c r="AB590" s="105" t="str">
        <f>VLOOKUP(Table__192.168.1.150_M_CONSOLIDATED_Delinquency_Compulsory_EOM[[#This Row],[Client No]],'Global Portfolio'!$B$2:$N$2500,12,FALSE)</f>
        <v>General Stores</v>
      </c>
    </row>
    <row r="591" spans="1:28" x14ac:dyDescent="0.25">
      <c r="A591">
        <v>103297</v>
      </c>
      <c r="B591" t="s">
        <v>5189</v>
      </c>
      <c r="C591" t="s">
        <v>5204</v>
      </c>
      <c r="D591" t="s">
        <v>1282</v>
      </c>
      <c r="E591">
        <v>-13</v>
      </c>
      <c r="F591">
        <v>5000000</v>
      </c>
      <c r="G591">
        <v>4167901.55</v>
      </c>
      <c r="H591">
        <v>631894.11</v>
      </c>
      <c r="I591" t="s">
        <v>3074</v>
      </c>
      <c r="J591">
        <v>0</v>
      </c>
      <c r="K591">
        <v>500000</v>
      </c>
      <c r="L591">
        <v>100029.64</v>
      </c>
      <c r="M591">
        <v>5055152.8899999997</v>
      </c>
      <c r="N591" s="143">
        <v>42961.702593136572</v>
      </c>
      <c r="O591" s="143">
        <v>43265</v>
      </c>
      <c r="P591" t="s">
        <v>5205</v>
      </c>
      <c r="Q591" t="s">
        <v>5206</v>
      </c>
      <c r="R591" t="s">
        <v>1280</v>
      </c>
      <c r="S591" t="s">
        <v>1510</v>
      </c>
      <c r="T591">
        <v>54</v>
      </c>
      <c r="U591">
        <f>IF(Table__192.168.1.150_M_CONSOLIDATED_Delinquency_Compulsory_EOM[[#This Row],[Days in Arrears]] &lt; 8, Table__192.168.1.150_M_CONSOLIDATED_Delinquency_Compulsory_EOM[[#This Row],[Outstanding Balance]], 0 )</f>
        <v>4167901.55</v>
      </c>
      <c r="V5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1" s="105" t="str">
        <f>VLOOKUP(Table__192.168.1.150_M_CONSOLIDATED_Delinquency_Compulsory_EOM[[#This Row],[Client No]],'Global Portfolio'!$B$2:$N$2500,10,FALSE)</f>
        <v>Retail</v>
      </c>
      <c r="AA591" s="105" t="str">
        <f>VLOOKUP(Table__192.168.1.150_M_CONSOLIDATED_Delinquency_Compulsory_EOM[[#This Row],[Client No]],'Global Portfolio'!$B$2:$N$2500,11,FALSE)</f>
        <v>Building Material and Garden Equipment</v>
      </c>
      <c r="AB591" s="105" t="str">
        <f>VLOOKUP(Table__192.168.1.150_M_CONSOLIDATED_Delinquency_Compulsory_EOM[[#This Row],[Client No]],'Global Portfolio'!$B$2:$N$2500,12,FALSE)</f>
        <v>Hardware Stores</v>
      </c>
    </row>
    <row r="592" spans="1:28" x14ac:dyDescent="0.25">
      <c r="A592">
        <v>103298</v>
      </c>
      <c r="B592" t="s">
        <v>5209</v>
      </c>
      <c r="C592" t="s">
        <v>5212</v>
      </c>
      <c r="D592" t="s">
        <v>1282</v>
      </c>
      <c r="E592">
        <v>-14</v>
      </c>
      <c r="F592">
        <v>4000000</v>
      </c>
      <c r="G592">
        <v>3471030.59</v>
      </c>
      <c r="H592">
        <v>438664.75</v>
      </c>
      <c r="I592" t="s">
        <v>5352</v>
      </c>
      <c r="J592">
        <v>0</v>
      </c>
      <c r="K592">
        <v>400000</v>
      </c>
      <c r="L592">
        <v>78098.19</v>
      </c>
      <c r="M592">
        <v>4386647.5599999996</v>
      </c>
      <c r="N592" s="143">
        <v>42962.635241203701</v>
      </c>
      <c r="O592" s="143">
        <v>43327</v>
      </c>
      <c r="P592" t="s">
        <v>5213</v>
      </c>
      <c r="Q592" t="s">
        <v>5214</v>
      </c>
      <c r="R592" t="s">
        <v>1280</v>
      </c>
      <c r="S592" t="s">
        <v>1510</v>
      </c>
      <c r="T592">
        <v>54</v>
      </c>
      <c r="U592">
        <f>IF(Table__192.168.1.150_M_CONSOLIDATED_Delinquency_Compulsory_EOM[[#This Row],[Days in Arrears]] &lt; 8, Table__192.168.1.150_M_CONSOLIDATED_Delinquency_Compulsory_EOM[[#This Row],[Outstanding Balance]], 0 )</f>
        <v>3471030.59</v>
      </c>
      <c r="V5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2" s="105" t="str">
        <f>VLOOKUP(Table__192.168.1.150_M_CONSOLIDATED_Delinquency_Compulsory_EOM[[#This Row],[Client No]],'Global Portfolio'!$B$2:$N$2500,10,FALSE)</f>
        <v>Retail</v>
      </c>
      <c r="AA592" s="105" t="str">
        <f>VLOOKUP(Table__192.168.1.150_M_CONSOLIDATED_Delinquency_Compulsory_EOM[[#This Row],[Client No]],'Global Portfolio'!$B$2:$N$2500,11,FALSE)</f>
        <v>General Merchandise Stores</v>
      </c>
      <c r="AB592" s="105" t="str">
        <f>VLOOKUP(Table__192.168.1.150_M_CONSOLIDATED_Delinquency_Compulsory_EOM[[#This Row],[Client No]],'Global Portfolio'!$B$2:$N$2500,12,FALSE)</f>
        <v>General Stores</v>
      </c>
    </row>
    <row r="593" spans="1:28" x14ac:dyDescent="0.25">
      <c r="A593">
        <v>103299</v>
      </c>
      <c r="B593" t="s">
        <v>5211</v>
      </c>
      <c r="C593" t="s">
        <v>5215</v>
      </c>
      <c r="D593" t="s">
        <v>1279</v>
      </c>
      <c r="E593">
        <v>-14</v>
      </c>
      <c r="F593">
        <v>3000000</v>
      </c>
      <c r="G593">
        <v>2603272.92</v>
      </c>
      <c r="H593">
        <v>328998.57</v>
      </c>
      <c r="I593" t="s">
        <v>546</v>
      </c>
      <c r="J593">
        <v>57801.43</v>
      </c>
      <c r="K593">
        <v>300000</v>
      </c>
      <c r="L593">
        <v>58573.64</v>
      </c>
      <c r="M593">
        <v>3289985.63</v>
      </c>
      <c r="N593" s="143">
        <v>42962.688732025461</v>
      </c>
      <c r="O593" s="143">
        <v>43327</v>
      </c>
      <c r="P593" t="s">
        <v>5216</v>
      </c>
      <c r="Q593" t="s">
        <v>5217</v>
      </c>
      <c r="R593" t="s">
        <v>1280</v>
      </c>
      <c r="S593" t="s">
        <v>1510</v>
      </c>
      <c r="T593">
        <v>54</v>
      </c>
      <c r="U593">
        <f>IF(Table__192.168.1.150_M_CONSOLIDATED_Delinquency_Compulsory_EOM[[#This Row],[Days in Arrears]] &lt; 8, Table__192.168.1.150_M_CONSOLIDATED_Delinquency_Compulsory_EOM[[#This Row],[Outstanding Balance]], 0 )</f>
        <v>2603272.92</v>
      </c>
      <c r="V5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3" s="105" t="str">
        <f>VLOOKUP(Table__192.168.1.150_M_CONSOLIDATED_Delinquency_Compulsory_EOM[[#This Row],[Client No]],'Global Portfolio'!$B$2:$N$2500,10,FALSE)</f>
        <v>Retail</v>
      </c>
      <c r="AA593" s="105" t="str">
        <f>VLOOKUP(Table__192.168.1.150_M_CONSOLIDATED_Delinquency_Compulsory_EOM[[#This Row],[Client No]],'Global Portfolio'!$B$2:$N$2500,11,FALSE)</f>
        <v>General Merchandise Stores</v>
      </c>
      <c r="AB593" s="105" t="str">
        <f>VLOOKUP(Table__192.168.1.150_M_CONSOLIDATED_Delinquency_Compulsory_EOM[[#This Row],[Client No]],'Global Portfolio'!$B$2:$N$2500,12,FALSE)</f>
        <v>General Stores</v>
      </c>
    </row>
    <row r="594" spans="1:28" x14ac:dyDescent="0.25">
      <c r="A594">
        <v>103300</v>
      </c>
      <c r="B594" t="s">
        <v>1040</v>
      </c>
      <c r="C594" t="s">
        <v>1041</v>
      </c>
      <c r="D594" t="s">
        <v>1284</v>
      </c>
      <c r="E594">
        <v>-14</v>
      </c>
      <c r="F594">
        <v>12000000</v>
      </c>
      <c r="G594">
        <v>10690246.09</v>
      </c>
      <c r="H594">
        <v>1005198.97</v>
      </c>
      <c r="I594" t="s">
        <v>963</v>
      </c>
      <c r="J594">
        <v>4992708.17</v>
      </c>
      <c r="K594">
        <v>600000</v>
      </c>
      <c r="L594">
        <v>160353.69</v>
      </c>
      <c r="M594">
        <v>13067586.539999999</v>
      </c>
      <c r="N594" s="143">
        <v>42962.698615740737</v>
      </c>
      <c r="O594" s="143">
        <v>43419</v>
      </c>
      <c r="P594" t="s">
        <v>1042</v>
      </c>
      <c r="Q594" t="s">
        <v>1043</v>
      </c>
      <c r="R594" t="s">
        <v>1280</v>
      </c>
      <c r="S594" t="s">
        <v>1510</v>
      </c>
      <c r="T594">
        <v>36</v>
      </c>
      <c r="U594">
        <f>IF(Table__192.168.1.150_M_CONSOLIDATED_Delinquency_Compulsory_EOM[[#This Row],[Days in Arrears]] &lt; 8, Table__192.168.1.150_M_CONSOLIDATED_Delinquency_Compulsory_EOM[[#This Row],[Outstanding Balance]], 0 )</f>
        <v>10690246.09</v>
      </c>
      <c r="V5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4" s="105" t="str">
        <f>VLOOKUP(Table__192.168.1.150_M_CONSOLIDATED_Delinquency_Compulsory_EOM[[#This Row],[Client No]],'Global Portfolio'!$B$2:$N$2500,10,FALSE)</f>
        <v>Restaurants and Hotels</v>
      </c>
      <c r="AA594" s="105" t="str">
        <f>VLOOKUP(Table__192.168.1.150_M_CONSOLIDATED_Delinquency_Compulsory_EOM[[#This Row],[Client No]],'Global Portfolio'!$B$2:$N$2500,11,FALSE)</f>
        <v>Restaurant</v>
      </c>
      <c r="AB594" s="105" t="str">
        <f>VLOOKUP(Table__192.168.1.150_M_CONSOLIDATED_Delinquency_Compulsory_EOM[[#This Row],[Client No]],'Global Portfolio'!$B$2:$N$2500,12,FALSE)</f>
        <v>Bar</v>
      </c>
    </row>
    <row r="595" spans="1:28" x14ac:dyDescent="0.25">
      <c r="A595">
        <v>103302</v>
      </c>
      <c r="B595" t="s">
        <v>4263</v>
      </c>
      <c r="C595" t="s">
        <v>4265</v>
      </c>
      <c r="D595" t="s">
        <v>1282</v>
      </c>
      <c r="E595">
        <v>-15</v>
      </c>
      <c r="F595">
        <v>4000000</v>
      </c>
      <c r="G595">
        <v>3320345.89</v>
      </c>
      <c r="H595">
        <v>493163.78</v>
      </c>
      <c r="I595" t="s">
        <v>2538</v>
      </c>
      <c r="J595">
        <v>0</v>
      </c>
      <c r="K595">
        <v>400000</v>
      </c>
      <c r="L595">
        <v>61979.79</v>
      </c>
      <c r="M595">
        <v>3945310.21</v>
      </c>
      <c r="N595" s="143">
        <v>42963.622981099536</v>
      </c>
      <c r="O595" s="143">
        <v>43267</v>
      </c>
      <c r="P595" t="s">
        <v>4266</v>
      </c>
      <c r="Q595" t="s">
        <v>4267</v>
      </c>
      <c r="R595" t="s">
        <v>1280</v>
      </c>
      <c r="S595" t="s">
        <v>1510</v>
      </c>
      <c r="T595">
        <v>48</v>
      </c>
      <c r="U595">
        <f>IF(Table__192.168.1.150_M_CONSOLIDATED_Delinquency_Compulsory_EOM[[#This Row],[Days in Arrears]] &lt; 8, Table__192.168.1.150_M_CONSOLIDATED_Delinquency_Compulsory_EOM[[#This Row],[Outstanding Balance]], 0 )</f>
        <v>3320345.89</v>
      </c>
      <c r="V5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5" s="105" t="str">
        <f>VLOOKUP(Table__192.168.1.150_M_CONSOLIDATED_Delinquency_Compulsory_EOM[[#This Row],[Client No]],'Global Portfolio'!$B$2:$N$2500,10,FALSE)</f>
        <v>Real Estate and Rental</v>
      </c>
      <c r="AA595" s="105" t="str">
        <f>VLOOKUP(Table__192.168.1.150_M_CONSOLIDATED_Delinquency_Compulsory_EOM[[#This Row],[Client No]],'Global Portfolio'!$B$2:$N$2500,11,FALSE)</f>
        <v>Rental</v>
      </c>
      <c r="AB595" s="105" t="str">
        <f>VLOOKUP(Table__192.168.1.150_M_CONSOLIDATED_Delinquency_Compulsory_EOM[[#This Row],[Client No]],'Global Portfolio'!$B$2:$N$2500,12,FALSE)</f>
        <v>General Rental Centers</v>
      </c>
    </row>
    <row r="596" spans="1:28" x14ac:dyDescent="0.25">
      <c r="A596">
        <v>103303</v>
      </c>
      <c r="B596" t="s">
        <v>5243</v>
      </c>
      <c r="C596" t="s">
        <v>5245</v>
      </c>
      <c r="D596" t="s">
        <v>1282</v>
      </c>
      <c r="E596">
        <v>-18</v>
      </c>
      <c r="F596">
        <v>5000000</v>
      </c>
      <c r="G596">
        <v>3477718.48</v>
      </c>
      <c r="H596">
        <v>969391.94</v>
      </c>
      <c r="I596" t="s">
        <v>1925</v>
      </c>
      <c r="J596">
        <v>63216.12</v>
      </c>
      <c r="K596">
        <v>500000</v>
      </c>
      <c r="L596">
        <v>57382.35</v>
      </c>
      <c r="M596">
        <v>3877567.74</v>
      </c>
      <c r="N596" s="143">
        <v>42966.501115196763</v>
      </c>
      <c r="O596" s="143">
        <v>43150</v>
      </c>
      <c r="P596" t="s">
        <v>5246</v>
      </c>
      <c r="Q596" t="s">
        <v>1280</v>
      </c>
      <c r="R596" t="s">
        <v>1280</v>
      </c>
      <c r="S596" t="s">
        <v>1510</v>
      </c>
      <c r="T596">
        <v>54</v>
      </c>
      <c r="U596">
        <f>IF(Table__192.168.1.150_M_CONSOLIDATED_Delinquency_Compulsory_EOM[[#This Row],[Days in Arrears]] &lt; 8, Table__192.168.1.150_M_CONSOLIDATED_Delinquency_Compulsory_EOM[[#This Row],[Outstanding Balance]], 0 )</f>
        <v>3477718.48</v>
      </c>
      <c r="V5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6" s="105" t="str">
        <f>VLOOKUP(Table__192.168.1.150_M_CONSOLIDATED_Delinquency_Compulsory_EOM[[#This Row],[Client No]],'Global Portfolio'!$B$2:$N$2500,10,FALSE)</f>
        <v>Manufacturing</v>
      </c>
      <c r="AA596" s="105" t="str">
        <f>VLOOKUP(Table__192.168.1.150_M_CONSOLIDATED_Delinquency_Compulsory_EOM[[#This Row],[Client No]],'Global Portfolio'!$B$2:$N$2500,11,FALSE)</f>
        <v>Fabricated Metal Product Manufacturing</v>
      </c>
      <c r="AB596" s="105" t="str">
        <f>VLOOKUP(Table__192.168.1.150_M_CONSOLIDATED_Delinquency_Compulsory_EOM[[#This Row],[Client No]],'Global Portfolio'!$B$2:$N$2500,12,FALSE)</f>
        <v>Others</v>
      </c>
    </row>
    <row r="597" spans="1:28" x14ac:dyDescent="0.25">
      <c r="A597">
        <v>103304</v>
      </c>
      <c r="B597" t="s">
        <v>85</v>
      </c>
      <c r="C597" t="s">
        <v>246</v>
      </c>
      <c r="D597" t="s">
        <v>1282</v>
      </c>
      <c r="E597">
        <v>-18</v>
      </c>
      <c r="F597">
        <v>7000000</v>
      </c>
      <c r="G597">
        <v>6049634.9699999997</v>
      </c>
      <c r="H597">
        <v>745865.21</v>
      </c>
      <c r="I597" t="s">
        <v>86</v>
      </c>
      <c r="J597">
        <v>2506.4</v>
      </c>
      <c r="K597">
        <v>0</v>
      </c>
      <c r="L597">
        <v>88727.98</v>
      </c>
      <c r="M597">
        <v>7458652.0899999999</v>
      </c>
      <c r="N597" s="143">
        <v>42966.547201238427</v>
      </c>
      <c r="O597" s="143">
        <v>43331</v>
      </c>
      <c r="P597" t="s">
        <v>247</v>
      </c>
      <c r="Q597" t="s">
        <v>248</v>
      </c>
      <c r="R597" t="s">
        <v>1280</v>
      </c>
      <c r="S597" t="s">
        <v>1510</v>
      </c>
      <c r="T597">
        <v>48</v>
      </c>
      <c r="U597">
        <f>IF(Table__192.168.1.150_M_CONSOLIDATED_Delinquency_Compulsory_EOM[[#This Row],[Days in Arrears]] &lt; 8, Table__192.168.1.150_M_CONSOLIDATED_Delinquency_Compulsory_EOM[[#This Row],[Outstanding Balance]], 0 )</f>
        <v>6049634.9699999997</v>
      </c>
      <c r="V5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7" s="105" t="str">
        <f>VLOOKUP(Table__192.168.1.150_M_CONSOLIDATED_Delinquency_Compulsory_EOM[[#This Row],[Client No]],'Global Portfolio'!$B$2:$N$2500,10,FALSE)</f>
        <v>Retail</v>
      </c>
      <c r="AA597" s="105" t="str">
        <f>VLOOKUP(Table__192.168.1.150_M_CONSOLIDATED_Delinquency_Compulsory_EOM[[#This Row],[Client No]],'Global Portfolio'!$B$2:$N$2500,11,FALSE)</f>
        <v>General Merchandise Stores</v>
      </c>
      <c r="AB597" s="105" t="str">
        <f>VLOOKUP(Table__192.168.1.150_M_CONSOLIDATED_Delinquency_Compulsory_EOM[[#This Row],[Client No]],'Global Portfolio'!$B$2:$N$2500,12,FALSE)</f>
        <v>General Stores</v>
      </c>
    </row>
    <row r="598" spans="1:28" x14ac:dyDescent="0.25">
      <c r="A598">
        <v>103305</v>
      </c>
      <c r="B598" t="s">
        <v>5252</v>
      </c>
      <c r="C598" t="s">
        <v>5258</v>
      </c>
      <c r="D598" t="s">
        <v>1282</v>
      </c>
      <c r="E598">
        <v>-20</v>
      </c>
      <c r="F598">
        <v>3000000</v>
      </c>
      <c r="G598">
        <v>2345949.7799999998</v>
      </c>
      <c r="H598">
        <v>454828.96</v>
      </c>
      <c r="I598" t="s">
        <v>546</v>
      </c>
      <c r="J598">
        <v>65142.080000000002</v>
      </c>
      <c r="K598">
        <v>300000</v>
      </c>
      <c r="L598">
        <v>31670.32</v>
      </c>
      <c r="M598">
        <v>2728973.78</v>
      </c>
      <c r="N598" s="143">
        <v>42968.717358368056</v>
      </c>
      <c r="O598" s="143">
        <v>43211</v>
      </c>
      <c r="P598" t="s">
        <v>5259</v>
      </c>
      <c r="Q598" t="s">
        <v>5260</v>
      </c>
      <c r="R598" t="s">
        <v>1280</v>
      </c>
      <c r="S598" t="s">
        <v>1510</v>
      </c>
      <c r="T598">
        <v>54</v>
      </c>
      <c r="U598">
        <f>IF(Table__192.168.1.150_M_CONSOLIDATED_Delinquency_Compulsory_EOM[[#This Row],[Days in Arrears]] &lt; 8, Table__192.168.1.150_M_CONSOLIDATED_Delinquency_Compulsory_EOM[[#This Row],[Outstanding Balance]], 0 )</f>
        <v>2345949.7799999998</v>
      </c>
      <c r="V5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8" s="105" t="str">
        <f>VLOOKUP(Table__192.168.1.150_M_CONSOLIDATED_Delinquency_Compulsory_EOM[[#This Row],[Client No]],'Global Portfolio'!$B$2:$N$2500,10,FALSE)</f>
        <v>Retail</v>
      </c>
      <c r="AA598" s="105" t="str">
        <f>VLOOKUP(Table__192.168.1.150_M_CONSOLIDATED_Delinquency_Compulsory_EOM[[#This Row],[Client No]],'Global Portfolio'!$B$2:$N$2500,11,FALSE)</f>
        <v>General Merchandise Stores</v>
      </c>
      <c r="AB598" s="105" t="str">
        <f>VLOOKUP(Table__192.168.1.150_M_CONSOLIDATED_Delinquency_Compulsory_EOM[[#This Row],[Client No]],'Global Portfolio'!$B$2:$N$2500,12,FALSE)</f>
        <v>General Stores</v>
      </c>
    </row>
    <row r="599" spans="1:28" x14ac:dyDescent="0.25">
      <c r="A599">
        <v>103306</v>
      </c>
      <c r="B599" t="s">
        <v>5254</v>
      </c>
      <c r="C599" t="s">
        <v>5261</v>
      </c>
      <c r="D599" t="s">
        <v>1282</v>
      </c>
      <c r="E599">
        <v>-20</v>
      </c>
      <c r="F599">
        <v>8500000</v>
      </c>
      <c r="G599">
        <v>7085432.6399999997</v>
      </c>
      <c r="H599">
        <v>1074219.98</v>
      </c>
      <c r="I599" t="s">
        <v>1039</v>
      </c>
      <c r="J599">
        <v>0</v>
      </c>
      <c r="K599">
        <v>850000</v>
      </c>
      <c r="L599">
        <v>95653.34</v>
      </c>
      <c r="M599">
        <v>8593759.9000000004</v>
      </c>
      <c r="N599" s="143">
        <v>42968.609788622685</v>
      </c>
      <c r="O599" s="143">
        <v>43272</v>
      </c>
      <c r="P599" t="s">
        <v>5262</v>
      </c>
      <c r="Q599" t="s">
        <v>1280</v>
      </c>
      <c r="R599" t="s">
        <v>1280</v>
      </c>
      <c r="S599" t="s">
        <v>1510</v>
      </c>
      <c r="T599">
        <v>54</v>
      </c>
      <c r="U599">
        <f>IF(Table__192.168.1.150_M_CONSOLIDATED_Delinquency_Compulsory_EOM[[#This Row],[Days in Arrears]] &lt; 8, Table__192.168.1.150_M_CONSOLIDATED_Delinquency_Compulsory_EOM[[#This Row],[Outstanding Balance]], 0 )</f>
        <v>7085432.6399999997</v>
      </c>
      <c r="V5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5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5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5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599" s="105" t="str">
        <f>VLOOKUP(Table__192.168.1.150_M_CONSOLIDATED_Delinquency_Compulsory_EOM[[#This Row],[Client No]],'Global Portfolio'!$B$2:$N$2500,10,FALSE)</f>
        <v>Transportation and Warehousing</v>
      </c>
      <c r="AA599" s="105" t="str">
        <f>VLOOKUP(Table__192.168.1.150_M_CONSOLIDATED_Delinquency_Compulsory_EOM[[#This Row],[Client No]],'Global Portfolio'!$B$2:$N$2500,11,FALSE)</f>
        <v>Truck Transportation</v>
      </c>
      <c r="AB599" s="105" t="str">
        <f>VLOOKUP(Table__192.168.1.150_M_CONSOLIDATED_Delinquency_Compulsory_EOM[[#This Row],[Client No]],'Global Portfolio'!$B$2:$N$2500,12,FALSE)</f>
        <v>General Freight Trucking, Local</v>
      </c>
    </row>
    <row r="600" spans="1:28" x14ac:dyDescent="0.25">
      <c r="A600">
        <v>103307</v>
      </c>
      <c r="B600" t="s">
        <v>5256</v>
      </c>
      <c r="C600" t="s">
        <v>5263</v>
      </c>
      <c r="D600" t="s">
        <v>1282</v>
      </c>
      <c r="E600">
        <v>-20</v>
      </c>
      <c r="F600">
        <v>5000000</v>
      </c>
      <c r="G600">
        <v>3477718.48</v>
      </c>
      <c r="H600">
        <v>969391.94</v>
      </c>
      <c r="I600" t="s">
        <v>1039</v>
      </c>
      <c r="J600">
        <v>13762.2</v>
      </c>
      <c r="K600">
        <v>500000</v>
      </c>
      <c r="L600">
        <v>46949.2</v>
      </c>
      <c r="M600">
        <v>3877567.74</v>
      </c>
      <c r="N600" s="143">
        <v>42968.741020104164</v>
      </c>
      <c r="O600" s="143">
        <v>43152</v>
      </c>
      <c r="P600" t="s">
        <v>5264</v>
      </c>
      <c r="Q600" t="s">
        <v>1280</v>
      </c>
      <c r="R600" t="s">
        <v>1280</v>
      </c>
      <c r="S600" t="s">
        <v>1510</v>
      </c>
      <c r="T600">
        <v>54</v>
      </c>
      <c r="U600">
        <f>IF(Table__192.168.1.150_M_CONSOLIDATED_Delinquency_Compulsory_EOM[[#This Row],[Days in Arrears]] &lt; 8, Table__192.168.1.150_M_CONSOLIDATED_Delinquency_Compulsory_EOM[[#This Row],[Outstanding Balance]], 0 )</f>
        <v>3477718.48</v>
      </c>
      <c r="V6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0" s="105" t="str">
        <f>VLOOKUP(Table__192.168.1.150_M_CONSOLIDATED_Delinquency_Compulsory_EOM[[#This Row],[Client No]],'Global Portfolio'!$B$2:$N$2500,10,FALSE)</f>
        <v>Restaurants and Hotels</v>
      </c>
      <c r="AA600" s="105" t="str">
        <f>VLOOKUP(Table__192.168.1.150_M_CONSOLIDATED_Delinquency_Compulsory_EOM[[#This Row],[Client No]],'Global Portfolio'!$B$2:$N$2500,11,FALSE)</f>
        <v>Restaurant</v>
      </c>
      <c r="AB600" s="105" t="str">
        <f>VLOOKUP(Table__192.168.1.150_M_CONSOLIDATED_Delinquency_Compulsory_EOM[[#This Row],[Client No]],'Global Portfolio'!$B$2:$N$2500,12,FALSE)</f>
        <v>Bar</v>
      </c>
    </row>
    <row r="601" spans="1:28" x14ac:dyDescent="0.25">
      <c r="A601">
        <v>103308</v>
      </c>
      <c r="B601" t="s">
        <v>1314</v>
      </c>
      <c r="C601" t="s">
        <v>1315</v>
      </c>
      <c r="D601" t="s">
        <v>1282</v>
      </c>
      <c r="E601">
        <v>-21</v>
      </c>
      <c r="F601">
        <v>8000000</v>
      </c>
      <c r="G601">
        <v>6913868.54</v>
      </c>
      <c r="H601">
        <v>852417.38</v>
      </c>
      <c r="I601" t="s">
        <v>963</v>
      </c>
      <c r="J601">
        <v>57072.19</v>
      </c>
      <c r="K601">
        <v>800000</v>
      </c>
      <c r="L601">
        <v>73747.929999999993</v>
      </c>
      <c r="M601">
        <v>8524173.8100000005</v>
      </c>
      <c r="N601" s="143">
        <v>42969.451779976851</v>
      </c>
      <c r="O601" s="143">
        <v>43334</v>
      </c>
      <c r="P601" t="s">
        <v>1316</v>
      </c>
      <c r="Q601" t="s">
        <v>1280</v>
      </c>
      <c r="R601" t="s">
        <v>1280</v>
      </c>
      <c r="S601" t="s">
        <v>1510</v>
      </c>
      <c r="T601">
        <v>48</v>
      </c>
      <c r="U601">
        <f>IF(Table__192.168.1.150_M_CONSOLIDATED_Delinquency_Compulsory_EOM[[#This Row],[Days in Arrears]] &lt; 8, Table__192.168.1.150_M_CONSOLIDATED_Delinquency_Compulsory_EOM[[#This Row],[Outstanding Balance]], 0 )</f>
        <v>6913868.54</v>
      </c>
      <c r="V6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1" s="105" t="str">
        <f>VLOOKUP(Table__192.168.1.150_M_CONSOLIDATED_Delinquency_Compulsory_EOM[[#This Row],[Client No]],'Global Portfolio'!$B$2:$N$2500,10,FALSE)</f>
        <v>Retail</v>
      </c>
      <c r="AA601" s="105" t="str">
        <f>VLOOKUP(Table__192.168.1.150_M_CONSOLIDATED_Delinquency_Compulsory_EOM[[#This Row],[Client No]],'Global Portfolio'!$B$2:$N$2500,11,FALSE)</f>
        <v>General Merchandise Stores</v>
      </c>
      <c r="AB601" s="105" t="str">
        <f>VLOOKUP(Table__192.168.1.150_M_CONSOLIDATED_Delinquency_Compulsory_EOM[[#This Row],[Client No]],'Global Portfolio'!$B$2:$N$2500,12,FALSE)</f>
        <v>General Stores</v>
      </c>
    </row>
    <row r="602" spans="1:28" x14ac:dyDescent="0.25">
      <c r="A602">
        <v>103310</v>
      </c>
      <c r="B602" t="s">
        <v>5283</v>
      </c>
      <c r="C602" t="s">
        <v>5286</v>
      </c>
      <c r="D602" t="s">
        <v>1282</v>
      </c>
      <c r="E602">
        <v>-22</v>
      </c>
      <c r="F602">
        <v>2500000</v>
      </c>
      <c r="G602">
        <v>2169394.11</v>
      </c>
      <c r="H602">
        <v>274165.46999999997</v>
      </c>
      <c r="I602" t="s">
        <v>4684</v>
      </c>
      <c r="J602">
        <v>57022.05</v>
      </c>
      <c r="K602">
        <v>250000</v>
      </c>
      <c r="L602">
        <v>22778.639999999999</v>
      </c>
      <c r="M602">
        <v>2741654.71</v>
      </c>
      <c r="N602" s="143">
        <v>42970.699644444445</v>
      </c>
      <c r="O602" s="143">
        <v>43335</v>
      </c>
      <c r="P602" t="s">
        <v>5287</v>
      </c>
      <c r="Q602" t="s">
        <v>1280</v>
      </c>
      <c r="R602" t="s">
        <v>1280</v>
      </c>
      <c r="S602" t="s">
        <v>1510</v>
      </c>
      <c r="T602">
        <v>54</v>
      </c>
      <c r="U602">
        <f>IF(Table__192.168.1.150_M_CONSOLIDATED_Delinquency_Compulsory_EOM[[#This Row],[Days in Arrears]] &lt; 8, Table__192.168.1.150_M_CONSOLIDATED_Delinquency_Compulsory_EOM[[#This Row],[Outstanding Balance]], 0 )</f>
        <v>2169394.11</v>
      </c>
      <c r="V6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2" s="105" t="str">
        <f>VLOOKUP(Table__192.168.1.150_M_CONSOLIDATED_Delinquency_Compulsory_EOM[[#This Row],[Client No]],'Global Portfolio'!$B$2:$N$2500,10,FALSE)</f>
        <v>Retail</v>
      </c>
      <c r="AA602" s="105" t="str">
        <f>VLOOKUP(Table__192.168.1.150_M_CONSOLIDATED_Delinquency_Compulsory_EOM[[#This Row],[Client No]],'Global Portfolio'!$B$2:$N$2500,11,FALSE)</f>
        <v>General Merchandise Stores</v>
      </c>
      <c r="AB602" s="105" t="str">
        <f>VLOOKUP(Table__192.168.1.150_M_CONSOLIDATED_Delinquency_Compulsory_EOM[[#This Row],[Client No]],'Global Portfolio'!$B$2:$N$2500,12,FALSE)</f>
        <v>General Stores</v>
      </c>
    </row>
    <row r="603" spans="1:28" x14ac:dyDescent="0.25">
      <c r="A603">
        <v>103311</v>
      </c>
      <c r="B603" t="s">
        <v>5293</v>
      </c>
      <c r="C603" t="s">
        <v>5296</v>
      </c>
      <c r="D603" t="s">
        <v>1866</v>
      </c>
      <c r="E603">
        <v>-23</v>
      </c>
      <c r="F603">
        <v>10000000</v>
      </c>
      <c r="G603">
        <v>8312576.0700000003</v>
      </c>
      <c r="H603">
        <v>1243160.02</v>
      </c>
      <c r="I603" t="s">
        <v>5124</v>
      </c>
      <c r="J603">
        <v>0</v>
      </c>
      <c r="K603">
        <v>1000000</v>
      </c>
      <c r="L603">
        <v>69271.47</v>
      </c>
      <c r="M603">
        <v>9945280.1600000001</v>
      </c>
      <c r="N603" s="143">
        <v>42971.706171412035</v>
      </c>
      <c r="O603" s="143">
        <v>43275</v>
      </c>
      <c r="P603" t="s">
        <v>5297</v>
      </c>
      <c r="Q603" t="s">
        <v>5298</v>
      </c>
      <c r="R603" t="s">
        <v>1280</v>
      </c>
      <c r="S603" t="s">
        <v>1510</v>
      </c>
      <c r="T603">
        <v>50</v>
      </c>
      <c r="U603">
        <f>IF(Table__192.168.1.150_M_CONSOLIDATED_Delinquency_Compulsory_EOM[[#This Row],[Days in Arrears]] &lt; 8, Table__192.168.1.150_M_CONSOLIDATED_Delinquency_Compulsory_EOM[[#This Row],[Outstanding Balance]], 0 )</f>
        <v>8312576.0700000003</v>
      </c>
      <c r="V6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3" s="105" t="str">
        <f>VLOOKUP(Table__192.168.1.150_M_CONSOLIDATED_Delinquency_Compulsory_EOM[[#This Row],[Client No]],'Global Portfolio'!$B$2:$N$2500,10,FALSE)</f>
        <v>Retail</v>
      </c>
      <c r="AA603" s="105" t="str">
        <f>VLOOKUP(Table__192.168.1.150_M_CONSOLIDATED_Delinquency_Compulsory_EOM[[#This Row],[Client No]],'Global Portfolio'!$B$2:$N$2500,11,FALSE)</f>
        <v>General Merchandise Stores</v>
      </c>
      <c r="AB603" s="105" t="str">
        <f>VLOOKUP(Table__192.168.1.150_M_CONSOLIDATED_Delinquency_Compulsory_EOM[[#This Row],[Client No]],'Global Portfolio'!$B$2:$N$2500,12,FALSE)</f>
        <v>General Stores</v>
      </c>
    </row>
    <row r="604" spans="1:28" x14ac:dyDescent="0.25">
      <c r="A604">
        <v>103312</v>
      </c>
      <c r="B604" t="s">
        <v>5304</v>
      </c>
      <c r="C604" t="s">
        <v>5308</v>
      </c>
      <c r="D604" t="s">
        <v>1281</v>
      </c>
      <c r="E604">
        <v>-24</v>
      </c>
      <c r="F604">
        <v>30000000</v>
      </c>
      <c r="G604">
        <v>23255400.719999999</v>
      </c>
      <c r="H604">
        <v>4364299.4000000004</v>
      </c>
      <c r="I604" t="s">
        <v>2175</v>
      </c>
      <c r="J604">
        <v>0</v>
      </c>
      <c r="K604">
        <v>0</v>
      </c>
      <c r="L604">
        <v>135656.5</v>
      </c>
      <c r="M604">
        <v>26185796.370000001</v>
      </c>
      <c r="N604" s="143">
        <v>42972.434798379632</v>
      </c>
      <c r="O604" s="143">
        <v>43215</v>
      </c>
      <c r="P604" t="s">
        <v>5309</v>
      </c>
      <c r="Q604" t="s">
        <v>5310</v>
      </c>
      <c r="R604" t="s">
        <v>1280</v>
      </c>
      <c r="S604" t="s">
        <v>1510</v>
      </c>
      <c r="T604">
        <v>42</v>
      </c>
      <c r="U604">
        <f>IF(Table__192.168.1.150_M_CONSOLIDATED_Delinquency_Compulsory_EOM[[#This Row],[Days in Arrears]] &lt; 8, Table__192.168.1.150_M_CONSOLIDATED_Delinquency_Compulsory_EOM[[#This Row],[Outstanding Balance]], 0 )</f>
        <v>23255400.719999999</v>
      </c>
      <c r="V6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4" s="105" t="str">
        <f>VLOOKUP(Table__192.168.1.150_M_CONSOLIDATED_Delinquency_Compulsory_EOM[[#This Row],[Client No]],'Global Portfolio'!$B$2:$N$2500,10,FALSE)</f>
        <v>Wholesale Trade</v>
      </c>
      <c r="AA604" s="105" t="str">
        <f>VLOOKUP(Table__192.168.1.150_M_CONSOLIDATED_Delinquency_Compulsory_EOM[[#This Row],[Client No]],'Global Portfolio'!$B$2:$N$2500,11,FALSE)</f>
        <v>Durable Goods</v>
      </c>
      <c r="AB604" s="105" t="str">
        <f>VLOOKUP(Table__192.168.1.150_M_CONSOLIDATED_Delinquency_Compulsory_EOM[[#This Row],[Client No]],'Global Portfolio'!$B$2:$N$2500,12,FALSE)</f>
        <v>Others</v>
      </c>
    </row>
    <row r="605" spans="1:28" x14ac:dyDescent="0.25">
      <c r="A605">
        <v>103313</v>
      </c>
      <c r="B605" t="s">
        <v>5307</v>
      </c>
      <c r="C605" t="s">
        <v>5311</v>
      </c>
      <c r="D605" t="s">
        <v>1282</v>
      </c>
      <c r="E605">
        <v>-24</v>
      </c>
      <c r="F605">
        <v>8000000</v>
      </c>
      <c r="G605">
        <v>6228825.7699999996</v>
      </c>
      <c r="H605">
        <v>1188222.6599999999</v>
      </c>
      <c r="I605" t="s">
        <v>2855</v>
      </c>
      <c r="J605">
        <v>75611.679999999993</v>
      </c>
      <c r="K605">
        <v>800000</v>
      </c>
      <c r="L605">
        <v>41525.51</v>
      </c>
      <c r="M605">
        <v>7129335.9299999997</v>
      </c>
      <c r="N605" s="143">
        <v>42972.497745833331</v>
      </c>
      <c r="O605" s="143">
        <v>43215</v>
      </c>
      <c r="P605" t="s">
        <v>5312</v>
      </c>
      <c r="Q605" t="s">
        <v>5313</v>
      </c>
      <c r="R605" t="s">
        <v>1280</v>
      </c>
      <c r="S605" t="s">
        <v>1510</v>
      </c>
      <c r="T605">
        <v>48</v>
      </c>
      <c r="U605">
        <f>IF(Table__192.168.1.150_M_CONSOLIDATED_Delinquency_Compulsory_EOM[[#This Row],[Days in Arrears]] &lt; 8, Table__192.168.1.150_M_CONSOLIDATED_Delinquency_Compulsory_EOM[[#This Row],[Outstanding Balance]], 0 )</f>
        <v>6228825.7699999996</v>
      </c>
      <c r="V6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5" s="105" t="str">
        <f>VLOOKUP(Table__192.168.1.150_M_CONSOLIDATED_Delinquency_Compulsory_EOM[[#This Row],[Client No]],'Global Portfolio'!$B$2:$N$2500,10,FALSE)</f>
        <v>Other Services</v>
      </c>
      <c r="AA605" s="105" t="str">
        <f>VLOOKUP(Table__192.168.1.150_M_CONSOLIDATED_Delinquency_Compulsory_EOM[[#This Row],[Client No]],'Global Portfolio'!$B$2:$N$2500,11,FALSE)</f>
        <v>Others</v>
      </c>
      <c r="AB605" s="105" t="str">
        <f>VLOOKUP(Table__192.168.1.150_M_CONSOLIDATED_Delinquency_Compulsory_EOM[[#This Row],[Client No]],'Global Portfolio'!$B$2:$N$2500,12,FALSE)</f>
        <v>Others</v>
      </c>
    </row>
    <row r="606" spans="1:28" x14ac:dyDescent="0.25">
      <c r="A606">
        <v>103314</v>
      </c>
      <c r="B606" t="s">
        <v>5306</v>
      </c>
      <c r="C606" t="s">
        <v>5314</v>
      </c>
      <c r="D606" t="s">
        <v>1282</v>
      </c>
      <c r="E606">
        <v>0</v>
      </c>
      <c r="F606">
        <v>6000000</v>
      </c>
      <c r="G606">
        <v>5200804.0599999996</v>
      </c>
      <c r="H606">
        <v>1123195.94</v>
      </c>
      <c r="I606" t="s">
        <v>1191</v>
      </c>
      <c r="J606">
        <v>9671.16</v>
      </c>
      <c r="K606">
        <v>600000</v>
      </c>
      <c r="L606">
        <v>226234.98</v>
      </c>
      <c r="M606">
        <v>5952448.8300000001</v>
      </c>
      <c r="N606" s="143">
        <v>42972.678314583332</v>
      </c>
      <c r="O606" s="143">
        <v>43160</v>
      </c>
      <c r="P606" t="s">
        <v>5315</v>
      </c>
      <c r="Q606" t="s">
        <v>5316</v>
      </c>
      <c r="R606" t="s">
        <v>1280</v>
      </c>
      <c r="S606" t="s">
        <v>1510</v>
      </c>
      <c r="T606">
        <v>54</v>
      </c>
      <c r="U606">
        <f>IF(Table__192.168.1.150_M_CONSOLIDATED_Delinquency_Compulsory_EOM[[#This Row],[Days in Arrears]] &lt; 8, Table__192.168.1.150_M_CONSOLIDATED_Delinquency_Compulsory_EOM[[#This Row],[Outstanding Balance]], 0 )</f>
        <v>5200804.0599999996</v>
      </c>
      <c r="V6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6" s="105" t="str">
        <f>VLOOKUP(Table__192.168.1.150_M_CONSOLIDATED_Delinquency_Compulsory_EOM[[#This Row],[Client No]],'Global Portfolio'!$B$2:$N$2500,10,FALSE)</f>
        <v>Retail</v>
      </c>
      <c r="AA606" s="105" t="str">
        <f>VLOOKUP(Table__192.168.1.150_M_CONSOLIDATED_Delinquency_Compulsory_EOM[[#This Row],[Client No]],'Global Portfolio'!$B$2:$N$2500,11,FALSE)</f>
        <v>General Merchandise Stores</v>
      </c>
      <c r="AB606" s="105" t="str">
        <f>VLOOKUP(Table__192.168.1.150_M_CONSOLIDATED_Delinquency_Compulsory_EOM[[#This Row],[Client No]],'Global Portfolio'!$B$2:$N$2500,12,FALSE)</f>
        <v>General Stores</v>
      </c>
    </row>
    <row r="607" spans="1:28" x14ac:dyDescent="0.25">
      <c r="A607">
        <v>103315</v>
      </c>
      <c r="B607" t="s">
        <v>114</v>
      </c>
      <c r="C607" t="s">
        <v>276</v>
      </c>
      <c r="D607" t="s">
        <v>1282</v>
      </c>
      <c r="E607">
        <v>0</v>
      </c>
      <c r="F607">
        <v>11000000</v>
      </c>
      <c r="G607">
        <v>10307418.119999999</v>
      </c>
      <c r="H607">
        <v>1176581.8799999999</v>
      </c>
      <c r="I607" t="s">
        <v>90</v>
      </c>
      <c r="J607">
        <v>0</v>
      </c>
      <c r="K607">
        <v>1100000</v>
      </c>
      <c r="L607">
        <v>398553.5</v>
      </c>
      <c r="M607">
        <v>12942400.630000001</v>
      </c>
      <c r="N607" s="143">
        <v>42975.555813460647</v>
      </c>
      <c r="O607" s="143">
        <v>43344</v>
      </c>
      <c r="P607" t="s">
        <v>277</v>
      </c>
      <c r="Q607" t="s">
        <v>278</v>
      </c>
      <c r="R607" t="s">
        <v>1280</v>
      </c>
      <c r="S607" t="s">
        <v>1510</v>
      </c>
      <c r="T607">
        <v>48</v>
      </c>
      <c r="U607">
        <f>IF(Table__192.168.1.150_M_CONSOLIDATED_Delinquency_Compulsory_EOM[[#This Row],[Days in Arrears]] &lt; 8, Table__192.168.1.150_M_CONSOLIDATED_Delinquency_Compulsory_EOM[[#This Row],[Outstanding Balance]], 0 )</f>
        <v>10307418.119999999</v>
      </c>
      <c r="V6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7" s="105" t="str">
        <f>VLOOKUP(Table__192.168.1.150_M_CONSOLIDATED_Delinquency_Compulsory_EOM[[#This Row],[Client No]],'Global Portfolio'!$B$2:$N$2500,10,FALSE)</f>
        <v>Retail</v>
      </c>
      <c r="AA607" s="105" t="str">
        <f>VLOOKUP(Table__192.168.1.150_M_CONSOLIDATED_Delinquency_Compulsory_EOM[[#This Row],[Client No]],'Global Portfolio'!$B$2:$N$2500,11,FALSE)</f>
        <v>General Merchandise Stores</v>
      </c>
      <c r="AB607" s="105" t="str">
        <f>VLOOKUP(Table__192.168.1.150_M_CONSOLIDATED_Delinquency_Compulsory_EOM[[#This Row],[Client No]],'Global Portfolio'!$B$2:$N$2500,12,FALSE)</f>
        <v>General Stores</v>
      </c>
    </row>
    <row r="608" spans="1:28" x14ac:dyDescent="0.25">
      <c r="A608">
        <v>103316</v>
      </c>
      <c r="B608" t="s">
        <v>5330</v>
      </c>
      <c r="C608" t="s">
        <v>5336</v>
      </c>
      <c r="D608" t="s">
        <v>1866</v>
      </c>
      <c r="E608">
        <v>0</v>
      </c>
      <c r="F608">
        <v>6000000</v>
      </c>
      <c r="G608">
        <v>5119607.59</v>
      </c>
      <c r="H608">
        <v>1155392.4099999999</v>
      </c>
      <c r="I608" t="s">
        <v>5124</v>
      </c>
      <c r="J608">
        <v>1153830.6299999999</v>
      </c>
      <c r="K608">
        <v>600000</v>
      </c>
      <c r="L608">
        <v>206206.42</v>
      </c>
      <c r="M608">
        <v>5776962.0199999996</v>
      </c>
      <c r="N608" s="143">
        <v>42975.539610914355</v>
      </c>
      <c r="O608" s="143">
        <v>43160</v>
      </c>
      <c r="P608" t="s">
        <v>5337</v>
      </c>
      <c r="Q608" t="s">
        <v>5338</v>
      </c>
      <c r="R608" t="s">
        <v>1280</v>
      </c>
      <c r="S608" t="s">
        <v>1510</v>
      </c>
      <c r="T608">
        <v>50</v>
      </c>
      <c r="U608">
        <f>IF(Table__192.168.1.150_M_CONSOLIDATED_Delinquency_Compulsory_EOM[[#This Row],[Days in Arrears]] &lt; 8, Table__192.168.1.150_M_CONSOLIDATED_Delinquency_Compulsory_EOM[[#This Row],[Outstanding Balance]], 0 )</f>
        <v>5119607.59</v>
      </c>
      <c r="V6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8" s="105" t="str">
        <f>VLOOKUP(Table__192.168.1.150_M_CONSOLIDATED_Delinquency_Compulsory_EOM[[#This Row],[Client No]],'Global Portfolio'!$B$2:$N$2500,10,FALSE)</f>
        <v>Retail</v>
      </c>
      <c r="AA608" s="105" t="str">
        <f>VLOOKUP(Table__192.168.1.150_M_CONSOLIDATED_Delinquency_Compulsory_EOM[[#This Row],[Client No]],'Global Portfolio'!$B$2:$N$2500,11,FALSE)</f>
        <v>General Merchandise Stores</v>
      </c>
      <c r="AB608" s="105" t="str">
        <f>VLOOKUP(Table__192.168.1.150_M_CONSOLIDATED_Delinquency_Compulsory_EOM[[#This Row],[Client No]],'Global Portfolio'!$B$2:$N$2500,12,FALSE)</f>
        <v>General Stores</v>
      </c>
    </row>
    <row r="609" spans="1:28" x14ac:dyDescent="0.25">
      <c r="A609">
        <v>103317</v>
      </c>
      <c r="B609" t="s">
        <v>5332</v>
      </c>
      <c r="C609" t="s">
        <v>5339</v>
      </c>
      <c r="D609" t="s">
        <v>1282</v>
      </c>
      <c r="E609">
        <v>30</v>
      </c>
      <c r="F609">
        <v>6000000</v>
      </c>
      <c r="G609">
        <v>5692511.4699999997</v>
      </c>
      <c r="H609">
        <v>761538.22</v>
      </c>
      <c r="I609" t="s">
        <v>3074</v>
      </c>
      <c r="J609">
        <v>0</v>
      </c>
      <c r="K609">
        <v>0</v>
      </c>
      <c r="L609">
        <v>537792.59</v>
      </c>
      <c r="M609">
        <v>7010893.6699999999</v>
      </c>
      <c r="N609" s="143">
        <v>42975.650625347225</v>
      </c>
      <c r="O609" s="143">
        <v>43282</v>
      </c>
      <c r="P609" t="s">
        <v>5340</v>
      </c>
      <c r="Q609" t="s">
        <v>5341</v>
      </c>
      <c r="R609" t="s">
        <v>1280</v>
      </c>
      <c r="S609" t="s">
        <v>1510</v>
      </c>
      <c r="T609">
        <v>54</v>
      </c>
      <c r="U609">
        <f>IF(Table__192.168.1.150_M_CONSOLIDATED_Delinquency_Compulsory_EOM[[#This Row],[Days in Arrears]] &lt; 8, Table__192.168.1.150_M_CONSOLIDATED_Delinquency_Compulsory_EOM[[#This Row],[Outstanding Balance]], 0 )</f>
        <v>0</v>
      </c>
      <c r="V6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5692511.4699999997</v>
      </c>
      <c r="X6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09" s="105" t="str">
        <f>VLOOKUP(Table__192.168.1.150_M_CONSOLIDATED_Delinquency_Compulsory_EOM[[#This Row],[Client No]],'Global Portfolio'!$B$2:$N$2500,10,FALSE)</f>
        <v>Retail</v>
      </c>
      <c r="AA609" s="105" t="str">
        <f>VLOOKUP(Table__192.168.1.150_M_CONSOLIDATED_Delinquency_Compulsory_EOM[[#This Row],[Client No]],'Global Portfolio'!$B$2:$N$2500,11,FALSE)</f>
        <v>General Merchandise Stores</v>
      </c>
      <c r="AB609" s="105" t="str">
        <f>VLOOKUP(Table__192.168.1.150_M_CONSOLIDATED_Delinquency_Compulsory_EOM[[#This Row],[Client No]],'Global Portfolio'!$B$2:$N$2500,12,FALSE)</f>
        <v>General Stores</v>
      </c>
    </row>
    <row r="610" spans="1:28" x14ac:dyDescent="0.25">
      <c r="A610">
        <v>103318</v>
      </c>
      <c r="B610" t="s">
        <v>5331</v>
      </c>
      <c r="C610" t="s">
        <v>5342</v>
      </c>
      <c r="D610" t="s">
        <v>1279</v>
      </c>
      <c r="E610">
        <v>0</v>
      </c>
      <c r="F610">
        <v>1200000</v>
      </c>
      <c r="G610">
        <v>1025744.08</v>
      </c>
      <c r="H610">
        <v>233655.92</v>
      </c>
      <c r="I610" t="s">
        <v>4844</v>
      </c>
      <c r="J610">
        <v>0</v>
      </c>
      <c r="K610">
        <v>120000</v>
      </c>
      <c r="L610">
        <v>44619.87</v>
      </c>
      <c r="M610">
        <v>1168279.6299999999</v>
      </c>
      <c r="N610" s="143">
        <v>42975.660906168981</v>
      </c>
      <c r="O610" s="143">
        <v>43160</v>
      </c>
      <c r="P610" t="s">
        <v>5343</v>
      </c>
      <c r="Q610" t="s">
        <v>1280</v>
      </c>
      <c r="R610" t="s">
        <v>1280</v>
      </c>
      <c r="S610" t="s">
        <v>1510</v>
      </c>
      <c r="T610">
        <v>54</v>
      </c>
      <c r="U610">
        <f>IF(Table__192.168.1.150_M_CONSOLIDATED_Delinquency_Compulsory_EOM[[#This Row],[Days in Arrears]] &lt; 8, Table__192.168.1.150_M_CONSOLIDATED_Delinquency_Compulsory_EOM[[#This Row],[Outstanding Balance]], 0 )</f>
        <v>1025744.08</v>
      </c>
      <c r="V6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0" s="105" t="str">
        <f>VLOOKUP(Table__192.168.1.150_M_CONSOLIDATED_Delinquency_Compulsory_EOM[[#This Row],[Client No]],'Global Portfolio'!$B$2:$N$2500,10,FALSE)</f>
        <v>Retail</v>
      </c>
      <c r="AA610" s="105" t="str">
        <f>VLOOKUP(Table__192.168.1.150_M_CONSOLIDATED_Delinquency_Compulsory_EOM[[#This Row],[Client No]],'Global Portfolio'!$B$2:$N$2500,11,FALSE)</f>
        <v>General Merchandise Stores</v>
      </c>
      <c r="AB610" s="105" t="str">
        <f>VLOOKUP(Table__192.168.1.150_M_CONSOLIDATED_Delinquency_Compulsory_EOM[[#This Row],[Client No]],'Global Portfolio'!$B$2:$N$2500,12,FALSE)</f>
        <v>General Stores</v>
      </c>
    </row>
    <row r="611" spans="1:28" x14ac:dyDescent="0.25">
      <c r="A611">
        <v>103319</v>
      </c>
      <c r="B611" t="s">
        <v>5333</v>
      </c>
      <c r="C611" t="s">
        <v>5344</v>
      </c>
      <c r="D611" t="s">
        <v>1282</v>
      </c>
      <c r="E611">
        <v>0</v>
      </c>
      <c r="F611">
        <v>14000000</v>
      </c>
      <c r="G611">
        <v>12916077.49</v>
      </c>
      <c r="H611">
        <v>1776922.51</v>
      </c>
      <c r="I611" t="s">
        <v>1191</v>
      </c>
      <c r="J611">
        <v>0</v>
      </c>
      <c r="K611">
        <v>1400000</v>
      </c>
      <c r="L611">
        <v>561849.37</v>
      </c>
      <c r="M611">
        <v>15992302.640000001</v>
      </c>
      <c r="N611" s="143">
        <v>42975.715995138889</v>
      </c>
      <c r="O611" s="143">
        <v>43282</v>
      </c>
      <c r="P611" t="s">
        <v>5345</v>
      </c>
      <c r="Q611" t="s">
        <v>5346</v>
      </c>
      <c r="R611" t="s">
        <v>1280</v>
      </c>
      <c r="S611" t="s">
        <v>1510</v>
      </c>
      <c r="T611">
        <v>54</v>
      </c>
      <c r="U611">
        <f>IF(Table__192.168.1.150_M_CONSOLIDATED_Delinquency_Compulsory_EOM[[#This Row],[Days in Arrears]] &lt; 8, Table__192.168.1.150_M_CONSOLIDATED_Delinquency_Compulsory_EOM[[#This Row],[Outstanding Balance]], 0 )</f>
        <v>12916077.49</v>
      </c>
      <c r="V6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1" s="105" t="str">
        <f>VLOOKUP(Table__192.168.1.150_M_CONSOLIDATED_Delinquency_Compulsory_EOM[[#This Row],[Client No]],'Global Portfolio'!$B$2:$N$2500,10,FALSE)</f>
        <v>Transportation and Warehousing</v>
      </c>
      <c r="AA611" s="105" t="str">
        <f>VLOOKUP(Table__192.168.1.150_M_CONSOLIDATED_Delinquency_Compulsory_EOM[[#This Row],[Client No]],'Global Portfolio'!$B$2:$N$2500,11,FALSE)</f>
        <v xml:space="preserve"> Passenger Transportation</v>
      </c>
      <c r="AB611" s="105" t="str">
        <f>VLOOKUP(Table__192.168.1.150_M_CONSOLIDATED_Delinquency_Compulsory_EOM[[#This Row],[Client No]],'Global Portfolio'!$B$2:$N$2500,12,FALSE)</f>
        <v>Taxi service</v>
      </c>
    </row>
    <row r="612" spans="1:28" x14ac:dyDescent="0.25">
      <c r="A612">
        <v>103320</v>
      </c>
      <c r="B612" t="s">
        <v>5353</v>
      </c>
      <c r="C612" t="s">
        <v>5356</v>
      </c>
      <c r="D612" t="s">
        <v>1282</v>
      </c>
      <c r="E612">
        <v>0</v>
      </c>
      <c r="F612">
        <v>5000000</v>
      </c>
      <c r="G612">
        <v>4690094.9000000004</v>
      </c>
      <c r="H612">
        <v>549905.1</v>
      </c>
      <c r="I612" t="s">
        <v>4844</v>
      </c>
      <c r="J612">
        <v>606894.9</v>
      </c>
      <c r="K612">
        <v>500000</v>
      </c>
      <c r="L612">
        <v>204019.13</v>
      </c>
      <c r="M612">
        <v>6048956.0800000001</v>
      </c>
      <c r="N612" s="143">
        <v>42976.521201967589</v>
      </c>
      <c r="O612" s="143">
        <v>43344</v>
      </c>
      <c r="P612" t="s">
        <v>5357</v>
      </c>
      <c r="Q612" t="s">
        <v>1280</v>
      </c>
      <c r="R612" t="s">
        <v>1280</v>
      </c>
      <c r="S612" t="s">
        <v>1510</v>
      </c>
      <c r="T612">
        <v>54</v>
      </c>
      <c r="U612">
        <f>IF(Table__192.168.1.150_M_CONSOLIDATED_Delinquency_Compulsory_EOM[[#This Row],[Days in Arrears]] &lt; 8, Table__192.168.1.150_M_CONSOLIDATED_Delinquency_Compulsory_EOM[[#This Row],[Outstanding Balance]], 0 )</f>
        <v>4690094.9000000004</v>
      </c>
      <c r="V6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2" s="105" t="str">
        <f>VLOOKUP(Table__192.168.1.150_M_CONSOLIDATED_Delinquency_Compulsory_EOM[[#This Row],[Client No]],'Global Portfolio'!$B$2:$N$2500,10,FALSE)</f>
        <v>Retail</v>
      </c>
      <c r="AA612" s="105" t="str">
        <f>VLOOKUP(Table__192.168.1.150_M_CONSOLIDATED_Delinquency_Compulsory_EOM[[#This Row],[Client No]],'Global Portfolio'!$B$2:$N$2500,11,FALSE)</f>
        <v>General Merchandise Stores</v>
      </c>
      <c r="AB612" s="105" t="str">
        <f>VLOOKUP(Table__192.168.1.150_M_CONSOLIDATED_Delinquency_Compulsory_EOM[[#This Row],[Client No]],'Global Portfolio'!$B$2:$N$2500,12,FALSE)</f>
        <v>General Stores</v>
      </c>
    </row>
    <row r="613" spans="1:28" x14ac:dyDescent="0.25">
      <c r="A613">
        <v>103321</v>
      </c>
      <c r="B613" t="s">
        <v>5351</v>
      </c>
      <c r="C613" t="s">
        <v>5358</v>
      </c>
      <c r="D613" t="s">
        <v>1282</v>
      </c>
      <c r="E613">
        <v>0</v>
      </c>
      <c r="F613">
        <v>3000000</v>
      </c>
      <c r="G613">
        <v>2560695.0699999998</v>
      </c>
      <c r="H613">
        <v>583304.93000000005</v>
      </c>
      <c r="I613" t="s">
        <v>5352</v>
      </c>
      <c r="J613">
        <v>57028.97</v>
      </c>
      <c r="K613">
        <v>300000</v>
      </c>
      <c r="L613">
        <v>111390.24</v>
      </c>
      <c r="M613">
        <v>2916524.63</v>
      </c>
      <c r="N613" s="143">
        <v>42976.540823842595</v>
      </c>
      <c r="O613" s="143">
        <v>43160</v>
      </c>
      <c r="P613" t="s">
        <v>5359</v>
      </c>
      <c r="Q613" t="s">
        <v>5360</v>
      </c>
      <c r="R613" t="s">
        <v>1280</v>
      </c>
      <c r="S613" t="s">
        <v>1510</v>
      </c>
      <c r="T613">
        <v>54</v>
      </c>
      <c r="U613">
        <f>IF(Table__192.168.1.150_M_CONSOLIDATED_Delinquency_Compulsory_EOM[[#This Row],[Days in Arrears]] &lt; 8, Table__192.168.1.150_M_CONSOLIDATED_Delinquency_Compulsory_EOM[[#This Row],[Outstanding Balance]], 0 )</f>
        <v>2560695.0699999998</v>
      </c>
      <c r="V6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3" s="105" t="str">
        <f>VLOOKUP(Table__192.168.1.150_M_CONSOLIDATED_Delinquency_Compulsory_EOM[[#This Row],[Client No]],'Global Portfolio'!$B$2:$N$2500,10,FALSE)</f>
        <v>Retail</v>
      </c>
      <c r="AA613" s="105" t="str">
        <f>VLOOKUP(Table__192.168.1.150_M_CONSOLIDATED_Delinquency_Compulsory_EOM[[#This Row],[Client No]],'Global Portfolio'!$B$2:$N$2500,11,FALSE)</f>
        <v>Second Hand -Clothing and  Accessories</v>
      </c>
      <c r="AB613" s="105" t="str">
        <f>VLOOKUP(Table__192.168.1.150_M_CONSOLIDATED_Delinquency_Compulsory_EOM[[#This Row],[Client No]],'Global Portfolio'!$B$2:$N$2500,12,FALSE)</f>
        <v>Clothing Stores</v>
      </c>
    </row>
    <row r="614" spans="1:28" x14ac:dyDescent="0.25">
      <c r="A614">
        <v>103322</v>
      </c>
      <c r="B614" t="s">
        <v>5367</v>
      </c>
      <c r="C614" t="s">
        <v>5368</v>
      </c>
      <c r="D614" t="s">
        <v>1866</v>
      </c>
      <c r="E614">
        <v>0</v>
      </c>
      <c r="F614">
        <v>6000000</v>
      </c>
      <c r="G614">
        <v>5359826.62</v>
      </c>
      <c r="H614">
        <v>898506.71</v>
      </c>
      <c r="I614" t="s">
        <v>5124</v>
      </c>
      <c r="J614">
        <v>209308.22</v>
      </c>
      <c r="K614">
        <v>600000</v>
      </c>
      <c r="L614">
        <v>215881.91</v>
      </c>
      <c r="M614">
        <v>6290745</v>
      </c>
      <c r="N614" s="143">
        <v>42977.493870914353</v>
      </c>
      <c r="O614" s="143">
        <v>43222</v>
      </c>
      <c r="P614" t="s">
        <v>5369</v>
      </c>
      <c r="Q614" t="s">
        <v>1280</v>
      </c>
      <c r="R614" t="s">
        <v>1280</v>
      </c>
      <c r="S614" t="s">
        <v>1510</v>
      </c>
      <c r="T614">
        <v>50</v>
      </c>
      <c r="U614">
        <f>IF(Table__192.168.1.150_M_CONSOLIDATED_Delinquency_Compulsory_EOM[[#This Row],[Days in Arrears]] &lt; 8, Table__192.168.1.150_M_CONSOLIDATED_Delinquency_Compulsory_EOM[[#This Row],[Outstanding Balance]], 0 )</f>
        <v>5359826.62</v>
      </c>
      <c r="V6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4" s="105" t="str">
        <f>VLOOKUP(Table__192.168.1.150_M_CONSOLIDATED_Delinquency_Compulsory_EOM[[#This Row],[Client No]],'Global Portfolio'!$B$2:$N$2500,10,FALSE)</f>
        <v>Retail</v>
      </c>
      <c r="AA614" s="105" t="str">
        <f>VLOOKUP(Table__192.168.1.150_M_CONSOLIDATED_Delinquency_Compulsory_EOM[[#This Row],[Client No]],'Global Portfolio'!$B$2:$N$2500,11,FALSE)</f>
        <v>General Merchandise Stores</v>
      </c>
      <c r="AB614" s="105" t="str">
        <f>VLOOKUP(Table__192.168.1.150_M_CONSOLIDATED_Delinquency_Compulsory_EOM[[#This Row],[Client No]],'Global Portfolio'!$B$2:$N$2500,12,FALSE)</f>
        <v>General Stores</v>
      </c>
    </row>
    <row r="615" spans="1:28" x14ac:dyDescent="0.25">
      <c r="A615">
        <v>103323</v>
      </c>
      <c r="B615" t="s">
        <v>4083</v>
      </c>
      <c r="C615" t="s">
        <v>4085</v>
      </c>
      <c r="D615" t="s">
        <v>1281</v>
      </c>
      <c r="E615">
        <v>0</v>
      </c>
      <c r="F615">
        <v>16000000</v>
      </c>
      <c r="G615">
        <v>14921057.1</v>
      </c>
      <c r="H615">
        <v>1657609.57</v>
      </c>
      <c r="I615" t="s">
        <v>491</v>
      </c>
      <c r="J615">
        <v>0</v>
      </c>
      <c r="K615">
        <v>1200000</v>
      </c>
      <c r="L615">
        <v>504829.1</v>
      </c>
      <c r="M615">
        <v>18233705.23</v>
      </c>
      <c r="N615" s="143">
        <v>42977.530860300925</v>
      </c>
      <c r="O615" s="143">
        <v>43344</v>
      </c>
      <c r="P615" t="s">
        <v>4086</v>
      </c>
      <c r="Q615" t="s">
        <v>4087</v>
      </c>
      <c r="R615" t="s">
        <v>1280</v>
      </c>
      <c r="S615" t="s">
        <v>1510</v>
      </c>
      <c r="T615">
        <v>42</v>
      </c>
      <c r="U615">
        <f>IF(Table__192.168.1.150_M_CONSOLIDATED_Delinquency_Compulsory_EOM[[#This Row],[Days in Arrears]] &lt; 8, Table__192.168.1.150_M_CONSOLIDATED_Delinquency_Compulsory_EOM[[#This Row],[Outstanding Balance]], 0 )</f>
        <v>14921057.1</v>
      </c>
      <c r="V6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5" s="105" t="str">
        <f>VLOOKUP(Table__192.168.1.150_M_CONSOLIDATED_Delinquency_Compulsory_EOM[[#This Row],[Client No]],'Global Portfolio'!$B$2:$N$2500,10,FALSE)</f>
        <v>Retail</v>
      </c>
      <c r="AA615" s="105" t="str">
        <f>VLOOKUP(Table__192.168.1.150_M_CONSOLIDATED_Delinquency_Compulsory_EOM[[#This Row],[Client No]],'Global Portfolio'!$B$2:$N$2500,11,FALSE)</f>
        <v>General Merchandise Stores</v>
      </c>
      <c r="AB615" s="105" t="str">
        <f>VLOOKUP(Table__192.168.1.150_M_CONSOLIDATED_Delinquency_Compulsory_EOM[[#This Row],[Client No]],'Global Portfolio'!$B$2:$N$2500,12,FALSE)</f>
        <v>General Stores</v>
      </c>
    </row>
    <row r="616" spans="1:28" x14ac:dyDescent="0.25">
      <c r="A616">
        <v>103324</v>
      </c>
      <c r="B616" t="s">
        <v>3185</v>
      </c>
      <c r="C616" t="s">
        <v>3188</v>
      </c>
      <c r="D616" t="s">
        <v>1282</v>
      </c>
      <c r="E616">
        <v>0</v>
      </c>
      <c r="F616">
        <v>5500000</v>
      </c>
      <c r="G616">
        <v>5140545.05</v>
      </c>
      <c r="H616">
        <v>586788.28</v>
      </c>
      <c r="I616" t="s">
        <v>1039</v>
      </c>
      <c r="J616">
        <v>56800</v>
      </c>
      <c r="K616">
        <v>550000</v>
      </c>
      <c r="L616">
        <v>198767.74</v>
      </c>
      <c r="M616">
        <v>6454671.0700000003</v>
      </c>
      <c r="N616" s="143">
        <v>42977.704196030092</v>
      </c>
      <c r="O616" s="143">
        <v>43344</v>
      </c>
      <c r="P616" t="s">
        <v>3189</v>
      </c>
      <c r="Q616" t="s">
        <v>1280</v>
      </c>
      <c r="R616" t="s">
        <v>1280</v>
      </c>
      <c r="S616" t="s">
        <v>1510</v>
      </c>
      <c r="T616">
        <v>48</v>
      </c>
      <c r="U616">
        <f>IF(Table__192.168.1.150_M_CONSOLIDATED_Delinquency_Compulsory_EOM[[#This Row],[Days in Arrears]] &lt; 8, Table__192.168.1.150_M_CONSOLIDATED_Delinquency_Compulsory_EOM[[#This Row],[Outstanding Balance]], 0 )</f>
        <v>5140545.05</v>
      </c>
      <c r="V6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6" s="105" t="str">
        <f>VLOOKUP(Table__192.168.1.150_M_CONSOLIDATED_Delinquency_Compulsory_EOM[[#This Row],[Client No]],'Global Portfolio'!$B$2:$N$2500,10,FALSE)</f>
        <v>Retail</v>
      </c>
      <c r="AA616" s="105" t="str">
        <f>VLOOKUP(Table__192.168.1.150_M_CONSOLIDATED_Delinquency_Compulsory_EOM[[#This Row],[Client No]],'Global Portfolio'!$B$2:$N$2500,11,FALSE)</f>
        <v>General Merchandise Stores</v>
      </c>
      <c r="AB616" s="105" t="str">
        <f>VLOOKUP(Table__192.168.1.150_M_CONSOLIDATED_Delinquency_Compulsory_EOM[[#This Row],[Client No]],'Global Portfolio'!$B$2:$N$2500,12,FALSE)</f>
        <v>General Stores</v>
      </c>
    </row>
    <row r="617" spans="1:28" x14ac:dyDescent="0.25">
      <c r="A617">
        <v>103325</v>
      </c>
      <c r="B617" t="s">
        <v>868</v>
      </c>
      <c r="C617" t="s">
        <v>869</v>
      </c>
      <c r="D617" t="s">
        <v>1284</v>
      </c>
      <c r="E617">
        <v>0</v>
      </c>
      <c r="F617">
        <v>27000000</v>
      </c>
      <c r="G617">
        <v>25871959.25</v>
      </c>
      <c r="H617">
        <v>1965040.75</v>
      </c>
      <c r="I617" t="s">
        <v>86</v>
      </c>
      <c r="J617">
        <v>0</v>
      </c>
      <c r="K617">
        <v>1350000</v>
      </c>
      <c r="L617">
        <v>750286.82</v>
      </c>
      <c r="M617">
        <v>33405692.629999999</v>
      </c>
      <c r="N617" s="143">
        <v>42978.51465853009</v>
      </c>
      <c r="O617" s="143">
        <v>43525</v>
      </c>
      <c r="P617" t="s">
        <v>870</v>
      </c>
      <c r="Q617" t="s">
        <v>871</v>
      </c>
      <c r="R617" t="s">
        <v>1280</v>
      </c>
      <c r="S617" t="s">
        <v>1510</v>
      </c>
      <c r="T617">
        <v>36</v>
      </c>
      <c r="U617">
        <f>IF(Table__192.168.1.150_M_CONSOLIDATED_Delinquency_Compulsory_EOM[[#This Row],[Days in Arrears]] &lt; 8, Table__192.168.1.150_M_CONSOLIDATED_Delinquency_Compulsory_EOM[[#This Row],[Outstanding Balance]], 0 )</f>
        <v>25871959.25</v>
      </c>
      <c r="V6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7" s="105" t="str">
        <f>VLOOKUP(Table__192.168.1.150_M_CONSOLIDATED_Delinquency_Compulsory_EOM[[#This Row],[Client No]],'Global Portfolio'!$B$2:$N$2500,10,FALSE)</f>
        <v>Retail</v>
      </c>
      <c r="AA617" s="105" t="str">
        <f>VLOOKUP(Table__192.168.1.150_M_CONSOLIDATED_Delinquency_Compulsory_EOM[[#This Row],[Client No]],'Global Portfolio'!$B$2:$N$2500,11,FALSE)</f>
        <v>General Merchandise Stores</v>
      </c>
      <c r="AB617" s="105" t="str">
        <f>VLOOKUP(Table__192.168.1.150_M_CONSOLIDATED_Delinquency_Compulsory_EOM[[#This Row],[Client No]],'Global Portfolio'!$B$2:$N$2500,12,FALSE)</f>
        <v>General Stores</v>
      </c>
    </row>
    <row r="618" spans="1:28" x14ac:dyDescent="0.25">
      <c r="A618">
        <v>103326</v>
      </c>
      <c r="B618" t="s">
        <v>5370</v>
      </c>
      <c r="C618" t="s">
        <v>5374</v>
      </c>
      <c r="D618" t="s">
        <v>1282</v>
      </c>
      <c r="E618">
        <v>0</v>
      </c>
      <c r="F618">
        <v>5000000</v>
      </c>
      <c r="G618">
        <v>4599698.87</v>
      </c>
      <c r="H618">
        <v>632801.13</v>
      </c>
      <c r="I618" t="s">
        <v>1191</v>
      </c>
      <c r="J618">
        <v>0</v>
      </c>
      <c r="K618">
        <v>500000</v>
      </c>
      <c r="L618">
        <v>200086.9</v>
      </c>
      <c r="M618">
        <v>5695210.21</v>
      </c>
      <c r="N618" s="143">
        <v>42978.663012650461</v>
      </c>
      <c r="O618" s="143">
        <v>43282</v>
      </c>
      <c r="P618" t="s">
        <v>5375</v>
      </c>
      <c r="Q618" t="s">
        <v>1280</v>
      </c>
      <c r="R618" t="s">
        <v>1280</v>
      </c>
      <c r="S618" t="s">
        <v>1510</v>
      </c>
      <c r="T618">
        <v>54</v>
      </c>
      <c r="U618">
        <f>IF(Table__192.168.1.150_M_CONSOLIDATED_Delinquency_Compulsory_EOM[[#This Row],[Days in Arrears]] &lt; 8, Table__192.168.1.150_M_CONSOLIDATED_Delinquency_Compulsory_EOM[[#This Row],[Outstanding Balance]], 0 )</f>
        <v>4599698.87</v>
      </c>
      <c r="V6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8" s="105" t="str">
        <f>VLOOKUP(Table__192.168.1.150_M_CONSOLIDATED_Delinquency_Compulsory_EOM[[#This Row],[Client No]],'Global Portfolio'!$B$2:$N$2500,10,FALSE)</f>
        <v>Wholesale Trade</v>
      </c>
      <c r="AA618" s="105" t="str">
        <f>VLOOKUP(Table__192.168.1.150_M_CONSOLIDATED_Delinquency_Compulsory_EOM[[#This Row],[Client No]],'Global Portfolio'!$B$2:$N$2500,11,FALSE)</f>
        <v>Durable Goods</v>
      </c>
      <c r="AB618" s="105" t="str">
        <f>VLOOKUP(Table__192.168.1.150_M_CONSOLIDATED_Delinquency_Compulsory_EOM[[#This Row],[Client No]],'Global Portfolio'!$B$2:$N$2500,12,FALSE)</f>
        <v>Recyclable Materials</v>
      </c>
    </row>
    <row r="619" spans="1:28" x14ac:dyDescent="0.25">
      <c r="A619">
        <v>103327</v>
      </c>
      <c r="B619" t="s">
        <v>5373</v>
      </c>
      <c r="C619" t="s">
        <v>5376</v>
      </c>
      <c r="D619" t="s">
        <v>1282</v>
      </c>
      <c r="E619">
        <v>0</v>
      </c>
      <c r="F619">
        <v>5000000</v>
      </c>
      <c r="G619">
        <v>4599698.87</v>
      </c>
      <c r="H619">
        <v>632801.13</v>
      </c>
      <c r="I619" t="s">
        <v>5352</v>
      </c>
      <c r="J619">
        <v>701998.87</v>
      </c>
      <c r="K619">
        <v>500000</v>
      </c>
      <c r="L619">
        <v>200086.9</v>
      </c>
      <c r="M619">
        <v>5695210.21</v>
      </c>
      <c r="N619" s="143">
        <v>42978.741225428239</v>
      </c>
      <c r="O619" s="143">
        <v>43282</v>
      </c>
      <c r="P619" t="s">
        <v>5377</v>
      </c>
      <c r="Q619" t="s">
        <v>5378</v>
      </c>
      <c r="R619" t="s">
        <v>1280</v>
      </c>
      <c r="S619" t="s">
        <v>1510</v>
      </c>
      <c r="T619">
        <v>54</v>
      </c>
      <c r="U619">
        <f>IF(Table__192.168.1.150_M_CONSOLIDATED_Delinquency_Compulsory_EOM[[#This Row],[Days in Arrears]] &lt; 8, Table__192.168.1.150_M_CONSOLIDATED_Delinquency_Compulsory_EOM[[#This Row],[Outstanding Balance]], 0 )</f>
        <v>4599698.87</v>
      </c>
      <c r="V6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19" s="105" t="str">
        <f>VLOOKUP(Table__192.168.1.150_M_CONSOLIDATED_Delinquency_Compulsory_EOM[[#This Row],[Client No]],'Global Portfolio'!$B$2:$N$2500,10,FALSE)</f>
        <v>Retail</v>
      </c>
      <c r="AA619" s="105" t="str">
        <f>VLOOKUP(Table__192.168.1.150_M_CONSOLIDATED_Delinquency_Compulsory_EOM[[#This Row],[Client No]],'Global Portfolio'!$B$2:$N$2500,11,FALSE)</f>
        <v>General Merchandise Stores</v>
      </c>
      <c r="AB619" s="105" t="str">
        <f>VLOOKUP(Table__192.168.1.150_M_CONSOLIDATED_Delinquency_Compulsory_EOM[[#This Row],[Client No]],'Global Portfolio'!$B$2:$N$2500,12,FALSE)</f>
        <v>General Stores</v>
      </c>
    </row>
    <row r="620" spans="1:28" x14ac:dyDescent="0.25">
      <c r="A620">
        <v>103328</v>
      </c>
      <c r="B620" t="s">
        <v>5372</v>
      </c>
      <c r="C620" t="s">
        <v>5379</v>
      </c>
      <c r="D620" t="s">
        <v>1282</v>
      </c>
      <c r="E620">
        <v>0</v>
      </c>
      <c r="F620">
        <v>13000000</v>
      </c>
      <c r="G620">
        <v>11080463.140000001</v>
      </c>
      <c r="H620">
        <v>2524036.86</v>
      </c>
      <c r="I620" t="s">
        <v>2175</v>
      </c>
      <c r="J620">
        <v>2542963.14</v>
      </c>
      <c r="K620">
        <v>1300000</v>
      </c>
      <c r="L620">
        <v>482000.15</v>
      </c>
      <c r="M620">
        <v>12620184.32</v>
      </c>
      <c r="N620" s="143">
        <v>42978.731462037038</v>
      </c>
      <c r="O620" s="143">
        <v>43160</v>
      </c>
      <c r="P620" t="s">
        <v>5380</v>
      </c>
      <c r="Q620" t="s">
        <v>5381</v>
      </c>
      <c r="R620" t="s">
        <v>1280</v>
      </c>
      <c r="S620" t="s">
        <v>1510</v>
      </c>
      <c r="T620">
        <v>54</v>
      </c>
      <c r="U620">
        <f>IF(Table__192.168.1.150_M_CONSOLIDATED_Delinquency_Compulsory_EOM[[#This Row],[Days in Arrears]] &lt; 8, Table__192.168.1.150_M_CONSOLIDATED_Delinquency_Compulsory_EOM[[#This Row],[Outstanding Balance]], 0 )</f>
        <v>11080463.140000001</v>
      </c>
      <c r="V6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0" s="105" t="str">
        <f>VLOOKUP(Table__192.168.1.150_M_CONSOLIDATED_Delinquency_Compulsory_EOM[[#This Row],[Client No]],'Global Portfolio'!$B$2:$N$2500,10,FALSE)</f>
        <v>Retail</v>
      </c>
      <c r="AA620" s="105" t="str">
        <f>VLOOKUP(Table__192.168.1.150_M_CONSOLIDATED_Delinquency_Compulsory_EOM[[#This Row],[Client No]],'Global Portfolio'!$B$2:$N$2500,11,FALSE)</f>
        <v>General Merchandise Stores</v>
      </c>
      <c r="AB620" s="105" t="str">
        <f>VLOOKUP(Table__192.168.1.150_M_CONSOLIDATED_Delinquency_Compulsory_EOM[[#This Row],[Client No]],'Global Portfolio'!$B$2:$N$2500,12,FALSE)</f>
        <v>General Stores</v>
      </c>
    </row>
    <row r="621" spans="1:28" x14ac:dyDescent="0.25">
      <c r="A621">
        <v>103329</v>
      </c>
      <c r="B621" t="s">
        <v>5388</v>
      </c>
      <c r="C621" t="s">
        <v>5392</v>
      </c>
      <c r="D621" t="s">
        <v>1281</v>
      </c>
      <c r="E621">
        <v>-3</v>
      </c>
      <c r="F621">
        <v>17000000</v>
      </c>
      <c r="G621">
        <v>15584053.949999999</v>
      </c>
      <c r="H621">
        <v>2095946.05</v>
      </c>
      <c r="I621" t="s">
        <v>2175</v>
      </c>
      <c r="J621">
        <v>18383</v>
      </c>
      <c r="K621">
        <v>1275000</v>
      </c>
      <c r="L621">
        <v>540247.19999999995</v>
      </c>
      <c r="M621">
        <v>18863514.48</v>
      </c>
      <c r="N621" s="143">
        <v>42982.679339236114</v>
      </c>
      <c r="O621" s="143">
        <v>43285</v>
      </c>
      <c r="P621" t="s">
        <v>5393</v>
      </c>
      <c r="Q621" t="s">
        <v>5394</v>
      </c>
      <c r="R621" t="s">
        <v>1280</v>
      </c>
      <c r="S621" t="s">
        <v>1510</v>
      </c>
      <c r="T621">
        <v>48</v>
      </c>
      <c r="U621">
        <f>IF(Table__192.168.1.150_M_CONSOLIDATED_Delinquency_Compulsory_EOM[[#This Row],[Days in Arrears]] &lt; 8, Table__192.168.1.150_M_CONSOLIDATED_Delinquency_Compulsory_EOM[[#This Row],[Outstanding Balance]], 0 )</f>
        <v>15584053.949999999</v>
      </c>
      <c r="V6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1" s="105" t="str">
        <f>VLOOKUP(Table__192.168.1.150_M_CONSOLIDATED_Delinquency_Compulsory_EOM[[#This Row],[Client No]],'Global Portfolio'!$B$2:$N$2500,10,FALSE)</f>
        <v>Retail</v>
      </c>
      <c r="AA621" s="105" t="str">
        <f>VLOOKUP(Table__192.168.1.150_M_CONSOLIDATED_Delinquency_Compulsory_EOM[[#This Row],[Client No]],'Global Portfolio'!$B$2:$N$2500,11,FALSE)</f>
        <v>General Merchandise Stores</v>
      </c>
      <c r="AB621" s="105" t="str">
        <f>VLOOKUP(Table__192.168.1.150_M_CONSOLIDATED_Delinquency_Compulsory_EOM[[#This Row],[Client No]],'Global Portfolio'!$B$2:$N$2500,12,FALSE)</f>
        <v>General Stores</v>
      </c>
    </row>
    <row r="622" spans="1:28" x14ac:dyDescent="0.25">
      <c r="A622">
        <v>103330</v>
      </c>
      <c r="B622" t="s">
        <v>5400</v>
      </c>
      <c r="C622" t="s">
        <v>5402</v>
      </c>
      <c r="D622" t="s">
        <v>1284</v>
      </c>
      <c r="E622">
        <v>-5</v>
      </c>
      <c r="F622">
        <v>35000000</v>
      </c>
      <c r="G622">
        <v>33505195.640000001</v>
      </c>
      <c r="H622">
        <v>2544804.36</v>
      </c>
      <c r="I622" t="s">
        <v>2855</v>
      </c>
      <c r="J622">
        <v>11195.64</v>
      </c>
      <c r="K622">
        <v>0</v>
      </c>
      <c r="L622">
        <v>804124.7</v>
      </c>
      <c r="M622">
        <v>43261674.020000003</v>
      </c>
      <c r="N622" s="143">
        <v>42984.636498807871</v>
      </c>
      <c r="O622" s="143">
        <v>43530</v>
      </c>
      <c r="P622" t="s">
        <v>5403</v>
      </c>
      <c r="Q622" t="s">
        <v>5404</v>
      </c>
      <c r="R622" t="s">
        <v>1280</v>
      </c>
      <c r="S622" t="s">
        <v>1510</v>
      </c>
      <c r="T622">
        <v>36</v>
      </c>
      <c r="U622">
        <f>IF(Table__192.168.1.150_M_CONSOLIDATED_Delinquency_Compulsory_EOM[[#This Row],[Days in Arrears]] &lt; 8, Table__192.168.1.150_M_CONSOLIDATED_Delinquency_Compulsory_EOM[[#This Row],[Outstanding Balance]], 0 )</f>
        <v>33505195.640000001</v>
      </c>
      <c r="V6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2" s="105" t="str">
        <f>VLOOKUP(Table__192.168.1.150_M_CONSOLIDATED_Delinquency_Compulsory_EOM[[#This Row],[Client No]],'Global Portfolio'!$B$2:$N$2500,10,FALSE)</f>
        <v>Real Estate and Rental</v>
      </c>
      <c r="AA622" s="105" t="str">
        <f>VLOOKUP(Table__192.168.1.150_M_CONSOLIDATED_Delinquency_Compulsory_EOM[[#This Row],[Client No]],'Global Portfolio'!$B$2:$N$2500,11,FALSE)</f>
        <v>Rental</v>
      </c>
      <c r="AB622" s="105" t="str">
        <f>VLOOKUP(Table__192.168.1.150_M_CONSOLIDATED_Delinquency_Compulsory_EOM[[#This Row],[Client No]],'Global Portfolio'!$B$2:$N$2500,12,FALSE)</f>
        <v>General Rental Centers</v>
      </c>
    </row>
    <row r="623" spans="1:28" x14ac:dyDescent="0.25">
      <c r="A623">
        <v>103331</v>
      </c>
      <c r="B623" t="s">
        <v>3386</v>
      </c>
      <c r="C623" t="s">
        <v>3387</v>
      </c>
      <c r="D623" t="s">
        <v>1866</v>
      </c>
      <c r="E623">
        <v>20</v>
      </c>
      <c r="F623">
        <v>10000000</v>
      </c>
      <c r="G623">
        <v>10000000</v>
      </c>
      <c r="H623">
        <v>1045015.67</v>
      </c>
      <c r="I623" t="s">
        <v>1191</v>
      </c>
      <c r="J623">
        <v>0</v>
      </c>
      <c r="K623">
        <v>1000000</v>
      </c>
      <c r="L623">
        <v>571978.18999999994</v>
      </c>
      <c r="M623">
        <v>12529030.1</v>
      </c>
      <c r="N623" s="143">
        <v>42989.615845219909</v>
      </c>
      <c r="O623" s="143">
        <v>43354</v>
      </c>
      <c r="P623" t="s">
        <v>3388</v>
      </c>
      <c r="Q623" t="s">
        <v>3389</v>
      </c>
      <c r="R623" t="s">
        <v>1280</v>
      </c>
      <c r="S623" t="s">
        <v>1510</v>
      </c>
      <c r="T623">
        <v>44</v>
      </c>
      <c r="U623">
        <f>IF(Table__192.168.1.150_M_CONSOLIDATED_Delinquency_Compulsory_EOM[[#This Row],[Days in Arrears]] &lt; 8, Table__192.168.1.150_M_CONSOLIDATED_Delinquency_Compulsory_EOM[[#This Row],[Outstanding Balance]], 0 )</f>
        <v>0</v>
      </c>
      <c r="V6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10000000</v>
      </c>
      <c r="W6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3" s="105" t="str">
        <f>VLOOKUP(Table__192.168.1.150_M_CONSOLIDATED_Delinquency_Compulsory_EOM[[#This Row],[Client No]],'Global Portfolio'!$B$2:$N$2500,10,FALSE)</f>
        <v>Retail</v>
      </c>
      <c r="AA623" s="105" t="str">
        <f>VLOOKUP(Table__192.168.1.150_M_CONSOLIDATED_Delinquency_Compulsory_EOM[[#This Row],[Client No]],'Global Portfolio'!$B$2:$N$2500,11,FALSE)</f>
        <v>General Merchandise Stores</v>
      </c>
      <c r="AB623" s="105" t="str">
        <f>VLOOKUP(Table__192.168.1.150_M_CONSOLIDATED_Delinquency_Compulsory_EOM[[#This Row],[Client No]],'Global Portfolio'!$B$2:$N$2500,12,FALSE)</f>
        <v>General Stores</v>
      </c>
    </row>
    <row r="624" spans="1:28" x14ac:dyDescent="0.25">
      <c r="A624">
        <v>103332</v>
      </c>
      <c r="B624" t="s">
        <v>5542</v>
      </c>
      <c r="C624" t="s">
        <v>5544</v>
      </c>
      <c r="D624" t="s">
        <v>1284</v>
      </c>
      <c r="E624">
        <v>-21</v>
      </c>
      <c r="F624">
        <v>20000000</v>
      </c>
      <c r="G624">
        <v>18950683.91</v>
      </c>
      <c r="H624">
        <v>1715982.76</v>
      </c>
      <c r="I624" t="s">
        <v>2494</v>
      </c>
      <c r="J624">
        <v>83424.52</v>
      </c>
      <c r="K624">
        <v>1000000</v>
      </c>
      <c r="L624">
        <v>168450.52</v>
      </c>
      <c r="M624">
        <v>24023758.609999999</v>
      </c>
      <c r="N624" s="143">
        <v>43000.551402893521</v>
      </c>
      <c r="O624" s="143">
        <v>43456</v>
      </c>
      <c r="P624" t="s">
        <v>5545</v>
      </c>
      <c r="Q624" t="s">
        <v>1280</v>
      </c>
      <c r="R624" t="s">
        <v>1280</v>
      </c>
      <c r="S624" t="s">
        <v>1510</v>
      </c>
      <c r="T624">
        <v>40</v>
      </c>
      <c r="U624">
        <f>IF(Table__192.168.1.150_M_CONSOLIDATED_Delinquency_Compulsory_EOM[[#This Row],[Days in Arrears]] &lt; 8, Table__192.168.1.150_M_CONSOLIDATED_Delinquency_Compulsory_EOM[[#This Row],[Outstanding Balance]], 0 )</f>
        <v>18950683.91</v>
      </c>
      <c r="V6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4" s="105" t="str">
        <f>VLOOKUP(Table__192.168.1.150_M_CONSOLIDATED_Delinquency_Compulsory_EOM[[#This Row],[Client No]],'Global Portfolio'!$B$2:$N$2500,10,FALSE)</f>
        <v>Real Estate and Rental</v>
      </c>
      <c r="AA624" s="105" t="str">
        <f>VLOOKUP(Table__192.168.1.150_M_CONSOLIDATED_Delinquency_Compulsory_EOM[[#This Row],[Client No]],'Global Portfolio'!$B$2:$N$2500,11,FALSE)</f>
        <v>Rental</v>
      </c>
      <c r="AB624" s="105" t="str">
        <f>VLOOKUP(Table__192.168.1.150_M_CONSOLIDATED_Delinquency_Compulsory_EOM[[#This Row],[Client No]],'Global Portfolio'!$B$2:$N$2500,12,FALSE)</f>
        <v>Machinery &amp; Equipment</v>
      </c>
    </row>
    <row r="625" spans="1:28" x14ac:dyDescent="0.25">
      <c r="A625">
        <v>103333</v>
      </c>
      <c r="B625" t="s">
        <v>5431</v>
      </c>
      <c r="C625" t="s">
        <v>5434</v>
      </c>
      <c r="D625" t="s">
        <v>1282</v>
      </c>
      <c r="E625">
        <v>-11</v>
      </c>
      <c r="F625">
        <v>2500000</v>
      </c>
      <c r="G625">
        <v>2296552.9500000002</v>
      </c>
      <c r="H625">
        <v>315947.05</v>
      </c>
      <c r="I625" t="s">
        <v>2175</v>
      </c>
      <c r="J625">
        <v>52052.95</v>
      </c>
      <c r="K625">
        <v>250000</v>
      </c>
      <c r="L625">
        <v>62006.93</v>
      </c>
      <c r="M625">
        <v>2843523.52</v>
      </c>
      <c r="N625" s="143">
        <v>42990.502439895834</v>
      </c>
      <c r="O625" s="143">
        <v>43293</v>
      </c>
      <c r="P625" t="s">
        <v>5435</v>
      </c>
      <c r="Q625" t="s">
        <v>5436</v>
      </c>
      <c r="R625" t="s">
        <v>1280</v>
      </c>
      <c r="S625" t="s">
        <v>1510</v>
      </c>
      <c r="T625">
        <v>54</v>
      </c>
      <c r="U625">
        <f>IF(Table__192.168.1.150_M_CONSOLIDATED_Delinquency_Compulsory_EOM[[#This Row],[Days in Arrears]] &lt; 8, Table__192.168.1.150_M_CONSOLIDATED_Delinquency_Compulsory_EOM[[#This Row],[Outstanding Balance]], 0 )</f>
        <v>2296552.9500000002</v>
      </c>
      <c r="V6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5" s="105" t="str">
        <f>VLOOKUP(Table__192.168.1.150_M_CONSOLIDATED_Delinquency_Compulsory_EOM[[#This Row],[Client No]],'Global Portfolio'!$B$2:$N$2500,10,FALSE)</f>
        <v>Retail</v>
      </c>
      <c r="AA625" s="105" t="str">
        <f>VLOOKUP(Table__192.168.1.150_M_CONSOLIDATED_Delinquency_Compulsory_EOM[[#This Row],[Client No]],'Global Portfolio'!$B$2:$N$2500,11,FALSE)</f>
        <v>General Merchandise Stores</v>
      </c>
      <c r="AB625" s="105" t="str">
        <f>VLOOKUP(Table__192.168.1.150_M_CONSOLIDATED_Delinquency_Compulsory_EOM[[#This Row],[Client No]],'Global Portfolio'!$B$2:$N$2500,12,FALSE)</f>
        <v>General Stores</v>
      </c>
    </row>
    <row r="626" spans="1:28" x14ac:dyDescent="0.25">
      <c r="A626">
        <v>103334</v>
      </c>
      <c r="B626" t="s">
        <v>5432</v>
      </c>
      <c r="C626" t="s">
        <v>5437</v>
      </c>
      <c r="D626" t="s">
        <v>1282</v>
      </c>
      <c r="E626">
        <v>-11</v>
      </c>
      <c r="F626">
        <v>6000000</v>
      </c>
      <c r="G626">
        <v>5511727.0700000003</v>
      </c>
      <c r="H626">
        <v>758272.93</v>
      </c>
      <c r="I626" t="s">
        <v>5124</v>
      </c>
      <c r="J626">
        <v>149727.07</v>
      </c>
      <c r="K626">
        <v>600000</v>
      </c>
      <c r="L626">
        <v>148816.63</v>
      </c>
      <c r="M626">
        <v>6824456.3700000001</v>
      </c>
      <c r="N626" s="143">
        <v>42990.598106481484</v>
      </c>
      <c r="O626" s="143">
        <v>43293</v>
      </c>
      <c r="P626" t="s">
        <v>5438</v>
      </c>
      <c r="Q626" t="s">
        <v>5439</v>
      </c>
      <c r="R626" t="s">
        <v>1280</v>
      </c>
      <c r="S626" t="s">
        <v>1510</v>
      </c>
      <c r="T626">
        <v>54</v>
      </c>
      <c r="U626">
        <f>IF(Table__192.168.1.150_M_CONSOLIDATED_Delinquency_Compulsory_EOM[[#This Row],[Days in Arrears]] &lt; 8, Table__192.168.1.150_M_CONSOLIDATED_Delinquency_Compulsory_EOM[[#This Row],[Outstanding Balance]], 0 )</f>
        <v>5511727.0700000003</v>
      </c>
      <c r="V6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6" s="105" t="str">
        <f>VLOOKUP(Table__192.168.1.150_M_CONSOLIDATED_Delinquency_Compulsory_EOM[[#This Row],[Client No]],'Global Portfolio'!$B$2:$N$2500,10,FALSE)</f>
        <v>Retail</v>
      </c>
      <c r="AA626" s="105" t="str">
        <f>VLOOKUP(Table__192.168.1.150_M_CONSOLIDATED_Delinquency_Compulsory_EOM[[#This Row],[Client No]],'Global Portfolio'!$B$2:$N$2500,11,FALSE)</f>
        <v>General Merchandise Stores</v>
      </c>
      <c r="AB626" s="105" t="str">
        <f>VLOOKUP(Table__192.168.1.150_M_CONSOLIDATED_Delinquency_Compulsory_EOM[[#This Row],[Client No]],'Global Portfolio'!$B$2:$N$2500,12,FALSE)</f>
        <v>General Stores</v>
      </c>
    </row>
    <row r="627" spans="1:28" x14ac:dyDescent="0.25">
      <c r="A627">
        <v>103335</v>
      </c>
      <c r="B627" t="s">
        <v>5443</v>
      </c>
      <c r="C627" t="s">
        <v>5446</v>
      </c>
      <c r="D627" t="s">
        <v>1281</v>
      </c>
      <c r="E627">
        <v>-12</v>
      </c>
      <c r="F627">
        <v>30000000</v>
      </c>
      <c r="G627">
        <v>28445247.920000002</v>
      </c>
      <c r="H627">
        <v>2604752.08</v>
      </c>
      <c r="I627" t="s">
        <v>90</v>
      </c>
      <c r="J627">
        <v>0</v>
      </c>
      <c r="K627">
        <v>2250000</v>
      </c>
      <c r="L627">
        <v>564164.07999999996</v>
      </c>
      <c r="M627">
        <v>36466529.140000001</v>
      </c>
      <c r="N627" s="143">
        <v>42991.676158298615</v>
      </c>
      <c r="O627" s="143">
        <v>43447</v>
      </c>
      <c r="P627" t="s">
        <v>5447</v>
      </c>
      <c r="Q627" t="s">
        <v>1280</v>
      </c>
      <c r="R627" t="s">
        <v>1280</v>
      </c>
      <c r="S627" t="s">
        <v>1510</v>
      </c>
      <c r="T627">
        <v>42</v>
      </c>
      <c r="U627">
        <f>IF(Table__192.168.1.150_M_CONSOLIDATED_Delinquency_Compulsory_EOM[[#This Row],[Days in Arrears]] &lt; 8, Table__192.168.1.150_M_CONSOLIDATED_Delinquency_Compulsory_EOM[[#This Row],[Outstanding Balance]], 0 )</f>
        <v>28445247.920000002</v>
      </c>
      <c r="V6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7" s="105" t="str">
        <f>VLOOKUP(Table__192.168.1.150_M_CONSOLIDATED_Delinquency_Compulsory_EOM[[#This Row],[Client No]],'Global Portfolio'!$B$2:$N$2500,10,FALSE)</f>
        <v>Health Care</v>
      </c>
      <c r="AA627" s="105" t="str">
        <f>VLOOKUP(Table__192.168.1.150_M_CONSOLIDATED_Delinquency_Compulsory_EOM[[#This Row],[Client No]],'Global Portfolio'!$B$2:$N$2500,11,FALSE)</f>
        <v>Health Care</v>
      </c>
      <c r="AB627" s="105" t="str">
        <f>VLOOKUP(Table__192.168.1.150_M_CONSOLIDATED_Delinquency_Compulsory_EOM[[#This Row],[Client No]],'Global Portfolio'!$B$2:$N$2500,12,FALSE)</f>
        <v xml:space="preserve"> Medical &amp; Diagnostic Laboratories</v>
      </c>
    </row>
    <row r="628" spans="1:28" x14ac:dyDescent="0.25">
      <c r="A628">
        <v>103336</v>
      </c>
      <c r="B628" t="s">
        <v>5445</v>
      </c>
      <c r="C628" t="s">
        <v>5448</v>
      </c>
      <c r="D628" t="s">
        <v>1866</v>
      </c>
      <c r="E628">
        <v>-12</v>
      </c>
      <c r="F628">
        <v>8000000</v>
      </c>
      <c r="G628">
        <v>7338805.3099999996</v>
      </c>
      <c r="H628">
        <v>994528.02</v>
      </c>
      <c r="I628" t="s">
        <v>5124</v>
      </c>
      <c r="J628">
        <v>38271.980000000003</v>
      </c>
      <c r="K628">
        <v>800000</v>
      </c>
      <c r="L628">
        <v>173277.35</v>
      </c>
      <c r="M628">
        <v>8950752.1199999992</v>
      </c>
      <c r="N628" s="143">
        <v>42991.640739548609</v>
      </c>
      <c r="O628" s="143">
        <v>43294</v>
      </c>
      <c r="P628" t="s">
        <v>5449</v>
      </c>
      <c r="Q628" t="s">
        <v>5450</v>
      </c>
      <c r="R628" t="s">
        <v>1280</v>
      </c>
      <c r="S628" t="s">
        <v>1510</v>
      </c>
      <c r="T628">
        <v>50</v>
      </c>
      <c r="U628">
        <f>IF(Table__192.168.1.150_M_CONSOLIDATED_Delinquency_Compulsory_EOM[[#This Row],[Days in Arrears]] &lt; 8, Table__192.168.1.150_M_CONSOLIDATED_Delinquency_Compulsory_EOM[[#This Row],[Outstanding Balance]], 0 )</f>
        <v>7338805.3099999996</v>
      </c>
      <c r="V6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8" s="105" t="str">
        <f>VLOOKUP(Table__192.168.1.150_M_CONSOLIDATED_Delinquency_Compulsory_EOM[[#This Row],[Client No]],'Global Portfolio'!$B$2:$N$2500,10,FALSE)</f>
        <v>Retail</v>
      </c>
      <c r="AA628" s="105" t="str">
        <f>VLOOKUP(Table__192.168.1.150_M_CONSOLIDATED_Delinquency_Compulsory_EOM[[#This Row],[Client No]],'Global Portfolio'!$B$2:$N$2500,11,FALSE)</f>
        <v>General Merchandise Stores</v>
      </c>
      <c r="AB628" s="105" t="str">
        <f>VLOOKUP(Table__192.168.1.150_M_CONSOLIDATED_Delinquency_Compulsory_EOM[[#This Row],[Client No]],'Global Portfolio'!$B$2:$N$2500,12,FALSE)</f>
        <v>General Stores</v>
      </c>
    </row>
    <row r="629" spans="1:28" x14ac:dyDescent="0.25">
      <c r="A629">
        <v>103337</v>
      </c>
      <c r="B629" t="s">
        <v>1437</v>
      </c>
      <c r="C629" t="s">
        <v>1438</v>
      </c>
      <c r="D629" t="s">
        <v>1281</v>
      </c>
      <c r="E629">
        <v>-14</v>
      </c>
      <c r="F629">
        <v>20000000</v>
      </c>
      <c r="G629">
        <v>19183663.18</v>
      </c>
      <c r="H629">
        <v>1516336.82</v>
      </c>
      <c r="I629" t="s">
        <v>963</v>
      </c>
      <c r="J629">
        <v>508737.19</v>
      </c>
      <c r="K629">
        <v>0</v>
      </c>
      <c r="L629">
        <v>335714.11</v>
      </c>
      <c r="M629">
        <v>25777725.850000001</v>
      </c>
      <c r="N629" s="143">
        <v>42993.718332986115</v>
      </c>
      <c r="O629" s="143">
        <v>43539</v>
      </c>
      <c r="P629" t="s">
        <v>1439</v>
      </c>
      <c r="Q629" t="s">
        <v>1280</v>
      </c>
      <c r="R629" t="s">
        <v>1440</v>
      </c>
      <c r="S629" t="s">
        <v>1510</v>
      </c>
      <c r="T629">
        <v>42</v>
      </c>
      <c r="U629">
        <f>IF(Table__192.168.1.150_M_CONSOLIDATED_Delinquency_Compulsory_EOM[[#This Row],[Days in Arrears]] &lt; 8, Table__192.168.1.150_M_CONSOLIDATED_Delinquency_Compulsory_EOM[[#This Row],[Outstanding Balance]], 0 )</f>
        <v>19183663.18</v>
      </c>
      <c r="V6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29" s="105" t="str">
        <f>VLOOKUP(Table__192.168.1.150_M_CONSOLIDATED_Delinquency_Compulsory_EOM[[#This Row],[Client No]],'Global Portfolio'!$B$2:$N$2500,10,FALSE)</f>
        <v>Transportation and Warehousing</v>
      </c>
      <c r="AA629" s="105" t="str">
        <f>VLOOKUP(Table__192.168.1.150_M_CONSOLIDATED_Delinquency_Compulsory_EOM[[#This Row],[Client No]],'Global Portfolio'!$B$2:$N$2500,11,FALSE)</f>
        <v xml:space="preserve"> Passenger Transportation</v>
      </c>
      <c r="AB629" s="105" t="str">
        <f>VLOOKUP(Table__192.168.1.150_M_CONSOLIDATED_Delinquency_Compulsory_EOM[[#This Row],[Client No]],'Global Portfolio'!$B$2:$N$2500,12,FALSE)</f>
        <v>Taxi service</v>
      </c>
    </row>
    <row r="630" spans="1:28" x14ac:dyDescent="0.25">
      <c r="A630">
        <v>103338</v>
      </c>
      <c r="B630" t="s">
        <v>3397</v>
      </c>
      <c r="C630" t="s">
        <v>3403</v>
      </c>
      <c r="D630" t="s">
        <v>1282</v>
      </c>
      <c r="E630">
        <v>-13</v>
      </c>
      <c r="F630">
        <v>5000000</v>
      </c>
      <c r="G630">
        <v>4583545.28</v>
      </c>
      <c r="H630">
        <v>616454.72</v>
      </c>
      <c r="I630" t="s">
        <v>1447</v>
      </c>
      <c r="J630">
        <v>0</v>
      </c>
      <c r="K630">
        <v>500000</v>
      </c>
      <c r="L630">
        <v>97782.3</v>
      </c>
      <c r="M630">
        <v>5548092.5</v>
      </c>
      <c r="N630" s="143">
        <v>42992.475522997687</v>
      </c>
      <c r="O630" s="143">
        <v>43295</v>
      </c>
      <c r="P630" t="s">
        <v>3404</v>
      </c>
      <c r="Q630" t="s">
        <v>3405</v>
      </c>
      <c r="R630" t="s">
        <v>1280</v>
      </c>
      <c r="S630" t="s">
        <v>1510</v>
      </c>
      <c r="T630">
        <v>48</v>
      </c>
      <c r="U630">
        <f>IF(Table__192.168.1.150_M_CONSOLIDATED_Delinquency_Compulsory_EOM[[#This Row],[Days in Arrears]] &lt; 8, Table__192.168.1.150_M_CONSOLIDATED_Delinquency_Compulsory_EOM[[#This Row],[Outstanding Balance]], 0 )</f>
        <v>4583545.28</v>
      </c>
      <c r="V6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0" s="105" t="str">
        <f>VLOOKUP(Table__192.168.1.150_M_CONSOLIDATED_Delinquency_Compulsory_EOM[[#This Row],[Client No]],'Global Portfolio'!$B$2:$N$2500,10,FALSE)</f>
        <v>Real Estate and Rental</v>
      </c>
      <c r="AA630" s="105" t="str">
        <f>VLOOKUP(Table__192.168.1.150_M_CONSOLIDATED_Delinquency_Compulsory_EOM[[#This Row],[Client No]],'Global Portfolio'!$B$2:$N$2500,11,FALSE)</f>
        <v>Rental</v>
      </c>
      <c r="AB630" s="105" t="str">
        <f>VLOOKUP(Table__192.168.1.150_M_CONSOLIDATED_Delinquency_Compulsory_EOM[[#This Row],[Client No]],'Global Portfolio'!$B$2:$N$2500,12,FALSE)</f>
        <v>Video Tape &amp; Disc Rental</v>
      </c>
    </row>
    <row r="631" spans="1:28" x14ac:dyDescent="0.25">
      <c r="A631">
        <v>103339</v>
      </c>
      <c r="B631" t="s">
        <v>5453</v>
      </c>
      <c r="C631" t="s">
        <v>5459</v>
      </c>
      <c r="D631" t="s">
        <v>1281</v>
      </c>
      <c r="E631">
        <v>-13</v>
      </c>
      <c r="F631">
        <v>18000000</v>
      </c>
      <c r="G631">
        <v>16767288.91</v>
      </c>
      <c r="H631">
        <v>1862711.09</v>
      </c>
      <c r="I631" t="s">
        <v>2855</v>
      </c>
      <c r="J631">
        <v>17289.12</v>
      </c>
      <c r="K631">
        <v>1350000</v>
      </c>
      <c r="L631">
        <v>312989.39</v>
      </c>
      <c r="M631">
        <v>20489821.940000001</v>
      </c>
      <c r="N631" s="143">
        <v>42992.532625196756</v>
      </c>
      <c r="O631" s="143">
        <v>43357</v>
      </c>
      <c r="P631" t="s">
        <v>5460</v>
      </c>
      <c r="Q631" t="s">
        <v>1280</v>
      </c>
      <c r="R631" t="s">
        <v>5461</v>
      </c>
      <c r="S631" t="s">
        <v>1510</v>
      </c>
      <c r="T631">
        <v>42</v>
      </c>
      <c r="U631">
        <f>IF(Table__192.168.1.150_M_CONSOLIDATED_Delinquency_Compulsory_EOM[[#This Row],[Days in Arrears]] &lt; 8, Table__192.168.1.150_M_CONSOLIDATED_Delinquency_Compulsory_EOM[[#This Row],[Outstanding Balance]], 0 )</f>
        <v>16767288.91</v>
      </c>
      <c r="V6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1" s="105" t="str">
        <f>VLOOKUP(Table__192.168.1.150_M_CONSOLIDATED_Delinquency_Compulsory_EOM[[#This Row],[Client No]],'Global Portfolio'!$B$2:$N$2500,10,FALSE)</f>
        <v>Wholesale Trade</v>
      </c>
      <c r="AA631" s="105" t="str">
        <f>VLOOKUP(Table__192.168.1.150_M_CONSOLIDATED_Delinquency_Compulsory_EOM[[#This Row],[Client No]],'Global Portfolio'!$B$2:$N$2500,11,FALSE)</f>
        <v>Nondurable Goods</v>
      </c>
      <c r="AB631" s="105" t="str">
        <f>VLOOKUP(Table__192.168.1.150_M_CONSOLIDATED_Delinquency_Compulsory_EOM[[#This Row],[Client No]],'Global Portfolio'!$B$2:$N$2500,12,FALSE)</f>
        <v>Grocery</v>
      </c>
    </row>
    <row r="632" spans="1:28" x14ac:dyDescent="0.25">
      <c r="A632">
        <v>103340</v>
      </c>
      <c r="B632" t="s">
        <v>5458</v>
      </c>
      <c r="C632" t="s">
        <v>576</v>
      </c>
      <c r="D632" t="s">
        <v>1284</v>
      </c>
      <c r="E632">
        <v>-13</v>
      </c>
      <c r="F632">
        <v>12000000</v>
      </c>
      <c r="G632">
        <v>11170342.210000001</v>
      </c>
      <c r="H632">
        <v>1229657.79</v>
      </c>
      <c r="I632" t="s">
        <v>491</v>
      </c>
      <c r="J632">
        <v>39302.78</v>
      </c>
      <c r="K632">
        <v>600000</v>
      </c>
      <c r="L632">
        <v>198583.86</v>
      </c>
      <c r="M632">
        <v>13526235.75</v>
      </c>
      <c r="N632" s="143">
        <v>42992.651779201391</v>
      </c>
      <c r="O632" s="143">
        <v>43357</v>
      </c>
      <c r="P632" t="s">
        <v>5462</v>
      </c>
      <c r="Q632" t="s">
        <v>5463</v>
      </c>
      <c r="R632" t="s">
        <v>1280</v>
      </c>
      <c r="S632" t="s">
        <v>1510</v>
      </c>
      <c r="T632">
        <v>40</v>
      </c>
      <c r="U632">
        <f>IF(Table__192.168.1.150_M_CONSOLIDATED_Delinquency_Compulsory_EOM[[#This Row],[Days in Arrears]] &lt; 8, Table__192.168.1.150_M_CONSOLIDATED_Delinquency_Compulsory_EOM[[#This Row],[Outstanding Balance]], 0 )</f>
        <v>11170342.210000001</v>
      </c>
      <c r="V6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2" s="105" t="str">
        <f>VLOOKUP(Table__192.168.1.150_M_CONSOLIDATED_Delinquency_Compulsory_EOM[[#This Row],[Client No]],'Global Portfolio'!$B$2:$N$2500,10,FALSE)</f>
        <v>Real Estate and Rental</v>
      </c>
      <c r="AA632" s="105" t="str">
        <f>VLOOKUP(Table__192.168.1.150_M_CONSOLIDATED_Delinquency_Compulsory_EOM[[#This Row],[Client No]],'Global Portfolio'!$B$2:$N$2500,11,FALSE)</f>
        <v>Real Estate</v>
      </c>
      <c r="AB632" s="105" t="str">
        <f>VLOOKUP(Table__192.168.1.150_M_CONSOLIDATED_Delinquency_Compulsory_EOM[[#This Row],[Client No]],'Global Portfolio'!$B$2:$N$2500,12,FALSE)</f>
        <v>Real Estate</v>
      </c>
    </row>
    <row r="633" spans="1:28" x14ac:dyDescent="0.25">
      <c r="A633">
        <v>103341</v>
      </c>
      <c r="B633" t="s">
        <v>4049</v>
      </c>
      <c r="C633" t="s">
        <v>4050</v>
      </c>
      <c r="D633" t="s">
        <v>1867</v>
      </c>
      <c r="E633">
        <v>-13</v>
      </c>
      <c r="F633">
        <v>15000000</v>
      </c>
      <c r="G633">
        <v>12709976.869999999</v>
      </c>
      <c r="H633">
        <v>2815023.13</v>
      </c>
      <c r="I633" t="s">
        <v>90</v>
      </c>
      <c r="J633">
        <v>0</v>
      </c>
      <c r="K633">
        <v>2500000</v>
      </c>
      <c r="L633">
        <v>237252.9</v>
      </c>
      <c r="M633">
        <v>14075115.65</v>
      </c>
      <c r="N633" s="143">
        <v>42992.725817858794</v>
      </c>
      <c r="O633" s="143">
        <v>43173</v>
      </c>
      <c r="P633" t="s">
        <v>4051</v>
      </c>
      <c r="Q633" t="s">
        <v>1280</v>
      </c>
      <c r="R633" t="s">
        <v>1280</v>
      </c>
      <c r="S633" t="s">
        <v>1510</v>
      </c>
      <c r="T633">
        <v>42</v>
      </c>
      <c r="U633">
        <f>IF(Table__192.168.1.150_M_CONSOLIDATED_Delinquency_Compulsory_EOM[[#This Row],[Days in Arrears]] &lt; 8, Table__192.168.1.150_M_CONSOLIDATED_Delinquency_Compulsory_EOM[[#This Row],[Outstanding Balance]], 0 )</f>
        <v>12709976.869999999</v>
      </c>
      <c r="V6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3" s="105" t="str">
        <f>VLOOKUP(Table__192.168.1.150_M_CONSOLIDATED_Delinquency_Compulsory_EOM[[#This Row],[Client No]],'Global Portfolio'!$B$2:$N$2500,10,FALSE)</f>
        <v>Retail</v>
      </c>
      <c r="AA633" s="105" t="str">
        <f>VLOOKUP(Table__192.168.1.150_M_CONSOLIDATED_Delinquency_Compulsory_EOM[[#This Row],[Client No]],'Global Portfolio'!$B$2:$N$2500,11,FALSE)</f>
        <v>General Merchandise Stores</v>
      </c>
      <c r="AB633" s="105" t="str">
        <f>VLOOKUP(Table__192.168.1.150_M_CONSOLIDATED_Delinquency_Compulsory_EOM[[#This Row],[Client No]],'Global Portfolio'!$B$2:$N$2500,12,FALSE)</f>
        <v>General Stores</v>
      </c>
    </row>
    <row r="634" spans="1:28" x14ac:dyDescent="0.25">
      <c r="A634">
        <v>103342</v>
      </c>
      <c r="B634" t="s">
        <v>5473</v>
      </c>
      <c r="C634" t="s">
        <v>5476</v>
      </c>
      <c r="D634" t="s">
        <v>1867</v>
      </c>
      <c r="E634">
        <v>-14</v>
      </c>
      <c r="F634">
        <v>15000000</v>
      </c>
      <c r="G634">
        <v>14001717.41</v>
      </c>
      <c r="H634">
        <v>1598282.59</v>
      </c>
      <c r="I634" t="s">
        <v>1039</v>
      </c>
      <c r="J634">
        <v>739403.04</v>
      </c>
      <c r="K634">
        <v>0</v>
      </c>
      <c r="L634">
        <v>280034.34999999998</v>
      </c>
      <c r="M634">
        <v>17581108.5</v>
      </c>
      <c r="N634" s="143">
        <v>42993.698568599539</v>
      </c>
      <c r="O634" s="143">
        <v>43358</v>
      </c>
      <c r="P634" t="s">
        <v>5477</v>
      </c>
      <c r="Q634" t="s">
        <v>5478</v>
      </c>
      <c r="R634" t="s">
        <v>1280</v>
      </c>
      <c r="S634" t="s">
        <v>1510</v>
      </c>
      <c r="T634">
        <v>48</v>
      </c>
      <c r="U634">
        <f>IF(Table__192.168.1.150_M_CONSOLIDATED_Delinquency_Compulsory_EOM[[#This Row],[Days in Arrears]] &lt; 8, Table__192.168.1.150_M_CONSOLIDATED_Delinquency_Compulsory_EOM[[#This Row],[Outstanding Balance]], 0 )</f>
        <v>14001717.41</v>
      </c>
      <c r="V6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4" s="105" t="str">
        <f>VLOOKUP(Table__192.168.1.150_M_CONSOLIDATED_Delinquency_Compulsory_EOM[[#This Row],[Client No]],'Global Portfolio'!$B$2:$N$2500,10,FALSE)</f>
        <v>Retail</v>
      </c>
      <c r="AA634" s="105" t="str">
        <f>VLOOKUP(Table__192.168.1.150_M_CONSOLIDATED_Delinquency_Compulsory_EOM[[#This Row],[Client No]],'Global Portfolio'!$B$2:$N$2500,11,FALSE)</f>
        <v>Second Hand -Clothing and  Accessories</v>
      </c>
      <c r="AB634" s="105" t="str">
        <f>VLOOKUP(Table__192.168.1.150_M_CONSOLIDATED_Delinquency_Compulsory_EOM[[#This Row],[Client No]],'Global Portfolio'!$B$2:$N$2500,12,FALSE)</f>
        <v>Others</v>
      </c>
    </row>
    <row r="635" spans="1:28" x14ac:dyDescent="0.25">
      <c r="A635">
        <v>103343</v>
      </c>
      <c r="B635" t="s">
        <v>5474</v>
      </c>
      <c r="C635" t="s">
        <v>5479</v>
      </c>
      <c r="D635" t="s">
        <v>1281</v>
      </c>
      <c r="E635">
        <v>-14</v>
      </c>
      <c r="F635">
        <v>18000000</v>
      </c>
      <c r="G635">
        <v>16802060.890000001</v>
      </c>
      <c r="H635">
        <v>1917939.11</v>
      </c>
      <c r="I635" t="s">
        <v>2175</v>
      </c>
      <c r="J635">
        <v>0</v>
      </c>
      <c r="K635">
        <v>0</v>
      </c>
      <c r="L635">
        <v>336041.22</v>
      </c>
      <c r="M635">
        <v>21097330.199999999</v>
      </c>
      <c r="N635" s="143">
        <v>42993.773849502315</v>
      </c>
      <c r="O635" s="143">
        <v>43358</v>
      </c>
      <c r="P635" t="s">
        <v>5480</v>
      </c>
      <c r="Q635" t="s">
        <v>1280</v>
      </c>
      <c r="R635" t="s">
        <v>1280</v>
      </c>
      <c r="S635" t="s">
        <v>1510</v>
      </c>
      <c r="T635">
        <v>48</v>
      </c>
      <c r="U635">
        <f>IF(Table__192.168.1.150_M_CONSOLIDATED_Delinquency_Compulsory_EOM[[#This Row],[Days in Arrears]] &lt; 8, Table__192.168.1.150_M_CONSOLIDATED_Delinquency_Compulsory_EOM[[#This Row],[Outstanding Balance]], 0 )</f>
        <v>16802060.890000001</v>
      </c>
      <c r="V6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5" s="105" t="str">
        <f>VLOOKUP(Table__192.168.1.150_M_CONSOLIDATED_Delinquency_Compulsory_EOM[[#This Row],[Client No]],'Global Portfolio'!$B$2:$N$2500,10,FALSE)</f>
        <v>Retail</v>
      </c>
      <c r="AA635" s="105" t="str">
        <f>VLOOKUP(Table__192.168.1.150_M_CONSOLIDATED_Delinquency_Compulsory_EOM[[#This Row],[Client No]],'Global Portfolio'!$B$2:$N$2500,11,FALSE)</f>
        <v>General Merchandise Stores</v>
      </c>
      <c r="AB635" s="105" t="str">
        <f>VLOOKUP(Table__192.168.1.150_M_CONSOLIDATED_Delinquency_Compulsory_EOM[[#This Row],[Client No]],'Global Portfolio'!$B$2:$N$2500,12,FALSE)</f>
        <v>General Stores</v>
      </c>
    </row>
    <row r="636" spans="1:28" x14ac:dyDescent="0.25">
      <c r="A636">
        <v>103344</v>
      </c>
      <c r="B636" t="s">
        <v>2128</v>
      </c>
      <c r="C636" t="s">
        <v>2139</v>
      </c>
      <c r="D636" t="s">
        <v>1283</v>
      </c>
      <c r="E636">
        <v>-14</v>
      </c>
      <c r="F636">
        <v>31500000</v>
      </c>
      <c r="G636">
        <v>29280444.309999999</v>
      </c>
      <c r="H636">
        <v>3164555.69</v>
      </c>
      <c r="I636" t="s">
        <v>1467</v>
      </c>
      <c r="J636">
        <v>0</v>
      </c>
      <c r="K636">
        <v>1575000</v>
      </c>
      <c r="L636">
        <v>439206.66</v>
      </c>
      <c r="M636">
        <v>34810112.630000003</v>
      </c>
      <c r="N636" s="143">
        <v>42993.785429317133</v>
      </c>
      <c r="O636" s="143">
        <v>43358</v>
      </c>
      <c r="P636" t="s">
        <v>2140</v>
      </c>
      <c r="Q636" t="s">
        <v>1280</v>
      </c>
      <c r="R636" t="s">
        <v>2141</v>
      </c>
      <c r="S636" t="s">
        <v>1510</v>
      </c>
      <c r="T636">
        <v>36</v>
      </c>
      <c r="U636">
        <f>IF(Table__192.168.1.150_M_CONSOLIDATED_Delinquency_Compulsory_EOM[[#This Row],[Days in Arrears]] &lt; 8, Table__192.168.1.150_M_CONSOLIDATED_Delinquency_Compulsory_EOM[[#This Row],[Outstanding Balance]], 0 )</f>
        <v>29280444.309999999</v>
      </c>
      <c r="V6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6" s="105" t="str">
        <f>VLOOKUP(Table__192.168.1.150_M_CONSOLIDATED_Delinquency_Compulsory_EOM[[#This Row],[Client No]],'Global Portfolio'!$B$2:$N$2500,10,FALSE)</f>
        <v>Retail</v>
      </c>
      <c r="AA636" s="105" t="str">
        <f>VLOOKUP(Table__192.168.1.150_M_CONSOLIDATED_Delinquency_Compulsory_EOM[[#This Row],[Client No]],'Global Portfolio'!$B$2:$N$2500,11,FALSE)</f>
        <v>General Merchandise Stores</v>
      </c>
      <c r="AB636" s="105" t="str">
        <f>VLOOKUP(Table__192.168.1.150_M_CONSOLIDATED_Delinquency_Compulsory_EOM[[#This Row],[Client No]],'Global Portfolio'!$B$2:$N$2500,12,FALSE)</f>
        <v>General Stores</v>
      </c>
    </row>
    <row r="637" spans="1:28" x14ac:dyDescent="0.25">
      <c r="A637">
        <v>103345</v>
      </c>
      <c r="B637" t="s">
        <v>5490</v>
      </c>
      <c r="C637" t="s">
        <v>5492</v>
      </c>
      <c r="D637" t="s">
        <v>1282</v>
      </c>
      <c r="E637">
        <v>-15</v>
      </c>
      <c r="F637">
        <v>5000000</v>
      </c>
      <c r="G637">
        <v>4676669.0599999996</v>
      </c>
      <c r="H637">
        <v>548330.93999999994</v>
      </c>
      <c r="I637" t="s">
        <v>5491</v>
      </c>
      <c r="J637">
        <v>0</v>
      </c>
      <c r="K637">
        <v>500000</v>
      </c>
      <c r="L637">
        <v>98210.05</v>
      </c>
      <c r="M637">
        <v>6031640.3799999999</v>
      </c>
      <c r="N637" s="143">
        <v>42994.53301929398</v>
      </c>
      <c r="O637" s="143">
        <v>43359</v>
      </c>
      <c r="P637" t="s">
        <v>5493</v>
      </c>
      <c r="Q637" t="s">
        <v>5494</v>
      </c>
      <c r="R637" t="s">
        <v>1280</v>
      </c>
      <c r="S637" t="s">
        <v>1510</v>
      </c>
      <c r="T637">
        <v>54</v>
      </c>
      <c r="U637">
        <f>IF(Table__192.168.1.150_M_CONSOLIDATED_Delinquency_Compulsory_EOM[[#This Row],[Days in Arrears]] &lt; 8, Table__192.168.1.150_M_CONSOLIDATED_Delinquency_Compulsory_EOM[[#This Row],[Outstanding Balance]], 0 )</f>
        <v>4676669.0599999996</v>
      </c>
      <c r="V6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7" s="105" t="str">
        <f>VLOOKUP(Table__192.168.1.150_M_CONSOLIDATED_Delinquency_Compulsory_EOM[[#This Row],[Client No]],'Global Portfolio'!$B$2:$N$2500,10,FALSE)</f>
        <v>Retail</v>
      </c>
      <c r="AA637" s="105" t="str">
        <f>VLOOKUP(Table__192.168.1.150_M_CONSOLIDATED_Delinquency_Compulsory_EOM[[#This Row],[Client No]],'Global Portfolio'!$B$2:$N$2500,11,FALSE)</f>
        <v>General Merchandise Stores</v>
      </c>
      <c r="AB637" s="105" t="str">
        <f>VLOOKUP(Table__192.168.1.150_M_CONSOLIDATED_Delinquency_Compulsory_EOM[[#This Row],[Client No]],'Global Portfolio'!$B$2:$N$2500,12,FALSE)</f>
        <v>General Stores</v>
      </c>
    </row>
    <row r="638" spans="1:28" x14ac:dyDescent="0.25">
      <c r="A638">
        <v>103346</v>
      </c>
      <c r="B638" t="s">
        <v>5497</v>
      </c>
      <c r="C638" t="s">
        <v>5498</v>
      </c>
      <c r="D638" t="s">
        <v>1284</v>
      </c>
      <c r="E638">
        <v>-17</v>
      </c>
      <c r="F638">
        <v>20000000</v>
      </c>
      <c r="G638">
        <v>19145826.079999998</v>
      </c>
      <c r="H638">
        <v>1454173.92</v>
      </c>
      <c r="I638" t="s">
        <v>2855</v>
      </c>
      <c r="J638">
        <v>4108826.08</v>
      </c>
      <c r="K638">
        <v>0</v>
      </c>
      <c r="L638">
        <v>229749.91</v>
      </c>
      <c r="M638">
        <v>24720956.579999998</v>
      </c>
      <c r="N638" s="143">
        <v>42996.512122650463</v>
      </c>
      <c r="O638" s="143">
        <v>43542</v>
      </c>
      <c r="P638" t="s">
        <v>5499</v>
      </c>
      <c r="Q638" t="s">
        <v>5500</v>
      </c>
      <c r="R638" t="s">
        <v>1280</v>
      </c>
      <c r="S638" t="s">
        <v>1510</v>
      </c>
      <c r="T638">
        <v>36</v>
      </c>
      <c r="U638">
        <f>IF(Table__192.168.1.150_M_CONSOLIDATED_Delinquency_Compulsory_EOM[[#This Row],[Days in Arrears]] &lt; 8, Table__192.168.1.150_M_CONSOLIDATED_Delinquency_Compulsory_EOM[[#This Row],[Outstanding Balance]], 0 )</f>
        <v>19145826.079999998</v>
      </c>
      <c r="V6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8" s="105" t="str">
        <f>VLOOKUP(Table__192.168.1.150_M_CONSOLIDATED_Delinquency_Compulsory_EOM[[#This Row],[Client No]],'Global Portfolio'!$B$2:$N$2500,10,FALSE)</f>
        <v>Real Estate and Rental</v>
      </c>
      <c r="AA638" s="105" t="str">
        <f>VLOOKUP(Table__192.168.1.150_M_CONSOLIDATED_Delinquency_Compulsory_EOM[[#This Row],[Client No]],'Global Portfolio'!$B$2:$N$2500,11,FALSE)</f>
        <v>Rental</v>
      </c>
      <c r="AB638" s="105" t="str">
        <f>VLOOKUP(Table__192.168.1.150_M_CONSOLIDATED_Delinquency_Compulsory_EOM[[#This Row],[Client No]],'Global Portfolio'!$B$2:$N$2500,12,FALSE)</f>
        <v>General Rental Centers</v>
      </c>
    </row>
    <row r="639" spans="1:28" x14ac:dyDescent="0.25">
      <c r="A639">
        <v>103347</v>
      </c>
      <c r="B639" t="s">
        <v>5495</v>
      </c>
      <c r="C639" t="s">
        <v>5501</v>
      </c>
      <c r="D639" t="s">
        <v>1282</v>
      </c>
      <c r="E639">
        <v>-17</v>
      </c>
      <c r="F639">
        <v>2500000</v>
      </c>
      <c r="G639">
        <v>2296552.9500000002</v>
      </c>
      <c r="H639">
        <v>315947.05</v>
      </c>
      <c r="I639" t="s">
        <v>4684</v>
      </c>
      <c r="J639">
        <v>10352.950000000001</v>
      </c>
      <c r="K639">
        <v>250000</v>
      </c>
      <c r="L639">
        <v>41337.949999999997</v>
      </c>
      <c r="M639">
        <v>2843523.52</v>
      </c>
      <c r="N639" s="143">
        <v>42996.667852777777</v>
      </c>
      <c r="O639" s="143">
        <v>43299</v>
      </c>
      <c r="P639" t="s">
        <v>5502</v>
      </c>
      <c r="Q639" t="s">
        <v>5503</v>
      </c>
      <c r="R639" t="s">
        <v>1280</v>
      </c>
      <c r="S639" t="s">
        <v>1510</v>
      </c>
      <c r="T639">
        <v>54</v>
      </c>
      <c r="U639">
        <f>IF(Table__192.168.1.150_M_CONSOLIDATED_Delinquency_Compulsory_EOM[[#This Row],[Days in Arrears]] &lt; 8, Table__192.168.1.150_M_CONSOLIDATED_Delinquency_Compulsory_EOM[[#This Row],[Outstanding Balance]], 0 )</f>
        <v>2296552.9500000002</v>
      </c>
      <c r="V6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39" s="105" t="str">
        <f>VLOOKUP(Table__192.168.1.150_M_CONSOLIDATED_Delinquency_Compulsory_EOM[[#This Row],[Client No]],'Global Portfolio'!$B$2:$N$2500,10,FALSE)</f>
        <v>Retail</v>
      </c>
      <c r="AA639" s="105" t="str">
        <f>VLOOKUP(Table__192.168.1.150_M_CONSOLIDATED_Delinquency_Compulsory_EOM[[#This Row],[Client No]],'Global Portfolio'!$B$2:$N$2500,11,FALSE)</f>
        <v>Building Material and Garden Equipment</v>
      </c>
      <c r="AB639" s="105" t="str">
        <f>VLOOKUP(Table__192.168.1.150_M_CONSOLIDATED_Delinquency_Compulsory_EOM[[#This Row],[Client No]],'Global Portfolio'!$B$2:$N$2500,12,FALSE)</f>
        <v>Hardware Stores</v>
      </c>
    </row>
    <row r="640" spans="1:28" x14ac:dyDescent="0.25">
      <c r="A640">
        <v>103348</v>
      </c>
      <c r="B640" t="s">
        <v>493</v>
      </c>
      <c r="C640" t="s">
        <v>494</v>
      </c>
      <c r="D640" t="s">
        <v>1281</v>
      </c>
      <c r="E640">
        <v>11</v>
      </c>
      <c r="F640">
        <v>20000000</v>
      </c>
      <c r="G640">
        <v>20000000</v>
      </c>
      <c r="H640">
        <v>1736501.39</v>
      </c>
      <c r="I640" t="s">
        <v>2175</v>
      </c>
      <c r="J640">
        <v>0</v>
      </c>
      <c r="K640">
        <v>0</v>
      </c>
      <c r="L640">
        <v>669435.31000000006</v>
      </c>
      <c r="M640">
        <v>25612185.73</v>
      </c>
      <c r="N640" s="143">
        <v>42998.502675231481</v>
      </c>
      <c r="O640" s="143">
        <v>43454</v>
      </c>
      <c r="P640" t="s">
        <v>495</v>
      </c>
      <c r="Q640" t="s">
        <v>496</v>
      </c>
      <c r="R640" t="s">
        <v>1280</v>
      </c>
      <c r="S640" t="s">
        <v>1510</v>
      </c>
      <c r="T640">
        <v>42</v>
      </c>
      <c r="U640">
        <f>IF(Table__192.168.1.150_M_CONSOLIDATED_Delinquency_Compulsory_EOM[[#This Row],[Days in Arrears]] &lt; 8, Table__192.168.1.150_M_CONSOLIDATED_Delinquency_Compulsory_EOM[[#This Row],[Outstanding Balance]], 0 )</f>
        <v>0</v>
      </c>
      <c r="V6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20000000</v>
      </c>
      <c r="W6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0" s="105" t="str">
        <f>VLOOKUP(Table__192.168.1.150_M_CONSOLIDATED_Delinquency_Compulsory_EOM[[#This Row],[Client No]],'Global Portfolio'!$B$2:$N$2500,10,FALSE)</f>
        <v>Retail</v>
      </c>
      <c r="AA640" s="105" t="str">
        <f>VLOOKUP(Table__192.168.1.150_M_CONSOLIDATED_Delinquency_Compulsory_EOM[[#This Row],[Client No]],'Global Portfolio'!$B$2:$N$2500,11,FALSE)</f>
        <v>General Merchandise Stores</v>
      </c>
      <c r="AB640" s="105" t="str">
        <f>VLOOKUP(Table__192.168.1.150_M_CONSOLIDATED_Delinquency_Compulsory_EOM[[#This Row],[Client No]],'Global Portfolio'!$B$2:$N$2500,12,FALSE)</f>
        <v>General Stores</v>
      </c>
    </row>
    <row r="641" spans="1:28" x14ac:dyDescent="0.25">
      <c r="A641">
        <v>103349</v>
      </c>
      <c r="B641" t="s">
        <v>3053</v>
      </c>
      <c r="C641" t="s">
        <v>3059</v>
      </c>
      <c r="D641" t="s">
        <v>1284</v>
      </c>
      <c r="E641">
        <v>-19</v>
      </c>
      <c r="F641">
        <v>20000000</v>
      </c>
      <c r="G641">
        <v>18590758.289999999</v>
      </c>
      <c r="H641">
        <v>2009241.71</v>
      </c>
      <c r="I641" t="s">
        <v>491</v>
      </c>
      <c r="J641">
        <v>0</v>
      </c>
      <c r="K641">
        <v>500000</v>
      </c>
      <c r="L641">
        <v>185907.58</v>
      </c>
      <c r="M641">
        <v>22101658.789999999</v>
      </c>
      <c r="N641" s="143">
        <v>42998.574405590276</v>
      </c>
      <c r="O641" s="143">
        <v>43363</v>
      </c>
      <c r="P641" t="s">
        <v>3060</v>
      </c>
      <c r="Q641" t="s">
        <v>3061</v>
      </c>
      <c r="R641" t="s">
        <v>1280</v>
      </c>
      <c r="S641" t="s">
        <v>1510</v>
      </c>
      <c r="T641">
        <v>36</v>
      </c>
      <c r="U641">
        <f>IF(Table__192.168.1.150_M_CONSOLIDATED_Delinquency_Compulsory_EOM[[#This Row],[Days in Arrears]] &lt; 8, Table__192.168.1.150_M_CONSOLIDATED_Delinquency_Compulsory_EOM[[#This Row],[Outstanding Balance]], 0 )</f>
        <v>18590758.289999999</v>
      </c>
      <c r="V6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1" s="105" t="str">
        <f>VLOOKUP(Table__192.168.1.150_M_CONSOLIDATED_Delinquency_Compulsory_EOM[[#This Row],[Client No]],'Global Portfolio'!$B$2:$N$2500,10,FALSE)</f>
        <v>Real Estate and Rental</v>
      </c>
      <c r="AA641" s="105" t="str">
        <f>VLOOKUP(Table__192.168.1.150_M_CONSOLIDATED_Delinquency_Compulsory_EOM[[#This Row],[Client No]],'Global Portfolio'!$B$2:$N$2500,11,FALSE)</f>
        <v>Rental</v>
      </c>
      <c r="AB641" s="105" t="str">
        <f>VLOOKUP(Table__192.168.1.150_M_CONSOLIDATED_Delinquency_Compulsory_EOM[[#This Row],[Client No]],'Global Portfolio'!$B$2:$N$2500,12,FALSE)</f>
        <v>General Rental Centers</v>
      </c>
    </row>
    <row r="642" spans="1:28" x14ac:dyDescent="0.25">
      <c r="A642">
        <v>103350</v>
      </c>
      <c r="B642" t="s">
        <v>5506</v>
      </c>
      <c r="C642" t="s">
        <v>5510</v>
      </c>
      <c r="D642" t="s">
        <v>1279</v>
      </c>
      <c r="E642">
        <v>-18</v>
      </c>
      <c r="F642">
        <v>2500000</v>
      </c>
      <c r="G642">
        <v>2296552.9500000002</v>
      </c>
      <c r="H642">
        <v>315947.05</v>
      </c>
      <c r="I642" t="s">
        <v>963</v>
      </c>
      <c r="J642">
        <v>10352.950000000001</v>
      </c>
      <c r="K642">
        <v>250000</v>
      </c>
      <c r="L642">
        <v>37893.120000000003</v>
      </c>
      <c r="M642">
        <v>2843523.52</v>
      </c>
      <c r="N642" s="143">
        <v>42997.547181909722</v>
      </c>
      <c r="O642" s="143">
        <v>43300</v>
      </c>
      <c r="P642" t="s">
        <v>5511</v>
      </c>
      <c r="Q642" t="s">
        <v>1280</v>
      </c>
      <c r="R642" t="s">
        <v>1280</v>
      </c>
      <c r="S642" t="s">
        <v>1510</v>
      </c>
      <c r="T642">
        <v>54</v>
      </c>
      <c r="U642">
        <f>IF(Table__192.168.1.150_M_CONSOLIDATED_Delinquency_Compulsory_EOM[[#This Row],[Days in Arrears]] &lt; 8, Table__192.168.1.150_M_CONSOLIDATED_Delinquency_Compulsory_EOM[[#This Row],[Outstanding Balance]], 0 )</f>
        <v>2296552.9500000002</v>
      </c>
      <c r="V6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2" s="105" t="str">
        <f>VLOOKUP(Table__192.168.1.150_M_CONSOLIDATED_Delinquency_Compulsory_EOM[[#This Row],[Client No]],'Global Portfolio'!$B$2:$N$2500,10,FALSE)</f>
        <v>Retail</v>
      </c>
      <c r="AA642" s="105" t="str">
        <f>VLOOKUP(Table__192.168.1.150_M_CONSOLIDATED_Delinquency_Compulsory_EOM[[#This Row],[Client No]],'Global Portfolio'!$B$2:$N$2500,11,FALSE)</f>
        <v>Second Hand -Clothing and  Accessories</v>
      </c>
      <c r="AB642" s="105" t="str">
        <f>VLOOKUP(Table__192.168.1.150_M_CONSOLIDATED_Delinquency_Compulsory_EOM[[#This Row],[Client No]],'Global Portfolio'!$B$2:$N$2500,12,FALSE)</f>
        <v>Luggage &amp; Leather Goods Stores</v>
      </c>
    </row>
    <row r="643" spans="1:28" x14ac:dyDescent="0.25">
      <c r="A643">
        <v>103351</v>
      </c>
      <c r="B643" t="s">
        <v>5484</v>
      </c>
      <c r="C643" t="s">
        <v>5485</v>
      </c>
      <c r="D643" t="s">
        <v>1282</v>
      </c>
      <c r="E643">
        <v>-18</v>
      </c>
      <c r="F643">
        <v>10000000</v>
      </c>
      <c r="G643">
        <v>9334478.2699999996</v>
      </c>
      <c r="H643">
        <v>1065521.73</v>
      </c>
      <c r="I643" t="s">
        <v>2034</v>
      </c>
      <c r="J643">
        <v>10327.68</v>
      </c>
      <c r="K643">
        <v>1000000</v>
      </c>
      <c r="L643">
        <v>136905.68</v>
      </c>
      <c r="M643">
        <v>11720738.99</v>
      </c>
      <c r="N643" s="143">
        <v>42997.603942627313</v>
      </c>
      <c r="O643" s="143">
        <v>43362</v>
      </c>
      <c r="P643" t="s">
        <v>5486</v>
      </c>
      <c r="Q643" t="s">
        <v>1280</v>
      </c>
      <c r="R643" t="s">
        <v>1280</v>
      </c>
      <c r="S643" t="s">
        <v>1510</v>
      </c>
      <c r="T643">
        <v>48</v>
      </c>
      <c r="U643">
        <f>IF(Table__192.168.1.150_M_CONSOLIDATED_Delinquency_Compulsory_EOM[[#This Row],[Days in Arrears]] &lt; 8, Table__192.168.1.150_M_CONSOLIDATED_Delinquency_Compulsory_EOM[[#This Row],[Outstanding Balance]], 0 )</f>
        <v>9334478.2699999996</v>
      </c>
      <c r="V6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3" s="105" t="str">
        <f>VLOOKUP(Table__192.168.1.150_M_CONSOLIDATED_Delinquency_Compulsory_EOM[[#This Row],[Client No]],'Global Portfolio'!$B$2:$N$2500,10,FALSE)</f>
        <v>Real Estate and Rental</v>
      </c>
      <c r="AA643" s="105" t="str">
        <f>VLOOKUP(Table__192.168.1.150_M_CONSOLIDATED_Delinquency_Compulsory_EOM[[#This Row],[Client No]],'Global Portfolio'!$B$2:$N$2500,11,FALSE)</f>
        <v>Real Estate</v>
      </c>
      <c r="AB643" s="105" t="str">
        <f>VLOOKUP(Table__192.168.1.150_M_CONSOLIDATED_Delinquency_Compulsory_EOM[[#This Row],[Client No]],'Global Portfolio'!$B$2:$N$2500,12,FALSE)</f>
        <v>Real Estate</v>
      </c>
    </row>
    <row r="644" spans="1:28" x14ac:dyDescent="0.25">
      <c r="A644">
        <v>103352</v>
      </c>
      <c r="B644" t="s">
        <v>1366</v>
      </c>
      <c r="C644" t="s">
        <v>1367</v>
      </c>
      <c r="D644" t="s">
        <v>1284</v>
      </c>
      <c r="E644">
        <v>-18</v>
      </c>
      <c r="F644">
        <v>13500000</v>
      </c>
      <c r="G644">
        <v>12923432.609999999</v>
      </c>
      <c r="H644">
        <v>981567.39</v>
      </c>
      <c r="I644" t="s">
        <v>2494</v>
      </c>
      <c r="J644">
        <v>0</v>
      </c>
      <c r="K644">
        <v>337500</v>
      </c>
      <c r="L644">
        <v>142157.76000000001</v>
      </c>
      <c r="M644">
        <v>16686645.74</v>
      </c>
      <c r="N644" s="143">
        <v>42997.615128321762</v>
      </c>
      <c r="O644" s="143">
        <v>43543</v>
      </c>
      <c r="P644" t="s">
        <v>1368</v>
      </c>
      <c r="Q644" t="s">
        <v>1369</v>
      </c>
      <c r="R644" t="s">
        <v>1280</v>
      </c>
      <c r="S644" t="s">
        <v>1510</v>
      </c>
      <c r="T644">
        <v>36</v>
      </c>
      <c r="U644">
        <f>IF(Table__192.168.1.150_M_CONSOLIDATED_Delinquency_Compulsory_EOM[[#This Row],[Days in Arrears]] &lt; 8, Table__192.168.1.150_M_CONSOLIDATED_Delinquency_Compulsory_EOM[[#This Row],[Outstanding Balance]], 0 )</f>
        <v>12923432.609999999</v>
      </c>
      <c r="V6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4" s="105" t="str">
        <f>VLOOKUP(Table__192.168.1.150_M_CONSOLIDATED_Delinquency_Compulsory_EOM[[#This Row],[Client No]],'Global Portfolio'!$B$2:$N$2500,10,FALSE)</f>
        <v>Real Estate and Rental</v>
      </c>
      <c r="AA644" s="105" t="str">
        <f>VLOOKUP(Table__192.168.1.150_M_CONSOLIDATED_Delinquency_Compulsory_EOM[[#This Row],[Client No]],'Global Portfolio'!$B$2:$N$2500,11,FALSE)</f>
        <v>Rental</v>
      </c>
      <c r="AB644" s="105" t="str">
        <f>VLOOKUP(Table__192.168.1.150_M_CONSOLIDATED_Delinquency_Compulsory_EOM[[#This Row],[Client No]],'Global Portfolio'!$B$2:$N$2500,12,FALSE)</f>
        <v>Others</v>
      </c>
    </row>
    <row r="645" spans="1:28" x14ac:dyDescent="0.25">
      <c r="A645">
        <v>103353</v>
      </c>
      <c r="B645" t="s">
        <v>5508</v>
      </c>
      <c r="C645" t="s">
        <v>5512</v>
      </c>
      <c r="D645" t="s">
        <v>1282</v>
      </c>
      <c r="E645">
        <v>-18</v>
      </c>
      <c r="F645">
        <v>3000000</v>
      </c>
      <c r="G645">
        <v>2680171.04</v>
      </c>
      <c r="H645">
        <v>454828.96</v>
      </c>
      <c r="I645" t="s">
        <v>2175</v>
      </c>
      <c r="J645">
        <v>6741.9</v>
      </c>
      <c r="K645">
        <v>300000</v>
      </c>
      <c r="L645">
        <v>44222.82</v>
      </c>
      <c r="M645">
        <v>3183802.74</v>
      </c>
      <c r="N645" s="143">
        <v>42997.658450381947</v>
      </c>
      <c r="O645" s="143">
        <v>43239</v>
      </c>
      <c r="P645" t="s">
        <v>5513</v>
      </c>
      <c r="Q645" t="s">
        <v>1280</v>
      </c>
      <c r="R645" t="s">
        <v>1280</v>
      </c>
      <c r="S645" t="s">
        <v>1510</v>
      </c>
      <c r="T645">
        <v>54</v>
      </c>
      <c r="U645">
        <f>IF(Table__192.168.1.150_M_CONSOLIDATED_Delinquency_Compulsory_EOM[[#This Row],[Days in Arrears]] &lt; 8, Table__192.168.1.150_M_CONSOLIDATED_Delinquency_Compulsory_EOM[[#This Row],[Outstanding Balance]], 0 )</f>
        <v>2680171.04</v>
      </c>
      <c r="V6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5" s="105" t="str">
        <f>VLOOKUP(Table__192.168.1.150_M_CONSOLIDATED_Delinquency_Compulsory_EOM[[#This Row],[Client No]],'Global Portfolio'!$B$2:$N$2500,10,FALSE)</f>
        <v>Retail</v>
      </c>
      <c r="AA645" s="105" t="str">
        <f>VLOOKUP(Table__192.168.1.150_M_CONSOLIDATED_Delinquency_Compulsory_EOM[[#This Row],[Client No]],'Global Portfolio'!$B$2:$N$2500,11,FALSE)</f>
        <v>General Merchandise Stores</v>
      </c>
      <c r="AB645" s="105" t="str">
        <f>VLOOKUP(Table__192.168.1.150_M_CONSOLIDATED_Delinquency_Compulsory_EOM[[#This Row],[Client No]],'Global Portfolio'!$B$2:$N$2500,12,FALSE)</f>
        <v>General Stores</v>
      </c>
    </row>
    <row r="646" spans="1:28" x14ac:dyDescent="0.25">
      <c r="A646">
        <v>103354</v>
      </c>
      <c r="B646" t="s">
        <v>2785</v>
      </c>
      <c r="C646" t="s">
        <v>2791</v>
      </c>
      <c r="D646" t="s">
        <v>1279</v>
      </c>
      <c r="E646">
        <v>-19</v>
      </c>
      <c r="F646">
        <v>2000000</v>
      </c>
      <c r="G646">
        <v>1782944.34</v>
      </c>
      <c r="H646">
        <v>297055.65999999997</v>
      </c>
      <c r="I646" t="s">
        <v>2538</v>
      </c>
      <c r="J646">
        <v>0</v>
      </c>
      <c r="K646">
        <v>200000</v>
      </c>
      <c r="L646">
        <v>23772.59</v>
      </c>
      <c r="M646">
        <v>2079389.66</v>
      </c>
      <c r="N646" s="143">
        <v>42998.67493429398</v>
      </c>
      <c r="O646" s="143">
        <v>43240</v>
      </c>
      <c r="P646" t="s">
        <v>2792</v>
      </c>
      <c r="Q646" t="s">
        <v>1280</v>
      </c>
      <c r="R646" t="s">
        <v>1280</v>
      </c>
      <c r="S646" t="s">
        <v>1510</v>
      </c>
      <c r="T646">
        <v>48</v>
      </c>
      <c r="U646">
        <f>IF(Table__192.168.1.150_M_CONSOLIDATED_Delinquency_Compulsory_EOM[[#This Row],[Days in Arrears]] &lt; 8, Table__192.168.1.150_M_CONSOLIDATED_Delinquency_Compulsory_EOM[[#This Row],[Outstanding Balance]], 0 )</f>
        <v>1782944.34</v>
      </c>
      <c r="V6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6" s="105" t="str">
        <f>VLOOKUP(Table__192.168.1.150_M_CONSOLIDATED_Delinquency_Compulsory_EOM[[#This Row],[Client No]],'Global Portfolio'!$B$2:$N$2500,10,FALSE)</f>
        <v>Retail</v>
      </c>
      <c r="AA646" s="105" t="str">
        <f>VLOOKUP(Table__192.168.1.150_M_CONSOLIDATED_Delinquency_Compulsory_EOM[[#This Row],[Client No]],'Global Portfolio'!$B$2:$N$2500,11,FALSE)</f>
        <v>General Merchandise Stores</v>
      </c>
      <c r="AB646" s="105" t="str">
        <f>VLOOKUP(Table__192.168.1.150_M_CONSOLIDATED_Delinquency_Compulsory_EOM[[#This Row],[Client No]],'Global Portfolio'!$B$2:$N$2500,12,FALSE)</f>
        <v>General Stores</v>
      </c>
    </row>
    <row r="647" spans="1:28" x14ac:dyDescent="0.25">
      <c r="A647">
        <v>103355</v>
      </c>
      <c r="B647" t="s">
        <v>5519</v>
      </c>
      <c r="C647" t="s">
        <v>5520</v>
      </c>
      <c r="D647" t="s">
        <v>1279</v>
      </c>
      <c r="E647">
        <v>11</v>
      </c>
      <c r="F647">
        <v>3500000</v>
      </c>
      <c r="G647">
        <v>3500000</v>
      </c>
      <c r="H647">
        <v>442325.88</v>
      </c>
      <c r="I647" t="s">
        <v>546</v>
      </c>
      <c r="J647">
        <v>0</v>
      </c>
      <c r="K647">
        <v>350000</v>
      </c>
      <c r="L647">
        <v>196727.61</v>
      </c>
      <c r="M647">
        <v>4335925.03</v>
      </c>
      <c r="N647" s="143">
        <v>42998.555043865737</v>
      </c>
      <c r="O647" s="143">
        <v>43301</v>
      </c>
      <c r="P647" t="s">
        <v>5521</v>
      </c>
      <c r="Q647" t="s">
        <v>1280</v>
      </c>
      <c r="R647" t="s">
        <v>1280</v>
      </c>
      <c r="S647" t="s">
        <v>1510</v>
      </c>
      <c r="T647">
        <v>54</v>
      </c>
      <c r="U647">
        <f>IF(Table__192.168.1.150_M_CONSOLIDATED_Delinquency_Compulsory_EOM[[#This Row],[Days in Arrears]] &lt; 8, Table__192.168.1.150_M_CONSOLIDATED_Delinquency_Compulsory_EOM[[#This Row],[Outstanding Balance]], 0 )</f>
        <v>0</v>
      </c>
      <c r="V6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3500000</v>
      </c>
      <c r="W6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7" s="105" t="str">
        <f>VLOOKUP(Table__192.168.1.150_M_CONSOLIDATED_Delinquency_Compulsory_EOM[[#This Row],[Client No]],'Global Portfolio'!$B$2:$N$2500,10,FALSE)</f>
        <v>Real Estate and Rental</v>
      </c>
      <c r="AA647" s="105" t="str">
        <f>VLOOKUP(Table__192.168.1.150_M_CONSOLIDATED_Delinquency_Compulsory_EOM[[#This Row],[Client No]],'Global Portfolio'!$B$2:$N$2500,11,FALSE)</f>
        <v>Real Estate</v>
      </c>
      <c r="AB647" s="105" t="str">
        <f>VLOOKUP(Table__192.168.1.150_M_CONSOLIDATED_Delinquency_Compulsory_EOM[[#This Row],[Client No]],'Global Portfolio'!$B$2:$N$2500,12,FALSE)</f>
        <v>Real Estate</v>
      </c>
    </row>
    <row r="648" spans="1:28" x14ac:dyDescent="0.25">
      <c r="A648">
        <v>103356</v>
      </c>
      <c r="B648" t="s">
        <v>4400</v>
      </c>
      <c r="C648" t="s">
        <v>4402</v>
      </c>
      <c r="D648" t="s">
        <v>1281</v>
      </c>
      <c r="E648">
        <v>11</v>
      </c>
      <c r="F648">
        <v>22000000</v>
      </c>
      <c r="G648">
        <v>21608830.239999998</v>
      </c>
      <c r="H648">
        <v>1667970.5</v>
      </c>
      <c r="I648" t="s">
        <v>1039</v>
      </c>
      <c r="J648">
        <v>0</v>
      </c>
      <c r="K648">
        <v>1650000</v>
      </c>
      <c r="L648">
        <v>560820.57999999996</v>
      </c>
      <c r="M648">
        <v>28862299.18</v>
      </c>
      <c r="N648" s="143">
        <v>42998.62777835648</v>
      </c>
      <c r="O648" s="143">
        <v>43544</v>
      </c>
      <c r="P648" t="s">
        <v>4403</v>
      </c>
      <c r="Q648" t="s">
        <v>1280</v>
      </c>
      <c r="R648" t="s">
        <v>1280</v>
      </c>
      <c r="S648" t="s">
        <v>1510</v>
      </c>
      <c r="T648">
        <v>42</v>
      </c>
      <c r="U648">
        <f>IF(Table__192.168.1.150_M_CONSOLIDATED_Delinquency_Compulsory_EOM[[#This Row],[Days in Arrears]] &lt; 8, Table__192.168.1.150_M_CONSOLIDATED_Delinquency_Compulsory_EOM[[#This Row],[Outstanding Balance]], 0 )</f>
        <v>0</v>
      </c>
      <c r="V6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21608830.239999998</v>
      </c>
      <c r="W6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8" s="105" t="str">
        <f>VLOOKUP(Table__192.168.1.150_M_CONSOLIDATED_Delinquency_Compulsory_EOM[[#This Row],[Client No]],'Global Portfolio'!$B$2:$N$2500,10,FALSE)</f>
        <v>Retail</v>
      </c>
      <c r="AA648" s="105" t="str">
        <f>VLOOKUP(Table__192.168.1.150_M_CONSOLIDATED_Delinquency_Compulsory_EOM[[#This Row],[Client No]],'Global Portfolio'!$B$2:$N$2500,11,FALSE)</f>
        <v>General Merchandise Stores</v>
      </c>
      <c r="AB648" s="105" t="str">
        <f>VLOOKUP(Table__192.168.1.150_M_CONSOLIDATED_Delinquency_Compulsory_EOM[[#This Row],[Client No]],'Global Portfolio'!$B$2:$N$2500,12,FALSE)</f>
        <v>Others</v>
      </c>
    </row>
    <row r="649" spans="1:28" x14ac:dyDescent="0.25">
      <c r="A649">
        <v>103357</v>
      </c>
      <c r="B649" t="s">
        <v>2935</v>
      </c>
      <c r="C649" t="s">
        <v>2936</v>
      </c>
      <c r="D649" t="s">
        <v>1282</v>
      </c>
      <c r="E649">
        <v>-19</v>
      </c>
      <c r="F649">
        <v>10000000</v>
      </c>
      <c r="G649">
        <v>9334478.2699999996</v>
      </c>
      <c r="H649">
        <v>1065521.73</v>
      </c>
      <c r="I649" t="s">
        <v>2538</v>
      </c>
      <c r="J649">
        <v>92177.279999999999</v>
      </c>
      <c r="K649">
        <v>600000</v>
      </c>
      <c r="L649">
        <v>124459.71</v>
      </c>
      <c r="M649">
        <v>11720738.99</v>
      </c>
      <c r="N649" s="143">
        <v>42998.699082951389</v>
      </c>
      <c r="O649" s="143">
        <v>43363</v>
      </c>
      <c r="P649" t="s">
        <v>2937</v>
      </c>
      <c r="Q649" t="s">
        <v>1280</v>
      </c>
      <c r="R649" t="s">
        <v>1280</v>
      </c>
      <c r="S649" t="s">
        <v>1510</v>
      </c>
      <c r="T649">
        <v>48</v>
      </c>
      <c r="U649">
        <f>IF(Table__192.168.1.150_M_CONSOLIDATED_Delinquency_Compulsory_EOM[[#This Row],[Days in Arrears]] &lt; 8, Table__192.168.1.150_M_CONSOLIDATED_Delinquency_Compulsory_EOM[[#This Row],[Outstanding Balance]], 0 )</f>
        <v>9334478.2699999996</v>
      </c>
      <c r="V6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49" s="105" t="str">
        <f>VLOOKUP(Table__192.168.1.150_M_CONSOLIDATED_Delinquency_Compulsory_EOM[[#This Row],[Client No]],'Global Portfolio'!$B$2:$N$2500,10,FALSE)</f>
        <v>Retail</v>
      </c>
      <c r="AA649" s="105" t="str">
        <f>VLOOKUP(Table__192.168.1.150_M_CONSOLIDATED_Delinquency_Compulsory_EOM[[#This Row],[Client No]],'Global Portfolio'!$B$2:$N$2500,11,FALSE)</f>
        <v>Electronics Stores</v>
      </c>
      <c r="AB649" s="105" t="str">
        <f>VLOOKUP(Table__192.168.1.150_M_CONSOLIDATED_Delinquency_Compulsory_EOM[[#This Row],[Client No]],'Global Portfolio'!$B$2:$N$2500,12,FALSE)</f>
        <v>Computer &amp; Software</v>
      </c>
    </row>
    <row r="650" spans="1:28" x14ac:dyDescent="0.25">
      <c r="A650">
        <v>103358</v>
      </c>
      <c r="B650" t="s">
        <v>5530</v>
      </c>
      <c r="C650" t="s">
        <v>5533</v>
      </c>
      <c r="D650" t="s">
        <v>1279</v>
      </c>
      <c r="E650">
        <v>-20</v>
      </c>
      <c r="F650">
        <v>3500000</v>
      </c>
      <c r="G650">
        <v>3126866.21</v>
      </c>
      <c r="H650">
        <v>530633.79</v>
      </c>
      <c r="I650" t="s">
        <v>5385</v>
      </c>
      <c r="J650">
        <v>3866.21</v>
      </c>
      <c r="K650">
        <v>350000</v>
      </c>
      <c r="L650">
        <v>42212.69</v>
      </c>
      <c r="M650">
        <v>3714436.49</v>
      </c>
      <c r="N650" s="143">
        <v>42999.724034340281</v>
      </c>
      <c r="O650" s="143">
        <v>43241</v>
      </c>
      <c r="P650" t="s">
        <v>5534</v>
      </c>
      <c r="Q650" t="s">
        <v>1280</v>
      </c>
      <c r="R650" t="s">
        <v>1280</v>
      </c>
      <c r="S650" t="s">
        <v>1510</v>
      </c>
      <c r="T650">
        <v>54</v>
      </c>
      <c r="U650">
        <f>IF(Table__192.168.1.150_M_CONSOLIDATED_Delinquency_Compulsory_EOM[[#This Row],[Days in Arrears]] &lt; 8, Table__192.168.1.150_M_CONSOLIDATED_Delinquency_Compulsory_EOM[[#This Row],[Outstanding Balance]], 0 )</f>
        <v>3126866.21</v>
      </c>
      <c r="V6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0" s="105" t="str">
        <f>VLOOKUP(Table__192.168.1.150_M_CONSOLIDATED_Delinquency_Compulsory_EOM[[#This Row],[Client No]],'Global Portfolio'!$B$2:$N$2500,10,FALSE)</f>
        <v>Retail</v>
      </c>
      <c r="AA650" s="105" t="str">
        <f>VLOOKUP(Table__192.168.1.150_M_CONSOLIDATED_Delinquency_Compulsory_EOM[[#This Row],[Client No]],'Global Portfolio'!$B$2:$N$2500,11,FALSE)</f>
        <v>Food and Beverage Stores</v>
      </c>
      <c r="AB650" s="105" t="str">
        <f>VLOOKUP(Table__192.168.1.150_M_CONSOLIDATED_Delinquency_Compulsory_EOM[[#This Row],[Client No]],'Global Portfolio'!$B$2:$N$2500,12,FALSE)</f>
        <v>Beverage Stores</v>
      </c>
    </row>
    <row r="651" spans="1:28" x14ac:dyDescent="0.25">
      <c r="A651">
        <v>103359</v>
      </c>
      <c r="B651" t="s">
        <v>5539</v>
      </c>
      <c r="C651" t="s">
        <v>5546</v>
      </c>
      <c r="D651" t="s">
        <v>1282</v>
      </c>
      <c r="E651">
        <v>-21</v>
      </c>
      <c r="F651">
        <v>3000000</v>
      </c>
      <c r="G651">
        <v>2755863.53</v>
      </c>
      <c r="H651">
        <v>379136.47</v>
      </c>
      <c r="I651" t="s">
        <v>4684</v>
      </c>
      <c r="J651">
        <v>0</v>
      </c>
      <c r="K651">
        <v>300000</v>
      </c>
      <c r="L651">
        <v>33070.36</v>
      </c>
      <c r="M651">
        <v>3412228.18</v>
      </c>
      <c r="N651" s="143">
        <v>43000.423390821757</v>
      </c>
      <c r="O651" s="143">
        <v>43303</v>
      </c>
      <c r="P651" t="s">
        <v>5547</v>
      </c>
      <c r="Q651" t="s">
        <v>5548</v>
      </c>
      <c r="R651" t="s">
        <v>1280</v>
      </c>
      <c r="S651" t="s">
        <v>1510</v>
      </c>
      <c r="T651">
        <v>54</v>
      </c>
      <c r="U651">
        <f>IF(Table__192.168.1.150_M_CONSOLIDATED_Delinquency_Compulsory_EOM[[#This Row],[Days in Arrears]] &lt; 8, Table__192.168.1.150_M_CONSOLIDATED_Delinquency_Compulsory_EOM[[#This Row],[Outstanding Balance]], 0 )</f>
        <v>2755863.53</v>
      </c>
      <c r="V6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1" s="105" t="str">
        <f>VLOOKUP(Table__192.168.1.150_M_CONSOLIDATED_Delinquency_Compulsory_EOM[[#This Row],[Client No]],'Global Portfolio'!$B$2:$N$2500,10,FALSE)</f>
        <v>Retail</v>
      </c>
      <c r="AA651" s="105" t="str">
        <f>VLOOKUP(Table__192.168.1.150_M_CONSOLIDATED_Delinquency_Compulsory_EOM[[#This Row],[Client No]],'Global Portfolio'!$B$2:$N$2500,11,FALSE)</f>
        <v>Building Material and Garden Equipment</v>
      </c>
      <c r="AB651" s="105" t="str">
        <f>VLOOKUP(Table__192.168.1.150_M_CONSOLIDATED_Delinquency_Compulsory_EOM[[#This Row],[Client No]],'Global Portfolio'!$B$2:$N$2500,12,FALSE)</f>
        <v>Hardware Stores</v>
      </c>
    </row>
    <row r="652" spans="1:28" x14ac:dyDescent="0.25">
      <c r="A652">
        <v>103360</v>
      </c>
      <c r="B652" t="s">
        <v>2913</v>
      </c>
      <c r="C652" t="s">
        <v>2914</v>
      </c>
      <c r="D652" t="s">
        <v>1282</v>
      </c>
      <c r="E652">
        <v>-21</v>
      </c>
      <c r="F652">
        <v>4500000</v>
      </c>
      <c r="G652">
        <v>4200515.22</v>
      </c>
      <c r="H652">
        <v>479484.78</v>
      </c>
      <c r="I652" t="s">
        <v>963</v>
      </c>
      <c r="J652">
        <v>699.07</v>
      </c>
      <c r="K652">
        <v>450000</v>
      </c>
      <c r="L652">
        <v>44805.5</v>
      </c>
      <c r="M652">
        <v>5274332.53</v>
      </c>
      <c r="N652" s="143">
        <v>43000.569336574074</v>
      </c>
      <c r="O652" s="143">
        <v>43365</v>
      </c>
      <c r="P652" t="s">
        <v>2915</v>
      </c>
      <c r="Q652" t="s">
        <v>2916</v>
      </c>
      <c r="R652" t="s">
        <v>1280</v>
      </c>
      <c r="S652" t="s">
        <v>1510</v>
      </c>
      <c r="T652">
        <v>48</v>
      </c>
      <c r="U652">
        <f>IF(Table__192.168.1.150_M_CONSOLIDATED_Delinquency_Compulsory_EOM[[#This Row],[Days in Arrears]] &lt; 8, Table__192.168.1.150_M_CONSOLIDATED_Delinquency_Compulsory_EOM[[#This Row],[Outstanding Balance]], 0 )</f>
        <v>4200515.22</v>
      </c>
      <c r="V6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2" s="105" t="str">
        <f>VLOOKUP(Table__192.168.1.150_M_CONSOLIDATED_Delinquency_Compulsory_EOM[[#This Row],[Client No]],'Global Portfolio'!$B$2:$N$2500,10,FALSE)</f>
        <v>Real Estate and Rental</v>
      </c>
      <c r="AA652" s="105" t="str">
        <f>VLOOKUP(Table__192.168.1.150_M_CONSOLIDATED_Delinquency_Compulsory_EOM[[#This Row],[Client No]],'Global Portfolio'!$B$2:$N$2500,11,FALSE)</f>
        <v>Rental</v>
      </c>
      <c r="AB652" s="105" t="str">
        <f>VLOOKUP(Table__192.168.1.150_M_CONSOLIDATED_Delinquency_Compulsory_EOM[[#This Row],[Client No]],'Global Portfolio'!$B$2:$N$2500,12,FALSE)</f>
        <v>Others</v>
      </c>
    </row>
    <row r="653" spans="1:28" x14ac:dyDescent="0.25">
      <c r="A653">
        <v>103361</v>
      </c>
      <c r="B653" t="s">
        <v>1144</v>
      </c>
      <c r="C653" t="s">
        <v>1318</v>
      </c>
      <c r="D653" t="s">
        <v>1285</v>
      </c>
      <c r="E653">
        <v>-20</v>
      </c>
      <c r="F653">
        <v>10000000</v>
      </c>
      <c r="G653">
        <v>9520330.1400000006</v>
      </c>
      <c r="H653">
        <v>656892.07999999996</v>
      </c>
      <c r="I653" t="s">
        <v>284</v>
      </c>
      <c r="J653">
        <v>0</v>
      </c>
      <c r="K653">
        <v>0</v>
      </c>
      <c r="L653">
        <v>52361.82</v>
      </c>
      <c r="M653">
        <v>11167165.32</v>
      </c>
      <c r="N653" s="143">
        <v>43000.651462499998</v>
      </c>
      <c r="O653" s="143">
        <v>43545</v>
      </c>
      <c r="P653" t="s">
        <v>1319</v>
      </c>
      <c r="Q653" t="s">
        <v>1280</v>
      </c>
      <c r="R653" t="s">
        <v>1280</v>
      </c>
      <c r="S653" t="s">
        <v>1510</v>
      </c>
      <c r="T653">
        <v>22</v>
      </c>
      <c r="U653">
        <f>IF(Table__192.168.1.150_M_CONSOLIDATED_Delinquency_Compulsory_EOM[[#This Row],[Days in Arrears]] &lt; 8, Table__192.168.1.150_M_CONSOLIDATED_Delinquency_Compulsory_EOM[[#This Row],[Outstanding Balance]], 0 )</f>
        <v>9520330.1400000006</v>
      </c>
      <c r="V6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3" s="105" t="str">
        <f>VLOOKUP(Table__192.168.1.150_M_CONSOLIDATED_Delinquency_Compulsory_EOM[[#This Row],[Client No]],'Global Portfolio'!$B$2:$N$2500,10,FALSE)</f>
        <v>Finance and Insurance</v>
      </c>
      <c r="AA653" s="105" t="str">
        <f>VLOOKUP(Table__192.168.1.150_M_CONSOLIDATED_Delinquency_Compulsory_EOM[[#This Row],[Client No]],'Global Portfolio'!$B$2:$N$2500,11,FALSE)</f>
        <v>Finance</v>
      </c>
      <c r="AB653" s="105" t="str">
        <f>VLOOKUP(Table__192.168.1.150_M_CONSOLIDATED_Delinquency_Compulsory_EOM[[#This Row],[Client No]],'Global Portfolio'!$B$2:$N$2500,12,FALSE)</f>
        <v>Microfinance Institutions</v>
      </c>
    </row>
    <row r="654" spans="1:28" x14ac:dyDescent="0.25">
      <c r="A654">
        <v>103363</v>
      </c>
      <c r="B654" t="s">
        <v>5540</v>
      </c>
      <c r="C654" t="s">
        <v>5549</v>
      </c>
      <c r="D654" t="s">
        <v>1279</v>
      </c>
      <c r="E654">
        <v>-21</v>
      </c>
      <c r="F654">
        <v>1500000</v>
      </c>
      <c r="G654">
        <v>1377931.77</v>
      </c>
      <c r="H654">
        <v>189568.23</v>
      </c>
      <c r="I654" t="s">
        <v>5124</v>
      </c>
      <c r="J654">
        <v>6383.93</v>
      </c>
      <c r="K654">
        <v>150000</v>
      </c>
      <c r="L654">
        <v>16535.18</v>
      </c>
      <c r="M654">
        <v>1706114.12</v>
      </c>
      <c r="N654" s="143">
        <v>43000.727458530091</v>
      </c>
      <c r="O654" s="143">
        <v>43303</v>
      </c>
      <c r="P654" t="s">
        <v>5550</v>
      </c>
      <c r="Q654" t="s">
        <v>1280</v>
      </c>
      <c r="R654" t="s">
        <v>1280</v>
      </c>
      <c r="S654" t="s">
        <v>1510</v>
      </c>
      <c r="T654">
        <v>54</v>
      </c>
      <c r="U654">
        <f>IF(Table__192.168.1.150_M_CONSOLIDATED_Delinquency_Compulsory_EOM[[#This Row],[Days in Arrears]] &lt; 8, Table__192.168.1.150_M_CONSOLIDATED_Delinquency_Compulsory_EOM[[#This Row],[Outstanding Balance]], 0 )</f>
        <v>1377931.77</v>
      </c>
      <c r="V6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4" s="105" t="str">
        <f>VLOOKUP(Table__192.168.1.150_M_CONSOLIDATED_Delinquency_Compulsory_EOM[[#This Row],[Client No]],'Global Portfolio'!$B$2:$N$2500,10,FALSE)</f>
        <v>Retail</v>
      </c>
      <c r="AA654" s="105" t="str">
        <f>VLOOKUP(Table__192.168.1.150_M_CONSOLIDATED_Delinquency_Compulsory_EOM[[#This Row],[Client No]],'Global Portfolio'!$B$2:$N$2500,11,FALSE)</f>
        <v>New-Clothing and  Accessories</v>
      </c>
      <c r="AB654" s="105" t="str">
        <f>VLOOKUP(Table__192.168.1.150_M_CONSOLIDATED_Delinquency_Compulsory_EOM[[#This Row],[Client No]],'Global Portfolio'!$B$2:$N$2500,12,FALSE)</f>
        <v>Others</v>
      </c>
    </row>
    <row r="655" spans="1:28" x14ac:dyDescent="0.25">
      <c r="A655">
        <v>103364</v>
      </c>
      <c r="B655" t="s">
        <v>5556</v>
      </c>
      <c r="C655" t="s">
        <v>5557</v>
      </c>
      <c r="D655" t="s">
        <v>1282</v>
      </c>
      <c r="E655">
        <v>-22</v>
      </c>
      <c r="F655">
        <v>15000000</v>
      </c>
      <c r="G655">
        <v>13779317.67</v>
      </c>
      <c r="H655">
        <v>1895682.33</v>
      </c>
      <c r="I655" t="s">
        <v>5382</v>
      </c>
      <c r="J655">
        <v>133387.67000000001</v>
      </c>
      <c r="K655">
        <v>1500000</v>
      </c>
      <c r="L655">
        <v>144682.84</v>
      </c>
      <c r="M655">
        <v>17061140.940000001</v>
      </c>
      <c r="N655" s="143">
        <v>43001.43780659722</v>
      </c>
      <c r="O655" s="143">
        <v>43304</v>
      </c>
      <c r="P655" t="s">
        <v>5558</v>
      </c>
      <c r="Q655" t="s">
        <v>5559</v>
      </c>
      <c r="R655" t="s">
        <v>1280</v>
      </c>
      <c r="S655" t="s">
        <v>1510</v>
      </c>
      <c r="T655">
        <v>54</v>
      </c>
      <c r="U655">
        <f>IF(Table__192.168.1.150_M_CONSOLIDATED_Delinquency_Compulsory_EOM[[#This Row],[Days in Arrears]] &lt; 8, Table__192.168.1.150_M_CONSOLIDATED_Delinquency_Compulsory_EOM[[#This Row],[Outstanding Balance]], 0 )</f>
        <v>13779317.67</v>
      </c>
      <c r="V6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5" s="105" t="str">
        <f>VLOOKUP(Table__192.168.1.150_M_CONSOLIDATED_Delinquency_Compulsory_EOM[[#This Row],[Client No]],'Global Portfolio'!$B$2:$N$2500,10,FALSE)</f>
        <v>Restaurants and Hotels</v>
      </c>
      <c r="AA655" s="105" t="str">
        <f>VLOOKUP(Table__192.168.1.150_M_CONSOLIDATED_Delinquency_Compulsory_EOM[[#This Row],[Client No]],'Global Portfolio'!$B$2:$N$2500,11,FALSE)</f>
        <v>Restaurant</v>
      </c>
      <c r="AB655" s="105" t="str">
        <f>VLOOKUP(Table__192.168.1.150_M_CONSOLIDATED_Delinquency_Compulsory_EOM[[#This Row],[Client No]],'Global Portfolio'!$B$2:$N$2500,12,FALSE)</f>
        <v>Food  service contractors &amp; caterers</v>
      </c>
    </row>
    <row r="656" spans="1:28" x14ac:dyDescent="0.25">
      <c r="A656">
        <v>103365</v>
      </c>
      <c r="B656" t="s">
        <v>4327</v>
      </c>
      <c r="C656" t="s">
        <v>1357</v>
      </c>
      <c r="D656" t="s">
        <v>1282</v>
      </c>
      <c r="E656">
        <v>-22</v>
      </c>
      <c r="F656">
        <v>13000000</v>
      </c>
      <c r="G656">
        <v>12134821.76</v>
      </c>
      <c r="H656">
        <v>1385178.24</v>
      </c>
      <c r="I656" t="s">
        <v>2175</v>
      </c>
      <c r="J656">
        <v>95840.02</v>
      </c>
      <c r="K656">
        <v>1300000</v>
      </c>
      <c r="L656">
        <v>113258.34</v>
      </c>
      <c r="M656">
        <v>15236960.710000001</v>
      </c>
      <c r="N656" s="143">
        <v>43001.462453125001</v>
      </c>
      <c r="O656" s="143">
        <v>43366</v>
      </c>
      <c r="P656" t="s">
        <v>4342</v>
      </c>
      <c r="Q656" t="s">
        <v>1280</v>
      </c>
      <c r="R656" t="s">
        <v>1280</v>
      </c>
      <c r="S656" t="s">
        <v>1510</v>
      </c>
      <c r="T656">
        <v>48</v>
      </c>
      <c r="U656">
        <f>IF(Table__192.168.1.150_M_CONSOLIDATED_Delinquency_Compulsory_EOM[[#This Row],[Days in Arrears]] &lt; 8, Table__192.168.1.150_M_CONSOLIDATED_Delinquency_Compulsory_EOM[[#This Row],[Outstanding Balance]], 0 )</f>
        <v>12134821.76</v>
      </c>
      <c r="V6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6" s="105" t="str">
        <f>VLOOKUP(Table__192.168.1.150_M_CONSOLIDATED_Delinquency_Compulsory_EOM[[#This Row],[Client No]],'Global Portfolio'!$B$2:$N$2500,10,FALSE)</f>
        <v>Retail</v>
      </c>
      <c r="AA656" s="105" t="str">
        <f>VLOOKUP(Table__192.168.1.150_M_CONSOLIDATED_Delinquency_Compulsory_EOM[[#This Row],[Client No]],'Global Portfolio'!$B$2:$N$2500,11,FALSE)</f>
        <v>Building Material and Garden Equipment</v>
      </c>
      <c r="AB656" s="105" t="str">
        <f>VLOOKUP(Table__192.168.1.150_M_CONSOLIDATED_Delinquency_Compulsory_EOM[[#This Row],[Client No]],'Global Portfolio'!$B$2:$N$2500,12,FALSE)</f>
        <v>Hardware Stores</v>
      </c>
    </row>
    <row r="657" spans="1:28" x14ac:dyDescent="0.25">
      <c r="A657">
        <v>103366</v>
      </c>
      <c r="B657" t="s">
        <v>5564</v>
      </c>
      <c r="C657" t="s">
        <v>5568</v>
      </c>
      <c r="D657" t="s">
        <v>1282</v>
      </c>
      <c r="E657">
        <v>-24</v>
      </c>
      <c r="F657">
        <v>10000000</v>
      </c>
      <c r="G657">
        <v>9353338.1099999994</v>
      </c>
      <c r="H657">
        <v>1096661.8899999999</v>
      </c>
      <c r="I657" t="s">
        <v>5382</v>
      </c>
      <c r="J657">
        <v>0</v>
      </c>
      <c r="K657">
        <v>1000000</v>
      </c>
      <c r="L657">
        <v>136156.20000000001</v>
      </c>
      <c r="M657">
        <v>12063280.74</v>
      </c>
      <c r="N657" s="143">
        <v>43003.566039664351</v>
      </c>
      <c r="O657" s="143">
        <v>43368</v>
      </c>
      <c r="P657" t="s">
        <v>5569</v>
      </c>
      <c r="Q657" t="s">
        <v>5570</v>
      </c>
      <c r="R657" t="s">
        <v>1280</v>
      </c>
      <c r="S657" t="s">
        <v>1510</v>
      </c>
      <c r="T657">
        <v>54</v>
      </c>
      <c r="U657">
        <f>IF(Table__192.168.1.150_M_CONSOLIDATED_Delinquency_Compulsory_EOM[[#This Row],[Days in Arrears]] &lt; 8, Table__192.168.1.150_M_CONSOLIDATED_Delinquency_Compulsory_EOM[[#This Row],[Outstanding Balance]], 0 )</f>
        <v>9353338.1099999994</v>
      </c>
      <c r="V6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7" s="105" t="str">
        <f>VLOOKUP(Table__192.168.1.150_M_CONSOLIDATED_Delinquency_Compulsory_EOM[[#This Row],[Client No]],'Global Portfolio'!$B$2:$N$2500,10,FALSE)</f>
        <v>Transportation and Warehousing</v>
      </c>
      <c r="AA657" s="105" t="str">
        <f>VLOOKUP(Table__192.168.1.150_M_CONSOLIDATED_Delinquency_Compulsory_EOM[[#This Row],[Client No]],'Global Portfolio'!$B$2:$N$2500,11,FALSE)</f>
        <v xml:space="preserve"> Passenger Transportation</v>
      </c>
      <c r="AB657" s="105" t="str">
        <f>VLOOKUP(Table__192.168.1.150_M_CONSOLIDATED_Delinquency_Compulsory_EOM[[#This Row],[Client No]],'Global Portfolio'!$B$2:$N$2500,12,FALSE)</f>
        <v>Taxi service</v>
      </c>
    </row>
    <row r="658" spans="1:28" x14ac:dyDescent="0.25">
      <c r="A658">
        <v>103367</v>
      </c>
      <c r="B658" t="s">
        <v>5565</v>
      </c>
      <c r="C658" t="s">
        <v>5571</v>
      </c>
      <c r="D658" t="s">
        <v>1282</v>
      </c>
      <c r="E658">
        <v>-24</v>
      </c>
      <c r="F658">
        <v>6000000</v>
      </c>
      <c r="G658">
        <v>5612002.8700000001</v>
      </c>
      <c r="H658">
        <v>657997.13</v>
      </c>
      <c r="I658" t="s">
        <v>1039</v>
      </c>
      <c r="J658">
        <v>7302.94</v>
      </c>
      <c r="K658">
        <v>600000</v>
      </c>
      <c r="L658">
        <v>274090.02</v>
      </c>
      <c r="M658">
        <v>7237968.46</v>
      </c>
      <c r="N658" s="143">
        <v>43003.651829629627</v>
      </c>
      <c r="O658" s="143">
        <v>43368</v>
      </c>
      <c r="P658" t="s">
        <v>5572</v>
      </c>
      <c r="Q658" t="s">
        <v>5573</v>
      </c>
      <c r="R658" t="s">
        <v>1280</v>
      </c>
      <c r="S658" t="s">
        <v>1510</v>
      </c>
      <c r="T658">
        <v>54</v>
      </c>
      <c r="U658">
        <f>IF(Table__192.168.1.150_M_CONSOLIDATED_Delinquency_Compulsory_EOM[[#This Row],[Days in Arrears]] &lt; 8, Table__192.168.1.150_M_CONSOLIDATED_Delinquency_Compulsory_EOM[[#This Row],[Outstanding Balance]], 0 )</f>
        <v>5612002.8700000001</v>
      </c>
      <c r="V6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8" s="105" t="str">
        <f>VLOOKUP(Table__192.168.1.150_M_CONSOLIDATED_Delinquency_Compulsory_EOM[[#This Row],[Client No]],'Global Portfolio'!$B$2:$N$2500,10,FALSE)</f>
        <v>Real Estate and Rental</v>
      </c>
      <c r="AA658" s="105" t="str">
        <f>VLOOKUP(Table__192.168.1.150_M_CONSOLIDATED_Delinquency_Compulsory_EOM[[#This Row],[Client No]],'Global Portfolio'!$B$2:$N$2500,11,FALSE)</f>
        <v>Real Estate</v>
      </c>
      <c r="AB658" s="105" t="str">
        <f>VLOOKUP(Table__192.168.1.150_M_CONSOLIDATED_Delinquency_Compulsory_EOM[[#This Row],[Client No]],'Global Portfolio'!$B$2:$N$2500,12,FALSE)</f>
        <v>Real Estate</v>
      </c>
    </row>
    <row r="659" spans="1:28" x14ac:dyDescent="0.25">
      <c r="A659">
        <v>103368</v>
      </c>
      <c r="B659" t="s">
        <v>438</v>
      </c>
      <c r="C659" t="s">
        <v>1228</v>
      </c>
      <c r="D659" t="s">
        <v>1282</v>
      </c>
      <c r="E659">
        <v>-24</v>
      </c>
      <c r="F659">
        <v>10000000</v>
      </c>
      <c r="G659">
        <v>9334478.2699999996</v>
      </c>
      <c r="H659">
        <v>1065521.73</v>
      </c>
      <c r="I659" t="s">
        <v>1191</v>
      </c>
      <c r="J659">
        <v>2165.23</v>
      </c>
      <c r="K659">
        <v>1000000</v>
      </c>
      <c r="L659">
        <v>62229.86</v>
      </c>
      <c r="M659">
        <v>11720738.99</v>
      </c>
      <c r="N659" s="143">
        <v>43003.6607721412</v>
      </c>
      <c r="O659" s="143">
        <v>43368</v>
      </c>
      <c r="P659" t="s">
        <v>1229</v>
      </c>
      <c r="Q659" t="s">
        <v>1230</v>
      </c>
      <c r="R659" t="s">
        <v>1280</v>
      </c>
      <c r="S659" t="s">
        <v>1510</v>
      </c>
      <c r="T659">
        <v>48</v>
      </c>
      <c r="U659">
        <f>IF(Table__192.168.1.150_M_CONSOLIDATED_Delinquency_Compulsory_EOM[[#This Row],[Days in Arrears]] &lt; 8, Table__192.168.1.150_M_CONSOLIDATED_Delinquency_Compulsory_EOM[[#This Row],[Outstanding Balance]], 0 )</f>
        <v>9334478.2699999996</v>
      </c>
      <c r="V6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59" s="105" t="str">
        <f>VLOOKUP(Table__192.168.1.150_M_CONSOLIDATED_Delinquency_Compulsory_EOM[[#This Row],[Client No]],'Global Portfolio'!$B$2:$N$2500,10,FALSE)</f>
        <v>Real Estate and Rental</v>
      </c>
      <c r="AA659" s="105" t="str">
        <f>VLOOKUP(Table__192.168.1.150_M_CONSOLIDATED_Delinquency_Compulsory_EOM[[#This Row],[Client No]],'Global Portfolio'!$B$2:$N$2500,11,FALSE)</f>
        <v>Rental</v>
      </c>
      <c r="AB659" s="105" t="str">
        <f>VLOOKUP(Table__192.168.1.150_M_CONSOLIDATED_Delinquency_Compulsory_EOM[[#This Row],[Client No]],'Global Portfolio'!$B$2:$N$2500,12,FALSE)</f>
        <v>Others</v>
      </c>
    </row>
    <row r="660" spans="1:28" x14ac:dyDescent="0.25">
      <c r="A660">
        <v>103369</v>
      </c>
      <c r="B660" t="s">
        <v>423</v>
      </c>
      <c r="C660" t="s">
        <v>424</v>
      </c>
      <c r="D660" t="s">
        <v>1282</v>
      </c>
      <c r="E660">
        <v>-1</v>
      </c>
      <c r="F660">
        <v>5000000</v>
      </c>
      <c r="G660">
        <v>5000000</v>
      </c>
      <c r="H660">
        <v>620406.35</v>
      </c>
      <c r="I660" t="s">
        <v>1191</v>
      </c>
      <c r="J660">
        <v>4618.6899999999996</v>
      </c>
      <c r="K660">
        <v>500000</v>
      </c>
      <c r="L660">
        <v>220000</v>
      </c>
      <c r="M660">
        <v>620406.35</v>
      </c>
      <c r="N660" s="143">
        <v>43005.528888460649</v>
      </c>
      <c r="O660" s="143">
        <v>43314</v>
      </c>
      <c r="P660" t="s">
        <v>425</v>
      </c>
      <c r="Q660" t="s">
        <v>426</v>
      </c>
      <c r="R660" t="s">
        <v>1280</v>
      </c>
      <c r="S660" t="s">
        <v>1510</v>
      </c>
      <c r="T660">
        <v>48</v>
      </c>
      <c r="U660">
        <f>IF(Table__192.168.1.150_M_CONSOLIDATED_Delinquency_Compulsory_EOM[[#This Row],[Days in Arrears]] &lt; 8, Table__192.168.1.150_M_CONSOLIDATED_Delinquency_Compulsory_EOM[[#This Row],[Outstanding Balance]], 0 )</f>
        <v>5000000</v>
      </c>
      <c r="V6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0" s="105" t="str">
        <f>VLOOKUP(Table__192.168.1.150_M_CONSOLIDATED_Delinquency_Compulsory_EOM[[#This Row],[Client No]],'Global Portfolio'!$B$2:$N$2500,10,FALSE)</f>
        <v>Retail</v>
      </c>
      <c r="AA660" s="105" t="str">
        <f>VLOOKUP(Table__192.168.1.150_M_CONSOLIDATED_Delinquency_Compulsory_EOM[[#This Row],[Client No]],'Global Portfolio'!$B$2:$N$2500,11,FALSE)</f>
        <v>General Merchandise Stores</v>
      </c>
      <c r="AB660" s="105" t="str">
        <f>VLOOKUP(Table__192.168.1.150_M_CONSOLIDATED_Delinquency_Compulsory_EOM[[#This Row],[Client No]],'Global Portfolio'!$B$2:$N$2500,12,FALSE)</f>
        <v>General Stores</v>
      </c>
    </row>
    <row r="661" spans="1:28" x14ac:dyDescent="0.25">
      <c r="A661">
        <v>103370</v>
      </c>
      <c r="B661" t="s">
        <v>5579</v>
      </c>
      <c r="C661" t="s">
        <v>5583</v>
      </c>
      <c r="D661" t="s">
        <v>1279</v>
      </c>
      <c r="E661">
        <v>-1</v>
      </c>
      <c r="F661">
        <v>1000000</v>
      </c>
      <c r="G661">
        <v>1000000</v>
      </c>
      <c r="H661">
        <v>127467.25</v>
      </c>
      <c r="I661" t="s">
        <v>5385</v>
      </c>
      <c r="J661">
        <v>153800</v>
      </c>
      <c r="K661">
        <v>100000</v>
      </c>
      <c r="L661">
        <v>51000</v>
      </c>
      <c r="M661">
        <v>127467.25</v>
      </c>
      <c r="N661" s="143">
        <v>43004.608470254629</v>
      </c>
      <c r="O661" s="143">
        <v>43314</v>
      </c>
      <c r="P661" t="s">
        <v>5584</v>
      </c>
      <c r="Q661" t="s">
        <v>5585</v>
      </c>
      <c r="R661" t="s">
        <v>1280</v>
      </c>
      <c r="S661" t="s">
        <v>1510</v>
      </c>
      <c r="T661">
        <v>54</v>
      </c>
      <c r="U661">
        <f>IF(Table__192.168.1.150_M_CONSOLIDATED_Delinquency_Compulsory_EOM[[#This Row],[Days in Arrears]] &lt; 8, Table__192.168.1.150_M_CONSOLIDATED_Delinquency_Compulsory_EOM[[#This Row],[Outstanding Balance]], 0 )</f>
        <v>1000000</v>
      </c>
      <c r="V6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1" s="105" t="str">
        <f>VLOOKUP(Table__192.168.1.150_M_CONSOLIDATED_Delinquency_Compulsory_EOM[[#This Row],[Client No]],'Global Portfolio'!$B$2:$N$2500,10,FALSE)</f>
        <v>Retail</v>
      </c>
      <c r="AA661" s="105" t="str">
        <f>VLOOKUP(Table__192.168.1.150_M_CONSOLIDATED_Delinquency_Compulsory_EOM[[#This Row],[Client No]],'Global Portfolio'!$B$2:$N$2500,11,FALSE)</f>
        <v>General Merchandise Stores</v>
      </c>
      <c r="AB661" s="105" t="str">
        <f>VLOOKUP(Table__192.168.1.150_M_CONSOLIDATED_Delinquency_Compulsory_EOM[[#This Row],[Client No]],'Global Portfolio'!$B$2:$N$2500,12,FALSE)</f>
        <v>General Stores</v>
      </c>
    </row>
    <row r="662" spans="1:28" x14ac:dyDescent="0.25">
      <c r="A662">
        <v>103371</v>
      </c>
      <c r="B662" t="s">
        <v>4305</v>
      </c>
      <c r="C662" t="s">
        <v>4312</v>
      </c>
      <c r="D662" t="s">
        <v>1279</v>
      </c>
      <c r="E662">
        <v>-1</v>
      </c>
      <c r="F662">
        <v>5000000</v>
      </c>
      <c r="G662">
        <v>5000000</v>
      </c>
      <c r="H662">
        <v>536859.02</v>
      </c>
      <c r="I662" t="s">
        <v>4684</v>
      </c>
      <c r="J662">
        <v>378968.65</v>
      </c>
      <c r="K662">
        <v>500000</v>
      </c>
      <c r="L662">
        <v>226666.67</v>
      </c>
      <c r="M662">
        <v>536859.02</v>
      </c>
      <c r="N662" s="143">
        <v>43004.666905243059</v>
      </c>
      <c r="O662" s="143">
        <v>43375</v>
      </c>
      <c r="P662" t="s">
        <v>4313</v>
      </c>
      <c r="Q662" t="s">
        <v>1280</v>
      </c>
      <c r="R662" t="s">
        <v>1280</v>
      </c>
      <c r="S662" t="s">
        <v>1510</v>
      </c>
      <c r="T662">
        <v>48</v>
      </c>
      <c r="U662">
        <f>IF(Table__192.168.1.150_M_CONSOLIDATED_Delinquency_Compulsory_EOM[[#This Row],[Days in Arrears]] &lt; 8, Table__192.168.1.150_M_CONSOLIDATED_Delinquency_Compulsory_EOM[[#This Row],[Outstanding Balance]], 0 )</f>
        <v>5000000</v>
      </c>
      <c r="V6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2" s="105" t="str">
        <f>VLOOKUP(Table__192.168.1.150_M_CONSOLIDATED_Delinquency_Compulsory_EOM[[#This Row],[Client No]],'Global Portfolio'!$B$2:$N$2500,10,FALSE)</f>
        <v>Real Estate and Rental</v>
      </c>
      <c r="AA662" s="105" t="str">
        <f>VLOOKUP(Table__192.168.1.150_M_CONSOLIDATED_Delinquency_Compulsory_EOM[[#This Row],[Client No]],'Global Portfolio'!$B$2:$N$2500,11,FALSE)</f>
        <v>Rental</v>
      </c>
      <c r="AB662" s="105" t="str">
        <f>VLOOKUP(Table__192.168.1.150_M_CONSOLIDATED_Delinquency_Compulsory_EOM[[#This Row],[Client No]],'Global Portfolio'!$B$2:$N$2500,12,FALSE)</f>
        <v>Machinery &amp; Equipment</v>
      </c>
    </row>
    <row r="663" spans="1:28" x14ac:dyDescent="0.25">
      <c r="A663">
        <v>103372</v>
      </c>
      <c r="B663" t="s">
        <v>5595</v>
      </c>
      <c r="C663" t="s">
        <v>5597</v>
      </c>
      <c r="D663" t="s">
        <v>1279</v>
      </c>
      <c r="E663">
        <v>-1</v>
      </c>
      <c r="F663">
        <v>4000000</v>
      </c>
      <c r="G663">
        <v>4000000</v>
      </c>
      <c r="H663">
        <v>509143.39</v>
      </c>
      <c r="I663" t="s">
        <v>5124</v>
      </c>
      <c r="J663">
        <v>0</v>
      </c>
      <c r="K663">
        <v>400000</v>
      </c>
      <c r="L663">
        <v>198000</v>
      </c>
      <c r="M663">
        <v>509143.39</v>
      </c>
      <c r="N663" s="143">
        <v>43005.701929594907</v>
      </c>
      <c r="O663" s="143">
        <v>43314</v>
      </c>
      <c r="P663" t="s">
        <v>5598</v>
      </c>
      <c r="Q663" t="s">
        <v>1280</v>
      </c>
      <c r="R663" t="s">
        <v>1280</v>
      </c>
      <c r="S663" t="s">
        <v>1510</v>
      </c>
      <c r="T663">
        <v>54</v>
      </c>
      <c r="U663">
        <f>IF(Table__192.168.1.150_M_CONSOLIDATED_Delinquency_Compulsory_EOM[[#This Row],[Days in Arrears]] &lt; 8, Table__192.168.1.150_M_CONSOLIDATED_Delinquency_Compulsory_EOM[[#This Row],[Outstanding Balance]], 0 )</f>
        <v>4000000</v>
      </c>
      <c r="V6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3" s="105" t="str">
        <f>VLOOKUP(Table__192.168.1.150_M_CONSOLIDATED_Delinquency_Compulsory_EOM[[#This Row],[Client No]],'Global Portfolio'!$B$2:$N$2500,10,FALSE)</f>
        <v>Retail</v>
      </c>
      <c r="AA663" s="105" t="str">
        <f>VLOOKUP(Table__192.168.1.150_M_CONSOLIDATED_Delinquency_Compulsory_EOM[[#This Row],[Client No]],'Global Portfolio'!$B$2:$N$2500,11,FALSE)</f>
        <v>General Merchandise Stores</v>
      </c>
      <c r="AB663" s="105" t="str">
        <f>VLOOKUP(Table__192.168.1.150_M_CONSOLIDATED_Delinquency_Compulsory_EOM[[#This Row],[Client No]],'Global Portfolio'!$B$2:$N$2500,12,FALSE)</f>
        <v>General Stores</v>
      </c>
    </row>
    <row r="664" spans="1:28" x14ac:dyDescent="0.25">
      <c r="A664">
        <v>103373</v>
      </c>
      <c r="B664" t="s">
        <v>5592</v>
      </c>
      <c r="C664" t="s">
        <v>5599</v>
      </c>
      <c r="D664" t="s">
        <v>1279</v>
      </c>
      <c r="E664">
        <v>-1</v>
      </c>
      <c r="F664">
        <v>4000000</v>
      </c>
      <c r="G664">
        <v>4000000</v>
      </c>
      <c r="H664">
        <v>509143.39</v>
      </c>
      <c r="I664" t="s">
        <v>5352</v>
      </c>
      <c r="J664">
        <v>3800</v>
      </c>
      <c r="K664">
        <v>400000</v>
      </c>
      <c r="L664">
        <v>198000</v>
      </c>
      <c r="M664">
        <v>509143.39</v>
      </c>
      <c r="N664" s="143">
        <v>43005.713250196757</v>
      </c>
      <c r="O664" s="143">
        <v>43314</v>
      </c>
      <c r="P664" t="s">
        <v>5600</v>
      </c>
      <c r="Q664" t="s">
        <v>5601</v>
      </c>
      <c r="R664" t="s">
        <v>1280</v>
      </c>
      <c r="S664" t="s">
        <v>1510</v>
      </c>
      <c r="T664">
        <v>54</v>
      </c>
      <c r="U664">
        <f>IF(Table__192.168.1.150_M_CONSOLIDATED_Delinquency_Compulsory_EOM[[#This Row],[Days in Arrears]] &lt; 8, Table__192.168.1.150_M_CONSOLIDATED_Delinquency_Compulsory_EOM[[#This Row],[Outstanding Balance]], 0 )</f>
        <v>4000000</v>
      </c>
      <c r="V6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4" s="105" t="str">
        <f>VLOOKUP(Table__192.168.1.150_M_CONSOLIDATED_Delinquency_Compulsory_EOM[[#This Row],[Client No]],'Global Portfolio'!$B$2:$N$2500,10,FALSE)</f>
        <v>Retail</v>
      </c>
      <c r="AA664" s="105" t="str">
        <f>VLOOKUP(Table__192.168.1.150_M_CONSOLIDATED_Delinquency_Compulsory_EOM[[#This Row],[Client No]],'Global Portfolio'!$B$2:$N$2500,11,FALSE)</f>
        <v>Health and Personal Care Stores</v>
      </c>
      <c r="AB664" s="105" t="str">
        <f>VLOOKUP(Table__192.168.1.150_M_CONSOLIDATED_Delinquency_Compulsory_EOM[[#This Row],[Client No]],'Global Portfolio'!$B$2:$N$2500,12,FALSE)</f>
        <v>Cosmetics, Beauty Supplies, &amp; Perfume Stores</v>
      </c>
    </row>
    <row r="665" spans="1:28" x14ac:dyDescent="0.25">
      <c r="A665">
        <v>103374</v>
      </c>
      <c r="B665" t="s">
        <v>3667</v>
      </c>
      <c r="C665" t="s">
        <v>3671</v>
      </c>
      <c r="D665" t="s">
        <v>1279</v>
      </c>
      <c r="E665">
        <v>-1</v>
      </c>
      <c r="F665">
        <v>3500000</v>
      </c>
      <c r="G665">
        <v>3500000</v>
      </c>
      <c r="H665">
        <v>374845.08</v>
      </c>
      <c r="I665" t="s">
        <v>1039</v>
      </c>
      <c r="J665">
        <v>4370.57</v>
      </c>
      <c r="K665">
        <v>350000</v>
      </c>
      <c r="L665">
        <v>149333.34</v>
      </c>
      <c r="M665">
        <v>374845.08</v>
      </c>
      <c r="N665" s="143">
        <v>43006.684353240744</v>
      </c>
      <c r="O665" s="143">
        <v>43375</v>
      </c>
      <c r="P665" t="s">
        <v>3672</v>
      </c>
      <c r="Q665" t="s">
        <v>3673</v>
      </c>
      <c r="R665" t="s">
        <v>1280</v>
      </c>
      <c r="S665" t="s">
        <v>1510</v>
      </c>
      <c r="T665">
        <v>48</v>
      </c>
      <c r="U665">
        <f>IF(Table__192.168.1.150_M_CONSOLIDATED_Delinquency_Compulsory_EOM[[#This Row],[Days in Arrears]] &lt; 8, Table__192.168.1.150_M_CONSOLIDATED_Delinquency_Compulsory_EOM[[#This Row],[Outstanding Balance]], 0 )</f>
        <v>3500000</v>
      </c>
      <c r="V6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5" s="105" t="str">
        <f>VLOOKUP(Table__192.168.1.150_M_CONSOLIDATED_Delinquency_Compulsory_EOM[[#This Row],[Client No]],'Global Portfolio'!$B$2:$N$2500,10,FALSE)</f>
        <v>Real Estate and Rental</v>
      </c>
      <c r="AA665" s="105" t="str">
        <f>VLOOKUP(Table__192.168.1.150_M_CONSOLIDATED_Delinquency_Compulsory_EOM[[#This Row],[Client No]],'Global Portfolio'!$B$2:$N$2500,11,FALSE)</f>
        <v>Rental</v>
      </c>
      <c r="AB665" s="105" t="str">
        <f>VLOOKUP(Table__192.168.1.150_M_CONSOLIDATED_Delinquency_Compulsory_EOM[[#This Row],[Client No]],'Global Portfolio'!$B$2:$N$2500,12,FALSE)</f>
        <v>General Rental Centers</v>
      </c>
    </row>
    <row r="666" spans="1:28" x14ac:dyDescent="0.25">
      <c r="A666">
        <v>103375</v>
      </c>
      <c r="B666" t="s">
        <v>3866</v>
      </c>
      <c r="C666" t="s">
        <v>3871</v>
      </c>
      <c r="D666" t="s">
        <v>1284</v>
      </c>
      <c r="E666">
        <v>-1</v>
      </c>
      <c r="F666">
        <v>25000000</v>
      </c>
      <c r="G666">
        <v>25000000</v>
      </c>
      <c r="H666">
        <v>2521305.7400000002</v>
      </c>
      <c r="I666" t="s">
        <v>2861</v>
      </c>
      <c r="J666">
        <v>1100890.45</v>
      </c>
      <c r="K666">
        <v>1250000</v>
      </c>
      <c r="L666">
        <v>800000</v>
      </c>
      <c r="M666">
        <v>2521305.7400000002</v>
      </c>
      <c r="N666" s="143">
        <v>43006.724725729167</v>
      </c>
      <c r="O666" s="143">
        <v>43375</v>
      </c>
      <c r="P666" t="s">
        <v>3872</v>
      </c>
      <c r="Q666" t="s">
        <v>3873</v>
      </c>
      <c r="R666" t="s">
        <v>1280</v>
      </c>
      <c r="S666" t="s">
        <v>1510</v>
      </c>
      <c r="T666">
        <v>36</v>
      </c>
      <c r="U666">
        <f>IF(Table__192.168.1.150_M_CONSOLIDATED_Delinquency_Compulsory_EOM[[#This Row],[Days in Arrears]] &lt; 8, Table__192.168.1.150_M_CONSOLIDATED_Delinquency_Compulsory_EOM[[#This Row],[Outstanding Balance]], 0 )</f>
        <v>25000000</v>
      </c>
      <c r="V6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6" s="105" t="str">
        <f>VLOOKUP(Table__192.168.1.150_M_CONSOLIDATED_Delinquency_Compulsory_EOM[[#This Row],[Client No]],'Global Portfolio'!$B$2:$N$2500,10,FALSE)</f>
        <v>Transportation and Warehousing</v>
      </c>
      <c r="AA666" s="105" t="str">
        <f>VLOOKUP(Table__192.168.1.150_M_CONSOLIDATED_Delinquency_Compulsory_EOM[[#This Row],[Client No]],'Global Portfolio'!$B$2:$N$2500,11,FALSE)</f>
        <v>Warehousing and Storage</v>
      </c>
      <c r="AB666" s="105" t="str">
        <f>VLOOKUP(Table__192.168.1.150_M_CONSOLIDATED_Delinquency_Compulsory_EOM[[#This Row],[Client No]],'Global Portfolio'!$B$2:$N$2500,12,FALSE)</f>
        <v>Warehousing and Storage</v>
      </c>
    </row>
    <row r="667" spans="1:28" x14ac:dyDescent="0.25">
      <c r="A667">
        <v>103376</v>
      </c>
      <c r="B667" t="s">
        <v>5608</v>
      </c>
      <c r="C667" t="s">
        <v>5615</v>
      </c>
      <c r="D667" t="s">
        <v>1282</v>
      </c>
      <c r="E667">
        <v>-1</v>
      </c>
      <c r="F667">
        <v>3000000</v>
      </c>
      <c r="G667">
        <v>3000000</v>
      </c>
      <c r="H667">
        <v>381313.33</v>
      </c>
      <c r="I667" t="s">
        <v>5124</v>
      </c>
      <c r="J667">
        <v>3800</v>
      </c>
      <c r="K667">
        <v>300000</v>
      </c>
      <c r="L667">
        <v>144000</v>
      </c>
      <c r="M667">
        <v>381313.33</v>
      </c>
      <c r="N667" s="143">
        <v>43006.714477974536</v>
      </c>
      <c r="O667" s="143">
        <v>43314</v>
      </c>
      <c r="P667" t="s">
        <v>5616</v>
      </c>
      <c r="Q667" t="s">
        <v>5617</v>
      </c>
      <c r="R667" t="s">
        <v>1280</v>
      </c>
      <c r="S667" t="s">
        <v>1510</v>
      </c>
      <c r="T667">
        <v>54</v>
      </c>
      <c r="U667">
        <f>IF(Table__192.168.1.150_M_CONSOLIDATED_Delinquency_Compulsory_EOM[[#This Row],[Days in Arrears]] &lt; 8, Table__192.168.1.150_M_CONSOLIDATED_Delinquency_Compulsory_EOM[[#This Row],[Outstanding Balance]], 0 )</f>
        <v>3000000</v>
      </c>
      <c r="V6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7" s="105" t="str">
        <f>VLOOKUP(Table__192.168.1.150_M_CONSOLIDATED_Delinquency_Compulsory_EOM[[#This Row],[Client No]],'Global Portfolio'!$B$2:$N$2500,10,FALSE)</f>
        <v>Retail</v>
      </c>
      <c r="AA667" s="105" t="str">
        <f>VLOOKUP(Table__192.168.1.150_M_CONSOLIDATED_Delinquency_Compulsory_EOM[[#This Row],[Client No]],'Global Portfolio'!$B$2:$N$2500,11,FALSE)</f>
        <v>General Merchandise Stores</v>
      </c>
      <c r="AB667" s="105" t="str">
        <f>VLOOKUP(Table__192.168.1.150_M_CONSOLIDATED_Delinquency_Compulsory_EOM[[#This Row],[Client No]],'Global Portfolio'!$B$2:$N$2500,12,FALSE)</f>
        <v>General Stores</v>
      </c>
    </row>
    <row r="668" spans="1:28" x14ac:dyDescent="0.25">
      <c r="A668">
        <v>103377</v>
      </c>
      <c r="B668" t="s">
        <v>5610</v>
      </c>
      <c r="C668" t="s">
        <v>5618</v>
      </c>
      <c r="D668" t="s">
        <v>1279</v>
      </c>
      <c r="E668">
        <v>-1</v>
      </c>
      <c r="F668">
        <v>5000000</v>
      </c>
      <c r="G668">
        <v>5000000</v>
      </c>
      <c r="H668">
        <v>551479.25</v>
      </c>
      <c r="I668" t="s">
        <v>468</v>
      </c>
      <c r="J668">
        <v>3800</v>
      </c>
      <c r="K668">
        <v>500000</v>
      </c>
      <c r="L668">
        <v>240000</v>
      </c>
      <c r="M668">
        <v>551479.25</v>
      </c>
      <c r="N668" s="143">
        <v>43006.690618981484</v>
      </c>
      <c r="O668" s="143">
        <v>43375</v>
      </c>
      <c r="P668" t="s">
        <v>5619</v>
      </c>
      <c r="Q668" t="s">
        <v>5620</v>
      </c>
      <c r="R668" t="s">
        <v>1280</v>
      </c>
      <c r="S668" t="s">
        <v>1510</v>
      </c>
      <c r="T668">
        <v>54</v>
      </c>
      <c r="U668">
        <f>IF(Table__192.168.1.150_M_CONSOLIDATED_Delinquency_Compulsory_EOM[[#This Row],[Days in Arrears]] &lt; 8, Table__192.168.1.150_M_CONSOLIDATED_Delinquency_Compulsory_EOM[[#This Row],[Outstanding Balance]], 0 )</f>
        <v>5000000</v>
      </c>
      <c r="V6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8" s="105" t="str">
        <f>VLOOKUP(Table__192.168.1.150_M_CONSOLIDATED_Delinquency_Compulsory_EOM[[#This Row],[Client No]],'Global Portfolio'!$B$2:$N$2500,10,FALSE)</f>
        <v>Retail</v>
      </c>
      <c r="AA668" s="105" t="str">
        <f>VLOOKUP(Table__192.168.1.150_M_CONSOLIDATED_Delinquency_Compulsory_EOM[[#This Row],[Client No]],'Global Portfolio'!$B$2:$N$2500,11,FALSE)</f>
        <v>General Merchandise Stores</v>
      </c>
      <c r="AB668" s="105" t="str">
        <f>VLOOKUP(Table__192.168.1.150_M_CONSOLIDATED_Delinquency_Compulsory_EOM[[#This Row],[Client No]],'Global Portfolio'!$B$2:$N$2500,12,FALSE)</f>
        <v>General Stores</v>
      </c>
    </row>
    <row r="669" spans="1:28" x14ac:dyDescent="0.25">
      <c r="A669">
        <v>103378</v>
      </c>
      <c r="B669" t="s">
        <v>5613</v>
      </c>
      <c r="C669" t="s">
        <v>5621</v>
      </c>
      <c r="D669" t="s">
        <v>1282</v>
      </c>
      <c r="E669">
        <v>-1</v>
      </c>
      <c r="F669">
        <v>3000000</v>
      </c>
      <c r="G669">
        <v>3000000</v>
      </c>
      <c r="H669">
        <v>330887.55</v>
      </c>
      <c r="I669" t="s">
        <v>4684</v>
      </c>
      <c r="J669">
        <v>343800</v>
      </c>
      <c r="K669">
        <v>300000</v>
      </c>
      <c r="L669">
        <v>144000</v>
      </c>
      <c r="M669">
        <v>330887.55</v>
      </c>
      <c r="N669" s="143">
        <v>43006.734178472223</v>
      </c>
      <c r="O669" s="143">
        <v>43375</v>
      </c>
      <c r="P669" t="s">
        <v>5622</v>
      </c>
      <c r="Q669" t="s">
        <v>1280</v>
      </c>
      <c r="R669" t="s">
        <v>1280</v>
      </c>
      <c r="S669" t="s">
        <v>1510</v>
      </c>
      <c r="T669">
        <v>54</v>
      </c>
      <c r="U669">
        <f>IF(Table__192.168.1.150_M_CONSOLIDATED_Delinquency_Compulsory_EOM[[#This Row],[Days in Arrears]] &lt; 8, Table__192.168.1.150_M_CONSOLIDATED_Delinquency_Compulsory_EOM[[#This Row],[Outstanding Balance]], 0 )</f>
        <v>3000000</v>
      </c>
      <c r="V6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69" s="105" t="str">
        <f>VLOOKUP(Table__192.168.1.150_M_CONSOLIDATED_Delinquency_Compulsory_EOM[[#This Row],[Client No]],'Global Portfolio'!$B$2:$N$2500,10,FALSE)</f>
        <v>Real Estate and Rental</v>
      </c>
      <c r="AA669" s="105" t="str">
        <f>VLOOKUP(Table__192.168.1.150_M_CONSOLIDATED_Delinquency_Compulsory_EOM[[#This Row],[Client No]],'Global Portfolio'!$B$2:$N$2500,11,FALSE)</f>
        <v>Rental</v>
      </c>
      <c r="AB669" s="105" t="str">
        <f>VLOOKUP(Table__192.168.1.150_M_CONSOLIDATED_Delinquency_Compulsory_EOM[[#This Row],[Client No]],'Global Portfolio'!$B$2:$N$2500,12,FALSE)</f>
        <v>General Rental Centers</v>
      </c>
    </row>
    <row r="670" spans="1:28" x14ac:dyDescent="0.25">
      <c r="A670">
        <v>103379</v>
      </c>
      <c r="B670" t="s">
        <v>5673</v>
      </c>
      <c r="C670" t="s">
        <v>5676</v>
      </c>
      <c r="D670" t="s">
        <v>1282</v>
      </c>
      <c r="E670">
        <v>-1</v>
      </c>
      <c r="F670">
        <v>14000000</v>
      </c>
      <c r="G670">
        <v>14000000</v>
      </c>
      <c r="H670">
        <v>1539734.28</v>
      </c>
      <c r="I670" t="s">
        <v>4844</v>
      </c>
      <c r="J670">
        <v>1528000</v>
      </c>
      <c r="K670">
        <v>1400000</v>
      </c>
      <c r="L670">
        <v>630000</v>
      </c>
      <c r="M670">
        <v>1539734.28</v>
      </c>
      <c r="N670" s="143">
        <v>43008.50186921296</v>
      </c>
      <c r="O670" s="143">
        <v>43375</v>
      </c>
      <c r="P670" t="s">
        <v>5677</v>
      </c>
      <c r="Q670" t="s">
        <v>5678</v>
      </c>
      <c r="R670" t="s">
        <v>1280</v>
      </c>
      <c r="S670" t="s">
        <v>1510</v>
      </c>
      <c r="T670">
        <v>54</v>
      </c>
      <c r="U670">
        <f>IF(Table__192.168.1.150_M_CONSOLIDATED_Delinquency_Compulsory_EOM[[#This Row],[Days in Arrears]] &lt; 8, Table__192.168.1.150_M_CONSOLIDATED_Delinquency_Compulsory_EOM[[#This Row],[Outstanding Balance]], 0 )</f>
        <v>14000000</v>
      </c>
      <c r="V6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0" s="105" t="str">
        <f>VLOOKUP(Table__192.168.1.150_M_CONSOLIDATED_Delinquency_Compulsory_EOM[[#This Row],[Client No]],'Global Portfolio'!$B$2:$N$2500,10,FALSE)</f>
        <v>Retail</v>
      </c>
      <c r="AA670" s="105" t="str">
        <f>VLOOKUP(Table__192.168.1.150_M_CONSOLIDATED_Delinquency_Compulsory_EOM[[#This Row],[Client No]],'Global Portfolio'!$B$2:$N$2500,11,FALSE)</f>
        <v>General Merchandise Stores</v>
      </c>
      <c r="AB670" s="105" t="str">
        <f>VLOOKUP(Table__192.168.1.150_M_CONSOLIDATED_Delinquency_Compulsory_EOM[[#This Row],[Client No]],'Global Portfolio'!$B$2:$N$2500,12,FALSE)</f>
        <v>General Stores</v>
      </c>
    </row>
    <row r="671" spans="1:28" x14ac:dyDescent="0.25">
      <c r="A671">
        <v>103380</v>
      </c>
      <c r="B671" t="s">
        <v>4001</v>
      </c>
      <c r="C671" t="s">
        <v>4002</v>
      </c>
      <c r="D671" t="s">
        <v>1282</v>
      </c>
      <c r="E671">
        <v>-5</v>
      </c>
      <c r="F671">
        <v>10000000</v>
      </c>
      <c r="G671">
        <v>10000000</v>
      </c>
      <c r="H671">
        <v>1075084.1000000001</v>
      </c>
      <c r="I671" t="s">
        <v>90</v>
      </c>
      <c r="J671">
        <v>5376.36</v>
      </c>
      <c r="K671">
        <v>1000000</v>
      </c>
      <c r="L671">
        <v>413333.33</v>
      </c>
      <c r="M671">
        <v>1075084.1000000001</v>
      </c>
      <c r="N671" s="143">
        <v>43007.603788738423</v>
      </c>
      <c r="O671" s="143">
        <v>43379</v>
      </c>
      <c r="P671" t="s">
        <v>4003</v>
      </c>
      <c r="Q671" t="s">
        <v>4004</v>
      </c>
      <c r="R671" t="s">
        <v>4005</v>
      </c>
      <c r="S671" t="s">
        <v>1510</v>
      </c>
      <c r="T671">
        <v>48</v>
      </c>
      <c r="U671">
        <f>IF(Table__192.168.1.150_M_CONSOLIDATED_Delinquency_Compulsory_EOM[[#This Row],[Days in Arrears]] &lt; 8, Table__192.168.1.150_M_CONSOLIDATED_Delinquency_Compulsory_EOM[[#This Row],[Outstanding Balance]], 0 )</f>
        <v>10000000</v>
      </c>
      <c r="V6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1" s="105" t="str">
        <f>VLOOKUP(Table__192.168.1.150_M_CONSOLIDATED_Delinquency_Compulsory_EOM[[#This Row],[Client No]],'Global Portfolio'!$B$2:$N$2500,10,FALSE)</f>
        <v>Retail</v>
      </c>
      <c r="AA671" s="105" t="str">
        <f>VLOOKUP(Table__192.168.1.150_M_CONSOLIDATED_Delinquency_Compulsory_EOM[[#This Row],[Client No]],'Global Portfolio'!$B$2:$N$2500,11,FALSE)</f>
        <v>General Merchandise Stores</v>
      </c>
      <c r="AB671" s="105" t="str">
        <f>VLOOKUP(Table__192.168.1.150_M_CONSOLIDATED_Delinquency_Compulsory_EOM[[#This Row],[Client No]],'Global Portfolio'!$B$2:$N$2500,12,FALSE)</f>
        <v>General Stores</v>
      </c>
    </row>
    <row r="672" spans="1:28" x14ac:dyDescent="0.25">
      <c r="A672">
        <v>103381</v>
      </c>
      <c r="B672" t="s">
        <v>5636</v>
      </c>
      <c r="C672" t="s">
        <v>5643</v>
      </c>
      <c r="D672" t="s">
        <v>1282</v>
      </c>
      <c r="E672">
        <v>-1</v>
      </c>
      <c r="F672">
        <v>8000000</v>
      </c>
      <c r="G672">
        <v>8000000</v>
      </c>
      <c r="H672">
        <v>1015384.29</v>
      </c>
      <c r="I672" t="s">
        <v>2034</v>
      </c>
      <c r="J672">
        <v>7800</v>
      </c>
      <c r="K672">
        <v>800000</v>
      </c>
      <c r="L672">
        <v>372000</v>
      </c>
      <c r="M672">
        <v>1015384.29</v>
      </c>
      <c r="N672" s="143">
        <v>43007.669438854165</v>
      </c>
      <c r="O672" s="143">
        <v>43314</v>
      </c>
      <c r="P672" t="s">
        <v>5644</v>
      </c>
      <c r="Q672" t="s">
        <v>1280</v>
      </c>
      <c r="R672" t="s">
        <v>1280</v>
      </c>
      <c r="S672" t="s">
        <v>1510</v>
      </c>
      <c r="T672">
        <v>54</v>
      </c>
      <c r="U672">
        <f>IF(Table__192.168.1.150_M_CONSOLIDATED_Delinquency_Compulsory_EOM[[#This Row],[Days in Arrears]] &lt; 8, Table__192.168.1.150_M_CONSOLIDATED_Delinquency_Compulsory_EOM[[#This Row],[Outstanding Balance]], 0 )</f>
        <v>8000000</v>
      </c>
      <c r="V6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2" s="105" t="str">
        <f>VLOOKUP(Table__192.168.1.150_M_CONSOLIDATED_Delinquency_Compulsory_EOM[[#This Row],[Client No]],'Global Portfolio'!$B$2:$N$2500,10,FALSE)</f>
        <v>Retail</v>
      </c>
      <c r="AA672" s="105" t="str">
        <f>VLOOKUP(Table__192.168.1.150_M_CONSOLIDATED_Delinquency_Compulsory_EOM[[#This Row],[Client No]],'Global Portfolio'!$B$2:$N$2500,11,FALSE)</f>
        <v>Second Hand -Clothing and  Accessories</v>
      </c>
      <c r="AB672" s="105" t="str">
        <f>VLOOKUP(Table__192.168.1.150_M_CONSOLIDATED_Delinquency_Compulsory_EOM[[#This Row],[Client No]],'Global Portfolio'!$B$2:$N$2500,12,FALSE)</f>
        <v>Luggage &amp; Leather Goods Stores</v>
      </c>
    </row>
    <row r="673" spans="1:28" x14ac:dyDescent="0.25">
      <c r="A673">
        <v>103382</v>
      </c>
      <c r="B673" t="s">
        <v>369</v>
      </c>
      <c r="C673" t="s">
        <v>381</v>
      </c>
      <c r="D673" t="s">
        <v>1281</v>
      </c>
      <c r="E673">
        <v>-1</v>
      </c>
      <c r="F673">
        <v>18000000</v>
      </c>
      <c r="G673">
        <v>18000000</v>
      </c>
      <c r="H673">
        <v>1369318.07</v>
      </c>
      <c r="I673" t="s">
        <v>1191</v>
      </c>
      <c r="J673">
        <v>1458227.22</v>
      </c>
      <c r="K673">
        <v>1350000</v>
      </c>
      <c r="L673">
        <v>651000</v>
      </c>
      <c r="M673">
        <v>1369318.07</v>
      </c>
      <c r="N673" s="143">
        <v>43007.60738105324</v>
      </c>
      <c r="O673" s="143">
        <v>43557</v>
      </c>
      <c r="P673" t="s">
        <v>382</v>
      </c>
      <c r="Q673" t="s">
        <v>383</v>
      </c>
      <c r="R673" t="s">
        <v>1280</v>
      </c>
      <c r="S673" t="s">
        <v>1510</v>
      </c>
      <c r="T673">
        <v>42</v>
      </c>
      <c r="U673">
        <f>IF(Table__192.168.1.150_M_CONSOLIDATED_Delinquency_Compulsory_EOM[[#This Row],[Days in Arrears]] &lt; 8, Table__192.168.1.150_M_CONSOLIDATED_Delinquency_Compulsory_EOM[[#This Row],[Outstanding Balance]], 0 )</f>
        <v>18000000</v>
      </c>
      <c r="V6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3" s="105" t="str">
        <f>VLOOKUP(Table__192.168.1.150_M_CONSOLIDATED_Delinquency_Compulsory_EOM[[#This Row],[Client No]],'Global Portfolio'!$B$2:$N$2500,10,FALSE)</f>
        <v>Retail</v>
      </c>
      <c r="AA673" s="105" t="str">
        <f>VLOOKUP(Table__192.168.1.150_M_CONSOLIDATED_Delinquency_Compulsory_EOM[[#This Row],[Client No]],'Global Portfolio'!$B$2:$N$2500,11,FALSE)</f>
        <v>General Merchandise Stores</v>
      </c>
      <c r="AB673" s="105" t="str">
        <f>VLOOKUP(Table__192.168.1.150_M_CONSOLIDATED_Delinquency_Compulsory_EOM[[#This Row],[Client No]],'Global Portfolio'!$B$2:$N$2500,12,FALSE)</f>
        <v>General Stores</v>
      </c>
    </row>
    <row r="674" spans="1:28" x14ac:dyDescent="0.25">
      <c r="A674">
        <v>103383</v>
      </c>
      <c r="B674" t="s">
        <v>5635</v>
      </c>
      <c r="C674" t="s">
        <v>5645</v>
      </c>
      <c r="D674" t="s">
        <v>1279</v>
      </c>
      <c r="E674">
        <v>-1</v>
      </c>
      <c r="F674">
        <v>4000000</v>
      </c>
      <c r="G674">
        <v>4000000</v>
      </c>
      <c r="H674">
        <v>440553.74</v>
      </c>
      <c r="I674" t="s">
        <v>5385</v>
      </c>
      <c r="J674">
        <v>0</v>
      </c>
      <c r="K674">
        <v>400000</v>
      </c>
      <c r="L674">
        <v>186000</v>
      </c>
      <c r="M674">
        <v>440553.74</v>
      </c>
      <c r="N674" s="143">
        <v>43007.676541053239</v>
      </c>
      <c r="O674" s="143">
        <v>43375</v>
      </c>
      <c r="P674" t="s">
        <v>5646</v>
      </c>
      <c r="Q674" t="s">
        <v>5647</v>
      </c>
      <c r="R674" t="s">
        <v>1280</v>
      </c>
      <c r="S674" t="s">
        <v>1510</v>
      </c>
      <c r="T674">
        <v>54</v>
      </c>
      <c r="U674">
        <f>IF(Table__192.168.1.150_M_CONSOLIDATED_Delinquency_Compulsory_EOM[[#This Row],[Days in Arrears]] &lt; 8, Table__192.168.1.150_M_CONSOLIDATED_Delinquency_Compulsory_EOM[[#This Row],[Outstanding Balance]], 0 )</f>
        <v>4000000</v>
      </c>
      <c r="V6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4" s="105" t="str">
        <f>VLOOKUP(Table__192.168.1.150_M_CONSOLIDATED_Delinquency_Compulsory_EOM[[#This Row],[Client No]],'Global Portfolio'!$B$2:$N$2500,10,FALSE)</f>
        <v>Retail</v>
      </c>
      <c r="AA674" s="105" t="str">
        <f>VLOOKUP(Table__192.168.1.150_M_CONSOLIDATED_Delinquency_Compulsory_EOM[[#This Row],[Client No]],'Global Portfolio'!$B$2:$N$2500,11,FALSE)</f>
        <v>New-Clothing and  Accessories</v>
      </c>
      <c r="AB674" s="105" t="str">
        <f>VLOOKUP(Table__192.168.1.150_M_CONSOLIDATED_Delinquency_Compulsory_EOM[[#This Row],[Client No]],'Global Portfolio'!$B$2:$N$2500,12,FALSE)</f>
        <v>Jewelry Stores</v>
      </c>
    </row>
    <row r="675" spans="1:28" x14ac:dyDescent="0.25">
      <c r="A675">
        <v>103384</v>
      </c>
      <c r="B675" t="s">
        <v>5675</v>
      </c>
      <c r="C675" t="s">
        <v>5679</v>
      </c>
      <c r="D675" t="s">
        <v>1281</v>
      </c>
      <c r="E675">
        <v>-1</v>
      </c>
      <c r="F675">
        <v>25000000</v>
      </c>
      <c r="G675">
        <v>25000000</v>
      </c>
      <c r="H675">
        <v>2670634.58</v>
      </c>
      <c r="I675" t="s">
        <v>1039</v>
      </c>
      <c r="J675">
        <v>0</v>
      </c>
      <c r="K675">
        <v>1875000</v>
      </c>
      <c r="L675">
        <v>1000000</v>
      </c>
      <c r="M675">
        <v>2670634.58</v>
      </c>
      <c r="N675" s="143">
        <v>43008.542422685183</v>
      </c>
      <c r="O675" s="143">
        <v>43375</v>
      </c>
      <c r="P675" t="s">
        <v>5680</v>
      </c>
      <c r="Q675" t="s">
        <v>5681</v>
      </c>
      <c r="R675" t="s">
        <v>1280</v>
      </c>
      <c r="S675" t="s">
        <v>1510</v>
      </c>
      <c r="T675">
        <v>48</v>
      </c>
      <c r="U675">
        <f>IF(Table__192.168.1.150_M_CONSOLIDATED_Delinquency_Compulsory_EOM[[#This Row],[Days in Arrears]] &lt; 8, Table__192.168.1.150_M_CONSOLIDATED_Delinquency_Compulsory_EOM[[#This Row],[Outstanding Balance]], 0 )</f>
        <v>25000000</v>
      </c>
      <c r="V6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5" s="105" t="str">
        <f>VLOOKUP(Table__192.168.1.150_M_CONSOLIDATED_Delinquency_Compulsory_EOM[[#This Row],[Client No]],'Global Portfolio'!$B$2:$N$2500,10,FALSE)</f>
        <v>Transportation and Warehousing</v>
      </c>
      <c r="AA675" s="105" t="str">
        <f>VLOOKUP(Table__192.168.1.150_M_CONSOLIDATED_Delinquency_Compulsory_EOM[[#This Row],[Client No]],'Global Portfolio'!$B$2:$N$2500,11,FALSE)</f>
        <v xml:space="preserve"> Passenger Transportation</v>
      </c>
      <c r="AB675" s="105" t="str">
        <f>VLOOKUP(Table__192.168.1.150_M_CONSOLIDATED_Delinquency_Compulsory_EOM[[#This Row],[Client No]],'Global Portfolio'!$B$2:$N$2500,12,FALSE)</f>
        <v>Bus transportation</v>
      </c>
    </row>
    <row r="676" spans="1:28" x14ac:dyDescent="0.25">
      <c r="A676">
        <v>103385</v>
      </c>
      <c r="B676" t="s">
        <v>5639</v>
      </c>
      <c r="C676" t="s">
        <v>5648</v>
      </c>
      <c r="D676" t="s">
        <v>1279</v>
      </c>
      <c r="E676">
        <v>-1</v>
      </c>
      <c r="F676">
        <v>5000000</v>
      </c>
      <c r="G676">
        <v>5000000</v>
      </c>
      <c r="H676">
        <v>1143862.8</v>
      </c>
      <c r="I676" t="s">
        <v>1039</v>
      </c>
      <c r="J676">
        <v>3800</v>
      </c>
      <c r="K676">
        <v>500000</v>
      </c>
      <c r="L676">
        <v>232500</v>
      </c>
      <c r="M676">
        <v>1143862.8</v>
      </c>
      <c r="N676" s="143">
        <v>43007.794188391206</v>
      </c>
      <c r="O676" s="143">
        <v>43161</v>
      </c>
      <c r="P676" t="s">
        <v>5649</v>
      </c>
      <c r="Q676" t="s">
        <v>5650</v>
      </c>
      <c r="R676" t="s">
        <v>1280</v>
      </c>
      <c r="S676" t="s">
        <v>1510</v>
      </c>
      <c r="T676">
        <v>54</v>
      </c>
      <c r="U676">
        <f>IF(Table__192.168.1.150_M_CONSOLIDATED_Delinquency_Compulsory_EOM[[#This Row],[Days in Arrears]] &lt; 8, Table__192.168.1.150_M_CONSOLIDATED_Delinquency_Compulsory_EOM[[#This Row],[Outstanding Balance]], 0 )</f>
        <v>5000000</v>
      </c>
      <c r="V6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6" s="105" t="str">
        <f>VLOOKUP(Table__192.168.1.150_M_CONSOLIDATED_Delinquency_Compulsory_EOM[[#This Row],[Client No]],'Global Portfolio'!$B$2:$N$2500,10,FALSE)</f>
        <v>Retail</v>
      </c>
      <c r="AA676" s="105" t="str">
        <f>VLOOKUP(Table__192.168.1.150_M_CONSOLIDATED_Delinquency_Compulsory_EOM[[#This Row],[Client No]],'Global Portfolio'!$B$2:$N$2500,11,FALSE)</f>
        <v>General Merchandise Stores</v>
      </c>
      <c r="AB676" s="105" t="str">
        <f>VLOOKUP(Table__192.168.1.150_M_CONSOLIDATED_Delinquency_Compulsory_EOM[[#This Row],[Client No]],'Global Portfolio'!$B$2:$N$2500,12,FALSE)</f>
        <v>General Stores</v>
      </c>
    </row>
    <row r="677" spans="1:28" x14ac:dyDescent="0.25">
      <c r="A677">
        <v>103386</v>
      </c>
      <c r="B677" t="s">
        <v>5633</v>
      </c>
      <c r="C677" t="s">
        <v>5651</v>
      </c>
      <c r="D677" t="s">
        <v>1282</v>
      </c>
      <c r="E677">
        <v>-1</v>
      </c>
      <c r="F677">
        <v>5000000</v>
      </c>
      <c r="G677">
        <v>5000000</v>
      </c>
      <c r="H677">
        <v>634615.18000000005</v>
      </c>
      <c r="I677" t="s">
        <v>5385</v>
      </c>
      <c r="J677">
        <v>3800</v>
      </c>
      <c r="K677">
        <v>500000</v>
      </c>
      <c r="L677">
        <v>232500</v>
      </c>
      <c r="M677">
        <v>634615.18000000005</v>
      </c>
      <c r="N677" s="143">
        <v>43007.759531284719</v>
      </c>
      <c r="O677" s="143">
        <v>43314</v>
      </c>
      <c r="P677" t="s">
        <v>5652</v>
      </c>
      <c r="Q677" t="s">
        <v>5653</v>
      </c>
      <c r="R677" t="s">
        <v>1280</v>
      </c>
      <c r="S677" t="s">
        <v>1510</v>
      </c>
      <c r="T677">
        <v>54</v>
      </c>
      <c r="U677">
        <f>IF(Table__192.168.1.150_M_CONSOLIDATED_Delinquency_Compulsory_EOM[[#This Row],[Days in Arrears]] &lt; 8, Table__192.168.1.150_M_CONSOLIDATED_Delinquency_Compulsory_EOM[[#This Row],[Outstanding Balance]], 0 )</f>
        <v>5000000</v>
      </c>
      <c r="V6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7" s="105" t="str">
        <f>VLOOKUP(Table__192.168.1.150_M_CONSOLIDATED_Delinquency_Compulsory_EOM[[#This Row],[Client No]],'Global Portfolio'!$B$2:$N$2500,10,FALSE)</f>
        <v>Wholesale Trade</v>
      </c>
      <c r="AA677" s="105" t="str">
        <f>VLOOKUP(Table__192.168.1.150_M_CONSOLIDATED_Delinquency_Compulsory_EOM[[#This Row],[Client No]],'Global Portfolio'!$B$2:$N$2500,11,FALSE)</f>
        <v>Durable Goods</v>
      </c>
      <c r="AB677" s="105" t="str">
        <f>VLOOKUP(Table__192.168.1.150_M_CONSOLIDATED_Delinquency_Compulsory_EOM[[#This Row],[Client No]],'Global Portfolio'!$B$2:$N$2500,12,FALSE)</f>
        <v>Professional &amp; Commercial Equipment</v>
      </c>
    </row>
    <row r="678" spans="1:28" x14ac:dyDescent="0.25">
      <c r="A678">
        <v>103387</v>
      </c>
      <c r="B678" t="s">
        <v>5641</v>
      </c>
      <c r="C678" t="s">
        <v>5654</v>
      </c>
      <c r="D678" t="s">
        <v>1281</v>
      </c>
      <c r="E678">
        <v>-1</v>
      </c>
      <c r="F678">
        <v>24000000</v>
      </c>
      <c r="G678">
        <v>24000000</v>
      </c>
      <c r="H678">
        <v>2567087.73</v>
      </c>
      <c r="I678" t="s">
        <v>5124</v>
      </c>
      <c r="J678">
        <v>381000</v>
      </c>
      <c r="K678">
        <v>600000</v>
      </c>
      <c r="L678">
        <v>992000</v>
      </c>
      <c r="M678">
        <v>2567087.73</v>
      </c>
      <c r="N678" s="143">
        <v>43007.720409988426</v>
      </c>
      <c r="O678" s="143">
        <v>43375</v>
      </c>
      <c r="P678" t="s">
        <v>5655</v>
      </c>
      <c r="Q678" t="s">
        <v>1280</v>
      </c>
      <c r="R678" t="s">
        <v>1280</v>
      </c>
      <c r="S678" t="s">
        <v>1510</v>
      </c>
      <c r="T678">
        <v>48</v>
      </c>
      <c r="U678">
        <f>IF(Table__192.168.1.150_M_CONSOLIDATED_Delinquency_Compulsory_EOM[[#This Row],[Days in Arrears]] &lt; 8, Table__192.168.1.150_M_CONSOLIDATED_Delinquency_Compulsory_EOM[[#This Row],[Outstanding Balance]], 0 )</f>
        <v>24000000</v>
      </c>
      <c r="V6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8" s="105" t="str">
        <f>VLOOKUP(Table__192.168.1.150_M_CONSOLIDATED_Delinquency_Compulsory_EOM[[#This Row],[Client No]],'Global Portfolio'!$B$2:$N$2500,10,FALSE)</f>
        <v>Real Estate and Rental</v>
      </c>
      <c r="AA678" s="105" t="str">
        <f>VLOOKUP(Table__192.168.1.150_M_CONSOLIDATED_Delinquency_Compulsory_EOM[[#This Row],[Client No]],'Global Portfolio'!$B$2:$N$2500,11,FALSE)</f>
        <v>Rental</v>
      </c>
      <c r="AB678" s="105" t="str">
        <f>VLOOKUP(Table__192.168.1.150_M_CONSOLIDATED_Delinquency_Compulsory_EOM[[#This Row],[Client No]],'Global Portfolio'!$B$2:$N$2500,12,FALSE)</f>
        <v>General Rental Centers</v>
      </c>
    </row>
    <row r="679" spans="1:28" x14ac:dyDescent="0.25">
      <c r="A679">
        <v>103388</v>
      </c>
      <c r="B679" t="s">
        <v>5637</v>
      </c>
      <c r="C679" t="s">
        <v>5656</v>
      </c>
      <c r="D679" t="s">
        <v>1282</v>
      </c>
      <c r="E679">
        <v>-1</v>
      </c>
      <c r="F679">
        <v>4000000</v>
      </c>
      <c r="G679">
        <v>4000000</v>
      </c>
      <c r="H679">
        <v>507692.15</v>
      </c>
      <c r="I679" t="s">
        <v>1039</v>
      </c>
      <c r="J679">
        <v>3800</v>
      </c>
      <c r="K679">
        <v>401436.33</v>
      </c>
      <c r="L679">
        <v>186000</v>
      </c>
      <c r="M679">
        <v>507692.15</v>
      </c>
      <c r="N679" s="143">
        <v>43007.829713657404</v>
      </c>
      <c r="O679" s="143">
        <v>43314</v>
      </c>
      <c r="P679" t="s">
        <v>5657</v>
      </c>
      <c r="Q679" t="s">
        <v>5658</v>
      </c>
      <c r="R679" t="s">
        <v>1280</v>
      </c>
      <c r="S679" t="s">
        <v>1510</v>
      </c>
      <c r="T679">
        <v>54</v>
      </c>
      <c r="U679">
        <f>IF(Table__192.168.1.150_M_CONSOLIDATED_Delinquency_Compulsory_EOM[[#This Row],[Days in Arrears]] &lt; 8, Table__192.168.1.150_M_CONSOLIDATED_Delinquency_Compulsory_EOM[[#This Row],[Outstanding Balance]], 0 )</f>
        <v>4000000</v>
      </c>
      <c r="V6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79" s="105" t="str">
        <f>VLOOKUP(Table__192.168.1.150_M_CONSOLIDATED_Delinquency_Compulsory_EOM[[#This Row],[Client No]],'Global Portfolio'!$B$2:$N$2500,10,FALSE)</f>
        <v>Retail</v>
      </c>
      <c r="AA679" s="105" t="str">
        <f>VLOOKUP(Table__192.168.1.150_M_CONSOLIDATED_Delinquency_Compulsory_EOM[[#This Row],[Client No]],'Global Portfolio'!$B$2:$N$2500,11,FALSE)</f>
        <v>General Merchandise Stores</v>
      </c>
      <c r="AB679" s="105" t="str">
        <f>VLOOKUP(Table__192.168.1.150_M_CONSOLIDATED_Delinquency_Compulsory_EOM[[#This Row],[Client No]],'Global Portfolio'!$B$2:$N$2500,12,FALSE)</f>
        <v>General Stores</v>
      </c>
    </row>
    <row r="680" spans="1:28" x14ac:dyDescent="0.25">
      <c r="A680">
        <v>103389</v>
      </c>
      <c r="B680" t="s">
        <v>1274</v>
      </c>
      <c r="C680" t="s">
        <v>1275</v>
      </c>
      <c r="D680" t="s">
        <v>1282</v>
      </c>
      <c r="E680">
        <v>-1</v>
      </c>
      <c r="F680">
        <v>7000000</v>
      </c>
      <c r="G680">
        <v>7000000</v>
      </c>
      <c r="H680">
        <v>554371.13</v>
      </c>
      <c r="I680" t="s">
        <v>5167</v>
      </c>
      <c r="J680">
        <v>544152.28</v>
      </c>
      <c r="K680">
        <v>700000</v>
      </c>
      <c r="L680">
        <v>280000</v>
      </c>
      <c r="M680">
        <v>554371.13</v>
      </c>
      <c r="N680" s="143">
        <v>43008.509689120372</v>
      </c>
      <c r="O680" s="143">
        <v>43557</v>
      </c>
      <c r="P680" t="s">
        <v>1276</v>
      </c>
      <c r="Q680" t="s">
        <v>1280</v>
      </c>
      <c r="R680" t="s">
        <v>1280</v>
      </c>
      <c r="S680" t="s">
        <v>1510</v>
      </c>
      <c r="T680">
        <v>48</v>
      </c>
      <c r="U680">
        <f>IF(Table__192.168.1.150_M_CONSOLIDATED_Delinquency_Compulsory_EOM[[#This Row],[Days in Arrears]] &lt; 8, Table__192.168.1.150_M_CONSOLIDATED_Delinquency_Compulsory_EOM[[#This Row],[Outstanding Balance]], 0 )</f>
        <v>7000000</v>
      </c>
      <c r="V6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0" s="105" t="str">
        <f>VLOOKUP(Table__192.168.1.150_M_CONSOLIDATED_Delinquency_Compulsory_EOM[[#This Row],[Client No]],'Global Portfolio'!$B$2:$N$2500,10,FALSE)</f>
        <v>Retail</v>
      </c>
      <c r="AA680" s="105" t="str">
        <f>VLOOKUP(Table__192.168.1.150_M_CONSOLIDATED_Delinquency_Compulsory_EOM[[#This Row],[Client No]],'Global Portfolio'!$B$2:$N$2500,11,FALSE)</f>
        <v>General Merchandise Stores</v>
      </c>
      <c r="AB680" s="105" t="str">
        <f>VLOOKUP(Table__192.168.1.150_M_CONSOLIDATED_Delinquency_Compulsory_EOM[[#This Row],[Client No]],'Global Portfolio'!$B$2:$N$2500,12,FALSE)</f>
        <v>General Stores</v>
      </c>
    </row>
    <row r="681" spans="1:28" x14ac:dyDescent="0.25">
      <c r="A681">
        <v>103390</v>
      </c>
      <c r="B681" t="s">
        <v>5666</v>
      </c>
      <c r="C681" t="s">
        <v>5682</v>
      </c>
      <c r="D681" t="s">
        <v>1284</v>
      </c>
      <c r="E681">
        <v>-1</v>
      </c>
      <c r="F681">
        <v>6000000</v>
      </c>
      <c r="G681">
        <v>6000000</v>
      </c>
      <c r="H681">
        <v>603942.93999999994</v>
      </c>
      <c r="I681" t="s">
        <v>1467</v>
      </c>
      <c r="J681">
        <v>463000</v>
      </c>
      <c r="K681">
        <v>300000</v>
      </c>
      <c r="L681">
        <v>180000</v>
      </c>
      <c r="M681">
        <v>603942.93999999994</v>
      </c>
      <c r="N681" s="143">
        <v>43008.53713290509</v>
      </c>
      <c r="O681" s="143">
        <v>43375</v>
      </c>
      <c r="P681" t="s">
        <v>5683</v>
      </c>
      <c r="Q681" t="s">
        <v>1280</v>
      </c>
      <c r="R681" t="s">
        <v>5684</v>
      </c>
      <c r="S681" t="s">
        <v>1510</v>
      </c>
      <c r="T681">
        <v>36</v>
      </c>
      <c r="U681">
        <f>IF(Table__192.168.1.150_M_CONSOLIDATED_Delinquency_Compulsory_EOM[[#This Row],[Days in Arrears]] &lt; 8, Table__192.168.1.150_M_CONSOLIDATED_Delinquency_Compulsory_EOM[[#This Row],[Outstanding Balance]], 0 )</f>
        <v>6000000</v>
      </c>
      <c r="V6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1" s="105" t="str">
        <f>VLOOKUP(Table__192.168.1.150_M_CONSOLIDATED_Delinquency_Compulsory_EOM[[#This Row],[Client No]],'Global Portfolio'!$B$2:$N$2500,10,FALSE)</f>
        <v>Retail</v>
      </c>
      <c r="AA681" s="105" t="str">
        <f>VLOOKUP(Table__192.168.1.150_M_CONSOLIDATED_Delinquency_Compulsory_EOM[[#This Row],[Client No]],'Global Portfolio'!$B$2:$N$2500,11,FALSE)</f>
        <v>Second Hand -Clothing and  Accessories</v>
      </c>
      <c r="AB681" s="105" t="str">
        <f>VLOOKUP(Table__192.168.1.150_M_CONSOLIDATED_Delinquency_Compulsory_EOM[[#This Row],[Client No]],'Global Portfolio'!$B$2:$N$2500,12,FALSE)</f>
        <v>Luggage &amp; Leather Goods Stores</v>
      </c>
    </row>
    <row r="682" spans="1:28" x14ac:dyDescent="0.25">
      <c r="A682">
        <v>103391</v>
      </c>
      <c r="B682" t="s">
        <v>5671</v>
      </c>
      <c r="C682" t="s">
        <v>5685</v>
      </c>
      <c r="D682" t="s">
        <v>1279</v>
      </c>
      <c r="E682">
        <v>-1</v>
      </c>
      <c r="F682">
        <v>3500000</v>
      </c>
      <c r="G682">
        <v>3500000</v>
      </c>
      <c r="H682">
        <v>384933.57</v>
      </c>
      <c r="I682" t="s">
        <v>5352</v>
      </c>
      <c r="J682">
        <v>14800</v>
      </c>
      <c r="K682">
        <v>350000</v>
      </c>
      <c r="L682">
        <v>157500</v>
      </c>
      <c r="M682">
        <v>384933.57</v>
      </c>
      <c r="N682" s="143">
        <v>43008.581624189814</v>
      </c>
      <c r="O682" s="143">
        <v>43375</v>
      </c>
      <c r="P682" t="s">
        <v>5686</v>
      </c>
      <c r="Q682" t="s">
        <v>5687</v>
      </c>
      <c r="R682" t="s">
        <v>1280</v>
      </c>
      <c r="S682" t="s">
        <v>1510</v>
      </c>
      <c r="T682">
        <v>54</v>
      </c>
      <c r="U682">
        <f>IF(Table__192.168.1.150_M_CONSOLIDATED_Delinquency_Compulsory_EOM[[#This Row],[Days in Arrears]] &lt; 8, Table__192.168.1.150_M_CONSOLIDATED_Delinquency_Compulsory_EOM[[#This Row],[Outstanding Balance]], 0 )</f>
        <v>3500000</v>
      </c>
      <c r="V6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2" s="105" t="str">
        <f>VLOOKUP(Table__192.168.1.150_M_CONSOLIDATED_Delinquency_Compulsory_EOM[[#This Row],[Client No]],'Global Portfolio'!$B$2:$N$2500,10,FALSE)</f>
        <v>Retail</v>
      </c>
      <c r="AA682" s="105" t="str">
        <f>VLOOKUP(Table__192.168.1.150_M_CONSOLIDATED_Delinquency_Compulsory_EOM[[#This Row],[Client No]],'Global Portfolio'!$B$2:$N$2500,11,FALSE)</f>
        <v>General Merchandise Stores</v>
      </c>
      <c r="AB682" s="105" t="str">
        <f>VLOOKUP(Table__192.168.1.150_M_CONSOLIDATED_Delinquency_Compulsory_EOM[[#This Row],[Client No]],'Global Portfolio'!$B$2:$N$2500,12,FALSE)</f>
        <v>General Stores</v>
      </c>
    </row>
    <row r="683" spans="1:28" x14ac:dyDescent="0.25">
      <c r="A683">
        <v>103392</v>
      </c>
      <c r="B683" t="s">
        <v>5669</v>
      </c>
      <c r="C683" t="s">
        <v>5688</v>
      </c>
      <c r="D683" t="s">
        <v>1866</v>
      </c>
      <c r="E683">
        <v>-1</v>
      </c>
      <c r="F683">
        <v>6000000</v>
      </c>
      <c r="G683">
        <v>6000000</v>
      </c>
      <c r="H683">
        <v>899703.13</v>
      </c>
      <c r="I683" t="s">
        <v>5352</v>
      </c>
      <c r="J683">
        <v>803800</v>
      </c>
      <c r="K683">
        <v>600000</v>
      </c>
      <c r="L683">
        <v>250000</v>
      </c>
      <c r="M683">
        <v>899703.13</v>
      </c>
      <c r="N683" s="143">
        <v>43008.621397766205</v>
      </c>
      <c r="O683" s="143">
        <v>43253</v>
      </c>
      <c r="P683" t="s">
        <v>5689</v>
      </c>
      <c r="Q683" t="s">
        <v>1280</v>
      </c>
      <c r="R683" t="s">
        <v>1280</v>
      </c>
      <c r="S683" t="s">
        <v>1510</v>
      </c>
      <c r="T683">
        <v>50</v>
      </c>
      <c r="U683">
        <f>IF(Table__192.168.1.150_M_CONSOLIDATED_Delinquency_Compulsory_EOM[[#This Row],[Days in Arrears]] &lt; 8, Table__192.168.1.150_M_CONSOLIDATED_Delinquency_Compulsory_EOM[[#This Row],[Outstanding Balance]], 0 )</f>
        <v>6000000</v>
      </c>
      <c r="V6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3" s="105" t="str">
        <f>VLOOKUP(Table__192.168.1.150_M_CONSOLIDATED_Delinquency_Compulsory_EOM[[#This Row],[Client No]],'Global Portfolio'!$B$2:$N$2500,10,FALSE)</f>
        <v>Retail</v>
      </c>
      <c r="AA683" s="105" t="str">
        <f>VLOOKUP(Table__192.168.1.150_M_CONSOLIDATED_Delinquency_Compulsory_EOM[[#This Row],[Client No]],'Global Portfolio'!$B$2:$N$2500,11,FALSE)</f>
        <v>General Merchandise Stores</v>
      </c>
      <c r="AB683" s="105" t="str">
        <f>VLOOKUP(Table__192.168.1.150_M_CONSOLIDATED_Delinquency_Compulsory_EOM[[#This Row],[Client No]],'Global Portfolio'!$B$2:$N$2500,12,FALSE)</f>
        <v>General Stores</v>
      </c>
    </row>
    <row r="684" spans="1:28" x14ac:dyDescent="0.25">
      <c r="A684">
        <v>103393</v>
      </c>
      <c r="B684" t="s">
        <v>5670</v>
      </c>
      <c r="C684" t="s">
        <v>5690</v>
      </c>
      <c r="D684" t="s">
        <v>1279</v>
      </c>
      <c r="E684">
        <v>-1</v>
      </c>
      <c r="F684">
        <v>1800000</v>
      </c>
      <c r="G684">
        <v>1800000</v>
      </c>
      <c r="H684">
        <v>228134.94</v>
      </c>
      <c r="I684" t="s">
        <v>4683</v>
      </c>
      <c r="J684">
        <v>193800</v>
      </c>
      <c r="K684">
        <v>180000</v>
      </c>
      <c r="L684">
        <v>81000</v>
      </c>
      <c r="M684">
        <v>228134.94</v>
      </c>
      <c r="N684" s="143">
        <v>43008.724388310184</v>
      </c>
      <c r="O684" s="143">
        <v>43314</v>
      </c>
      <c r="P684" t="s">
        <v>5691</v>
      </c>
      <c r="Q684" t="s">
        <v>1280</v>
      </c>
      <c r="R684" t="s">
        <v>1280</v>
      </c>
      <c r="S684" t="s">
        <v>1510</v>
      </c>
      <c r="T684">
        <v>54</v>
      </c>
      <c r="U684">
        <f>IF(Table__192.168.1.150_M_CONSOLIDATED_Delinquency_Compulsory_EOM[[#This Row],[Days in Arrears]] &lt; 8, Table__192.168.1.150_M_CONSOLIDATED_Delinquency_Compulsory_EOM[[#This Row],[Outstanding Balance]], 0 )</f>
        <v>1800000</v>
      </c>
      <c r="V6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4" s="105" t="str">
        <f>VLOOKUP(Table__192.168.1.150_M_CONSOLIDATED_Delinquency_Compulsory_EOM[[#This Row],[Client No]],'Global Portfolio'!$B$2:$N$2500,10,FALSE)</f>
        <v>Retail</v>
      </c>
      <c r="AA684" s="105" t="str">
        <f>VLOOKUP(Table__192.168.1.150_M_CONSOLIDATED_Delinquency_Compulsory_EOM[[#This Row],[Client No]],'Global Portfolio'!$B$2:$N$2500,11,FALSE)</f>
        <v>General Merchandise Stores</v>
      </c>
      <c r="AB684" s="105" t="str">
        <f>VLOOKUP(Table__192.168.1.150_M_CONSOLIDATED_Delinquency_Compulsory_EOM[[#This Row],[Client No]],'Global Portfolio'!$B$2:$N$2500,12,FALSE)</f>
        <v>General Stores</v>
      </c>
    </row>
    <row r="685" spans="1:28" x14ac:dyDescent="0.25">
      <c r="A685">
        <v>103394</v>
      </c>
      <c r="B685" t="s">
        <v>405</v>
      </c>
      <c r="C685" t="s">
        <v>406</v>
      </c>
      <c r="D685" t="s">
        <v>1866</v>
      </c>
      <c r="E685">
        <v>-1</v>
      </c>
      <c r="F685">
        <v>7000000</v>
      </c>
      <c r="G685">
        <v>7000000</v>
      </c>
      <c r="H685">
        <v>733235.86</v>
      </c>
      <c r="I685" t="s">
        <v>90</v>
      </c>
      <c r="J685">
        <v>998.9</v>
      </c>
      <c r="K685">
        <v>700000</v>
      </c>
      <c r="L685">
        <v>256666.67</v>
      </c>
      <c r="M685">
        <v>733235.86</v>
      </c>
      <c r="N685" s="143">
        <v>43008.719984108793</v>
      </c>
      <c r="O685" s="143">
        <v>43375</v>
      </c>
      <c r="P685" t="s">
        <v>407</v>
      </c>
      <c r="Q685" t="s">
        <v>1280</v>
      </c>
      <c r="R685" t="s">
        <v>1280</v>
      </c>
      <c r="S685" t="s">
        <v>1510</v>
      </c>
      <c r="T685">
        <v>44</v>
      </c>
      <c r="U685">
        <f>IF(Table__192.168.1.150_M_CONSOLIDATED_Delinquency_Compulsory_EOM[[#This Row],[Days in Arrears]] &lt; 8, Table__192.168.1.150_M_CONSOLIDATED_Delinquency_Compulsory_EOM[[#This Row],[Outstanding Balance]], 0 )</f>
        <v>7000000</v>
      </c>
      <c r="V6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5" s="105" t="str">
        <f>VLOOKUP(Table__192.168.1.150_M_CONSOLIDATED_Delinquency_Compulsory_EOM[[#This Row],[Client No]],'Global Portfolio'!$B$2:$N$2500,10,FALSE)</f>
        <v>Educational Services</v>
      </c>
      <c r="AA685" s="105" t="str">
        <f>VLOOKUP(Table__192.168.1.150_M_CONSOLIDATED_Delinquency_Compulsory_EOM[[#This Row],[Client No]],'Global Portfolio'!$B$2:$N$2500,11,FALSE)</f>
        <v>Educational Services</v>
      </c>
      <c r="AB685" s="105" t="str">
        <f>VLOOKUP(Table__192.168.1.150_M_CONSOLIDATED_Delinquency_Compulsory_EOM[[#This Row],[Client No]],'Global Portfolio'!$B$2:$N$2500,12,FALSE)</f>
        <v>Colleges</v>
      </c>
    </row>
    <row r="686" spans="1:28" x14ac:dyDescent="0.25">
      <c r="A686">
        <v>103395</v>
      </c>
      <c r="B686" t="s">
        <v>5665</v>
      </c>
      <c r="C686" t="s">
        <v>5692</v>
      </c>
      <c r="D686" t="s">
        <v>1866</v>
      </c>
      <c r="E686">
        <v>-1</v>
      </c>
      <c r="F686">
        <v>8000000</v>
      </c>
      <c r="G686">
        <v>8000000</v>
      </c>
      <c r="H686">
        <v>997180.09</v>
      </c>
      <c r="I686" t="s">
        <v>5382</v>
      </c>
      <c r="J686">
        <v>843800</v>
      </c>
      <c r="K686">
        <v>800000</v>
      </c>
      <c r="L686">
        <v>333333.34000000003</v>
      </c>
      <c r="M686">
        <v>997180.09</v>
      </c>
      <c r="N686" s="143">
        <v>43008.778982094911</v>
      </c>
      <c r="O686" s="143">
        <v>43314</v>
      </c>
      <c r="P686" t="s">
        <v>5693</v>
      </c>
      <c r="Q686" t="s">
        <v>1280</v>
      </c>
      <c r="R686" t="s">
        <v>1280</v>
      </c>
      <c r="S686" t="s">
        <v>1510</v>
      </c>
      <c r="T686">
        <v>50</v>
      </c>
      <c r="U686">
        <f>IF(Table__192.168.1.150_M_CONSOLIDATED_Delinquency_Compulsory_EOM[[#This Row],[Days in Arrears]] &lt; 8, Table__192.168.1.150_M_CONSOLIDATED_Delinquency_Compulsory_EOM[[#This Row],[Outstanding Balance]], 0 )</f>
        <v>8000000</v>
      </c>
      <c r="V6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6" s="105" t="str">
        <f>VLOOKUP(Table__192.168.1.150_M_CONSOLIDATED_Delinquency_Compulsory_EOM[[#This Row],[Client No]],'Global Portfolio'!$B$2:$N$2500,10,FALSE)</f>
        <v>Retail</v>
      </c>
      <c r="AA686" s="105" t="str">
        <f>VLOOKUP(Table__192.168.1.150_M_CONSOLIDATED_Delinquency_Compulsory_EOM[[#This Row],[Client No]],'Global Portfolio'!$B$2:$N$2500,11,FALSE)</f>
        <v>Building Material and Garden Equipment</v>
      </c>
      <c r="AB686" s="105" t="str">
        <f>VLOOKUP(Table__192.168.1.150_M_CONSOLIDATED_Delinquency_Compulsory_EOM[[#This Row],[Client No]],'Global Portfolio'!$B$2:$N$2500,12,FALSE)</f>
        <v>Hardware Stores</v>
      </c>
    </row>
    <row r="687" spans="1:28" x14ac:dyDescent="0.25">
      <c r="A687">
        <v>103396</v>
      </c>
      <c r="B687" t="s">
        <v>5706</v>
      </c>
      <c r="C687" t="s">
        <v>5707</v>
      </c>
      <c r="D687" t="s">
        <v>1279</v>
      </c>
      <c r="E687">
        <v>-1</v>
      </c>
      <c r="F687">
        <v>3500000</v>
      </c>
      <c r="G687">
        <v>3500000</v>
      </c>
      <c r="H687">
        <v>442325.88</v>
      </c>
      <c r="I687" t="s">
        <v>5491</v>
      </c>
      <c r="J687">
        <v>14800</v>
      </c>
      <c r="K687">
        <v>350000</v>
      </c>
      <c r="L687">
        <v>147000</v>
      </c>
      <c r="M687">
        <v>442325.88</v>
      </c>
      <c r="N687" s="143">
        <v>43010.702141516202</v>
      </c>
      <c r="O687" s="143">
        <v>43314</v>
      </c>
      <c r="P687" t="s">
        <v>5708</v>
      </c>
      <c r="Q687" t="s">
        <v>1280</v>
      </c>
      <c r="R687" t="s">
        <v>1280</v>
      </c>
      <c r="S687" t="s">
        <v>1510</v>
      </c>
      <c r="T687">
        <v>54</v>
      </c>
      <c r="U687">
        <f>IF(Table__192.168.1.150_M_CONSOLIDATED_Delinquency_Compulsory_EOM[[#This Row],[Days in Arrears]] &lt; 8, Table__192.168.1.150_M_CONSOLIDATED_Delinquency_Compulsory_EOM[[#This Row],[Outstanding Balance]], 0 )</f>
        <v>3500000</v>
      </c>
      <c r="V6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7" s="105" t="str">
        <f>VLOOKUP(Table__192.168.1.150_M_CONSOLIDATED_Delinquency_Compulsory_EOM[[#This Row],[Client No]],'Global Portfolio'!$B$2:$N$2500,10,FALSE)</f>
        <v>Retail</v>
      </c>
      <c r="AA687" s="105" t="str">
        <f>VLOOKUP(Table__192.168.1.150_M_CONSOLIDATED_Delinquency_Compulsory_EOM[[#This Row],[Client No]],'Global Portfolio'!$B$2:$N$2500,11,FALSE)</f>
        <v>General Merchandise Stores</v>
      </c>
      <c r="AB687" s="105" t="str">
        <f>VLOOKUP(Table__192.168.1.150_M_CONSOLIDATED_Delinquency_Compulsory_EOM[[#This Row],[Client No]],'Global Portfolio'!$B$2:$N$2500,12,FALSE)</f>
        <v>General Stores</v>
      </c>
    </row>
    <row r="688" spans="1:28" x14ac:dyDescent="0.25">
      <c r="A688">
        <v>103397</v>
      </c>
      <c r="B688" t="s">
        <v>5714</v>
      </c>
      <c r="C688" t="s">
        <v>5715</v>
      </c>
      <c r="D688" t="s">
        <v>1284</v>
      </c>
      <c r="E688">
        <v>-3</v>
      </c>
      <c r="F688">
        <v>25000000</v>
      </c>
      <c r="G688">
        <v>25000000</v>
      </c>
      <c r="H688">
        <v>2144978.4500000002</v>
      </c>
      <c r="I688" t="s">
        <v>546</v>
      </c>
      <c r="J688">
        <v>1000</v>
      </c>
      <c r="K688">
        <v>1250000</v>
      </c>
      <c r="L688">
        <v>722222.22</v>
      </c>
      <c r="M688">
        <v>2144978.4500000002</v>
      </c>
      <c r="N688" s="143">
        <v>43012.753689618054</v>
      </c>
      <c r="O688" s="143">
        <v>43469</v>
      </c>
      <c r="P688" t="s">
        <v>5716</v>
      </c>
      <c r="Q688" t="s">
        <v>5717</v>
      </c>
      <c r="R688" t="s">
        <v>1280</v>
      </c>
      <c r="S688" t="s">
        <v>1510</v>
      </c>
      <c r="T688">
        <v>40</v>
      </c>
      <c r="U688">
        <f>IF(Table__192.168.1.150_M_CONSOLIDATED_Delinquency_Compulsory_EOM[[#This Row],[Days in Arrears]] &lt; 8, Table__192.168.1.150_M_CONSOLIDATED_Delinquency_Compulsory_EOM[[#This Row],[Outstanding Balance]], 0 )</f>
        <v>25000000</v>
      </c>
      <c r="V6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8" s="105" t="str">
        <f>VLOOKUP(Table__192.168.1.150_M_CONSOLIDATED_Delinquency_Compulsory_EOM[[#This Row],[Client No]],'Global Portfolio'!$B$2:$N$2500,10,FALSE)</f>
        <v>Real Estate and Rental</v>
      </c>
      <c r="AA688" s="105" t="str">
        <f>VLOOKUP(Table__192.168.1.150_M_CONSOLIDATED_Delinquency_Compulsory_EOM[[#This Row],[Client No]],'Global Portfolio'!$B$2:$N$2500,11,FALSE)</f>
        <v>Real Estate</v>
      </c>
      <c r="AB688" s="105" t="str">
        <f>VLOOKUP(Table__192.168.1.150_M_CONSOLIDATED_Delinquency_Compulsory_EOM[[#This Row],[Client No]],'Global Portfolio'!$B$2:$N$2500,12,FALSE)</f>
        <v>Real Estate</v>
      </c>
    </row>
    <row r="689" spans="1:28" x14ac:dyDescent="0.25">
      <c r="A689">
        <v>103398</v>
      </c>
      <c r="B689" t="s">
        <v>5729</v>
      </c>
      <c r="C689" t="s">
        <v>5734</v>
      </c>
      <c r="D689" t="s">
        <v>1282</v>
      </c>
      <c r="E689">
        <v>-5</v>
      </c>
      <c r="F689">
        <v>9000000</v>
      </c>
      <c r="G689">
        <v>9000000</v>
      </c>
      <c r="H689">
        <v>958969.55</v>
      </c>
      <c r="I689" t="s">
        <v>86</v>
      </c>
      <c r="J689">
        <v>9000</v>
      </c>
      <c r="K689">
        <v>900000</v>
      </c>
      <c r="L689">
        <v>288000</v>
      </c>
      <c r="M689">
        <v>958969.55</v>
      </c>
      <c r="N689" s="143">
        <v>43014.58796099537</v>
      </c>
      <c r="O689" s="143">
        <v>43379</v>
      </c>
      <c r="P689" t="s">
        <v>5735</v>
      </c>
      <c r="Q689" t="s">
        <v>1280</v>
      </c>
      <c r="R689" t="s">
        <v>1280</v>
      </c>
      <c r="S689" t="s">
        <v>1510</v>
      </c>
      <c r="T689">
        <v>48</v>
      </c>
      <c r="U689">
        <f>IF(Table__192.168.1.150_M_CONSOLIDATED_Delinquency_Compulsory_EOM[[#This Row],[Days in Arrears]] &lt; 8, Table__192.168.1.150_M_CONSOLIDATED_Delinquency_Compulsory_EOM[[#This Row],[Outstanding Balance]], 0 )</f>
        <v>9000000</v>
      </c>
      <c r="V6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89" s="105" t="str">
        <f>VLOOKUP(Table__192.168.1.150_M_CONSOLIDATED_Delinquency_Compulsory_EOM[[#This Row],[Client No]],'Global Portfolio'!$B$2:$N$2500,10,FALSE)</f>
        <v>Retail</v>
      </c>
      <c r="AA689" s="105" t="str">
        <f>VLOOKUP(Table__192.168.1.150_M_CONSOLIDATED_Delinquency_Compulsory_EOM[[#This Row],[Client No]],'Global Portfolio'!$B$2:$N$2500,11,FALSE)</f>
        <v>General Merchandise Stores</v>
      </c>
      <c r="AB689" s="105" t="str">
        <f>VLOOKUP(Table__192.168.1.150_M_CONSOLIDATED_Delinquency_Compulsory_EOM[[#This Row],[Client No]],'Global Portfolio'!$B$2:$N$2500,12,FALSE)</f>
        <v>General Stores</v>
      </c>
    </row>
    <row r="690" spans="1:28" x14ac:dyDescent="0.25">
      <c r="A690">
        <v>103399</v>
      </c>
      <c r="B690" t="s">
        <v>5733</v>
      </c>
      <c r="C690" t="s">
        <v>5736</v>
      </c>
      <c r="D690" t="s">
        <v>1866</v>
      </c>
      <c r="E690">
        <v>-5</v>
      </c>
      <c r="F690">
        <v>6000000</v>
      </c>
      <c r="G690">
        <v>6000000</v>
      </c>
      <c r="H690">
        <v>645510.71</v>
      </c>
      <c r="I690" t="s">
        <v>3074</v>
      </c>
      <c r="J690">
        <v>9000</v>
      </c>
      <c r="K690">
        <v>600000</v>
      </c>
      <c r="L690">
        <v>200000</v>
      </c>
      <c r="M690">
        <v>645510.71</v>
      </c>
      <c r="N690" s="143">
        <v>43014.588256481482</v>
      </c>
      <c r="O690" s="143">
        <v>43379</v>
      </c>
      <c r="P690" t="s">
        <v>5737</v>
      </c>
      <c r="Q690" t="s">
        <v>1280</v>
      </c>
      <c r="R690" t="s">
        <v>1280</v>
      </c>
      <c r="S690" t="s">
        <v>1510</v>
      </c>
      <c r="T690">
        <v>50</v>
      </c>
      <c r="U690">
        <f>IF(Table__192.168.1.150_M_CONSOLIDATED_Delinquency_Compulsory_EOM[[#This Row],[Days in Arrears]] &lt; 8, Table__192.168.1.150_M_CONSOLIDATED_Delinquency_Compulsory_EOM[[#This Row],[Outstanding Balance]], 0 )</f>
        <v>6000000</v>
      </c>
      <c r="V6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0" s="105" t="str">
        <f>VLOOKUP(Table__192.168.1.150_M_CONSOLIDATED_Delinquency_Compulsory_EOM[[#This Row],[Client No]],'Global Portfolio'!$B$2:$N$2500,10,FALSE)</f>
        <v>Retail</v>
      </c>
      <c r="AA690" s="105" t="str">
        <f>VLOOKUP(Table__192.168.1.150_M_CONSOLIDATED_Delinquency_Compulsory_EOM[[#This Row],[Client No]],'Global Portfolio'!$B$2:$N$2500,11,FALSE)</f>
        <v>New-Clothing and  Accessories</v>
      </c>
      <c r="AB690" s="105" t="str">
        <f>VLOOKUP(Table__192.168.1.150_M_CONSOLIDATED_Delinquency_Compulsory_EOM[[#This Row],[Client No]],'Global Portfolio'!$B$2:$N$2500,12,FALSE)</f>
        <v>Luggage &amp; Leather Goods Stores</v>
      </c>
    </row>
    <row r="691" spans="1:28" x14ac:dyDescent="0.25">
      <c r="A691">
        <v>103400</v>
      </c>
      <c r="B691" t="s">
        <v>5747</v>
      </c>
      <c r="C691" t="s">
        <v>5752</v>
      </c>
      <c r="D691" t="s">
        <v>1282</v>
      </c>
      <c r="E691">
        <v>-9</v>
      </c>
      <c r="F691">
        <v>6000000</v>
      </c>
      <c r="G691">
        <v>6000000</v>
      </c>
      <c r="H691">
        <v>909657.92</v>
      </c>
      <c r="I691" t="s">
        <v>5385</v>
      </c>
      <c r="J691">
        <v>9000</v>
      </c>
      <c r="K691">
        <v>600000</v>
      </c>
      <c r="L691">
        <v>180000</v>
      </c>
      <c r="M691">
        <v>909657.92</v>
      </c>
      <c r="N691" s="143">
        <v>43018.732764780092</v>
      </c>
      <c r="O691" s="143">
        <v>43261</v>
      </c>
      <c r="P691" t="s">
        <v>5753</v>
      </c>
      <c r="Q691" t="s">
        <v>1280</v>
      </c>
      <c r="R691" t="s">
        <v>1280</v>
      </c>
      <c r="S691" t="s">
        <v>1510</v>
      </c>
      <c r="T691">
        <v>54</v>
      </c>
      <c r="U691">
        <f>IF(Table__192.168.1.150_M_CONSOLIDATED_Delinquency_Compulsory_EOM[[#This Row],[Days in Arrears]] &lt; 8, Table__192.168.1.150_M_CONSOLIDATED_Delinquency_Compulsory_EOM[[#This Row],[Outstanding Balance]], 0 )</f>
        <v>6000000</v>
      </c>
      <c r="V6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1" s="105" t="str">
        <f>VLOOKUP(Table__192.168.1.150_M_CONSOLIDATED_Delinquency_Compulsory_EOM[[#This Row],[Client No]],'Global Portfolio'!$B$2:$N$2500,10,FALSE)</f>
        <v>Retail</v>
      </c>
      <c r="AA691" s="105" t="str">
        <f>VLOOKUP(Table__192.168.1.150_M_CONSOLIDATED_Delinquency_Compulsory_EOM[[#This Row],[Client No]],'Global Portfolio'!$B$2:$N$2500,11,FALSE)</f>
        <v>General Merchandise Stores</v>
      </c>
      <c r="AB691" s="105" t="str">
        <f>VLOOKUP(Table__192.168.1.150_M_CONSOLIDATED_Delinquency_Compulsory_EOM[[#This Row],[Client No]],'Global Portfolio'!$B$2:$N$2500,12,FALSE)</f>
        <v>General Stores</v>
      </c>
    </row>
    <row r="692" spans="1:28" x14ac:dyDescent="0.25">
      <c r="A692">
        <v>103401</v>
      </c>
      <c r="B692" t="s">
        <v>5730</v>
      </c>
      <c r="C692" t="s">
        <v>5738</v>
      </c>
      <c r="D692" t="s">
        <v>1281</v>
      </c>
      <c r="E692">
        <v>-5</v>
      </c>
      <c r="F692">
        <v>25000000</v>
      </c>
      <c r="G692">
        <v>25000000</v>
      </c>
      <c r="H692">
        <v>2663804.3199999998</v>
      </c>
      <c r="I692" t="s">
        <v>5167</v>
      </c>
      <c r="J692">
        <v>9148</v>
      </c>
      <c r="K692">
        <v>1875000</v>
      </c>
      <c r="L692">
        <v>800000</v>
      </c>
      <c r="M692">
        <v>2663804.3199999998</v>
      </c>
      <c r="N692" s="143">
        <v>43014.726949652781</v>
      </c>
      <c r="O692" s="143">
        <v>43379</v>
      </c>
      <c r="P692" t="s">
        <v>5739</v>
      </c>
      <c r="Q692" t="s">
        <v>5740</v>
      </c>
      <c r="R692" t="s">
        <v>1280</v>
      </c>
      <c r="S692" t="s">
        <v>1510</v>
      </c>
      <c r="T692">
        <v>48</v>
      </c>
      <c r="U692">
        <f>IF(Table__192.168.1.150_M_CONSOLIDATED_Delinquency_Compulsory_EOM[[#This Row],[Days in Arrears]] &lt; 8, Table__192.168.1.150_M_CONSOLIDATED_Delinquency_Compulsory_EOM[[#This Row],[Outstanding Balance]], 0 )</f>
        <v>25000000</v>
      </c>
      <c r="V6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2" s="105" t="str">
        <f>VLOOKUP(Table__192.168.1.150_M_CONSOLIDATED_Delinquency_Compulsory_EOM[[#This Row],[Client No]],'Global Portfolio'!$B$2:$N$2500,10,FALSE)</f>
        <v>Real Estate and Rental</v>
      </c>
      <c r="AA692" s="105" t="str">
        <f>VLOOKUP(Table__192.168.1.150_M_CONSOLIDATED_Delinquency_Compulsory_EOM[[#This Row],[Client No]],'Global Portfolio'!$B$2:$N$2500,11,FALSE)</f>
        <v>Rental</v>
      </c>
      <c r="AB692" s="105" t="str">
        <f>VLOOKUP(Table__192.168.1.150_M_CONSOLIDATED_Delinquency_Compulsory_EOM[[#This Row],[Client No]],'Global Portfolio'!$B$2:$N$2500,12,FALSE)</f>
        <v>Others</v>
      </c>
    </row>
    <row r="693" spans="1:28" x14ac:dyDescent="0.25">
      <c r="A693">
        <v>103403</v>
      </c>
      <c r="B693" t="s">
        <v>3553</v>
      </c>
      <c r="C693" t="s">
        <v>3563</v>
      </c>
      <c r="D693" t="s">
        <v>1282</v>
      </c>
      <c r="E693">
        <v>-9</v>
      </c>
      <c r="F693">
        <v>4500000</v>
      </c>
      <c r="G693">
        <v>4500000</v>
      </c>
      <c r="H693">
        <v>479484.78</v>
      </c>
      <c r="I693" t="s">
        <v>1039</v>
      </c>
      <c r="J693">
        <v>12388.74</v>
      </c>
      <c r="K693">
        <v>450000</v>
      </c>
      <c r="L693">
        <v>120000</v>
      </c>
      <c r="M693">
        <v>479484.78</v>
      </c>
      <c r="N693" s="143">
        <v>43018.615223726854</v>
      </c>
      <c r="O693" s="143">
        <v>43383</v>
      </c>
      <c r="P693" t="s">
        <v>3564</v>
      </c>
      <c r="Q693" t="s">
        <v>1280</v>
      </c>
      <c r="R693" t="s">
        <v>3565</v>
      </c>
      <c r="S693" t="s">
        <v>1510</v>
      </c>
      <c r="T693">
        <v>48</v>
      </c>
      <c r="U693">
        <f>IF(Table__192.168.1.150_M_CONSOLIDATED_Delinquency_Compulsory_EOM[[#This Row],[Days in Arrears]] &lt; 8, Table__192.168.1.150_M_CONSOLIDATED_Delinquency_Compulsory_EOM[[#This Row],[Outstanding Balance]], 0 )</f>
        <v>4500000</v>
      </c>
      <c r="V6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3" s="105" t="str">
        <f>VLOOKUP(Table__192.168.1.150_M_CONSOLIDATED_Delinquency_Compulsory_EOM[[#This Row],[Client No]],'Global Portfolio'!$B$2:$N$2500,10,FALSE)</f>
        <v>Retail</v>
      </c>
      <c r="AA693" s="105" t="str">
        <f>VLOOKUP(Table__192.168.1.150_M_CONSOLIDATED_Delinquency_Compulsory_EOM[[#This Row],[Client No]],'Global Portfolio'!$B$2:$N$2500,11,FALSE)</f>
        <v>General Merchandise Stores</v>
      </c>
      <c r="AB693" s="105" t="str">
        <f>VLOOKUP(Table__192.168.1.150_M_CONSOLIDATED_Delinquency_Compulsory_EOM[[#This Row],[Client No]],'Global Portfolio'!$B$2:$N$2500,12,FALSE)</f>
        <v>General Stores</v>
      </c>
    </row>
    <row r="694" spans="1:28" x14ac:dyDescent="0.25">
      <c r="A694">
        <v>103404</v>
      </c>
      <c r="B694" t="s">
        <v>5751</v>
      </c>
      <c r="C694" t="s">
        <v>5754</v>
      </c>
      <c r="D694" t="s">
        <v>1866</v>
      </c>
      <c r="E694">
        <v>-9</v>
      </c>
      <c r="F694">
        <v>6000000</v>
      </c>
      <c r="G694">
        <v>6000000</v>
      </c>
      <c r="H694">
        <v>727521.67</v>
      </c>
      <c r="I694" t="s">
        <v>468</v>
      </c>
      <c r="J694">
        <v>9056</v>
      </c>
      <c r="K694">
        <v>600000</v>
      </c>
      <c r="L694">
        <v>146666.67000000001</v>
      </c>
      <c r="M694">
        <v>727521.67</v>
      </c>
      <c r="N694" s="143">
        <v>43018.723705902776</v>
      </c>
      <c r="O694" s="143">
        <v>43322</v>
      </c>
      <c r="P694" t="s">
        <v>5755</v>
      </c>
      <c r="Q694" t="s">
        <v>1280</v>
      </c>
      <c r="R694" t="s">
        <v>1280</v>
      </c>
      <c r="S694" t="s">
        <v>1510</v>
      </c>
      <c r="T694">
        <v>44</v>
      </c>
      <c r="U694">
        <f>IF(Table__192.168.1.150_M_CONSOLIDATED_Delinquency_Compulsory_EOM[[#This Row],[Days in Arrears]] &lt; 8, Table__192.168.1.150_M_CONSOLIDATED_Delinquency_Compulsory_EOM[[#This Row],[Outstanding Balance]], 0 )</f>
        <v>6000000</v>
      </c>
      <c r="V6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4" s="105" t="str">
        <f>VLOOKUP(Table__192.168.1.150_M_CONSOLIDATED_Delinquency_Compulsory_EOM[[#This Row],[Client No]],'Global Portfolio'!$B$2:$N$2500,10,FALSE)</f>
        <v>Transportation and Warehousing</v>
      </c>
      <c r="AA694" s="105" t="str">
        <f>VLOOKUP(Table__192.168.1.150_M_CONSOLIDATED_Delinquency_Compulsory_EOM[[#This Row],[Client No]],'Global Portfolio'!$B$2:$N$2500,11,FALSE)</f>
        <v xml:space="preserve"> Passenger Transportation</v>
      </c>
      <c r="AB694" s="105" t="str">
        <f>VLOOKUP(Table__192.168.1.150_M_CONSOLIDATED_Delinquency_Compulsory_EOM[[#This Row],[Client No]],'Global Portfolio'!$B$2:$N$2500,12,FALSE)</f>
        <v>Taxi service</v>
      </c>
    </row>
    <row r="695" spans="1:28" x14ac:dyDescent="0.25">
      <c r="A695">
        <v>103405</v>
      </c>
      <c r="B695" t="s">
        <v>5766</v>
      </c>
      <c r="C695" t="s">
        <v>5767</v>
      </c>
      <c r="D695" t="s">
        <v>1279</v>
      </c>
      <c r="E695">
        <v>-10</v>
      </c>
      <c r="F695">
        <v>4000000</v>
      </c>
      <c r="G695">
        <v>4000000</v>
      </c>
      <c r="H695">
        <v>438664.75</v>
      </c>
      <c r="I695" t="s">
        <v>1039</v>
      </c>
      <c r="J695">
        <v>9200</v>
      </c>
      <c r="K695">
        <v>400000</v>
      </c>
      <c r="L695">
        <v>114000</v>
      </c>
      <c r="M695">
        <v>438664.75</v>
      </c>
      <c r="N695" s="143">
        <v>43019.550980555556</v>
      </c>
      <c r="O695" s="143">
        <v>43384</v>
      </c>
      <c r="P695" t="s">
        <v>5768</v>
      </c>
      <c r="Q695" t="s">
        <v>1280</v>
      </c>
      <c r="R695" t="s">
        <v>1280</v>
      </c>
      <c r="S695" t="s">
        <v>1510</v>
      </c>
      <c r="T695">
        <v>54</v>
      </c>
      <c r="U695">
        <f>IF(Table__192.168.1.150_M_CONSOLIDATED_Delinquency_Compulsory_EOM[[#This Row],[Days in Arrears]] &lt; 8, Table__192.168.1.150_M_CONSOLIDATED_Delinquency_Compulsory_EOM[[#This Row],[Outstanding Balance]], 0 )</f>
        <v>4000000</v>
      </c>
      <c r="V6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5" s="105" t="str">
        <f>VLOOKUP(Table__192.168.1.150_M_CONSOLIDATED_Delinquency_Compulsory_EOM[[#This Row],[Client No]],'Global Portfolio'!$B$2:$N$2500,10,FALSE)</f>
        <v>Retail</v>
      </c>
      <c r="AA695" s="105" t="str">
        <f>VLOOKUP(Table__192.168.1.150_M_CONSOLIDATED_Delinquency_Compulsory_EOM[[#This Row],[Client No]],'Global Portfolio'!$B$2:$N$2500,11,FALSE)</f>
        <v>General Merchandise Stores</v>
      </c>
      <c r="AB695" s="105" t="str">
        <f>VLOOKUP(Table__192.168.1.150_M_CONSOLIDATED_Delinquency_Compulsory_EOM[[#This Row],[Client No]],'Global Portfolio'!$B$2:$N$2500,12,FALSE)</f>
        <v>General Stores</v>
      </c>
    </row>
    <row r="696" spans="1:28" x14ac:dyDescent="0.25">
      <c r="A696">
        <v>103406</v>
      </c>
      <c r="B696" t="s">
        <v>5765</v>
      </c>
      <c r="C696" t="s">
        <v>5769</v>
      </c>
      <c r="D696" t="s">
        <v>1282</v>
      </c>
      <c r="E696">
        <v>-10</v>
      </c>
      <c r="F696">
        <v>12000000</v>
      </c>
      <c r="G696">
        <v>12000000</v>
      </c>
      <c r="H696">
        <v>1516545.86</v>
      </c>
      <c r="I696" t="s">
        <v>468</v>
      </c>
      <c r="J696">
        <v>9000</v>
      </c>
      <c r="K696">
        <v>1200000</v>
      </c>
      <c r="L696">
        <v>342000</v>
      </c>
      <c r="M696">
        <v>1516545.86</v>
      </c>
      <c r="N696" s="143">
        <v>43019.650154016206</v>
      </c>
      <c r="O696" s="143">
        <v>43323</v>
      </c>
      <c r="P696" t="s">
        <v>5770</v>
      </c>
      <c r="Q696" t="s">
        <v>5771</v>
      </c>
      <c r="R696" t="s">
        <v>1280</v>
      </c>
      <c r="S696" t="s">
        <v>1510</v>
      </c>
      <c r="T696">
        <v>54</v>
      </c>
      <c r="U696">
        <f>IF(Table__192.168.1.150_M_CONSOLIDATED_Delinquency_Compulsory_EOM[[#This Row],[Days in Arrears]] &lt; 8, Table__192.168.1.150_M_CONSOLIDATED_Delinquency_Compulsory_EOM[[#This Row],[Outstanding Balance]], 0 )</f>
        <v>12000000</v>
      </c>
      <c r="V6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6" s="105" t="str">
        <f>VLOOKUP(Table__192.168.1.150_M_CONSOLIDATED_Delinquency_Compulsory_EOM[[#This Row],[Client No]],'Global Portfolio'!$B$2:$N$2500,10,FALSE)</f>
        <v>Retail</v>
      </c>
      <c r="AA696" s="105" t="str">
        <f>VLOOKUP(Table__192.168.1.150_M_CONSOLIDATED_Delinquency_Compulsory_EOM[[#This Row],[Client No]],'Global Portfolio'!$B$2:$N$2500,11,FALSE)</f>
        <v>Second Hand -Clothing and  Accessories</v>
      </c>
      <c r="AB696" s="105" t="str">
        <f>VLOOKUP(Table__192.168.1.150_M_CONSOLIDATED_Delinquency_Compulsory_EOM[[#This Row],[Client No]],'Global Portfolio'!$B$2:$N$2500,12,FALSE)</f>
        <v>Clothing Stores</v>
      </c>
    </row>
    <row r="697" spans="1:28" x14ac:dyDescent="0.25">
      <c r="A697">
        <v>103407</v>
      </c>
      <c r="B697" t="s">
        <v>5764</v>
      </c>
      <c r="C697" t="s">
        <v>5772</v>
      </c>
      <c r="D697" t="s">
        <v>1282</v>
      </c>
      <c r="E697">
        <v>-10</v>
      </c>
      <c r="F697">
        <v>2000000</v>
      </c>
      <c r="G697">
        <v>2000000</v>
      </c>
      <c r="H697">
        <v>252757.64</v>
      </c>
      <c r="I697" t="s">
        <v>5124</v>
      </c>
      <c r="J697">
        <v>9000</v>
      </c>
      <c r="K697">
        <v>200000</v>
      </c>
      <c r="L697">
        <v>57000</v>
      </c>
      <c r="M697">
        <v>252757.64</v>
      </c>
      <c r="N697" s="143">
        <v>43019.696723148147</v>
      </c>
      <c r="O697" s="143">
        <v>43323</v>
      </c>
      <c r="P697" t="s">
        <v>5773</v>
      </c>
      <c r="Q697" t="s">
        <v>1280</v>
      </c>
      <c r="R697" t="s">
        <v>1280</v>
      </c>
      <c r="S697" t="s">
        <v>1510</v>
      </c>
      <c r="T697">
        <v>54</v>
      </c>
      <c r="U697">
        <f>IF(Table__192.168.1.150_M_CONSOLIDATED_Delinquency_Compulsory_EOM[[#This Row],[Days in Arrears]] &lt; 8, Table__192.168.1.150_M_CONSOLIDATED_Delinquency_Compulsory_EOM[[#This Row],[Outstanding Balance]], 0 )</f>
        <v>2000000</v>
      </c>
      <c r="V6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7" s="105" t="str">
        <f>VLOOKUP(Table__192.168.1.150_M_CONSOLIDATED_Delinquency_Compulsory_EOM[[#This Row],[Client No]],'Global Portfolio'!$B$2:$N$2500,10,FALSE)</f>
        <v>Retail</v>
      </c>
      <c r="AA697" s="105" t="str">
        <f>VLOOKUP(Table__192.168.1.150_M_CONSOLIDATED_Delinquency_Compulsory_EOM[[#This Row],[Client No]],'Global Portfolio'!$B$2:$N$2500,11,FALSE)</f>
        <v>General Merchandise Stores</v>
      </c>
      <c r="AB697" s="105" t="str">
        <f>VLOOKUP(Table__192.168.1.150_M_CONSOLIDATED_Delinquency_Compulsory_EOM[[#This Row],[Client No]],'Global Portfolio'!$B$2:$N$2500,12,FALSE)</f>
        <v>General Stores</v>
      </c>
    </row>
    <row r="698" spans="1:28" x14ac:dyDescent="0.25">
      <c r="A698">
        <v>103409</v>
      </c>
      <c r="B698" t="s">
        <v>5774</v>
      </c>
      <c r="C698" t="s">
        <v>5782</v>
      </c>
      <c r="D698" t="s">
        <v>1282</v>
      </c>
      <c r="E698">
        <v>-11</v>
      </c>
      <c r="F698">
        <v>5000000</v>
      </c>
      <c r="G698">
        <v>5000000</v>
      </c>
      <c r="H698">
        <v>548330.93999999994</v>
      </c>
      <c r="I698" t="s">
        <v>5124</v>
      </c>
      <c r="J698">
        <v>9000</v>
      </c>
      <c r="K698">
        <v>500000</v>
      </c>
      <c r="L698">
        <v>135000</v>
      </c>
      <c r="M698">
        <v>548330.93999999994</v>
      </c>
      <c r="N698" s="143">
        <v>43020.53792318287</v>
      </c>
      <c r="O698" s="143">
        <v>43385</v>
      </c>
      <c r="P698" t="s">
        <v>5783</v>
      </c>
      <c r="Q698" t="s">
        <v>1280</v>
      </c>
      <c r="R698" t="s">
        <v>1280</v>
      </c>
      <c r="S698" t="s">
        <v>1510</v>
      </c>
      <c r="T698">
        <v>54</v>
      </c>
      <c r="U698">
        <f>IF(Table__192.168.1.150_M_CONSOLIDATED_Delinquency_Compulsory_EOM[[#This Row],[Days in Arrears]] &lt; 8, Table__192.168.1.150_M_CONSOLIDATED_Delinquency_Compulsory_EOM[[#This Row],[Outstanding Balance]], 0 )</f>
        <v>5000000</v>
      </c>
      <c r="V6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8" s="105" t="str">
        <f>VLOOKUP(Table__192.168.1.150_M_CONSOLIDATED_Delinquency_Compulsory_EOM[[#This Row],[Client No]],'Global Portfolio'!$B$2:$N$2500,10,FALSE)</f>
        <v>Retail</v>
      </c>
      <c r="AA698" s="105" t="str">
        <f>VLOOKUP(Table__192.168.1.150_M_CONSOLIDATED_Delinquency_Compulsory_EOM[[#This Row],[Client No]],'Global Portfolio'!$B$2:$N$2500,11,FALSE)</f>
        <v>Second Hand -Clothing and  Accessories</v>
      </c>
      <c r="AB698" s="105" t="str">
        <f>VLOOKUP(Table__192.168.1.150_M_CONSOLIDATED_Delinquency_Compulsory_EOM[[#This Row],[Client No]],'Global Portfolio'!$B$2:$N$2500,12,FALSE)</f>
        <v>Clothing Stores</v>
      </c>
    </row>
    <row r="699" spans="1:28" x14ac:dyDescent="0.25">
      <c r="A699">
        <v>103410</v>
      </c>
      <c r="B699" t="s">
        <v>5776</v>
      </c>
      <c r="C699" t="s">
        <v>5784</v>
      </c>
      <c r="D699" t="s">
        <v>1282</v>
      </c>
      <c r="E699">
        <v>-11</v>
      </c>
      <c r="F699">
        <v>6000000</v>
      </c>
      <c r="G699">
        <v>6000000</v>
      </c>
      <c r="H699">
        <v>909657.92</v>
      </c>
      <c r="I699" t="s">
        <v>1039</v>
      </c>
      <c r="J699">
        <v>69000</v>
      </c>
      <c r="K699">
        <v>600000</v>
      </c>
      <c r="L699">
        <v>162000</v>
      </c>
      <c r="M699">
        <v>909657.92</v>
      </c>
      <c r="N699" s="143">
        <v>43020.652944756941</v>
      </c>
      <c r="O699" s="143">
        <v>43263</v>
      </c>
      <c r="P699" t="s">
        <v>5785</v>
      </c>
      <c r="Q699" t="s">
        <v>5786</v>
      </c>
      <c r="R699" t="s">
        <v>1280</v>
      </c>
      <c r="S699" t="s">
        <v>1510</v>
      </c>
      <c r="T699">
        <v>54</v>
      </c>
      <c r="U699">
        <f>IF(Table__192.168.1.150_M_CONSOLIDATED_Delinquency_Compulsory_EOM[[#This Row],[Days in Arrears]] &lt; 8, Table__192.168.1.150_M_CONSOLIDATED_Delinquency_Compulsory_EOM[[#This Row],[Outstanding Balance]], 0 )</f>
        <v>6000000</v>
      </c>
      <c r="V6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6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6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6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699" s="105" t="str">
        <f>VLOOKUP(Table__192.168.1.150_M_CONSOLIDATED_Delinquency_Compulsory_EOM[[#This Row],[Client No]],'Global Portfolio'!$B$2:$N$2500,10,FALSE)</f>
        <v>Retail</v>
      </c>
      <c r="AA699" s="105" t="str">
        <f>VLOOKUP(Table__192.168.1.150_M_CONSOLIDATED_Delinquency_Compulsory_EOM[[#This Row],[Client No]],'Global Portfolio'!$B$2:$N$2500,11,FALSE)</f>
        <v>General Merchandise Stores</v>
      </c>
      <c r="AB699" s="105" t="str">
        <f>VLOOKUP(Table__192.168.1.150_M_CONSOLIDATED_Delinquency_Compulsory_EOM[[#This Row],[Client No]],'Global Portfolio'!$B$2:$N$2500,12,FALSE)</f>
        <v>General Stores</v>
      </c>
    </row>
    <row r="700" spans="1:28" x14ac:dyDescent="0.25">
      <c r="A700">
        <v>103411</v>
      </c>
      <c r="B700" t="s">
        <v>5804</v>
      </c>
      <c r="C700" t="s">
        <v>5807</v>
      </c>
      <c r="D700" t="s">
        <v>1282</v>
      </c>
      <c r="E700">
        <v>-12</v>
      </c>
      <c r="F700">
        <v>7000000</v>
      </c>
      <c r="G700">
        <v>7000000</v>
      </c>
      <c r="H700">
        <v>884651.75</v>
      </c>
      <c r="I700" t="s">
        <v>5382</v>
      </c>
      <c r="J700">
        <v>9000</v>
      </c>
      <c r="K700">
        <v>700000</v>
      </c>
      <c r="L700">
        <v>178500</v>
      </c>
      <c r="M700">
        <v>884651.75</v>
      </c>
      <c r="N700" s="143">
        <v>43021.708743553238</v>
      </c>
      <c r="O700" s="143">
        <v>43325</v>
      </c>
      <c r="P700" t="s">
        <v>5808</v>
      </c>
      <c r="Q700" t="s">
        <v>1280</v>
      </c>
      <c r="R700" t="s">
        <v>1280</v>
      </c>
      <c r="S700" t="s">
        <v>1510</v>
      </c>
      <c r="T700">
        <v>54</v>
      </c>
      <c r="U700">
        <f>IF(Table__192.168.1.150_M_CONSOLIDATED_Delinquency_Compulsory_EOM[[#This Row],[Days in Arrears]] &lt; 8, Table__192.168.1.150_M_CONSOLIDATED_Delinquency_Compulsory_EOM[[#This Row],[Outstanding Balance]], 0 )</f>
        <v>7000000</v>
      </c>
      <c r="V7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0" s="105" t="str">
        <f>VLOOKUP(Table__192.168.1.150_M_CONSOLIDATED_Delinquency_Compulsory_EOM[[#This Row],[Client No]],'Global Portfolio'!$B$2:$N$2500,10,FALSE)</f>
        <v>Retail</v>
      </c>
      <c r="AA700" s="105" t="str">
        <f>VLOOKUP(Table__192.168.1.150_M_CONSOLIDATED_Delinquency_Compulsory_EOM[[#This Row],[Client No]],'Global Portfolio'!$B$2:$N$2500,11,FALSE)</f>
        <v>General Merchandise Stores</v>
      </c>
      <c r="AB700" s="105" t="str">
        <f>VLOOKUP(Table__192.168.1.150_M_CONSOLIDATED_Delinquency_Compulsory_EOM[[#This Row],[Client No]],'Global Portfolio'!$B$2:$N$2500,12,FALSE)</f>
        <v>General Stores</v>
      </c>
    </row>
    <row r="701" spans="1:28" x14ac:dyDescent="0.25">
      <c r="A701">
        <v>103412</v>
      </c>
      <c r="B701" t="s">
        <v>5805</v>
      </c>
      <c r="C701" t="s">
        <v>5809</v>
      </c>
      <c r="D701" t="s">
        <v>1867</v>
      </c>
      <c r="E701">
        <v>-12</v>
      </c>
      <c r="F701">
        <v>12000000</v>
      </c>
      <c r="G701">
        <v>12000000</v>
      </c>
      <c r="H701">
        <v>1278626.07</v>
      </c>
      <c r="I701" t="s">
        <v>2175</v>
      </c>
      <c r="J701">
        <v>9000</v>
      </c>
      <c r="K701">
        <v>1200000</v>
      </c>
      <c r="L701">
        <v>272000</v>
      </c>
      <c r="M701">
        <v>1278626.07</v>
      </c>
      <c r="N701" s="143">
        <v>43021.701740509263</v>
      </c>
      <c r="O701" s="143">
        <v>43386</v>
      </c>
      <c r="P701" t="s">
        <v>5810</v>
      </c>
      <c r="Q701" t="s">
        <v>5811</v>
      </c>
      <c r="R701" t="s">
        <v>1280</v>
      </c>
      <c r="S701" t="s">
        <v>1510</v>
      </c>
      <c r="T701">
        <v>48</v>
      </c>
      <c r="U701">
        <f>IF(Table__192.168.1.150_M_CONSOLIDATED_Delinquency_Compulsory_EOM[[#This Row],[Days in Arrears]] &lt; 8, Table__192.168.1.150_M_CONSOLIDATED_Delinquency_Compulsory_EOM[[#This Row],[Outstanding Balance]], 0 )</f>
        <v>12000000</v>
      </c>
      <c r="V7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1" s="105" t="str">
        <f>VLOOKUP(Table__192.168.1.150_M_CONSOLIDATED_Delinquency_Compulsory_EOM[[#This Row],[Client No]],'Global Portfolio'!$B$2:$N$2500,10,FALSE)</f>
        <v>Retail</v>
      </c>
      <c r="AA701" s="105" t="str">
        <f>VLOOKUP(Table__192.168.1.150_M_CONSOLIDATED_Delinquency_Compulsory_EOM[[#This Row],[Client No]],'Global Portfolio'!$B$2:$N$2500,11,FALSE)</f>
        <v>General Merchandise Stores</v>
      </c>
      <c r="AB701" s="105" t="str">
        <f>VLOOKUP(Table__192.168.1.150_M_CONSOLIDATED_Delinquency_Compulsory_EOM[[#This Row],[Client No]],'Global Portfolio'!$B$2:$N$2500,12,FALSE)</f>
        <v>General Stores</v>
      </c>
    </row>
    <row r="702" spans="1:28" x14ac:dyDescent="0.25">
      <c r="A702">
        <v>103413</v>
      </c>
      <c r="B702" t="s">
        <v>5803</v>
      </c>
      <c r="C702" t="s">
        <v>5812</v>
      </c>
      <c r="D702" t="s">
        <v>1282</v>
      </c>
      <c r="E702">
        <v>-13</v>
      </c>
      <c r="F702">
        <v>3000000</v>
      </c>
      <c r="G702">
        <v>3000000</v>
      </c>
      <c r="H702">
        <v>454828.96</v>
      </c>
      <c r="I702" t="s">
        <v>5385</v>
      </c>
      <c r="J702">
        <v>9000</v>
      </c>
      <c r="K702">
        <v>300000</v>
      </c>
      <c r="L702">
        <v>72000</v>
      </c>
      <c r="M702">
        <v>454828.96</v>
      </c>
      <c r="N702" s="143">
        <v>43022.524741319445</v>
      </c>
      <c r="O702" s="143">
        <v>43265</v>
      </c>
      <c r="P702" t="s">
        <v>5813</v>
      </c>
      <c r="Q702" t="s">
        <v>5814</v>
      </c>
      <c r="R702" t="s">
        <v>1280</v>
      </c>
      <c r="S702" t="s">
        <v>1510</v>
      </c>
      <c r="T702">
        <v>54</v>
      </c>
      <c r="U702">
        <f>IF(Table__192.168.1.150_M_CONSOLIDATED_Delinquency_Compulsory_EOM[[#This Row],[Days in Arrears]] &lt; 8, Table__192.168.1.150_M_CONSOLIDATED_Delinquency_Compulsory_EOM[[#This Row],[Outstanding Balance]], 0 )</f>
        <v>3000000</v>
      </c>
      <c r="V7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2" s="105" t="str">
        <f>VLOOKUP(Table__192.168.1.150_M_CONSOLIDATED_Delinquency_Compulsory_EOM[[#This Row],[Client No]],'Global Portfolio'!$B$2:$N$2500,10,FALSE)</f>
        <v>Retail</v>
      </c>
      <c r="AA702" s="105" t="str">
        <f>VLOOKUP(Table__192.168.1.150_M_CONSOLIDATED_Delinquency_Compulsory_EOM[[#This Row],[Client No]],'Global Portfolio'!$B$2:$N$2500,11,FALSE)</f>
        <v>General Merchandise Stores</v>
      </c>
      <c r="AB702" s="105" t="str">
        <f>VLOOKUP(Table__192.168.1.150_M_CONSOLIDATED_Delinquency_Compulsory_EOM[[#This Row],[Client No]],'Global Portfolio'!$B$2:$N$2500,12,FALSE)</f>
        <v>General Stores</v>
      </c>
    </row>
    <row r="703" spans="1:28" x14ac:dyDescent="0.25">
      <c r="A703">
        <v>103414</v>
      </c>
      <c r="B703" t="s">
        <v>189</v>
      </c>
      <c r="C703" t="s">
        <v>190</v>
      </c>
      <c r="D703" t="s">
        <v>1282</v>
      </c>
      <c r="E703">
        <v>-16</v>
      </c>
      <c r="F703">
        <v>15000000</v>
      </c>
      <c r="G703">
        <v>15000000</v>
      </c>
      <c r="H703">
        <v>1349116.51</v>
      </c>
      <c r="I703" t="s">
        <v>90</v>
      </c>
      <c r="J703">
        <v>9021.26</v>
      </c>
      <c r="K703">
        <v>0</v>
      </c>
      <c r="L703">
        <v>260000</v>
      </c>
      <c r="M703">
        <v>1349116.51</v>
      </c>
      <c r="N703" s="143">
        <v>43025.674368483793</v>
      </c>
      <c r="O703" s="143">
        <v>43482</v>
      </c>
      <c r="P703" t="s">
        <v>191</v>
      </c>
      <c r="Q703" t="s">
        <v>1280</v>
      </c>
      <c r="R703" t="s">
        <v>1280</v>
      </c>
      <c r="S703" t="s">
        <v>1510</v>
      </c>
      <c r="T703">
        <v>48</v>
      </c>
      <c r="U703">
        <f>IF(Table__192.168.1.150_M_CONSOLIDATED_Delinquency_Compulsory_EOM[[#This Row],[Days in Arrears]] &lt; 8, Table__192.168.1.150_M_CONSOLIDATED_Delinquency_Compulsory_EOM[[#This Row],[Outstanding Balance]], 0 )</f>
        <v>15000000</v>
      </c>
      <c r="V7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3" s="105" t="str">
        <f>VLOOKUP(Table__192.168.1.150_M_CONSOLIDATED_Delinquency_Compulsory_EOM[[#This Row],[Client No]],'Global Portfolio'!$B$2:$N$2500,10,FALSE)</f>
        <v>Retail</v>
      </c>
      <c r="AA703" s="105" t="str">
        <f>VLOOKUP(Table__192.168.1.150_M_CONSOLIDATED_Delinquency_Compulsory_EOM[[#This Row],[Client No]],'Global Portfolio'!$B$2:$N$2500,11,FALSE)</f>
        <v>General Merchandise Stores</v>
      </c>
      <c r="AB703" s="105" t="str">
        <f>VLOOKUP(Table__192.168.1.150_M_CONSOLIDATED_Delinquency_Compulsory_EOM[[#This Row],[Client No]],'Global Portfolio'!$B$2:$N$2500,12,FALSE)</f>
        <v>General Stores</v>
      </c>
    </row>
    <row r="704" spans="1:28" x14ac:dyDescent="0.25">
      <c r="A704">
        <v>103416</v>
      </c>
      <c r="B704" t="s">
        <v>792</v>
      </c>
      <c r="C704" t="s">
        <v>793</v>
      </c>
      <c r="D704" t="s">
        <v>1866</v>
      </c>
      <c r="E704">
        <v>-15</v>
      </c>
      <c r="F704">
        <v>9000000</v>
      </c>
      <c r="G704">
        <v>9000000</v>
      </c>
      <c r="H704">
        <v>940514.1</v>
      </c>
      <c r="I704" t="s">
        <v>2855</v>
      </c>
      <c r="J704">
        <v>25050.7</v>
      </c>
      <c r="K704">
        <v>900000</v>
      </c>
      <c r="L704">
        <v>154000</v>
      </c>
      <c r="M704">
        <v>940514.1</v>
      </c>
      <c r="N704" s="143">
        <v>43024.674112997687</v>
      </c>
      <c r="O704" s="143">
        <v>43389</v>
      </c>
      <c r="P704" t="s">
        <v>794</v>
      </c>
      <c r="Q704" t="s">
        <v>1280</v>
      </c>
      <c r="R704" t="s">
        <v>1280</v>
      </c>
      <c r="S704" t="s">
        <v>1510</v>
      </c>
      <c r="T704">
        <v>44</v>
      </c>
      <c r="U704">
        <f>IF(Table__192.168.1.150_M_CONSOLIDATED_Delinquency_Compulsory_EOM[[#This Row],[Days in Arrears]] &lt; 8, Table__192.168.1.150_M_CONSOLIDATED_Delinquency_Compulsory_EOM[[#This Row],[Outstanding Balance]], 0 )</f>
        <v>9000000</v>
      </c>
      <c r="V7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4" s="105" t="str">
        <f>VLOOKUP(Table__192.168.1.150_M_CONSOLIDATED_Delinquency_Compulsory_EOM[[#This Row],[Client No]],'Global Portfolio'!$B$2:$N$2500,10,FALSE)</f>
        <v>Retail</v>
      </c>
      <c r="AA704" s="105" t="str">
        <f>VLOOKUP(Table__192.168.1.150_M_CONSOLIDATED_Delinquency_Compulsory_EOM[[#This Row],[Client No]],'Global Portfolio'!$B$2:$N$2500,11,FALSE)</f>
        <v>General Merchandise Stores</v>
      </c>
      <c r="AB704" s="105" t="str">
        <f>VLOOKUP(Table__192.168.1.150_M_CONSOLIDATED_Delinquency_Compulsory_EOM[[#This Row],[Client No]],'Global Portfolio'!$B$2:$N$2500,12,FALSE)</f>
        <v>General Stores</v>
      </c>
    </row>
    <row r="705" spans="1:28" x14ac:dyDescent="0.25">
      <c r="A705">
        <v>103417</v>
      </c>
      <c r="B705" t="s">
        <v>5820</v>
      </c>
      <c r="C705" t="s">
        <v>5823</v>
      </c>
      <c r="D705" t="s">
        <v>1282</v>
      </c>
      <c r="E705">
        <v>-15</v>
      </c>
      <c r="F705">
        <v>7000000</v>
      </c>
      <c r="G705">
        <v>7000000</v>
      </c>
      <c r="H705">
        <v>884651.75</v>
      </c>
      <c r="I705" t="s">
        <v>2034</v>
      </c>
      <c r="J705">
        <v>9000</v>
      </c>
      <c r="K705">
        <v>700000</v>
      </c>
      <c r="L705">
        <v>147000</v>
      </c>
      <c r="M705">
        <v>884651.75</v>
      </c>
      <c r="N705" s="143">
        <v>43024.682983877312</v>
      </c>
      <c r="O705" s="143">
        <v>43328</v>
      </c>
      <c r="P705" t="s">
        <v>5824</v>
      </c>
      <c r="Q705" t="s">
        <v>1280</v>
      </c>
      <c r="R705" t="s">
        <v>1280</v>
      </c>
      <c r="S705" t="s">
        <v>1510</v>
      </c>
      <c r="T705">
        <v>54</v>
      </c>
      <c r="U705">
        <f>IF(Table__192.168.1.150_M_CONSOLIDATED_Delinquency_Compulsory_EOM[[#This Row],[Days in Arrears]] &lt; 8, Table__192.168.1.150_M_CONSOLIDATED_Delinquency_Compulsory_EOM[[#This Row],[Outstanding Balance]], 0 )</f>
        <v>7000000</v>
      </c>
      <c r="V7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5" s="105" t="str">
        <f>VLOOKUP(Table__192.168.1.150_M_CONSOLIDATED_Delinquency_Compulsory_EOM[[#This Row],[Client No]],'Global Portfolio'!$B$2:$N$2500,10,FALSE)</f>
        <v>Retail</v>
      </c>
      <c r="AA705" s="105" t="str">
        <f>VLOOKUP(Table__192.168.1.150_M_CONSOLIDATED_Delinquency_Compulsory_EOM[[#This Row],[Client No]],'Global Portfolio'!$B$2:$N$2500,11,FALSE)</f>
        <v>Second Hand -Clothing and  Accessories</v>
      </c>
      <c r="AB705" s="105" t="str">
        <f>VLOOKUP(Table__192.168.1.150_M_CONSOLIDATED_Delinquency_Compulsory_EOM[[#This Row],[Client No]],'Global Portfolio'!$B$2:$N$2500,12,FALSE)</f>
        <v>Clothing Stores</v>
      </c>
    </row>
    <row r="706" spans="1:28" x14ac:dyDescent="0.25">
      <c r="A706">
        <v>103418</v>
      </c>
      <c r="B706" t="s">
        <v>4270</v>
      </c>
      <c r="C706" t="s">
        <v>4272</v>
      </c>
      <c r="D706" t="s">
        <v>1282</v>
      </c>
      <c r="E706">
        <v>-15</v>
      </c>
      <c r="F706">
        <v>7000000</v>
      </c>
      <c r="G706">
        <v>7000000</v>
      </c>
      <c r="H706">
        <v>745865.21</v>
      </c>
      <c r="I706" t="s">
        <v>546</v>
      </c>
      <c r="J706">
        <v>200475.14</v>
      </c>
      <c r="K706">
        <v>700000</v>
      </c>
      <c r="L706">
        <v>130666.67</v>
      </c>
      <c r="M706">
        <v>745865.21</v>
      </c>
      <c r="N706" s="143">
        <v>43024.724898379631</v>
      </c>
      <c r="O706" s="143">
        <v>43389</v>
      </c>
      <c r="P706" t="s">
        <v>4273</v>
      </c>
      <c r="Q706" t="s">
        <v>4274</v>
      </c>
      <c r="R706" t="s">
        <v>1280</v>
      </c>
      <c r="S706" t="s">
        <v>1510</v>
      </c>
      <c r="T706">
        <v>48</v>
      </c>
      <c r="U706">
        <f>IF(Table__192.168.1.150_M_CONSOLIDATED_Delinquency_Compulsory_EOM[[#This Row],[Days in Arrears]] &lt; 8, Table__192.168.1.150_M_CONSOLIDATED_Delinquency_Compulsory_EOM[[#This Row],[Outstanding Balance]], 0 )</f>
        <v>7000000</v>
      </c>
      <c r="V7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6" s="105" t="str">
        <f>VLOOKUP(Table__192.168.1.150_M_CONSOLIDATED_Delinquency_Compulsory_EOM[[#This Row],[Client No]],'Global Portfolio'!$B$2:$N$2500,10,FALSE)</f>
        <v>Retail</v>
      </c>
      <c r="AA706" s="105" t="str">
        <f>VLOOKUP(Table__192.168.1.150_M_CONSOLIDATED_Delinquency_Compulsory_EOM[[#This Row],[Client No]],'Global Portfolio'!$B$2:$N$2500,11,FALSE)</f>
        <v>General Merchandise Stores</v>
      </c>
      <c r="AB706" s="105" t="str">
        <f>VLOOKUP(Table__192.168.1.150_M_CONSOLIDATED_Delinquency_Compulsory_EOM[[#This Row],[Client No]],'Global Portfolio'!$B$2:$N$2500,12,FALSE)</f>
        <v>General Stores</v>
      </c>
    </row>
    <row r="707" spans="1:28" x14ac:dyDescent="0.25">
      <c r="A707">
        <v>103419</v>
      </c>
      <c r="B707" t="s">
        <v>5832</v>
      </c>
      <c r="C707" t="s">
        <v>5834</v>
      </c>
      <c r="D707" t="s">
        <v>1284</v>
      </c>
      <c r="E707">
        <v>-16</v>
      </c>
      <c r="F707">
        <v>27000000</v>
      </c>
      <c r="G707">
        <v>27000000</v>
      </c>
      <c r="H707">
        <v>2018874.75</v>
      </c>
      <c r="I707" t="s">
        <v>1039</v>
      </c>
      <c r="J707">
        <v>9500</v>
      </c>
      <c r="K707">
        <v>1350000</v>
      </c>
      <c r="L707">
        <v>390000</v>
      </c>
      <c r="M707">
        <v>2018874.75</v>
      </c>
      <c r="N707" s="143">
        <v>43025.590373692132</v>
      </c>
      <c r="O707" s="143">
        <v>43572</v>
      </c>
      <c r="P707" t="s">
        <v>5835</v>
      </c>
      <c r="Q707" t="s">
        <v>5836</v>
      </c>
      <c r="R707" t="s">
        <v>1280</v>
      </c>
      <c r="S707" t="s">
        <v>1510</v>
      </c>
      <c r="T707">
        <v>40</v>
      </c>
      <c r="U707">
        <f>IF(Table__192.168.1.150_M_CONSOLIDATED_Delinquency_Compulsory_EOM[[#This Row],[Days in Arrears]] &lt; 8, Table__192.168.1.150_M_CONSOLIDATED_Delinquency_Compulsory_EOM[[#This Row],[Outstanding Balance]], 0 )</f>
        <v>27000000</v>
      </c>
      <c r="V7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7" s="105" t="str">
        <f>VLOOKUP(Table__192.168.1.150_M_CONSOLIDATED_Delinquency_Compulsory_EOM[[#This Row],[Client No]],'Global Portfolio'!$B$2:$N$2500,10,FALSE)</f>
        <v>Real Estate and Rental</v>
      </c>
      <c r="AA707" s="105" t="str">
        <f>VLOOKUP(Table__192.168.1.150_M_CONSOLIDATED_Delinquency_Compulsory_EOM[[#This Row],[Client No]],'Global Portfolio'!$B$2:$N$2500,11,FALSE)</f>
        <v>Rental</v>
      </c>
      <c r="AB707" s="105" t="str">
        <f>VLOOKUP(Table__192.168.1.150_M_CONSOLIDATED_Delinquency_Compulsory_EOM[[#This Row],[Client No]],'Global Portfolio'!$B$2:$N$2500,12,FALSE)</f>
        <v>General Rental Centers</v>
      </c>
    </row>
    <row r="708" spans="1:28" x14ac:dyDescent="0.25">
      <c r="A708">
        <v>103420</v>
      </c>
      <c r="B708" t="s">
        <v>5830</v>
      </c>
      <c r="C708" t="s">
        <v>5837</v>
      </c>
      <c r="D708" t="s">
        <v>1284</v>
      </c>
      <c r="E708">
        <v>-16</v>
      </c>
      <c r="F708">
        <v>20000000</v>
      </c>
      <c r="G708">
        <v>20000000</v>
      </c>
      <c r="H708">
        <v>1715982.76</v>
      </c>
      <c r="I708" t="s">
        <v>86</v>
      </c>
      <c r="J708">
        <v>847000</v>
      </c>
      <c r="K708">
        <v>1000000</v>
      </c>
      <c r="L708">
        <v>288888.89</v>
      </c>
      <c r="M708">
        <v>1715982.76</v>
      </c>
      <c r="N708" s="143">
        <v>43025.550861076386</v>
      </c>
      <c r="O708" s="143">
        <v>43482</v>
      </c>
      <c r="P708" t="s">
        <v>5838</v>
      </c>
      <c r="Q708" t="s">
        <v>1280</v>
      </c>
      <c r="R708" t="s">
        <v>1280</v>
      </c>
      <c r="S708" t="s">
        <v>1510</v>
      </c>
      <c r="T708">
        <v>40</v>
      </c>
      <c r="U708">
        <f>IF(Table__192.168.1.150_M_CONSOLIDATED_Delinquency_Compulsory_EOM[[#This Row],[Days in Arrears]] &lt; 8, Table__192.168.1.150_M_CONSOLIDATED_Delinquency_Compulsory_EOM[[#This Row],[Outstanding Balance]], 0 )</f>
        <v>20000000</v>
      </c>
      <c r="V7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8" s="105" t="str">
        <f>VLOOKUP(Table__192.168.1.150_M_CONSOLIDATED_Delinquency_Compulsory_EOM[[#This Row],[Client No]],'Global Portfolio'!$B$2:$N$2500,10,FALSE)</f>
        <v>Retail</v>
      </c>
      <c r="AA708" s="105" t="str">
        <f>VLOOKUP(Table__192.168.1.150_M_CONSOLIDATED_Delinquency_Compulsory_EOM[[#This Row],[Client No]],'Global Portfolio'!$B$2:$N$2500,11,FALSE)</f>
        <v>General Merchandise Stores</v>
      </c>
      <c r="AB708" s="105" t="str">
        <f>VLOOKUP(Table__192.168.1.150_M_CONSOLIDATED_Delinquency_Compulsory_EOM[[#This Row],[Client No]],'Global Portfolio'!$B$2:$N$2500,12,FALSE)</f>
        <v>General Stores</v>
      </c>
    </row>
    <row r="709" spans="1:28" x14ac:dyDescent="0.25">
      <c r="A709">
        <v>103421</v>
      </c>
      <c r="B709" t="s">
        <v>5955</v>
      </c>
      <c r="C709" t="s">
        <v>5958</v>
      </c>
      <c r="D709" t="s">
        <v>1867</v>
      </c>
      <c r="E709">
        <v>-31</v>
      </c>
      <c r="F709">
        <v>13000000</v>
      </c>
      <c r="G709">
        <v>13000000</v>
      </c>
      <c r="H709">
        <v>1613056.52</v>
      </c>
      <c r="I709" t="s">
        <v>491</v>
      </c>
      <c r="J709">
        <v>9340</v>
      </c>
      <c r="K709">
        <v>1300000</v>
      </c>
      <c r="L709">
        <v>52000</v>
      </c>
      <c r="M709">
        <v>1613056.52</v>
      </c>
      <c r="N709" s="143">
        <v>43035.645899965275</v>
      </c>
      <c r="O709" s="143">
        <v>43345</v>
      </c>
      <c r="P709" t="s">
        <v>5959</v>
      </c>
      <c r="Q709" t="s">
        <v>1280</v>
      </c>
      <c r="R709" t="s">
        <v>1280</v>
      </c>
      <c r="S709" t="s">
        <v>1510</v>
      </c>
      <c r="T709">
        <v>48</v>
      </c>
      <c r="U709">
        <f>IF(Table__192.168.1.150_M_CONSOLIDATED_Delinquency_Compulsory_EOM[[#This Row],[Days in Arrears]] &lt; 8, Table__192.168.1.150_M_CONSOLIDATED_Delinquency_Compulsory_EOM[[#This Row],[Outstanding Balance]], 0 )</f>
        <v>13000000</v>
      </c>
      <c r="V7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09" s="105" t="str">
        <f>VLOOKUP(Table__192.168.1.150_M_CONSOLIDATED_Delinquency_Compulsory_EOM[[#This Row],[Client No]],'Global Portfolio'!$B$2:$N$2500,10,FALSE)</f>
        <v>Retail</v>
      </c>
      <c r="AA709" s="105" t="str">
        <f>VLOOKUP(Table__192.168.1.150_M_CONSOLIDATED_Delinquency_Compulsory_EOM[[#This Row],[Client No]],'Global Portfolio'!$B$2:$N$2500,11,FALSE)</f>
        <v>Building Material and Garden Equipment</v>
      </c>
      <c r="AB709" s="105" t="str">
        <f>VLOOKUP(Table__192.168.1.150_M_CONSOLIDATED_Delinquency_Compulsory_EOM[[#This Row],[Client No]],'Global Portfolio'!$B$2:$N$2500,12,FALSE)</f>
        <v>Hardware Stores</v>
      </c>
    </row>
    <row r="710" spans="1:28" x14ac:dyDescent="0.25">
      <c r="A710">
        <v>103422</v>
      </c>
      <c r="B710" t="s">
        <v>5842</v>
      </c>
      <c r="C710" t="s">
        <v>5843</v>
      </c>
      <c r="D710" t="s">
        <v>1282</v>
      </c>
      <c r="E710">
        <v>-17</v>
      </c>
      <c r="F710">
        <v>3000000</v>
      </c>
      <c r="G710">
        <v>3000000</v>
      </c>
      <c r="H710">
        <v>328998.57</v>
      </c>
      <c r="I710" t="s">
        <v>2034</v>
      </c>
      <c r="J710">
        <v>14000</v>
      </c>
      <c r="K710">
        <v>300000</v>
      </c>
      <c r="L710">
        <v>54000</v>
      </c>
      <c r="M710">
        <v>328998.57</v>
      </c>
      <c r="N710" s="143">
        <v>43026.725895567128</v>
      </c>
      <c r="O710" s="143">
        <v>43391</v>
      </c>
      <c r="P710" t="s">
        <v>5844</v>
      </c>
      <c r="Q710" t="s">
        <v>5845</v>
      </c>
      <c r="R710" t="s">
        <v>1280</v>
      </c>
      <c r="S710" t="s">
        <v>1510</v>
      </c>
      <c r="T710">
        <v>54</v>
      </c>
      <c r="U710">
        <f>IF(Table__192.168.1.150_M_CONSOLIDATED_Delinquency_Compulsory_EOM[[#This Row],[Days in Arrears]] &lt; 8, Table__192.168.1.150_M_CONSOLIDATED_Delinquency_Compulsory_EOM[[#This Row],[Outstanding Balance]], 0 )</f>
        <v>3000000</v>
      </c>
      <c r="V7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0" s="105" t="str">
        <f>VLOOKUP(Table__192.168.1.150_M_CONSOLIDATED_Delinquency_Compulsory_EOM[[#This Row],[Client No]],'Global Portfolio'!$B$2:$N$2500,10,FALSE)</f>
        <v>Retail</v>
      </c>
      <c r="AA710" s="105" t="str">
        <f>VLOOKUP(Table__192.168.1.150_M_CONSOLIDATED_Delinquency_Compulsory_EOM[[#This Row],[Client No]],'Global Portfolio'!$B$2:$N$2500,11,FALSE)</f>
        <v>General Merchandise Stores</v>
      </c>
      <c r="AB710" s="105" t="str">
        <f>VLOOKUP(Table__192.168.1.150_M_CONSOLIDATED_Delinquency_Compulsory_EOM[[#This Row],[Client No]],'Global Portfolio'!$B$2:$N$2500,12,FALSE)</f>
        <v>General Stores</v>
      </c>
    </row>
    <row r="711" spans="1:28" x14ac:dyDescent="0.25">
      <c r="A711">
        <v>103423</v>
      </c>
      <c r="B711" t="s">
        <v>4691</v>
      </c>
      <c r="C711" t="s">
        <v>4697</v>
      </c>
      <c r="D711" t="s">
        <v>1282</v>
      </c>
      <c r="E711">
        <v>-18</v>
      </c>
      <c r="F711">
        <v>5000000</v>
      </c>
      <c r="G711">
        <v>5000000</v>
      </c>
      <c r="H711">
        <v>532760.86</v>
      </c>
      <c r="I711" t="s">
        <v>546</v>
      </c>
      <c r="J711">
        <v>139685.68</v>
      </c>
      <c r="K711">
        <v>500000</v>
      </c>
      <c r="L711">
        <v>73333.33</v>
      </c>
      <c r="M711">
        <v>532760.86</v>
      </c>
      <c r="N711" s="143">
        <v>43027.536510995371</v>
      </c>
      <c r="O711" s="143">
        <v>43392</v>
      </c>
      <c r="P711" t="s">
        <v>4698</v>
      </c>
      <c r="Q711" t="s">
        <v>1280</v>
      </c>
      <c r="R711" t="s">
        <v>1280</v>
      </c>
      <c r="S711" t="s">
        <v>1510</v>
      </c>
      <c r="T711">
        <v>48</v>
      </c>
      <c r="U711">
        <f>IF(Table__192.168.1.150_M_CONSOLIDATED_Delinquency_Compulsory_EOM[[#This Row],[Days in Arrears]] &lt; 8, Table__192.168.1.150_M_CONSOLIDATED_Delinquency_Compulsory_EOM[[#This Row],[Outstanding Balance]], 0 )</f>
        <v>5000000</v>
      </c>
      <c r="V7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1" s="105" t="str">
        <f>VLOOKUP(Table__192.168.1.150_M_CONSOLIDATED_Delinquency_Compulsory_EOM[[#This Row],[Client No]],'Global Portfolio'!$B$2:$N$2500,10,FALSE)</f>
        <v>Retail</v>
      </c>
      <c r="AA711" s="105" t="str">
        <f>VLOOKUP(Table__192.168.1.150_M_CONSOLIDATED_Delinquency_Compulsory_EOM[[#This Row],[Client No]],'Global Portfolio'!$B$2:$N$2500,11,FALSE)</f>
        <v>General Merchandise Stores</v>
      </c>
      <c r="AB711" s="105" t="str">
        <f>VLOOKUP(Table__192.168.1.150_M_CONSOLIDATED_Delinquency_Compulsory_EOM[[#This Row],[Client No]],'Global Portfolio'!$B$2:$N$2500,12,FALSE)</f>
        <v>General Stores</v>
      </c>
    </row>
    <row r="712" spans="1:28" x14ac:dyDescent="0.25">
      <c r="A712">
        <v>103424</v>
      </c>
      <c r="B712" t="s">
        <v>5847</v>
      </c>
      <c r="C712" t="s">
        <v>5852</v>
      </c>
      <c r="D712" t="s">
        <v>1279</v>
      </c>
      <c r="E712">
        <v>-18</v>
      </c>
      <c r="F712">
        <v>4000000</v>
      </c>
      <c r="G712">
        <v>4000000</v>
      </c>
      <c r="H712">
        <v>606438.61</v>
      </c>
      <c r="I712" t="s">
        <v>5352</v>
      </c>
      <c r="J712">
        <v>9200</v>
      </c>
      <c r="K712">
        <v>400000</v>
      </c>
      <c r="L712">
        <v>66000</v>
      </c>
      <c r="M712">
        <v>606438.61</v>
      </c>
      <c r="N712" s="143">
        <v>43027.549113078705</v>
      </c>
      <c r="O712" s="143">
        <v>43270</v>
      </c>
      <c r="P712" t="s">
        <v>5853</v>
      </c>
      <c r="Q712" t="s">
        <v>5854</v>
      </c>
      <c r="R712" t="s">
        <v>1280</v>
      </c>
      <c r="S712" t="s">
        <v>1510</v>
      </c>
      <c r="T712">
        <v>54</v>
      </c>
      <c r="U712">
        <f>IF(Table__192.168.1.150_M_CONSOLIDATED_Delinquency_Compulsory_EOM[[#This Row],[Days in Arrears]] &lt; 8, Table__192.168.1.150_M_CONSOLIDATED_Delinquency_Compulsory_EOM[[#This Row],[Outstanding Balance]], 0 )</f>
        <v>4000000</v>
      </c>
      <c r="V7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2" s="105" t="str">
        <f>VLOOKUP(Table__192.168.1.150_M_CONSOLIDATED_Delinquency_Compulsory_EOM[[#This Row],[Client No]],'Global Portfolio'!$B$2:$N$2500,10,FALSE)</f>
        <v>Retail</v>
      </c>
      <c r="AA712" s="105" t="str">
        <f>VLOOKUP(Table__192.168.1.150_M_CONSOLIDATED_Delinquency_Compulsory_EOM[[#This Row],[Client No]],'Global Portfolio'!$B$2:$N$2500,11,FALSE)</f>
        <v>General Merchandise Stores</v>
      </c>
      <c r="AB712" s="105" t="str">
        <f>VLOOKUP(Table__192.168.1.150_M_CONSOLIDATED_Delinquency_Compulsory_EOM[[#This Row],[Client No]],'Global Portfolio'!$B$2:$N$2500,12,FALSE)</f>
        <v>General Stores</v>
      </c>
    </row>
    <row r="713" spans="1:28" x14ac:dyDescent="0.25">
      <c r="A713">
        <v>103425</v>
      </c>
      <c r="B713" t="s">
        <v>3119</v>
      </c>
      <c r="C713" t="s">
        <v>3120</v>
      </c>
      <c r="D713" t="s">
        <v>1866</v>
      </c>
      <c r="E713">
        <v>-19</v>
      </c>
      <c r="F713">
        <v>7000000</v>
      </c>
      <c r="G713">
        <v>7000000</v>
      </c>
      <c r="H713">
        <v>731510.97</v>
      </c>
      <c r="I713" t="s">
        <v>2494</v>
      </c>
      <c r="J713">
        <v>100464.08</v>
      </c>
      <c r="K713">
        <v>1200000</v>
      </c>
      <c r="L713">
        <v>85555.56</v>
      </c>
      <c r="M713">
        <v>731510.97</v>
      </c>
      <c r="N713" s="143">
        <v>43028.727197488428</v>
      </c>
      <c r="O713" s="143">
        <v>43393</v>
      </c>
      <c r="P713" t="s">
        <v>3121</v>
      </c>
      <c r="Q713" t="s">
        <v>3122</v>
      </c>
      <c r="R713" t="s">
        <v>1280</v>
      </c>
      <c r="S713" t="s">
        <v>1510</v>
      </c>
      <c r="T713">
        <v>44</v>
      </c>
      <c r="U713">
        <f>IF(Table__192.168.1.150_M_CONSOLIDATED_Delinquency_Compulsory_EOM[[#This Row],[Days in Arrears]] &lt; 8, Table__192.168.1.150_M_CONSOLIDATED_Delinquency_Compulsory_EOM[[#This Row],[Outstanding Balance]], 0 )</f>
        <v>7000000</v>
      </c>
      <c r="V7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3" s="105" t="str">
        <f>VLOOKUP(Table__192.168.1.150_M_CONSOLIDATED_Delinquency_Compulsory_EOM[[#This Row],[Client No]],'Global Portfolio'!$B$2:$N$2500,10,FALSE)</f>
        <v>Retail</v>
      </c>
      <c r="AA713" s="105" t="str">
        <f>VLOOKUP(Table__192.168.1.150_M_CONSOLIDATED_Delinquency_Compulsory_EOM[[#This Row],[Client No]],'Global Portfolio'!$B$2:$N$2500,11,FALSE)</f>
        <v>General Merchandise Stores</v>
      </c>
      <c r="AB713" s="105" t="str">
        <f>VLOOKUP(Table__192.168.1.150_M_CONSOLIDATED_Delinquency_Compulsory_EOM[[#This Row],[Client No]],'Global Portfolio'!$B$2:$N$2500,12,FALSE)</f>
        <v>General Stores</v>
      </c>
    </row>
    <row r="714" spans="1:28" x14ac:dyDescent="0.25">
      <c r="A714">
        <v>103426</v>
      </c>
      <c r="B714" t="s">
        <v>914</v>
      </c>
      <c r="C714" t="s">
        <v>1307</v>
      </c>
      <c r="D714" t="s">
        <v>1285</v>
      </c>
      <c r="E714">
        <v>-20</v>
      </c>
      <c r="F714">
        <v>6233767.6600000001</v>
      </c>
      <c r="G714">
        <v>6233767.6600000001</v>
      </c>
      <c r="H714">
        <v>410228.92</v>
      </c>
      <c r="I714" t="s">
        <v>284</v>
      </c>
      <c r="J714">
        <v>20416.41</v>
      </c>
      <c r="K714">
        <v>0</v>
      </c>
      <c r="L714">
        <v>41904.769999999997</v>
      </c>
      <c r="M714">
        <v>410228.92</v>
      </c>
      <c r="N714" s="143">
        <v>43027.722257789355</v>
      </c>
      <c r="O714" s="143">
        <v>43576</v>
      </c>
      <c r="P714" t="s">
        <v>1308</v>
      </c>
      <c r="Q714" t="s">
        <v>1280</v>
      </c>
      <c r="R714" t="s">
        <v>1280</v>
      </c>
      <c r="S714" t="s">
        <v>1510</v>
      </c>
      <c r="T714">
        <v>22</v>
      </c>
      <c r="U714">
        <f>IF(Table__192.168.1.150_M_CONSOLIDATED_Delinquency_Compulsory_EOM[[#This Row],[Days in Arrears]] &lt; 8, Table__192.168.1.150_M_CONSOLIDATED_Delinquency_Compulsory_EOM[[#This Row],[Outstanding Balance]], 0 )</f>
        <v>6233767.6600000001</v>
      </c>
      <c r="V7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4" s="105" t="str">
        <f>VLOOKUP(Table__192.168.1.150_M_CONSOLIDATED_Delinquency_Compulsory_EOM[[#This Row],[Client No]],'Global Portfolio'!$B$2:$N$2500,10,FALSE)</f>
        <v>Retail</v>
      </c>
      <c r="AA714" s="105" t="str">
        <f>VLOOKUP(Table__192.168.1.150_M_CONSOLIDATED_Delinquency_Compulsory_EOM[[#This Row],[Client No]],'Global Portfolio'!$B$2:$N$2500,11,FALSE)</f>
        <v>General Merchandise Stores</v>
      </c>
      <c r="AB714" s="105" t="str">
        <f>VLOOKUP(Table__192.168.1.150_M_CONSOLIDATED_Delinquency_Compulsory_EOM[[#This Row],[Client No]],'Global Portfolio'!$B$2:$N$2500,12,FALSE)</f>
        <v>General Stores</v>
      </c>
    </row>
    <row r="715" spans="1:28" x14ac:dyDescent="0.25">
      <c r="A715">
        <v>103427</v>
      </c>
      <c r="B715" t="s">
        <v>4761</v>
      </c>
      <c r="C715" t="s">
        <v>4763</v>
      </c>
      <c r="D715" t="s">
        <v>1279</v>
      </c>
      <c r="E715">
        <v>-19</v>
      </c>
      <c r="F715">
        <v>2000000</v>
      </c>
      <c r="G715">
        <v>2000000</v>
      </c>
      <c r="H715">
        <v>297055.65999999997</v>
      </c>
      <c r="I715" t="s">
        <v>1039</v>
      </c>
      <c r="J715">
        <v>9831.2099999999991</v>
      </c>
      <c r="K715">
        <v>300000</v>
      </c>
      <c r="L715">
        <v>26666.67</v>
      </c>
      <c r="M715">
        <v>297055.65999999997</v>
      </c>
      <c r="N715" s="143">
        <v>43028.644662500003</v>
      </c>
      <c r="O715" s="143">
        <v>43271</v>
      </c>
      <c r="P715" t="s">
        <v>4764</v>
      </c>
      <c r="Q715" t="s">
        <v>1280</v>
      </c>
      <c r="R715" t="s">
        <v>1280</v>
      </c>
      <c r="S715" t="s">
        <v>1510</v>
      </c>
      <c r="T715">
        <v>48</v>
      </c>
      <c r="U715">
        <f>IF(Table__192.168.1.150_M_CONSOLIDATED_Delinquency_Compulsory_EOM[[#This Row],[Days in Arrears]] &lt; 8, Table__192.168.1.150_M_CONSOLIDATED_Delinquency_Compulsory_EOM[[#This Row],[Outstanding Balance]], 0 )</f>
        <v>2000000</v>
      </c>
      <c r="V7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5" s="105" t="str">
        <f>VLOOKUP(Table__192.168.1.150_M_CONSOLIDATED_Delinquency_Compulsory_EOM[[#This Row],[Client No]],'Global Portfolio'!$B$2:$N$2500,10,FALSE)</f>
        <v>Retail</v>
      </c>
      <c r="AA715" s="105" t="str">
        <f>VLOOKUP(Table__192.168.1.150_M_CONSOLIDATED_Delinquency_Compulsory_EOM[[#This Row],[Client No]],'Global Portfolio'!$B$2:$N$2500,11,FALSE)</f>
        <v>General Merchandise Stores</v>
      </c>
      <c r="AB715" s="105" t="str">
        <f>VLOOKUP(Table__192.168.1.150_M_CONSOLIDATED_Delinquency_Compulsory_EOM[[#This Row],[Client No]],'Global Portfolio'!$B$2:$N$2500,12,FALSE)</f>
        <v>General Stores</v>
      </c>
    </row>
    <row r="716" spans="1:28" x14ac:dyDescent="0.25">
      <c r="A716">
        <v>103428</v>
      </c>
      <c r="B716" t="s">
        <v>5869</v>
      </c>
      <c r="C716" t="s">
        <v>5873</v>
      </c>
      <c r="D716" t="s">
        <v>1279</v>
      </c>
      <c r="E716">
        <v>-19</v>
      </c>
      <c r="F716">
        <v>3000000</v>
      </c>
      <c r="G716">
        <v>3000000</v>
      </c>
      <c r="H716">
        <v>379136.47</v>
      </c>
      <c r="I716" t="s">
        <v>5385</v>
      </c>
      <c r="J716">
        <v>10400</v>
      </c>
      <c r="K716">
        <v>300000</v>
      </c>
      <c r="L716">
        <v>45000</v>
      </c>
      <c r="M716">
        <v>379136.47</v>
      </c>
      <c r="N716" s="143">
        <v>43028.627366469904</v>
      </c>
      <c r="O716" s="143">
        <v>43332</v>
      </c>
      <c r="P716" t="s">
        <v>5874</v>
      </c>
      <c r="Q716" t="s">
        <v>1280</v>
      </c>
      <c r="R716" t="s">
        <v>1280</v>
      </c>
      <c r="S716" t="s">
        <v>1510</v>
      </c>
      <c r="T716">
        <v>54</v>
      </c>
      <c r="U716">
        <f>IF(Table__192.168.1.150_M_CONSOLIDATED_Delinquency_Compulsory_EOM[[#This Row],[Days in Arrears]] &lt; 8, Table__192.168.1.150_M_CONSOLIDATED_Delinquency_Compulsory_EOM[[#This Row],[Outstanding Balance]], 0 )</f>
        <v>3000000</v>
      </c>
      <c r="V7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6" s="105" t="str">
        <f>VLOOKUP(Table__192.168.1.150_M_CONSOLIDATED_Delinquency_Compulsory_EOM[[#This Row],[Client No]],'Global Portfolio'!$B$2:$N$2500,10,FALSE)</f>
        <v>Retail</v>
      </c>
      <c r="AA716" s="105" t="str">
        <f>VLOOKUP(Table__192.168.1.150_M_CONSOLIDATED_Delinquency_Compulsory_EOM[[#This Row],[Client No]],'Global Portfolio'!$B$2:$N$2500,11,FALSE)</f>
        <v>General Merchandise Stores</v>
      </c>
      <c r="AB716" s="105" t="str">
        <f>VLOOKUP(Table__192.168.1.150_M_CONSOLIDATED_Delinquency_Compulsory_EOM[[#This Row],[Client No]],'Global Portfolio'!$B$2:$N$2500,12,FALSE)</f>
        <v>General Stores</v>
      </c>
    </row>
    <row r="717" spans="1:28" x14ac:dyDescent="0.25">
      <c r="A717">
        <v>103429</v>
      </c>
      <c r="B717" t="s">
        <v>3925</v>
      </c>
      <c r="C717" t="s">
        <v>3929</v>
      </c>
      <c r="D717" t="s">
        <v>1282</v>
      </c>
      <c r="E717">
        <v>-19</v>
      </c>
      <c r="F717">
        <v>11000000</v>
      </c>
      <c r="G717">
        <v>11000000</v>
      </c>
      <c r="H717">
        <v>1633806.15</v>
      </c>
      <c r="I717" t="s">
        <v>2855</v>
      </c>
      <c r="J717">
        <v>58341.67</v>
      </c>
      <c r="K717">
        <v>1100000</v>
      </c>
      <c r="L717">
        <v>146666.67000000001</v>
      </c>
      <c r="M717">
        <v>1633806.15</v>
      </c>
      <c r="N717" s="143">
        <v>43028.712508252313</v>
      </c>
      <c r="O717" s="143">
        <v>43271</v>
      </c>
      <c r="P717" t="s">
        <v>3930</v>
      </c>
      <c r="Q717" t="s">
        <v>3931</v>
      </c>
      <c r="R717" t="s">
        <v>3932</v>
      </c>
      <c r="S717" t="s">
        <v>1510</v>
      </c>
      <c r="T717">
        <v>48</v>
      </c>
      <c r="U717">
        <f>IF(Table__192.168.1.150_M_CONSOLIDATED_Delinquency_Compulsory_EOM[[#This Row],[Days in Arrears]] &lt; 8, Table__192.168.1.150_M_CONSOLIDATED_Delinquency_Compulsory_EOM[[#This Row],[Outstanding Balance]], 0 )</f>
        <v>11000000</v>
      </c>
      <c r="V7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7" s="105" t="str">
        <f>VLOOKUP(Table__192.168.1.150_M_CONSOLIDATED_Delinquency_Compulsory_EOM[[#This Row],[Client No]],'Global Portfolio'!$B$2:$N$2500,10,FALSE)</f>
        <v>Real Estate and Rental</v>
      </c>
      <c r="AA717" s="105" t="str">
        <f>VLOOKUP(Table__192.168.1.150_M_CONSOLIDATED_Delinquency_Compulsory_EOM[[#This Row],[Client No]],'Global Portfolio'!$B$2:$N$2500,11,FALSE)</f>
        <v>Real Estate</v>
      </c>
      <c r="AB717" s="105" t="str">
        <f>VLOOKUP(Table__192.168.1.150_M_CONSOLIDATED_Delinquency_Compulsory_EOM[[#This Row],[Client No]],'Global Portfolio'!$B$2:$N$2500,12,FALSE)</f>
        <v>Real Estate</v>
      </c>
    </row>
    <row r="718" spans="1:28" x14ac:dyDescent="0.25">
      <c r="A718">
        <v>103430</v>
      </c>
      <c r="B718" t="s">
        <v>4618</v>
      </c>
      <c r="C718" t="s">
        <v>4621</v>
      </c>
      <c r="D718" t="s">
        <v>1282</v>
      </c>
      <c r="E718">
        <v>-20</v>
      </c>
      <c r="F718">
        <v>6500000</v>
      </c>
      <c r="G718">
        <v>6500000</v>
      </c>
      <c r="H718">
        <v>692589.12</v>
      </c>
      <c r="I718" t="s">
        <v>2494</v>
      </c>
      <c r="J718">
        <v>9114.0499999999993</v>
      </c>
      <c r="K718">
        <v>650000</v>
      </c>
      <c r="L718">
        <v>78000</v>
      </c>
      <c r="M718">
        <v>692589.12</v>
      </c>
      <c r="N718" s="143">
        <v>43029.572978738426</v>
      </c>
      <c r="O718" s="143">
        <v>43394</v>
      </c>
      <c r="P718" t="s">
        <v>4622</v>
      </c>
      <c r="Q718" t="s">
        <v>4623</v>
      </c>
      <c r="R718" t="s">
        <v>1280</v>
      </c>
      <c r="S718" t="s">
        <v>1510</v>
      </c>
      <c r="T718">
        <v>48</v>
      </c>
      <c r="U718">
        <f>IF(Table__192.168.1.150_M_CONSOLIDATED_Delinquency_Compulsory_EOM[[#This Row],[Days in Arrears]] &lt; 8, Table__192.168.1.150_M_CONSOLIDATED_Delinquency_Compulsory_EOM[[#This Row],[Outstanding Balance]], 0 )</f>
        <v>6500000</v>
      </c>
      <c r="V7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8" s="105" t="str">
        <f>VLOOKUP(Table__192.168.1.150_M_CONSOLIDATED_Delinquency_Compulsory_EOM[[#This Row],[Client No]],'Global Portfolio'!$B$2:$N$2500,10,FALSE)</f>
        <v>Retail</v>
      </c>
      <c r="AA718" s="105" t="str">
        <f>VLOOKUP(Table__192.168.1.150_M_CONSOLIDATED_Delinquency_Compulsory_EOM[[#This Row],[Client No]],'Global Portfolio'!$B$2:$N$2500,11,FALSE)</f>
        <v>General Merchandise Stores</v>
      </c>
      <c r="AB718" s="105" t="str">
        <f>VLOOKUP(Table__192.168.1.150_M_CONSOLIDATED_Delinquency_Compulsory_EOM[[#This Row],[Client No]],'Global Portfolio'!$B$2:$N$2500,12,FALSE)</f>
        <v>Others</v>
      </c>
    </row>
    <row r="719" spans="1:28" x14ac:dyDescent="0.25">
      <c r="A719">
        <v>103431</v>
      </c>
      <c r="B719" t="s">
        <v>4687</v>
      </c>
      <c r="C719" t="s">
        <v>4688</v>
      </c>
      <c r="D719" t="s">
        <v>1282</v>
      </c>
      <c r="E719">
        <v>-20</v>
      </c>
      <c r="F719">
        <v>3500000</v>
      </c>
      <c r="G719">
        <v>3500000</v>
      </c>
      <c r="H719">
        <v>372932.6</v>
      </c>
      <c r="I719" t="s">
        <v>1191</v>
      </c>
      <c r="J719">
        <v>9010.42</v>
      </c>
      <c r="K719">
        <v>350000</v>
      </c>
      <c r="L719">
        <v>42000</v>
      </c>
      <c r="M719">
        <v>372932.6</v>
      </c>
      <c r="N719" s="143">
        <v>43029.566491585647</v>
      </c>
      <c r="O719" s="143">
        <v>43394</v>
      </c>
      <c r="P719" t="s">
        <v>4689</v>
      </c>
      <c r="Q719" t="s">
        <v>4690</v>
      </c>
      <c r="R719" t="s">
        <v>1280</v>
      </c>
      <c r="S719" t="s">
        <v>1510</v>
      </c>
      <c r="T719">
        <v>48</v>
      </c>
      <c r="U719">
        <f>IF(Table__192.168.1.150_M_CONSOLIDATED_Delinquency_Compulsory_EOM[[#This Row],[Days in Arrears]] &lt; 8, Table__192.168.1.150_M_CONSOLIDATED_Delinquency_Compulsory_EOM[[#This Row],[Outstanding Balance]], 0 )</f>
        <v>3500000</v>
      </c>
      <c r="V7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19" s="105" t="str">
        <f>VLOOKUP(Table__192.168.1.150_M_CONSOLIDATED_Delinquency_Compulsory_EOM[[#This Row],[Client No]],'Global Portfolio'!$B$2:$N$2500,10,FALSE)</f>
        <v>Retail</v>
      </c>
      <c r="AA719" s="105" t="str">
        <f>VLOOKUP(Table__192.168.1.150_M_CONSOLIDATED_Delinquency_Compulsory_EOM[[#This Row],[Client No]],'Global Portfolio'!$B$2:$N$2500,11,FALSE)</f>
        <v>General Merchandise Stores</v>
      </c>
      <c r="AB719" s="105" t="str">
        <f>VLOOKUP(Table__192.168.1.150_M_CONSOLIDATED_Delinquency_Compulsory_EOM[[#This Row],[Client No]],'Global Portfolio'!$B$2:$N$2500,12,FALSE)</f>
        <v>General Stores</v>
      </c>
    </row>
    <row r="720" spans="1:28" x14ac:dyDescent="0.25">
      <c r="A720">
        <v>103432</v>
      </c>
      <c r="B720" t="s">
        <v>5896</v>
      </c>
      <c r="C720" t="s">
        <v>5897</v>
      </c>
      <c r="D720" t="s">
        <v>1282</v>
      </c>
      <c r="E720">
        <v>-22</v>
      </c>
      <c r="F720">
        <v>2500000</v>
      </c>
      <c r="G720">
        <v>2500000</v>
      </c>
      <c r="H720">
        <v>315947.05</v>
      </c>
      <c r="I720" t="s">
        <v>3074</v>
      </c>
      <c r="J720">
        <v>9000</v>
      </c>
      <c r="K720">
        <v>250000</v>
      </c>
      <c r="L720">
        <v>26250</v>
      </c>
      <c r="M720">
        <v>315947.05</v>
      </c>
      <c r="N720" s="143">
        <v>43031.460546030095</v>
      </c>
      <c r="O720" s="143">
        <v>43335</v>
      </c>
      <c r="P720" t="s">
        <v>5898</v>
      </c>
      <c r="Q720" t="s">
        <v>5899</v>
      </c>
      <c r="R720" t="s">
        <v>1280</v>
      </c>
      <c r="S720" t="s">
        <v>1510</v>
      </c>
      <c r="T720">
        <v>54</v>
      </c>
      <c r="U720">
        <f>IF(Table__192.168.1.150_M_CONSOLIDATED_Delinquency_Compulsory_EOM[[#This Row],[Days in Arrears]] &lt; 8, Table__192.168.1.150_M_CONSOLIDATED_Delinquency_Compulsory_EOM[[#This Row],[Outstanding Balance]], 0 )</f>
        <v>2500000</v>
      </c>
      <c r="V7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0" s="105" t="str">
        <f>VLOOKUP(Table__192.168.1.150_M_CONSOLIDATED_Delinquency_Compulsory_EOM[[#This Row],[Client No]],'Global Portfolio'!$B$2:$N$2500,10,FALSE)</f>
        <v>Restaurants and Hotels</v>
      </c>
      <c r="AA720" s="105" t="str">
        <f>VLOOKUP(Table__192.168.1.150_M_CONSOLIDATED_Delinquency_Compulsory_EOM[[#This Row],[Client No]],'Global Portfolio'!$B$2:$N$2500,11,FALSE)</f>
        <v>Restaurant</v>
      </c>
      <c r="AB720" s="105" t="str">
        <f>VLOOKUP(Table__192.168.1.150_M_CONSOLIDATED_Delinquency_Compulsory_EOM[[#This Row],[Client No]],'Global Portfolio'!$B$2:$N$2500,12,FALSE)</f>
        <v>Food  service contractors &amp; caterers</v>
      </c>
    </row>
    <row r="721" spans="1:28" x14ac:dyDescent="0.25">
      <c r="A721">
        <v>103433</v>
      </c>
      <c r="B721" t="s">
        <v>5890</v>
      </c>
      <c r="C721" t="s">
        <v>5900</v>
      </c>
      <c r="D721" t="s">
        <v>1282</v>
      </c>
      <c r="E721">
        <v>-22</v>
      </c>
      <c r="F721">
        <v>2500000</v>
      </c>
      <c r="G721">
        <v>2500000</v>
      </c>
      <c r="H721">
        <v>315947.05</v>
      </c>
      <c r="I721" t="s">
        <v>5124</v>
      </c>
      <c r="J721">
        <v>49000</v>
      </c>
      <c r="K721">
        <v>250000</v>
      </c>
      <c r="L721">
        <v>26250</v>
      </c>
      <c r="M721">
        <v>315947.05</v>
      </c>
      <c r="N721" s="143">
        <v>43031.583880555554</v>
      </c>
      <c r="O721" s="143">
        <v>43335</v>
      </c>
      <c r="P721" t="s">
        <v>5901</v>
      </c>
      <c r="Q721" t="s">
        <v>1280</v>
      </c>
      <c r="R721" t="s">
        <v>1280</v>
      </c>
      <c r="S721" t="s">
        <v>1510</v>
      </c>
      <c r="T721">
        <v>54</v>
      </c>
      <c r="U721">
        <f>IF(Table__192.168.1.150_M_CONSOLIDATED_Delinquency_Compulsory_EOM[[#This Row],[Days in Arrears]] &lt; 8, Table__192.168.1.150_M_CONSOLIDATED_Delinquency_Compulsory_EOM[[#This Row],[Outstanding Balance]], 0 )</f>
        <v>2500000</v>
      </c>
      <c r="V7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1" s="105" t="str">
        <f>VLOOKUP(Table__192.168.1.150_M_CONSOLIDATED_Delinquency_Compulsory_EOM[[#This Row],[Client No]],'Global Portfolio'!$B$2:$N$2500,10,FALSE)</f>
        <v>Retail</v>
      </c>
      <c r="AA721" s="105" t="str">
        <f>VLOOKUP(Table__192.168.1.150_M_CONSOLIDATED_Delinquency_Compulsory_EOM[[#This Row],[Client No]],'Global Portfolio'!$B$2:$N$2500,11,FALSE)</f>
        <v>General Merchandise Stores</v>
      </c>
      <c r="AB721" s="105" t="str">
        <f>VLOOKUP(Table__192.168.1.150_M_CONSOLIDATED_Delinquency_Compulsory_EOM[[#This Row],[Client No]],'Global Portfolio'!$B$2:$N$2500,12,FALSE)</f>
        <v>General Stores</v>
      </c>
    </row>
    <row r="722" spans="1:28" x14ac:dyDescent="0.25">
      <c r="A722">
        <v>103434</v>
      </c>
      <c r="B722" t="s">
        <v>5891</v>
      </c>
      <c r="C722" t="s">
        <v>5902</v>
      </c>
      <c r="D722" t="s">
        <v>1866</v>
      </c>
      <c r="E722">
        <v>-22</v>
      </c>
      <c r="F722">
        <v>6500000</v>
      </c>
      <c r="G722">
        <v>6500000</v>
      </c>
      <c r="H722">
        <v>699303.27</v>
      </c>
      <c r="I722" t="s">
        <v>2494</v>
      </c>
      <c r="J722">
        <v>18700</v>
      </c>
      <c r="K722">
        <v>650000</v>
      </c>
      <c r="L722">
        <v>63194.44</v>
      </c>
      <c r="M722">
        <v>699303.27</v>
      </c>
      <c r="N722" s="143">
        <v>43031.636988541664</v>
      </c>
      <c r="O722" s="143">
        <v>43396</v>
      </c>
      <c r="P722" t="s">
        <v>5903</v>
      </c>
      <c r="Q722" t="s">
        <v>1280</v>
      </c>
      <c r="R722" t="s">
        <v>1280</v>
      </c>
      <c r="S722" t="s">
        <v>1510</v>
      </c>
      <c r="T722">
        <v>50</v>
      </c>
      <c r="U722">
        <f>IF(Table__192.168.1.150_M_CONSOLIDATED_Delinquency_Compulsory_EOM[[#This Row],[Days in Arrears]] &lt; 8, Table__192.168.1.150_M_CONSOLIDATED_Delinquency_Compulsory_EOM[[#This Row],[Outstanding Balance]], 0 )</f>
        <v>6500000</v>
      </c>
      <c r="V7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2" s="105" t="str">
        <f>VLOOKUP(Table__192.168.1.150_M_CONSOLIDATED_Delinquency_Compulsory_EOM[[#This Row],[Client No]],'Global Portfolio'!$B$2:$N$2500,10,FALSE)</f>
        <v>Retail</v>
      </c>
      <c r="AA722" s="105" t="str">
        <f>VLOOKUP(Table__192.168.1.150_M_CONSOLIDATED_Delinquency_Compulsory_EOM[[#This Row],[Client No]],'Global Portfolio'!$B$2:$N$2500,11,FALSE)</f>
        <v>General Merchandise Stores</v>
      </c>
      <c r="AB722" s="105" t="str">
        <f>VLOOKUP(Table__192.168.1.150_M_CONSOLIDATED_Delinquency_Compulsory_EOM[[#This Row],[Client No]],'Global Portfolio'!$B$2:$N$2500,12,FALSE)</f>
        <v>General Stores</v>
      </c>
    </row>
    <row r="723" spans="1:28" x14ac:dyDescent="0.25">
      <c r="A723">
        <v>103435</v>
      </c>
      <c r="B723" t="s">
        <v>5892</v>
      </c>
      <c r="C723" t="s">
        <v>5904</v>
      </c>
      <c r="D723" t="s">
        <v>1281</v>
      </c>
      <c r="E723">
        <v>-22</v>
      </c>
      <c r="F723">
        <v>28000000</v>
      </c>
      <c r="G723">
        <v>28000000</v>
      </c>
      <c r="H723">
        <v>5341333.2699999996</v>
      </c>
      <c r="I723" t="s">
        <v>2861</v>
      </c>
      <c r="J723">
        <v>544000</v>
      </c>
      <c r="K723">
        <v>210000</v>
      </c>
      <c r="L723">
        <v>261333.33</v>
      </c>
      <c r="M723">
        <v>5341333.2699999996</v>
      </c>
      <c r="N723" s="143">
        <v>43031.669717395831</v>
      </c>
      <c r="O723" s="143">
        <v>43213</v>
      </c>
      <c r="P723" t="s">
        <v>5905</v>
      </c>
      <c r="Q723" t="s">
        <v>1280</v>
      </c>
      <c r="R723" t="s">
        <v>1280</v>
      </c>
      <c r="S723" t="s">
        <v>1510</v>
      </c>
      <c r="T723">
        <v>48</v>
      </c>
      <c r="U723">
        <f>IF(Table__192.168.1.150_M_CONSOLIDATED_Delinquency_Compulsory_EOM[[#This Row],[Days in Arrears]] &lt; 8, Table__192.168.1.150_M_CONSOLIDATED_Delinquency_Compulsory_EOM[[#This Row],[Outstanding Balance]], 0 )</f>
        <v>28000000</v>
      </c>
      <c r="V7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3" s="105" t="str">
        <f>VLOOKUP(Table__192.168.1.150_M_CONSOLIDATED_Delinquency_Compulsory_EOM[[#This Row],[Client No]],'Global Portfolio'!$B$2:$N$2500,10,FALSE)</f>
        <v>Retail</v>
      </c>
      <c r="AA723" s="105" t="str">
        <f>VLOOKUP(Table__192.168.1.150_M_CONSOLIDATED_Delinquency_Compulsory_EOM[[#This Row],[Client No]],'Global Portfolio'!$B$2:$N$2500,11,FALSE)</f>
        <v>General Merchandise Stores</v>
      </c>
      <c r="AB723" s="105" t="str">
        <f>VLOOKUP(Table__192.168.1.150_M_CONSOLIDATED_Delinquency_Compulsory_EOM[[#This Row],[Client No]],'Global Portfolio'!$B$2:$N$2500,12,FALSE)</f>
        <v>General Stores</v>
      </c>
    </row>
    <row r="724" spans="1:28" x14ac:dyDescent="0.25">
      <c r="A724">
        <v>103436</v>
      </c>
      <c r="B724" t="s">
        <v>5889</v>
      </c>
      <c r="C724" t="s">
        <v>5906</v>
      </c>
      <c r="D724" t="s">
        <v>1281</v>
      </c>
      <c r="E724">
        <v>-22</v>
      </c>
      <c r="F724">
        <v>18000000</v>
      </c>
      <c r="G724">
        <v>18000000</v>
      </c>
      <c r="H724">
        <v>1862711.09</v>
      </c>
      <c r="I724" t="s">
        <v>468</v>
      </c>
      <c r="J724">
        <v>9532</v>
      </c>
      <c r="K724">
        <v>1350000</v>
      </c>
      <c r="L724">
        <v>147000</v>
      </c>
      <c r="M724">
        <v>1862711.09</v>
      </c>
      <c r="N724" s="143">
        <v>43031.534003009256</v>
      </c>
      <c r="O724" s="143">
        <v>43396</v>
      </c>
      <c r="P724" t="s">
        <v>5907</v>
      </c>
      <c r="Q724" t="s">
        <v>5908</v>
      </c>
      <c r="R724" t="s">
        <v>1280</v>
      </c>
      <c r="S724" t="s">
        <v>1510</v>
      </c>
      <c r="T724">
        <v>42</v>
      </c>
      <c r="U724">
        <f>IF(Table__192.168.1.150_M_CONSOLIDATED_Delinquency_Compulsory_EOM[[#This Row],[Days in Arrears]] &lt; 8, Table__192.168.1.150_M_CONSOLIDATED_Delinquency_Compulsory_EOM[[#This Row],[Outstanding Balance]], 0 )</f>
        <v>18000000</v>
      </c>
      <c r="V7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4" s="105" t="str">
        <f>VLOOKUP(Table__192.168.1.150_M_CONSOLIDATED_Delinquency_Compulsory_EOM[[#This Row],[Client No]],'Global Portfolio'!$B$2:$N$2500,10,FALSE)</f>
        <v>Retail</v>
      </c>
      <c r="AA724" s="105" t="str">
        <f>VLOOKUP(Table__192.168.1.150_M_CONSOLIDATED_Delinquency_Compulsory_EOM[[#This Row],[Client No]],'Global Portfolio'!$B$2:$N$2500,11,FALSE)</f>
        <v>Building Material and Garden Equipment</v>
      </c>
      <c r="AB724" s="105" t="str">
        <f>VLOOKUP(Table__192.168.1.150_M_CONSOLIDATED_Delinquency_Compulsory_EOM[[#This Row],[Client No]],'Global Portfolio'!$B$2:$N$2500,12,FALSE)</f>
        <v>Hardware Stores</v>
      </c>
    </row>
    <row r="725" spans="1:28" x14ac:dyDescent="0.25">
      <c r="A725">
        <v>103437</v>
      </c>
      <c r="B725" t="s">
        <v>5921</v>
      </c>
      <c r="C725" t="s">
        <v>5923</v>
      </c>
      <c r="D725" t="s">
        <v>1279</v>
      </c>
      <c r="E725">
        <v>-23</v>
      </c>
      <c r="F725">
        <v>4000000</v>
      </c>
      <c r="G725">
        <v>4000000</v>
      </c>
      <c r="H725">
        <v>493163.78</v>
      </c>
      <c r="I725" t="s">
        <v>86</v>
      </c>
      <c r="J725">
        <v>9000</v>
      </c>
      <c r="K725">
        <v>400000</v>
      </c>
      <c r="L725">
        <v>32000</v>
      </c>
      <c r="M725">
        <v>493163.78</v>
      </c>
      <c r="N725" s="143">
        <v>43032.714318715276</v>
      </c>
      <c r="O725" s="143">
        <v>43336</v>
      </c>
      <c r="P725" t="s">
        <v>5924</v>
      </c>
      <c r="Q725" t="s">
        <v>5925</v>
      </c>
      <c r="R725" t="s">
        <v>1280</v>
      </c>
      <c r="S725" t="s">
        <v>1510</v>
      </c>
      <c r="T725">
        <v>48</v>
      </c>
      <c r="U725">
        <f>IF(Table__192.168.1.150_M_CONSOLIDATED_Delinquency_Compulsory_EOM[[#This Row],[Days in Arrears]] &lt; 8, Table__192.168.1.150_M_CONSOLIDATED_Delinquency_Compulsory_EOM[[#This Row],[Outstanding Balance]], 0 )</f>
        <v>4000000</v>
      </c>
      <c r="V7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5" s="105" t="str">
        <f>VLOOKUP(Table__192.168.1.150_M_CONSOLIDATED_Delinquency_Compulsory_EOM[[#This Row],[Client No]],'Global Portfolio'!$B$2:$N$2500,10,FALSE)</f>
        <v>Retail</v>
      </c>
      <c r="AA725" s="105" t="str">
        <f>VLOOKUP(Table__192.168.1.150_M_CONSOLIDATED_Delinquency_Compulsory_EOM[[#This Row],[Client No]],'Global Portfolio'!$B$2:$N$2500,11,FALSE)</f>
        <v>General Merchandise Stores</v>
      </c>
      <c r="AB725" s="105" t="str">
        <f>VLOOKUP(Table__192.168.1.150_M_CONSOLIDATED_Delinquency_Compulsory_EOM[[#This Row],[Client No]],'Global Portfolio'!$B$2:$N$2500,12,FALSE)</f>
        <v>General Stores</v>
      </c>
    </row>
    <row r="726" spans="1:28" x14ac:dyDescent="0.25">
      <c r="A726">
        <v>103438</v>
      </c>
      <c r="B726" t="s">
        <v>2083</v>
      </c>
      <c r="C726" t="s">
        <v>2086</v>
      </c>
      <c r="D726" t="s">
        <v>1284</v>
      </c>
      <c r="E726">
        <v>-22</v>
      </c>
      <c r="F726">
        <v>10000000</v>
      </c>
      <c r="G726">
        <v>10000000</v>
      </c>
      <c r="H726">
        <v>1004620.85</v>
      </c>
      <c r="I726" t="s">
        <v>86</v>
      </c>
      <c r="J726">
        <v>12139.68</v>
      </c>
      <c r="K726">
        <v>500000</v>
      </c>
      <c r="L726">
        <v>70000</v>
      </c>
      <c r="M726">
        <v>1004620.85</v>
      </c>
      <c r="N726" s="143">
        <v>43031.701143020837</v>
      </c>
      <c r="O726" s="143">
        <v>43396</v>
      </c>
      <c r="P726" t="s">
        <v>2087</v>
      </c>
      <c r="Q726" t="s">
        <v>2088</v>
      </c>
      <c r="R726" t="s">
        <v>1280</v>
      </c>
      <c r="S726" t="s">
        <v>1510</v>
      </c>
      <c r="T726">
        <v>36</v>
      </c>
      <c r="U726">
        <f>IF(Table__192.168.1.150_M_CONSOLIDATED_Delinquency_Compulsory_EOM[[#This Row],[Days in Arrears]] &lt; 8, Table__192.168.1.150_M_CONSOLIDATED_Delinquency_Compulsory_EOM[[#This Row],[Outstanding Balance]], 0 )</f>
        <v>10000000</v>
      </c>
      <c r="V7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6" s="105" t="str">
        <f>VLOOKUP(Table__192.168.1.150_M_CONSOLIDATED_Delinquency_Compulsory_EOM[[#This Row],[Client No]],'Global Portfolio'!$B$2:$N$2500,10,FALSE)</f>
        <v>Retail</v>
      </c>
      <c r="AA726" s="105" t="str">
        <f>VLOOKUP(Table__192.168.1.150_M_CONSOLIDATED_Delinquency_Compulsory_EOM[[#This Row],[Client No]],'Global Portfolio'!$B$2:$N$2500,11,FALSE)</f>
        <v>General Merchandise Stores</v>
      </c>
      <c r="AB726" s="105" t="str">
        <f>VLOOKUP(Table__192.168.1.150_M_CONSOLIDATED_Delinquency_Compulsory_EOM[[#This Row],[Client No]],'Global Portfolio'!$B$2:$N$2500,12,FALSE)</f>
        <v>General Stores</v>
      </c>
    </row>
    <row r="727" spans="1:28" x14ac:dyDescent="0.25">
      <c r="A727">
        <v>103439</v>
      </c>
      <c r="B727" t="s">
        <v>972</v>
      </c>
      <c r="C727" t="s">
        <v>2167</v>
      </c>
      <c r="D727" t="s">
        <v>1282</v>
      </c>
      <c r="E727">
        <v>-31</v>
      </c>
      <c r="F727">
        <v>2500000</v>
      </c>
      <c r="G727">
        <v>2500000</v>
      </c>
      <c r="H727">
        <v>268088</v>
      </c>
      <c r="I727" t="s">
        <v>1191</v>
      </c>
      <c r="J727">
        <v>9000</v>
      </c>
      <c r="K727">
        <v>250000</v>
      </c>
      <c r="L727">
        <v>10000</v>
      </c>
      <c r="M727">
        <v>268088</v>
      </c>
      <c r="N727" s="143">
        <v>43035.715470289353</v>
      </c>
      <c r="O727" s="143">
        <v>43406</v>
      </c>
      <c r="P727" t="s">
        <v>2168</v>
      </c>
      <c r="Q727" t="s">
        <v>1280</v>
      </c>
      <c r="R727" t="s">
        <v>1280</v>
      </c>
      <c r="S727" t="s">
        <v>1510</v>
      </c>
      <c r="T727">
        <v>48</v>
      </c>
      <c r="U727">
        <f>IF(Table__192.168.1.150_M_CONSOLIDATED_Delinquency_Compulsory_EOM[[#This Row],[Days in Arrears]] &lt; 8, Table__192.168.1.150_M_CONSOLIDATED_Delinquency_Compulsory_EOM[[#This Row],[Outstanding Balance]], 0 )</f>
        <v>2500000</v>
      </c>
      <c r="V7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7" s="105" t="str">
        <f>VLOOKUP(Table__192.168.1.150_M_CONSOLIDATED_Delinquency_Compulsory_EOM[[#This Row],[Client No]],'Global Portfolio'!$B$2:$N$2500,10,FALSE)</f>
        <v>Retail</v>
      </c>
      <c r="AA727" s="105" t="str">
        <f>VLOOKUP(Table__192.168.1.150_M_CONSOLIDATED_Delinquency_Compulsory_EOM[[#This Row],[Client No]],'Global Portfolio'!$B$2:$N$2500,11,FALSE)</f>
        <v>General Merchandise Stores</v>
      </c>
      <c r="AB727" s="105" t="str">
        <f>VLOOKUP(Table__192.168.1.150_M_CONSOLIDATED_Delinquency_Compulsory_EOM[[#This Row],[Client No]],'Global Portfolio'!$B$2:$N$2500,12,FALSE)</f>
        <v>General Stores</v>
      </c>
    </row>
    <row r="728" spans="1:28" x14ac:dyDescent="0.25">
      <c r="A728">
        <v>103440</v>
      </c>
      <c r="B728" t="s">
        <v>5918</v>
      </c>
      <c r="C728" t="s">
        <v>5926</v>
      </c>
      <c r="D728" t="s">
        <v>1282</v>
      </c>
      <c r="E728">
        <v>-23</v>
      </c>
      <c r="F728">
        <v>3500000</v>
      </c>
      <c r="G728">
        <v>3500000</v>
      </c>
      <c r="H728">
        <v>530633.79</v>
      </c>
      <c r="I728" t="s">
        <v>468</v>
      </c>
      <c r="J728">
        <v>9000</v>
      </c>
      <c r="K728">
        <v>350000</v>
      </c>
      <c r="L728">
        <v>31500</v>
      </c>
      <c r="M728">
        <v>530633.79</v>
      </c>
      <c r="N728" s="143">
        <v>43032.635776354167</v>
      </c>
      <c r="O728" s="143">
        <v>43275</v>
      </c>
      <c r="P728" t="s">
        <v>5927</v>
      </c>
      <c r="Q728" t="s">
        <v>5928</v>
      </c>
      <c r="R728" t="s">
        <v>1280</v>
      </c>
      <c r="S728" t="s">
        <v>1510</v>
      </c>
      <c r="T728">
        <v>54</v>
      </c>
      <c r="U728">
        <f>IF(Table__192.168.1.150_M_CONSOLIDATED_Delinquency_Compulsory_EOM[[#This Row],[Days in Arrears]] &lt; 8, Table__192.168.1.150_M_CONSOLIDATED_Delinquency_Compulsory_EOM[[#This Row],[Outstanding Balance]], 0 )</f>
        <v>3500000</v>
      </c>
      <c r="V7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8" s="105" t="str">
        <f>VLOOKUP(Table__192.168.1.150_M_CONSOLIDATED_Delinquency_Compulsory_EOM[[#This Row],[Client No]],'Global Portfolio'!$B$2:$N$2500,10,FALSE)</f>
        <v>Retail</v>
      </c>
      <c r="AA728" s="105" t="str">
        <f>VLOOKUP(Table__192.168.1.150_M_CONSOLIDATED_Delinquency_Compulsory_EOM[[#This Row],[Client No]],'Global Portfolio'!$B$2:$N$2500,11,FALSE)</f>
        <v>General Merchandise Stores</v>
      </c>
      <c r="AB728" s="105" t="str">
        <f>VLOOKUP(Table__192.168.1.150_M_CONSOLIDATED_Delinquency_Compulsory_EOM[[#This Row],[Client No]],'Global Portfolio'!$B$2:$N$2500,12,FALSE)</f>
        <v>General Stores</v>
      </c>
    </row>
    <row r="729" spans="1:28" x14ac:dyDescent="0.25">
      <c r="A729">
        <v>103441</v>
      </c>
      <c r="B729" t="s">
        <v>5917</v>
      </c>
      <c r="C729" t="s">
        <v>5929</v>
      </c>
      <c r="D729" t="s">
        <v>1279</v>
      </c>
      <c r="E729">
        <v>-23</v>
      </c>
      <c r="F729">
        <v>1800000</v>
      </c>
      <c r="G729">
        <v>1800000</v>
      </c>
      <c r="H729">
        <v>272897.38</v>
      </c>
      <c r="I729" t="s">
        <v>5385</v>
      </c>
      <c r="J729">
        <v>9840</v>
      </c>
      <c r="K729">
        <v>180000</v>
      </c>
      <c r="L729">
        <v>16200</v>
      </c>
      <c r="M729">
        <v>272897.38</v>
      </c>
      <c r="N729" s="143">
        <v>43032.747680057873</v>
      </c>
      <c r="O729" s="143">
        <v>43275</v>
      </c>
      <c r="P729" t="s">
        <v>5930</v>
      </c>
      <c r="Q729" t="s">
        <v>1280</v>
      </c>
      <c r="R729" t="s">
        <v>1280</v>
      </c>
      <c r="S729" t="s">
        <v>1510</v>
      </c>
      <c r="T729">
        <v>54</v>
      </c>
      <c r="U729">
        <f>IF(Table__192.168.1.150_M_CONSOLIDATED_Delinquency_Compulsory_EOM[[#This Row],[Days in Arrears]] &lt; 8, Table__192.168.1.150_M_CONSOLIDATED_Delinquency_Compulsory_EOM[[#This Row],[Outstanding Balance]], 0 )</f>
        <v>1800000</v>
      </c>
      <c r="V7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29" s="105" t="str">
        <f>VLOOKUP(Table__192.168.1.150_M_CONSOLIDATED_Delinquency_Compulsory_EOM[[#This Row],[Client No]],'Global Portfolio'!$B$2:$N$2500,10,FALSE)</f>
        <v>Retail</v>
      </c>
      <c r="AA729" s="105" t="str">
        <f>VLOOKUP(Table__192.168.1.150_M_CONSOLIDATED_Delinquency_Compulsory_EOM[[#This Row],[Client No]],'Global Portfolio'!$B$2:$N$2500,11,FALSE)</f>
        <v>Second Hand -Clothing and  Accessories</v>
      </c>
      <c r="AB729" s="105" t="str">
        <f>VLOOKUP(Table__192.168.1.150_M_CONSOLIDATED_Delinquency_Compulsory_EOM[[#This Row],[Client No]],'Global Portfolio'!$B$2:$N$2500,12,FALSE)</f>
        <v>Jewelry Stores</v>
      </c>
    </row>
    <row r="730" spans="1:28" x14ac:dyDescent="0.25">
      <c r="A730">
        <v>103442</v>
      </c>
      <c r="B730" t="s">
        <v>5943</v>
      </c>
      <c r="C730" t="s">
        <v>5945</v>
      </c>
      <c r="D730" t="s">
        <v>1281</v>
      </c>
      <c r="E730">
        <v>-24</v>
      </c>
      <c r="F730">
        <v>16000000</v>
      </c>
      <c r="G730">
        <v>16000000</v>
      </c>
      <c r="H730">
        <v>1923861.89</v>
      </c>
      <c r="I730" t="s">
        <v>1039</v>
      </c>
      <c r="J730">
        <v>2775897.77</v>
      </c>
      <c r="K730">
        <v>1200000</v>
      </c>
      <c r="L730">
        <v>93333.33</v>
      </c>
      <c r="M730">
        <v>1923861.89</v>
      </c>
      <c r="N730" s="143">
        <v>43033.586344363423</v>
      </c>
      <c r="O730" s="143">
        <v>43337</v>
      </c>
      <c r="P730" t="s">
        <v>5946</v>
      </c>
      <c r="Q730" t="s">
        <v>5947</v>
      </c>
      <c r="R730" t="s">
        <v>1280</v>
      </c>
      <c r="S730" t="s">
        <v>1510</v>
      </c>
      <c r="T730">
        <v>42</v>
      </c>
      <c r="U730">
        <f>IF(Table__192.168.1.150_M_CONSOLIDATED_Delinquency_Compulsory_EOM[[#This Row],[Days in Arrears]] &lt; 8, Table__192.168.1.150_M_CONSOLIDATED_Delinquency_Compulsory_EOM[[#This Row],[Outstanding Balance]], 0 )</f>
        <v>16000000</v>
      </c>
      <c r="V7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0" s="105" t="str">
        <f>VLOOKUP(Table__192.168.1.150_M_CONSOLIDATED_Delinquency_Compulsory_EOM[[#This Row],[Client No]],'Global Portfolio'!$B$2:$N$2500,10,FALSE)</f>
        <v>Retail</v>
      </c>
      <c r="AA730" s="105" t="str">
        <f>VLOOKUP(Table__192.168.1.150_M_CONSOLIDATED_Delinquency_Compulsory_EOM[[#This Row],[Client No]],'Global Portfolio'!$B$2:$N$2500,11,FALSE)</f>
        <v>General Merchandise Stores</v>
      </c>
      <c r="AB730" s="105" t="str">
        <f>VLOOKUP(Table__192.168.1.150_M_CONSOLIDATED_Delinquency_Compulsory_EOM[[#This Row],[Client No]],'Global Portfolio'!$B$2:$N$2500,12,FALSE)</f>
        <v>General Stores</v>
      </c>
    </row>
    <row r="731" spans="1:28" x14ac:dyDescent="0.25">
      <c r="A731">
        <v>103443</v>
      </c>
      <c r="B731" t="s">
        <v>4565</v>
      </c>
      <c r="C731" t="s">
        <v>4568</v>
      </c>
      <c r="D731" t="s">
        <v>1279</v>
      </c>
      <c r="E731">
        <v>-24</v>
      </c>
      <c r="F731">
        <v>1500000</v>
      </c>
      <c r="G731">
        <v>1500000</v>
      </c>
      <c r="H731">
        <v>285776</v>
      </c>
      <c r="I731" t="s">
        <v>2494</v>
      </c>
      <c r="J731">
        <v>0</v>
      </c>
      <c r="K731">
        <v>250000</v>
      </c>
      <c r="L731">
        <v>8000</v>
      </c>
      <c r="M731">
        <v>285776</v>
      </c>
      <c r="N731" s="143">
        <v>43034.504942395833</v>
      </c>
      <c r="O731" s="143">
        <v>43215</v>
      </c>
      <c r="P731" t="s">
        <v>4569</v>
      </c>
      <c r="Q731" t="s">
        <v>1280</v>
      </c>
      <c r="R731" t="s">
        <v>1280</v>
      </c>
      <c r="S731" t="s">
        <v>1510</v>
      </c>
      <c r="T731">
        <v>48</v>
      </c>
      <c r="U731">
        <f>IF(Table__192.168.1.150_M_CONSOLIDATED_Delinquency_Compulsory_EOM[[#This Row],[Days in Arrears]] &lt; 8, Table__192.168.1.150_M_CONSOLIDATED_Delinquency_Compulsory_EOM[[#This Row],[Outstanding Balance]], 0 )</f>
        <v>1500000</v>
      </c>
      <c r="V7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1" s="105" t="str">
        <f>VLOOKUP(Table__192.168.1.150_M_CONSOLIDATED_Delinquency_Compulsory_EOM[[#This Row],[Client No]],'Global Portfolio'!$B$2:$N$2500,10,FALSE)</f>
        <v>Retail</v>
      </c>
      <c r="AA731" s="105" t="str">
        <f>VLOOKUP(Table__192.168.1.150_M_CONSOLIDATED_Delinquency_Compulsory_EOM[[#This Row],[Client No]],'Global Portfolio'!$B$2:$N$2500,11,FALSE)</f>
        <v>General Merchandise Stores</v>
      </c>
      <c r="AB731" s="105" t="str">
        <f>VLOOKUP(Table__192.168.1.150_M_CONSOLIDATED_Delinquency_Compulsory_EOM[[#This Row],[Client No]],'Global Portfolio'!$B$2:$N$2500,12,FALSE)</f>
        <v>General Stores</v>
      </c>
    </row>
    <row r="732" spans="1:28" x14ac:dyDescent="0.25">
      <c r="A732">
        <v>103444</v>
      </c>
      <c r="B732" t="s">
        <v>1747</v>
      </c>
      <c r="C732" t="s">
        <v>1958</v>
      </c>
      <c r="D732" t="s">
        <v>1286</v>
      </c>
      <c r="E732">
        <v>-20</v>
      </c>
      <c r="F732">
        <v>4000000</v>
      </c>
      <c r="G732">
        <v>4000000</v>
      </c>
      <c r="H732">
        <v>714164.22</v>
      </c>
      <c r="I732" t="s">
        <v>284</v>
      </c>
      <c r="J732">
        <v>0</v>
      </c>
      <c r="K732">
        <v>0</v>
      </c>
      <c r="L732">
        <v>13888.89</v>
      </c>
      <c r="M732">
        <v>714164.22</v>
      </c>
      <c r="N732" s="143">
        <v>43033.706176122687</v>
      </c>
      <c r="O732" s="143">
        <v>43211</v>
      </c>
      <c r="P732" t="s">
        <v>1959</v>
      </c>
      <c r="Q732" t="s">
        <v>1280</v>
      </c>
      <c r="R732" t="s">
        <v>1280</v>
      </c>
      <c r="S732" t="s">
        <v>1510</v>
      </c>
      <c r="T732">
        <v>25</v>
      </c>
      <c r="U732">
        <f>IF(Table__192.168.1.150_M_CONSOLIDATED_Delinquency_Compulsory_EOM[[#This Row],[Days in Arrears]] &lt; 8, Table__192.168.1.150_M_CONSOLIDATED_Delinquency_Compulsory_EOM[[#This Row],[Outstanding Balance]], 0 )</f>
        <v>4000000</v>
      </c>
      <c r="V7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2" s="105" t="str">
        <f>VLOOKUP(Table__192.168.1.150_M_CONSOLIDATED_Delinquency_Compulsory_EOM[[#This Row],[Client No]],'Global Portfolio'!$B$2:$N$2500,10,FALSE)</f>
        <v>Other Services</v>
      </c>
      <c r="AA732" s="105" t="str">
        <f>VLOOKUP(Table__192.168.1.150_M_CONSOLIDATED_Delinquency_Compulsory_EOM[[#This Row],[Client No]],'Global Portfolio'!$B$2:$N$2500,11,FALSE)</f>
        <v>Others</v>
      </c>
      <c r="AB732" s="105" t="str">
        <f>VLOOKUP(Table__192.168.1.150_M_CONSOLIDATED_Delinquency_Compulsory_EOM[[#This Row],[Client No]],'Global Portfolio'!$B$2:$N$2500,12,FALSE)</f>
        <v>Others</v>
      </c>
    </row>
    <row r="733" spans="1:28" x14ac:dyDescent="0.25">
      <c r="A733">
        <v>103445</v>
      </c>
      <c r="B733" t="s">
        <v>5957</v>
      </c>
      <c r="C733" t="s">
        <v>5960</v>
      </c>
      <c r="D733" t="s">
        <v>1282</v>
      </c>
      <c r="E733">
        <v>-31</v>
      </c>
      <c r="F733">
        <v>9000000</v>
      </c>
      <c r="G733">
        <v>9000000</v>
      </c>
      <c r="H733">
        <v>994079.4</v>
      </c>
      <c r="I733" t="s">
        <v>468</v>
      </c>
      <c r="J733">
        <v>13000</v>
      </c>
      <c r="K733">
        <v>900000</v>
      </c>
      <c r="L733">
        <v>40500</v>
      </c>
      <c r="M733">
        <v>994079.4</v>
      </c>
      <c r="N733" s="143">
        <v>43035.561631793978</v>
      </c>
      <c r="O733" s="143">
        <v>43406</v>
      </c>
      <c r="P733" t="s">
        <v>5961</v>
      </c>
      <c r="Q733" t="s">
        <v>5962</v>
      </c>
      <c r="R733" t="s">
        <v>1280</v>
      </c>
      <c r="S733" t="s">
        <v>1510</v>
      </c>
      <c r="T733">
        <v>54</v>
      </c>
      <c r="U733">
        <f>IF(Table__192.168.1.150_M_CONSOLIDATED_Delinquency_Compulsory_EOM[[#This Row],[Days in Arrears]] &lt; 8, Table__192.168.1.150_M_CONSOLIDATED_Delinquency_Compulsory_EOM[[#This Row],[Outstanding Balance]], 0 )</f>
        <v>9000000</v>
      </c>
      <c r="V7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3" s="105" t="str">
        <f>VLOOKUP(Table__192.168.1.150_M_CONSOLIDATED_Delinquency_Compulsory_EOM[[#This Row],[Client No]],'Global Portfolio'!$B$2:$N$2500,10,FALSE)</f>
        <v>Restaurants and Hotels</v>
      </c>
      <c r="AA733" s="105" t="str">
        <f>VLOOKUP(Table__192.168.1.150_M_CONSOLIDATED_Delinquency_Compulsory_EOM[[#This Row],[Client No]],'Global Portfolio'!$B$2:$N$2500,11,FALSE)</f>
        <v>Restaurant</v>
      </c>
      <c r="AB733" s="105" t="str">
        <f>VLOOKUP(Table__192.168.1.150_M_CONSOLIDATED_Delinquency_Compulsory_EOM[[#This Row],[Client No]],'Global Portfolio'!$B$2:$N$2500,12,FALSE)</f>
        <v>Bar</v>
      </c>
    </row>
    <row r="734" spans="1:28" x14ac:dyDescent="0.25">
      <c r="A734">
        <v>103446</v>
      </c>
      <c r="B734" t="s">
        <v>5956</v>
      </c>
      <c r="C734" t="s">
        <v>5963</v>
      </c>
      <c r="D734" t="s">
        <v>1282</v>
      </c>
      <c r="E734">
        <v>-31</v>
      </c>
      <c r="F734">
        <v>3000000</v>
      </c>
      <c r="G734">
        <v>3000000</v>
      </c>
      <c r="H734">
        <v>381857.54</v>
      </c>
      <c r="I734" t="s">
        <v>5491</v>
      </c>
      <c r="J734">
        <v>0</v>
      </c>
      <c r="K734">
        <v>300000</v>
      </c>
      <c r="L734">
        <v>13500</v>
      </c>
      <c r="M734">
        <v>381857.54</v>
      </c>
      <c r="N734" s="143">
        <v>43035.696272719906</v>
      </c>
      <c r="O734" s="143">
        <v>43345</v>
      </c>
      <c r="P734" t="s">
        <v>5964</v>
      </c>
      <c r="Q734" t="s">
        <v>1280</v>
      </c>
      <c r="R734" t="s">
        <v>1280</v>
      </c>
      <c r="S734" t="s">
        <v>1510</v>
      </c>
      <c r="T734">
        <v>54</v>
      </c>
      <c r="U734">
        <f>IF(Table__192.168.1.150_M_CONSOLIDATED_Delinquency_Compulsory_EOM[[#This Row],[Days in Arrears]] &lt; 8, Table__192.168.1.150_M_CONSOLIDATED_Delinquency_Compulsory_EOM[[#This Row],[Outstanding Balance]], 0 )</f>
        <v>3000000</v>
      </c>
      <c r="V7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4" s="105" t="str">
        <f>VLOOKUP(Table__192.168.1.150_M_CONSOLIDATED_Delinquency_Compulsory_EOM[[#This Row],[Client No]],'Global Portfolio'!$B$2:$N$2500,10,FALSE)</f>
        <v>Real Estate and Rental</v>
      </c>
      <c r="AA734" s="105" t="str">
        <f>VLOOKUP(Table__192.168.1.150_M_CONSOLIDATED_Delinquency_Compulsory_EOM[[#This Row],[Client No]],'Global Portfolio'!$B$2:$N$2500,11,FALSE)</f>
        <v>Rental</v>
      </c>
      <c r="AB734" s="105" t="str">
        <f>VLOOKUP(Table__192.168.1.150_M_CONSOLIDATED_Delinquency_Compulsory_EOM[[#This Row],[Client No]],'Global Portfolio'!$B$2:$N$2500,12,FALSE)</f>
        <v>General Rental Centers</v>
      </c>
    </row>
    <row r="735" spans="1:28" x14ac:dyDescent="0.25">
      <c r="A735">
        <v>103447</v>
      </c>
      <c r="B735" t="s">
        <v>5972</v>
      </c>
      <c r="C735" t="s">
        <v>5975</v>
      </c>
      <c r="D735" t="s">
        <v>1282</v>
      </c>
      <c r="E735">
        <v>-31</v>
      </c>
      <c r="F735">
        <v>6000000</v>
      </c>
      <c r="G735">
        <v>6000000</v>
      </c>
      <c r="H735">
        <v>760449.79</v>
      </c>
      <c r="I735" t="s">
        <v>5352</v>
      </c>
      <c r="J735">
        <v>9000</v>
      </c>
      <c r="K735">
        <v>600000</v>
      </c>
      <c r="M735">
        <v>760449.79</v>
      </c>
      <c r="N735" s="143">
        <v>43039.617964895835</v>
      </c>
      <c r="O735" s="143">
        <v>43345</v>
      </c>
      <c r="P735" t="s">
        <v>5976</v>
      </c>
      <c r="Q735" t="s">
        <v>1280</v>
      </c>
      <c r="R735" t="s">
        <v>1280</v>
      </c>
      <c r="S735" t="s">
        <v>1510</v>
      </c>
      <c r="T735">
        <v>54</v>
      </c>
      <c r="U735">
        <f>IF(Table__192.168.1.150_M_CONSOLIDATED_Delinquency_Compulsory_EOM[[#This Row],[Days in Arrears]] &lt; 8, Table__192.168.1.150_M_CONSOLIDATED_Delinquency_Compulsory_EOM[[#This Row],[Outstanding Balance]], 0 )</f>
        <v>6000000</v>
      </c>
      <c r="V7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5" s="105" t="str">
        <f>VLOOKUP(Table__192.168.1.150_M_CONSOLIDATED_Delinquency_Compulsory_EOM[[#This Row],[Client No]],'Global Portfolio'!$B$2:$N$2500,10,FALSE)</f>
        <v>Retail</v>
      </c>
      <c r="AA735" s="105" t="str">
        <f>VLOOKUP(Table__192.168.1.150_M_CONSOLIDATED_Delinquency_Compulsory_EOM[[#This Row],[Client No]],'Global Portfolio'!$B$2:$N$2500,11,FALSE)</f>
        <v>General Merchandise Stores</v>
      </c>
      <c r="AB735" s="105" t="str">
        <f>VLOOKUP(Table__192.168.1.150_M_CONSOLIDATED_Delinquency_Compulsory_EOM[[#This Row],[Client No]],'Global Portfolio'!$B$2:$N$2500,12,FALSE)</f>
        <v>General Stores</v>
      </c>
    </row>
    <row r="736" spans="1:28" x14ac:dyDescent="0.25">
      <c r="A736">
        <v>103449</v>
      </c>
      <c r="B736" t="s">
        <v>4465</v>
      </c>
      <c r="C736" t="s">
        <v>4466</v>
      </c>
      <c r="D736" t="s">
        <v>1279</v>
      </c>
      <c r="E736">
        <v>-31</v>
      </c>
      <c r="F736">
        <v>2000000</v>
      </c>
      <c r="G736">
        <v>2000000</v>
      </c>
      <c r="H736">
        <v>247214.15</v>
      </c>
      <c r="I736" t="s">
        <v>5124</v>
      </c>
      <c r="J736">
        <v>9942.01</v>
      </c>
      <c r="K736">
        <v>200000</v>
      </c>
      <c r="M736">
        <v>247214.15</v>
      </c>
      <c r="N736" s="143">
        <v>43039.540177314811</v>
      </c>
      <c r="O736" s="143">
        <v>43345</v>
      </c>
      <c r="P736" t="s">
        <v>4467</v>
      </c>
      <c r="Q736" t="s">
        <v>1280</v>
      </c>
      <c r="R736" t="s">
        <v>1280</v>
      </c>
      <c r="S736" t="s">
        <v>1510</v>
      </c>
      <c r="T736">
        <v>48</v>
      </c>
      <c r="U736">
        <f>IF(Table__192.168.1.150_M_CONSOLIDATED_Delinquency_Compulsory_EOM[[#This Row],[Days in Arrears]] &lt; 8, Table__192.168.1.150_M_CONSOLIDATED_Delinquency_Compulsory_EOM[[#This Row],[Outstanding Balance]], 0 )</f>
        <v>2000000</v>
      </c>
      <c r="V7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6" s="105" t="str">
        <f>VLOOKUP(Table__192.168.1.150_M_CONSOLIDATED_Delinquency_Compulsory_EOM[[#This Row],[Client No]],'Global Portfolio'!$B$2:$N$2500,10,FALSE)</f>
        <v>Retail</v>
      </c>
      <c r="AA736" s="105" t="str">
        <f>VLOOKUP(Table__192.168.1.150_M_CONSOLIDATED_Delinquency_Compulsory_EOM[[#This Row],[Client No]],'Global Portfolio'!$B$2:$N$2500,11,FALSE)</f>
        <v>General Merchandise Stores</v>
      </c>
      <c r="AB736" s="105" t="str">
        <f>VLOOKUP(Table__192.168.1.150_M_CONSOLIDATED_Delinquency_Compulsory_EOM[[#This Row],[Client No]],'Global Portfolio'!$B$2:$N$2500,12,FALSE)</f>
        <v>Others</v>
      </c>
    </row>
    <row r="737" spans="1:28" x14ac:dyDescent="0.25">
      <c r="A737">
        <v>103450</v>
      </c>
      <c r="B737" t="s">
        <v>5968</v>
      </c>
      <c r="C737" t="s">
        <v>5977</v>
      </c>
      <c r="D737" t="s">
        <v>1282</v>
      </c>
      <c r="E737">
        <v>-31</v>
      </c>
      <c r="F737">
        <v>1200000</v>
      </c>
      <c r="G737">
        <v>1200000</v>
      </c>
      <c r="H737">
        <v>233321.97</v>
      </c>
      <c r="I737" t="s">
        <v>5124</v>
      </c>
      <c r="J737">
        <v>9000</v>
      </c>
      <c r="K737">
        <v>120000</v>
      </c>
      <c r="M737">
        <v>233321.97</v>
      </c>
      <c r="N737" s="143">
        <v>43039.546280127317</v>
      </c>
      <c r="O737" s="143">
        <v>43222</v>
      </c>
      <c r="P737" t="s">
        <v>5978</v>
      </c>
      <c r="Q737" t="s">
        <v>5979</v>
      </c>
      <c r="R737" t="s">
        <v>1280</v>
      </c>
      <c r="S737" t="s">
        <v>1510</v>
      </c>
      <c r="T737">
        <v>54</v>
      </c>
      <c r="U737">
        <f>IF(Table__192.168.1.150_M_CONSOLIDATED_Delinquency_Compulsory_EOM[[#This Row],[Days in Arrears]] &lt; 8, Table__192.168.1.150_M_CONSOLIDATED_Delinquency_Compulsory_EOM[[#This Row],[Outstanding Balance]], 0 )</f>
        <v>1200000</v>
      </c>
      <c r="V7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7" s="105" t="str">
        <f>VLOOKUP(Table__192.168.1.150_M_CONSOLIDATED_Delinquency_Compulsory_EOM[[#This Row],[Client No]],'Global Portfolio'!$B$2:$N$2500,10,FALSE)</f>
        <v>Retail</v>
      </c>
      <c r="AA737" s="105" t="str">
        <f>VLOOKUP(Table__192.168.1.150_M_CONSOLIDATED_Delinquency_Compulsory_EOM[[#This Row],[Client No]],'Global Portfolio'!$B$2:$N$2500,11,FALSE)</f>
        <v>General Merchandise Stores</v>
      </c>
      <c r="AB737" s="105" t="str">
        <f>VLOOKUP(Table__192.168.1.150_M_CONSOLIDATED_Delinquency_Compulsory_EOM[[#This Row],[Client No]],'Global Portfolio'!$B$2:$N$2500,12,FALSE)</f>
        <v>General Stores</v>
      </c>
    </row>
    <row r="738" spans="1:28" x14ac:dyDescent="0.25">
      <c r="A738">
        <v>103451</v>
      </c>
      <c r="B738" t="s">
        <v>5974</v>
      </c>
      <c r="C738" t="s">
        <v>5980</v>
      </c>
      <c r="D738" t="s">
        <v>1286</v>
      </c>
      <c r="E738">
        <v>-20</v>
      </c>
      <c r="F738">
        <v>1000000</v>
      </c>
      <c r="G738">
        <v>1000000</v>
      </c>
      <c r="H738">
        <v>261543.9</v>
      </c>
      <c r="I738" t="s">
        <v>284</v>
      </c>
      <c r="J738">
        <v>0</v>
      </c>
      <c r="K738">
        <v>0</v>
      </c>
      <c r="M738">
        <v>261543.9</v>
      </c>
      <c r="N738" s="143">
        <v>43039.655609571761</v>
      </c>
      <c r="O738" s="143">
        <v>43152</v>
      </c>
      <c r="P738" t="s">
        <v>5981</v>
      </c>
      <c r="Q738" t="s">
        <v>5982</v>
      </c>
      <c r="R738" t="s">
        <v>1280</v>
      </c>
      <c r="S738" t="s">
        <v>1510</v>
      </c>
      <c r="T738">
        <v>25</v>
      </c>
      <c r="U738">
        <f>IF(Table__192.168.1.150_M_CONSOLIDATED_Delinquency_Compulsory_EOM[[#This Row],[Days in Arrears]] &lt; 8, Table__192.168.1.150_M_CONSOLIDATED_Delinquency_Compulsory_EOM[[#This Row],[Outstanding Balance]], 0 )</f>
        <v>1000000</v>
      </c>
      <c r="V7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8" s="105" t="str">
        <f>VLOOKUP(Table__192.168.1.150_M_CONSOLIDATED_Delinquency_Compulsory_EOM[[#This Row],[Client No]],'Global Portfolio'!$B$2:$N$2500,10,FALSE)</f>
        <v>Other Services</v>
      </c>
      <c r="AA738" s="105" t="str">
        <f>VLOOKUP(Table__192.168.1.150_M_CONSOLIDATED_Delinquency_Compulsory_EOM[[#This Row],[Client No]],'Global Portfolio'!$B$2:$N$2500,11,FALSE)</f>
        <v>Others</v>
      </c>
      <c r="AB738" s="105" t="str">
        <f>VLOOKUP(Table__192.168.1.150_M_CONSOLIDATED_Delinquency_Compulsory_EOM[[#This Row],[Client No]],'Global Portfolio'!$B$2:$N$2500,12,FALSE)</f>
        <v>Others</v>
      </c>
    </row>
    <row r="739" spans="1:28" x14ac:dyDescent="0.25">
      <c r="A739">
        <v>200008</v>
      </c>
      <c r="B739" t="s">
        <v>1680</v>
      </c>
      <c r="C739" t="s">
        <v>1682</v>
      </c>
      <c r="D739" t="s">
        <v>1282</v>
      </c>
      <c r="E739">
        <v>9</v>
      </c>
      <c r="F739">
        <v>15000000</v>
      </c>
      <c r="G739">
        <v>2751142.53</v>
      </c>
      <c r="H739">
        <v>991370.18</v>
      </c>
      <c r="I739" t="s">
        <v>963</v>
      </c>
      <c r="J739">
        <v>0</v>
      </c>
      <c r="K739">
        <v>0</v>
      </c>
      <c r="L739">
        <v>89926.23</v>
      </c>
      <c r="M739">
        <v>2934046.37</v>
      </c>
      <c r="N739" s="711">
        <v>42354.515555821759</v>
      </c>
      <c r="O739" s="711">
        <v>43091</v>
      </c>
      <c r="P739" t="s">
        <v>1683</v>
      </c>
      <c r="Q739" t="s">
        <v>1684</v>
      </c>
      <c r="R739" t="s">
        <v>1280</v>
      </c>
      <c r="S739" t="s">
        <v>1510</v>
      </c>
      <c r="T739">
        <v>48</v>
      </c>
      <c r="U739">
        <f>IF(Table__192.168.1.150_M_CONSOLIDATED_Delinquency_Compulsory_EOM[[#This Row],[Days in Arrears]] &lt; 8, Table__192.168.1.150_M_CONSOLIDATED_Delinquency_Compulsory_EOM[[#This Row],[Outstanding Balance]], 0 )</f>
        <v>0</v>
      </c>
      <c r="V7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2751142.53</v>
      </c>
      <c r="W7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39" s="105" t="str">
        <f>VLOOKUP(Table__192.168.1.150_M_CONSOLIDATED_Delinquency_Compulsory_EOM[[#This Row],[Client No]],'Global Portfolio'!$B$2:$N$2500,10,FALSE)</f>
        <v>Transportation and Warehousing</v>
      </c>
      <c r="AA739" s="105" t="str">
        <f>VLOOKUP(Table__192.168.1.150_M_CONSOLIDATED_Delinquency_Compulsory_EOM[[#This Row],[Client No]],'Global Portfolio'!$B$2:$N$2500,11,FALSE)</f>
        <v xml:space="preserve"> Passenger Transportation</v>
      </c>
      <c r="AB739" s="105" t="str">
        <f>VLOOKUP(Table__192.168.1.150_M_CONSOLIDATED_Delinquency_Compulsory_EOM[[#This Row],[Client No]],'Global Portfolio'!$B$2:$N$2500,12,FALSE)</f>
        <v>Bus transportation</v>
      </c>
    </row>
    <row r="740" spans="1:28" x14ac:dyDescent="0.25">
      <c r="A740">
        <v>200035</v>
      </c>
      <c r="B740" t="s">
        <v>1698</v>
      </c>
      <c r="C740" t="s">
        <v>1699</v>
      </c>
      <c r="D740" t="s">
        <v>1284</v>
      </c>
      <c r="E740">
        <v>-4</v>
      </c>
      <c r="F740">
        <v>19789761.23</v>
      </c>
      <c r="G740">
        <v>11463343.02</v>
      </c>
      <c r="H740">
        <v>912606.46</v>
      </c>
      <c r="I740" t="s">
        <v>1467</v>
      </c>
      <c r="J740">
        <v>0</v>
      </c>
      <c r="K740">
        <v>1000000</v>
      </c>
      <c r="L740">
        <v>286583.58</v>
      </c>
      <c r="M740">
        <v>14601703.640000001</v>
      </c>
      <c r="N740" s="711">
        <v>42397.512360763889</v>
      </c>
      <c r="O740" s="711">
        <v>43501</v>
      </c>
      <c r="P740" t="s">
        <v>1700</v>
      </c>
      <c r="Q740" t="s">
        <v>1701</v>
      </c>
      <c r="R740" t="s">
        <v>1280</v>
      </c>
      <c r="S740" t="s">
        <v>1510</v>
      </c>
      <c r="T740">
        <v>36</v>
      </c>
      <c r="U740">
        <f>IF(Table__192.168.1.150_M_CONSOLIDATED_Delinquency_Compulsory_EOM[[#This Row],[Days in Arrears]] &lt; 8, Table__192.168.1.150_M_CONSOLIDATED_Delinquency_Compulsory_EOM[[#This Row],[Outstanding Balance]], 0 )</f>
        <v>11463343.02</v>
      </c>
      <c r="V7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0" s="105" t="str">
        <f>VLOOKUP(Table__192.168.1.150_M_CONSOLIDATED_Delinquency_Compulsory_EOM[[#This Row],[Client No]],'Global Portfolio'!$B$2:$N$2500,10,FALSE)</f>
        <v>Real Estate and Rental</v>
      </c>
      <c r="AA740" s="105" t="str">
        <f>VLOOKUP(Table__192.168.1.150_M_CONSOLIDATED_Delinquency_Compulsory_EOM[[#This Row],[Client No]],'Global Portfolio'!$B$2:$N$2500,11,FALSE)</f>
        <v>Real Estate</v>
      </c>
      <c r="AB740" s="105" t="str">
        <f>VLOOKUP(Table__192.168.1.150_M_CONSOLIDATED_Delinquency_Compulsory_EOM[[#This Row],[Client No]],'Global Portfolio'!$B$2:$N$2500,12,FALSE)</f>
        <v>Others</v>
      </c>
    </row>
    <row r="741" spans="1:28" x14ac:dyDescent="0.25">
      <c r="A741">
        <v>200058</v>
      </c>
      <c r="B741" t="s">
        <v>1843</v>
      </c>
      <c r="C741" t="s">
        <v>1844</v>
      </c>
      <c r="D741" t="s">
        <v>1283</v>
      </c>
      <c r="E741">
        <v>-24</v>
      </c>
      <c r="F741">
        <v>35000000</v>
      </c>
      <c r="G741">
        <v>20137114.530000001</v>
      </c>
      <c r="H741">
        <v>1603132.8</v>
      </c>
      <c r="I741" t="s">
        <v>2855</v>
      </c>
      <c r="J741">
        <v>1132969</v>
      </c>
      <c r="K741">
        <v>3500000</v>
      </c>
      <c r="L741">
        <v>100685.57</v>
      </c>
      <c r="M741">
        <v>25650124.579999998</v>
      </c>
      <c r="N741" s="711">
        <v>42425.682359340281</v>
      </c>
      <c r="O741" s="711">
        <v>43521</v>
      </c>
      <c r="P741" t="s">
        <v>1845</v>
      </c>
      <c r="Q741" t="s">
        <v>1280</v>
      </c>
      <c r="R741" t="s">
        <v>1280</v>
      </c>
      <c r="S741" t="s">
        <v>1510</v>
      </c>
      <c r="T741">
        <v>36</v>
      </c>
      <c r="U741">
        <f>IF(Table__192.168.1.150_M_CONSOLIDATED_Delinquency_Compulsory_EOM[[#This Row],[Days in Arrears]] &lt; 8, Table__192.168.1.150_M_CONSOLIDATED_Delinquency_Compulsory_EOM[[#This Row],[Outstanding Balance]], 0 )</f>
        <v>20137114.530000001</v>
      </c>
      <c r="V7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1" s="105" t="str">
        <f>VLOOKUP(Table__192.168.1.150_M_CONSOLIDATED_Delinquency_Compulsory_EOM[[#This Row],[Client No]],'Global Portfolio'!$B$2:$N$2500,10,FALSE)</f>
        <v>Educational Services</v>
      </c>
      <c r="AA741" s="105" t="str">
        <f>VLOOKUP(Table__192.168.1.150_M_CONSOLIDATED_Delinquency_Compulsory_EOM[[#This Row],[Client No]],'Global Portfolio'!$B$2:$N$2500,11,FALSE)</f>
        <v>Educational Services</v>
      </c>
      <c r="AB741" s="105" t="str">
        <f>VLOOKUP(Table__192.168.1.150_M_CONSOLIDATED_Delinquency_Compulsory_EOM[[#This Row],[Client No]],'Global Portfolio'!$B$2:$N$2500,12,FALSE)</f>
        <v>Others</v>
      </c>
    </row>
    <row r="742" spans="1:28" x14ac:dyDescent="0.25">
      <c r="A742">
        <v>200071</v>
      </c>
      <c r="B742" t="s">
        <v>1863</v>
      </c>
      <c r="C742" t="s">
        <v>1864</v>
      </c>
      <c r="D742" t="s">
        <v>1284</v>
      </c>
      <c r="E742">
        <v>-11</v>
      </c>
      <c r="F742">
        <v>22000000</v>
      </c>
      <c r="G742">
        <v>13267280.039999999</v>
      </c>
      <c r="H742">
        <v>1007683.47</v>
      </c>
      <c r="I742" t="s">
        <v>491</v>
      </c>
      <c r="J742">
        <v>0</v>
      </c>
      <c r="K742">
        <v>1100000</v>
      </c>
      <c r="L742">
        <v>238811.04</v>
      </c>
      <c r="M742">
        <v>17130619.140000001</v>
      </c>
      <c r="N742" s="711">
        <v>42441.469613194444</v>
      </c>
      <c r="O742" s="711">
        <v>43536</v>
      </c>
      <c r="P742" t="s">
        <v>1865</v>
      </c>
      <c r="Q742" t="s">
        <v>1280</v>
      </c>
      <c r="R742" t="s">
        <v>1280</v>
      </c>
      <c r="S742" t="s">
        <v>1510</v>
      </c>
      <c r="T742">
        <v>36</v>
      </c>
      <c r="U742">
        <f>IF(Table__192.168.1.150_M_CONSOLIDATED_Delinquency_Compulsory_EOM[[#This Row],[Days in Arrears]] &lt; 8, Table__192.168.1.150_M_CONSOLIDATED_Delinquency_Compulsory_EOM[[#This Row],[Outstanding Balance]], 0 )</f>
        <v>13267280.039999999</v>
      </c>
      <c r="V7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2" s="105" t="str">
        <f>VLOOKUP(Table__192.168.1.150_M_CONSOLIDATED_Delinquency_Compulsory_EOM[[#This Row],[Client No]],'Global Portfolio'!$B$2:$N$2500,10,FALSE)</f>
        <v>Real Estate and Rental</v>
      </c>
      <c r="AA742" s="105" t="str">
        <f>VLOOKUP(Table__192.168.1.150_M_CONSOLIDATED_Delinquency_Compulsory_EOM[[#This Row],[Client No]],'Global Portfolio'!$B$2:$N$2500,11,FALSE)</f>
        <v>Rental</v>
      </c>
      <c r="AB742" s="105" t="str">
        <f>VLOOKUP(Table__192.168.1.150_M_CONSOLIDATED_Delinquency_Compulsory_EOM[[#This Row],[Client No]],'Global Portfolio'!$B$2:$N$2500,12,FALSE)</f>
        <v>Others</v>
      </c>
    </row>
    <row r="743" spans="1:28" x14ac:dyDescent="0.25">
      <c r="A743">
        <v>200081</v>
      </c>
      <c r="B743" t="s">
        <v>1896</v>
      </c>
      <c r="C743" t="s">
        <v>1897</v>
      </c>
      <c r="D743" t="s">
        <v>1284</v>
      </c>
      <c r="E743">
        <v>0</v>
      </c>
      <c r="F743">
        <v>47000000</v>
      </c>
      <c r="G743">
        <v>30273016.640000001</v>
      </c>
      <c r="H743">
        <v>2263608.46</v>
      </c>
      <c r="I743" t="s">
        <v>546</v>
      </c>
      <c r="J743">
        <v>39465.040000000001</v>
      </c>
      <c r="K743">
        <v>2350000</v>
      </c>
      <c r="L743">
        <v>975463.87</v>
      </c>
      <c r="M743">
        <v>40744952.590000004</v>
      </c>
      <c r="N743" s="711">
        <v>42459.710820219909</v>
      </c>
      <c r="O743" s="711">
        <v>43556</v>
      </c>
      <c r="P743" t="s">
        <v>1898</v>
      </c>
      <c r="Q743" t="s">
        <v>1280</v>
      </c>
      <c r="R743" t="s">
        <v>1280</v>
      </c>
      <c r="S743" t="s">
        <v>1510</v>
      </c>
      <c r="T743">
        <v>40</v>
      </c>
      <c r="U743">
        <f>IF(Table__192.168.1.150_M_CONSOLIDATED_Delinquency_Compulsory_EOM[[#This Row],[Days in Arrears]] &lt; 8, Table__192.168.1.150_M_CONSOLIDATED_Delinquency_Compulsory_EOM[[#This Row],[Outstanding Balance]], 0 )</f>
        <v>30273016.640000001</v>
      </c>
      <c r="V7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3" s="105" t="str">
        <f>VLOOKUP(Table__192.168.1.150_M_CONSOLIDATED_Delinquency_Compulsory_EOM[[#This Row],[Client No]],'Global Portfolio'!$B$2:$N$2500,10,FALSE)</f>
        <v>Wholesale Trade</v>
      </c>
      <c r="AA743" s="105" t="str">
        <f>VLOOKUP(Table__192.168.1.150_M_CONSOLIDATED_Delinquency_Compulsory_EOM[[#This Row],[Client No]],'Global Portfolio'!$B$2:$N$2500,11,FALSE)</f>
        <v>Nondurable Goods</v>
      </c>
      <c r="AB743" s="105" t="str">
        <f>VLOOKUP(Table__192.168.1.150_M_CONSOLIDATED_Delinquency_Compulsory_EOM[[#This Row],[Client No]],'Global Portfolio'!$B$2:$N$2500,12,FALSE)</f>
        <v>Drugs &amp; Druggists' Sundries</v>
      </c>
    </row>
    <row r="744" spans="1:28" x14ac:dyDescent="0.25">
      <c r="A744">
        <v>200089</v>
      </c>
      <c r="B744" t="s">
        <v>1910</v>
      </c>
      <c r="C744" t="s">
        <v>1911</v>
      </c>
      <c r="D744" t="s">
        <v>1284</v>
      </c>
      <c r="E744">
        <v>-4</v>
      </c>
      <c r="F744">
        <v>12000000</v>
      </c>
      <c r="G744">
        <v>3934015.46</v>
      </c>
      <c r="H744">
        <v>734252.83</v>
      </c>
      <c r="I744" t="s">
        <v>1467</v>
      </c>
      <c r="J744">
        <v>789199.06</v>
      </c>
      <c r="K744">
        <v>600000</v>
      </c>
      <c r="L744">
        <v>109278.21</v>
      </c>
      <c r="M744">
        <v>4405516.8600000003</v>
      </c>
      <c r="N744" s="711">
        <v>42465.41413449074</v>
      </c>
      <c r="O744" s="711">
        <v>43195</v>
      </c>
      <c r="P744" t="s">
        <v>1912</v>
      </c>
      <c r="Q744" t="s">
        <v>1280</v>
      </c>
      <c r="R744" t="s">
        <v>1280</v>
      </c>
      <c r="S744" t="s">
        <v>1510</v>
      </c>
      <c r="T744">
        <v>40</v>
      </c>
      <c r="U744">
        <f>IF(Table__192.168.1.150_M_CONSOLIDATED_Delinquency_Compulsory_EOM[[#This Row],[Days in Arrears]] &lt; 8, Table__192.168.1.150_M_CONSOLIDATED_Delinquency_Compulsory_EOM[[#This Row],[Outstanding Balance]], 0 )</f>
        <v>3934015.46</v>
      </c>
      <c r="V7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4" s="105" t="str">
        <f>VLOOKUP(Table__192.168.1.150_M_CONSOLIDATED_Delinquency_Compulsory_EOM[[#This Row],[Client No]],'Global Portfolio'!$B$2:$N$2500,10,FALSE)</f>
        <v>Real Estate and Rental</v>
      </c>
      <c r="AA744" s="105" t="str">
        <f>VLOOKUP(Table__192.168.1.150_M_CONSOLIDATED_Delinquency_Compulsory_EOM[[#This Row],[Client No]],'Global Portfolio'!$B$2:$N$2500,11,FALSE)</f>
        <v>Rental</v>
      </c>
      <c r="AB744" s="105" t="str">
        <f>VLOOKUP(Table__192.168.1.150_M_CONSOLIDATED_Delinquency_Compulsory_EOM[[#This Row],[Client No]],'Global Portfolio'!$B$2:$N$2500,12,FALSE)</f>
        <v>Others</v>
      </c>
    </row>
    <row r="745" spans="1:28" x14ac:dyDescent="0.25">
      <c r="A745">
        <v>200091</v>
      </c>
      <c r="B745" t="s">
        <v>1917</v>
      </c>
      <c r="C745" t="s">
        <v>1918</v>
      </c>
      <c r="D745" t="s">
        <v>1281</v>
      </c>
      <c r="E745">
        <v>-7</v>
      </c>
      <c r="F745">
        <v>15500000</v>
      </c>
      <c r="G745">
        <v>5329134.6500000004</v>
      </c>
      <c r="H745">
        <v>1016595.89</v>
      </c>
      <c r="I745" t="s">
        <v>1925</v>
      </c>
      <c r="J745">
        <v>0</v>
      </c>
      <c r="K745">
        <v>1162500</v>
      </c>
      <c r="L745">
        <v>156321.28</v>
      </c>
      <c r="M745">
        <v>6099575.1900000004</v>
      </c>
      <c r="N745" s="711">
        <v>42468.666712418984</v>
      </c>
      <c r="O745" s="711">
        <v>43198</v>
      </c>
      <c r="P745" t="s">
        <v>1919</v>
      </c>
      <c r="Q745" t="s">
        <v>1280</v>
      </c>
      <c r="R745" t="s">
        <v>1920</v>
      </c>
      <c r="S745" t="s">
        <v>1510</v>
      </c>
      <c r="T745">
        <v>48</v>
      </c>
      <c r="U745">
        <f>IF(Table__192.168.1.150_M_CONSOLIDATED_Delinquency_Compulsory_EOM[[#This Row],[Days in Arrears]] &lt; 8, Table__192.168.1.150_M_CONSOLIDATED_Delinquency_Compulsory_EOM[[#This Row],[Outstanding Balance]], 0 )</f>
        <v>5329134.6500000004</v>
      </c>
      <c r="V7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5" s="105" t="str">
        <f>VLOOKUP(Table__192.168.1.150_M_CONSOLIDATED_Delinquency_Compulsory_EOM[[#This Row],[Client No]],'Global Portfolio'!$B$2:$N$2500,10,FALSE)</f>
        <v>Transportation and Warehousing</v>
      </c>
      <c r="AA745" s="105" t="str">
        <f>VLOOKUP(Table__192.168.1.150_M_CONSOLIDATED_Delinquency_Compulsory_EOM[[#This Row],[Client No]],'Global Portfolio'!$B$2:$N$2500,11,FALSE)</f>
        <v>Warehousing and Storage</v>
      </c>
      <c r="AB745" s="105" t="str">
        <f>VLOOKUP(Table__192.168.1.150_M_CONSOLIDATED_Delinquency_Compulsory_EOM[[#This Row],[Client No]],'Global Portfolio'!$B$2:$N$2500,12,FALSE)</f>
        <v>Warehousing and Storage</v>
      </c>
    </row>
    <row r="746" spans="1:28" x14ac:dyDescent="0.25">
      <c r="A746">
        <v>200098</v>
      </c>
      <c r="B746" t="s">
        <v>1934</v>
      </c>
      <c r="C746" t="s">
        <v>1935</v>
      </c>
      <c r="D746" t="s">
        <v>1281</v>
      </c>
      <c r="E746">
        <v>-24</v>
      </c>
      <c r="F746">
        <v>25000000</v>
      </c>
      <c r="G746">
        <v>16845060.75</v>
      </c>
      <c r="H746">
        <v>1330647.4099999999</v>
      </c>
      <c r="I746" t="s">
        <v>90</v>
      </c>
      <c r="J746">
        <v>3112967.48</v>
      </c>
      <c r="K746">
        <v>0</v>
      </c>
      <c r="L746">
        <v>112300.41</v>
      </c>
      <c r="M746">
        <v>23951653.420000002</v>
      </c>
      <c r="N746" s="711">
        <v>42480.684143020837</v>
      </c>
      <c r="O746" s="711">
        <v>43580</v>
      </c>
      <c r="P746" t="s">
        <v>1936</v>
      </c>
      <c r="Q746" t="s">
        <v>1280</v>
      </c>
      <c r="R746" t="s">
        <v>1280</v>
      </c>
      <c r="S746" t="s">
        <v>1510</v>
      </c>
      <c r="T746">
        <v>48</v>
      </c>
      <c r="U746">
        <f>IF(Table__192.168.1.150_M_CONSOLIDATED_Delinquency_Compulsory_EOM[[#This Row],[Days in Arrears]] &lt; 8, Table__192.168.1.150_M_CONSOLIDATED_Delinquency_Compulsory_EOM[[#This Row],[Outstanding Balance]], 0 )</f>
        <v>16845060.75</v>
      </c>
      <c r="V7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6" s="105" t="str">
        <f>VLOOKUP(Table__192.168.1.150_M_CONSOLIDATED_Delinquency_Compulsory_EOM[[#This Row],[Client No]],'Global Portfolio'!$B$2:$N$2500,10,FALSE)</f>
        <v>Retail</v>
      </c>
      <c r="AA746" s="105" t="str">
        <f>VLOOKUP(Table__192.168.1.150_M_CONSOLIDATED_Delinquency_Compulsory_EOM[[#This Row],[Client No]],'Global Portfolio'!$B$2:$N$2500,11,FALSE)</f>
        <v>Health and Personal Care Stores</v>
      </c>
      <c r="AB746" s="105" t="str">
        <f>VLOOKUP(Table__192.168.1.150_M_CONSOLIDATED_Delinquency_Compulsory_EOM[[#This Row],[Client No]],'Global Portfolio'!$B$2:$N$2500,12,FALSE)</f>
        <v>Others</v>
      </c>
    </row>
    <row r="747" spans="1:28" x14ac:dyDescent="0.25">
      <c r="A747">
        <v>200099</v>
      </c>
      <c r="B747" t="s">
        <v>1938</v>
      </c>
      <c r="C747" t="s">
        <v>1942</v>
      </c>
      <c r="D747" t="s">
        <v>1284</v>
      </c>
      <c r="E747">
        <v>-23</v>
      </c>
      <c r="F747">
        <v>20000000</v>
      </c>
      <c r="G747">
        <v>12909808.369999999</v>
      </c>
      <c r="H747">
        <v>965306.9</v>
      </c>
      <c r="I747" t="s">
        <v>2861</v>
      </c>
      <c r="J747">
        <v>0</v>
      </c>
      <c r="K747">
        <v>1000000</v>
      </c>
      <c r="L747">
        <v>86065.39</v>
      </c>
      <c r="M747">
        <v>17375524.010000002</v>
      </c>
      <c r="N747" s="711">
        <v>42481.548824652775</v>
      </c>
      <c r="O747" s="711">
        <v>43579</v>
      </c>
      <c r="P747" t="s">
        <v>1943</v>
      </c>
      <c r="Q747" t="s">
        <v>1280</v>
      </c>
      <c r="R747" t="s">
        <v>1280</v>
      </c>
      <c r="S747" t="s">
        <v>1510</v>
      </c>
      <c r="T747">
        <v>40</v>
      </c>
      <c r="U747">
        <f>IF(Table__192.168.1.150_M_CONSOLIDATED_Delinquency_Compulsory_EOM[[#This Row],[Days in Arrears]] &lt; 8, Table__192.168.1.150_M_CONSOLIDATED_Delinquency_Compulsory_EOM[[#This Row],[Outstanding Balance]], 0 )</f>
        <v>12909808.369999999</v>
      </c>
      <c r="V7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7" s="105" t="str">
        <f>VLOOKUP(Table__192.168.1.150_M_CONSOLIDATED_Delinquency_Compulsory_EOM[[#This Row],[Client No]],'Global Portfolio'!$B$2:$N$2500,10,FALSE)</f>
        <v>Retail</v>
      </c>
      <c r="AA747" s="105" t="str">
        <f>VLOOKUP(Table__192.168.1.150_M_CONSOLIDATED_Delinquency_Compulsory_EOM[[#This Row],[Client No]],'Global Portfolio'!$B$2:$N$2500,11,FALSE)</f>
        <v>General Merchandise Stores</v>
      </c>
      <c r="AB747" s="105" t="str">
        <f>VLOOKUP(Table__192.168.1.150_M_CONSOLIDATED_Delinquency_Compulsory_EOM[[#This Row],[Client No]],'Global Portfolio'!$B$2:$N$2500,12,FALSE)</f>
        <v>Others</v>
      </c>
    </row>
    <row r="748" spans="1:28" x14ac:dyDescent="0.25">
      <c r="A748">
        <v>200105</v>
      </c>
      <c r="B748" t="s">
        <v>1995</v>
      </c>
      <c r="C748" t="s">
        <v>1996</v>
      </c>
      <c r="D748" t="s">
        <v>1281</v>
      </c>
      <c r="E748">
        <v>-24</v>
      </c>
      <c r="F748">
        <v>25000000</v>
      </c>
      <c r="G748">
        <v>16737767.310000001</v>
      </c>
      <c r="H748">
        <v>1322171.95</v>
      </c>
      <c r="I748" t="s">
        <v>4684</v>
      </c>
      <c r="J748">
        <v>1887.65</v>
      </c>
      <c r="K748">
        <v>0</v>
      </c>
      <c r="L748">
        <v>125938.57</v>
      </c>
      <c r="M748">
        <v>23799094.969999999</v>
      </c>
      <c r="N748" s="711">
        <v>42485.720724270832</v>
      </c>
      <c r="O748" s="711">
        <v>43580</v>
      </c>
      <c r="P748" t="s">
        <v>1997</v>
      </c>
      <c r="Q748" t="s">
        <v>1280</v>
      </c>
      <c r="R748" t="s">
        <v>1998</v>
      </c>
      <c r="S748" t="s">
        <v>1510</v>
      </c>
      <c r="T748">
        <v>48</v>
      </c>
      <c r="U748">
        <f>IF(Table__192.168.1.150_M_CONSOLIDATED_Delinquency_Compulsory_EOM[[#This Row],[Days in Arrears]] &lt; 8, Table__192.168.1.150_M_CONSOLIDATED_Delinquency_Compulsory_EOM[[#This Row],[Outstanding Balance]], 0 )</f>
        <v>16737767.310000001</v>
      </c>
      <c r="V7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8" s="105" t="str">
        <f>VLOOKUP(Table__192.168.1.150_M_CONSOLIDATED_Delinquency_Compulsory_EOM[[#This Row],[Client No]],'Global Portfolio'!$B$2:$N$2500,10,FALSE)</f>
        <v>Real Estate and Rental</v>
      </c>
      <c r="AA748" s="105" t="str">
        <f>VLOOKUP(Table__192.168.1.150_M_CONSOLIDATED_Delinquency_Compulsory_EOM[[#This Row],[Client No]],'Global Portfolio'!$B$2:$N$2500,11,FALSE)</f>
        <v>Real Estate</v>
      </c>
      <c r="AB748" s="105" t="str">
        <f>VLOOKUP(Table__192.168.1.150_M_CONSOLIDATED_Delinquency_Compulsory_EOM[[#This Row],[Client No]],'Global Portfolio'!$B$2:$N$2500,12,FALSE)</f>
        <v>Real Estate</v>
      </c>
    </row>
    <row r="749" spans="1:28" x14ac:dyDescent="0.25">
      <c r="A749">
        <v>200107</v>
      </c>
      <c r="B749" t="s">
        <v>1705</v>
      </c>
      <c r="C749" t="s">
        <v>1906</v>
      </c>
      <c r="D749" t="s">
        <v>1285</v>
      </c>
      <c r="E749">
        <v>-20</v>
      </c>
      <c r="F749">
        <v>7900000</v>
      </c>
      <c r="G749">
        <v>4658815.1100000003</v>
      </c>
      <c r="H749">
        <v>313034.25</v>
      </c>
      <c r="I749" t="s">
        <v>284</v>
      </c>
      <c r="J749">
        <v>1440.28</v>
      </c>
      <c r="K749">
        <v>0</v>
      </c>
      <c r="L749">
        <v>29117.59</v>
      </c>
      <c r="M749">
        <v>5634616.4000000004</v>
      </c>
      <c r="N749" s="711">
        <v>42486.63441712963</v>
      </c>
      <c r="O749" s="711">
        <v>43576</v>
      </c>
      <c r="P749" t="s">
        <v>1907</v>
      </c>
      <c r="Q749" t="s">
        <v>1280</v>
      </c>
      <c r="R749" t="s">
        <v>1908</v>
      </c>
      <c r="S749" t="s">
        <v>1510</v>
      </c>
      <c r="T749">
        <v>25</v>
      </c>
      <c r="U749">
        <f>IF(Table__192.168.1.150_M_CONSOLIDATED_Delinquency_Compulsory_EOM[[#This Row],[Days in Arrears]] &lt; 8, Table__192.168.1.150_M_CONSOLIDATED_Delinquency_Compulsory_EOM[[#This Row],[Outstanding Balance]], 0 )</f>
        <v>4658815.1100000003</v>
      </c>
      <c r="V7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49" s="105" t="str">
        <f>VLOOKUP(Table__192.168.1.150_M_CONSOLIDATED_Delinquency_Compulsory_EOM[[#This Row],[Client No]],'Global Portfolio'!$B$2:$N$2500,10,FALSE)</f>
        <v>Real Estate and Rental</v>
      </c>
      <c r="AA749" s="105" t="str">
        <f>VLOOKUP(Table__192.168.1.150_M_CONSOLIDATED_Delinquency_Compulsory_EOM[[#This Row],[Client No]],'Global Portfolio'!$B$2:$N$2500,11,FALSE)</f>
        <v>Others</v>
      </c>
      <c r="AB749" s="105" t="str">
        <f>VLOOKUP(Table__192.168.1.150_M_CONSOLIDATED_Delinquency_Compulsory_EOM[[#This Row],[Client No]],'Global Portfolio'!$B$2:$N$2500,12,FALSE)</f>
        <v>Others</v>
      </c>
    </row>
    <row r="750" spans="1:28" x14ac:dyDescent="0.25">
      <c r="A750">
        <v>200111</v>
      </c>
      <c r="B750" t="s">
        <v>2005</v>
      </c>
      <c r="C750" t="s">
        <v>2006</v>
      </c>
      <c r="D750" t="s">
        <v>1283</v>
      </c>
      <c r="E750">
        <v>-4</v>
      </c>
      <c r="F750">
        <v>50000000</v>
      </c>
      <c r="G750">
        <v>18519114.02</v>
      </c>
      <c r="H750">
        <v>2972435.45</v>
      </c>
      <c r="I750" t="s">
        <v>2855</v>
      </c>
      <c r="J750">
        <v>0</v>
      </c>
      <c r="K750">
        <v>0</v>
      </c>
      <c r="L750">
        <v>462977.85</v>
      </c>
      <c r="M750">
        <v>20807048.27</v>
      </c>
      <c r="N750" s="711">
        <v>42488.544714965275</v>
      </c>
      <c r="O750" s="711">
        <v>43225</v>
      </c>
      <c r="P750" t="s">
        <v>1570</v>
      </c>
      <c r="Q750" t="s">
        <v>1280</v>
      </c>
      <c r="R750" t="s">
        <v>1280</v>
      </c>
      <c r="S750" t="s">
        <v>1510</v>
      </c>
      <c r="T750">
        <v>36</v>
      </c>
      <c r="U750">
        <f>IF(Table__192.168.1.150_M_CONSOLIDATED_Delinquency_Compulsory_EOM[[#This Row],[Days in Arrears]] &lt; 8, Table__192.168.1.150_M_CONSOLIDATED_Delinquency_Compulsory_EOM[[#This Row],[Outstanding Balance]], 0 )</f>
        <v>18519114.02</v>
      </c>
      <c r="V7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0" s="105" t="str">
        <f>VLOOKUP(Table__192.168.1.150_M_CONSOLIDATED_Delinquency_Compulsory_EOM[[#This Row],[Client No]],'Global Portfolio'!$B$2:$N$2500,10,FALSE)</f>
        <v>Wholesale Trade</v>
      </c>
      <c r="AA750" s="105" t="str">
        <f>VLOOKUP(Table__192.168.1.150_M_CONSOLIDATED_Delinquency_Compulsory_EOM[[#This Row],[Client No]],'Global Portfolio'!$B$2:$N$2500,11,FALSE)</f>
        <v>Durable Goods</v>
      </c>
      <c r="AB750" s="105" t="str">
        <f>VLOOKUP(Table__192.168.1.150_M_CONSOLIDATED_Delinquency_Compulsory_EOM[[#This Row],[Client No]],'Global Portfolio'!$B$2:$N$2500,12,FALSE)</f>
        <v>Hardware, &amp; Plumbing &amp; Heating Equipment</v>
      </c>
    </row>
    <row r="751" spans="1:28" x14ac:dyDescent="0.25">
      <c r="A751">
        <v>200119</v>
      </c>
      <c r="B751" t="s">
        <v>2017</v>
      </c>
      <c r="C751" t="s">
        <v>2018</v>
      </c>
      <c r="D751" t="s">
        <v>1283</v>
      </c>
      <c r="E751">
        <v>120</v>
      </c>
      <c r="F751">
        <v>50000000</v>
      </c>
      <c r="G751">
        <v>38300691.909999996</v>
      </c>
      <c r="H751">
        <v>2410680.6800000002</v>
      </c>
      <c r="I751" t="s">
        <v>1909</v>
      </c>
      <c r="J751">
        <v>0</v>
      </c>
      <c r="K751">
        <v>0</v>
      </c>
      <c r="L751">
        <v>1399540.56</v>
      </c>
      <c r="M751">
        <v>54370912.640000001</v>
      </c>
      <c r="N751" s="711">
        <v>42489.806193321761</v>
      </c>
      <c r="O751" s="711">
        <v>43586</v>
      </c>
      <c r="P751" t="s">
        <v>2019</v>
      </c>
      <c r="Q751" t="s">
        <v>1280</v>
      </c>
      <c r="R751" t="s">
        <v>1280</v>
      </c>
      <c r="S751" t="s">
        <v>1510</v>
      </c>
      <c r="T751">
        <v>40</v>
      </c>
      <c r="U751">
        <f>IF(Table__192.168.1.150_M_CONSOLIDATED_Delinquency_Compulsory_EOM[[#This Row],[Days in Arrears]] &lt; 8, Table__192.168.1.150_M_CONSOLIDATED_Delinquency_Compulsory_EOM[[#This Row],[Outstanding Balance]], 0 )</f>
        <v>0</v>
      </c>
      <c r="V7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38300691.909999996</v>
      </c>
      <c r="Z751" s="105" t="str">
        <f>VLOOKUP(Table__192.168.1.150_M_CONSOLIDATED_Delinquency_Compulsory_EOM[[#This Row],[Client No]],'Global Portfolio'!$B$2:$N$2500,10,FALSE)</f>
        <v>Retail</v>
      </c>
      <c r="AA751" s="105" t="str">
        <f>VLOOKUP(Table__192.168.1.150_M_CONSOLIDATED_Delinquency_Compulsory_EOM[[#This Row],[Client No]],'Global Portfolio'!$B$2:$N$2500,11,FALSE)</f>
        <v>General Merchandise Stores</v>
      </c>
      <c r="AB751" s="105" t="str">
        <f>VLOOKUP(Table__192.168.1.150_M_CONSOLIDATED_Delinquency_Compulsory_EOM[[#This Row],[Client No]],'Global Portfolio'!$B$2:$N$2500,12,FALSE)</f>
        <v>General Stores</v>
      </c>
    </row>
    <row r="752" spans="1:28" x14ac:dyDescent="0.25">
      <c r="A752">
        <v>200122</v>
      </c>
      <c r="B752" t="s">
        <v>2020</v>
      </c>
      <c r="C752" t="s">
        <v>2021</v>
      </c>
      <c r="D752" t="s">
        <v>1283</v>
      </c>
      <c r="E752">
        <v>-19</v>
      </c>
      <c r="F752">
        <v>50000000</v>
      </c>
      <c r="G752">
        <v>39061983.729999997</v>
      </c>
      <c r="H752">
        <v>2079735.32</v>
      </c>
      <c r="I752" t="s">
        <v>1447</v>
      </c>
      <c r="J752">
        <v>148188.09</v>
      </c>
      <c r="K752">
        <v>2500000</v>
      </c>
      <c r="L752">
        <v>434022.04</v>
      </c>
      <c r="M752">
        <v>62392059.240000002</v>
      </c>
      <c r="N752" s="711">
        <v>42490.746087997686</v>
      </c>
      <c r="O752" s="711">
        <v>43941</v>
      </c>
      <c r="P752" t="s">
        <v>2022</v>
      </c>
      <c r="Q752" t="s">
        <v>1280</v>
      </c>
      <c r="R752" t="s">
        <v>1280</v>
      </c>
      <c r="S752" t="s">
        <v>1510</v>
      </c>
      <c r="T752">
        <v>40</v>
      </c>
      <c r="U752">
        <f>IF(Table__192.168.1.150_M_CONSOLIDATED_Delinquency_Compulsory_EOM[[#This Row],[Days in Arrears]] &lt; 8, Table__192.168.1.150_M_CONSOLIDATED_Delinquency_Compulsory_EOM[[#This Row],[Outstanding Balance]], 0 )</f>
        <v>39061983.729999997</v>
      </c>
      <c r="V7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2" s="105" t="str">
        <f>VLOOKUP(Table__192.168.1.150_M_CONSOLIDATED_Delinquency_Compulsory_EOM[[#This Row],[Client No]],'Global Portfolio'!$B$2:$N$2500,10,FALSE)</f>
        <v>Educational Services</v>
      </c>
      <c r="AA752" s="105" t="str">
        <f>VLOOKUP(Table__192.168.1.150_M_CONSOLIDATED_Delinquency_Compulsory_EOM[[#This Row],[Client No]],'Global Portfolio'!$B$2:$N$2500,11,FALSE)</f>
        <v>Educational Services</v>
      </c>
      <c r="AB752" s="105" t="str">
        <f>VLOOKUP(Table__192.168.1.150_M_CONSOLIDATED_Delinquency_Compulsory_EOM[[#This Row],[Client No]],'Global Portfolio'!$B$2:$N$2500,12,FALSE)</f>
        <v>Schools</v>
      </c>
    </row>
    <row r="753" spans="1:28" x14ac:dyDescent="0.25">
      <c r="A753">
        <v>200123</v>
      </c>
      <c r="B753" t="s">
        <v>2023</v>
      </c>
      <c r="C753" t="s">
        <v>2024</v>
      </c>
      <c r="D753" t="s">
        <v>1282</v>
      </c>
      <c r="E753">
        <v>86</v>
      </c>
      <c r="F753">
        <v>10000000</v>
      </c>
      <c r="G753">
        <v>5259874.79</v>
      </c>
      <c r="H753">
        <v>694821.52</v>
      </c>
      <c r="I753" t="s">
        <v>5724</v>
      </c>
      <c r="J753">
        <v>0</v>
      </c>
      <c r="K753">
        <v>0</v>
      </c>
      <c r="L753">
        <v>219697.28</v>
      </c>
      <c r="M753">
        <v>6462756.4299999997</v>
      </c>
      <c r="N753" s="711">
        <v>42490.775684641201</v>
      </c>
      <c r="O753" s="711">
        <v>43225</v>
      </c>
      <c r="P753" t="s">
        <v>2025</v>
      </c>
      <c r="Q753" t="s">
        <v>1280</v>
      </c>
      <c r="R753" t="s">
        <v>1280</v>
      </c>
      <c r="S753" t="s">
        <v>1510</v>
      </c>
      <c r="T753">
        <v>54</v>
      </c>
      <c r="U753">
        <f>IF(Table__192.168.1.150_M_CONSOLIDATED_Delinquency_Compulsory_EOM[[#This Row],[Days in Arrears]] &lt; 8, Table__192.168.1.150_M_CONSOLIDATED_Delinquency_Compulsory_EOM[[#This Row],[Outstanding Balance]], 0 )</f>
        <v>0</v>
      </c>
      <c r="V7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5259874.79</v>
      </c>
      <c r="Y7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3" s="105" t="str">
        <f>VLOOKUP(Table__192.168.1.150_M_CONSOLIDATED_Delinquency_Compulsory_EOM[[#This Row],[Client No]],'Global Portfolio'!$B$2:$N$2500,10,FALSE)</f>
        <v>Real Estate and Rental</v>
      </c>
      <c r="AA753" s="105" t="str">
        <f>VLOOKUP(Table__192.168.1.150_M_CONSOLIDATED_Delinquency_Compulsory_EOM[[#This Row],[Client No]],'Global Portfolio'!$B$2:$N$2500,11,FALSE)</f>
        <v>Others</v>
      </c>
      <c r="AB753" s="105" t="str">
        <f>VLOOKUP(Table__192.168.1.150_M_CONSOLIDATED_Delinquency_Compulsory_EOM[[#This Row],[Client No]],'Global Portfolio'!$B$2:$N$2500,12,FALSE)</f>
        <v>Others</v>
      </c>
    </row>
    <row r="754" spans="1:28" x14ac:dyDescent="0.25">
      <c r="A754">
        <v>200126</v>
      </c>
      <c r="B754" t="s">
        <v>1702</v>
      </c>
      <c r="C754" t="s">
        <v>1703</v>
      </c>
      <c r="D754" t="s">
        <v>1284</v>
      </c>
      <c r="E754">
        <v>-9</v>
      </c>
      <c r="F754">
        <v>42000000</v>
      </c>
      <c r="G754">
        <v>33471986.190000001</v>
      </c>
      <c r="H754">
        <v>1673563.46</v>
      </c>
      <c r="I754" t="s">
        <v>546</v>
      </c>
      <c r="J754">
        <v>1141288.08</v>
      </c>
      <c r="K754">
        <v>0</v>
      </c>
      <c r="L754">
        <v>669439.72</v>
      </c>
      <c r="M754">
        <v>51880466.939999998</v>
      </c>
      <c r="N754" s="711">
        <v>42493.687899502314</v>
      </c>
      <c r="O754" s="711">
        <v>43961</v>
      </c>
      <c r="P754" t="s">
        <v>1704</v>
      </c>
      <c r="Q754" t="s">
        <v>1280</v>
      </c>
      <c r="R754" t="s">
        <v>1280</v>
      </c>
      <c r="S754" t="s">
        <v>1510</v>
      </c>
      <c r="T754">
        <v>36</v>
      </c>
      <c r="U754">
        <f>IF(Table__192.168.1.150_M_CONSOLIDATED_Delinquency_Compulsory_EOM[[#This Row],[Days in Arrears]] &lt; 8, Table__192.168.1.150_M_CONSOLIDATED_Delinquency_Compulsory_EOM[[#This Row],[Outstanding Balance]], 0 )</f>
        <v>33471986.190000001</v>
      </c>
      <c r="V7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4" s="105" t="str">
        <f>VLOOKUP(Table__192.168.1.150_M_CONSOLIDATED_Delinquency_Compulsory_EOM[[#This Row],[Client No]],'Global Portfolio'!$B$2:$N$2500,10,FALSE)</f>
        <v>Real Estate and Rental</v>
      </c>
      <c r="AA754" s="105" t="str">
        <f>VLOOKUP(Table__192.168.1.150_M_CONSOLIDATED_Delinquency_Compulsory_EOM[[#This Row],[Client No]],'Global Portfolio'!$B$2:$N$2500,11,FALSE)</f>
        <v>Rental</v>
      </c>
      <c r="AB754" s="105" t="str">
        <f>VLOOKUP(Table__192.168.1.150_M_CONSOLIDATED_Delinquency_Compulsory_EOM[[#This Row],[Client No]],'Global Portfolio'!$B$2:$N$2500,12,FALSE)</f>
        <v>Others</v>
      </c>
    </row>
    <row r="755" spans="1:28" x14ac:dyDescent="0.25">
      <c r="A755">
        <v>200130</v>
      </c>
      <c r="B755" t="s">
        <v>1954</v>
      </c>
      <c r="C755" t="s">
        <v>2028</v>
      </c>
      <c r="D755" t="s">
        <v>1281</v>
      </c>
      <c r="E755">
        <v>-8</v>
      </c>
      <c r="F755">
        <v>17000000</v>
      </c>
      <c r="G755">
        <v>14107220.75</v>
      </c>
      <c r="H755">
        <v>802071.01</v>
      </c>
      <c r="I755" t="s">
        <v>1909</v>
      </c>
      <c r="J755">
        <v>289652.01</v>
      </c>
      <c r="K755">
        <v>1275000</v>
      </c>
      <c r="L755">
        <v>395002.18</v>
      </c>
      <c r="M755">
        <v>24864201.16</v>
      </c>
      <c r="N755" s="711">
        <v>42499.721652546294</v>
      </c>
      <c r="O755" s="711">
        <v>43960</v>
      </c>
      <c r="P755" t="s">
        <v>2029</v>
      </c>
      <c r="Q755" t="s">
        <v>1280</v>
      </c>
      <c r="R755" t="s">
        <v>1280</v>
      </c>
      <c r="S755" t="s">
        <v>1510</v>
      </c>
      <c r="T755">
        <v>48</v>
      </c>
      <c r="U755">
        <f>IF(Table__192.168.1.150_M_CONSOLIDATED_Delinquency_Compulsory_EOM[[#This Row],[Days in Arrears]] &lt; 8, Table__192.168.1.150_M_CONSOLIDATED_Delinquency_Compulsory_EOM[[#This Row],[Outstanding Balance]], 0 )</f>
        <v>14107220.75</v>
      </c>
      <c r="V7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5" s="105" t="str">
        <f>VLOOKUP(Table__192.168.1.150_M_CONSOLIDATED_Delinquency_Compulsory_EOM[[#This Row],[Client No]],'Global Portfolio'!$B$2:$N$2500,10,FALSE)</f>
        <v>Retail</v>
      </c>
      <c r="AA755" s="105" t="str">
        <f>VLOOKUP(Table__192.168.1.150_M_CONSOLIDATED_Delinquency_Compulsory_EOM[[#This Row],[Client No]],'Global Portfolio'!$B$2:$N$2500,11,FALSE)</f>
        <v>General Merchandise Stores</v>
      </c>
      <c r="AB755" s="105" t="str">
        <f>VLOOKUP(Table__192.168.1.150_M_CONSOLIDATED_Delinquency_Compulsory_EOM[[#This Row],[Client No]],'Global Portfolio'!$B$2:$N$2500,12,FALSE)</f>
        <v>General Stores</v>
      </c>
    </row>
    <row r="756" spans="1:28" x14ac:dyDescent="0.25">
      <c r="A756">
        <v>200135</v>
      </c>
      <c r="B756" t="s">
        <v>2038</v>
      </c>
      <c r="C756" t="s">
        <v>2044</v>
      </c>
      <c r="D756" t="s">
        <v>1284</v>
      </c>
      <c r="E756">
        <v>-9</v>
      </c>
      <c r="F756">
        <v>35000000</v>
      </c>
      <c r="G756">
        <v>28173133.870000001</v>
      </c>
      <c r="H756">
        <v>1471638.79</v>
      </c>
      <c r="I756" t="s">
        <v>491</v>
      </c>
      <c r="J756">
        <v>70353.37</v>
      </c>
      <c r="K756">
        <v>0</v>
      </c>
      <c r="L756">
        <v>626069.64</v>
      </c>
      <c r="M756">
        <v>45620803.140000001</v>
      </c>
      <c r="N756" s="711">
        <v>42500.65796809028</v>
      </c>
      <c r="O756" s="711">
        <v>43961</v>
      </c>
      <c r="P756" t="s">
        <v>2045</v>
      </c>
      <c r="Q756" t="s">
        <v>1280</v>
      </c>
      <c r="R756" t="s">
        <v>2046</v>
      </c>
      <c r="S756" t="s">
        <v>1510</v>
      </c>
      <c r="T756">
        <v>40</v>
      </c>
      <c r="U756">
        <f>IF(Table__192.168.1.150_M_CONSOLIDATED_Delinquency_Compulsory_EOM[[#This Row],[Days in Arrears]] &lt; 8, Table__192.168.1.150_M_CONSOLIDATED_Delinquency_Compulsory_EOM[[#This Row],[Outstanding Balance]], 0 )</f>
        <v>28173133.870000001</v>
      </c>
      <c r="V7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6" s="105" t="e">
        <f>VLOOKUP(Table__192.168.1.150_M_CONSOLIDATED_Delinquency_Compulsory_EOM[[#This Row],[Client No]],'Global Portfolio'!$B$2:$N$2500,10,FALSE)</f>
        <v>#N/A</v>
      </c>
      <c r="AA756" s="105" t="e">
        <f>VLOOKUP(Table__192.168.1.150_M_CONSOLIDATED_Delinquency_Compulsory_EOM[[#This Row],[Client No]],'Global Portfolio'!$B$2:$N$2500,11,FALSE)</f>
        <v>#N/A</v>
      </c>
      <c r="AB756" s="105" t="e">
        <f>VLOOKUP(Table__192.168.1.150_M_CONSOLIDATED_Delinquency_Compulsory_EOM[[#This Row],[Client No]],'Global Portfolio'!$B$2:$N$2500,12,FALSE)</f>
        <v>#N/A</v>
      </c>
    </row>
    <row r="757" spans="1:28" x14ac:dyDescent="0.25">
      <c r="A757">
        <v>200137</v>
      </c>
      <c r="B757" t="s">
        <v>2048</v>
      </c>
      <c r="C757" t="s">
        <v>2054</v>
      </c>
      <c r="D757" t="s">
        <v>1284</v>
      </c>
      <c r="E757">
        <v>16</v>
      </c>
      <c r="F757">
        <v>50000000</v>
      </c>
      <c r="G757">
        <v>21268229.210000001</v>
      </c>
      <c r="H757">
        <v>3072545.43</v>
      </c>
      <c r="I757" t="s">
        <v>1467</v>
      </c>
      <c r="J757">
        <v>0</v>
      </c>
      <c r="K757">
        <v>2500000</v>
      </c>
      <c r="L757">
        <v>890282.59</v>
      </c>
      <c r="M757">
        <v>24446627.98</v>
      </c>
      <c r="N757" s="711">
        <v>42501.640024386572</v>
      </c>
      <c r="O757" s="711">
        <v>43235</v>
      </c>
      <c r="P757" t="s">
        <v>2055</v>
      </c>
      <c r="Q757" t="s">
        <v>1280</v>
      </c>
      <c r="R757" t="s">
        <v>1280</v>
      </c>
      <c r="S757" t="s">
        <v>1510</v>
      </c>
      <c r="T757">
        <v>40</v>
      </c>
      <c r="U757">
        <f>IF(Table__192.168.1.150_M_CONSOLIDATED_Delinquency_Compulsory_EOM[[#This Row],[Days in Arrears]] &lt; 8, Table__192.168.1.150_M_CONSOLIDATED_Delinquency_Compulsory_EOM[[#This Row],[Outstanding Balance]], 0 )</f>
        <v>0</v>
      </c>
      <c r="V7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21268229.210000001</v>
      </c>
      <c r="W7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7" s="105" t="str">
        <f>VLOOKUP(Table__192.168.1.150_M_CONSOLIDATED_Delinquency_Compulsory_EOM[[#This Row],[Client No]],'Global Portfolio'!$B$2:$N$2500,10,FALSE)</f>
        <v>Construction</v>
      </c>
      <c r="AA757" s="105" t="str">
        <f>VLOOKUP(Table__192.168.1.150_M_CONSOLIDATED_Delinquency_Compulsory_EOM[[#This Row],[Client No]],'Global Portfolio'!$B$2:$N$2500,11,FALSE)</f>
        <v>Construction of Buildings</v>
      </c>
      <c r="AB757" s="105" t="str">
        <f>VLOOKUP(Table__192.168.1.150_M_CONSOLIDATED_Delinquency_Compulsory_EOM[[#This Row],[Client No]],'Global Portfolio'!$B$2:$N$2500,12,FALSE)</f>
        <v>Residential Construction</v>
      </c>
    </row>
    <row r="758" spans="1:28" x14ac:dyDescent="0.25">
      <c r="A758">
        <v>200138</v>
      </c>
      <c r="B758" t="s">
        <v>2049</v>
      </c>
      <c r="C758" t="s">
        <v>2056</v>
      </c>
      <c r="D758" t="s">
        <v>1281</v>
      </c>
      <c r="E758">
        <v>16</v>
      </c>
      <c r="F758">
        <v>20000000</v>
      </c>
      <c r="G758">
        <v>8876878.2699999996</v>
      </c>
      <c r="H758">
        <v>1318463.48</v>
      </c>
      <c r="I758" t="s">
        <v>90</v>
      </c>
      <c r="J758">
        <v>0</v>
      </c>
      <c r="K758">
        <v>0</v>
      </c>
      <c r="L758">
        <v>513344.93</v>
      </c>
      <c r="M758">
        <v>10547707.890000001</v>
      </c>
      <c r="N758" s="711">
        <v>42501.670679166666</v>
      </c>
      <c r="O758" s="711">
        <v>43235</v>
      </c>
      <c r="P758" t="s">
        <v>2057</v>
      </c>
      <c r="Q758" t="s">
        <v>1280</v>
      </c>
      <c r="R758" t="s">
        <v>2058</v>
      </c>
      <c r="S758" t="s">
        <v>1510</v>
      </c>
      <c r="T758">
        <v>48</v>
      </c>
      <c r="U758">
        <f>IF(Table__192.168.1.150_M_CONSOLIDATED_Delinquency_Compulsory_EOM[[#This Row],[Days in Arrears]] &lt; 8, Table__192.168.1.150_M_CONSOLIDATED_Delinquency_Compulsory_EOM[[#This Row],[Outstanding Balance]], 0 )</f>
        <v>0</v>
      </c>
      <c r="V7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8876878.2699999996</v>
      </c>
      <c r="W7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8" s="105" t="str">
        <f>VLOOKUP(Table__192.168.1.150_M_CONSOLIDATED_Delinquency_Compulsory_EOM[[#This Row],[Client No]],'Global Portfolio'!$B$2:$N$2500,10,FALSE)</f>
        <v>Retail</v>
      </c>
      <c r="AA758" s="105" t="str">
        <f>VLOOKUP(Table__192.168.1.150_M_CONSOLIDATED_Delinquency_Compulsory_EOM[[#This Row],[Client No]],'Global Portfolio'!$B$2:$N$2500,11,FALSE)</f>
        <v>Others</v>
      </c>
      <c r="AB758" s="105" t="str">
        <f>VLOOKUP(Table__192.168.1.150_M_CONSOLIDATED_Delinquency_Compulsory_EOM[[#This Row],[Client No]],'Global Portfolio'!$B$2:$N$2500,12,FALSE)</f>
        <v>Others</v>
      </c>
    </row>
    <row r="759" spans="1:28" x14ac:dyDescent="0.25">
      <c r="A759">
        <v>200140</v>
      </c>
      <c r="B759" t="s">
        <v>2059</v>
      </c>
      <c r="C759" t="s">
        <v>2066</v>
      </c>
      <c r="D759" t="s">
        <v>1284</v>
      </c>
      <c r="E759">
        <v>17</v>
      </c>
      <c r="F759">
        <v>12000000</v>
      </c>
      <c r="G759">
        <v>8339217.0599999996</v>
      </c>
      <c r="H759">
        <v>577942.59</v>
      </c>
      <c r="I759" t="s">
        <v>1039</v>
      </c>
      <c r="J759">
        <v>0</v>
      </c>
      <c r="K759">
        <v>600000</v>
      </c>
      <c r="L759">
        <v>420893.87</v>
      </c>
      <c r="M759">
        <v>11558851.560000001</v>
      </c>
      <c r="N759" s="711">
        <v>42503.7178915162</v>
      </c>
      <c r="O759" s="711">
        <v>43599</v>
      </c>
      <c r="P759" t="s">
        <v>2067</v>
      </c>
      <c r="Q759" t="s">
        <v>1280</v>
      </c>
      <c r="R759" t="s">
        <v>1280</v>
      </c>
      <c r="S759" t="s">
        <v>1510</v>
      </c>
      <c r="T759">
        <v>40</v>
      </c>
      <c r="U759">
        <f>IF(Table__192.168.1.150_M_CONSOLIDATED_Delinquency_Compulsory_EOM[[#This Row],[Days in Arrears]] &lt; 8, Table__192.168.1.150_M_CONSOLIDATED_Delinquency_Compulsory_EOM[[#This Row],[Outstanding Balance]], 0 )</f>
        <v>0</v>
      </c>
      <c r="V7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8339217.0599999996</v>
      </c>
      <c r="W7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59" s="105" t="str">
        <f>VLOOKUP(Table__192.168.1.150_M_CONSOLIDATED_Delinquency_Compulsory_EOM[[#This Row],[Client No]],'Global Portfolio'!$B$2:$N$2500,10,FALSE)</f>
        <v>Retail</v>
      </c>
      <c r="AA759" s="105" t="str">
        <f>VLOOKUP(Table__192.168.1.150_M_CONSOLIDATED_Delinquency_Compulsory_EOM[[#This Row],[Client No]],'Global Portfolio'!$B$2:$N$2500,11,FALSE)</f>
        <v>General Merchandise Stores</v>
      </c>
      <c r="AB759" s="105" t="str">
        <f>VLOOKUP(Table__192.168.1.150_M_CONSOLIDATED_Delinquency_Compulsory_EOM[[#This Row],[Client No]],'Global Portfolio'!$B$2:$N$2500,12,FALSE)</f>
        <v>General Stores</v>
      </c>
    </row>
    <row r="760" spans="1:28" x14ac:dyDescent="0.25">
      <c r="A760">
        <v>200141</v>
      </c>
      <c r="B760" t="s">
        <v>2068</v>
      </c>
      <c r="C760" t="s">
        <v>2071</v>
      </c>
      <c r="D760" t="s">
        <v>1284</v>
      </c>
      <c r="E760">
        <v>-22</v>
      </c>
      <c r="F760">
        <v>35000000</v>
      </c>
      <c r="G760">
        <v>23649292.989999998</v>
      </c>
      <c r="H760">
        <v>1700150.65</v>
      </c>
      <c r="I760" t="s">
        <v>546</v>
      </c>
      <c r="J760">
        <v>49681.78</v>
      </c>
      <c r="K760">
        <v>1750000</v>
      </c>
      <c r="L760">
        <v>183938.95</v>
      </c>
      <c r="M760">
        <v>32302862.620000001</v>
      </c>
      <c r="N760" s="711">
        <v>42504.434353321762</v>
      </c>
      <c r="O760" s="711">
        <v>43608</v>
      </c>
      <c r="P760" t="s">
        <v>2072</v>
      </c>
      <c r="Q760" t="s">
        <v>1280</v>
      </c>
      <c r="R760" t="s">
        <v>1280</v>
      </c>
      <c r="S760" t="s">
        <v>1510</v>
      </c>
      <c r="T760">
        <v>40</v>
      </c>
      <c r="U760">
        <f>IF(Table__192.168.1.150_M_CONSOLIDATED_Delinquency_Compulsory_EOM[[#This Row],[Days in Arrears]] &lt; 8, Table__192.168.1.150_M_CONSOLIDATED_Delinquency_Compulsory_EOM[[#This Row],[Outstanding Balance]], 0 )</f>
        <v>23649292.989999998</v>
      </c>
      <c r="V7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0" s="105" t="str">
        <f>VLOOKUP(Table__192.168.1.150_M_CONSOLIDATED_Delinquency_Compulsory_EOM[[#This Row],[Client No]],'Global Portfolio'!$B$2:$N$2500,10,FALSE)</f>
        <v>Real Estate and Rental</v>
      </c>
      <c r="AA760" s="105" t="str">
        <f>VLOOKUP(Table__192.168.1.150_M_CONSOLIDATED_Delinquency_Compulsory_EOM[[#This Row],[Client No]],'Global Portfolio'!$B$2:$N$2500,11,FALSE)</f>
        <v>Rental</v>
      </c>
      <c r="AB760" s="105" t="str">
        <f>VLOOKUP(Table__192.168.1.150_M_CONSOLIDATED_Delinquency_Compulsory_EOM[[#This Row],[Client No]],'Global Portfolio'!$B$2:$N$2500,12,FALSE)</f>
        <v>Others</v>
      </c>
    </row>
    <row r="761" spans="1:28" x14ac:dyDescent="0.25">
      <c r="A761">
        <v>200142</v>
      </c>
      <c r="B761" t="s">
        <v>2074</v>
      </c>
      <c r="C761" t="s">
        <v>2077</v>
      </c>
      <c r="D761" t="s">
        <v>1281</v>
      </c>
      <c r="E761">
        <v>15</v>
      </c>
      <c r="F761">
        <v>16000000</v>
      </c>
      <c r="G761">
        <v>11499998.859999999</v>
      </c>
      <c r="H761">
        <v>846190.05</v>
      </c>
      <c r="I761" t="s">
        <v>1448</v>
      </c>
      <c r="J761">
        <v>0</v>
      </c>
      <c r="K761">
        <v>0</v>
      </c>
      <c r="L761">
        <v>667457.71</v>
      </c>
      <c r="M761">
        <v>16923800.82</v>
      </c>
      <c r="N761" s="711">
        <v>42506.736059606483</v>
      </c>
      <c r="O761" s="711">
        <v>43601</v>
      </c>
      <c r="P761" t="s">
        <v>2078</v>
      </c>
      <c r="Q761" t="s">
        <v>1280</v>
      </c>
      <c r="R761" t="s">
        <v>1280</v>
      </c>
      <c r="S761" t="s">
        <v>1510</v>
      </c>
      <c r="T761">
        <v>48</v>
      </c>
      <c r="U761">
        <f>IF(Table__192.168.1.150_M_CONSOLIDATED_Delinquency_Compulsory_EOM[[#This Row],[Days in Arrears]] &lt; 8, Table__192.168.1.150_M_CONSOLIDATED_Delinquency_Compulsory_EOM[[#This Row],[Outstanding Balance]], 0 )</f>
        <v>0</v>
      </c>
      <c r="V7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11499998.859999999</v>
      </c>
      <c r="W7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1" s="105" t="str">
        <f>VLOOKUP(Table__192.168.1.150_M_CONSOLIDATED_Delinquency_Compulsory_EOM[[#This Row],[Client No]],'Global Portfolio'!$B$2:$N$2500,10,FALSE)</f>
        <v>Educational Services</v>
      </c>
      <c r="AA761" s="105" t="str">
        <f>VLOOKUP(Table__192.168.1.150_M_CONSOLIDATED_Delinquency_Compulsory_EOM[[#This Row],[Client No]],'Global Portfolio'!$B$2:$N$2500,11,FALSE)</f>
        <v>Educational Services</v>
      </c>
      <c r="AB761" s="105" t="str">
        <f>VLOOKUP(Table__192.168.1.150_M_CONSOLIDATED_Delinquency_Compulsory_EOM[[#This Row],[Client No]],'Global Portfolio'!$B$2:$N$2500,12,FALSE)</f>
        <v>Schools</v>
      </c>
    </row>
    <row r="762" spans="1:28" x14ac:dyDescent="0.25">
      <c r="A762">
        <v>200149</v>
      </c>
      <c r="B762" t="s">
        <v>2082</v>
      </c>
      <c r="C762" t="s">
        <v>2093</v>
      </c>
      <c r="D762" t="s">
        <v>1283</v>
      </c>
      <c r="E762">
        <v>-24</v>
      </c>
      <c r="F762">
        <v>30500000</v>
      </c>
      <c r="G762">
        <v>20564774.699999999</v>
      </c>
      <c r="H762">
        <v>1478404.24</v>
      </c>
      <c r="I762" t="s">
        <v>2034</v>
      </c>
      <c r="J762">
        <v>57383.06</v>
      </c>
      <c r="K762">
        <v>1525000</v>
      </c>
      <c r="L762">
        <v>114248.75</v>
      </c>
      <c r="M762">
        <v>28089680.829999998</v>
      </c>
      <c r="N762" s="711">
        <v>42508.715886377315</v>
      </c>
      <c r="O762" s="711">
        <v>43610</v>
      </c>
      <c r="P762" t="s">
        <v>2094</v>
      </c>
      <c r="Q762" t="s">
        <v>1280</v>
      </c>
      <c r="R762" t="s">
        <v>1280</v>
      </c>
      <c r="S762" t="s">
        <v>1510</v>
      </c>
      <c r="T762">
        <v>40</v>
      </c>
      <c r="U762">
        <f>IF(Table__192.168.1.150_M_CONSOLIDATED_Delinquency_Compulsory_EOM[[#This Row],[Days in Arrears]] &lt; 8, Table__192.168.1.150_M_CONSOLIDATED_Delinquency_Compulsory_EOM[[#This Row],[Outstanding Balance]], 0 )</f>
        <v>20564774.699999999</v>
      </c>
      <c r="V7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2" s="105" t="str">
        <f>VLOOKUP(Table__192.168.1.150_M_CONSOLIDATED_Delinquency_Compulsory_EOM[[#This Row],[Client No]],'Global Portfolio'!$B$2:$N$2500,10,FALSE)</f>
        <v>Retail</v>
      </c>
      <c r="AA762" s="105" t="str">
        <f>VLOOKUP(Table__192.168.1.150_M_CONSOLIDATED_Delinquency_Compulsory_EOM[[#This Row],[Client No]],'Global Portfolio'!$B$2:$N$2500,11,FALSE)</f>
        <v>Furniture and Home Furnishings Stores</v>
      </c>
      <c r="AB762" s="105" t="str">
        <f>VLOOKUP(Table__192.168.1.150_M_CONSOLIDATED_Delinquency_Compulsory_EOM[[#This Row],[Client No]],'Global Portfolio'!$B$2:$N$2500,12,FALSE)</f>
        <v>Others</v>
      </c>
    </row>
    <row r="763" spans="1:28" x14ac:dyDescent="0.25">
      <c r="A763">
        <v>200154</v>
      </c>
      <c r="B763" t="s">
        <v>1746</v>
      </c>
      <c r="C763" t="s">
        <v>403</v>
      </c>
      <c r="D763" t="s">
        <v>1281</v>
      </c>
      <c r="E763">
        <v>-20</v>
      </c>
      <c r="F763">
        <v>31611025.309999999</v>
      </c>
      <c r="G763">
        <v>23776927.32</v>
      </c>
      <c r="H763">
        <v>1048843.83</v>
      </c>
      <c r="I763" t="s">
        <v>284</v>
      </c>
      <c r="J763">
        <v>0</v>
      </c>
      <c r="K763">
        <v>0</v>
      </c>
      <c r="L763">
        <v>655254.18999999994</v>
      </c>
      <c r="M763">
        <v>32514159.039999999</v>
      </c>
      <c r="N763" s="711">
        <v>42510.554343206015</v>
      </c>
      <c r="O763" s="711">
        <v>43972</v>
      </c>
      <c r="P763" t="s">
        <v>404</v>
      </c>
      <c r="Q763" t="s">
        <v>1280</v>
      </c>
      <c r="R763" t="s">
        <v>1280</v>
      </c>
      <c r="S763" t="s">
        <v>1510</v>
      </c>
      <c r="T763">
        <v>25</v>
      </c>
      <c r="U763">
        <f>IF(Table__192.168.1.150_M_CONSOLIDATED_Delinquency_Compulsory_EOM[[#This Row],[Days in Arrears]] &lt; 8, Table__192.168.1.150_M_CONSOLIDATED_Delinquency_Compulsory_EOM[[#This Row],[Outstanding Balance]], 0 )</f>
        <v>23776927.32</v>
      </c>
      <c r="V7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3" s="105" t="str">
        <f>VLOOKUP(Table__192.168.1.150_M_CONSOLIDATED_Delinquency_Compulsory_EOM[[#This Row],[Client No]],'Global Portfolio'!$B$2:$N$2500,10,FALSE)</f>
        <v>Finance and Insurance</v>
      </c>
      <c r="AA763" s="105" t="str">
        <f>VLOOKUP(Table__192.168.1.150_M_CONSOLIDATED_Delinquency_Compulsory_EOM[[#This Row],[Client No]],'Global Portfolio'!$B$2:$N$2500,11,FALSE)</f>
        <v>Finance</v>
      </c>
      <c r="AB763" s="105" t="str">
        <f>VLOOKUP(Table__192.168.1.150_M_CONSOLIDATED_Delinquency_Compulsory_EOM[[#This Row],[Client No]],'Global Portfolio'!$B$2:$N$2500,12,FALSE)</f>
        <v>Others</v>
      </c>
    </row>
    <row r="764" spans="1:28" x14ac:dyDescent="0.25">
      <c r="A764">
        <v>200156</v>
      </c>
      <c r="B764" t="s">
        <v>2105</v>
      </c>
      <c r="C764" t="s">
        <v>2115</v>
      </c>
      <c r="D764" t="s">
        <v>1281</v>
      </c>
      <c r="E764">
        <v>-19</v>
      </c>
      <c r="F764">
        <v>15500000</v>
      </c>
      <c r="G764">
        <v>1177304.32</v>
      </c>
      <c r="H764">
        <v>1224396.5900000001</v>
      </c>
      <c r="I764" t="s">
        <v>1448</v>
      </c>
      <c r="J764">
        <v>0</v>
      </c>
      <c r="K764">
        <v>1162500</v>
      </c>
      <c r="L764">
        <v>15697.39</v>
      </c>
      <c r="M764">
        <v>1224396.49</v>
      </c>
      <c r="N764" s="711">
        <v>42510.632320370372</v>
      </c>
      <c r="O764" s="711">
        <v>43059</v>
      </c>
      <c r="P764" t="s">
        <v>2116</v>
      </c>
      <c r="Q764" t="s">
        <v>5711</v>
      </c>
      <c r="R764" t="s">
        <v>1280</v>
      </c>
      <c r="S764" t="s">
        <v>1510</v>
      </c>
      <c r="T764">
        <v>48</v>
      </c>
      <c r="U764">
        <f>IF(Table__192.168.1.150_M_CONSOLIDATED_Delinquency_Compulsory_EOM[[#This Row],[Days in Arrears]] &lt; 8, Table__192.168.1.150_M_CONSOLIDATED_Delinquency_Compulsory_EOM[[#This Row],[Outstanding Balance]], 0 )</f>
        <v>1177304.32</v>
      </c>
      <c r="V7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4" s="105" t="str">
        <f>VLOOKUP(Table__192.168.1.150_M_CONSOLIDATED_Delinquency_Compulsory_EOM[[#This Row],[Client No]],'Global Portfolio'!$B$2:$N$2500,10,FALSE)</f>
        <v>Educational Services</v>
      </c>
      <c r="AA764" s="105" t="str">
        <f>VLOOKUP(Table__192.168.1.150_M_CONSOLIDATED_Delinquency_Compulsory_EOM[[#This Row],[Client No]],'Global Portfolio'!$B$2:$N$2500,11,FALSE)</f>
        <v>Educational Services</v>
      </c>
      <c r="AB764" s="105" t="str">
        <f>VLOOKUP(Table__192.168.1.150_M_CONSOLIDATED_Delinquency_Compulsory_EOM[[#This Row],[Client No]],'Global Portfolio'!$B$2:$N$2500,12,FALSE)</f>
        <v>Others</v>
      </c>
    </row>
    <row r="765" spans="1:28" x14ac:dyDescent="0.25">
      <c r="A765">
        <v>200158</v>
      </c>
      <c r="B765" t="s">
        <v>2103</v>
      </c>
      <c r="C765" t="s">
        <v>2120</v>
      </c>
      <c r="D765" t="s">
        <v>1283</v>
      </c>
      <c r="E765">
        <v>-19</v>
      </c>
      <c r="F765">
        <v>45000000</v>
      </c>
      <c r="G765">
        <v>30114800.18</v>
      </c>
      <c r="H765">
        <v>2164956.79</v>
      </c>
      <c r="I765" t="s">
        <v>1448</v>
      </c>
      <c r="J765">
        <v>0</v>
      </c>
      <c r="K765">
        <v>2250000</v>
      </c>
      <c r="L765">
        <v>334608.89</v>
      </c>
      <c r="M765">
        <v>41134178.93</v>
      </c>
      <c r="N765" s="711">
        <v>42510.694846643521</v>
      </c>
      <c r="O765" s="711">
        <v>43605</v>
      </c>
      <c r="P765" t="s">
        <v>2121</v>
      </c>
      <c r="Q765" t="s">
        <v>1280</v>
      </c>
      <c r="R765" t="s">
        <v>1280</v>
      </c>
      <c r="S765" t="s">
        <v>1510</v>
      </c>
      <c r="T765">
        <v>40</v>
      </c>
      <c r="U765">
        <f>IF(Table__192.168.1.150_M_CONSOLIDATED_Delinquency_Compulsory_EOM[[#This Row],[Days in Arrears]] &lt; 8, Table__192.168.1.150_M_CONSOLIDATED_Delinquency_Compulsory_EOM[[#This Row],[Outstanding Balance]], 0 )</f>
        <v>30114800.18</v>
      </c>
      <c r="V7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5" s="105" t="str">
        <f>VLOOKUP(Table__192.168.1.150_M_CONSOLIDATED_Delinquency_Compulsory_EOM[[#This Row],[Client No]],'Global Portfolio'!$B$2:$N$2500,10,FALSE)</f>
        <v>Real Estate and Rental</v>
      </c>
      <c r="AA765" s="105" t="str">
        <f>VLOOKUP(Table__192.168.1.150_M_CONSOLIDATED_Delinquency_Compulsory_EOM[[#This Row],[Client No]],'Global Portfolio'!$B$2:$N$2500,11,FALSE)</f>
        <v>Real Estate</v>
      </c>
      <c r="AB765" s="105" t="str">
        <f>VLOOKUP(Table__192.168.1.150_M_CONSOLIDATED_Delinquency_Compulsory_EOM[[#This Row],[Client No]],'Global Portfolio'!$B$2:$N$2500,12,FALSE)</f>
        <v>Real Estate</v>
      </c>
    </row>
    <row r="766" spans="1:28" x14ac:dyDescent="0.25">
      <c r="A766">
        <v>200160</v>
      </c>
      <c r="B766" t="s">
        <v>2036</v>
      </c>
      <c r="C766" t="s">
        <v>2047</v>
      </c>
      <c r="D766" t="s">
        <v>1284</v>
      </c>
      <c r="E766">
        <v>-14</v>
      </c>
      <c r="F766">
        <v>44537780</v>
      </c>
      <c r="G766">
        <v>35619244.359999999</v>
      </c>
      <c r="H766">
        <v>1860590.38</v>
      </c>
      <c r="I766" t="s">
        <v>546</v>
      </c>
      <c r="J766">
        <v>0</v>
      </c>
      <c r="K766">
        <v>0</v>
      </c>
      <c r="L766">
        <v>1202225.28</v>
      </c>
      <c r="M766">
        <v>57678302.270000003</v>
      </c>
      <c r="N766" s="711">
        <v>42511.461811539353</v>
      </c>
      <c r="O766" s="711">
        <v>43966</v>
      </c>
      <c r="P766" t="s">
        <v>1278</v>
      </c>
      <c r="Q766" t="s">
        <v>1704</v>
      </c>
      <c r="R766" t="s">
        <v>1280</v>
      </c>
      <c r="S766" t="s">
        <v>1510</v>
      </c>
      <c r="T766">
        <v>40</v>
      </c>
      <c r="U766">
        <f>IF(Table__192.168.1.150_M_CONSOLIDATED_Delinquency_Compulsory_EOM[[#This Row],[Days in Arrears]] &lt; 8, Table__192.168.1.150_M_CONSOLIDATED_Delinquency_Compulsory_EOM[[#This Row],[Outstanding Balance]], 0 )</f>
        <v>35619244.359999999</v>
      </c>
      <c r="V7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6" s="105" t="str">
        <f>VLOOKUP(Table__192.168.1.150_M_CONSOLIDATED_Delinquency_Compulsory_EOM[[#This Row],[Client No]],'Global Portfolio'!$B$2:$N$2500,10,FALSE)</f>
        <v>Construction</v>
      </c>
      <c r="AA766" s="105" t="str">
        <f>VLOOKUP(Table__192.168.1.150_M_CONSOLIDATED_Delinquency_Compulsory_EOM[[#This Row],[Client No]],'Global Portfolio'!$B$2:$N$2500,11,FALSE)</f>
        <v>Construction of Buildings</v>
      </c>
      <c r="AB766" s="105" t="str">
        <f>VLOOKUP(Table__192.168.1.150_M_CONSOLIDATED_Delinquency_Compulsory_EOM[[#This Row],[Client No]],'Global Portfolio'!$B$2:$N$2500,12,FALSE)</f>
        <v>Nonresidential Construction</v>
      </c>
    </row>
    <row r="767" spans="1:28" x14ac:dyDescent="0.25">
      <c r="A767">
        <v>200166</v>
      </c>
      <c r="B767" t="s">
        <v>2138</v>
      </c>
      <c r="C767" t="s">
        <v>2156</v>
      </c>
      <c r="D767" t="s">
        <v>1281</v>
      </c>
      <c r="E767">
        <v>66</v>
      </c>
      <c r="F767">
        <v>20000000</v>
      </c>
      <c r="G767">
        <v>13494346.41</v>
      </c>
      <c r="H767">
        <v>1158084.81</v>
      </c>
      <c r="I767" t="s">
        <v>1925</v>
      </c>
      <c r="J767">
        <v>0</v>
      </c>
      <c r="K767">
        <v>0</v>
      </c>
      <c r="L767">
        <v>1016110.42</v>
      </c>
      <c r="M767">
        <v>18507819.920000002</v>
      </c>
      <c r="N767" s="711">
        <v>42514.770124456016</v>
      </c>
      <c r="O767" s="711">
        <v>43429</v>
      </c>
      <c r="P767" t="s">
        <v>2157</v>
      </c>
      <c r="Q767" t="s">
        <v>1280</v>
      </c>
      <c r="R767" t="s">
        <v>1280</v>
      </c>
      <c r="S767" t="s">
        <v>1510</v>
      </c>
      <c r="T767">
        <v>48</v>
      </c>
      <c r="U767">
        <f>IF(Table__192.168.1.150_M_CONSOLIDATED_Delinquency_Compulsory_EOM[[#This Row],[Days in Arrears]] &lt; 8, Table__192.168.1.150_M_CONSOLIDATED_Delinquency_Compulsory_EOM[[#This Row],[Outstanding Balance]], 0 )</f>
        <v>0</v>
      </c>
      <c r="V7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13494346.41</v>
      </c>
      <c r="Y7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7" s="105" t="str">
        <f>VLOOKUP(Table__192.168.1.150_M_CONSOLIDATED_Delinquency_Compulsory_EOM[[#This Row],[Client No]],'Global Portfolio'!$B$2:$N$2500,10,FALSE)</f>
        <v>Health Care</v>
      </c>
      <c r="AA767" s="105" t="str">
        <f>VLOOKUP(Table__192.168.1.150_M_CONSOLIDATED_Delinquency_Compulsory_EOM[[#This Row],[Client No]],'Global Portfolio'!$B$2:$N$2500,11,FALSE)</f>
        <v>Health Care</v>
      </c>
      <c r="AB767" s="105" t="str">
        <f>VLOOKUP(Table__192.168.1.150_M_CONSOLIDATED_Delinquency_Compulsory_EOM[[#This Row],[Client No]],'Global Portfolio'!$B$2:$N$2500,12,FALSE)</f>
        <v>Others</v>
      </c>
    </row>
    <row r="768" spans="1:28" x14ac:dyDescent="0.25">
      <c r="A768">
        <v>200167</v>
      </c>
      <c r="B768" t="s">
        <v>2133</v>
      </c>
      <c r="C768" t="s">
        <v>2158</v>
      </c>
      <c r="D768" t="s">
        <v>1281</v>
      </c>
      <c r="E768">
        <v>0</v>
      </c>
      <c r="F768">
        <v>25000000</v>
      </c>
      <c r="G768">
        <v>18106969.449999999</v>
      </c>
      <c r="H768">
        <v>1332342.5</v>
      </c>
      <c r="I768" t="s">
        <v>1447</v>
      </c>
      <c r="J768">
        <v>5443334.0700000003</v>
      </c>
      <c r="K768">
        <v>1875000</v>
      </c>
      <c r="L768">
        <v>700136.15</v>
      </c>
      <c r="M768">
        <v>26646850.16</v>
      </c>
      <c r="N768" s="711">
        <v>42515.548816666669</v>
      </c>
      <c r="O768" s="711">
        <v>43617</v>
      </c>
      <c r="P768" t="s">
        <v>2159</v>
      </c>
      <c r="Q768" t="s">
        <v>1280</v>
      </c>
      <c r="R768" t="s">
        <v>1280</v>
      </c>
      <c r="S768" t="s">
        <v>1510</v>
      </c>
      <c r="T768">
        <v>48</v>
      </c>
      <c r="U768">
        <f>IF(Table__192.168.1.150_M_CONSOLIDATED_Delinquency_Compulsory_EOM[[#This Row],[Days in Arrears]] &lt; 8, Table__192.168.1.150_M_CONSOLIDATED_Delinquency_Compulsory_EOM[[#This Row],[Outstanding Balance]], 0 )</f>
        <v>18106969.449999999</v>
      </c>
      <c r="V7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8" s="105" t="e">
        <f>VLOOKUP(Table__192.168.1.150_M_CONSOLIDATED_Delinquency_Compulsory_EOM[[#This Row],[Client No]],'Global Portfolio'!$B$2:$N$2500,10,FALSE)</f>
        <v>#N/A</v>
      </c>
      <c r="AA768" s="105" t="e">
        <f>VLOOKUP(Table__192.168.1.150_M_CONSOLIDATED_Delinquency_Compulsory_EOM[[#This Row],[Client No]],'Global Portfolio'!$B$2:$N$2500,11,FALSE)</f>
        <v>#N/A</v>
      </c>
      <c r="AB768" s="105" t="e">
        <f>VLOOKUP(Table__192.168.1.150_M_CONSOLIDATED_Delinquency_Compulsory_EOM[[#This Row],[Client No]],'Global Portfolio'!$B$2:$N$2500,12,FALSE)</f>
        <v>#N/A</v>
      </c>
    </row>
    <row r="769" spans="1:28" x14ac:dyDescent="0.25">
      <c r="A769">
        <v>200168</v>
      </c>
      <c r="B769" t="s">
        <v>2129</v>
      </c>
      <c r="C769" t="s">
        <v>2160</v>
      </c>
      <c r="D769" t="s">
        <v>1281</v>
      </c>
      <c r="E769">
        <v>0</v>
      </c>
      <c r="F769">
        <v>25000000</v>
      </c>
      <c r="G769">
        <v>15389135.51</v>
      </c>
      <c r="H769">
        <v>1456873.65</v>
      </c>
      <c r="I769" t="s">
        <v>1925</v>
      </c>
      <c r="J769">
        <v>69655.070000000007</v>
      </c>
      <c r="K769">
        <v>1875000</v>
      </c>
      <c r="L769">
        <v>595046.56999999995</v>
      </c>
      <c r="M769">
        <v>20396231.199999999</v>
      </c>
      <c r="N769" s="711">
        <v>42515.69282207176</v>
      </c>
      <c r="O769" s="711">
        <v>43435</v>
      </c>
      <c r="P769" t="s">
        <v>2161</v>
      </c>
      <c r="Q769" t="s">
        <v>4143</v>
      </c>
      <c r="R769" t="s">
        <v>1280</v>
      </c>
      <c r="S769" t="s">
        <v>1510</v>
      </c>
      <c r="T769">
        <v>48</v>
      </c>
      <c r="U769">
        <f>IF(Table__192.168.1.150_M_CONSOLIDATED_Delinquency_Compulsory_EOM[[#This Row],[Days in Arrears]] &lt; 8, Table__192.168.1.150_M_CONSOLIDATED_Delinquency_Compulsory_EOM[[#This Row],[Outstanding Balance]], 0 )</f>
        <v>15389135.51</v>
      </c>
      <c r="V7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69" s="105" t="str">
        <f>VLOOKUP(Table__192.168.1.150_M_CONSOLIDATED_Delinquency_Compulsory_EOM[[#This Row],[Client No]],'Global Portfolio'!$B$2:$N$2500,10,FALSE)</f>
        <v>Wholesale Trade</v>
      </c>
      <c r="AA769" s="105" t="str">
        <f>VLOOKUP(Table__192.168.1.150_M_CONSOLIDATED_Delinquency_Compulsory_EOM[[#This Row],[Client No]],'Global Portfolio'!$B$2:$N$2500,11,FALSE)</f>
        <v>Nondurable Goods</v>
      </c>
      <c r="AB769" s="105" t="str">
        <f>VLOOKUP(Table__192.168.1.150_M_CONSOLIDATED_Delinquency_Compulsory_EOM[[#This Row],[Client No]],'Global Portfolio'!$B$2:$N$2500,12,FALSE)</f>
        <v>Drugs &amp; Druggists' Sundries</v>
      </c>
    </row>
    <row r="770" spans="1:28" x14ac:dyDescent="0.25">
      <c r="A770">
        <v>200172</v>
      </c>
      <c r="B770" t="s">
        <v>2166</v>
      </c>
      <c r="C770" t="s">
        <v>2172</v>
      </c>
      <c r="D770" t="s">
        <v>1283</v>
      </c>
      <c r="E770">
        <v>-2</v>
      </c>
      <c r="F770">
        <v>50000000</v>
      </c>
      <c r="G770">
        <v>34933347.789999999</v>
      </c>
      <c r="H770">
        <v>2421026.9500000002</v>
      </c>
      <c r="I770" t="s">
        <v>1909</v>
      </c>
      <c r="J770">
        <v>102516.59</v>
      </c>
      <c r="K770">
        <v>0</v>
      </c>
      <c r="L770">
        <v>1048000.43</v>
      </c>
      <c r="M770">
        <v>48420538.850000001</v>
      </c>
      <c r="N770" s="711">
        <v>42517.76865690972</v>
      </c>
      <c r="O770" s="711">
        <v>43619</v>
      </c>
      <c r="P770" t="s">
        <v>2173</v>
      </c>
      <c r="Q770" t="s">
        <v>1280</v>
      </c>
      <c r="R770" t="s">
        <v>1280</v>
      </c>
      <c r="S770" t="s">
        <v>1510</v>
      </c>
      <c r="T770">
        <v>40</v>
      </c>
      <c r="U770">
        <f>IF(Table__192.168.1.150_M_CONSOLIDATED_Delinquency_Compulsory_EOM[[#This Row],[Days in Arrears]] &lt; 8, Table__192.168.1.150_M_CONSOLIDATED_Delinquency_Compulsory_EOM[[#This Row],[Outstanding Balance]], 0 )</f>
        <v>34933347.789999999</v>
      </c>
      <c r="V7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0" s="105" t="str">
        <f>VLOOKUP(Table__192.168.1.150_M_CONSOLIDATED_Delinquency_Compulsory_EOM[[#This Row],[Client No]],'Global Portfolio'!$B$2:$N$2500,10,FALSE)</f>
        <v>Real Estate and Rental</v>
      </c>
      <c r="AA770" s="105" t="str">
        <f>VLOOKUP(Table__192.168.1.150_M_CONSOLIDATED_Delinquency_Compulsory_EOM[[#This Row],[Client No]],'Global Portfolio'!$B$2:$N$2500,11,FALSE)</f>
        <v>Real Estate</v>
      </c>
      <c r="AB770" s="105" t="str">
        <f>VLOOKUP(Table__192.168.1.150_M_CONSOLIDATED_Delinquency_Compulsory_EOM[[#This Row],[Client No]],'Global Portfolio'!$B$2:$N$2500,12,FALSE)</f>
        <v>Real Estate</v>
      </c>
    </row>
    <row r="771" spans="1:28" x14ac:dyDescent="0.25">
      <c r="A771">
        <v>200174</v>
      </c>
      <c r="B771" t="s">
        <v>2174</v>
      </c>
      <c r="C771" t="s">
        <v>2180</v>
      </c>
      <c r="D771" t="s">
        <v>1284</v>
      </c>
      <c r="E771">
        <v>0</v>
      </c>
      <c r="F771">
        <v>10000000</v>
      </c>
      <c r="G771">
        <v>4239983.12</v>
      </c>
      <c r="H771">
        <v>612535.29</v>
      </c>
      <c r="I771" t="s">
        <v>2175</v>
      </c>
      <c r="J771">
        <v>0</v>
      </c>
      <c r="K771">
        <v>500000</v>
      </c>
      <c r="L771">
        <v>136621.68</v>
      </c>
      <c r="M771">
        <v>4900282.24</v>
      </c>
      <c r="N771" s="711">
        <v>42520.713327662037</v>
      </c>
      <c r="O771" s="711">
        <v>43252</v>
      </c>
      <c r="P771" t="s">
        <v>2181</v>
      </c>
      <c r="Q771" t="s">
        <v>1280</v>
      </c>
      <c r="R771" t="s">
        <v>1280</v>
      </c>
      <c r="S771" t="s">
        <v>1510</v>
      </c>
      <c r="T771">
        <v>40</v>
      </c>
      <c r="U771">
        <f>IF(Table__192.168.1.150_M_CONSOLIDATED_Delinquency_Compulsory_EOM[[#This Row],[Days in Arrears]] &lt; 8, Table__192.168.1.150_M_CONSOLIDATED_Delinquency_Compulsory_EOM[[#This Row],[Outstanding Balance]], 0 )</f>
        <v>4239983.12</v>
      </c>
      <c r="V7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1" s="105" t="str">
        <f>VLOOKUP(Table__192.168.1.150_M_CONSOLIDATED_Delinquency_Compulsory_EOM[[#This Row],[Client No]],'Global Portfolio'!$B$2:$N$2500,10,FALSE)</f>
        <v>Wholesale Trade</v>
      </c>
      <c r="AA771" s="105" t="str">
        <f>VLOOKUP(Table__192.168.1.150_M_CONSOLIDATED_Delinquency_Compulsory_EOM[[#This Row],[Client No]],'Global Portfolio'!$B$2:$N$2500,11,FALSE)</f>
        <v>Durable Goods</v>
      </c>
      <c r="AB771" s="105" t="str">
        <f>VLOOKUP(Table__192.168.1.150_M_CONSOLIDATED_Delinquency_Compulsory_EOM[[#This Row],[Client No]],'Global Portfolio'!$B$2:$N$2500,12,FALSE)</f>
        <v>Others</v>
      </c>
    </row>
    <row r="772" spans="1:28" x14ac:dyDescent="0.25">
      <c r="A772">
        <v>200177</v>
      </c>
      <c r="B772" t="s">
        <v>2194</v>
      </c>
      <c r="C772" t="s">
        <v>2203</v>
      </c>
      <c r="D772" t="s">
        <v>1284</v>
      </c>
      <c r="E772">
        <v>0</v>
      </c>
      <c r="F772">
        <v>42000000</v>
      </c>
      <c r="G772">
        <v>32258449.359999999</v>
      </c>
      <c r="H772">
        <v>1874399.21</v>
      </c>
      <c r="I772" t="s">
        <v>491</v>
      </c>
      <c r="J772">
        <v>145122.99</v>
      </c>
      <c r="K772">
        <v>0</v>
      </c>
      <c r="L772">
        <v>1039438.92</v>
      </c>
      <c r="M772">
        <v>48734379.329999998</v>
      </c>
      <c r="N772" s="711">
        <v>42521.653327465276</v>
      </c>
      <c r="O772" s="711">
        <v>43800</v>
      </c>
      <c r="P772" t="s">
        <v>2204</v>
      </c>
      <c r="Q772" t="s">
        <v>1280</v>
      </c>
      <c r="R772" t="s">
        <v>1280</v>
      </c>
      <c r="S772" t="s">
        <v>1510</v>
      </c>
      <c r="T772">
        <v>40</v>
      </c>
      <c r="U772">
        <f>IF(Table__192.168.1.150_M_CONSOLIDATED_Delinquency_Compulsory_EOM[[#This Row],[Days in Arrears]] &lt; 8, Table__192.168.1.150_M_CONSOLIDATED_Delinquency_Compulsory_EOM[[#This Row],[Outstanding Balance]], 0 )</f>
        <v>32258449.359999999</v>
      </c>
      <c r="V7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2" s="105" t="str">
        <f>VLOOKUP(Table__192.168.1.150_M_CONSOLIDATED_Delinquency_Compulsory_EOM[[#This Row],[Client No]],'Global Portfolio'!$B$2:$N$2500,10,FALSE)</f>
        <v>Real Estate and Rental</v>
      </c>
      <c r="AA772" s="105" t="str">
        <f>VLOOKUP(Table__192.168.1.150_M_CONSOLIDATED_Delinquency_Compulsory_EOM[[#This Row],[Client No]],'Global Portfolio'!$B$2:$N$2500,11,FALSE)</f>
        <v>Real Estate</v>
      </c>
      <c r="AB772" s="105" t="str">
        <f>VLOOKUP(Table__192.168.1.150_M_CONSOLIDATED_Delinquency_Compulsory_EOM[[#This Row],[Client No]],'Global Portfolio'!$B$2:$N$2500,12,FALSE)</f>
        <v>Real Estate</v>
      </c>
    </row>
    <row r="773" spans="1:28" x14ac:dyDescent="0.25">
      <c r="A773">
        <v>200178</v>
      </c>
      <c r="B773" t="s">
        <v>2190</v>
      </c>
      <c r="C773" t="s">
        <v>2205</v>
      </c>
      <c r="D773" t="s">
        <v>1281</v>
      </c>
      <c r="E773">
        <v>0</v>
      </c>
      <c r="F773">
        <v>15100000</v>
      </c>
      <c r="G773">
        <v>2252616.69</v>
      </c>
      <c r="H773">
        <v>1194328.48</v>
      </c>
      <c r="I773" t="s">
        <v>2034</v>
      </c>
      <c r="J773">
        <v>0</v>
      </c>
      <c r="K773">
        <v>0</v>
      </c>
      <c r="L773">
        <v>87101.18</v>
      </c>
      <c r="M773">
        <v>2388657.08</v>
      </c>
      <c r="N773" s="711">
        <v>42521.717520486112</v>
      </c>
      <c r="O773" s="711">
        <v>43070</v>
      </c>
      <c r="P773" t="s">
        <v>2206</v>
      </c>
      <c r="Q773" t="s">
        <v>1280</v>
      </c>
      <c r="R773" t="s">
        <v>1280</v>
      </c>
      <c r="S773" t="s">
        <v>1510</v>
      </c>
      <c r="T773">
        <v>48</v>
      </c>
      <c r="U773">
        <f>IF(Table__192.168.1.150_M_CONSOLIDATED_Delinquency_Compulsory_EOM[[#This Row],[Days in Arrears]] &lt; 8, Table__192.168.1.150_M_CONSOLIDATED_Delinquency_Compulsory_EOM[[#This Row],[Outstanding Balance]], 0 )</f>
        <v>2252616.69</v>
      </c>
      <c r="V7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3" s="105" t="str">
        <f>VLOOKUP(Table__192.168.1.150_M_CONSOLIDATED_Delinquency_Compulsory_EOM[[#This Row],[Client No]],'Global Portfolio'!$B$2:$N$2500,10,FALSE)</f>
        <v>Retail</v>
      </c>
      <c r="AA773" s="105" t="str">
        <f>VLOOKUP(Table__192.168.1.150_M_CONSOLIDATED_Delinquency_Compulsory_EOM[[#This Row],[Client No]],'Global Portfolio'!$B$2:$N$2500,11,FALSE)</f>
        <v>Others</v>
      </c>
      <c r="AB773" s="105" t="str">
        <f>VLOOKUP(Table__192.168.1.150_M_CONSOLIDATED_Delinquency_Compulsory_EOM[[#This Row],[Client No]],'Global Portfolio'!$B$2:$N$2500,12,FALSE)</f>
        <v>Others</v>
      </c>
    </row>
    <row r="774" spans="1:28" x14ac:dyDescent="0.25">
      <c r="A774">
        <v>200180</v>
      </c>
      <c r="B774" t="s">
        <v>2187</v>
      </c>
      <c r="C774" t="s">
        <v>2207</v>
      </c>
      <c r="D774" t="s">
        <v>1283</v>
      </c>
      <c r="E774">
        <v>-9</v>
      </c>
      <c r="F774">
        <v>31000000</v>
      </c>
      <c r="G774">
        <v>13271010.779999999</v>
      </c>
      <c r="H774">
        <v>1917215.71</v>
      </c>
      <c r="I774" t="s">
        <v>1191</v>
      </c>
      <c r="J774">
        <v>6439.45</v>
      </c>
      <c r="K774">
        <v>1550000</v>
      </c>
      <c r="L774">
        <v>294911.34999999998</v>
      </c>
      <c r="M774">
        <v>15337725.82</v>
      </c>
      <c r="N774" s="711">
        <v>42521.676000694446</v>
      </c>
      <c r="O774" s="711">
        <v>43261</v>
      </c>
      <c r="P774" t="s">
        <v>2208</v>
      </c>
      <c r="Q774" t="s">
        <v>1280</v>
      </c>
      <c r="R774" t="s">
        <v>2209</v>
      </c>
      <c r="S774" t="s">
        <v>1510</v>
      </c>
      <c r="T774">
        <v>40</v>
      </c>
      <c r="U774">
        <f>IF(Table__192.168.1.150_M_CONSOLIDATED_Delinquency_Compulsory_EOM[[#This Row],[Days in Arrears]] &lt; 8, Table__192.168.1.150_M_CONSOLIDATED_Delinquency_Compulsory_EOM[[#This Row],[Outstanding Balance]], 0 )</f>
        <v>13271010.779999999</v>
      </c>
      <c r="V7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4" s="105" t="str">
        <f>VLOOKUP(Table__192.168.1.150_M_CONSOLIDATED_Delinquency_Compulsory_EOM[[#This Row],[Client No]],'Global Portfolio'!$B$2:$N$2500,10,FALSE)</f>
        <v>Agriculture, Forestry, Fishing and Hunting</v>
      </c>
      <c r="AA774" s="105" t="str">
        <f>VLOOKUP(Table__192.168.1.150_M_CONSOLIDATED_Delinquency_Compulsory_EOM[[#This Row],[Client No]],'Global Portfolio'!$B$2:$N$2500,11,FALSE)</f>
        <v>Animal Production</v>
      </c>
      <c r="AB774" s="105" t="str">
        <f>VLOOKUP(Table__192.168.1.150_M_CONSOLIDATED_Delinquency_Compulsory_EOM[[#This Row],[Client No]],'Global Portfolio'!$B$2:$N$2500,12,FALSE)</f>
        <v>Other Animal Production</v>
      </c>
    </row>
    <row r="775" spans="1:28" x14ac:dyDescent="0.25">
      <c r="A775">
        <v>200187</v>
      </c>
      <c r="B775" t="s">
        <v>2216</v>
      </c>
      <c r="C775" t="s">
        <v>2220</v>
      </c>
      <c r="D775" t="s">
        <v>1279</v>
      </c>
      <c r="E775">
        <v>175</v>
      </c>
      <c r="F775">
        <v>3000000</v>
      </c>
      <c r="G775">
        <v>616104.94999999995</v>
      </c>
      <c r="H775">
        <v>328998.57</v>
      </c>
      <c r="I775" t="s">
        <v>1925</v>
      </c>
      <c r="J775">
        <v>0</v>
      </c>
      <c r="K775">
        <v>0</v>
      </c>
      <c r="L775">
        <v>41419.870000000003</v>
      </c>
      <c r="M775">
        <v>657997.06999999995</v>
      </c>
      <c r="N775" s="711">
        <v>42527.615072256944</v>
      </c>
      <c r="O775" s="711">
        <v>42892</v>
      </c>
      <c r="P775" t="s">
        <v>2221</v>
      </c>
      <c r="Q775" t="s">
        <v>1280</v>
      </c>
      <c r="R775" t="s">
        <v>1280</v>
      </c>
      <c r="S775" t="s">
        <v>1510</v>
      </c>
      <c r="T775">
        <v>54</v>
      </c>
      <c r="U775">
        <f>IF(Table__192.168.1.150_M_CONSOLIDATED_Delinquency_Compulsory_EOM[[#This Row],[Days in Arrears]] &lt; 8, Table__192.168.1.150_M_CONSOLIDATED_Delinquency_Compulsory_EOM[[#This Row],[Outstanding Balance]], 0 )</f>
        <v>0</v>
      </c>
      <c r="V7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616104.94999999995</v>
      </c>
      <c r="Z775" s="105" t="str">
        <f>VLOOKUP(Table__192.168.1.150_M_CONSOLIDATED_Delinquency_Compulsory_EOM[[#This Row],[Client No]],'Global Portfolio'!$B$2:$N$2500,10,FALSE)</f>
        <v>Retail</v>
      </c>
      <c r="AA775" s="105" t="str">
        <f>VLOOKUP(Table__192.168.1.150_M_CONSOLIDATED_Delinquency_Compulsory_EOM[[#This Row],[Client No]],'Global Portfolio'!$B$2:$N$2500,11,FALSE)</f>
        <v>General Merchandise Stores</v>
      </c>
      <c r="AB775" s="105" t="str">
        <f>VLOOKUP(Table__192.168.1.150_M_CONSOLIDATED_Delinquency_Compulsory_EOM[[#This Row],[Client No]],'Global Portfolio'!$B$2:$N$2500,12,FALSE)</f>
        <v>Others</v>
      </c>
    </row>
    <row r="776" spans="1:28" x14ac:dyDescent="0.25">
      <c r="A776">
        <v>200189</v>
      </c>
      <c r="B776" t="s">
        <v>2227</v>
      </c>
      <c r="C776" t="s">
        <v>2228</v>
      </c>
      <c r="D776" t="s">
        <v>1866</v>
      </c>
      <c r="E776">
        <v>139</v>
      </c>
      <c r="F776">
        <v>6000000</v>
      </c>
      <c r="G776">
        <v>622995.24</v>
      </c>
      <c r="H776">
        <v>648953.43999999994</v>
      </c>
      <c r="I776" t="s">
        <v>1667</v>
      </c>
      <c r="J776">
        <v>0</v>
      </c>
      <c r="K776">
        <v>0</v>
      </c>
      <c r="L776">
        <v>25958.14</v>
      </c>
      <c r="M776">
        <v>648953.38</v>
      </c>
      <c r="N776" s="711">
        <v>42529.505429247685</v>
      </c>
      <c r="O776" s="711">
        <v>42898</v>
      </c>
      <c r="P776" t="s">
        <v>2229</v>
      </c>
      <c r="Q776" t="s">
        <v>1280</v>
      </c>
      <c r="R776" t="s">
        <v>1280</v>
      </c>
      <c r="S776" t="s">
        <v>1510</v>
      </c>
      <c r="T776">
        <v>50</v>
      </c>
      <c r="U776">
        <f>IF(Table__192.168.1.150_M_CONSOLIDATED_Delinquency_Compulsory_EOM[[#This Row],[Days in Arrears]] &lt; 8, Table__192.168.1.150_M_CONSOLIDATED_Delinquency_Compulsory_EOM[[#This Row],[Outstanding Balance]], 0 )</f>
        <v>0</v>
      </c>
      <c r="V7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622995.24</v>
      </c>
      <c r="Z776" s="105" t="str">
        <f>VLOOKUP(Table__192.168.1.150_M_CONSOLIDATED_Delinquency_Compulsory_EOM[[#This Row],[Client No]],'Global Portfolio'!$B$2:$N$2500,10,FALSE)</f>
        <v>Construction</v>
      </c>
      <c r="AA776" s="105" t="str">
        <f>VLOOKUP(Table__192.168.1.150_M_CONSOLIDATED_Delinquency_Compulsory_EOM[[#This Row],[Client No]],'Global Portfolio'!$B$2:$N$2500,11,FALSE)</f>
        <v>Construction of Buildings</v>
      </c>
      <c r="AB776" s="105" t="str">
        <f>VLOOKUP(Table__192.168.1.150_M_CONSOLIDATED_Delinquency_Compulsory_EOM[[#This Row],[Client No]],'Global Portfolio'!$B$2:$N$2500,12,FALSE)</f>
        <v>Others</v>
      </c>
    </row>
    <row r="777" spans="1:28" x14ac:dyDescent="0.25">
      <c r="A777">
        <v>200190</v>
      </c>
      <c r="B777" t="s">
        <v>2226</v>
      </c>
      <c r="C777" t="s">
        <v>2230</v>
      </c>
      <c r="D777" t="s">
        <v>1283</v>
      </c>
      <c r="E777">
        <v>-9</v>
      </c>
      <c r="F777">
        <v>50000000</v>
      </c>
      <c r="G777">
        <v>7134709.25</v>
      </c>
      <c r="H777">
        <v>3746697.06</v>
      </c>
      <c r="I777" t="s">
        <v>1925</v>
      </c>
      <c r="J777">
        <v>78151.740000000005</v>
      </c>
      <c r="K777">
        <v>2500000</v>
      </c>
      <c r="L777">
        <v>158549.09</v>
      </c>
      <c r="M777">
        <v>7493394.0800000001</v>
      </c>
      <c r="N777" s="711">
        <v>42529.687446875003</v>
      </c>
      <c r="O777" s="711">
        <v>43079</v>
      </c>
      <c r="P777" t="s">
        <v>2231</v>
      </c>
      <c r="Q777" t="s">
        <v>1280</v>
      </c>
      <c r="R777" t="s">
        <v>1280</v>
      </c>
      <c r="S777" t="s">
        <v>1510</v>
      </c>
      <c r="T777">
        <v>40</v>
      </c>
      <c r="U777">
        <f>IF(Table__192.168.1.150_M_CONSOLIDATED_Delinquency_Compulsory_EOM[[#This Row],[Days in Arrears]] &lt; 8, Table__192.168.1.150_M_CONSOLIDATED_Delinquency_Compulsory_EOM[[#This Row],[Outstanding Balance]], 0 )</f>
        <v>7134709.25</v>
      </c>
      <c r="V7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7" s="105" t="str">
        <f>VLOOKUP(Table__192.168.1.150_M_CONSOLIDATED_Delinquency_Compulsory_EOM[[#This Row],[Client No]],'Global Portfolio'!$B$2:$N$2500,10,FALSE)</f>
        <v>Retail</v>
      </c>
      <c r="AA777" s="105" t="str">
        <f>VLOOKUP(Table__192.168.1.150_M_CONSOLIDATED_Delinquency_Compulsory_EOM[[#This Row],[Client No]],'Global Portfolio'!$B$2:$N$2500,11,FALSE)</f>
        <v>General Merchandise Stores</v>
      </c>
      <c r="AB777" s="105" t="str">
        <f>VLOOKUP(Table__192.168.1.150_M_CONSOLIDATED_Delinquency_Compulsory_EOM[[#This Row],[Client No]],'Global Portfolio'!$B$2:$N$2500,12,FALSE)</f>
        <v>General Stores</v>
      </c>
    </row>
    <row r="778" spans="1:28" x14ac:dyDescent="0.25">
      <c r="A778">
        <v>200194</v>
      </c>
      <c r="B778" t="s">
        <v>2247</v>
      </c>
      <c r="C778" t="s">
        <v>2252</v>
      </c>
      <c r="D778" t="s">
        <v>1283</v>
      </c>
      <c r="E778">
        <v>20</v>
      </c>
      <c r="F778">
        <v>46000000</v>
      </c>
      <c r="G778">
        <v>33044254.620000001</v>
      </c>
      <c r="H778">
        <v>2213066.94</v>
      </c>
      <c r="I778" t="s">
        <v>1925</v>
      </c>
      <c r="J778">
        <v>0</v>
      </c>
      <c r="K778">
        <v>0</v>
      </c>
      <c r="L778">
        <v>1101475.1499999999</v>
      </c>
      <c r="M778">
        <v>46310461.18</v>
      </c>
      <c r="N778" s="711">
        <v>42532.504003240741</v>
      </c>
      <c r="O778" s="711">
        <v>43627</v>
      </c>
      <c r="P778" t="s">
        <v>2253</v>
      </c>
      <c r="Q778" t="s">
        <v>1280</v>
      </c>
      <c r="R778" t="s">
        <v>1280</v>
      </c>
      <c r="S778" t="s">
        <v>1510</v>
      </c>
      <c r="T778">
        <v>40</v>
      </c>
      <c r="U778">
        <f>IF(Table__192.168.1.150_M_CONSOLIDATED_Delinquency_Compulsory_EOM[[#This Row],[Days in Arrears]] &lt; 8, Table__192.168.1.150_M_CONSOLIDATED_Delinquency_Compulsory_EOM[[#This Row],[Outstanding Balance]], 0 )</f>
        <v>0</v>
      </c>
      <c r="V7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33044254.620000001</v>
      </c>
      <c r="W7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8" s="105" t="str">
        <f>VLOOKUP(Table__192.168.1.150_M_CONSOLIDATED_Delinquency_Compulsory_EOM[[#This Row],[Client No]],'Global Portfolio'!$B$2:$N$2500,10,FALSE)</f>
        <v>Wholesale Trade</v>
      </c>
      <c r="AA778" s="105" t="str">
        <f>VLOOKUP(Table__192.168.1.150_M_CONSOLIDATED_Delinquency_Compulsory_EOM[[#This Row],[Client No]],'Global Portfolio'!$B$2:$N$2500,11,FALSE)</f>
        <v>Durable Goods</v>
      </c>
      <c r="AB778" s="105" t="str">
        <f>VLOOKUP(Table__192.168.1.150_M_CONSOLIDATED_Delinquency_Compulsory_EOM[[#This Row],[Client No]],'Global Portfolio'!$B$2:$N$2500,12,FALSE)</f>
        <v>Hardware, &amp; Plumbing &amp; Heating Equipment</v>
      </c>
    </row>
    <row r="779" spans="1:28" x14ac:dyDescent="0.25">
      <c r="A779">
        <v>200199</v>
      </c>
      <c r="B779" t="s">
        <v>2259</v>
      </c>
      <c r="C779" t="s">
        <v>2262</v>
      </c>
      <c r="D779" t="s">
        <v>1282</v>
      </c>
      <c r="E779">
        <v>-14</v>
      </c>
      <c r="F779">
        <v>8000000</v>
      </c>
      <c r="G779">
        <v>3640244.7</v>
      </c>
      <c r="H779">
        <v>551896.24</v>
      </c>
      <c r="I779" t="s">
        <v>1909</v>
      </c>
      <c r="J779">
        <v>127520.92</v>
      </c>
      <c r="K779">
        <v>800000</v>
      </c>
      <c r="L779">
        <v>81905.509999999995</v>
      </c>
      <c r="M779">
        <v>4415169.9000000004</v>
      </c>
      <c r="N779" s="711">
        <v>42536.539414733794</v>
      </c>
      <c r="O779" s="711">
        <v>43266</v>
      </c>
      <c r="P779" t="s">
        <v>2263</v>
      </c>
      <c r="Q779" t="s">
        <v>1280</v>
      </c>
      <c r="R779" t="s">
        <v>1280</v>
      </c>
      <c r="S779" t="s">
        <v>1510</v>
      </c>
      <c r="T779">
        <v>54</v>
      </c>
      <c r="U779">
        <f>IF(Table__192.168.1.150_M_CONSOLIDATED_Delinquency_Compulsory_EOM[[#This Row],[Days in Arrears]] &lt; 8, Table__192.168.1.150_M_CONSOLIDATED_Delinquency_Compulsory_EOM[[#This Row],[Outstanding Balance]], 0 )</f>
        <v>3640244.7</v>
      </c>
      <c r="V7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79" s="105" t="str">
        <f>VLOOKUP(Table__192.168.1.150_M_CONSOLIDATED_Delinquency_Compulsory_EOM[[#This Row],[Client No]],'Global Portfolio'!$B$2:$N$2500,10,FALSE)</f>
        <v>Real Estate and Rental</v>
      </c>
      <c r="AA779" s="105" t="str">
        <f>VLOOKUP(Table__192.168.1.150_M_CONSOLIDATED_Delinquency_Compulsory_EOM[[#This Row],[Client No]],'Global Portfolio'!$B$2:$N$2500,11,FALSE)</f>
        <v>Rental</v>
      </c>
      <c r="AB779" s="105" t="str">
        <f>VLOOKUP(Table__192.168.1.150_M_CONSOLIDATED_Delinquency_Compulsory_EOM[[#This Row],[Client No]],'Global Portfolio'!$B$2:$N$2500,12,FALSE)</f>
        <v>Others</v>
      </c>
    </row>
    <row r="780" spans="1:28" x14ac:dyDescent="0.25">
      <c r="A780">
        <v>200201</v>
      </c>
      <c r="B780" t="s">
        <v>2256</v>
      </c>
      <c r="C780" t="s">
        <v>2264</v>
      </c>
      <c r="D780" t="s">
        <v>1283</v>
      </c>
      <c r="E780">
        <v>16</v>
      </c>
      <c r="F780">
        <v>46000000</v>
      </c>
      <c r="G780">
        <v>21578331.32</v>
      </c>
      <c r="H780">
        <v>2814635.83</v>
      </c>
      <c r="I780" t="s">
        <v>963</v>
      </c>
      <c r="J780">
        <v>0</v>
      </c>
      <c r="K780">
        <v>0</v>
      </c>
      <c r="L780">
        <v>1043993.93</v>
      </c>
      <c r="M780">
        <v>25331722.579999998</v>
      </c>
      <c r="N780" s="711">
        <v>42536.680900578707</v>
      </c>
      <c r="O780" s="711">
        <v>43266</v>
      </c>
      <c r="P780" t="s">
        <v>2265</v>
      </c>
      <c r="Q780" t="s">
        <v>1280</v>
      </c>
      <c r="R780" t="s">
        <v>1280</v>
      </c>
      <c r="S780" t="s">
        <v>1510</v>
      </c>
      <c r="T780">
        <v>40</v>
      </c>
      <c r="U780">
        <f>IF(Table__192.168.1.150_M_CONSOLIDATED_Delinquency_Compulsory_EOM[[#This Row],[Days in Arrears]] &lt; 8, Table__192.168.1.150_M_CONSOLIDATED_Delinquency_Compulsory_EOM[[#This Row],[Outstanding Balance]], 0 )</f>
        <v>0</v>
      </c>
      <c r="V7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21578331.32</v>
      </c>
      <c r="W7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0" s="105" t="str">
        <f>VLOOKUP(Table__192.168.1.150_M_CONSOLIDATED_Delinquency_Compulsory_EOM[[#This Row],[Client No]],'Global Portfolio'!$B$2:$N$2500,10,FALSE)</f>
        <v>Manufacturing</v>
      </c>
      <c r="AA780" s="105" t="str">
        <f>VLOOKUP(Table__192.168.1.150_M_CONSOLIDATED_Delinquency_Compulsory_EOM[[#This Row],[Client No]],'Global Portfolio'!$B$2:$N$2500,11,FALSE)</f>
        <v>Food Manufacturing</v>
      </c>
      <c r="AB780" s="105" t="str">
        <f>VLOOKUP(Table__192.168.1.150_M_CONSOLIDATED_Delinquency_Compulsory_EOM[[#This Row],[Client No]],'Global Portfolio'!$B$2:$N$2500,12,FALSE)</f>
        <v>Others</v>
      </c>
    </row>
    <row r="781" spans="1:28" x14ac:dyDescent="0.25">
      <c r="A781">
        <v>200202</v>
      </c>
      <c r="B781" t="s">
        <v>2257</v>
      </c>
      <c r="C781" t="s">
        <v>2266</v>
      </c>
      <c r="D781" t="s">
        <v>1281</v>
      </c>
      <c r="E781">
        <v>-14</v>
      </c>
      <c r="F781">
        <v>15100000</v>
      </c>
      <c r="G781">
        <v>2249732.4500000002</v>
      </c>
      <c r="H781">
        <v>1192799.25</v>
      </c>
      <c r="I781" t="s">
        <v>1191</v>
      </c>
      <c r="J781">
        <v>0</v>
      </c>
      <c r="K781">
        <v>0</v>
      </c>
      <c r="L781">
        <v>132405.07</v>
      </c>
      <c r="M781">
        <v>2385598.65</v>
      </c>
      <c r="N781" s="711">
        <v>42536.693507407406</v>
      </c>
      <c r="O781" s="711">
        <v>43084</v>
      </c>
      <c r="P781" t="s">
        <v>2267</v>
      </c>
      <c r="Q781" t="s">
        <v>1280</v>
      </c>
      <c r="R781" t="s">
        <v>1280</v>
      </c>
      <c r="S781" t="s">
        <v>1510</v>
      </c>
      <c r="T781">
        <v>48</v>
      </c>
      <c r="U781">
        <f>IF(Table__192.168.1.150_M_CONSOLIDATED_Delinquency_Compulsory_EOM[[#This Row],[Days in Arrears]] &lt; 8, Table__192.168.1.150_M_CONSOLIDATED_Delinquency_Compulsory_EOM[[#This Row],[Outstanding Balance]], 0 )</f>
        <v>2249732.4500000002</v>
      </c>
      <c r="V7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1" s="105" t="str">
        <f>VLOOKUP(Table__192.168.1.150_M_CONSOLIDATED_Delinquency_Compulsory_EOM[[#This Row],[Client No]],'Global Portfolio'!$B$2:$N$2500,10,FALSE)</f>
        <v>Retail</v>
      </c>
      <c r="AA781" s="105" t="str">
        <f>VLOOKUP(Table__192.168.1.150_M_CONSOLIDATED_Delinquency_Compulsory_EOM[[#This Row],[Client No]],'Global Portfolio'!$B$2:$N$2500,11,FALSE)</f>
        <v>General Merchandise Stores</v>
      </c>
      <c r="AB781" s="105" t="str">
        <f>VLOOKUP(Table__192.168.1.150_M_CONSOLIDATED_Delinquency_Compulsory_EOM[[#This Row],[Client No]],'Global Portfolio'!$B$2:$N$2500,12,FALSE)</f>
        <v>General Stores</v>
      </c>
    </row>
    <row r="782" spans="1:28" x14ac:dyDescent="0.25">
      <c r="A782">
        <v>200223</v>
      </c>
      <c r="B782" t="s">
        <v>2338</v>
      </c>
      <c r="C782" t="s">
        <v>2341</v>
      </c>
      <c r="D782" t="s">
        <v>1279</v>
      </c>
      <c r="E782">
        <v>127</v>
      </c>
      <c r="F782">
        <v>8000000</v>
      </c>
      <c r="G782">
        <v>826253.68</v>
      </c>
      <c r="H782">
        <v>860680.95</v>
      </c>
      <c r="I782" t="s">
        <v>5724</v>
      </c>
      <c r="J782">
        <v>0</v>
      </c>
      <c r="K782">
        <v>0</v>
      </c>
      <c r="L782">
        <v>34427.24</v>
      </c>
      <c r="M782">
        <v>860680.92</v>
      </c>
      <c r="N782" s="711">
        <v>42545.78184560185</v>
      </c>
      <c r="O782" s="711">
        <v>42910</v>
      </c>
      <c r="P782" t="s">
        <v>2342</v>
      </c>
      <c r="Q782" t="s">
        <v>1280</v>
      </c>
      <c r="R782" t="s">
        <v>1280</v>
      </c>
      <c r="S782" t="s">
        <v>1510</v>
      </c>
      <c r="T782">
        <v>50</v>
      </c>
      <c r="U782">
        <f>IF(Table__192.168.1.150_M_CONSOLIDATED_Delinquency_Compulsory_EOM[[#This Row],[Days in Arrears]] &lt; 8, Table__192.168.1.150_M_CONSOLIDATED_Delinquency_Compulsory_EOM[[#This Row],[Outstanding Balance]], 0 )</f>
        <v>0</v>
      </c>
      <c r="V7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826253.68</v>
      </c>
      <c r="Z782" s="105" t="str">
        <f>VLOOKUP(Table__192.168.1.150_M_CONSOLIDATED_Delinquency_Compulsory_EOM[[#This Row],[Client No]],'Global Portfolio'!$B$2:$N$2500,10,FALSE)</f>
        <v>Retail</v>
      </c>
      <c r="AA782" s="105" t="str">
        <f>VLOOKUP(Table__192.168.1.150_M_CONSOLIDATED_Delinquency_Compulsory_EOM[[#This Row],[Client No]],'Global Portfolio'!$B$2:$N$2500,11,FALSE)</f>
        <v>Food and Beverage Stores</v>
      </c>
      <c r="AB782" s="105" t="str">
        <f>VLOOKUP(Table__192.168.1.150_M_CONSOLIDATED_Delinquency_Compulsory_EOM[[#This Row],[Client No]],'Global Portfolio'!$B$2:$N$2500,12,FALSE)</f>
        <v>Fruit &amp; Vegetable Markets</v>
      </c>
    </row>
    <row r="783" spans="1:28" x14ac:dyDescent="0.25">
      <c r="A783">
        <v>200225</v>
      </c>
      <c r="B783" t="s">
        <v>2343</v>
      </c>
      <c r="C783" t="s">
        <v>2344</v>
      </c>
      <c r="D783" t="s">
        <v>1283</v>
      </c>
      <c r="E783">
        <v>0</v>
      </c>
      <c r="F783">
        <v>40000000</v>
      </c>
      <c r="G783">
        <v>28919515.920000002</v>
      </c>
      <c r="H783">
        <v>1936821.56</v>
      </c>
      <c r="I783" t="s">
        <v>1925</v>
      </c>
      <c r="J783">
        <v>1146781.71</v>
      </c>
      <c r="K783">
        <v>0</v>
      </c>
      <c r="L783">
        <v>1606376.2</v>
      </c>
      <c r="M783">
        <v>40673252.609999999</v>
      </c>
      <c r="N783" s="711">
        <v>42546.556387418983</v>
      </c>
      <c r="O783" s="711">
        <v>43647</v>
      </c>
      <c r="P783" t="s">
        <v>2345</v>
      </c>
      <c r="Q783" t="s">
        <v>2346</v>
      </c>
      <c r="R783" t="s">
        <v>1280</v>
      </c>
      <c r="S783" t="s">
        <v>1510</v>
      </c>
      <c r="T783">
        <v>40</v>
      </c>
      <c r="U783">
        <f>IF(Table__192.168.1.150_M_CONSOLIDATED_Delinquency_Compulsory_EOM[[#This Row],[Days in Arrears]] &lt; 8, Table__192.168.1.150_M_CONSOLIDATED_Delinquency_Compulsory_EOM[[#This Row],[Outstanding Balance]], 0 )</f>
        <v>28919515.920000002</v>
      </c>
      <c r="V7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3" s="105" t="str">
        <f>VLOOKUP(Table__192.168.1.150_M_CONSOLIDATED_Delinquency_Compulsory_EOM[[#This Row],[Client No]],'Global Portfolio'!$B$2:$N$2500,10,FALSE)</f>
        <v>Educational Services</v>
      </c>
      <c r="AA783" s="105" t="str">
        <f>VLOOKUP(Table__192.168.1.150_M_CONSOLIDATED_Delinquency_Compulsory_EOM[[#This Row],[Client No]],'Global Portfolio'!$B$2:$N$2500,11,FALSE)</f>
        <v>Educational Services</v>
      </c>
      <c r="AB783" s="105" t="str">
        <f>VLOOKUP(Table__192.168.1.150_M_CONSOLIDATED_Delinquency_Compulsory_EOM[[#This Row],[Client No]],'Global Portfolio'!$B$2:$N$2500,12,FALSE)</f>
        <v>Schools</v>
      </c>
    </row>
    <row r="784" spans="1:28" x14ac:dyDescent="0.25">
      <c r="A784">
        <v>200226</v>
      </c>
      <c r="B784" t="s">
        <v>2347</v>
      </c>
      <c r="C784" t="s">
        <v>2354</v>
      </c>
      <c r="D784" t="s">
        <v>1283</v>
      </c>
      <c r="E784">
        <v>-1</v>
      </c>
      <c r="F784">
        <v>46000000</v>
      </c>
      <c r="G784">
        <v>33221911.890000001</v>
      </c>
      <c r="H784">
        <v>2224965.15</v>
      </c>
      <c r="I784" t="s">
        <v>491</v>
      </c>
      <c r="J784">
        <v>283825.93</v>
      </c>
      <c r="K784">
        <v>2300000</v>
      </c>
      <c r="L784">
        <v>1033570.59</v>
      </c>
      <c r="M784">
        <v>46724268.119999997</v>
      </c>
      <c r="N784" s="711">
        <v>42548.554626041667</v>
      </c>
      <c r="O784" s="711">
        <v>43648</v>
      </c>
      <c r="P784" t="s">
        <v>2355</v>
      </c>
      <c r="Q784" t="s">
        <v>1280</v>
      </c>
      <c r="R784" t="s">
        <v>2356</v>
      </c>
      <c r="S784" t="s">
        <v>1510</v>
      </c>
      <c r="T784">
        <v>40</v>
      </c>
      <c r="U784">
        <f>IF(Table__192.168.1.150_M_CONSOLIDATED_Delinquency_Compulsory_EOM[[#This Row],[Days in Arrears]] &lt; 8, Table__192.168.1.150_M_CONSOLIDATED_Delinquency_Compulsory_EOM[[#This Row],[Outstanding Balance]], 0 )</f>
        <v>33221911.890000001</v>
      </c>
      <c r="V7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4" s="105" t="str">
        <f>VLOOKUP(Table__192.168.1.150_M_CONSOLIDATED_Delinquency_Compulsory_EOM[[#This Row],[Client No]],'Global Portfolio'!$B$2:$N$2500,10,FALSE)</f>
        <v>Restaurants and Hotels</v>
      </c>
      <c r="AA784" s="105" t="str">
        <f>VLOOKUP(Table__192.168.1.150_M_CONSOLIDATED_Delinquency_Compulsory_EOM[[#This Row],[Client No]],'Global Portfolio'!$B$2:$N$2500,11,FALSE)</f>
        <v>Hotel</v>
      </c>
      <c r="AB784" s="105" t="str">
        <f>VLOOKUP(Table__192.168.1.150_M_CONSOLIDATED_Delinquency_Compulsory_EOM[[#This Row],[Client No]],'Global Portfolio'!$B$2:$N$2500,12,FALSE)</f>
        <v>Hotel</v>
      </c>
    </row>
    <row r="785" spans="1:28" x14ac:dyDescent="0.25">
      <c r="A785">
        <v>200228</v>
      </c>
      <c r="B785" t="s">
        <v>2348</v>
      </c>
      <c r="C785" t="s">
        <v>2357</v>
      </c>
      <c r="D785" t="s">
        <v>1282</v>
      </c>
      <c r="E785">
        <v>-4</v>
      </c>
      <c r="F785">
        <v>15000000</v>
      </c>
      <c r="G785">
        <v>3429934.16</v>
      </c>
      <c r="H785">
        <v>1247718.67</v>
      </c>
      <c r="I785" t="s">
        <v>90</v>
      </c>
      <c r="J785">
        <v>0</v>
      </c>
      <c r="K785">
        <v>1500000</v>
      </c>
      <c r="L785">
        <v>128622.53</v>
      </c>
      <c r="M785">
        <v>3743156.02</v>
      </c>
      <c r="N785" s="711">
        <v>42548.781287534723</v>
      </c>
      <c r="O785" s="711">
        <v>43105</v>
      </c>
      <c r="P785" t="s">
        <v>2358</v>
      </c>
      <c r="Q785" t="s">
        <v>1280</v>
      </c>
      <c r="R785" t="s">
        <v>1280</v>
      </c>
      <c r="S785" t="s">
        <v>1510</v>
      </c>
      <c r="T785">
        <v>54</v>
      </c>
      <c r="U785">
        <f>IF(Table__192.168.1.150_M_CONSOLIDATED_Delinquency_Compulsory_EOM[[#This Row],[Days in Arrears]] &lt; 8, Table__192.168.1.150_M_CONSOLIDATED_Delinquency_Compulsory_EOM[[#This Row],[Outstanding Balance]], 0 )</f>
        <v>3429934.16</v>
      </c>
      <c r="V7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5" s="105" t="str">
        <f>VLOOKUP(Table__192.168.1.150_M_CONSOLIDATED_Delinquency_Compulsory_EOM[[#This Row],[Client No]],'Global Portfolio'!$B$2:$N$2500,10,FALSE)</f>
        <v>Transportation and Warehousing</v>
      </c>
      <c r="AA785" s="105" t="str">
        <f>VLOOKUP(Table__192.168.1.150_M_CONSOLIDATED_Delinquency_Compulsory_EOM[[#This Row],[Client No]],'Global Portfolio'!$B$2:$N$2500,11,FALSE)</f>
        <v>Truck Transportation</v>
      </c>
      <c r="AB785" s="105" t="str">
        <f>VLOOKUP(Table__192.168.1.150_M_CONSOLIDATED_Delinquency_Compulsory_EOM[[#This Row],[Client No]],'Global Portfolio'!$B$2:$N$2500,12,FALSE)</f>
        <v>Others</v>
      </c>
    </row>
    <row r="786" spans="1:28" x14ac:dyDescent="0.25">
      <c r="A786">
        <v>200230</v>
      </c>
      <c r="B786" t="s">
        <v>2360</v>
      </c>
      <c r="C786" t="s">
        <v>2365</v>
      </c>
      <c r="D786" t="s">
        <v>1283</v>
      </c>
      <c r="E786">
        <v>-4</v>
      </c>
      <c r="F786">
        <v>35000000</v>
      </c>
      <c r="G786">
        <v>16541874.16</v>
      </c>
      <c r="H786">
        <v>2157690.09</v>
      </c>
      <c r="I786" t="s">
        <v>1448</v>
      </c>
      <c r="J786">
        <v>0</v>
      </c>
      <c r="K786">
        <v>0</v>
      </c>
      <c r="L786">
        <v>459496.5</v>
      </c>
      <c r="M786">
        <v>19419210.920000002</v>
      </c>
      <c r="N786" s="711">
        <v>42549.590748263887</v>
      </c>
      <c r="O786" s="711">
        <v>43286</v>
      </c>
      <c r="P786" t="s">
        <v>2366</v>
      </c>
      <c r="Q786" t="s">
        <v>1280</v>
      </c>
      <c r="R786" t="s">
        <v>2367</v>
      </c>
      <c r="S786" t="s">
        <v>1510</v>
      </c>
      <c r="T786">
        <v>40</v>
      </c>
      <c r="U786">
        <f>IF(Table__192.168.1.150_M_CONSOLIDATED_Delinquency_Compulsory_EOM[[#This Row],[Days in Arrears]] &lt; 8, Table__192.168.1.150_M_CONSOLIDATED_Delinquency_Compulsory_EOM[[#This Row],[Outstanding Balance]], 0 )</f>
        <v>16541874.16</v>
      </c>
      <c r="V7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6" s="105" t="str">
        <f>VLOOKUP(Table__192.168.1.150_M_CONSOLIDATED_Delinquency_Compulsory_EOM[[#This Row],[Client No]],'Global Portfolio'!$B$2:$N$2500,10,FALSE)</f>
        <v>Transportation and Warehousing</v>
      </c>
      <c r="AA786" s="105" t="str">
        <f>VLOOKUP(Table__192.168.1.150_M_CONSOLIDATED_Delinquency_Compulsory_EOM[[#This Row],[Client No]],'Global Portfolio'!$B$2:$N$2500,11,FALSE)</f>
        <v xml:space="preserve"> Passenger Transportation</v>
      </c>
      <c r="AB786" s="105" t="str">
        <f>VLOOKUP(Table__192.168.1.150_M_CONSOLIDATED_Delinquency_Compulsory_EOM[[#This Row],[Client No]],'Global Portfolio'!$B$2:$N$2500,12,FALSE)</f>
        <v>Others</v>
      </c>
    </row>
    <row r="787" spans="1:28" x14ac:dyDescent="0.25">
      <c r="A787">
        <v>200245</v>
      </c>
      <c r="B787" t="s">
        <v>2388</v>
      </c>
      <c r="C787" t="s">
        <v>2403</v>
      </c>
      <c r="D787" t="s">
        <v>1282</v>
      </c>
      <c r="E787">
        <v>-4</v>
      </c>
      <c r="F787">
        <v>12000000</v>
      </c>
      <c r="G787">
        <v>6060614.4199999999</v>
      </c>
      <c r="H787">
        <v>833785.83</v>
      </c>
      <c r="I787" t="s">
        <v>1447</v>
      </c>
      <c r="J787">
        <v>0</v>
      </c>
      <c r="K787">
        <v>1200000</v>
      </c>
      <c r="L787">
        <v>227273.04</v>
      </c>
      <c r="M787">
        <v>7504072.3300000001</v>
      </c>
      <c r="N787" s="711">
        <v>42551.709169907408</v>
      </c>
      <c r="O787" s="711">
        <v>43286</v>
      </c>
      <c r="P787" t="s">
        <v>2404</v>
      </c>
      <c r="Q787" t="s">
        <v>1280</v>
      </c>
      <c r="R787" t="s">
        <v>1280</v>
      </c>
      <c r="S787" t="s">
        <v>1510</v>
      </c>
      <c r="T787">
        <v>54</v>
      </c>
      <c r="U787">
        <f>IF(Table__192.168.1.150_M_CONSOLIDATED_Delinquency_Compulsory_EOM[[#This Row],[Days in Arrears]] &lt; 8, Table__192.168.1.150_M_CONSOLIDATED_Delinquency_Compulsory_EOM[[#This Row],[Outstanding Balance]], 0 )</f>
        <v>6060614.4199999999</v>
      </c>
      <c r="V7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7" s="105" t="str">
        <f>VLOOKUP(Table__192.168.1.150_M_CONSOLIDATED_Delinquency_Compulsory_EOM[[#This Row],[Client No]],'Global Portfolio'!$B$2:$N$2500,10,FALSE)</f>
        <v>Retail</v>
      </c>
      <c r="AA787" s="105" t="str">
        <f>VLOOKUP(Table__192.168.1.150_M_CONSOLIDATED_Delinquency_Compulsory_EOM[[#This Row],[Client No]],'Global Portfolio'!$B$2:$N$2500,11,FALSE)</f>
        <v>Food and Beverage Stores</v>
      </c>
      <c r="AB787" s="105" t="str">
        <f>VLOOKUP(Table__192.168.1.150_M_CONSOLIDATED_Delinquency_Compulsory_EOM[[#This Row],[Client No]],'Global Portfolio'!$B$2:$N$2500,12,FALSE)</f>
        <v>Confectionery &amp; Nut Stores</v>
      </c>
    </row>
    <row r="788" spans="1:28" x14ac:dyDescent="0.25">
      <c r="A788">
        <v>200246</v>
      </c>
      <c r="B788" t="s">
        <v>2384</v>
      </c>
      <c r="C788" t="s">
        <v>2405</v>
      </c>
      <c r="D788" t="s">
        <v>1283</v>
      </c>
      <c r="E788">
        <v>0</v>
      </c>
      <c r="F788">
        <v>30100000</v>
      </c>
      <c r="G788">
        <v>14134916.619999999</v>
      </c>
      <c r="H788">
        <v>1843731.22</v>
      </c>
      <c r="I788" t="s">
        <v>2855</v>
      </c>
      <c r="J788">
        <v>0</v>
      </c>
      <c r="K788">
        <v>1505000</v>
      </c>
      <c r="L788">
        <v>455458.42</v>
      </c>
      <c r="M788">
        <v>16593580.869999999</v>
      </c>
      <c r="N788" s="711">
        <v>42551.717535648146</v>
      </c>
      <c r="O788" s="711">
        <v>43282</v>
      </c>
      <c r="P788" t="s">
        <v>2406</v>
      </c>
      <c r="Q788" t="s">
        <v>1280</v>
      </c>
      <c r="R788" t="s">
        <v>1280</v>
      </c>
      <c r="S788" t="s">
        <v>1510</v>
      </c>
      <c r="T788">
        <v>40</v>
      </c>
      <c r="U788">
        <f>IF(Table__192.168.1.150_M_CONSOLIDATED_Delinquency_Compulsory_EOM[[#This Row],[Days in Arrears]] &lt; 8, Table__192.168.1.150_M_CONSOLIDATED_Delinquency_Compulsory_EOM[[#This Row],[Outstanding Balance]], 0 )</f>
        <v>14134916.619999999</v>
      </c>
      <c r="V7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8" s="105" t="str">
        <f>VLOOKUP(Table__192.168.1.150_M_CONSOLIDATED_Delinquency_Compulsory_EOM[[#This Row],[Client No]],'Global Portfolio'!$B$2:$N$2500,10,FALSE)</f>
        <v>Retail</v>
      </c>
      <c r="AA788" s="105" t="str">
        <f>VLOOKUP(Table__192.168.1.150_M_CONSOLIDATED_Delinquency_Compulsory_EOM[[#This Row],[Client No]],'Global Portfolio'!$B$2:$N$2500,11,FALSE)</f>
        <v>General Merchandise Stores</v>
      </c>
      <c r="AB788" s="105" t="str">
        <f>VLOOKUP(Table__192.168.1.150_M_CONSOLIDATED_Delinquency_Compulsory_EOM[[#This Row],[Client No]],'Global Portfolio'!$B$2:$N$2500,12,FALSE)</f>
        <v>Others</v>
      </c>
    </row>
    <row r="789" spans="1:28" x14ac:dyDescent="0.25">
      <c r="A789">
        <v>200261</v>
      </c>
      <c r="B789" t="s">
        <v>2456</v>
      </c>
      <c r="C789" t="s">
        <v>2457</v>
      </c>
      <c r="D789" t="s">
        <v>1284</v>
      </c>
      <c r="E789">
        <v>20</v>
      </c>
      <c r="F789">
        <v>15000000</v>
      </c>
      <c r="G789">
        <v>7697640.4299999997</v>
      </c>
      <c r="H789">
        <v>917816.03</v>
      </c>
      <c r="I789" t="s">
        <v>2855</v>
      </c>
      <c r="J789">
        <v>0</v>
      </c>
      <c r="K789">
        <v>0</v>
      </c>
      <c r="L789">
        <v>256588.01</v>
      </c>
      <c r="M789">
        <v>9178160.4000000004</v>
      </c>
      <c r="N789" s="711">
        <v>42562.47607207176</v>
      </c>
      <c r="O789" s="711">
        <v>43292</v>
      </c>
      <c r="P789" t="s">
        <v>2458</v>
      </c>
      <c r="Q789" t="s">
        <v>1280</v>
      </c>
      <c r="R789" t="s">
        <v>1280</v>
      </c>
      <c r="S789" t="s">
        <v>1510</v>
      </c>
      <c r="T789">
        <v>40</v>
      </c>
      <c r="U789">
        <f>IF(Table__192.168.1.150_M_CONSOLIDATED_Delinquency_Compulsory_EOM[[#This Row],[Days in Arrears]] &lt; 8, Table__192.168.1.150_M_CONSOLIDATED_Delinquency_Compulsory_EOM[[#This Row],[Outstanding Balance]], 0 )</f>
        <v>0</v>
      </c>
      <c r="V7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7697640.4299999997</v>
      </c>
      <c r="W7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89" s="105" t="str">
        <f>VLOOKUP(Table__192.168.1.150_M_CONSOLIDATED_Delinquency_Compulsory_EOM[[#This Row],[Client No]],'Global Portfolio'!$B$2:$N$2500,10,FALSE)</f>
        <v>Real Estate and Rental</v>
      </c>
      <c r="AA789" s="105" t="str">
        <f>VLOOKUP(Table__192.168.1.150_M_CONSOLIDATED_Delinquency_Compulsory_EOM[[#This Row],[Client No]],'Global Portfolio'!$B$2:$N$2500,11,FALSE)</f>
        <v>Rental</v>
      </c>
      <c r="AB789" s="105" t="str">
        <f>VLOOKUP(Table__192.168.1.150_M_CONSOLIDATED_Delinquency_Compulsory_EOM[[#This Row],[Client No]],'Global Portfolio'!$B$2:$N$2500,12,FALSE)</f>
        <v>Others</v>
      </c>
    </row>
    <row r="790" spans="1:28" x14ac:dyDescent="0.25">
      <c r="A790">
        <v>200263</v>
      </c>
      <c r="B790" t="s">
        <v>2462</v>
      </c>
      <c r="C790" t="s">
        <v>2463</v>
      </c>
      <c r="D790" t="s">
        <v>1281</v>
      </c>
      <c r="E790">
        <v>20</v>
      </c>
      <c r="F790">
        <v>20000000</v>
      </c>
      <c r="G790">
        <v>13477068.26</v>
      </c>
      <c r="H790">
        <v>1156601.98</v>
      </c>
      <c r="I790" t="s">
        <v>2861</v>
      </c>
      <c r="J790">
        <v>0</v>
      </c>
      <c r="K790">
        <v>0</v>
      </c>
      <c r="L790">
        <v>404298.59</v>
      </c>
      <c r="M790">
        <v>18045072.489999998</v>
      </c>
      <c r="N790" s="711">
        <v>42562.642518287037</v>
      </c>
      <c r="O790" s="711">
        <v>43476</v>
      </c>
      <c r="P790" t="s">
        <v>2464</v>
      </c>
      <c r="Q790" t="s">
        <v>1280</v>
      </c>
      <c r="R790" t="s">
        <v>1280</v>
      </c>
      <c r="S790" t="s">
        <v>1510</v>
      </c>
      <c r="T790">
        <v>48</v>
      </c>
      <c r="U790">
        <f>IF(Table__192.168.1.150_M_CONSOLIDATED_Delinquency_Compulsory_EOM[[#This Row],[Days in Arrears]] &lt; 8, Table__192.168.1.150_M_CONSOLIDATED_Delinquency_Compulsory_EOM[[#This Row],[Outstanding Balance]], 0 )</f>
        <v>0</v>
      </c>
      <c r="V7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13477068.26</v>
      </c>
      <c r="W7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0" s="105" t="str">
        <f>VLOOKUP(Table__192.168.1.150_M_CONSOLIDATED_Delinquency_Compulsory_EOM[[#This Row],[Client No]],'Global Portfolio'!$B$2:$N$2500,10,FALSE)</f>
        <v>Retail</v>
      </c>
      <c r="AA790" s="105" t="str">
        <f>VLOOKUP(Table__192.168.1.150_M_CONSOLIDATED_Delinquency_Compulsory_EOM[[#This Row],[Client No]],'Global Portfolio'!$B$2:$N$2500,11,FALSE)</f>
        <v>Furniture and Home Furnishings Stores</v>
      </c>
      <c r="AB790" s="105" t="str">
        <f>VLOOKUP(Table__192.168.1.150_M_CONSOLIDATED_Delinquency_Compulsory_EOM[[#This Row],[Client No]],'Global Portfolio'!$B$2:$N$2500,12,FALSE)</f>
        <v>Others</v>
      </c>
    </row>
    <row r="791" spans="1:28" x14ac:dyDescent="0.25">
      <c r="A791">
        <v>200266</v>
      </c>
      <c r="B791" t="s">
        <v>2465</v>
      </c>
      <c r="C791" t="s">
        <v>2466</v>
      </c>
      <c r="D791" t="s">
        <v>1281</v>
      </c>
      <c r="E791">
        <v>75</v>
      </c>
      <c r="F791">
        <v>25000000</v>
      </c>
      <c r="G791">
        <v>15447617.51</v>
      </c>
      <c r="H791">
        <v>1645977.21</v>
      </c>
      <c r="I791" t="s">
        <v>2861</v>
      </c>
      <c r="J791">
        <v>0</v>
      </c>
      <c r="K791">
        <v>0</v>
      </c>
      <c r="L791">
        <v>1254753.83</v>
      </c>
      <c r="M791">
        <v>19747703.68</v>
      </c>
      <c r="N791" s="711">
        <v>42564.411534606479</v>
      </c>
      <c r="O791" s="711">
        <v>43297</v>
      </c>
      <c r="P791" t="s">
        <v>2467</v>
      </c>
      <c r="Q791" t="s">
        <v>1280</v>
      </c>
      <c r="R791" t="s">
        <v>2468</v>
      </c>
      <c r="S791" t="s">
        <v>1510</v>
      </c>
      <c r="T791">
        <v>48</v>
      </c>
      <c r="U791">
        <f>IF(Table__192.168.1.150_M_CONSOLIDATED_Delinquency_Compulsory_EOM[[#This Row],[Days in Arrears]] &lt; 8, Table__192.168.1.150_M_CONSOLIDATED_Delinquency_Compulsory_EOM[[#This Row],[Outstanding Balance]], 0 )</f>
        <v>0</v>
      </c>
      <c r="V7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15447617.51</v>
      </c>
      <c r="Y7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1" s="105" t="str">
        <f>VLOOKUP(Table__192.168.1.150_M_CONSOLIDATED_Delinquency_Compulsory_EOM[[#This Row],[Client No]],'Global Portfolio'!$B$2:$N$2500,10,FALSE)</f>
        <v>Retail</v>
      </c>
      <c r="AA791" s="105" t="str">
        <f>VLOOKUP(Table__192.168.1.150_M_CONSOLIDATED_Delinquency_Compulsory_EOM[[#This Row],[Client No]],'Global Portfolio'!$B$2:$N$2500,11,FALSE)</f>
        <v>Others</v>
      </c>
      <c r="AB791" s="105" t="str">
        <f>VLOOKUP(Table__192.168.1.150_M_CONSOLIDATED_Delinquency_Compulsory_EOM[[#This Row],[Client No]],'Global Portfolio'!$B$2:$N$2500,12,FALSE)</f>
        <v>Others</v>
      </c>
    </row>
    <row r="792" spans="1:28" x14ac:dyDescent="0.25">
      <c r="A792">
        <v>200271</v>
      </c>
      <c r="B792" t="s">
        <v>2477</v>
      </c>
      <c r="C792" t="s">
        <v>2478</v>
      </c>
      <c r="D792" t="s">
        <v>1282</v>
      </c>
      <c r="E792">
        <v>47</v>
      </c>
      <c r="F792">
        <v>15000000</v>
      </c>
      <c r="G792">
        <v>5415271.0800000001</v>
      </c>
      <c r="H792">
        <v>1233553.46</v>
      </c>
      <c r="I792" t="s">
        <v>90</v>
      </c>
      <c r="J792">
        <v>0</v>
      </c>
      <c r="K792">
        <v>0</v>
      </c>
      <c r="L792">
        <v>426547.72</v>
      </c>
      <c r="M792">
        <v>6151484.7000000002</v>
      </c>
      <c r="N792" s="711">
        <v>42565.47078773148</v>
      </c>
      <c r="O792" s="711">
        <v>43114</v>
      </c>
      <c r="P792" t="s">
        <v>2479</v>
      </c>
      <c r="Q792" t="s">
        <v>1280</v>
      </c>
      <c r="R792" t="s">
        <v>1280</v>
      </c>
      <c r="S792" t="s">
        <v>1510</v>
      </c>
      <c r="T792">
        <v>54</v>
      </c>
      <c r="U792">
        <f>IF(Table__192.168.1.150_M_CONSOLIDATED_Delinquency_Compulsory_EOM[[#This Row],[Days in Arrears]] &lt; 8, Table__192.168.1.150_M_CONSOLIDATED_Delinquency_Compulsory_EOM[[#This Row],[Outstanding Balance]], 0 )</f>
        <v>0</v>
      </c>
      <c r="V7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5415271.0800000001</v>
      </c>
      <c r="X7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2" s="105" t="str">
        <f>VLOOKUP(Table__192.168.1.150_M_CONSOLIDATED_Delinquency_Compulsory_EOM[[#This Row],[Client No]],'Global Portfolio'!$B$2:$N$2500,10,FALSE)</f>
        <v>Retail</v>
      </c>
      <c r="AA792" s="105" t="str">
        <f>VLOOKUP(Table__192.168.1.150_M_CONSOLIDATED_Delinquency_Compulsory_EOM[[#This Row],[Client No]],'Global Portfolio'!$B$2:$N$2500,11,FALSE)</f>
        <v>Motor Vehicle and Parts Dealers</v>
      </c>
      <c r="AB792" s="105" t="str">
        <f>VLOOKUP(Table__192.168.1.150_M_CONSOLIDATED_Delinquency_Compulsory_EOM[[#This Row],[Client No]],'Global Portfolio'!$B$2:$N$2500,12,FALSE)</f>
        <v>Automotive Parts, Accessories, &amp; Tire Stores</v>
      </c>
    </row>
    <row r="793" spans="1:28" x14ac:dyDescent="0.25">
      <c r="A793">
        <v>200276</v>
      </c>
      <c r="B793" t="s">
        <v>2483</v>
      </c>
      <c r="C793" t="s">
        <v>2484</v>
      </c>
      <c r="D793" t="s">
        <v>1285</v>
      </c>
      <c r="E793">
        <v>-20</v>
      </c>
      <c r="F793">
        <v>2519238</v>
      </c>
      <c r="G793">
        <v>1297884.03</v>
      </c>
      <c r="H793">
        <v>123356.35</v>
      </c>
      <c r="I793" t="s">
        <v>284</v>
      </c>
      <c r="J793">
        <v>30669.75</v>
      </c>
      <c r="K793">
        <v>0</v>
      </c>
      <c r="L793">
        <v>8111.78</v>
      </c>
      <c r="M793">
        <v>1480276.26</v>
      </c>
      <c r="N793" s="711">
        <v>42567.557909340278</v>
      </c>
      <c r="O793" s="711">
        <v>43394</v>
      </c>
      <c r="P793" t="s">
        <v>2485</v>
      </c>
      <c r="Q793" t="s">
        <v>1280</v>
      </c>
      <c r="R793" t="s">
        <v>1280</v>
      </c>
      <c r="S793" t="s">
        <v>1510</v>
      </c>
      <c r="T793">
        <v>25</v>
      </c>
      <c r="U793">
        <f>IF(Table__192.168.1.150_M_CONSOLIDATED_Delinquency_Compulsory_EOM[[#This Row],[Days in Arrears]] &lt; 8, Table__192.168.1.150_M_CONSOLIDATED_Delinquency_Compulsory_EOM[[#This Row],[Outstanding Balance]], 0 )</f>
        <v>1297884.03</v>
      </c>
      <c r="V7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3" s="105" t="str">
        <f>VLOOKUP(Table__192.168.1.150_M_CONSOLIDATED_Delinquency_Compulsory_EOM[[#This Row],[Client No]],'Global Portfolio'!$B$2:$N$2500,10,FALSE)</f>
        <v>Finance and Insurance</v>
      </c>
      <c r="AA793" s="105" t="str">
        <f>VLOOKUP(Table__192.168.1.150_M_CONSOLIDATED_Delinquency_Compulsory_EOM[[#This Row],[Client No]],'Global Portfolio'!$B$2:$N$2500,11,FALSE)</f>
        <v>Finance</v>
      </c>
      <c r="AB793" s="105" t="str">
        <f>VLOOKUP(Table__192.168.1.150_M_CONSOLIDATED_Delinquency_Compulsory_EOM[[#This Row],[Client No]],'Global Portfolio'!$B$2:$N$2500,12,FALSE)</f>
        <v>Others</v>
      </c>
    </row>
    <row r="794" spans="1:28" x14ac:dyDescent="0.25">
      <c r="A794">
        <v>200284</v>
      </c>
      <c r="B794" t="s">
        <v>2492</v>
      </c>
      <c r="C794" t="s">
        <v>2499</v>
      </c>
      <c r="D794" t="s">
        <v>1282</v>
      </c>
      <c r="E794">
        <v>-18</v>
      </c>
      <c r="F794">
        <v>8000000</v>
      </c>
      <c r="G794">
        <v>1808530.44</v>
      </c>
      <c r="H794">
        <v>657895.18000000005</v>
      </c>
      <c r="I794" t="s">
        <v>1447</v>
      </c>
      <c r="J794">
        <v>0</v>
      </c>
      <c r="K794">
        <v>800000</v>
      </c>
      <c r="L794">
        <v>29840.75</v>
      </c>
      <c r="M794">
        <v>1973685.59</v>
      </c>
      <c r="N794" s="711">
        <v>42570.665408020832</v>
      </c>
      <c r="O794" s="711">
        <v>43119</v>
      </c>
      <c r="P794" t="s">
        <v>2500</v>
      </c>
      <c r="Q794" t="s">
        <v>1280</v>
      </c>
      <c r="R794" t="s">
        <v>1280</v>
      </c>
      <c r="S794" t="s">
        <v>1510</v>
      </c>
      <c r="T794">
        <v>54</v>
      </c>
      <c r="U794">
        <f>IF(Table__192.168.1.150_M_CONSOLIDATED_Delinquency_Compulsory_EOM[[#This Row],[Days in Arrears]] &lt; 8, Table__192.168.1.150_M_CONSOLIDATED_Delinquency_Compulsory_EOM[[#This Row],[Outstanding Balance]], 0 )</f>
        <v>1808530.44</v>
      </c>
      <c r="V7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4" s="105" t="str">
        <f>VLOOKUP(Table__192.168.1.150_M_CONSOLIDATED_Delinquency_Compulsory_EOM[[#This Row],[Client No]],'Global Portfolio'!$B$2:$N$2500,10,FALSE)</f>
        <v>Transportation and Warehousing</v>
      </c>
      <c r="AA794" s="105" t="str">
        <f>VLOOKUP(Table__192.168.1.150_M_CONSOLIDATED_Delinquency_Compulsory_EOM[[#This Row],[Client No]],'Global Portfolio'!$B$2:$N$2500,11,FALSE)</f>
        <v>Truck Transportation</v>
      </c>
      <c r="AB794" s="105" t="str">
        <f>VLOOKUP(Table__192.168.1.150_M_CONSOLIDATED_Delinquency_Compulsory_EOM[[#This Row],[Client No]],'Global Portfolio'!$B$2:$N$2500,12,FALSE)</f>
        <v>General Freight Trucking, Long-distance</v>
      </c>
    </row>
    <row r="795" spans="1:28" x14ac:dyDescent="0.25">
      <c r="A795">
        <v>200290</v>
      </c>
      <c r="B795" t="s">
        <v>2518</v>
      </c>
      <c r="C795" t="s">
        <v>2519</v>
      </c>
      <c r="D795" t="s">
        <v>1282</v>
      </c>
      <c r="E795">
        <v>-21</v>
      </c>
      <c r="F795">
        <v>10000000</v>
      </c>
      <c r="G795">
        <v>2260662.91</v>
      </c>
      <c r="H795">
        <v>822368.98</v>
      </c>
      <c r="I795" t="s">
        <v>1667</v>
      </c>
      <c r="J795">
        <v>0</v>
      </c>
      <c r="K795">
        <v>0</v>
      </c>
      <c r="L795">
        <v>27127.95</v>
      </c>
      <c r="M795">
        <v>2467106.8199999998</v>
      </c>
      <c r="N795" s="711">
        <v>42573.54057109954</v>
      </c>
      <c r="O795" s="711">
        <v>43122</v>
      </c>
      <c r="P795" t="s">
        <v>2520</v>
      </c>
      <c r="Q795" t="s">
        <v>1280</v>
      </c>
      <c r="R795" t="s">
        <v>2521</v>
      </c>
      <c r="S795" t="s">
        <v>1510</v>
      </c>
      <c r="T795">
        <v>54</v>
      </c>
      <c r="U795">
        <f>IF(Table__192.168.1.150_M_CONSOLIDATED_Delinquency_Compulsory_EOM[[#This Row],[Days in Arrears]] &lt; 8, Table__192.168.1.150_M_CONSOLIDATED_Delinquency_Compulsory_EOM[[#This Row],[Outstanding Balance]], 0 )</f>
        <v>2260662.91</v>
      </c>
      <c r="V7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5" s="105" t="str">
        <f>VLOOKUP(Table__192.168.1.150_M_CONSOLIDATED_Delinquency_Compulsory_EOM[[#This Row],[Client No]],'Global Portfolio'!$B$2:$N$2500,10,FALSE)</f>
        <v>Transportation and Warehousing</v>
      </c>
      <c r="AA795" s="105" t="str">
        <f>VLOOKUP(Table__192.168.1.150_M_CONSOLIDATED_Delinquency_Compulsory_EOM[[#This Row],[Client No]],'Global Portfolio'!$B$2:$N$2500,11,FALSE)</f>
        <v xml:space="preserve"> Passenger Transportation</v>
      </c>
      <c r="AB795" s="105" t="str">
        <f>VLOOKUP(Table__192.168.1.150_M_CONSOLIDATED_Delinquency_Compulsory_EOM[[#This Row],[Client No]],'Global Portfolio'!$B$2:$N$2500,12,FALSE)</f>
        <v>Taxi service</v>
      </c>
    </row>
    <row r="796" spans="1:28" x14ac:dyDescent="0.25">
      <c r="A796">
        <v>200293</v>
      </c>
      <c r="B796" t="s">
        <v>2516</v>
      </c>
      <c r="C796" t="s">
        <v>2525</v>
      </c>
      <c r="D796" t="s">
        <v>1279</v>
      </c>
      <c r="E796">
        <v>99</v>
      </c>
      <c r="F796">
        <v>3500000</v>
      </c>
      <c r="G796">
        <v>334706.46000000002</v>
      </c>
      <c r="H796">
        <v>383831.66</v>
      </c>
      <c r="I796" t="s">
        <v>1925</v>
      </c>
      <c r="J796">
        <v>0</v>
      </c>
      <c r="K796">
        <v>0</v>
      </c>
      <c r="L796">
        <v>0</v>
      </c>
      <c r="M796">
        <v>334706.46000000002</v>
      </c>
      <c r="N796" s="711">
        <v>42573.681453854166</v>
      </c>
      <c r="O796" s="711">
        <v>42938</v>
      </c>
      <c r="P796" t="s">
        <v>2526</v>
      </c>
      <c r="Q796" t="s">
        <v>1280</v>
      </c>
      <c r="R796" t="s">
        <v>1280</v>
      </c>
      <c r="S796" t="s">
        <v>1510</v>
      </c>
      <c r="T796">
        <v>54</v>
      </c>
      <c r="U796">
        <f>IF(Table__192.168.1.150_M_CONSOLIDATED_Delinquency_Compulsory_EOM[[#This Row],[Days in Arrears]] &lt; 8, Table__192.168.1.150_M_CONSOLIDATED_Delinquency_Compulsory_EOM[[#This Row],[Outstanding Balance]], 0 )</f>
        <v>0</v>
      </c>
      <c r="V7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334706.46000000002</v>
      </c>
      <c r="Z796" s="105" t="e">
        <f>VLOOKUP(Table__192.168.1.150_M_CONSOLIDATED_Delinquency_Compulsory_EOM[[#This Row],[Client No]],'Global Portfolio'!$B$2:$N$2500,10,FALSE)</f>
        <v>#N/A</v>
      </c>
      <c r="AA796" s="105" t="e">
        <f>VLOOKUP(Table__192.168.1.150_M_CONSOLIDATED_Delinquency_Compulsory_EOM[[#This Row],[Client No]],'Global Portfolio'!$B$2:$N$2500,11,FALSE)</f>
        <v>#N/A</v>
      </c>
      <c r="AB796" s="105" t="e">
        <f>VLOOKUP(Table__192.168.1.150_M_CONSOLIDATED_Delinquency_Compulsory_EOM[[#This Row],[Client No]],'Global Portfolio'!$B$2:$N$2500,12,FALSE)</f>
        <v>#N/A</v>
      </c>
    </row>
    <row r="797" spans="1:28" x14ac:dyDescent="0.25">
      <c r="A797">
        <v>200295</v>
      </c>
      <c r="B797" t="s">
        <v>2527</v>
      </c>
      <c r="C797" t="s">
        <v>2528</v>
      </c>
      <c r="D797" t="s">
        <v>1282</v>
      </c>
      <c r="E797">
        <v>158</v>
      </c>
      <c r="F797">
        <v>5000000</v>
      </c>
      <c r="G797">
        <v>1265329.6499999999</v>
      </c>
      <c r="H797">
        <v>548330.93999999994</v>
      </c>
      <c r="I797" t="s">
        <v>2175</v>
      </c>
      <c r="J797">
        <v>0</v>
      </c>
      <c r="K797">
        <v>0</v>
      </c>
      <c r="L797">
        <v>44667.61</v>
      </c>
      <c r="M797">
        <v>1335149.8700000001</v>
      </c>
      <c r="N797" s="711">
        <v>42574.554366087963</v>
      </c>
      <c r="O797" s="711">
        <v>42939</v>
      </c>
      <c r="P797" t="s">
        <v>2529</v>
      </c>
      <c r="Q797" t="s">
        <v>1280</v>
      </c>
      <c r="R797" t="s">
        <v>1280</v>
      </c>
      <c r="S797" t="s">
        <v>1510</v>
      </c>
      <c r="T797">
        <v>54</v>
      </c>
      <c r="U797">
        <f>IF(Table__192.168.1.150_M_CONSOLIDATED_Delinquency_Compulsory_EOM[[#This Row],[Days in Arrears]] &lt; 8, Table__192.168.1.150_M_CONSOLIDATED_Delinquency_Compulsory_EOM[[#This Row],[Outstanding Balance]], 0 )</f>
        <v>0</v>
      </c>
      <c r="V7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1265329.6499999999</v>
      </c>
      <c r="Z797" s="105" t="str">
        <f>VLOOKUP(Table__192.168.1.150_M_CONSOLIDATED_Delinquency_Compulsory_EOM[[#This Row],[Client No]],'Global Portfolio'!$B$2:$N$2500,10,FALSE)</f>
        <v>Wholesale Trade</v>
      </c>
      <c r="AA797" s="105" t="str">
        <f>VLOOKUP(Table__192.168.1.150_M_CONSOLIDATED_Delinquency_Compulsory_EOM[[#This Row],[Client No]],'Global Portfolio'!$B$2:$N$2500,11,FALSE)</f>
        <v>Nondurable Goods</v>
      </c>
      <c r="AB797" s="105" t="str">
        <f>VLOOKUP(Table__192.168.1.150_M_CONSOLIDATED_Delinquency_Compulsory_EOM[[#This Row],[Client No]],'Global Portfolio'!$B$2:$N$2500,12,FALSE)</f>
        <v>Others</v>
      </c>
    </row>
    <row r="798" spans="1:28" x14ac:dyDescent="0.25">
      <c r="A798">
        <v>200299</v>
      </c>
      <c r="B798" t="s">
        <v>2541</v>
      </c>
      <c r="C798" t="s">
        <v>2548</v>
      </c>
      <c r="D798" t="s">
        <v>1281</v>
      </c>
      <c r="E798">
        <v>0</v>
      </c>
      <c r="F798">
        <v>16000000</v>
      </c>
      <c r="G798">
        <v>8566048</v>
      </c>
      <c r="H798">
        <v>1056116.1599999999</v>
      </c>
      <c r="I798" t="s">
        <v>1667</v>
      </c>
      <c r="J798">
        <v>0</v>
      </c>
      <c r="K798">
        <v>1200000</v>
      </c>
      <c r="L798">
        <v>331220.52</v>
      </c>
      <c r="M798">
        <v>10561161.43</v>
      </c>
      <c r="N798" s="711">
        <v>42577.563691782409</v>
      </c>
      <c r="O798" s="711">
        <v>43313</v>
      </c>
      <c r="P798" t="s">
        <v>2549</v>
      </c>
      <c r="Q798" t="s">
        <v>1280</v>
      </c>
      <c r="R798" t="s">
        <v>1280</v>
      </c>
      <c r="S798" t="s">
        <v>1510</v>
      </c>
      <c r="T798">
        <v>48</v>
      </c>
      <c r="U798">
        <f>IF(Table__192.168.1.150_M_CONSOLIDATED_Delinquency_Compulsory_EOM[[#This Row],[Days in Arrears]] &lt; 8, Table__192.168.1.150_M_CONSOLIDATED_Delinquency_Compulsory_EOM[[#This Row],[Outstanding Balance]], 0 )</f>
        <v>8566048</v>
      </c>
      <c r="V7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7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8" s="105" t="str">
        <f>VLOOKUP(Table__192.168.1.150_M_CONSOLIDATED_Delinquency_Compulsory_EOM[[#This Row],[Client No]],'Global Portfolio'!$B$2:$N$2500,10,FALSE)</f>
        <v>Real Estate and Rental</v>
      </c>
      <c r="AA798" s="105" t="str">
        <f>VLOOKUP(Table__192.168.1.150_M_CONSOLIDATED_Delinquency_Compulsory_EOM[[#This Row],[Client No]],'Global Portfolio'!$B$2:$N$2500,11,FALSE)</f>
        <v>Rental</v>
      </c>
      <c r="AB798" s="105" t="str">
        <f>VLOOKUP(Table__192.168.1.150_M_CONSOLIDATED_Delinquency_Compulsory_EOM[[#This Row],[Client No]],'Global Portfolio'!$B$2:$N$2500,12,FALSE)</f>
        <v>Others</v>
      </c>
    </row>
    <row r="799" spans="1:28" x14ac:dyDescent="0.25">
      <c r="A799">
        <v>200300</v>
      </c>
      <c r="B799" t="s">
        <v>2553</v>
      </c>
      <c r="C799" t="s">
        <v>2562</v>
      </c>
      <c r="D799" t="s">
        <v>1281</v>
      </c>
      <c r="E799">
        <v>30</v>
      </c>
      <c r="F799">
        <v>30000000</v>
      </c>
      <c r="G799">
        <v>17325552.960000001</v>
      </c>
      <c r="H799">
        <v>1977695.22</v>
      </c>
      <c r="I799" t="s">
        <v>5167</v>
      </c>
      <c r="J799">
        <v>0</v>
      </c>
      <c r="K799">
        <v>0</v>
      </c>
      <c r="L799">
        <v>1300035.28</v>
      </c>
      <c r="M799">
        <v>21741413.289999999</v>
      </c>
      <c r="N799" s="711">
        <v>42578.591155208334</v>
      </c>
      <c r="O799" s="711">
        <v>43313</v>
      </c>
      <c r="P799" t="s">
        <v>2563</v>
      </c>
      <c r="Q799" t="s">
        <v>2564</v>
      </c>
      <c r="R799" t="s">
        <v>1280</v>
      </c>
      <c r="S799" t="s">
        <v>1510</v>
      </c>
      <c r="T799">
        <v>48</v>
      </c>
      <c r="U799">
        <f>IF(Table__192.168.1.150_M_CONSOLIDATED_Delinquency_Compulsory_EOM[[#This Row],[Days in Arrears]] &lt; 8, Table__192.168.1.150_M_CONSOLIDATED_Delinquency_Compulsory_EOM[[#This Row],[Outstanding Balance]], 0 )</f>
        <v>0</v>
      </c>
      <c r="V7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7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17325552.960000001</v>
      </c>
      <c r="X7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7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799" s="105" t="str">
        <f>VLOOKUP(Table__192.168.1.150_M_CONSOLIDATED_Delinquency_Compulsory_EOM[[#This Row],[Client No]],'Global Portfolio'!$B$2:$N$2500,10,FALSE)</f>
        <v>Transportation and Warehousing</v>
      </c>
      <c r="AA799" s="105" t="str">
        <f>VLOOKUP(Table__192.168.1.150_M_CONSOLIDATED_Delinquency_Compulsory_EOM[[#This Row],[Client No]],'Global Portfolio'!$B$2:$N$2500,11,FALSE)</f>
        <v>Truck Transportation</v>
      </c>
      <c r="AB799" s="105" t="str">
        <f>VLOOKUP(Table__192.168.1.150_M_CONSOLIDATED_Delinquency_Compulsory_EOM[[#This Row],[Client No]],'Global Portfolio'!$B$2:$N$2500,12,FALSE)</f>
        <v>Others</v>
      </c>
    </row>
    <row r="800" spans="1:28" x14ac:dyDescent="0.25">
      <c r="A800">
        <v>200303</v>
      </c>
      <c r="B800" t="s">
        <v>2554</v>
      </c>
      <c r="C800" t="s">
        <v>2565</v>
      </c>
      <c r="D800" t="s">
        <v>1281</v>
      </c>
      <c r="E800">
        <v>0</v>
      </c>
      <c r="F800">
        <v>20000000</v>
      </c>
      <c r="G800">
        <v>15363874.67</v>
      </c>
      <c r="H800">
        <v>1063161.8500000001</v>
      </c>
      <c r="I800" t="s">
        <v>1448</v>
      </c>
      <c r="J800">
        <v>0</v>
      </c>
      <c r="K800">
        <v>0</v>
      </c>
      <c r="L800">
        <v>594069.81999999995</v>
      </c>
      <c r="M800">
        <v>23389561.059999999</v>
      </c>
      <c r="N800" s="711">
        <v>42578.467473032404</v>
      </c>
      <c r="O800" s="711">
        <v>43678</v>
      </c>
      <c r="P800" t="s">
        <v>2566</v>
      </c>
      <c r="Q800" t="s">
        <v>2567</v>
      </c>
      <c r="R800" t="s">
        <v>1280</v>
      </c>
      <c r="S800" t="s">
        <v>1510</v>
      </c>
      <c r="T800">
        <v>48</v>
      </c>
      <c r="U800">
        <f>IF(Table__192.168.1.150_M_CONSOLIDATED_Delinquency_Compulsory_EOM[[#This Row],[Days in Arrears]] &lt; 8, Table__192.168.1.150_M_CONSOLIDATED_Delinquency_Compulsory_EOM[[#This Row],[Outstanding Balance]], 0 )</f>
        <v>15363874.67</v>
      </c>
      <c r="V8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0" s="105" t="str">
        <f>VLOOKUP(Table__192.168.1.150_M_CONSOLIDATED_Delinquency_Compulsory_EOM[[#This Row],[Client No]],'Global Portfolio'!$B$2:$N$2500,10,FALSE)</f>
        <v>Retail</v>
      </c>
      <c r="AA800" s="105" t="str">
        <f>VLOOKUP(Table__192.168.1.150_M_CONSOLIDATED_Delinquency_Compulsory_EOM[[#This Row],[Client No]],'Global Portfolio'!$B$2:$N$2500,11,FALSE)</f>
        <v>General Merchandise Stores</v>
      </c>
      <c r="AB800" s="105" t="str">
        <f>VLOOKUP(Table__192.168.1.150_M_CONSOLIDATED_Delinquency_Compulsory_EOM[[#This Row],[Client No]],'Global Portfolio'!$B$2:$N$2500,12,FALSE)</f>
        <v>General Stores</v>
      </c>
    </row>
    <row r="801" spans="1:28" x14ac:dyDescent="0.25">
      <c r="A801">
        <v>200309</v>
      </c>
      <c r="B801" t="s">
        <v>2574</v>
      </c>
      <c r="C801" t="s">
        <v>2583</v>
      </c>
      <c r="D801" t="s">
        <v>1281</v>
      </c>
      <c r="E801">
        <v>0</v>
      </c>
      <c r="F801">
        <v>20000000</v>
      </c>
      <c r="G801">
        <v>5756806.8799999999</v>
      </c>
      <c r="H801">
        <v>1585942.97</v>
      </c>
      <c r="I801" t="s">
        <v>2494</v>
      </c>
      <c r="J801">
        <v>0</v>
      </c>
      <c r="K801">
        <v>0</v>
      </c>
      <c r="L801">
        <v>222596.53</v>
      </c>
      <c r="M801">
        <v>6343771.9699999997</v>
      </c>
      <c r="N801" s="711">
        <v>42579.655403969904</v>
      </c>
      <c r="O801" s="711">
        <v>43132</v>
      </c>
      <c r="P801" t="s">
        <v>2584</v>
      </c>
      <c r="Q801" t="s">
        <v>1280</v>
      </c>
      <c r="R801" t="s">
        <v>1280</v>
      </c>
      <c r="S801" t="s">
        <v>1510</v>
      </c>
      <c r="T801">
        <v>48</v>
      </c>
      <c r="U801">
        <f>IF(Table__192.168.1.150_M_CONSOLIDATED_Delinquency_Compulsory_EOM[[#This Row],[Days in Arrears]] &lt; 8, Table__192.168.1.150_M_CONSOLIDATED_Delinquency_Compulsory_EOM[[#This Row],[Outstanding Balance]], 0 )</f>
        <v>5756806.8799999999</v>
      </c>
      <c r="V8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1" s="105" t="str">
        <f>VLOOKUP(Table__192.168.1.150_M_CONSOLIDATED_Delinquency_Compulsory_EOM[[#This Row],[Client No]],'Global Portfolio'!$B$2:$N$2500,10,FALSE)</f>
        <v>Transportation and Warehousing</v>
      </c>
      <c r="AA801" s="105" t="str">
        <f>VLOOKUP(Table__192.168.1.150_M_CONSOLIDATED_Delinquency_Compulsory_EOM[[#This Row],[Client No]],'Global Portfolio'!$B$2:$N$2500,11,FALSE)</f>
        <v xml:space="preserve"> Passenger Transportation</v>
      </c>
      <c r="AB801" s="105" t="str">
        <f>VLOOKUP(Table__192.168.1.150_M_CONSOLIDATED_Delinquency_Compulsory_EOM[[#This Row],[Client No]],'Global Portfolio'!$B$2:$N$2500,12,FALSE)</f>
        <v>Taxi service</v>
      </c>
    </row>
    <row r="802" spans="1:28" x14ac:dyDescent="0.25">
      <c r="A802">
        <v>200310</v>
      </c>
      <c r="B802" t="s">
        <v>2591</v>
      </c>
      <c r="C802" t="s">
        <v>2597</v>
      </c>
      <c r="D802" t="s">
        <v>1283</v>
      </c>
      <c r="E802">
        <v>-24</v>
      </c>
      <c r="F802">
        <v>35000000</v>
      </c>
      <c r="G802">
        <v>7323820.7699999996</v>
      </c>
      <c r="H802">
        <v>2605803.6800000002</v>
      </c>
      <c r="I802" t="s">
        <v>1191</v>
      </c>
      <c r="J802">
        <v>5550.79</v>
      </c>
      <c r="K802">
        <v>1750000</v>
      </c>
      <c r="L802">
        <v>324413.42</v>
      </c>
      <c r="M802">
        <v>7817411.1399999997</v>
      </c>
      <c r="N802" s="711">
        <v>42580.434455358794</v>
      </c>
      <c r="O802" s="711">
        <v>43125</v>
      </c>
      <c r="P802" t="s">
        <v>2598</v>
      </c>
      <c r="Q802" t="s">
        <v>1280</v>
      </c>
      <c r="R802" t="s">
        <v>1280</v>
      </c>
      <c r="S802" t="s">
        <v>1510</v>
      </c>
      <c r="T802">
        <v>40</v>
      </c>
      <c r="U802">
        <f>IF(Table__192.168.1.150_M_CONSOLIDATED_Delinquency_Compulsory_EOM[[#This Row],[Days in Arrears]] &lt; 8, Table__192.168.1.150_M_CONSOLIDATED_Delinquency_Compulsory_EOM[[#This Row],[Outstanding Balance]], 0 )</f>
        <v>7323820.7699999996</v>
      </c>
      <c r="V8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2" s="105" t="str">
        <f>VLOOKUP(Table__192.168.1.150_M_CONSOLIDATED_Delinquency_Compulsory_EOM[[#This Row],[Client No]],'Global Portfolio'!$B$2:$N$2500,10,FALSE)</f>
        <v>Transportation and Warehousing</v>
      </c>
      <c r="AA802" s="105" t="str">
        <f>VLOOKUP(Table__192.168.1.150_M_CONSOLIDATED_Delinquency_Compulsory_EOM[[#This Row],[Client No]],'Global Portfolio'!$B$2:$N$2500,11,FALSE)</f>
        <v xml:space="preserve"> Passenger Transportation</v>
      </c>
      <c r="AB802" s="105" t="str">
        <f>VLOOKUP(Table__192.168.1.150_M_CONSOLIDATED_Delinquency_Compulsory_EOM[[#This Row],[Client No]],'Global Portfolio'!$B$2:$N$2500,12,FALSE)</f>
        <v>Taxi service</v>
      </c>
    </row>
    <row r="803" spans="1:28" x14ac:dyDescent="0.25">
      <c r="A803">
        <v>200313</v>
      </c>
      <c r="B803" t="s">
        <v>2585</v>
      </c>
      <c r="C803" t="s">
        <v>2601</v>
      </c>
      <c r="D803" t="s">
        <v>1281</v>
      </c>
      <c r="E803">
        <v>27</v>
      </c>
      <c r="F803">
        <v>25000000</v>
      </c>
      <c r="G803">
        <v>14456376.6</v>
      </c>
      <c r="H803">
        <v>1650181.49</v>
      </c>
      <c r="I803" t="s">
        <v>963</v>
      </c>
      <c r="J803">
        <v>20000</v>
      </c>
      <c r="K803">
        <v>0</v>
      </c>
      <c r="L803">
        <v>1010102.55</v>
      </c>
      <c r="M803">
        <v>18119849.739999998</v>
      </c>
      <c r="N803" s="711">
        <v>42580.507581331018</v>
      </c>
      <c r="O803" s="711">
        <v>43316</v>
      </c>
      <c r="P803" t="s">
        <v>2602</v>
      </c>
      <c r="Q803" t="s">
        <v>1280</v>
      </c>
      <c r="R803" t="s">
        <v>1280</v>
      </c>
      <c r="S803" t="s">
        <v>1510</v>
      </c>
      <c r="T803">
        <v>48</v>
      </c>
      <c r="U803">
        <f>IF(Table__192.168.1.150_M_CONSOLIDATED_Delinquency_Compulsory_EOM[[#This Row],[Days in Arrears]] &lt; 8, Table__192.168.1.150_M_CONSOLIDATED_Delinquency_Compulsory_EOM[[#This Row],[Outstanding Balance]], 0 )</f>
        <v>0</v>
      </c>
      <c r="V8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14456376.6</v>
      </c>
      <c r="W8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3" s="105" t="str">
        <f>VLOOKUP(Table__192.168.1.150_M_CONSOLIDATED_Delinquency_Compulsory_EOM[[#This Row],[Client No]],'Global Portfolio'!$B$2:$N$2500,10,FALSE)</f>
        <v>Manufacturing</v>
      </c>
      <c r="AA803" s="105" t="str">
        <f>VLOOKUP(Table__192.168.1.150_M_CONSOLIDATED_Delinquency_Compulsory_EOM[[#This Row],[Client No]],'Global Portfolio'!$B$2:$N$2500,11,FALSE)</f>
        <v>Plastics and Rubber</v>
      </c>
      <c r="AB803" s="105" t="str">
        <f>VLOOKUP(Table__192.168.1.150_M_CONSOLIDATED_Delinquency_Compulsory_EOM[[#This Row],[Client No]],'Global Portfolio'!$B$2:$N$2500,12,FALSE)</f>
        <v>Plastics Product</v>
      </c>
    </row>
    <row r="804" spans="1:28" x14ac:dyDescent="0.25">
      <c r="A804">
        <v>200315</v>
      </c>
      <c r="B804" t="s">
        <v>2590</v>
      </c>
      <c r="C804" t="s">
        <v>2603</v>
      </c>
      <c r="D804" t="s">
        <v>1284</v>
      </c>
      <c r="E804">
        <v>119</v>
      </c>
      <c r="F804">
        <v>7500000</v>
      </c>
      <c r="G804">
        <v>1016516.93</v>
      </c>
      <c r="H804">
        <v>771015.27</v>
      </c>
      <c r="I804" t="s">
        <v>2175</v>
      </c>
      <c r="J804">
        <v>0</v>
      </c>
      <c r="K804">
        <v>0</v>
      </c>
      <c r="L804">
        <v>24042.41</v>
      </c>
      <c r="M804">
        <v>1041388.39</v>
      </c>
      <c r="N804" s="711">
        <v>42580.643223148145</v>
      </c>
      <c r="O804" s="711">
        <v>42949</v>
      </c>
      <c r="P804" t="s">
        <v>2604</v>
      </c>
      <c r="Q804" t="s">
        <v>1280</v>
      </c>
      <c r="R804" t="s">
        <v>1280</v>
      </c>
      <c r="S804" t="s">
        <v>1510</v>
      </c>
      <c r="T804">
        <v>40</v>
      </c>
      <c r="U804">
        <f>IF(Table__192.168.1.150_M_CONSOLIDATED_Delinquency_Compulsory_EOM[[#This Row],[Days in Arrears]] &lt; 8, Table__192.168.1.150_M_CONSOLIDATED_Delinquency_Compulsory_EOM[[#This Row],[Outstanding Balance]], 0 )</f>
        <v>0</v>
      </c>
      <c r="V8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1016516.93</v>
      </c>
      <c r="Z804" s="105" t="str">
        <f>VLOOKUP(Table__192.168.1.150_M_CONSOLIDATED_Delinquency_Compulsory_EOM[[#This Row],[Client No]],'Global Portfolio'!$B$2:$N$2500,10,FALSE)</f>
        <v>Wholesale Trade</v>
      </c>
      <c r="AA804" s="105" t="str">
        <f>VLOOKUP(Table__192.168.1.150_M_CONSOLIDATED_Delinquency_Compulsory_EOM[[#This Row],[Client No]],'Global Portfolio'!$B$2:$N$2500,11,FALSE)</f>
        <v>Nondurable Goods</v>
      </c>
      <c r="AB804" s="105" t="str">
        <f>VLOOKUP(Table__192.168.1.150_M_CONSOLIDATED_Delinquency_Compulsory_EOM[[#This Row],[Client No]],'Global Portfolio'!$B$2:$N$2500,12,FALSE)</f>
        <v>Others</v>
      </c>
    </row>
    <row r="805" spans="1:28" x14ac:dyDescent="0.25">
      <c r="A805">
        <v>200318</v>
      </c>
      <c r="B805" t="s">
        <v>2589</v>
      </c>
      <c r="C805" t="s">
        <v>2607</v>
      </c>
      <c r="D805" t="s">
        <v>1281</v>
      </c>
      <c r="E805">
        <v>60</v>
      </c>
      <c r="F805">
        <v>20000000</v>
      </c>
      <c r="G805">
        <v>12342311.060000001</v>
      </c>
      <c r="H805">
        <v>1315100.05</v>
      </c>
      <c r="I805" t="s">
        <v>5725</v>
      </c>
      <c r="J805">
        <v>0</v>
      </c>
      <c r="K805">
        <v>0</v>
      </c>
      <c r="L805">
        <v>954528.58</v>
      </c>
      <c r="M805">
        <v>15781200.74</v>
      </c>
      <c r="N805" s="711">
        <v>42580.683190312498</v>
      </c>
      <c r="O805" s="711">
        <v>43313</v>
      </c>
      <c r="P805" t="s">
        <v>2608</v>
      </c>
      <c r="Q805" t="s">
        <v>1280</v>
      </c>
      <c r="R805" t="s">
        <v>1280</v>
      </c>
      <c r="S805" t="s">
        <v>1510</v>
      </c>
      <c r="T805">
        <v>48</v>
      </c>
      <c r="U805">
        <f>IF(Table__192.168.1.150_M_CONSOLIDATED_Delinquency_Compulsory_EOM[[#This Row],[Days in Arrears]] &lt; 8, Table__192.168.1.150_M_CONSOLIDATED_Delinquency_Compulsory_EOM[[#This Row],[Outstanding Balance]], 0 )</f>
        <v>0</v>
      </c>
      <c r="V8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12342311.060000001</v>
      </c>
      <c r="Y8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5" s="105" t="str">
        <f>VLOOKUP(Table__192.168.1.150_M_CONSOLIDATED_Delinquency_Compulsory_EOM[[#This Row],[Client No]],'Global Portfolio'!$B$2:$N$2500,10,FALSE)</f>
        <v>Wholesale Trade</v>
      </c>
      <c r="AA805" s="105" t="str">
        <f>VLOOKUP(Table__192.168.1.150_M_CONSOLIDATED_Delinquency_Compulsory_EOM[[#This Row],[Client No]],'Global Portfolio'!$B$2:$N$2500,11,FALSE)</f>
        <v>Nondurable Goods</v>
      </c>
      <c r="AB805" s="105" t="str">
        <f>VLOOKUP(Table__192.168.1.150_M_CONSOLIDATED_Delinquency_Compulsory_EOM[[#This Row],[Client No]],'Global Portfolio'!$B$2:$N$2500,12,FALSE)</f>
        <v>Others</v>
      </c>
    </row>
    <row r="806" spans="1:28" x14ac:dyDescent="0.25">
      <c r="A806">
        <v>200319</v>
      </c>
      <c r="B806" t="s">
        <v>2587</v>
      </c>
      <c r="C806" t="s">
        <v>2609</v>
      </c>
      <c r="D806" t="s">
        <v>1281</v>
      </c>
      <c r="E806">
        <v>30</v>
      </c>
      <c r="F806">
        <v>16000000</v>
      </c>
      <c r="G806">
        <v>9216722.8000000007</v>
      </c>
      <c r="H806">
        <v>1052080.04</v>
      </c>
      <c r="I806" t="s">
        <v>2861</v>
      </c>
      <c r="J806">
        <v>0</v>
      </c>
      <c r="K806">
        <v>0</v>
      </c>
      <c r="L806">
        <v>698623.63</v>
      </c>
      <c r="M806">
        <v>11516005.4</v>
      </c>
      <c r="N806" s="711">
        <v>42580.722208831015</v>
      </c>
      <c r="O806" s="711">
        <v>43313</v>
      </c>
      <c r="P806" t="s">
        <v>2610</v>
      </c>
      <c r="Q806" t="s">
        <v>1280</v>
      </c>
      <c r="R806" t="s">
        <v>1280</v>
      </c>
      <c r="S806" t="s">
        <v>1510</v>
      </c>
      <c r="T806">
        <v>48</v>
      </c>
      <c r="U806">
        <f>IF(Table__192.168.1.150_M_CONSOLIDATED_Delinquency_Compulsory_EOM[[#This Row],[Days in Arrears]] &lt; 8, Table__192.168.1.150_M_CONSOLIDATED_Delinquency_Compulsory_EOM[[#This Row],[Outstanding Balance]], 0 )</f>
        <v>0</v>
      </c>
      <c r="V8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9216722.8000000007</v>
      </c>
      <c r="X8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6" s="105" t="str">
        <f>VLOOKUP(Table__192.168.1.150_M_CONSOLIDATED_Delinquency_Compulsory_EOM[[#This Row],[Client No]],'Global Portfolio'!$B$2:$N$2500,10,FALSE)</f>
        <v>Wholesale Trade</v>
      </c>
      <c r="AA806" s="105" t="str">
        <f>VLOOKUP(Table__192.168.1.150_M_CONSOLIDATED_Delinquency_Compulsory_EOM[[#This Row],[Client No]],'Global Portfolio'!$B$2:$N$2500,11,FALSE)</f>
        <v>Durable Goods</v>
      </c>
      <c r="AB806" s="105" t="str">
        <f>VLOOKUP(Table__192.168.1.150_M_CONSOLIDATED_Delinquency_Compulsory_EOM[[#This Row],[Client No]],'Global Portfolio'!$B$2:$N$2500,12,FALSE)</f>
        <v>Others</v>
      </c>
    </row>
    <row r="807" spans="1:28" x14ac:dyDescent="0.25">
      <c r="A807">
        <v>200322</v>
      </c>
      <c r="B807" t="s">
        <v>2612</v>
      </c>
      <c r="C807" t="s">
        <v>2621</v>
      </c>
      <c r="D807" t="s">
        <v>1281</v>
      </c>
      <c r="E807">
        <v>0</v>
      </c>
      <c r="F807">
        <v>16000000</v>
      </c>
      <c r="G807">
        <v>4593681.79</v>
      </c>
      <c r="H807">
        <v>1265513.6299999999</v>
      </c>
      <c r="I807" t="s">
        <v>1925</v>
      </c>
      <c r="J807">
        <v>292403.11</v>
      </c>
      <c r="K807">
        <v>1200000</v>
      </c>
      <c r="L807">
        <v>177622.36</v>
      </c>
      <c r="M807">
        <v>5062054.42</v>
      </c>
      <c r="N807" s="711">
        <v>42581.528302743056</v>
      </c>
      <c r="O807" s="711">
        <v>43132</v>
      </c>
      <c r="P807" t="s">
        <v>2622</v>
      </c>
      <c r="Q807" t="s">
        <v>1280</v>
      </c>
      <c r="R807" t="s">
        <v>1280</v>
      </c>
      <c r="S807" t="s">
        <v>1510</v>
      </c>
      <c r="T807">
        <v>48</v>
      </c>
      <c r="U807">
        <f>IF(Table__192.168.1.150_M_CONSOLIDATED_Delinquency_Compulsory_EOM[[#This Row],[Days in Arrears]] &lt; 8, Table__192.168.1.150_M_CONSOLIDATED_Delinquency_Compulsory_EOM[[#This Row],[Outstanding Balance]], 0 )</f>
        <v>4593681.79</v>
      </c>
      <c r="V8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7" s="105" t="str">
        <f>VLOOKUP(Table__192.168.1.150_M_CONSOLIDATED_Delinquency_Compulsory_EOM[[#This Row],[Client No]],'Global Portfolio'!$B$2:$N$2500,10,FALSE)</f>
        <v>Retail</v>
      </c>
      <c r="AA807" s="105" t="str">
        <f>VLOOKUP(Table__192.168.1.150_M_CONSOLIDATED_Delinquency_Compulsory_EOM[[#This Row],[Client No]],'Global Portfolio'!$B$2:$N$2500,11,FALSE)</f>
        <v>Motor Vehicle and Parts Dealers</v>
      </c>
      <c r="AB807" s="105" t="str">
        <f>VLOOKUP(Table__192.168.1.150_M_CONSOLIDATED_Delinquency_Compulsory_EOM[[#This Row],[Client No]],'Global Portfolio'!$B$2:$N$2500,12,FALSE)</f>
        <v>Others</v>
      </c>
    </row>
    <row r="808" spans="1:28" x14ac:dyDescent="0.25">
      <c r="A808">
        <v>200331</v>
      </c>
      <c r="B808" t="s">
        <v>2611</v>
      </c>
      <c r="C808" t="s">
        <v>2631</v>
      </c>
      <c r="D808" t="s">
        <v>1281</v>
      </c>
      <c r="E808">
        <v>30</v>
      </c>
      <c r="F808">
        <v>25000000</v>
      </c>
      <c r="G808">
        <v>14382713.42</v>
      </c>
      <c r="H808">
        <v>1641772.93</v>
      </c>
      <c r="I808" t="s">
        <v>5725</v>
      </c>
      <c r="J808">
        <v>0</v>
      </c>
      <c r="K808">
        <v>0</v>
      </c>
      <c r="L808">
        <v>1090203.5</v>
      </c>
      <c r="M808">
        <v>18059502.079999998</v>
      </c>
      <c r="N808" s="711">
        <v>42581.561680173611</v>
      </c>
      <c r="O808" s="711">
        <v>43313</v>
      </c>
      <c r="P808" t="s">
        <v>2632</v>
      </c>
      <c r="Q808" t="s">
        <v>1280</v>
      </c>
      <c r="R808" t="s">
        <v>1280</v>
      </c>
      <c r="S808" t="s">
        <v>1510</v>
      </c>
      <c r="T808">
        <v>48</v>
      </c>
      <c r="U808">
        <f>IF(Table__192.168.1.150_M_CONSOLIDATED_Delinquency_Compulsory_EOM[[#This Row],[Days in Arrears]] &lt; 8, Table__192.168.1.150_M_CONSOLIDATED_Delinquency_Compulsory_EOM[[#This Row],[Outstanding Balance]], 0 )</f>
        <v>0</v>
      </c>
      <c r="V8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14382713.42</v>
      </c>
      <c r="X8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8" s="105" t="str">
        <f>VLOOKUP(Table__192.168.1.150_M_CONSOLIDATED_Delinquency_Compulsory_EOM[[#This Row],[Client No]],'Global Portfolio'!$B$2:$N$2500,10,FALSE)</f>
        <v>Agriculture, Forestry, Fishing and Hunting</v>
      </c>
      <c r="AA808" s="105" t="str">
        <f>VLOOKUP(Table__192.168.1.150_M_CONSOLIDATED_Delinquency_Compulsory_EOM[[#This Row],[Client No]],'Global Portfolio'!$B$2:$N$2500,11,FALSE)</f>
        <v>Animal Production</v>
      </c>
      <c r="AB808" s="105" t="str">
        <f>VLOOKUP(Table__192.168.1.150_M_CONSOLIDATED_Delinquency_Compulsory_EOM[[#This Row],[Client No]],'Global Portfolio'!$B$2:$N$2500,12,FALSE)</f>
        <v>Other Animal Production</v>
      </c>
    </row>
    <row r="809" spans="1:28" x14ac:dyDescent="0.25">
      <c r="A809">
        <v>200334</v>
      </c>
      <c r="B809" t="s">
        <v>1775</v>
      </c>
      <c r="C809" t="s">
        <v>1776</v>
      </c>
      <c r="D809" t="s">
        <v>1281</v>
      </c>
      <c r="E809">
        <v>-8</v>
      </c>
      <c r="F809">
        <v>23000000</v>
      </c>
      <c r="G809">
        <v>6470047.9100000001</v>
      </c>
      <c r="H809">
        <v>1761477.94</v>
      </c>
      <c r="I809" t="s">
        <v>1667</v>
      </c>
      <c r="J809">
        <v>355768.62</v>
      </c>
      <c r="K809">
        <v>0</v>
      </c>
      <c r="L809">
        <v>158516.17000000001</v>
      </c>
      <c r="M809">
        <v>7045911.6600000001</v>
      </c>
      <c r="N809" s="711">
        <v>42581.669069097225</v>
      </c>
      <c r="O809" s="711">
        <v>43140</v>
      </c>
      <c r="P809" t="s">
        <v>1777</v>
      </c>
      <c r="Q809" t="s">
        <v>1280</v>
      </c>
      <c r="R809" t="s">
        <v>1837</v>
      </c>
      <c r="S809" t="s">
        <v>1510</v>
      </c>
      <c r="T809">
        <v>42</v>
      </c>
      <c r="U809">
        <f>IF(Table__192.168.1.150_M_CONSOLIDATED_Delinquency_Compulsory_EOM[[#This Row],[Days in Arrears]] &lt; 8, Table__192.168.1.150_M_CONSOLIDATED_Delinquency_Compulsory_EOM[[#This Row],[Outstanding Balance]], 0 )</f>
        <v>6470047.9100000001</v>
      </c>
      <c r="V8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09" s="105" t="str">
        <f>VLOOKUP(Table__192.168.1.150_M_CONSOLIDATED_Delinquency_Compulsory_EOM[[#This Row],[Client No]],'Global Portfolio'!$B$2:$N$2500,10,FALSE)</f>
        <v>Transportation and Warehousing</v>
      </c>
      <c r="AA809" s="105" t="str">
        <f>VLOOKUP(Table__192.168.1.150_M_CONSOLIDATED_Delinquency_Compulsory_EOM[[#This Row],[Client No]],'Global Portfolio'!$B$2:$N$2500,11,FALSE)</f>
        <v xml:space="preserve"> Passenger Transportation</v>
      </c>
      <c r="AB809" s="105" t="str">
        <f>VLOOKUP(Table__192.168.1.150_M_CONSOLIDATED_Delinquency_Compulsory_EOM[[#This Row],[Client No]],'Global Portfolio'!$B$2:$N$2500,12,FALSE)</f>
        <v>Taxi service</v>
      </c>
    </row>
    <row r="810" spans="1:28" x14ac:dyDescent="0.25">
      <c r="A810">
        <v>200335</v>
      </c>
      <c r="B810" t="s">
        <v>2633</v>
      </c>
      <c r="C810" t="s">
        <v>2641</v>
      </c>
      <c r="D810" t="s">
        <v>1281</v>
      </c>
      <c r="E810">
        <v>-1</v>
      </c>
      <c r="F810">
        <v>16000000</v>
      </c>
      <c r="G810">
        <v>8511487.2599999998</v>
      </c>
      <c r="H810">
        <v>1049389.3</v>
      </c>
      <c r="I810" t="s">
        <v>1925</v>
      </c>
      <c r="J810">
        <v>0</v>
      </c>
      <c r="K810">
        <v>0</v>
      </c>
      <c r="L810">
        <v>317762.19</v>
      </c>
      <c r="M810">
        <v>10493893.02</v>
      </c>
      <c r="N810" s="711">
        <v>42584.353854085646</v>
      </c>
      <c r="O810" s="711">
        <v>43314</v>
      </c>
      <c r="P810" t="s">
        <v>2642</v>
      </c>
      <c r="Q810" t="s">
        <v>1280</v>
      </c>
      <c r="R810" t="s">
        <v>1280</v>
      </c>
      <c r="S810" t="s">
        <v>1510</v>
      </c>
      <c r="T810">
        <v>48</v>
      </c>
      <c r="U810">
        <f>IF(Table__192.168.1.150_M_CONSOLIDATED_Delinquency_Compulsory_EOM[[#This Row],[Days in Arrears]] &lt; 8, Table__192.168.1.150_M_CONSOLIDATED_Delinquency_Compulsory_EOM[[#This Row],[Outstanding Balance]], 0 )</f>
        <v>8511487.2599999998</v>
      </c>
      <c r="V8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0" s="105" t="str">
        <f>VLOOKUP(Table__192.168.1.150_M_CONSOLIDATED_Delinquency_Compulsory_EOM[[#This Row],[Client No]],'Global Portfolio'!$B$2:$N$2500,10,FALSE)</f>
        <v>Restaurants and Hotels</v>
      </c>
      <c r="AA810" s="105" t="str">
        <f>VLOOKUP(Table__192.168.1.150_M_CONSOLIDATED_Delinquency_Compulsory_EOM[[#This Row],[Client No]],'Global Portfolio'!$B$2:$N$2500,11,FALSE)</f>
        <v>Restaurant</v>
      </c>
      <c r="AB810" s="105" t="str">
        <f>VLOOKUP(Table__192.168.1.150_M_CONSOLIDATED_Delinquency_Compulsory_EOM[[#This Row],[Client No]],'Global Portfolio'!$B$2:$N$2500,12,FALSE)</f>
        <v>Restaurant</v>
      </c>
    </row>
    <row r="811" spans="1:28" x14ac:dyDescent="0.25">
      <c r="A811">
        <v>200337</v>
      </c>
      <c r="B811" t="s">
        <v>2614</v>
      </c>
      <c r="C811" t="s">
        <v>2628</v>
      </c>
      <c r="D811" t="s">
        <v>1283</v>
      </c>
      <c r="E811">
        <v>-2</v>
      </c>
      <c r="F811">
        <v>34000000</v>
      </c>
      <c r="G811">
        <v>25246239.23</v>
      </c>
      <c r="H811">
        <v>1637504</v>
      </c>
      <c r="I811" t="s">
        <v>546</v>
      </c>
      <c r="J811">
        <v>0</v>
      </c>
      <c r="K811">
        <v>1700000</v>
      </c>
      <c r="L811">
        <v>757387.18</v>
      </c>
      <c r="M811">
        <v>36025087.670000002</v>
      </c>
      <c r="N811" s="711">
        <v>42584.692311574072</v>
      </c>
      <c r="O811" s="711">
        <v>43680</v>
      </c>
      <c r="P811" t="s">
        <v>2629</v>
      </c>
      <c r="Q811" t="s">
        <v>1280</v>
      </c>
      <c r="R811" t="s">
        <v>2630</v>
      </c>
      <c r="S811" t="s">
        <v>1510</v>
      </c>
      <c r="T811">
        <v>40</v>
      </c>
      <c r="U811">
        <f>IF(Table__192.168.1.150_M_CONSOLIDATED_Delinquency_Compulsory_EOM[[#This Row],[Days in Arrears]] &lt; 8, Table__192.168.1.150_M_CONSOLIDATED_Delinquency_Compulsory_EOM[[#This Row],[Outstanding Balance]], 0 )</f>
        <v>25246239.23</v>
      </c>
      <c r="V8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1" s="105" t="str">
        <f>VLOOKUP(Table__192.168.1.150_M_CONSOLIDATED_Delinquency_Compulsory_EOM[[#This Row],[Client No]],'Global Portfolio'!$B$2:$N$2500,10,FALSE)</f>
        <v>Real Estate and Rental</v>
      </c>
      <c r="AA811" s="105" t="str">
        <f>VLOOKUP(Table__192.168.1.150_M_CONSOLIDATED_Delinquency_Compulsory_EOM[[#This Row],[Client No]],'Global Portfolio'!$B$2:$N$2500,11,FALSE)</f>
        <v>Rental</v>
      </c>
      <c r="AB811" s="105" t="str">
        <f>VLOOKUP(Table__192.168.1.150_M_CONSOLIDATED_Delinquency_Compulsory_EOM[[#This Row],[Client No]],'Global Portfolio'!$B$2:$N$2500,12,FALSE)</f>
        <v>Others</v>
      </c>
    </row>
    <row r="812" spans="1:28" x14ac:dyDescent="0.25">
      <c r="A812">
        <v>200339</v>
      </c>
      <c r="B812" t="s">
        <v>2645</v>
      </c>
      <c r="C812" t="s">
        <v>2646</v>
      </c>
      <c r="D812" t="s">
        <v>1866</v>
      </c>
      <c r="E812">
        <v>169</v>
      </c>
      <c r="F812">
        <v>6000000</v>
      </c>
      <c r="G812">
        <v>2361969.35</v>
      </c>
      <c r="H812">
        <v>653256.84</v>
      </c>
      <c r="I812" t="s">
        <v>2538</v>
      </c>
      <c r="J812">
        <v>0</v>
      </c>
      <c r="K812">
        <v>0</v>
      </c>
      <c r="L812">
        <v>171202.49</v>
      </c>
      <c r="M812">
        <v>2613027.35</v>
      </c>
      <c r="N812" s="711">
        <v>42585.71644236111</v>
      </c>
      <c r="O812" s="711">
        <v>42959</v>
      </c>
      <c r="P812" t="s">
        <v>2647</v>
      </c>
      <c r="Q812" t="s">
        <v>1280</v>
      </c>
      <c r="R812" t="s">
        <v>1280</v>
      </c>
      <c r="S812" t="s">
        <v>1510</v>
      </c>
      <c r="T812">
        <v>50</v>
      </c>
      <c r="U812">
        <f>IF(Table__192.168.1.150_M_CONSOLIDATED_Delinquency_Compulsory_EOM[[#This Row],[Days in Arrears]] &lt; 8, Table__192.168.1.150_M_CONSOLIDATED_Delinquency_Compulsory_EOM[[#This Row],[Outstanding Balance]], 0 )</f>
        <v>0</v>
      </c>
      <c r="V8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2361969.35</v>
      </c>
      <c r="Z812" s="105" t="str">
        <f>VLOOKUP(Table__192.168.1.150_M_CONSOLIDATED_Delinquency_Compulsory_EOM[[#This Row],[Client No]],'Global Portfolio'!$B$2:$N$2500,10,FALSE)</f>
        <v>Wholesale Trade</v>
      </c>
      <c r="AA812" s="105" t="str">
        <f>VLOOKUP(Table__192.168.1.150_M_CONSOLIDATED_Delinquency_Compulsory_EOM[[#This Row],[Client No]],'Global Portfolio'!$B$2:$N$2500,11,FALSE)</f>
        <v>Nondurable Goods</v>
      </c>
      <c r="AB812" s="105" t="str">
        <f>VLOOKUP(Table__192.168.1.150_M_CONSOLIDATED_Delinquency_Compulsory_EOM[[#This Row],[Client No]],'Global Portfolio'!$B$2:$N$2500,12,FALSE)</f>
        <v>Others</v>
      </c>
    </row>
    <row r="813" spans="1:28" x14ac:dyDescent="0.25">
      <c r="A813">
        <v>200342</v>
      </c>
      <c r="B813" t="s">
        <v>2505</v>
      </c>
      <c r="C813" t="s">
        <v>2511</v>
      </c>
      <c r="D813" t="s">
        <v>1282</v>
      </c>
      <c r="E813">
        <v>21</v>
      </c>
      <c r="F813">
        <v>15000000</v>
      </c>
      <c r="G813">
        <v>5454136.5599999996</v>
      </c>
      <c r="H813">
        <v>1242406.72</v>
      </c>
      <c r="I813" t="s">
        <v>1447</v>
      </c>
      <c r="J813">
        <v>0</v>
      </c>
      <c r="K813">
        <v>0</v>
      </c>
      <c r="L813">
        <v>379151.13</v>
      </c>
      <c r="M813">
        <v>6212033.5499999998</v>
      </c>
      <c r="N813" s="711">
        <v>42587.656656979168</v>
      </c>
      <c r="O813" s="711">
        <v>43141</v>
      </c>
      <c r="P813" t="s">
        <v>2512</v>
      </c>
      <c r="Q813" t="s">
        <v>1280</v>
      </c>
      <c r="R813" t="s">
        <v>1280</v>
      </c>
      <c r="S813" t="s">
        <v>1510</v>
      </c>
      <c r="T813">
        <v>54</v>
      </c>
      <c r="U813">
        <f>IF(Table__192.168.1.150_M_CONSOLIDATED_Delinquency_Compulsory_EOM[[#This Row],[Days in Arrears]] &lt; 8, Table__192.168.1.150_M_CONSOLIDATED_Delinquency_Compulsory_EOM[[#This Row],[Outstanding Balance]], 0 )</f>
        <v>0</v>
      </c>
      <c r="V8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5454136.5599999996</v>
      </c>
      <c r="W8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3" s="105" t="str">
        <f>VLOOKUP(Table__192.168.1.150_M_CONSOLIDATED_Delinquency_Compulsory_EOM[[#This Row],[Client No]],'Global Portfolio'!$B$2:$N$2500,10,FALSE)</f>
        <v>Real Estate and Rental</v>
      </c>
      <c r="AA813" s="105" t="str">
        <f>VLOOKUP(Table__192.168.1.150_M_CONSOLIDATED_Delinquency_Compulsory_EOM[[#This Row],[Client No]],'Global Portfolio'!$B$2:$N$2500,11,FALSE)</f>
        <v>Rental</v>
      </c>
      <c r="AB813" s="105" t="str">
        <f>VLOOKUP(Table__192.168.1.150_M_CONSOLIDATED_Delinquency_Compulsory_EOM[[#This Row],[Client No]],'Global Portfolio'!$B$2:$N$2500,12,FALSE)</f>
        <v>Others</v>
      </c>
    </row>
    <row r="814" spans="1:28" x14ac:dyDescent="0.25">
      <c r="A814">
        <v>200343</v>
      </c>
      <c r="B814" t="s">
        <v>2655</v>
      </c>
      <c r="C814" t="s">
        <v>2656</v>
      </c>
      <c r="D814" t="s">
        <v>1281</v>
      </c>
      <c r="E814">
        <v>115</v>
      </c>
      <c r="F814">
        <v>27000000</v>
      </c>
      <c r="G814">
        <v>14359731.98</v>
      </c>
      <c r="H814">
        <v>2132819.86</v>
      </c>
      <c r="I814" t="s">
        <v>963</v>
      </c>
      <c r="J814">
        <v>0</v>
      </c>
      <c r="K814">
        <v>0</v>
      </c>
      <c r="L814">
        <v>745049.01</v>
      </c>
      <c r="M814">
        <v>16738234.949999999</v>
      </c>
      <c r="N814" s="711">
        <v>42588.5351872338</v>
      </c>
      <c r="O814" s="711">
        <v>43137</v>
      </c>
      <c r="P814" t="s">
        <v>2657</v>
      </c>
      <c r="Q814" t="s">
        <v>2658</v>
      </c>
      <c r="R814" t="s">
        <v>1280</v>
      </c>
      <c r="S814" t="s">
        <v>1510</v>
      </c>
      <c r="T814">
        <v>48</v>
      </c>
      <c r="U814">
        <f>IF(Table__192.168.1.150_M_CONSOLIDATED_Delinquency_Compulsory_EOM[[#This Row],[Days in Arrears]] &lt; 8, Table__192.168.1.150_M_CONSOLIDATED_Delinquency_Compulsory_EOM[[#This Row],[Outstanding Balance]], 0 )</f>
        <v>0</v>
      </c>
      <c r="V8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14359731.98</v>
      </c>
      <c r="Z814" s="105" t="str">
        <f>VLOOKUP(Table__192.168.1.150_M_CONSOLIDATED_Delinquency_Compulsory_EOM[[#This Row],[Client No]],'Global Portfolio'!$B$2:$N$2500,10,FALSE)</f>
        <v>Real Estate and Rental</v>
      </c>
      <c r="AA814" s="105" t="str">
        <f>VLOOKUP(Table__192.168.1.150_M_CONSOLIDATED_Delinquency_Compulsory_EOM[[#This Row],[Client No]],'Global Portfolio'!$B$2:$N$2500,11,FALSE)</f>
        <v>Rental</v>
      </c>
      <c r="AB814" s="105" t="str">
        <f>VLOOKUP(Table__192.168.1.150_M_CONSOLIDATED_Delinquency_Compulsory_EOM[[#This Row],[Client No]],'Global Portfolio'!$B$2:$N$2500,12,FALSE)</f>
        <v>Others</v>
      </c>
    </row>
    <row r="815" spans="1:28" x14ac:dyDescent="0.25">
      <c r="A815">
        <v>200345</v>
      </c>
      <c r="B815" t="s">
        <v>2662</v>
      </c>
      <c r="C815" t="s">
        <v>2663</v>
      </c>
      <c r="D815" t="s">
        <v>1284</v>
      </c>
      <c r="E815">
        <v>-18</v>
      </c>
      <c r="F815">
        <v>40000000</v>
      </c>
      <c r="G815">
        <v>20343063.829999998</v>
      </c>
      <c r="H815">
        <v>2384827.67</v>
      </c>
      <c r="I815" t="s">
        <v>1467</v>
      </c>
      <c r="J815">
        <v>8344.66</v>
      </c>
      <c r="K815">
        <v>0</v>
      </c>
      <c r="L815">
        <v>223773.7</v>
      </c>
      <c r="M815">
        <v>23848276.800000001</v>
      </c>
      <c r="N815" s="711">
        <v>42591.682169097221</v>
      </c>
      <c r="O815" s="711">
        <v>43331</v>
      </c>
      <c r="P815" t="s">
        <v>2664</v>
      </c>
      <c r="Q815" t="s">
        <v>1280</v>
      </c>
      <c r="R815" t="s">
        <v>1280</v>
      </c>
      <c r="S815" t="s">
        <v>1510</v>
      </c>
      <c r="T815">
        <v>36</v>
      </c>
      <c r="U815">
        <f>IF(Table__192.168.1.150_M_CONSOLIDATED_Delinquency_Compulsory_EOM[[#This Row],[Days in Arrears]] &lt; 8, Table__192.168.1.150_M_CONSOLIDATED_Delinquency_Compulsory_EOM[[#This Row],[Outstanding Balance]], 0 )</f>
        <v>20343063.829999998</v>
      </c>
      <c r="V8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5" s="105" t="str">
        <f>VLOOKUP(Table__192.168.1.150_M_CONSOLIDATED_Delinquency_Compulsory_EOM[[#This Row],[Client No]],'Global Portfolio'!$B$2:$N$2500,10,FALSE)</f>
        <v>Wholesale Trade</v>
      </c>
      <c r="AA815" s="105" t="str">
        <f>VLOOKUP(Table__192.168.1.150_M_CONSOLIDATED_Delinquency_Compulsory_EOM[[#This Row],[Client No]],'Global Portfolio'!$B$2:$N$2500,11,FALSE)</f>
        <v>Durable Goods</v>
      </c>
      <c r="AB815" s="105" t="str">
        <f>VLOOKUP(Table__192.168.1.150_M_CONSOLIDATED_Delinquency_Compulsory_EOM[[#This Row],[Client No]],'Global Portfolio'!$B$2:$N$2500,12,FALSE)</f>
        <v>Others</v>
      </c>
    </row>
    <row r="816" spans="1:28" x14ac:dyDescent="0.25">
      <c r="A816">
        <v>200346</v>
      </c>
      <c r="B816" t="s">
        <v>2665</v>
      </c>
      <c r="C816" t="s">
        <v>2670</v>
      </c>
      <c r="D816" t="s">
        <v>1282</v>
      </c>
      <c r="E816">
        <v>-11</v>
      </c>
      <c r="F816">
        <v>13000000</v>
      </c>
      <c r="G816">
        <v>3840856.11</v>
      </c>
      <c r="H816">
        <v>1070614.23</v>
      </c>
      <c r="I816" t="s">
        <v>1447</v>
      </c>
      <c r="J816">
        <v>0</v>
      </c>
      <c r="K816">
        <v>1300000</v>
      </c>
      <c r="L816">
        <v>103703.11</v>
      </c>
      <c r="M816">
        <v>4282456.9800000004</v>
      </c>
      <c r="N816" s="711">
        <v>42593.547827812501</v>
      </c>
      <c r="O816" s="711">
        <v>43143</v>
      </c>
      <c r="P816" t="s">
        <v>2671</v>
      </c>
      <c r="Q816" t="s">
        <v>1280</v>
      </c>
      <c r="R816" t="s">
        <v>2672</v>
      </c>
      <c r="S816" t="s">
        <v>1510</v>
      </c>
      <c r="T816">
        <v>54</v>
      </c>
      <c r="U816">
        <f>IF(Table__192.168.1.150_M_CONSOLIDATED_Delinquency_Compulsory_EOM[[#This Row],[Days in Arrears]] &lt; 8, Table__192.168.1.150_M_CONSOLIDATED_Delinquency_Compulsory_EOM[[#This Row],[Outstanding Balance]], 0 )</f>
        <v>3840856.11</v>
      </c>
      <c r="V8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6" s="105" t="str">
        <f>VLOOKUP(Table__192.168.1.150_M_CONSOLIDATED_Delinquency_Compulsory_EOM[[#This Row],[Client No]],'Global Portfolio'!$B$2:$N$2500,10,FALSE)</f>
        <v>Retail</v>
      </c>
      <c r="AA816" s="105" t="str">
        <f>VLOOKUP(Table__192.168.1.150_M_CONSOLIDATED_Delinquency_Compulsory_EOM[[#This Row],[Client No]],'Global Portfolio'!$B$2:$N$2500,11,FALSE)</f>
        <v>Motor Vehicle and Parts Dealers</v>
      </c>
      <c r="AB816" s="105" t="str">
        <f>VLOOKUP(Table__192.168.1.150_M_CONSOLIDATED_Delinquency_Compulsory_EOM[[#This Row],[Client No]],'Global Portfolio'!$B$2:$N$2500,12,FALSE)</f>
        <v>Automotive Parts, Accessories, &amp; Tire Stores</v>
      </c>
    </row>
    <row r="817" spans="1:28" x14ac:dyDescent="0.25">
      <c r="A817">
        <v>200348</v>
      </c>
      <c r="B817" t="s">
        <v>2675</v>
      </c>
      <c r="C817" t="s">
        <v>2682</v>
      </c>
      <c r="D817" t="s">
        <v>1282</v>
      </c>
      <c r="E817">
        <v>79</v>
      </c>
      <c r="F817">
        <v>3000000</v>
      </c>
      <c r="G817">
        <v>284904.05</v>
      </c>
      <c r="H817">
        <v>328998.57</v>
      </c>
      <c r="I817" t="s">
        <v>2175</v>
      </c>
      <c r="J817">
        <v>0</v>
      </c>
      <c r="K817">
        <v>0</v>
      </c>
      <c r="L817">
        <v>0</v>
      </c>
      <c r="M817">
        <v>284904.05</v>
      </c>
      <c r="N817" s="711">
        <v>42594.579996064815</v>
      </c>
      <c r="O817" s="711">
        <v>42959</v>
      </c>
      <c r="P817" t="s">
        <v>2683</v>
      </c>
      <c r="Q817" t="s">
        <v>2684</v>
      </c>
      <c r="R817" t="s">
        <v>1280</v>
      </c>
      <c r="S817" t="s">
        <v>1510</v>
      </c>
      <c r="T817">
        <v>54</v>
      </c>
      <c r="U817">
        <f>IF(Table__192.168.1.150_M_CONSOLIDATED_Delinquency_Compulsory_EOM[[#This Row],[Days in Arrears]] &lt; 8, Table__192.168.1.150_M_CONSOLIDATED_Delinquency_Compulsory_EOM[[#This Row],[Outstanding Balance]], 0 )</f>
        <v>0</v>
      </c>
      <c r="V8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284904.05</v>
      </c>
      <c r="Y8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7" s="105" t="str">
        <f>VLOOKUP(Table__192.168.1.150_M_CONSOLIDATED_Delinquency_Compulsory_EOM[[#This Row],[Client No]],'Global Portfolio'!$B$2:$N$2500,10,FALSE)</f>
        <v>Wholesale Trade</v>
      </c>
      <c r="AA817" s="105" t="str">
        <f>VLOOKUP(Table__192.168.1.150_M_CONSOLIDATED_Delinquency_Compulsory_EOM[[#This Row],[Client No]],'Global Portfolio'!$B$2:$N$2500,11,FALSE)</f>
        <v>Nondurable Goods</v>
      </c>
      <c r="AB817" s="105" t="str">
        <f>VLOOKUP(Table__192.168.1.150_M_CONSOLIDATED_Delinquency_Compulsory_EOM[[#This Row],[Client No]],'Global Portfolio'!$B$2:$N$2500,12,FALSE)</f>
        <v>Others</v>
      </c>
    </row>
    <row r="818" spans="1:28" x14ac:dyDescent="0.25">
      <c r="A818">
        <v>200352</v>
      </c>
      <c r="B818" t="s">
        <v>2673</v>
      </c>
      <c r="C818" t="s">
        <v>2691</v>
      </c>
      <c r="D818" t="s">
        <v>1284</v>
      </c>
      <c r="E818">
        <v>-11</v>
      </c>
      <c r="F818">
        <v>39000000</v>
      </c>
      <c r="G818">
        <v>20013864.93</v>
      </c>
      <c r="H818">
        <v>2386321.69</v>
      </c>
      <c r="I818" t="s">
        <v>491</v>
      </c>
      <c r="J818">
        <v>142251.53</v>
      </c>
      <c r="K818">
        <v>1950000</v>
      </c>
      <c r="L818">
        <v>400277.3</v>
      </c>
      <c r="M818">
        <v>23863216.719999999</v>
      </c>
      <c r="N818" s="711">
        <v>42594.713174965276</v>
      </c>
      <c r="O818" s="711">
        <v>43324</v>
      </c>
      <c r="P818" t="s">
        <v>2692</v>
      </c>
      <c r="Q818" t="s">
        <v>1280</v>
      </c>
      <c r="R818" t="s">
        <v>1280</v>
      </c>
      <c r="S818" t="s">
        <v>1510</v>
      </c>
      <c r="T818">
        <v>40</v>
      </c>
      <c r="U818">
        <f>IF(Table__192.168.1.150_M_CONSOLIDATED_Delinquency_Compulsory_EOM[[#This Row],[Days in Arrears]] &lt; 8, Table__192.168.1.150_M_CONSOLIDATED_Delinquency_Compulsory_EOM[[#This Row],[Outstanding Balance]], 0 )</f>
        <v>20013864.93</v>
      </c>
      <c r="V8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8" s="105" t="str">
        <f>VLOOKUP(Table__192.168.1.150_M_CONSOLIDATED_Delinquency_Compulsory_EOM[[#This Row],[Client No]],'Global Portfolio'!$B$2:$N$2500,10,FALSE)</f>
        <v>Agriculture, Forestry, Fishing and Hunting</v>
      </c>
      <c r="AA818" s="105" t="str">
        <f>VLOOKUP(Table__192.168.1.150_M_CONSOLIDATED_Delinquency_Compulsory_EOM[[#This Row],[Client No]],'Global Portfolio'!$B$2:$N$2500,11,FALSE)</f>
        <v>Animal Production</v>
      </c>
      <c r="AB818" s="105" t="str">
        <f>VLOOKUP(Table__192.168.1.150_M_CONSOLIDATED_Delinquency_Compulsory_EOM[[#This Row],[Client No]],'Global Portfolio'!$B$2:$N$2500,12,FALSE)</f>
        <v>Cattle Feedlots</v>
      </c>
    </row>
    <row r="819" spans="1:28" x14ac:dyDescent="0.25">
      <c r="A819">
        <v>200374</v>
      </c>
      <c r="B819" t="s">
        <v>2739</v>
      </c>
      <c r="C819" t="s">
        <v>2743</v>
      </c>
      <c r="D819" t="s">
        <v>1281</v>
      </c>
      <c r="E819">
        <v>69</v>
      </c>
      <c r="F819">
        <v>25000000</v>
      </c>
      <c r="G819">
        <v>1956822.75</v>
      </c>
      <c r="H819">
        <v>2663804.3199999998</v>
      </c>
      <c r="I819" t="s">
        <v>1925</v>
      </c>
      <c r="J819">
        <v>0</v>
      </c>
      <c r="K819">
        <v>0</v>
      </c>
      <c r="L819">
        <v>0</v>
      </c>
      <c r="M819">
        <v>1956822.75</v>
      </c>
      <c r="N819" s="711">
        <v>42604.67937395833</v>
      </c>
      <c r="O819" s="711">
        <v>42969</v>
      </c>
      <c r="P819" t="s">
        <v>2744</v>
      </c>
      <c r="Q819" t="s">
        <v>2745</v>
      </c>
      <c r="R819" t="s">
        <v>1280</v>
      </c>
      <c r="S819" t="s">
        <v>1510</v>
      </c>
      <c r="T819">
        <v>48</v>
      </c>
      <c r="U819">
        <f>IF(Table__192.168.1.150_M_CONSOLIDATED_Delinquency_Compulsory_EOM[[#This Row],[Days in Arrears]] &lt; 8, Table__192.168.1.150_M_CONSOLIDATED_Delinquency_Compulsory_EOM[[#This Row],[Outstanding Balance]], 0 )</f>
        <v>0</v>
      </c>
      <c r="V8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1956822.75</v>
      </c>
      <c r="Y8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19" s="105" t="str">
        <f>VLOOKUP(Table__192.168.1.150_M_CONSOLIDATED_Delinquency_Compulsory_EOM[[#This Row],[Client No]],'Global Portfolio'!$B$2:$N$2500,10,FALSE)</f>
        <v>Retail</v>
      </c>
      <c r="AA819" s="105" t="str">
        <f>VLOOKUP(Table__192.168.1.150_M_CONSOLIDATED_Delinquency_Compulsory_EOM[[#This Row],[Client No]],'Global Portfolio'!$B$2:$N$2500,11,FALSE)</f>
        <v>Building Material and Garden Equipment</v>
      </c>
      <c r="AB819" s="105" t="str">
        <f>VLOOKUP(Table__192.168.1.150_M_CONSOLIDATED_Delinquency_Compulsory_EOM[[#This Row],[Client No]],'Global Portfolio'!$B$2:$N$2500,12,FALSE)</f>
        <v>Hardware Stores</v>
      </c>
    </row>
    <row r="820" spans="1:28" x14ac:dyDescent="0.25">
      <c r="A820">
        <v>200389</v>
      </c>
      <c r="B820" t="s">
        <v>2760</v>
      </c>
      <c r="C820" t="s">
        <v>2766</v>
      </c>
      <c r="D820" t="s">
        <v>1279</v>
      </c>
      <c r="E820">
        <v>157</v>
      </c>
      <c r="F820">
        <v>5000000</v>
      </c>
      <c r="G820">
        <v>1940237.56</v>
      </c>
      <c r="H820">
        <v>548330.93999999994</v>
      </c>
      <c r="I820" t="s">
        <v>2175</v>
      </c>
      <c r="J820">
        <v>0</v>
      </c>
      <c r="K820">
        <v>0</v>
      </c>
      <c r="L820">
        <v>65569.39</v>
      </c>
      <c r="M820">
        <v>2077888.18</v>
      </c>
      <c r="N820" s="711">
        <v>42606.538440625001</v>
      </c>
      <c r="O820" s="711">
        <v>42971</v>
      </c>
      <c r="P820" t="s">
        <v>2767</v>
      </c>
      <c r="Q820" t="s">
        <v>2768</v>
      </c>
      <c r="R820" t="s">
        <v>1280</v>
      </c>
      <c r="S820" t="s">
        <v>1510</v>
      </c>
      <c r="T820">
        <v>54</v>
      </c>
      <c r="U820">
        <f>IF(Table__192.168.1.150_M_CONSOLIDATED_Delinquency_Compulsory_EOM[[#This Row],[Days in Arrears]] &lt; 8, Table__192.168.1.150_M_CONSOLIDATED_Delinquency_Compulsory_EOM[[#This Row],[Outstanding Balance]], 0 )</f>
        <v>0</v>
      </c>
      <c r="V8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1940237.56</v>
      </c>
      <c r="Z820" s="105" t="str">
        <f>VLOOKUP(Table__192.168.1.150_M_CONSOLIDATED_Delinquency_Compulsory_EOM[[#This Row],[Client No]],'Global Portfolio'!$B$2:$N$2500,10,FALSE)</f>
        <v>Retail</v>
      </c>
      <c r="AA820" s="105" t="str">
        <f>VLOOKUP(Table__192.168.1.150_M_CONSOLIDATED_Delinquency_Compulsory_EOM[[#This Row],[Client No]],'Global Portfolio'!$B$2:$N$2500,11,FALSE)</f>
        <v>General Merchandise Stores</v>
      </c>
      <c r="AB820" s="105" t="str">
        <f>VLOOKUP(Table__192.168.1.150_M_CONSOLIDATED_Delinquency_Compulsory_EOM[[#This Row],[Client No]],'Global Portfolio'!$B$2:$N$2500,12,FALSE)</f>
        <v>General Stores</v>
      </c>
    </row>
    <row r="821" spans="1:28" x14ac:dyDescent="0.25">
      <c r="A821">
        <v>200390</v>
      </c>
      <c r="B821" t="s">
        <v>2769</v>
      </c>
      <c r="C821" t="s">
        <v>2774</v>
      </c>
      <c r="D821" t="s">
        <v>1281</v>
      </c>
      <c r="E821">
        <v>-3</v>
      </c>
      <c r="F821">
        <v>16000000</v>
      </c>
      <c r="G821">
        <v>5691550.8799999999</v>
      </c>
      <c r="H821">
        <v>1278476.6299999999</v>
      </c>
      <c r="I821" t="s">
        <v>1925</v>
      </c>
      <c r="J821">
        <v>0</v>
      </c>
      <c r="K821">
        <v>1200000</v>
      </c>
      <c r="L821">
        <v>197307.1</v>
      </c>
      <c r="M821">
        <v>6392383.2300000004</v>
      </c>
      <c r="N821" s="711">
        <v>42607.591887615738</v>
      </c>
      <c r="O821" s="711">
        <v>43163</v>
      </c>
      <c r="P821" t="s">
        <v>2775</v>
      </c>
      <c r="Q821" t="s">
        <v>2776</v>
      </c>
      <c r="R821" t="s">
        <v>1280</v>
      </c>
      <c r="S821" t="s">
        <v>1510</v>
      </c>
      <c r="T821">
        <v>48</v>
      </c>
      <c r="U821">
        <f>IF(Table__192.168.1.150_M_CONSOLIDATED_Delinquency_Compulsory_EOM[[#This Row],[Days in Arrears]] &lt; 8, Table__192.168.1.150_M_CONSOLIDATED_Delinquency_Compulsory_EOM[[#This Row],[Outstanding Balance]], 0 )</f>
        <v>5691550.8799999999</v>
      </c>
      <c r="V8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1" s="105" t="str">
        <f>VLOOKUP(Table__192.168.1.150_M_CONSOLIDATED_Delinquency_Compulsory_EOM[[#This Row],[Client No]],'Global Portfolio'!$B$2:$N$2500,10,FALSE)</f>
        <v>Agriculture, Forestry, Fishing and Hunting</v>
      </c>
      <c r="AA821" s="105" t="str">
        <f>VLOOKUP(Table__192.168.1.150_M_CONSOLIDATED_Delinquency_Compulsory_EOM[[#This Row],[Client No]],'Global Portfolio'!$B$2:$N$2500,11,FALSE)</f>
        <v>Animal Production</v>
      </c>
      <c r="AB821" s="105" t="str">
        <f>VLOOKUP(Table__192.168.1.150_M_CONSOLIDATED_Delinquency_Compulsory_EOM[[#This Row],[Client No]],'Global Portfolio'!$B$2:$N$2500,12,FALSE)</f>
        <v>Poultry &amp; Egg Production</v>
      </c>
    </row>
    <row r="822" spans="1:28" x14ac:dyDescent="0.25">
      <c r="A822">
        <v>200392</v>
      </c>
      <c r="B822" t="s">
        <v>2779</v>
      </c>
      <c r="C822" t="s">
        <v>2783</v>
      </c>
      <c r="D822" t="s">
        <v>1282</v>
      </c>
      <c r="E822">
        <v>0</v>
      </c>
      <c r="F822">
        <v>8500000</v>
      </c>
      <c r="G822">
        <v>3090677.44</v>
      </c>
      <c r="H822">
        <v>704030.47</v>
      </c>
      <c r="I822" t="s">
        <v>1447</v>
      </c>
      <c r="J822">
        <v>0</v>
      </c>
      <c r="K822">
        <v>0</v>
      </c>
      <c r="L822">
        <v>134444.47</v>
      </c>
      <c r="M822">
        <v>3520152.4</v>
      </c>
      <c r="N822" s="711">
        <v>42608.458013113428</v>
      </c>
      <c r="O822" s="711">
        <v>43160</v>
      </c>
      <c r="P822" t="s">
        <v>2784</v>
      </c>
      <c r="Q822" t="s">
        <v>1280</v>
      </c>
      <c r="R822" t="s">
        <v>1280</v>
      </c>
      <c r="S822" t="s">
        <v>1510</v>
      </c>
      <c r="T822">
        <v>54</v>
      </c>
      <c r="U822">
        <f>IF(Table__192.168.1.150_M_CONSOLIDATED_Delinquency_Compulsory_EOM[[#This Row],[Days in Arrears]] &lt; 8, Table__192.168.1.150_M_CONSOLIDATED_Delinquency_Compulsory_EOM[[#This Row],[Outstanding Balance]], 0 )</f>
        <v>3090677.44</v>
      </c>
      <c r="V8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2" s="105" t="str">
        <f>VLOOKUP(Table__192.168.1.150_M_CONSOLIDATED_Delinquency_Compulsory_EOM[[#This Row],[Client No]],'Global Portfolio'!$B$2:$N$2500,10,FALSE)</f>
        <v>Transportation and Warehousing</v>
      </c>
      <c r="AA822" s="105" t="str">
        <f>VLOOKUP(Table__192.168.1.150_M_CONSOLIDATED_Delinquency_Compulsory_EOM[[#This Row],[Client No]],'Global Portfolio'!$B$2:$N$2500,11,FALSE)</f>
        <v xml:space="preserve"> Passenger Transportation</v>
      </c>
      <c r="AB822" s="105" t="str">
        <f>VLOOKUP(Table__192.168.1.150_M_CONSOLIDATED_Delinquency_Compulsory_EOM[[#This Row],[Client No]],'Global Portfolio'!$B$2:$N$2500,12,FALSE)</f>
        <v>Taxi service</v>
      </c>
    </row>
    <row r="823" spans="1:28" x14ac:dyDescent="0.25">
      <c r="A823">
        <v>200398</v>
      </c>
      <c r="B823" t="s">
        <v>2802</v>
      </c>
      <c r="C823" t="s">
        <v>2803</v>
      </c>
      <c r="D823" t="s">
        <v>1866</v>
      </c>
      <c r="E823">
        <v>88</v>
      </c>
      <c r="F823">
        <v>7500000</v>
      </c>
      <c r="G823">
        <v>2800497.7</v>
      </c>
      <c r="H823">
        <v>686082.82</v>
      </c>
      <c r="I823" t="s">
        <v>963</v>
      </c>
      <c r="J823">
        <v>0</v>
      </c>
      <c r="K823">
        <v>0</v>
      </c>
      <c r="L823">
        <v>99915.38</v>
      </c>
      <c r="M823">
        <v>3064171.29</v>
      </c>
      <c r="N823" s="711">
        <v>42611.685413923609</v>
      </c>
      <c r="O823" s="711">
        <v>43072</v>
      </c>
      <c r="P823" t="s">
        <v>2804</v>
      </c>
      <c r="Q823" t="s">
        <v>1280</v>
      </c>
      <c r="R823" t="s">
        <v>2805</v>
      </c>
      <c r="S823" t="s">
        <v>1510</v>
      </c>
      <c r="T823">
        <v>50</v>
      </c>
      <c r="U823">
        <f>IF(Table__192.168.1.150_M_CONSOLIDATED_Delinquency_Compulsory_EOM[[#This Row],[Days in Arrears]] &lt; 8, Table__192.168.1.150_M_CONSOLIDATED_Delinquency_Compulsory_EOM[[#This Row],[Outstanding Balance]], 0 )</f>
        <v>0</v>
      </c>
      <c r="V8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2800497.7</v>
      </c>
      <c r="Y8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3" s="105" t="str">
        <f>VLOOKUP(Table__192.168.1.150_M_CONSOLIDATED_Delinquency_Compulsory_EOM[[#This Row],[Client No]],'Global Portfolio'!$B$2:$N$2500,10,FALSE)</f>
        <v>Retail</v>
      </c>
      <c r="AA823" s="105" t="str">
        <f>VLOOKUP(Table__192.168.1.150_M_CONSOLIDATED_Delinquency_Compulsory_EOM[[#This Row],[Client No]],'Global Portfolio'!$B$2:$N$2500,11,FALSE)</f>
        <v>Miscellaneous Store Retailers</v>
      </c>
      <c r="AB823" s="105" t="str">
        <f>VLOOKUP(Table__192.168.1.150_M_CONSOLIDATED_Delinquency_Compulsory_EOM[[#This Row],[Client No]],'Global Portfolio'!$B$2:$N$2500,12,FALSE)</f>
        <v>Others</v>
      </c>
    </row>
    <row r="824" spans="1:28" x14ac:dyDescent="0.25">
      <c r="A824">
        <v>200400</v>
      </c>
      <c r="B824" t="s">
        <v>2786</v>
      </c>
      <c r="C824" t="s">
        <v>2795</v>
      </c>
      <c r="D824" t="s">
        <v>1281</v>
      </c>
      <c r="E824">
        <v>-2</v>
      </c>
      <c r="F824">
        <v>20000000</v>
      </c>
      <c r="G824">
        <v>7060336.3899999997</v>
      </c>
      <c r="H824">
        <v>1585942.97</v>
      </c>
      <c r="I824" t="s">
        <v>1447</v>
      </c>
      <c r="J824">
        <v>0</v>
      </c>
      <c r="K824">
        <v>0</v>
      </c>
      <c r="L824">
        <v>254172.11</v>
      </c>
      <c r="M824">
        <v>7929714.9400000004</v>
      </c>
      <c r="N824" s="711">
        <v>42612.4035883912</v>
      </c>
      <c r="O824" s="711">
        <v>43162</v>
      </c>
      <c r="P824" t="s">
        <v>2796</v>
      </c>
      <c r="Q824" t="s">
        <v>1280</v>
      </c>
      <c r="R824" t="s">
        <v>1280</v>
      </c>
      <c r="S824" t="s">
        <v>1510</v>
      </c>
      <c r="T824">
        <v>48</v>
      </c>
      <c r="U824">
        <f>IF(Table__192.168.1.150_M_CONSOLIDATED_Delinquency_Compulsory_EOM[[#This Row],[Days in Arrears]] &lt; 8, Table__192.168.1.150_M_CONSOLIDATED_Delinquency_Compulsory_EOM[[#This Row],[Outstanding Balance]], 0 )</f>
        <v>7060336.3899999997</v>
      </c>
      <c r="V8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4" s="105" t="str">
        <f>VLOOKUP(Table__192.168.1.150_M_CONSOLIDATED_Delinquency_Compulsory_EOM[[#This Row],[Client No]],'Global Portfolio'!$B$2:$N$2500,10,FALSE)</f>
        <v>Retail</v>
      </c>
      <c r="AA824" s="105" t="str">
        <f>VLOOKUP(Table__192.168.1.150_M_CONSOLIDATED_Delinquency_Compulsory_EOM[[#This Row],[Client No]],'Global Portfolio'!$B$2:$N$2500,11,FALSE)</f>
        <v>Food and Beverage Stores</v>
      </c>
      <c r="AB824" s="105" t="str">
        <f>VLOOKUP(Table__192.168.1.150_M_CONSOLIDATED_Delinquency_Compulsory_EOM[[#This Row],[Client No]],'Global Portfolio'!$B$2:$N$2500,12,FALSE)</f>
        <v>Convenience Stores (minimart)</v>
      </c>
    </row>
    <row r="825" spans="1:28" x14ac:dyDescent="0.25">
      <c r="A825">
        <v>200401</v>
      </c>
      <c r="B825" t="s">
        <v>2811</v>
      </c>
      <c r="C825" t="s">
        <v>2818</v>
      </c>
      <c r="D825" t="s">
        <v>1284</v>
      </c>
      <c r="E825">
        <v>-2</v>
      </c>
      <c r="F825">
        <v>20500000</v>
      </c>
      <c r="G825">
        <v>11431392.869999999</v>
      </c>
      <c r="H825">
        <v>1258394.8600000001</v>
      </c>
      <c r="I825" t="s">
        <v>1447</v>
      </c>
      <c r="J825">
        <v>0</v>
      </c>
      <c r="K825">
        <v>1025000</v>
      </c>
      <c r="L825">
        <v>342941.79</v>
      </c>
      <c r="M825">
        <v>13842343.619999999</v>
      </c>
      <c r="N825" s="711">
        <v>42612.53626828704</v>
      </c>
      <c r="O825" s="711">
        <v>43346</v>
      </c>
      <c r="P825" t="s">
        <v>2819</v>
      </c>
      <c r="Q825" t="s">
        <v>1280</v>
      </c>
      <c r="R825" t="s">
        <v>1280</v>
      </c>
      <c r="S825" t="s">
        <v>1510</v>
      </c>
      <c r="T825">
        <v>40</v>
      </c>
      <c r="U825">
        <f>IF(Table__192.168.1.150_M_CONSOLIDATED_Delinquency_Compulsory_EOM[[#This Row],[Days in Arrears]] &lt; 8, Table__192.168.1.150_M_CONSOLIDATED_Delinquency_Compulsory_EOM[[#This Row],[Outstanding Balance]], 0 )</f>
        <v>11431392.869999999</v>
      </c>
      <c r="V8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5" s="105" t="str">
        <f>VLOOKUP(Table__192.168.1.150_M_CONSOLIDATED_Delinquency_Compulsory_EOM[[#This Row],[Client No]],'Global Portfolio'!$B$2:$N$2500,10,FALSE)</f>
        <v>Real Estate and Rental</v>
      </c>
      <c r="AA825" s="105" t="str">
        <f>VLOOKUP(Table__192.168.1.150_M_CONSOLIDATED_Delinquency_Compulsory_EOM[[#This Row],[Client No]],'Global Portfolio'!$B$2:$N$2500,11,FALSE)</f>
        <v>Rental</v>
      </c>
      <c r="AB825" s="105" t="str">
        <f>VLOOKUP(Table__192.168.1.150_M_CONSOLIDATED_Delinquency_Compulsory_EOM[[#This Row],[Client No]],'Global Portfolio'!$B$2:$N$2500,12,FALSE)</f>
        <v>General Rental Centers</v>
      </c>
    </row>
    <row r="826" spans="1:28" x14ac:dyDescent="0.25">
      <c r="A826">
        <v>200408</v>
      </c>
      <c r="B826" t="s">
        <v>2828</v>
      </c>
      <c r="C826" t="s">
        <v>2845</v>
      </c>
      <c r="D826" t="s">
        <v>1282</v>
      </c>
      <c r="E826">
        <v>58</v>
      </c>
      <c r="F826">
        <v>5000000</v>
      </c>
      <c r="G826">
        <v>392896.1</v>
      </c>
      <c r="H826">
        <v>550692.18000000005</v>
      </c>
      <c r="I826" t="s">
        <v>3074</v>
      </c>
      <c r="J826">
        <v>0</v>
      </c>
      <c r="K826">
        <v>0</v>
      </c>
      <c r="L826">
        <v>0</v>
      </c>
      <c r="M826">
        <v>392896.1</v>
      </c>
      <c r="N826" s="711">
        <v>42613.727876701392</v>
      </c>
      <c r="O826" s="711">
        <v>42981</v>
      </c>
      <c r="P826" t="s">
        <v>2846</v>
      </c>
      <c r="Q826" t="s">
        <v>1280</v>
      </c>
      <c r="R826" t="s">
        <v>1280</v>
      </c>
      <c r="S826" t="s">
        <v>1510</v>
      </c>
      <c r="T826">
        <v>54</v>
      </c>
      <c r="U826">
        <f>IF(Table__192.168.1.150_M_CONSOLIDATED_Delinquency_Compulsory_EOM[[#This Row],[Days in Arrears]] &lt; 8, Table__192.168.1.150_M_CONSOLIDATED_Delinquency_Compulsory_EOM[[#This Row],[Outstanding Balance]], 0 )</f>
        <v>0</v>
      </c>
      <c r="V8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392896.1</v>
      </c>
      <c r="X8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6" s="105" t="str">
        <f>VLOOKUP(Table__192.168.1.150_M_CONSOLIDATED_Delinquency_Compulsory_EOM[[#This Row],[Client No]],'Global Portfolio'!$B$2:$N$2500,10,FALSE)</f>
        <v>Real Estate and Rental</v>
      </c>
      <c r="AA826" s="105" t="str">
        <f>VLOOKUP(Table__192.168.1.150_M_CONSOLIDATED_Delinquency_Compulsory_EOM[[#This Row],[Client No]],'Global Portfolio'!$B$2:$N$2500,11,FALSE)</f>
        <v>Rental</v>
      </c>
      <c r="AB826" s="105" t="str">
        <f>VLOOKUP(Table__192.168.1.150_M_CONSOLIDATED_Delinquency_Compulsory_EOM[[#This Row],[Client No]],'Global Portfolio'!$B$2:$N$2500,12,FALSE)</f>
        <v>Others</v>
      </c>
    </row>
    <row r="827" spans="1:28" x14ac:dyDescent="0.25">
      <c r="A827">
        <v>200410</v>
      </c>
      <c r="B827" t="s">
        <v>2827</v>
      </c>
      <c r="C827" t="s">
        <v>2850</v>
      </c>
      <c r="D827" t="s">
        <v>1282</v>
      </c>
      <c r="E827">
        <v>148</v>
      </c>
      <c r="F827">
        <v>3000000</v>
      </c>
      <c r="G827">
        <v>1108528.8899999999</v>
      </c>
      <c r="H827">
        <v>330415.31</v>
      </c>
      <c r="I827" t="s">
        <v>5725</v>
      </c>
      <c r="J827">
        <v>0</v>
      </c>
      <c r="K827">
        <v>0</v>
      </c>
      <c r="L827">
        <v>40873.49</v>
      </c>
      <c r="M827">
        <v>1191474.8999999999</v>
      </c>
      <c r="N827" s="711">
        <v>42613.80719699074</v>
      </c>
      <c r="O827" s="711">
        <v>42981</v>
      </c>
      <c r="P827" t="s">
        <v>2851</v>
      </c>
      <c r="Q827" t="s">
        <v>1280</v>
      </c>
      <c r="R827" t="s">
        <v>1280</v>
      </c>
      <c r="S827" t="s">
        <v>1510</v>
      </c>
      <c r="T827">
        <v>54</v>
      </c>
      <c r="U827">
        <f>IF(Table__192.168.1.150_M_CONSOLIDATED_Delinquency_Compulsory_EOM[[#This Row],[Days in Arrears]] &lt; 8, Table__192.168.1.150_M_CONSOLIDATED_Delinquency_Compulsory_EOM[[#This Row],[Outstanding Balance]], 0 )</f>
        <v>0</v>
      </c>
      <c r="V8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1108528.8899999999</v>
      </c>
      <c r="Z827" s="105" t="str">
        <f>VLOOKUP(Table__192.168.1.150_M_CONSOLIDATED_Delinquency_Compulsory_EOM[[#This Row],[Client No]],'Global Portfolio'!$B$2:$N$2500,10,FALSE)</f>
        <v>Retail</v>
      </c>
      <c r="AA827" s="105" t="str">
        <f>VLOOKUP(Table__192.168.1.150_M_CONSOLIDATED_Delinquency_Compulsory_EOM[[#This Row],[Client No]],'Global Portfolio'!$B$2:$N$2500,11,FALSE)</f>
        <v>Others</v>
      </c>
      <c r="AB827" s="105" t="str">
        <f>VLOOKUP(Table__192.168.1.150_M_CONSOLIDATED_Delinquency_Compulsory_EOM[[#This Row],[Client No]],'Global Portfolio'!$B$2:$N$2500,12,FALSE)</f>
        <v>Others</v>
      </c>
    </row>
    <row r="828" spans="1:28" x14ac:dyDescent="0.25">
      <c r="A828">
        <v>200415</v>
      </c>
      <c r="B828" t="s">
        <v>2862</v>
      </c>
      <c r="C828" t="s">
        <v>2863</v>
      </c>
      <c r="D828" t="s">
        <v>1281</v>
      </c>
      <c r="E828">
        <v>-5</v>
      </c>
      <c r="F828">
        <v>17000000</v>
      </c>
      <c r="G828">
        <v>5978292.4400000004</v>
      </c>
      <c r="H828">
        <v>1342886.58</v>
      </c>
      <c r="I828" t="s">
        <v>1448</v>
      </c>
      <c r="J828">
        <v>68698.240000000005</v>
      </c>
      <c r="K828">
        <v>0</v>
      </c>
      <c r="L828">
        <v>349727.33</v>
      </c>
      <c r="M828">
        <v>6714432.8700000001</v>
      </c>
      <c r="N828" s="711">
        <v>42619.509713310188</v>
      </c>
      <c r="O828" s="711">
        <v>43165</v>
      </c>
      <c r="P828" t="s">
        <v>2864</v>
      </c>
      <c r="Q828" t="s">
        <v>2865</v>
      </c>
      <c r="R828" t="s">
        <v>1280</v>
      </c>
      <c r="S828" t="s">
        <v>1510</v>
      </c>
      <c r="T828">
        <v>48</v>
      </c>
      <c r="U828">
        <f>IF(Table__192.168.1.150_M_CONSOLIDATED_Delinquency_Compulsory_EOM[[#This Row],[Days in Arrears]] &lt; 8, Table__192.168.1.150_M_CONSOLIDATED_Delinquency_Compulsory_EOM[[#This Row],[Outstanding Balance]], 0 )</f>
        <v>5978292.4400000004</v>
      </c>
      <c r="V8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8" s="105" t="str">
        <f>VLOOKUP(Table__192.168.1.150_M_CONSOLIDATED_Delinquency_Compulsory_EOM[[#This Row],[Client No]],'Global Portfolio'!$B$2:$N$2500,10,FALSE)</f>
        <v>Retail</v>
      </c>
      <c r="AA828" s="105" t="str">
        <f>VLOOKUP(Table__192.168.1.150_M_CONSOLIDATED_Delinquency_Compulsory_EOM[[#This Row],[Client No]],'Global Portfolio'!$B$2:$N$2500,11,FALSE)</f>
        <v>Furniture and Home Furnishings Stores</v>
      </c>
      <c r="AB828" s="105" t="str">
        <f>VLOOKUP(Table__192.168.1.150_M_CONSOLIDATED_Delinquency_Compulsory_EOM[[#This Row],[Client No]],'Global Portfolio'!$B$2:$N$2500,12,FALSE)</f>
        <v>Furniture Stores</v>
      </c>
    </row>
    <row r="829" spans="1:28" x14ac:dyDescent="0.25">
      <c r="A829">
        <v>200416</v>
      </c>
      <c r="B829" t="s">
        <v>2616</v>
      </c>
      <c r="C829" t="s">
        <v>2623</v>
      </c>
      <c r="D829" t="s">
        <v>1866</v>
      </c>
      <c r="E829">
        <v>-7</v>
      </c>
      <c r="F829">
        <v>10000000</v>
      </c>
      <c r="G829">
        <v>3552549.12</v>
      </c>
      <c r="H829">
        <v>801738.85</v>
      </c>
      <c r="I829" t="s">
        <v>90</v>
      </c>
      <c r="J829">
        <v>187661.21</v>
      </c>
      <c r="K829">
        <v>1000000</v>
      </c>
      <c r="L829">
        <v>108550.11</v>
      </c>
      <c r="M829">
        <v>4008694.21</v>
      </c>
      <c r="N829" s="711">
        <v>42620.597951238429</v>
      </c>
      <c r="O829" s="711">
        <v>43167</v>
      </c>
      <c r="P829" t="s">
        <v>2624</v>
      </c>
      <c r="Q829" t="s">
        <v>1280</v>
      </c>
      <c r="R829" t="s">
        <v>1280</v>
      </c>
      <c r="S829" t="s">
        <v>1510</v>
      </c>
      <c r="T829">
        <v>50</v>
      </c>
      <c r="U829">
        <f>IF(Table__192.168.1.150_M_CONSOLIDATED_Delinquency_Compulsory_EOM[[#This Row],[Days in Arrears]] &lt; 8, Table__192.168.1.150_M_CONSOLIDATED_Delinquency_Compulsory_EOM[[#This Row],[Outstanding Balance]], 0 )</f>
        <v>3552549.12</v>
      </c>
      <c r="V8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29" s="105" t="e">
        <f>VLOOKUP(Table__192.168.1.150_M_CONSOLIDATED_Delinquency_Compulsory_EOM[[#This Row],[Client No]],'Global Portfolio'!$B$2:$N$2500,10,FALSE)</f>
        <v>#N/A</v>
      </c>
      <c r="AA829" s="105" t="e">
        <f>VLOOKUP(Table__192.168.1.150_M_CONSOLIDATED_Delinquency_Compulsory_EOM[[#This Row],[Client No]],'Global Portfolio'!$B$2:$N$2500,11,FALSE)</f>
        <v>#N/A</v>
      </c>
      <c r="AB829" s="105" t="e">
        <f>VLOOKUP(Table__192.168.1.150_M_CONSOLIDATED_Delinquency_Compulsory_EOM[[#This Row],[Client No]],'Global Portfolio'!$B$2:$N$2500,12,FALSE)</f>
        <v>#N/A</v>
      </c>
    </row>
    <row r="830" spans="1:28" x14ac:dyDescent="0.25">
      <c r="A830">
        <v>200418</v>
      </c>
      <c r="B830" t="s">
        <v>2867</v>
      </c>
      <c r="C830" t="s">
        <v>2870</v>
      </c>
      <c r="D830" t="s">
        <v>1281</v>
      </c>
      <c r="E830">
        <v>16</v>
      </c>
      <c r="F830">
        <v>15100000</v>
      </c>
      <c r="G830">
        <v>3807535.71</v>
      </c>
      <c r="H830">
        <v>1372039.96</v>
      </c>
      <c r="I830" t="s">
        <v>1448</v>
      </c>
      <c r="J830">
        <v>0</v>
      </c>
      <c r="K830">
        <v>1132500</v>
      </c>
      <c r="L830">
        <v>169927.63</v>
      </c>
      <c r="M830">
        <v>4081990.05</v>
      </c>
      <c r="N830" s="711">
        <v>42620.741342280089</v>
      </c>
      <c r="O830" s="711">
        <v>43084</v>
      </c>
      <c r="P830" t="s">
        <v>2871</v>
      </c>
      <c r="Q830" t="s">
        <v>1280</v>
      </c>
      <c r="R830" t="s">
        <v>1280</v>
      </c>
      <c r="S830" t="s">
        <v>1510</v>
      </c>
      <c r="T830">
        <v>48</v>
      </c>
      <c r="U830">
        <f>IF(Table__192.168.1.150_M_CONSOLIDATED_Delinquency_Compulsory_EOM[[#This Row],[Days in Arrears]] &lt; 8, Table__192.168.1.150_M_CONSOLIDATED_Delinquency_Compulsory_EOM[[#This Row],[Outstanding Balance]], 0 )</f>
        <v>0</v>
      </c>
      <c r="V8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3807535.71</v>
      </c>
      <c r="W8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0" s="105" t="str">
        <f>VLOOKUP(Table__192.168.1.150_M_CONSOLIDATED_Delinquency_Compulsory_EOM[[#This Row],[Client No]],'Global Portfolio'!$B$2:$N$2500,10,FALSE)</f>
        <v>Transportation and Warehousing</v>
      </c>
      <c r="AA830" s="105" t="str">
        <f>VLOOKUP(Table__192.168.1.150_M_CONSOLIDATED_Delinquency_Compulsory_EOM[[#This Row],[Client No]],'Global Portfolio'!$B$2:$N$2500,11,FALSE)</f>
        <v>Truck Transportation</v>
      </c>
      <c r="AB830" s="105" t="str">
        <f>VLOOKUP(Table__192.168.1.150_M_CONSOLIDATED_Delinquency_Compulsory_EOM[[#This Row],[Client No]],'Global Portfolio'!$B$2:$N$2500,12,FALSE)</f>
        <v>General Freight Trucking, Long-distance</v>
      </c>
    </row>
    <row r="831" spans="1:28" x14ac:dyDescent="0.25">
      <c r="A831">
        <v>200424</v>
      </c>
      <c r="B831" t="s">
        <v>2885</v>
      </c>
      <c r="C831" t="s">
        <v>2886</v>
      </c>
      <c r="D831" t="s">
        <v>1284</v>
      </c>
      <c r="E831">
        <v>-9</v>
      </c>
      <c r="F831">
        <v>38000000</v>
      </c>
      <c r="G831">
        <v>29046061.280000001</v>
      </c>
      <c r="H831">
        <v>1828185.73</v>
      </c>
      <c r="I831" t="s">
        <v>1467</v>
      </c>
      <c r="J831">
        <v>26069844.32</v>
      </c>
      <c r="K831">
        <v>0</v>
      </c>
      <c r="L831">
        <v>645468.03</v>
      </c>
      <c r="M831">
        <v>42048272.030000001</v>
      </c>
      <c r="N831" s="711">
        <v>42623.473717824076</v>
      </c>
      <c r="O831" s="711">
        <v>43718</v>
      </c>
      <c r="P831" t="s">
        <v>2887</v>
      </c>
      <c r="Q831" t="s">
        <v>1280</v>
      </c>
      <c r="R831" t="s">
        <v>1280</v>
      </c>
      <c r="S831" t="s">
        <v>1510</v>
      </c>
      <c r="T831">
        <v>40</v>
      </c>
      <c r="U831">
        <f>IF(Table__192.168.1.150_M_CONSOLIDATED_Delinquency_Compulsory_EOM[[#This Row],[Days in Arrears]] &lt; 8, Table__192.168.1.150_M_CONSOLIDATED_Delinquency_Compulsory_EOM[[#This Row],[Outstanding Balance]], 0 )</f>
        <v>29046061.280000001</v>
      </c>
      <c r="V8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1" s="105" t="str">
        <f>VLOOKUP(Table__192.168.1.150_M_CONSOLIDATED_Delinquency_Compulsory_EOM[[#This Row],[Client No]],'Global Portfolio'!$B$2:$N$2500,10,FALSE)</f>
        <v>Restaurants and Hotels</v>
      </c>
      <c r="AA831" s="105" t="str">
        <f>VLOOKUP(Table__192.168.1.150_M_CONSOLIDATED_Delinquency_Compulsory_EOM[[#This Row],[Client No]],'Global Portfolio'!$B$2:$N$2500,11,FALSE)</f>
        <v>Restaurant</v>
      </c>
      <c r="AB831" s="105" t="str">
        <f>VLOOKUP(Table__192.168.1.150_M_CONSOLIDATED_Delinquency_Compulsory_EOM[[#This Row],[Client No]],'Global Portfolio'!$B$2:$N$2500,12,FALSE)</f>
        <v>Restaurant</v>
      </c>
    </row>
    <row r="832" spans="1:28" x14ac:dyDescent="0.25">
      <c r="A832">
        <v>200426</v>
      </c>
      <c r="B832" t="s">
        <v>2729</v>
      </c>
      <c r="C832" t="s">
        <v>2730</v>
      </c>
      <c r="D832" t="s">
        <v>1284</v>
      </c>
      <c r="E832">
        <v>-17</v>
      </c>
      <c r="F832">
        <v>20000000</v>
      </c>
      <c r="G832">
        <v>15180591.800000001</v>
      </c>
      <c r="H832">
        <v>923191.04</v>
      </c>
      <c r="I832" t="s">
        <v>2861</v>
      </c>
      <c r="J832">
        <v>0</v>
      </c>
      <c r="K832">
        <v>0</v>
      </c>
      <c r="L832">
        <v>182167.1</v>
      </c>
      <c r="M832">
        <v>21233393.670000002</v>
      </c>
      <c r="N832" s="711">
        <v>42623.594059293981</v>
      </c>
      <c r="O832" s="711">
        <v>43726</v>
      </c>
      <c r="P832" t="s">
        <v>2731</v>
      </c>
      <c r="Q832" t="s">
        <v>1280</v>
      </c>
      <c r="R832" t="s">
        <v>1280</v>
      </c>
      <c r="S832" t="s">
        <v>1510</v>
      </c>
      <c r="T832">
        <v>36</v>
      </c>
      <c r="U832">
        <f>IF(Table__192.168.1.150_M_CONSOLIDATED_Delinquency_Compulsory_EOM[[#This Row],[Days in Arrears]] &lt; 8, Table__192.168.1.150_M_CONSOLIDATED_Delinquency_Compulsory_EOM[[#This Row],[Outstanding Balance]], 0 )</f>
        <v>15180591.800000001</v>
      </c>
      <c r="V8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2" s="105" t="e">
        <f>VLOOKUP(Table__192.168.1.150_M_CONSOLIDATED_Delinquency_Compulsory_EOM[[#This Row],[Client No]],'Global Portfolio'!$B$2:$N$2500,10,FALSE)</f>
        <v>#N/A</v>
      </c>
      <c r="AA832" s="105" t="e">
        <f>VLOOKUP(Table__192.168.1.150_M_CONSOLIDATED_Delinquency_Compulsory_EOM[[#This Row],[Client No]],'Global Portfolio'!$B$2:$N$2500,11,FALSE)</f>
        <v>#N/A</v>
      </c>
      <c r="AB832" s="105" t="e">
        <f>VLOOKUP(Table__192.168.1.150_M_CONSOLIDATED_Delinquency_Compulsory_EOM[[#This Row],[Client No]],'Global Portfolio'!$B$2:$N$2500,12,FALSE)</f>
        <v>#N/A</v>
      </c>
    </row>
    <row r="833" spans="1:28" x14ac:dyDescent="0.25">
      <c r="A833">
        <v>200427</v>
      </c>
      <c r="B833" t="s">
        <v>2884</v>
      </c>
      <c r="C833" t="s">
        <v>2888</v>
      </c>
      <c r="D833" t="s">
        <v>1284</v>
      </c>
      <c r="E833">
        <v>-9</v>
      </c>
      <c r="F833">
        <v>15000000</v>
      </c>
      <c r="G833">
        <v>10238086.779999999</v>
      </c>
      <c r="H833">
        <v>798628.92</v>
      </c>
      <c r="I833" t="s">
        <v>1925</v>
      </c>
      <c r="J833">
        <v>91388.02</v>
      </c>
      <c r="K833">
        <v>750000</v>
      </c>
      <c r="L833">
        <v>227513.04</v>
      </c>
      <c r="M833">
        <v>13576691.41</v>
      </c>
      <c r="N833" s="711">
        <v>42623.58788240741</v>
      </c>
      <c r="O833" s="711">
        <v>43534</v>
      </c>
      <c r="P833" t="s">
        <v>2889</v>
      </c>
      <c r="Q833" t="s">
        <v>1280</v>
      </c>
      <c r="R833" t="s">
        <v>1280</v>
      </c>
      <c r="S833" t="s">
        <v>1510</v>
      </c>
      <c r="T833">
        <v>40</v>
      </c>
      <c r="U833">
        <f>IF(Table__192.168.1.150_M_CONSOLIDATED_Delinquency_Compulsory_EOM[[#This Row],[Days in Arrears]] &lt; 8, Table__192.168.1.150_M_CONSOLIDATED_Delinquency_Compulsory_EOM[[#This Row],[Outstanding Balance]], 0 )</f>
        <v>10238086.779999999</v>
      </c>
      <c r="V8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3" s="105" t="str">
        <f>VLOOKUP(Table__192.168.1.150_M_CONSOLIDATED_Delinquency_Compulsory_EOM[[#This Row],[Client No]],'Global Portfolio'!$B$2:$N$2500,10,FALSE)</f>
        <v>Retail</v>
      </c>
      <c r="AA833" s="105" t="str">
        <f>VLOOKUP(Table__192.168.1.150_M_CONSOLIDATED_Delinquency_Compulsory_EOM[[#This Row],[Client No]],'Global Portfolio'!$B$2:$N$2500,11,FALSE)</f>
        <v>New-Clothing and  Accessories</v>
      </c>
      <c r="AB833" s="105" t="str">
        <f>VLOOKUP(Table__192.168.1.150_M_CONSOLIDATED_Delinquency_Compulsory_EOM[[#This Row],[Client No]],'Global Portfolio'!$B$2:$N$2500,12,FALSE)</f>
        <v>Others</v>
      </c>
    </row>
    <row r="834" spans="1:28" x14ac:dyDescent="0.25">
      <c r="A834">
        <v>200428</v>
      </c>
      <c r="B834" t="s">
        <v>2890</v>
      </c>
      <c r="C834" t="s">
        <v>2891</v>
      </c>
      <c r="D834" t="s">
        <v>1284</v>
      </c>
      <c r="E834">
        <v>-12</v>
      </c>
      <c r="F834">
        <v>30000000</v>
      </c>
      <c r="G834">
        <v>22931100.899999999</v>
      </c>
      <c r="H834">
        <v>1443304.53</v>
      </c>
      <c r="I834" t="s">
        <v>1448</v>
      </c>
      <c r="J834">
        <v>109000</v>
      </c>
      <c r="K834">
        <v>0</v>
      </c>
      <c r="L834">
        <v>433143.02</v>
      </c>
      <c r="M834">
        <v>33196003.940000001</v>
      </c>
      <c r="N834" s="711">
        <v>42626.532485185184</v>
      </c>
      <c r="O834" s="711">
        <v>43721</v>
      </c>
      <c r="P834" t="s">
        <v>2892</v>
      </c>
      <c r="Q834" t="s">
        <v>2893</v>
      </c>
      <c r="R834" t="s">
        <v>1280</v>
      </c>
      <c r="S834" t="s">
        <v>1510</v>
      </c>
      <c r="T834">
        <v>40</v>
      </c>
      <c r="U834">
        <f>IF(Table__192.168.1.150_M_CONSOLIDATED_Delinquency_Compulsory_EOM[[#This Row],[Days in Arrears]] &lt; 8, Table__192.168.1.150_M_CONSOLIDATED_Delinquency_Compulsory_EOM[[#This Row],[Outstanding Balance]], 0 )</f>
        <v>22931100.899999999</v>
      </c>
      <c r="V8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4" s="105" t="str">
        <f>VLOOKUP(Table__192.168.1.150_M_CONSOLIDATED_Delinquency_Compulsory_EOM[[#This Row],[Client No]],'Global Portfolio'!$B$2:$N$2500,10,FALSE)</f>
        <v>Wholesale Trade</v>
      </c>
      <c r="AA834" s="105" t="str">
        <f>VLOOKUP(Table__192.168.1.150_M_CONSOLIDATED_Delinquency_Compulsory_EOM[[#This Row],[Client No]],'Global Portfolio'!$B$2:$N$2500,11,FALSE)</f>
        <v>Durable Goods</v>
      </c>
      <c r="AB834" s="105" t="str">
        <f>VLOOKUP(Table__192.168.1.150_M_CONSOLIDATED_Delinquency_Compulsory_EOM[[#This Row],[Client No]],'Global Portfolio'!$B$2:$N$2500,12,FALSE)</f>
        <v>Furniture &amp; Home Furnishings</v>
      </c>
    </row>
    <row r="835" spans="1:28" x14ac:dyDescent="0.25">
      <c r="A835">
        <v>200430</v>
      </c>
      <c r="B835" t="s">
        <v>2894</v>
      </c>
      <c r="C835" t="s">
        <v>2896</v>
      </c>
      <c r="D835" t="s">
        <v>1284</v>
      </c>
      <c r="E835">
        <v>-13</v>
      </c>
      <c r="F835">
        <v>19000000</v>
      </c>
      <c r="G835">
        <v>14523030.560000001</v>
      </c>
      <c r="H835">
        <v>914092.87</v>
      </c>
      <c r="I835" t="s">
        <v>491</v>
      </c>
      <c r="J835">
        <v>0</v>
      </c>
      <c r="K835">
        <v>950000</v>
      </c>
      <c r="L835">
        <v>258187.21</v>
      </c>
      <c r="M835">
        <v>21024135.809999999</v>
      </c>
      <c r="N835" s="711">
        <v>42627.728360532405</v>
      </c>
      <c r="O835" s="711">
        <v>43722</v>
      </c>
      <c r="P835" t="s">
        <v>2897</v>
      </c>
      <c r="Q835" t="s">
        <v>1280</v>
      </c>
      <c r="R835" t="s">
        <v>1280</v>
      </c>
      <c r="S835" t="s">
        <v>1510</v>
      </c>
      <c r="T835">
        <v>40</v>
      </c>
      <c r="U835">
        <f>IF(Table__192.168.1.150_M_CONSOLIDATED_Delinquency_Compulsory_EOM[[#This Row],[Days in Arrears]] &lt; 8, Table__192.168.1.150_M_CONSOLIDATED_Delinquency_Compulsory_EOM[[#This Row],[Outstanding Balance]], 0 )</f>
        <v>14523030.560000001</v>
      </c>
      <c r="V8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5" s="105" t="str">
        <f>VLOOKUP(Table__192.168.1.150_M_CONSOLIDATED_Delinquency_Compulsory_EOM[[#This Row],[Client No]],'Global Portfolio'!$B$2:$N$2500,10,FALSE)</f>
        <v>Real Estate and Rental</v>
      </c>
      <c r="AA835" s="105" t="str">
        <f>VLOOKUP(Table__192.168.1.150_M_CONSOLIDATED_Delinquency_Compulsory_EOM[[#This Row],[Client No]],'Global Portfolio'!$B$2:$N$2500,11,FALSE)</f>
        <v>Rental</v>
      </c>
      <c r="AB835" s="105" t="str">
        <f>VLOOKUP(Table__192.168.1.150_M_CONSOLIDATED_Delinquency_Compulsory_EOM[[#This Row],[Client No]],'Global Portfolio'!$B$2:$N$2500,12,FALSE)</f>
        <v>General Rental Centers</v>
      </c>
    </row>
    <row r="836" spans="1:28" x14ac:dyDescent="0.25">
      <c r="A836">
        <v>200431</v>
      </c>
      <c r="B836" t="s">
        <v>2895</v>
      </c>
      <c r="C836" t="s">
        <v>2898</v>
      </c>
      <c r="D836" t="s">
        <v>1282</v>
      </c>
      <c r="E836">
        <v>16</v>
      </c>
      <c r="F836">
        <v>4000000</v>
      </c>
      <c r="G836">
        <v>2519867.0299999998</v>
      </c>
      <c r="H836">
        <v>276344.21999999997</v>
      </c>
      <c r="I836" t="s">
        <v>2538</v>
      </c>
      <c r="J836">
        <v>0</v>
      </c>
      <c r="K836">
        <v>0</v>
      </c>
      <c r="L836">
        <v>233805.03</v>
      </c>
      <c r="M836">
        <v>3316130.55</v>
      </c>
      <c r="N836" s="711">
        <v>42627.75354853009</v>
      </c>
      <c r="O836" s="711">
        <v>43358</v>
      </c>
      <c r="P836" t="s">
        <v>2899</v>
      </c>
      <c r="Q836" t="s">
        <v>1280</v>
      </c>
      <c r="R836" t="s">
        <v>1280</v>
      </c>
      <c r="S836" t="s">
        <v>1510</v>
      </c>
      <c r="T836">
        <v>54</v>
      </c>
      <c r="U836">
        <f>IF(Table__192.168.1.150_M_CONSOLIDATED_Delinquency_Compulsory_EOM[[#This Row],[Days in Arrears]] &lt; 8, Table__192.168.1.150_M_CONSOLIDATED_Delinquency_Compulsory_EOM[[#This Row],[Outstanding Balance]], 0 )</f>
        <v>0</v>
      </c>
      <c r="V8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2519867.0299999998</v>
      </c>
      <c r="W8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6" s="105" t="str">
        <f>VLOOKUP(Table__192.168.1.150_M_CONSOLIDATED_Delinquency_Compulsory_EOM[[#This Row],[Client No]],'Global Portfolio'!$B$2:$N$2500,10,FALSE)</f>
        <v>Real Estate and Rental</v>
      </c>
      <c r="AA836" s="105" t="str">
        <f>VLOOKUP(Table__192.168.1.150_M_CONSOLIDATED_Delinquency_Compulsory_EOM[[#This Row],[Client No]],'Global Portfolio'!$B$2:$N$2500,11,FALSE)</f>
        <v>Rental</v>
      </c>
      <c r="AB836" s="105" t="str">
        <f>VLOOKUP(Table__192.168.1.150_M_CONSOLIDATED_Delinquency_Compulsory_EOM[[#This Row],[Client No]],'Global Portfolio'!$B$2:$N$2500,12,FALSE)</f>
        <v>Others</v>
      </c>
    </row>
    <row r="837" spans="1:28" x14ac:dyDescent="0.25">
      <c r="A837">
        <v>200435</v>
      </c>
      <c r="B837" t="s">
        <v>2957</v>
      </c>
      <c r="C837" t="s">
        <v>2958</v>
      </c>
      <c r="D837" t="s">
        <v>1284</v>
      </c>
      <c r="E837">
        <v>-15</v>
      </c>
      <c r="F837">
        <v>38000000</v>
      </c>
      <c r="G837">
        <v>21121764.120000001</v>
      </c>
      <c r="H837">
        <v>2325133.9500000002</v>
      </c>
      <c r="I837" t="s">
        <v>1925</v>
      </c>
      <c r="J837">
        <v>222.12</v>
      </c>
      <c r="K837">
        <v>0</v>
      </c>
      <c r="L837">
        <v>1074056.26</v>
      </c>
      <c r="M837">
        <v>25576473.440000001</v>
      </c>
      <c r="N837" s="711">
        <v>42629.342043055556</v>
      </c>
      <c r="O837" s="711">
        <v>43359</v>
      </c>
      <c r="P837" t="s">
        <v>2959</v>
      </c>
      <c r="Q837" t="s">
        <v>1280</v>
      </c>
      <c r="R837" t="s">
        <v>1280</v>
      </c>
      <c r="S837" t="s">
        <v>1510</v>
      </c>
      <c r="T837">
        <v>40</v>
      </c>
      <c r="U837">
        <f>IF(Table__192.168.1.150_M_CONSOLIDATED_Delinquency_Compulsory_EOM[[#This Row],[Days in Arrears]] &lt; 8, Table__192.168.1.150_M_CONSOLIDATED_Delinquency_Compulsory_EOM[[#This Row],[Outstanding Balance]], 0 )</f>
        <v>21121764.120000001</v>
      </c>
      <c r="V8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7" s="105" t="str">
        <f>VLOOKUP(Table__192.168.1.150_M_CONSOLIDATED_Delinquency_Compulsory_EOM[[#This Row],[Client No]],'Global Portfolio'!$B$2:$N$2500,10,FALSE)</f>
        <v>Wholesale Trade</v>
      </c>
      <c r="AA837" s="105" t="str">
        <f>VLOOKUP(Table__192.168.1.150_M_CONSOLIDATED_Delinquency_Compulsory_EOM[[#This Row],[Client No]],'Global Portfolio'!$B$2:$N$2500,11,FALSE)</f>
        <v>Durable Goods</v>
      </c>
      <c r="AB837" s="105" t="str">
        <f>VLOOKUP(Table__192.168.1.150_M_CONSOLIDATED_Delinquency_Compulsory_EOM[[#This Row],[Client No]],'Global Portfolio'!$B$2:$N$2500,12,FALSE)</f>
        <v>Others</v>
      </c>
    </row>
    <row r="838" spans="1:28" x14ac:dyDescent="0.25">
      <c r="A838">
        <v>200436</v>
      </c>
      <c r="B838" t="s">
        <v>2960</v>
      </c>
      <c r="C838" t="s">
        <v>2961</v>
      </c>
      <c r="D838" t="s">
        <v>1284</v>
      </c>
      <c r="E838">
        <v>-23</v>
      </c>
      <c r="F838">
        <v>37000000</v>
      </c>
      <c r="G838">
        <v>28084094.899999999</v>
      </c>
      <c r="H838">
        <v>1707903.42</v>
      </c>
      <c r="I838" t="s">
        <v>963</v>
      </c>
      <c r="J838">
        <v>371850.13</v>
      </c>
      <c r="K838">
        <v>0</v>
      </c>
      <c r="L838">
        <v>168504.57</v>
      </c>
      <c r="M838">
        <v>39281778.450000003</v>
      </c>
      <c r="N838" s="711">
        <v>42629.674353240742</v>
      </c>
      <c r="O838" s="711">
        <v>43732</v>
      </c>
      <c r="P838" t="s">
        <v>2962</v>
      </c>
      <c r="Q838" t="s">
        <v>2963</v>
      </c>
      <c r="R838" t="s">
        <v>1280</v>
      </c>
      <c r="S838" t="s">
        <v>1510</v>
      </c>
      <c r="T838">
        <v>36</v>
      </c>
      <c r="U838">
        <f>IF(Table__192.168.1.150_M_CONSOLIDATED_Delinquency_Compulsory_EOM[[#This Row],[Days in Arrears]] &lt; 8, Table__192.168.1.150_M_CONSOLIDATED_Delinquency_Compulsory_EOM[[#This Row],[Outstanding Balance]], 0 )</f>
        <v>28084094.899999999</v>
      </c>
      <c r="V8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8" s="105" t="str">
        <f>VLOOKUP(Table__192.168.1.150_M_CONSOLIDATED_Delinquency_Compulsory_EOM[[#This Row],[Client No]],'Global Portfolio'!$B$2:$N$2500,10,FALSE)</f>
        <v>Mining</v>
      </c>
      <c r="AA838" s="105" t="str">
        <f>VLOOKUP(Table__192.168.1.150_M_CONSOLIDATED_Delinquency_Compulsory_EOM[[#This Row],[Client No]],'Global Portfolio'!$B$2:$N$2500,11,FALSE)</f>
        <v>Mining and Extraction</v>
      </c>
      <c r="AB838" s="105" t="str">
        <f>VLOOKUP(Table__192.168.1.150_M_CONSOLIDATED_Delinquency_Compulsory_EOM[[#This Row],[Client No]],'Global Portfolio'!$B$2:$N$2500,12,FALSE)</f>
        <v>Oil &amp; Gas Extraction</v>
      </c>
    </row>
    <row r="839" spans="1:28" x14ac:dyDescent="0.25">
      <c r="A839">
        <v>200439</v>
      </c>
      <c r="B839" t="s">
        <v>2964</v>
      </c>
      <c r="C839" t="s">
        <v>2965</v>
      </c>
      <c r="D839" t="s">
        <v>1284</v>
      </c>
      <c r="E839">
        <v>-18</v>
      </c>
      <c r="F839">
        <v>20000000</v>
      </c>
      <c r="G839">
        <v>15287400.609999999</v>
      </c>
      <c r="H839">
        <v>962203.02</v>
      </c>
      <c r="I839" t="s">
        <v>1448</v>
      </c>
      <c r="J839">
        <v>0</v>
      </c>
      <c r="K839">
        <v>1000000</v>
      </c>
      <c r="L839">
        <v>186846.01</v>
      </c>
      <c r="M839">
        <v>22130669.289999999</v>
      </c>
      <c r="N839" s="711">
        <v>42632.70225991898</v>
      </c>
      <c r="O839" s="711">
        <v>43727</v>
      </c>
      <c r="P839" t="s">
        <v>2966</v>
      </c>
      <c r="Q839" t="s">
        <v>2967</v>
      </c>
      <c r="R839" t="s">
        <v>1280</v>
      </c>
      <c r="S839" t="s">
        <v>1510</v>
      </c>
      <c r="T839">
        <v>40</v>
      </c>
      <c r="U839">
        <f>IF(Table__192.168.1.150_M_CONSOLIDATED_Delinquency_Compulsory_EOM[[#This Row],[Days in Arrears]] &lt; 8, Table__192.168.1.150_M_CONSOLIDATED_Delinquency_Compulsory_EOM[[#This Row],[Outstanding Balance]], 0 )</f>
        <v>15287400.609999999</v>
      </c>
      <c r="V8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39" s="105" t="str">
        <f>VLOOKUP(Table__192.168.1.150_M_CONSOLIDATED_Delinquency_Compulsory_EOM[[#This Row],[Client No]],'Global Portfolio'!$B$2:$N$2500,10,FALSE)</f>
        <v>Real Estate and Rental</v>
      </c>
      <c r="AA839" s="105" t="str">
        <f>VLOOKUP(Table__192.168.1.150_M_CONSOLIDATED_Delinquency_Compulsory_EOM[[#This Row],[Client No]],'Global Portfolio'!$B$2:$N$2500,11,FALSE)</f>
        <v>Rental</v>
      </c>
      <c r="AB839" s="105" t="str">
        <f>VLOOKUP(Table__192.168.1.150_M_CONSOLIDATED_Delinquency_Compulsory_EOM[[#This Row],[Client No]],'Global Portfolio'!$B$2:$N$2500,12,FALSE)</f>
        <v>General Rental Centers</v>
      </c>
    </row>
    <row r="840" spans="1:28" x14ac:dyDescent="0.25">
      <c r="A840">
        <v>200444</v>
      </c>
      <c r="B840" t="s">
        <v>2974</v>
      </c>
      <c r="C840" t="s">
        <v>2975</v>
      </c>
      <c r="D840" t="s">
        <v>1282</v>
      </c>
      <c r="E840">
        <v>99</v>
      </c>
      <c r="F840">
        <v>6000000</v>
      </c>
      <c r="G840">
        <v>1748204.29</v>
      </c>
      <c r="H840">
        <v>657997.13</v>
      </c>
      <c r="I840" t="s">
        <v>5725</v>
      </c>
      <c r="J840">
        <v>0</v>
      </c>
      <c r="K840">
        <v>0</v>
      </c>
      <c r="L840">
        <v>53601.13</v>
      </c>
      <c r="M840">
        <v>1831988.55</v>
      </c>
      <c r="N840" s="711">
        <v>42635.476807754632</v>
      </c>
      <c r="O840" s="711">
        <v>43000</v>
      </c>
      <c r="P840" t="s">
        <v>2976</v>
      </c>
      <c r="Q840" t="s">
        <v>1280</v>
      </c>
      <c r="R840" t="s">
        <v>1280</v>
      </c>
      <c r="S840" t="s">
        <v>1510</v>
      </c>
      <c r="T840">
        <v>54</v>
      </c>
      <c r="U840">
        <f>IF(Table__192.168.1.150_M_CONSOLIDATED_Delinquency_Compulsory_EOM[[#This Row],[Days in Arrears]] &lt; 8, Table__192.168.1.150_M_CONSOLIDATED_Delinquency_Compulsory_EOM[[#This Row],[Outstanding Balance]], 0 )</f>
        <v>0</v>
      </c>
      <c r="V8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1748204.29</v>
      </c>
      <c r="Z840" s="105" t="str">
        <f>VLOOKUP(Table__192.168.1.150_M_CONSOLIDATED_Delinquency_Compulsory_EOM[[#This Row],[Client No]],'Global Portfolio'!$B$2:$N$2500,10,FALSE)</f>
        <v>Real Estate and Rental</v>
      </c>
      <c r="AA840" s="105" t="str">
        <f>VLOOKUP(Table__192.168.1.150_M_CONSOLIDATED_Delinquency_Compulsory_EOM[[#This Row],[Client No]],'Global Portfolio'!$B$2:$N$2500,11,FALSE)</f>
        <v>Rental</v>
      </c>
      <c r="AB840" s="105" t="str">
        <f>VLOOKUP(Table__192.168.1.150_M_CONSOLIDATED_Delinquency_Compulsory_EOM[[#This Row],[Client No]],'Global Portfolio'!$B$2:$N$2500,12,FALSE)</f>
        <v>General Rental Centers</v>
      </c>
    </row>
    <row r="841" spans="1:28" x14ac:dyDescent="0.25">
      <c r="A841">
        <v>200446</v>
      </c>
      <c r="B841" t="s">
        <v>2977</v>
      </c>
      <c r="C841" t="s">
        <v>2978</v>
      </c>
      <c r="D841" t="s">
        <v>1279</v>
      </c>
      <c r="E841">
        <v>38</v>
      </c>
      <c r="F841">
        <v>3000000</v>
      </c>
      <c r="G841">
        <v>314831.09999999998</v>
      </c>
      <c r="H841">
        <v>328998.57</v>
      </c>
      <c r="I841" t="s">
        <v>1925</v>
      </c>
      <c r="J841">
        <v>0</v>
      </c>
      <c r="K841">
        <v>301434.5</v>
      </c>
      <c r="L841">
        <v>13695.15</v>
      </c>
      <c r="M841">
        <v>328998.5</v>
      </c>
      <c r="N841" s="711">
        <v>42636.700270023146</v>
      </c>
      <c r="O841" s="711">
        <v>43001</v>
      </c>
      <c r="P841" t="s">
        <v>2979</v>
      </c>
      <c r="Q841" t="s">
        <v>1280</v>
      </c>
      <c r="R841" t="s">
        <v>1280</v>
      </c>
      <c r="S841" t="s">
        <v>1510</v>
      </c>
      <c r="T841">
        <v>54</v>
      </c>
      <c r="U841">
        <f>IF(Table__192.168.1.150_M_CONSOLIDATED_Delinquency_Compulsory_EOM[[#This Row],[Days in Arrears]] &lt; 8, Table__192.168.1.150_M_CONSOLIDATED_Delinquency_Compulsory_EOM[[#This Row],[Outstanding Balance]], 0 )</f>
        <v>0</v>
      </c>
      <c r="V8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314831.09999999998</v>
      </c>
      <c r="X8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1" s="105" t="str">
        <f>VLOOKUP(Table__192.168.1.150_M_CONSOLIDATED_Delinquency_Compulsory_EOM[[#This Row],[Client No]],'Global Portfolio'!$B$2:$N$2500,10,FALSE)</f>
        <v>Agriculture, Forestry, Fishing and Hunting</v>
      </c>
      <c r="AA841" s="105" t="str">
        <f>VLOOKUP(Table__192.168.1.150_M_CONSOLIDATED_Delinquency_Compulsory_EOM[[#This Row],[Client No]],'Global Portfolio'!$B$2:$N$2500,11,FALSE)</f>
        <v>Animal Production</v>
      </c>
      <c r="AB841" s="105" t="str">
        <f>VLOOKUP(Table__192.168.1.150_M_CONSOLIDATED_Delinquency_Compulsory_EOM[[#This Row],[Client No]],'Global Portfolio'!$B$2:$N$2500,12,FALSE)</f>
        <v>Poultry &amp; Egg Production</v>
      </c>
    </row>
    <row r="842" spans="1:28" x14ac:dyDescent="0.25">
      <c r="A842">
        <v>200452</v>
      </c>
      <c r="B842" t="s">
        <v>2989</v>
      </c>
      <c r="C842" t="s">
        <v>2990</v>
      </c>
      <c r="D842" t="s">
        <v>1282</v>
      </c>
      <c r="E842">
        <v>30</v>
      </c>
      <c r="F842">
        <v>3500000</v>
      </c>
      <c r="G842">
        <v>369939.22</v>
      </c>
      <c r="H842">
        <v>386586.43</v>
      </c>
      <c r="I842" t="s">
        <v>2855</v>
      </c>
      <c r="J842">
        <v>0</v>
      </c>
      <c r="K842">
        <v>0</v>
      </c>
      <c r="L842">
        <v>8876.4</v>
      </c>
      <c r="M842">
        <v>378815.62</v>
      </c>
      <c r="N842" s="711">
        <v>42639.479455173612</v>
      </c>
      <c r="O842" s="711">
        <v>43009</v>
      </c>
      <c r="P842" t="s">
        <v>2991</v>
      </c>
      <c r="Q842" t="s">
        <v>1280</v>
      </c>
      <c r="R842" t="s">
        <v>1280</v>
      </c>
      <c r="S842" t="s">
        <v>1510</v>
      </c>
      <c r="T842">
        <v>54</v>
      </c>
      <c r="U842">
        <f>IF(Table__192.168.1.150_M_CONSOLIDATED_Delinquency_Compulsory_EOM[[#This Row],[Days in Arrears]] &lt; 8, Table__192.168.1.150_M_CONSOLIDATED_Delinquency_Compulsory_EOM[[#This Row],[Outstanding Balance]], 0 )</f>
        <v>0</v>
      </c>
      <c r="V8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369939.22</v>
      </c>
      <c r="X8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2" s="105" t="e">
        <f>VLOOKUP(Table__192.168.1.150_M_CONSOLIDATED_Delinquency_Compulsory_EOM[[#This Row],[Client No]],'Global Portfolio'!$B$2:$N$2500,10,FALSE)</f>
        <v>#N/A</v>
      </c>
      <c r="AA842" s="105" t="e">
        <f>VLOOKUP(Table__192.168.1.150_M_CONSOLIDATED_Delinquency_Compulsory_EOM[[#This Row],[Client No]],'Global Portfolio'!$B$2:$N$2500,11,FALSE)</f>
        <v>#N/A</v>
      </c>
      <c r="AB842" s="105" t="e">
        <f>VLOOKUP(Table__192.168.1.150_M_CONSOLIDATED_Delinquency_Compulsory_EOM[[#This Row],[Client No]],'Global Portfolio'!$B$2:$N$2500,12,FALSE)</f>
        <v>#N/A</v>
      </c>
    </row>
    <row r="843" spans="1:28" x14ac:dyDescent="0.25">
      <c r="A843">
        <v>200453</v>
      </c>
      <c r="B843" t="s">
        <v>2992</v>
      </c>
      <c r="C843" t="s">
        <v>2993</v>
      </c>
      <c r="D843" t="s">
        <v>1284</v>
      </c>
      <c r="E843">
        <v>0</v>
      </c>
      <c r="F843">
        <v>10000000</v>
      </c>
      <c r="G843">
        <v>6003299.6399999997</v>
      </c>
      <c r="H843">
        <v>615167.02</v>
      </c>
      <c r="I843" t="s">
        <v>2175</v>
      </c>
      <c r="J843">
        <v>94923.06</v>
      </c>
      <c r="K843">
        <v>500000</v>
      </c>
      <c r="L843">
        <v>193439.66</v>
      </c>
      <c r="M843">
        <v>7382004.1900000004</v>
      </c>
      <c r="N843" s="711">
        <v>42639.671695717596</v>
      </c>
      <c r="O843" s="711">
        <v>43374</v>
      </c>
      <c r="P843" t="s">
        <v>2994</v>
      </c>
      <c r="Q843" t="s">
        <v>2995</v>
      </c>
      <c r="R843" t="s">
        <v>1280</v>
      </c>
      <c r="S843" t="s">
        <v>1510</v>
      </c>
      <c r="T843">
        <v>40</v>
      </c>
      <c r="U843">
        <f>IF(Table__192.168.1.150_M_CONSOLIDATED_Delinquency_Compulsory_EOM[[#This Row],[Days in Arrears]] &lt; 8, Table__192.168.1.150_M_CONSOLIDATED_Delinquency_Compulsory_EOM[[#This Row],[Outstanding Balance]], 0 )</f>
        <v>6003299.6399999997</v>
      </c>
      <c r="V8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3" s="105" t="str">
        <f>VLOOKUP(Table__192.168.1.150_M_CONSOLIDATED_Delinquency_Compulsory_EOM[[#This Row],[Client No]],'Global Portfolio'!$B$2:$N$2500,10,FALSE)</f>
        <v>Retail</v>
      </c>
      <c r="AA843" s="105" t="str">
        <f>VLOOKUP(Table__192.168.1.150_M_CONSOLIDATED_Delinquency_Compulsory_EOM[[#This Row],[Client No]],'Global Portfolio'!$B$2:$N$2500,11,FALSE)</f>
        <v>Food and Beverage Stores</v>
      </c>
      <c r="AB843" s="105" t="str">
        <f>VLOOKUP(Table__192.168.1.150_M_CONSOLIDATED_Delinquency_Compulsory_EOM[[#This Row],[Client No]],'Global Portfolio'!$B$2:$N$2500,12,FALSE)</f>
        <v>Others</v>
      </c>
    </row>
    <row r="844" spans="1:28" x14ac:dyDescent="0.25">
      <c r="A844">
        <v>200456</v>
      </c>
      <c r="B844" t="s">
        <v>3020</v>
      </c>
      <c r="C844" t="s">
        <v>3029</v>
      </c>
      <c r="D844" t="s">
        <v>1284</v>
      </c>
      <c r="E844">
        <v>-2</v>
      </c>
      <c r="F844">
        <v>18500000</v>
      </c>
      <c r="G844">
        <v>14624220.58</v>
      </c>
      <c r="H844">
        <v>894822.94</v>
      </c>
      <c r="I844" t="s">
        <v>2557</v>
      </c>
      <c r="J844">
        <v>0</v>
      </c>
      <c r="K844">
        <v>925000</v>
      </c>
      <c r="L844">
        <v>438726.62</v>
      </c>
      <c r="M844">
        <v>21475750.57</v>
      </c>
      <c r="N844" s="711">
        <v>42641.552462118052</v>
      </c>
      <c r="O844" s="711">
        <v>43741</v>
      </c>
      <c r="P844" t="s">
        <v>3030</v>
      </c>
      <c r="Q844" t="s">
        <v>1280</v>
      </c>
      <c r="R844" t="s">
        <v>1280</v>
      </c>
      <c r="S844" t="s">
        <v>1510</v>
      </c>
      <c r="T844">
        <v>40</v>
      </c>
      <c r="U844">
        <f>IF(Table__192.168.1.150_M_CONSOLIDATED_Delinquency_Compulsory_EOM[[#This Row],[Days in Arrears]] &lt; 8, Table__192.168.1.150_M_CONSOLIDATED_Delinquency_Compulsory_EOM[[#This Row],[Outstanding Balance]], 0 )</f>
        <v>14624220.58</v>
      </c>
      <c r="V8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4" s="105" t="str">
        <f>VLOOKUP(Table__192.168.1.150_M_CONSOLIDATED_Delinquency_Compulsory_EOM[[#This Row],[Client No]],'Global Portfolio'!$B$2:$N$2500,10,FALSE)</f>
        <v>Agriculture, Forestry, Fishing and Hunting</v>
      </c>
      <c r="AA844" s="105" t="str">
        <f>VLOOKUP(Table__192.168.1.150_M_CONSOLIDATED_Delinquency_Compulsory_EOM[[#This Row],[Client No]],'Global Portfolio'!$B$2:$N$2500,11,FALSE)</f>
        <v>Crop Production</v>
      </c>
      <c r="AB844" s="105" t="str">
        <f>VLOOKUP(Table__192.168.1.150_M_CONSOLIDATED_Delinquency_Compulsory_EOM[[#This Row],[Client No]],'Global Portfolio'!$B$2:$N$2500,12,FALSE)</f>
        <v>Market Gardening</v>
      </c>
    </row>
    <row r="845" spans="1:28" x14ac:dyDescent="0.25">
      <c r="A845">
        <v>200458</v>
      </c>
      <c r="B845" t="s">
        <v>3037</v>
      </c>
      <c r="C845" t="s">
        <v>3041</v>
      </c>
      <c r="D845" t="s">
        <v>1282</v>
      </c>
      <c r="E845">
        <v>120</v>
      </c>
      <c r="F845">
        <v>2500000</v>
      </c>
      <c r="G845">
        <v>916443.16</v>
      </c>
      <c r="H845">
        <v>274952.55</v>
      </c>
      <c r="I845" t="s">
        <v>5725</v>
      </c>
      <c r="J845">
        <v>0</v>
      </c>
      <c r="K845">
        <v>0</v>
      </c>
      <c r="L845">
        <v>32878.81</v>
      </c>
      <c r="M845">
        <v>985466.04</v>
      </c>
      <c r="N845" s="711">
        <v>42642.377497800924</v>
      </c>
      <c r="O845" s="711">
        <v>43009</v>
      </c>
      <c r="P845" t="s">
        <v>3042</v>
      </c>
      <c r="Q845" t="s">
        <v>1280</v>
      </c>
      <c r="R845" t="s">
        <v>1280</v>
      </c>
      <c r="S845" t="s">
        <v>1510</v>
      </c>
      <c r="T845">
        <v>54</v>
      </c>
      <c r="U845">
        <f>IF(Table__192.168.1.150_M_CONSOLIDATED_Delinquency_Compulsory_EOM[[#This Row],[Days in Arrears]] &lt; 8, Table__192.168.1.150_M_CONSOLIDATED_Delinquency_Compulsory_EOM[[#This Row],[Outstanding Balance]], 0 )</f>
        <v>0</v>
      </c>
      <c r="V8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916443.16</v>
      </c>
      <c r="Z845" s="105" t="str">
        <f>VLOOKUP(Table__192.168.1.150_M_CONSOLIDATED_Delinquency_Compulsory_EOM[[#This Row],[Client No]],'Global Portfolio'!$B$2:$N$2500,10,FALSE)</f>
        <v>Real Estate and Rental</v>
      </c>
      <c r="AA845" s="105" t="str">
        <f>VLOOKUP(Table__192.168.1.150_M_CONSOLIDATED_Delinquency_Compulsory_EOM[[#This Row],[Client No]],'Global Portfolio'!$B$2:$N$2500,11,FALSE)</f>
        <v>Rental</v>
      </c>
      <c r="AB845" s="105" t="str">
        <f>VLOOKUP(Table__192.168.1.150_M_CONSOLIDATED_Delinquency_Compulsory_EOM[[#This Row],[Client No]],'Global Portfolio'!$B$2:$N$2500,12,FALSE)</f>
        <v>Others</v>
      </c>
    </row>
    <row r="846" spans="1:28" x14ac:dyDescent="0.25">
      <c r="A846">
        <v>200461</v>
      </c>
      <c r="B846" t="s">
        <v>3021</v>
      </c>
      <c r="C846" t="s">
        <v>3033</v>
      </c>
      <c r="D846" t="s">
        <v>1281</v>
      </c>
      <c r="E846">
        <v>28</v>
      </c>
      <c r="F846">
        <v>17000000</v>
      </c>
      <c r="G846">
        <v>5585682.6900000004</v>
      </c>
      <c r="H846">
        <v>1538799.98</v>
      </c>
      <c r="I846" t="s">
        <v>1925</v>
      </c>
      <c r="J846">
        <v>0</v>
      </c>
      <c r="K846">
        <v>1275000</v>
      </c>
      <c r="L846">
        <v>184680.87</v>
      </c>
      <c r="M846">
        <v>5962722.3099999996</v>
      </c>
      <c r="N846" s="711">
        <v>42641.726242129633</v>
      </c>
      <c r="O846" s="711">
        <v>43103</v>
      </c>
      <c r="P846" t="s">
        <v>3034</v>
      </c>
      <c r="Q846" t="s">
        <v>1280</v>
      </c>
      <c r="R846" t="s">
        <v>1280</v>
      </c>
      <c r="S846" t="s">
        <v>1510</v>
      </c>
      <c r="T846">
        <v>48</v>
      </c>
      <c r="U846">
        <f>IF(Table__192.168.1.150_M_CONSOLIDATED_Delinquency_Compulsory_EOM[[#This Row],[Days in Arrears]] &lt; 8, Table__192.168.1.150_M_CONSOLIDATED_Delinquency_Compulsory_EOM[[#This Row],[Outstanding Balance]], 0 )</f>
        <v>0</v>
      </c>
      <c r="V8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5585682.6900000004</v>
      </c>
      <c r="W8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6" s="105" t="e">
        <f>VLOOKUP(Table__192.168.1.150_M_CONSOLIDATED_Delinquency_Compulsory_EOM[[#This Row],[Client No]],'Global Portfolio'!$B$2:$N$2500,10,FALSE)</f>
        <v>#N/A</v>
      </c>
      <c r="AA846" s="105" t="e">
        <f>VLOOKUP(Table__192.168.1.150_M_CONSOLIDATED_Delinquency_Compulsory_EOM[[#This Row],[Client No]],'Global Portfolio'!$B$2:$N$2500,11,FALSE)</f>
        <v>#N/A</v>
      </c>
      <c r="AB846" s="105" t="e">
        <f>VLOOKUP(Table__192.168.1.150_M_CONSOLIDATED_Delinquency_Compulsory_EOM[[#This Row],[Client No]],'Global Portfolio'!$B$2:$N$2500,12,FALSE)</f>
        <v>#N/A</v>
      </c>
    </row>
    <row r="847" spans="1:28" x14ac:dyDescent="0.25">
      <c r="A847">
        <v>200465</v>
      </c>
      <c r="B847" t="s">
        <v>3048</v>
      </c>
      <c r="C847" t="s">
        <v>3064</v>
      </c>
      <c r="D847" t="s">
        <v>1282</v>
      </c>
      <c r="E847">
        <v>58</v>
      </c>
      <c r="F847">
        <v>4000000</v>
      </c>
      <c r="G847">
        <v>603008.68000000005</v>
      </c>
      <c r="H847">
        <v>440553.74</v>
      </c>
      <c r="I847" t="s">
        <v>2557</v>
      </c>
      <c r="J847">
        <v>0</v>
      </c>
      <c r="K847">
        <v>400000</v>
      </c>
      <c r="L847">
        <v>18971.21</v>
      </c>
      <c r="M847">
        <v>621979.89</v>
      </c>
      <c r="N847" s="711">
        <v>42643.727883333333</v>
      </c>
      <c r="O847" s="711">
        <v>43011</v>
      </c>
      <c r="P847" t="s">
        <v>3065</v>
      </c>
      <c r="Q847" t="s">
        <v>1280</v>
      </c>
      <c r="R847" t="s">
        <v>1280</v>
      </c>
      <c r="S847" t="s">
        <v>1510</v>
      </c>
      <c r="T847">
        <v>54</v>
      </c>
      <c r="U847">
        <f>IF(Table__192.168.1.150_M_CONSOLIDATED_Delinquency_Compulsory_EOM[[#This Row],[Days in Arrears]] &lt; 8, Table__192.168.1.150_M_CONSOLIDATED_Delinquency_Compulsory_EOM[[#This Row],[Outstanding Balance]], 0 )</f>
        <v>0</v>
      </c>
      <c r="V8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603008.68000000005</v>
      </c>
      <c r="X8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7" s="105" t="str">
        <f>VLOOKUP(Table__192.168.1.150_M_CONSOLIDATED_Delinquency_Compulsory_EOM[[#This Row],[Client No]],'Global Portfolio'!$B$2:$N$2500,10,FALSE)</f>
        <v>Retail</v>
      </c>
      <c r="AA847" s="105" t="str">
        <f>VLOOKUP(Table__192.168.1.150_M_CONSOLIDATED_Delinquency_Compulsory_EOM[[#This Row],[Client No]],'Global Portfolio'!$B$2:$N$2500,11,FALSE)</f>
        <v>General Merchandise Stores</v>
      </c>
      <c r="AB847" s="105" t="str">
        <f>VLOOKUP(Table__192.168.1.150_M_CONSOLIDATED_Delinquency_Compulsory_EOM[[#This Row],[Client No]],'Global Portfolio'!$B$2:$N$2500,12,FALSE)</f>
        <v>Others</v>
      </c>
    </row>
    <row r="848" spans="1:28" x14ac:dyDescent="0.25">
      <c r="A848">
        <v>200470</v>
      </c>
      <c r="B848" t="s">
        <v>3046</v>
      </c>
      <c r="C848" t="s">
        <v>3070</v>
      </c>
      <c r="D848" t="s">
        <v>1284</v>
      </c>
      <c r="E848">
        <v>0</v>
      </c>
      <c r="F848">
        <v>38000000</v>
      </c>
      <c r="G848">
        <v>22714945.02</v>
      </c>
      <c r="H848">
        <v>2327634.09</v>
      </c>
      <c r="I848" t="s">
        <v>1467</v>
      </c>
      <c r="J848">
        <v>2634202.31</v>
      </c>
      <c r="K848">
        <v>1900000</v>
      </c>
      <c r="L848">
        <v>731926.01</v>
      </c>
      <c r="M848">
        <v>27931609.23</v>
      </c>
      <c r="N848" s="711">
        <v>42643.531673611113</v>
      </c>
      <c r="O848" s="711">
        <v>43374</v>
      </c>
      <c r="P848" t="s">
        <v>3071</v>
      </c>
      <c r="Q848" t="s">
        <v>1280</v>
      </c>
      <c r="R848" t="s">
        <v>1280</v>
      </c>
      <c r="S848" t="s">
        <v>1510</v>
      </c>
      <c r="T848">
        <v>40</v>
      </c>
      <c r="U848">
        <f>IF(Table__192.168.1.150_M_CONSOLIDATED_Delinquency_Compulsory_EOM[[#This Row],[Days in Arrears]] &lt; 8, Table__192.168.1.150_M_CONSOLIDATED_Delinquency_Compulsory_EOM[[#This Row],[Outstanding Balance]], 0 )</f>
        <v>22714945.02</v>
      </c>
      <c r="V8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8" s="105" t="str">
        <f>VLOOKUP(Table__192.168.1.150_M_CONSOLIDATED_Delinquency_Compulsory_EOM[[#This Row],[Client No]],'Global Portfolio'!$B$2:$N$2500,10,FALSE)</f>
        <v>Wholesale Trade</v>
      </c>
      <c r="AA848" s="105" t="str">
        <f>VLOOKUP(Table__192.168.1.150_M_CONSOLIDATED_Delinquency_Compulsory_EOM[[#This Row],[Client No]],'Global Portfolio'!$B$2:$N$2500,11,FALSE)</f>
        <v>Durable Goods</v>
      </c>
      <c r="AB848" s="105" t="str">
        <f>VLOOKUP(Table__192.168.1.150_M_CONSOLIDATED_Delinquency_Compulsory_EOM[[#This Row],[Client No]],'Global Portfolio'!$B$2:$N$2500,12,FALSE)</f>
        <v>Others</v>
      </c>
    </row>
    <row r="849" spans="1:28" x14ac:dyDescent="0.25">
      <c r="A849">
        <v>200473</v>
      </c>
      <c r="B849" t="s">
        <v>3075</v>
      </c>
      <c r="C849" t="s">
        <v>3076</v>
      </c>
      <c r="D849" t="s">
        <v>1281</v>
      </c>
      <c r="E849">
        <v>-3</v>
      </c>
      <c r="F849">
        <v>22000000</v>
      </c>
      <c r="G849">
        <v>17762757.68</v>
      </c>
      <c r="H849">
        <v>1165003</v>
      </c>
      <c r="I849" t="s">
        <v>468</v>
      </c>
      <c r="J849">
        <v>0</v>
      </c>
      <c r="K849">
        <v>0</v>
      </c>
      <c r="L849">
        <v>916773.18</v>
      </c>
      <c r="M849">
        <v>27960071.710000001</v>
      </c>
      <c r="N849" s="711">
        <v>42646.655643090278</v>
      </c>
      <c r="O849" s="711">
        <v>43742</v>
      </c>
      <c r="P849" t="s">
        <v>3077</v>
      </c>
      <c r="Q849" t="s">
        <v>1280</v>
      </c>
      <c r="R849" t="s">
        <v>3078</v>
      </c>
      <c r="S849" t="s">
        <v>1510</v>
      </c>
      <c r="T849">
        <v>48</v>
      </c>
      <c r="U849">
        <f>IF(Table__192.168.1.150_M_CONSOLIDATED_Delinquency_Compulsory_EOM[[#This Row],[Days in Arrears]] &lt; 8, Table__192.168.1.150_M_CONSOLIDATED_Delinquency_Compulsory_EOM[[#This Row],[Outstanding Balance]], 0 )</f>
        <v>17762757.68</v>
      </c>
      <c r="V8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49" s="105" t="str">
        <f>VLOOKUP(Table__192.168.1.150_M_CONSOLIDATED_Delinquency_Compulsory_EOM[[#This Row],[Client No]],'Global Portfolio'!$B$2:$N$2500,10,FALSE)</f>
        <v>Retail</v>
      </c>
      <c r="AA849" s="105" t="str">
        <f>VLOOKUP(Table__192.168.1.150_M_CONSOLIDATED_Delinquency_Compulsory_EOM[[#This Row],[Client No]],'Global Portfolio'!$B$2:$N$2500,11,FALSE)</f>
        <v>Others</v>
      </c>
      <c r="AB849" s="105" t="str">
        <f>VLOOKUP(Table__192.168.1.150_M_CONSOLIDATED_Delinquency_Compulsory_EOM[[#This Row],[Client No]],'Global Portfolio'!$B$2:$N$2500,12,FALSE)</f>
        <v>Others</v>
      </c>
    </row>
    <row r="850" spans="1:28" x14ac:dyDescent="0.25">
      <c r="A850">
        <v>200474</v>
      </c>
      <c r="B850" t="s">
        <v>3089</v>
      </c>
      <c r="C850" t="s">
        <v>3090</v>
      </c>
      <c r="D850" t="s">
        <v>1283</v>
      </c>
      <c r="E850">
        <v>-4</v>
      </c>
      <c r="F850">
        <v>38000000</v>
      </c>
      <c r="G850">
        <v>22714945.02</v>
      </c>
      <c r="H850">
        <v>2327634.09</v>
      </c>
      <c r="I850" t="s">
        <v>2861</v>
      </c>
      <c r="J850">
        <v>31616.81</v>
      </c>
      <c r="K850">
        <v>1900000</v>
      </c>
      <c r="L850">
        <v>630970.69999999995</v>
      </c>
      <c r="M850">
        <v>27931609.23</v>
      </c>
      <c r="N850" s="711">
        <v>42647.721488310184</v>
      </c>
      <c r="O850" s="711">
        <v>43378</v>
      </c>
      <c r="P850" t="s">
        <v>3091</v>
      </c>
      <c r="Q850" t="s">
        <v>1280</v>
      </c>
      <c r="R850" t="s">
        <v>3092</v>
      </c>
      <c r="S850" t="s">
        <v>1510</v>
      </c>
      <c r="T850">
        <v>40</v>
      </c>
      <c r="U850">
        <f>IF(Table__192.168.1.150_M_CONSOLIDATED_Delinquency_Compulsory_EOM[[#This Row],[Days in Arrears]] &lt; 8, Table__192.168.1.150_M_CONSOLIDATED_Delinquency_Compulsory_EOM[[#This Row],[Outstanding Balance]], 0 )</f>
        <v>22714945.02</v>
      </c>
      <c r="V8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0" s="105" t="str">
        <f>VLOOKUP(Table__192.168.1.150_M_CONSOLIDATED_Delinquency_Compulsory_EOM[[#This Row],[Client No]],'Global Portfolio'!$B$2:$N$2500,10,FALSE)</f>
        <v>Wholesale Trade</v>
      </c>
      <c r="AA850" s="105" t="str">
        <f>VLOOKUP(Table__192.168.1.150_M_CONSOLIDATED_Delinquency_Compulsory_EOM[[#This Row],[Client No]],'Global Portfolio'!$B$2:$N$2500,11,FALSE)</f>
        <v>Durable Goods</v>
      </c>
      <c r="AB850" s="105" t="str">
        <f>VLOOKUP(Table__192.168.1.150_M_CONSOLIDATED_Delinquency_Compulsory_EOM[[#This Row],[Client No]],'Global Portfolio'!$B$2:$N$2500,12,FALSE)</f>
        <v>Motor Vehicle &amp; Parts</v>
      </c>
    </row>
    <row r="851" spans="1:28" x14ac:dyDescent="0.25">
      <c r="A851">
        <v>200475</v>
      </c>
      <c r="B851" t="s">
        <v>3093</v>
      </c>
      <c r="C851" t="s">
        <v>3094</v>
      </c>
      <c r="D851" t="s">
        <v>1281</v>
      </c>
      <c r="E851">
        <v>25</v>
      </c>
      <c r="F851">
        <v>20000000</v>
      </c>
      <c r="G851">
        <v>9448394.7200000007</v>
      </c>
      <c r="H851">
        <v>1581892.03</v>
      </c>
      <c r="I851" t="s">
        <v>2538</v>
      </c>
      <c r="J851">
        <v>0</v>
      </c>
      <c r="K851">
        <v>0</v>
      </c>
      <c r="L851">
        <v>265359.83</v>
      </c>
      <c r="M851">
        <v>10647252.4</v>
      </c>
      <c r="N851" s="711">
        <v>42648.621059293982</v>
      </c>
      <c r="O851" s="711">
        <v>43196</v>
      </c>
      <c r="P851" t="s">
        <v>3095</v>
      </c>
      <c r="Q851" t="s">
        <v>1280</v>
      </c>
      <c r="R851" t="s">
        <v>1280</v>
      </c>
      <c r="S851" t="s">
        <v>1510</v>
      </c>
      <c r="T851">
        <v>48</v>
      </c>
      <c r="U851">
        <f>IF(Table__192.168.1.150_M_CONSOLIDATED_Delinquency_Compulsory_EOM[[#This Row],[Days in Arrears]] &lt; 8, Table__192.168.1.150_M_CONSOLIDATED_Delinquency_Compulsory_EOM[[#This Row],[Outstanding Balance]], 0 )</f>
        <v>0</v>
      </c>
      <c r="V8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9448394.7200000007</v>
      </c>
      <c r="W8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1" s="105" t="str">
        <f>VLOOKUP(Table__192.168.1.150_M_CONSOLIDATED_Delinquency_Compulsory_EOM[[#This Row],[Client No]],'Global Portfolio'!$B$2:$N$2500,10,FALSE)</f>
        <v>Real Estate and Rental</v>
      </c>
      <c r="AA851" s="105" t="str">
        <f>VLOOKUP(Table__192.168.1.150_M_CONSOLIDATED_Delinquency_Compulsory_EOM[[#This Row],[Client No]],'Global Portfolio'!$B$2:$N$2500,11,FALSE)</f>
        <v>Real Estate</v>
      </c>
      <c r="AB851" s="105" t="str">
        <f>VLOOKUP(Table__192.168.1.150_M_CONSOLIDATED_Delinquency_Compulsory_EOM[[#This Row],[Client No]],'Global Portfolio'!$B$2:$N$2500,12,FALSE)</f>
        <v>Others</v>
      </c>
    </row>
    <row r="852" spans="1:28" x14ac:dyDescent="0.25">
      <c r="A852">
        <v>200477</v>
      </c>
      <c r="B852" t="s">
        <v>2877</v>
      </c>
      <c r="C852" t="s">
        <v>2881</v>
      </c>
      <c r="D852" t="s">
        <v>1283</v>
      </c>
      <c r="E852">
        <v>-5</v>
      </c>
      <c r="F852">
        <v>65000000</v>
      </c>
      <c r="G852">
        <v>38812776.950000003</v>
      </c>
      <c r="H852">
        <v>3977202.81</v>
      </c>
      <c r="I852" t="s">
        <v>2861</v>
      </c>
      <c r="J852">
        <v>293384.38</v>
      </c>
      <c r="K852">
        <v>2300000</v>
      </c>
      <c r="L852">
        <v>1035007.39</v>
      </c>
      <c r="M852">
        <v>47726433.68</v>
      </c>
      <c r="N852" s="711">
        <v>42649.566965127313</v>
      </c>
      <c r="O852" s="711">
        <v>43379</v>
      </c>
      <c r="P852" t="s">
        <v>2882</v>
      </c>
      <c r="Q852" t="s">
        <v>2883</v>
      </c>
      <c r="R852" t="s">
        <v>1280</v>
      </c>
      <c r="S852" t="s">
        <v>1510</v>
      </c>
      <c r="T852">
        <v>40</v>
      </c>
      <c r="U852">
        <f>IF(Table__192.168.1.150_M_CONSOLIDATED_Delinquency_Compulsory_EOM[[#This Row],[Days in Arrears]] &lt; 8, Table__192.168.1.150_M_CONSOLIDATED_Delinquency_Compulsory_EOM[[#This Row],[Outstanding Balance]], 0 )</f>
        <v>38812776.950000003</v>
      </c>
      <c r="V8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2" s="105" t="str">
        <f>VLOOKUP(Table__192.168.1.150_M_CONSOLIDATED_Delinquency_Compulsory_EOM[[#This Row],[Client No]],'Global Portfolio'!$B$2:$N$2500,10,FALSE)</f>
        <v>Wholesale Trade</v>
      </c>
      <c r="AA852" s="105" t="str">
        <f>VLOOKUP(Table__192.168.1.150_M_CONSOLIDATED_Delinquency_Compulsory_EOM[[#This Row],[Client No]],'Global Portfolio'!$B$2:$N$2500,11,FALSE)</f>
        <v>Durable Goods</v>
      </c>
      <c r="AB852" s="105" t="str">
        <f>VLOOKUP(Table__192.168.1.150_M_CONSOLIDATED_Delinquency_Compulsory_EOM[[#This Row],[Client No]],'Global Portfolio'!$B$2:$N$2500,12,FALSE)</f>
        <v>Others</v>
      </c>
    </row>
    <row r="853" spans="1:28" x14ac:dyDescent="0.25">
      <c r="A853">
        <v>200478</v>
      </c>
      <c r="B853" t="s">
        <v>3096</v>
      </c>
      <c r="C853" t="s">
        <v>3100</v>
      </c>
      <c r="D853" t="s">
        <v>1282</v>
      </c>
      <c r="E853">
        <v>-5</v>
      </c>
      <c r="F853">
        <v>10000000</v>
      </c>
      <c r="G853">
        <v>4241674.2400000002</v>
      </c>
      <c r="H853">
        <v>822368.98</v>
      </c>
      <c r="I853" t="s">
        <v>2557</v>
      </c>
      <c r="J853">
        <v>103931.02</v>
      </c>
      <c r="K853">
        <v>1000000</v>
      </c>
      <c r="L853">
        <v>152700.26999999999</v>
      </c>
      <c r="M853">
        <v>4934213.76</v>
      </c>
      <c r="N853" s="711">
        <v>42649.751360069444</v>
      </c>
      <c r="O853" s="711">
        <v>43196</v>
      </c>
      <c r="P853" t="s">
        <v>3101</v>
      </c>
      <c r="Q853" t="s">
        <v>1280</v>
      </c>
      <c r="R853" t="s">
        <v>1280</v>
      </c>
      <c r="S853" t="s">
        <v>1510</v>
      </c>
      <c r="T853">
        <v>54</v>
      </c>
      <c r="U853">
        <f>IF(Table__192.168.1.150_M_CONSOLIDATED_Delinquency_Compulsory_EOM[[#This Row],[Days in Arrears]] &lt; 8, Table__192.168.1.150_M_CONSOLIDATED_Delinquency_Compulsory_EOM[[#This Row],[Outstanding Balance]], 0 )</f>
        <v>4241674.2400000002</v>
      </c>
      <c r="V8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3" s="105" t="str">
        <f>VLOOKUP(Table__192.168.1.150_M_CONSOLIDATED_Delinquency_Compulsory_EOM[[#This Row],[Client No]],'Global Portfolio'!$B$2:$N$2500,10,FALSE)</f>
        <v>Retail</v>
      </c>
      <c r="AA853" s="105" t="str">
        <f>VLOOKUP(Table__192.168.1.150_M_CONSOLIDATED_Delinquency_Compulsory_EOM[[#This Row],[Client No]],'Global Portfolio'!$B$2:$N$2500,11,FALSE)</f>
        <v>General Merchandise Stores</v>
      </c>
      <c r="AB853" s="105" t="str">
        <f>VLOOKUP(Table__192.168.1.150_M_CONSOLIDATED_Delinquency_Compulsory_EOM[[#This Row],[Client No]],'Global Portfolio'!$B$2:$N$2500,12,FALSE)</f>
        <v>General Stores</v>
      </c>
    </row>
    <row r="854" spans="1:28" x14ac:dyDescent="0.25">
      <c r="A854">
        <v>200481</v>
      </c>
      <c r="B854" t="s">
        <v>2416</v>
      </c>
      <c r="C854" t="s">
        <v>2417</v>
      </c>
      <c r="D854" t="s">
        <v>1283</v>
      </c>
      <c r="E854">
        <v>21</v>
      </c>
      <c r="F854">
        <v>65000000</v>
      </c>
      <c r="G854">
        <v>51843235.170000002</v>
      </c>
      <c r="H854">
        <v>2977246.62</v>
      </c>
      <c r="I854" t="s">
        <v>546</v>
      </c>
      <c r="J854">
        <v>0</v>
      </c>
      <c r="K854">
        <v>0</v>
      </c>
      <c r="L854">
        <v>2563722.77</v>
      </c>
      <c r="M854">
        <v>74431165.659999996</v>
      </c>
      <c r="N854" s="711">
        <v>42653.598869525464</v>
      </c>
      <c r="O854" s="711">
        <v>43748</v>
      </c>
      <c r="P854" t="s">
        <v>1378</v>
      </c>
      <c r="Q854" t="s">
        <v>2418</v>
      </c>
      <c r="R854" t="s">
        <v>1379</v>
      </c>
      <c r="S854" t="s">
        <v>1510</v>
      </c>
      <c r="T854">
        <v>36</v>
      </c>
      <c r="U854">
        <f>IF(Table__192.168.1.150_M_CONSOLIDATED_Delinquency_Compulsory_EOM[[#This Row],[Days in Arrears]] &lt; 8, Table__192.168.1.150_M_CONSOLIDATED_Delinquency_Compulsory_EOM[[#This Row],[Outstanding Balance]], 0 )</f>
        <v>0</v>
      </c>
      <c r="V8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51843235.170000002</v>
      </c>
      <c r="W8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4" s="105" t="str">
        <f>VLOOKUP(Table__192.168.1.150_M_CONSOLIDATED_Delinquency_Compulsory_EOM[[#This Row],[Client No]],'Global Portfolio'!$B$2:$N$2500,10,FALSE)</f>
        <v>Real Estate and Rental</v>
      </c>
      <c r="AA854" s="105" t="str">
        <f>VLOOKUP(Table__192.168.1.150_M_CONSOLIDATED_Delinquency_Compulsory_EOM[[#This Row],[Client No]],'Global Portfolio'!$B$2:$N$2500,11,FALSE)</f>
        <v>Real Estate</v>
      </c>
      <c r="AB854" s="105" t="str">
        <f>VLOOKUP(Table__192.168.1.150_M_CONSOLIDATED_Delinquency_Compulsory_EOM[[#This Row],[Client No]],'Global Portfolio'!$B$2:$N$2500,12,FALSE)</f>
        <v>Real Estate</v>
      </c>
    </row>
    <row r="855" spans="1:28" x14ac:dyDescent="0.25">
      <c r="A855">
        <v>200482</v>
      </c>
      <c r="B855" t="s">
        <v>3113</v>
      </c>
      <c r="C855" t="s">
        <v>3117</v>
      </c>
      <c r="D855" t="s">
        <v>1282</v>
      </c>
      <c r="E855">
        <v>-9</v>
      </c>
      <c r="F855">
        <v>3000000</v>
      </c>
      <c r="G855">
        <v>1272502.33</v>
      </c>
      <c r="H855">
        <v>246710.69</v>
      </c>
      <c r="I855" t="s">
        <v>1447</v>
      </c>
      <c r="J855">
        <v>0</v>
      </c>
      <c r="K855">
        <v>0</v>
      </c>
      <c r="L855">
        <v>38175.07</v>
      </c>
      <c r="M855">
        <v>1480264.19</v>
      </c>
      <c r="N855" s="711">
        <v>42653.61320709491</v>
      </c>
      <c r="O855" s="711">
        <v>43200</v>
      </c>
      <c r="P855" t="s">
        <v>3118</v>
      </c>
      <c r="Q855" t="s">
        <v>1280</v>
      </c>
      <c r="R855" t="s">
        <v>1280</v>
      </c>
      <c r="S855" t="s">
        <v>1510</v>
      </c>
      <c r="T855">
        <v>54</v>
      </c>
      <c r="U855">
        <f>IF(Table__192.168.1.150_M_CONSOLIDATED_Delinquency_Compulsory_EOM[[#This Row],[Days in Arrears]] &lt; 8, Table__192.168.1.150_M_CONSOLIDATED_Delinquency_Compulsory_EOM[[#This Row],[Outstanding Balance]], 0 )</f>
        <v>1272502.33</v>
      </c>
      <c r="V8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5" s="105" t="str">
        <f>VLOOKUP(Table__192.168.1.150_M_CONSOLIDATED_Delinquency_Compulsory_EOM[[#This Row],[Client No]],'Global Portfolio'!$B$2:$N$2500,10,FALSE)</f>
        <v>Wholesale Trade</v>
      </c>
      <c r="AA855" s="105" t="str">
        <f>VLOOKUP(Table__192.168.1.150_M_CONSOLIDATED_Delinquency_Compulsory_EOM[[#This Row],[Client No]],'Global Portfolio'!$B$2:$N$2500,11,FALSE)</f>
        <v>Durable Goods</v>
      </c>
      <c r="AB855" s="105" t="str">
        <f>VLOOKUP(Table__192.168.1.150_M_CONSOLIDATED_Delinquency_Compulsory_EOM[[#This Row],[Client No]],'Global Portfolio'!$B$2:$N$2500,12,FALSE)</f>
        <v>Others</v>
      </c>
    </row>
    <row r="856" spans="1:28" x14ac:dyDescent="0.25">
      <c r="A856">
        <v>200491</v>
      </c>
      <c r="B856" t="s">
        <v>1781</v>
      </c>
      <c r="C856" t="s">
        <v>1782</v>
      </c>
      <c r="D856" t="s">
        <v>1281</v>
      </c>
      <c r="E856">
        <v>-1</v>
      </c>
      <c r="F856">
        <v>20820462</v>
      </c>
      <c r="G856">
        <v>16273482.699999999</v>
      </c>
      <c r="H856">
        <v>1013395.82</v>
      </c>
      <c r="I856" t="s">
        <v>468</v>
      </c>
      <c r="J856">
        <v>615379.16</v>
      </c>
      <c r="K856">
        <v>0</v>
      </c>
      <c r="L856">
        <v>531600.43000000005</v>
      </c>
      <c r="M856">
        <v>24321499.91</v>
      </c>
      <c r="N856" s="711">
        <v>42656.495706400463</v>
      </c>
      <c r="O856" s="711">
        <v>43740</v>
      </c>
      <c r="P856" t="s">
        <v>1783</v>
      </c>
      <c r="Q856" t="s">
        <v>1280</v>
      </c>
      <c r="R856" t="s">
        <v>1280</v>
      </c>
      <c r="S856" t="s">
        <v>1510</v>
      </c>
      <c r="T856">
        <v>42</v>
      </c>
      <c r="U856">
        <f>IF(Table__192.168.1.150_M_CONSOLIDATED_Delinquency_Compulsory_EOM[[#This Row],[Days in Arrears]] &lt; 8, Table__192.168.1.150_M_CONSOLIDATED_Delinquency_Compulsory_EOM[[#This Row],[Outstanding Balance]], 0 )</f>
        <v>16273482.699999999</v>
      </c>
      <c r="V8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6" s="105" t="str">
        <f>VLOOKUP(Table__192.168.1.150_M_CONSOLIDATED_Delinquency_Compulsory_EOM[[#This Row],[Client No]],'Global Portfolio'!$B$2:$N$2500,10,FALSE)</f>
        <v>Retail</v>
      </c>
      <c r="AA856" s="105" t="str">
        <f>VLOOKUP(Table__192.168.1.150_M_CONSOLIDATED_Delinquency_Compulsory_EOM[[#This Row],[Client No]],'Global Portfolio'!$B$2:$N$2500,11,FALSE)</f>
        <v>Others</v>
      </c>
      <c r="AB856" s="105" t="str">
        <f>VLOOKUP(Table__192.168.1.150_M_CONSOLIDATED_Delinquency_Compulsory_EOM[[#This Row],[Client No]],'Global Portfolio'!$B$2:$N$2500,12,FALSE)</f>
        <v>Others</v>
      </c>
    </row>
    <row r="857" spans="1:28" x14ac:dyDescent="0.25">
      <c r="A857">
        <v>200493</v>
      </c>
      <c r="B857" t="s">
        <v>3130</v>
      </c>
      <c r="C857" t="s">
        <v>3131</v>
      </c>
      <c r="D857" t="s">
        <v>1284</v>
      </c>
      <c r="E857">
        <v>-13</v>
      </c>
      <c r="F857">
        <v>7000000</v>
      </c>
      <c r="G857">
        <v>4179837.49</v>
      </c>
      <c r="H857">
        <v>428314.15</v>
      </c>
      <c r="I857" t="s">
        <v>491</v>
      </c>
      <c r="J857">
        <v>20023.349999999999</v>
      </c>
      <c r="K857">
        <v>350000</v>
      </c>
      <c r="L857">
        <v>74308.22</v>
      </c>
      <c r="M857">
        <v>5139769.7300000004</v>
      </c>
      <c r="N857" s="711">
        <v>42657.4193065625</v>
      </c>
      <c r="O857" s="711">
        <v>43387</v>
      </c>
      <c r="P857" t="s">
        <v>3132</v>
      </c>
      <c r="Q857" t="s">
        <v>3133</v>
      </c>
      <c r="R857" t="s">
        <v>1280</v>
      </c>
      <c r="S857" t="s">
        <v>1510</v>
      </c>
      <c r="T857">
        <v>40</v>
      </c>
      <c r="U857">
        <f>IF(Table__192.168.1.150_M_CONSOLIDATED_Delinquency_Compulsory_EOM[[#This Row],[Days in Arrears]] &lt; 8, Table__192.168.1.150_M_CONSOLIDATED_Delinquency_Compulsory_EOM[[#This Row],[Outstanding Balance]], 0 )</f>
        <v>4179837.49</v>
      </c>
      <c r="V8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7" s="105" t="str">
        <f>VLOOKUP(Table__192.168.1.150_M_CONSOLIDATED_Delinquency_Compulsory_EOM[[#This Row],[Client No]],'Global Portfolio'!$B$2:$N$2500,10,FALSE)</f>
        <v>Real Estate and Rental</v>
      </c>
      <c r="AA857" s="105" t="str">
        <f>VLOOKUP(Table__192.168.1.150_M_CONSOLIDATED_Delinquency_Compulsory_EOM[[#This Row],[Client No]],'Global Portfolio'!$B$2:$N$2500,11,FALSE)</f>
        <v>Rental</v>
      </c>
      <c r="AB857" s="105" t="str">
        <f>VLOOKUP(Table__192.168.1.150_M_CONSOLIDATED_Delinquency_Compulsory_EOM[[#This Row],[Client No]],'Global Portfolio'!$B$2:$N$2500,12,FALSE)</f>
        <v>Others</v>
      </c>
    </row>
    <row r="858" spans="1:28" x14ac:dyDescent="0.25">
      <c r="A858">
        <v>200496</v>
      </c>
      <c r="B858" t="s">
        <v>3137</v>
      </c>
      <c r="C858" t="s">
        <v>3141</v>
      </c>
      <c r="D858" t="s">
        <v>1282</v>
      </c>
      <c r="E858">
        <v>136</v>
      </c>
      <c r="F858">
        <v>5000000</v>
      </c>
      <c r="G858">
        <v>4038221.83</v>
      </c>
      <c r="H858">
        <v>344935.15</v>
      </c>
      <c r="I858" t="s">
        <v>2034</v>
      </c>
      <c r="J858">
        <v>0</v>
      </c>
      <c r="K858">
        <v>0</v>
      </c>
      <c r="L858">
        <v>199541</v>
      </c>
      <c r="M858">
        <v>5707343.29</v>
      </c>
      <c r="N858" s="711">
        <v>42658.597886655094</v>
      </c>
      <c r="O858" s="711">
        <v>43388</v>
      </c>
      <c r="P858" t="s">
        <v>3142</v>
      </c>
      <c r="Q858" t="s">
        <v>3143</v>
      </c>
      <c r="R858" t="s">
        <v>1280</v>
      </c>
      <c r="S858" t="s">
        <v>1510</v>
      </c>
      <c r="T858">
        <v>54</v>
      </c>
      <c r="U858">
        <f>IF(Table__192.168.1.150_M_CONSOLIDATED_Delinquency_Compulsory_EOM[[#This Row],[Days in Arrears]] &lt; 8, Table__192.168.1.150_M_CONSOLIDATED_Delinquency_Compulsory_EOM[[#This Row],[Outstanding Balance]], 0 )</f>
        <v>0</v>
      </c>
      <c r="V8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4038221.83</v>
      </c>
      <c r="Z858" s="105" t="str">
        <f>VLOOKUP(Table__192.168.1.150_M_CONSOLIDATED_Delinquency_Compulsory_EOM[[#This Row],[Client No]],'Global Portfolio'!$B$2:$N$2500,10,FALSE)</f>
        <v>Retail</v>
      </c>
      <c r="AA858" s="105" t="str">
        <f>VLOOKUP(Table__192.168.1.150_M_CONSOLIDATED_Delinquency_Compulsory_EOM[[#This Row],[Client No]],'Global Portfolio'!$B$2:$N$2500,11,FALSE)</f>
        <v>Furniture and Home Furnishings Stores</v>
      </c>
      <c r="AB858" s="105" t="str">
        <f>VLOOKUP(Table__192.168.1.150_M_CONSOLIDATED_Delinquency_Compulsory_EOM[[#This Row],[Client No]],'Global Portfolio'!$B$2:$N$2500,12,FALSE)</f>
        <v>Others</v>
      </c>
    </row>
    <row r="859" spans="1:28" x14ac:dyDescent="0.25">
      <c r="A859">
        <v>200497</v>
      </c>
      <c r="B859" t="s">
        <v>3136</v>
      </c>
      <c r="C859" t="s">
        <v>3144</v>
      </c>
      <c r="D859" t="s">
        <v>1283</v>
      </c>
      <c r="E859">
        <v>-14</v>
      </c>
      <c r="F859">
        <v>50000000</v>
      </c>
      <c r="G859">
        <v>29855982.210000001</v>
      </c>
      <c r="H859">
        <v>3059386.78</v>
      </c>
      <c r="I859" t="s">
        <v>1448</v>
      </c>
      <c r="J859">
        <v>267566.28999999998</v>
      </c>
      <c r="K859">
        <v>2500000</v>
      </c>
      <c r="L859">
        <v>497599.7</v>
      </c>
      <c r="M859">
        <v>36712641.189999998</v>
      </c>
      <c r="N859" s="711">
        <v>42658.590081249997</v>
      </c>
      <c r="O859" s="711">
        <v>43388</v>
      </c>
      <c r="P859" t="s">
        <v>3145</v>
      </c>
      <c r="Q859" t="s">
        <v>1280</v>
      </c>
      <c r="R859" t="s">
        <v>1280</v>
      </c>
      <c r="S859" t="s">
        <v>1510</v>
      </c>
      <c r="T859">
        <v>40</v>
      </c>
      <c r="U859">
        <f>IF(Table__192.168.1.150_M_CONSOLIDATED_Delinquency_Compulsory_EOM[[#This Row],[Days in Arrears]] &lt; 8, Table__192.168.1.150_M_CONSOLIDATED_Delinquency_Compulsory_EOM[[#This Row],[Outstanding Balance]], 0 )</f>
        <v>29855982.210000001</v>
      </c>
      <c r="V8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59" s="105" t="str">
        <f>VLOOKUP(Table__192.168.1.150_M_CONSOLIDATED_Delinquency_Compulsory_EOM[[#This Row],[Client No]],'Global Portfolio'!$B$2:$N$2500,10,FALSE)</f>
        <v>Manufacturing</v>
      </c>
      <c r="AA859" s="105" t="str">
        <f>VLOOKUP(Table__192.168.1.150_M_CONSOLIDATED_Delinquency_Compulsory_EOM[[#This Row],[Client No]],'Global Portfolio'!$B$2:$N$2500,11,FALSE)</f>
        <v>Chemical Manufacturing</v>
      </c>
      <c r="AB859" s="105" t="str">
        <f>VLOOKUP(Table__192.168.1.150_M_CONSOLIDATED_Delinquency_Compulsory_EOM[[#This Row],[Client No]],'Global Portfolio'!$B$2:$N$2500,12,FALSE)</f>
        <v>Others</v>
      </c>
    </row>
    <row r="860" spans="1:28" x14ac:dyDescent="0.25">
      <c r="A860">
        <v>200500</v>
      </c>
      <c r="B860" t="s">
        <v>3146</v>
      </c>
      <c r="C860" t="s">
        <v>3151</v>
      </c>
      <c r="D860" t="s">
        <v>1282</v>
      </c>
      <c r="E860">
        <v>44</v>
      </c>
      <c r="F860">
        <v>5000000</v>
      </c>
      <c r="G860">
        <v>849961.51</v>
      </c>
      <c r="H860">
        <v>548330.93999999994</v>
      </c>
      <c r="I860" t="s">
        <v>5725</v>
      </c>
      <c r="J860">
        <v>0</v>
      </c>
      <c r="K860">
        <v>0</v>
      </c>
      <c r="L860">
        <v>53610.87</v>
      </c>
      <c r="M860">
        <v>873573.85</v>
      </c>
      <c r="N860" s="711">
        <v>42660.71446427083</v>
      </c>
      <c r="O860" s="711">
        <v>43025</v>
      </c>
      <c r="P860" t="s">
        <v>3152</v>
      </c>
      <c r="Q860" t="s">
        <v>1280</v>
      </c>
      <c r="R860" t="s">
        <v>1280</v>
      </c>
      <c r="S860" t="s">
        <v>1510</v>
      </c>
      <c r="T860">
        <v>54</v>
      </c>
      <c r="U860">
        <f>IF(Table__192.168.1.150_M_CONSOLIDATED_Delinquency_Compulsory_EOM[[#This Row],[Days in Arrears]] &lt; 8, Table__192.168.1.150_M_CONSOLIDATED_Delinquency_Compulsory_EOM[[#This Row],[Outstanding Balance]], 0 )</f>
        <v>0</v>
      </c>
      <c r="V8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849961.51</v>
      </c>
      <c r="X8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0" s="105" t="str">
        <f>VLOOKUP(Table__192.168.1.150_M_CONSOLIDATED_Delinquency_Compulsory_EOM[[#This Row],[Client No]],'Global Portfolio'!$B$2:$N$2500,10,FALSE)</f>
        <v>Retail</v>
      </c>
      <c r="AA860" s="105" t="str">
        <f>VLOOKUP(Table__192.168.1.150_M_CONSOLIDATED_Delinquency_Compulsory_EOM[[#This Row],[Client No]],'Global Portfolio'!$B$2:$N$2500,11,FALSE)</f>
        <v>Others</v>
      </c>
      <c r="AB860" s="105" t="str">
        <f>VLOOKUP(Table__192.168.1.150_M_CONSOLIDATED_Delinquency_Compulsory_EOM[[#This Row],[Client No]],'Global Portfolio'!$B$2:$N$2500,12,FALSE)</f>
        <v>Others</v>
      </c>
    </row>
    <row r="861" spans="1:28" x14ac:dyDescent="0.25">
      <c r="A861">
        <v>200501</v>
      </c>
      <c r="B861" t="s">
        <v>3153</v>
      </c>
      <c r="C861" t="s">
        <v>3154</v>
      </c>
      <c r="D861" t="s">
        <v>1284</v>
      </c>
      <c r="E861">
        <v>-17</v>
      </c>
      <c r="F861">
        <v>38000000</v>
      </c>
      <c r="G861">
        <v>22690546.52</v>
      </c>
      <c r="H861">
        <v>2325133.9500000002</v>
      </c>
      <c r="I861" t="s">
        <v>1447</v>
      </c>
      <c r="J861">
        <v>0</v>
      </c>
      <c r="K861">
        <v>1900000</v>
      </c>
      <c r="L861">
        <v>302540.62</v>
      </c>
      <c r="M861">
        <v>27901607.390000001</v>
      </c>
      <c r="N861" s="711">
        <v>42661.501257835647</v>
      </c>
      <c r="O861" s="711">
        <v>43391</v>
      </c>
      <c r="P861" t="s">
        <v>3155</v>
      </c>
      <c r="Q861" t="s">
        <v>3156</v>
      </c>
      <c r="R861" t="s">
        <v>1280</v>
      </c>
      <c r="S861" t="s">
        <v>1510</v>
      </c>
      <c r="T861">
        <v>40</v>
      </c>
      <c r="U861">
        <f>IF(Table__192.168.1.150_M_CONSOLIDATED_Delinquency_Compulsory_EOM[[#This Row],[Days in Arrears]] &lt; 8, Table__192.168.1.150_M_CONSOLIDATED_Delinquency_Compulsory_EOM[[#This Row],[Outstanding Balance]], 0 )</f>
        <v>22690546.52</v>
      </c>
      <c r="V8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1" s="105" t="str">
        <f>VLOOKUP(Table__192.168.1.150_M_CONSOLIDATED_Delinquency_Compulsory_EOM[[#This Row],[Client No]],'Global Portfolio'!$B$2:$N$2500,10,FALSE)</f>
        <v>Restaurants and Hotels</v>
      </c>
      <c r="AA861" s="105" t="str">
        <f>VLOOKUP(Table__192.168.1.150_M_CONSOLIDATED_Delinquency_Compulsory_EOM[[#This Row],[Client No]],'Global Portfolio'!$B$2:$N$2500,11,FALSE)</f>
        <v>Hotel</v>
      </c>
      <c r="AB861" s="105" t="str">
        <f>VLOOKUP(Table__192.168.1.150_M_CONSOLIDATED_Delinquency_Compulsory_EOM[[#This Row],[Client No]],'Global Portfolio'!$B$2:$N$2500,12,FALSE)</f>
        <v>Hotel</v>
      </c>
    </row>
    <row r="862" spans="1:28" x14ac:dyDescent="0.25">
      <c r="A862">
        <v>200502</v>
      </c>
      <c r="B862" t="s">
        <v>2953</v>
      </c>
      <c r="C862" t="s">
        <v>2954</v>
      </c>
      <c r="D862" t="s">
        <v>1284</v>
      </c>
      <c r="E862">
        <v>-18</v>
      </c>
      <c r="F862">
        <v>52000000</v>
      </c>
      <c r="G862">
        <v>40886099.460000001</v>
      </c>
      <c r="H862">
        <v>2501727.85</v>
      </c>
      <c r="I862" t="s">
        <v>491</v>
      </c>
      <c r="J862">
        <v>1203.04</v>
      </c>
      <c r="K862">
        <v>0</v>
      </c>
      <c r="L862">
        <v>499718.99</v>
      </c>
      <c r="M862">
        <v>60041468.060000002</v>
      </c>
      <c r="N862" s="711">
        <v>42662.698448263887</v>
      </c>
      <c r="O862" s="711">
        <v>43757</v>
      </c>
      <c r="P862" t="s">
        <v>2955</v>
      </c>
      <c r="Q862" t="s">
        <v>2956</v>
      </c>
      <c r="R862" t="s">
        <v>1280</v>
      </c>
      <c r="S862" t="s">
        <v>1510</v>
      </c>
      <c r="T862">
        <v>40</v>
      </c>
      <c r="U862">
        <f>IF(Table__192.168.1.150_M_CONSOLIDATED_Delinquency_Compulsory_EOM[[#This Row],[Days in Arrears]] &lt; 8, Table__192.168.1.150_M_CONSOLIDATED_Delinquency_Compulsory_EOM[[#This Row],[Outstanding Balance]], 0 )</f>
        <v>40886099.460000001</v>
      </c>
      <c r="V8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2" s="105" t="str">
        <f>VLOOKUP(Table__192.168.1.150_M_CONSOLIDATED_Delinquency_Compulsory_EOM[[#This Row],[Client No]],'Global Portfolio'!$B$2:$N$2500,10,FALSE)</f>
        <v>Real Estate and Rental</v>
      </c>
      <c r="AA862" s="105" t="str">
        <f>VLOOKUP(Table__192.168.1.150_M_CONSOLIDATED_Delinquency_Compulsory_EOM[[#This Row],[Client No]],'Global Portfolio'!$B$2:$N$2500,11,FALSE)</f>
        <v>Rental</v>
      </c>
      <c r="AB862" s="105" t="str">
        <f>VLOOKUP(Table__192.168.1.150_M_CONSOLIDATED_Delinquency_Compulsory_EOM[[#This Row],[Client No]],'Global Portfolio'!$B$2:$N$2500,12,FALSE)</f>
        <v>Others</v>
      </c>
    </row>
    <row r="863" spans="1:28" x14ac:dyDescent="0.25">
      <c r="A863">
        <v>200503</v>
      </c>
      <c r="B863" t="s">
        <v>3161</v>
      </c>
      <c r="C863" t="s">
        <v>3165</v>
      </c>
      <c r="D863" t="s">
        <v>1283</v>
      </c>
      <c r="E863">
        <v>-19</v>
      </c>
      <c r="F863">
        <v>45000000</v>
      </c>
      <c r="G863">
        <v>35382201.520000003</v>
      </c>
      <c r="H863">
        <v>2164956.79</v>
      </c>
      <c r="I863" t="s">
        <v>1448</v>
      </c>
      <c r="J863">
        <v>82011.42</v>
      </c>
      <c r="K863">
        <v>2250000</v>
      </c>
      <c r="L863">
        <v>393135.57</v>
      </c>
      <c r="M863">
        <v>51958962.880000003</v>
      </c>
      <c r="N863" s="711">
        <v>42663.50077885417</v>
      </c>
      <c r="O863" s="711">
        <v>43758</v>
      </c>
      <c r="P863" t="s">
        <v>3166</v>
      </c>
      <c r="Q863" t="s">
        <v>1280</v>
      </c>
      <c r="R863" t="s">
        <v>3167</v>
      </c>
      <c r="S863" t="s">
        <v>1510</v>
      </c>
      <c r="T863">
        <v>40</v>
      </c>
      <c r="U863">
        <f>IF(Table__192.168.1.150_M_CONSOLIDATED_Delinquency_Compulsory_EOM[[#This Row],[Days in Arrears]] &lt; 8, Table__192.168.1.150_M_CONSOLIDATED_Delinquency_Compulsory_EOM[[#This Row],[Outstanding Balance]], 0 )</f>
        <v>35382201.520000003</v>
      </c>
      <c r="V8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3" s="105" t="str">
        <f>VLOOKUP(Table__192.168.1.150_M_CONSOLIDATED_Delinquency_Compulsory_EOM[[#This Row],[Client No]],'Global Portfolio'!$B$2:$N$2500,10,FALSE)</f>
        <v>Real Estate and Rental</v>
      </c>
      <c r="AA863" s="105" t="str">
        <f>VLOOKUP(Table__192.168.1.150_M_CONSOLIDATED_Delinquency_Compulsory_EOM[[#This Row],[Client No]],'Global Portfolio'!$B$2:$N$2500,11,FALSE)</f>
        <v>Rental</v>
      </c>
      <c r="AB863" s="105" t="str">
        <f>VLOOKUP(Table__192.168.1.150_M_CONSOLIDATED_Delinquency_Compulsory_EOM[[#This Row],[Client No]],'Global Portfolio'!$B$2:$N$2500,12,FALSE)</f>
        <v>Others</v>
      </c>
    </row>
    <row r="864" spans="1:28" x14ac:dyDescent="0.25">
      <c r="A864">
        <v>200506</v>
      </c>
      <c r="B864" t="s">
        <v>3168</v>
      </c>
      <c r="C864" t="s">
        <v>3170</v>
      </c>
      <c r="D864" t="s">
        <v>1279</v>
      </c>
      <c r="E864">
        <v>40</v>
      </c>
      <c r="F864">
        <v>2500000</v>
      </c>
      <c r="G864">
        <v>450795.7</v>
      </c>
      <c r="H864">
        <v>274165.46999999997</v>
      </c>
      <c r="I864" t="s">
        <v>2861</v>
      </c>
      <c r="J864">
        <v>0</v>
      </c>
      <c r="K864">
        <v>0</v>
      </c>
      <c r="L864">
        <v>11806.17</v>
      </c>
      <c r="M864">
        <v>462601.87</v>
      </c>
      <c r="N864" s="711">
        <v>42664.51456369213</v>
      </c>
      <c r="O864" s="711">
        <v>43029</v>
      </c>
      <c r="P864" t="s">
        <v>3171</v>
      </c>
      <c r="Q864" t="s">
        <v>1280</v>
      </c>
      <c r="R864" t="s">
        <v>3172</v>
      </c>
      <c r="S864" t="s">
        <v>1510</v>
      </c>
      <c r="T864">
        <v>54</v>
      </c>
      <c r="U864">
        <f>IF(Table__192.168.1.150_M_CONSOLIDATED_Delinquency_Compulsory_EOM[[#This Row],[Days in Arrears]] &lt; 8, Table__192.168.1.150_M_CONSOLIDATED_Delinquency_Compulsory_EOM[[#This Row],[Outstanding Balance]], 0 )</f>
        <v>0</v>
      </c>
      <c r="V8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450795.7</v>
      </c>
      <c r="X8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4" s="105" t="str">
        <f>VLOOKUP(Table__192.168.1.150_M_CONSOLIDATED_Delinquency_Compulsory_EOM[[#This Row],[Client No]],'Global Portfolio'!$B$2:$N$2500,10,FALSE)</f>
        <v>Retail</v>
      </c>
      <c r="AA864" s="105" t="str">
        <f>VLOOKUP(Table__192.168.1.150_M_CONSOLIDATED_Delinquency_Compulsory_EOM[[#This Row],[Client No]],'Global Portfolio'!$B$2:$N$2500,11,FALSE)</f>
        <v>General Merchandise Stores</v>
      </c>
      <c r="AB864" s="105" t="str">
        <f>VLOOKUP(Table__192.168.1.150_M_CONSOLIDATED_Delinquency_Compulsory_EOM[[#This Row],[Client No]],'Global Portfolio'!$B$2:$N$2500,12,FALSE)</f>
        <v>General Stores</v>
      </c>
    </row>
    <row r="865" spans="1:28" x14ac:dyDescent="0.25">
      <c r="A865">
        <v>200512</v>
      </c>
      <c r="B865" t="s">
        <v>1728</v>
      </c>
      <c r="C865" t="s">
        <v>1729</v>
      </c>
      <c r="D865" t="s">
        <v>1284</v>
      </c>
      <c r="E865">
        <v>36</v>
      </c>
      <c r="F865">
        <v>65000000</v>
      </c>
      <c r="G865">
        <v>53275442.299999997</v>
      </c>
      <c r="H865">
        <v>2980137.15</v>
      </c>
      <c r="I865" t="s">
        <v>5725</v>
      </c>
      <c r="J865">
        <v>0</v>
      </c>
      <c r="K865">
        <v>0</v>
      </c>
      <c r="L865">
        <v>1898609.76</v>
      </c>
      <c r="M865">
        <v>76852909.420000002</v>
      </c>
      <c r="N865" s="711">
        <v>42667.573399224537</v>
      </c>
      <c r="O865" s="711">
        <v>43763</v>
      </c>
      <c r="P865" t="s">
        <v>1730</v>
      </c>
      <c r="Q865" t="s">
        <v>1280</v>
      </c>
      <c r="R865" t="s">
        <v>1280</v>
      </c>
      <c r="S865" t="s">
        <v>1510</v>
      </c>
      <c r="T865">
        <v>36</v>
      </c>
      <c r="U865">
        <f>IF(Table__192.168.1.150_M_CONSOLIDATED_Delinquency_Compulsory_EOM[[#This Row],[Days in Arrears]] &lt; 8, Table__192.168.1.150_M_CONSOLIDATED_Delinquency_Compulsory_EOM[[#This Row],[Outstanding Balance]], 0 )</f>
        <v>0</v>
      </c>
      <c r="V8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53275442.299999997</v>
      </c>
      <c r="X8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5" s="105" t="str">
        <f>VLOOKUP(Table__192.168.1.150_M_CONSOLIDATED_Delinquency_Compulsory_EOM[[#This Row],[Client No]],'Global Portfolio'!$B$2:$N$2500,10,FALSE)</f>
        <v>Real Estate and Rental</v>
      </c>
      <c r="AA865" s="105" t="str">
        <f>VLOOKUP(Table__192.168.1.150_M_CONSOLIDATED_Delinquency_Compulsory_EOM[[#This Row],[Client No]],'Global Portfolio'!$B$2:$N$2500,11,FALSE)</f>
        <v>Real Estate</v>
      </c>
      <c r="AB865" s="105" t="str">
        <f>VLOOKUP(Table__192.168.1.150_M_CONSOLIDATED_Delinquency_Compulsory_EOM[[#This Row],[Client No]],'Global Portfolio'!$B$2:$N$2500,12,FALSE)</f>
        <v>Real Estate</v>
      </c>
    </row>
    <row r="866" spans="1:28" x14ac:dyDescent="0.25">
      <c r="A866">
        <v>200513</v>
      </c>
      <c r="B866" t="s">
        <v>3175</v>
      </c>
      <c r="C866" t="s">
        <v>3176</v>
      </c>
      <c r="D866" t="s">
        <v>1279</v>
      </c>
      <c r="E866">
        <v>97</v>
      </c>
      <c r="F866">
        <v>1000000</v>
      </c>
      <c r="G866">
        <v>393430.25</v>
      </c>
      <c r="H866">
        <v>109666.19</v>
      </c>
      <c r="I866" t="s">
        <v>3074</v>
      </c>
      <c r="J866">
        <v>0</v>
      </c>
      <c r="K866">
        <v>100000</v>
      </c>
      <c r="L866">
        <v>30818.240000000002</v>
      </c>
      <c r="M866">
        <v>438664.73</v>
      </c>
      <c r="N866" s="711">
        <v>42667.644321180553</v>
      </c>
      <c r="O866" s="711">
        <v>43032</v>
      </c>
      <c r="P866" t="s">
        <v>3177</v>
      </c>
      <c r="Q866" t="s">
        <v>1280</v>
      </c>
      <c r="R866" t="s">
        <v>3178</v>
      </c>
      <c r="S866" t="s">
        <v>1510</v>
      </c>
      <c r="T866">
        <v>54</v>
      </c>
      <c r="U866">
        <f>IF(Table__192.168.1.150_M_CONSOLIDATED_Delinquency_Compulsory_EOM[[#This Row],[Days in Arrears]] &lt; 8, Table__192.168.1.150_M_CONSOLIDATED_Delinquency_Compulsory_EOM[[#This Row],[Outstanding Balance]], 0 )</f>
        <v>0</v>
      </c>
      <c r="V8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393430.25</v>
      </c>
      <c r="Z866" s="105" t="str">
        <f>VLOOKUP(Table__192.168.1.150_M_CONSOLIDATED_Delinquency_Compulsory_EOM[[#This Row],[Client No]],'Global Portfolio'!$B$2:$N$2500,10,FALSE)</f>
        <v>Retail</v>
      </c>
      <c r="AA866" s="105" t="str">
        <f>VLOOKUP(Table__192.168.1.150_M_CONSOLIDATED_Delinquency_Compulsory_EOM[[#This Row],[Client No]],'Global Portfolio'!$B$2:$N$2500,11,FALSE)</f>
        <v>Food and Beverage Stores</v>
      </c>
      <c r="AB866" s="105" t="str">
        <f>VLOOKUP(Table__192.168.1.150_M_CONSOLIDATED_Delinquency_Compulsory_EOM[[#This Row],[Client No]],'Global Portfolio'!$B$2:$N$2500,12,FALSE)</f>
        <v>Grocery</v>
      </c>
    </row>
    <row r="867" spans="1:28" x14ac:dyDescent="0.25">
      <c r="A867">
        <v>200521</v>
      </c>
      <c r="B867" t="s">
        <v>3187</v>
      </c>
      <c r="C867" t="s">
        <v>3190</v>
      </c>
      <c r="D867" t="s">
        <v>1284</v>
      </c>
      <c r="E867">
        <v>60</v>
      </c>
      <c r="F867">
        <v>15000000</v>
      </c>
      <c r="G867">
        <v>10754776.17</v>
      </c>
      <c r="H867">
        <v>922750.53</v>
      </c>
      <c r="I867" t="s">
        <v>1039</v>
      </c>
      <c r="J867">
        <v>0</v>
      </c>
      <c r="K867">
        <v>0</v>
      </c>
      <c r="L867">
        <v>690927.01</v>
      </c>
      <c r="M867">
        <v>13535418.6</v>
      </c>
      <c r="N867" s="711">
        <v>42669.510123495369</v>
      </c>
      <c r="O867" s="711">
        <v>43405</v>
      </c>
      <c r="P867" t="s">
        <v>3191</v>
      </c>
      <c r="Q867" t="s">
        <v>1280</v>
      </c>
      <c r="R867" t="s">
        <v>3192</v>
      </c>
      <c r="S867" t="s">
        <v>1510</v>
      </c>
      <c r="T867">
        <v>40</v>
      </c>
      <c r="U867">
        <f>IF(Table__192.168.1.150_M_CONSOLIDATED_Delinquency_Compulsory_EOM[[#This Row],[Days in Arrears]] &lt; 8, Table__192.168.1.150_M_CONSOLIDATED_Delinquency_Compulsory_EOM[[#This Row],[Outstanding Balance]], 0 )</f>
        <v>0</v>
      </c>
      <c r="V8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10754776.17</v>
      </c>
      <c r="Y8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7" s="105" t="str">
        <f>VLOOKUP(Table__192.168.1.150_M_CONSOLIDATED_Delinquency_Compulsory_EOM[[#This Row],[Client No]],'Global Portfolio'!$B$2:$N$2500,10,FALSE)</f>
        <v>Real Estate and Rental</v>
      </c>
      <c r="AA867" s="105" t="str">
        <f>VLOOKUP(Table__192.168.1.150_M_CONSOLIDATED_Delinquency_Compulsory_EOM[[#This Row],[Client No]],'Global Portfolio'!$B$2:$N$2500,11,FALSE)</f>
        <v>Rental</v>
      </c>
      <c r="AB867" s="105" t="str">
        <f>VLOOKUP(Table__192.168.1.150_M_CONSOLIDATED_Delinquency_Compulsory_EOM[[#This Row],[Client No]],'Global Portfolio'!$B$2:$N$2500,12,FALSE)</f>
        <v>Others</v>
      </c>
    </row>
    <row r="868" spans="1:28" x14ac:dyDescent="0.25">
      <c r="A868">
        <v>200527</v>
      </c>
      <c r="B868" t="s">
        <v>3195</v>
      </c>
      <c r="C868" t="s">
        <v>3199</v>
      </c>
      <c r="D868" t="s">
        <v>1866</v>
      </c>
      <c r="E868">
        <v>0</v>
      </c>
      <c r="F868">
        <v>7000000</v>
      </c>
      <c r="G868">
        <v>3361180.19</v>
      </c>
      <c r="H868">
        <v>563459.06999999995</v>
      </c>
      <c r="I868" t="s">
        <v>4684</v>
      </c>
      <c r="J868">
        <v>0</v>
      </c>
      <c r="K868">
        <v>0</v>
      </c>
      <c r="L868">
        <v>156985.57</v>
      </c>
      <c r="M868">
        <v>3944213.55</v>
      </c>
      <c r="N868" s="711">
        <v>42670.688696377314</v>
      </c>
      <c r="O868" s="711">
        <v>43221</v>
      </c>
      <c r="P868" t="s">
        <v>3200</v>
      </c>
      <c r="Q868" t="s">
        <v>1280</v>
      </c>
      <c r="R868" t="s">
        <v>3201</v>
      </c>
      <c r="S868" t="s">
        <v>1510</v>
      </c>
      <c r="T868">
        <v>50</v>
      </c>
      <c r="U868">
        <f>IF(Table__192.168.1.150_M_CONSOLIDATED_Delinquency_Compulsory_EOM[[#This Row],[Days in Arrears]] &lt; 8, Table__192.168.1.150_M_CONSOLIDATED_Delinquency_Compulsory_EOM[[#This Row],[Outstanding Balance]], 0 )</f>
        <v>3361180.19</v>
      </c>
      <c r="V8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8" s="105" t="str">
        <f>VLOOKUP(Table__192.168.1.150_M_CONSOLIDATED_Delinquency_Compulsory_EOM[[#This Row],[Client No]],'Global Portfolio'!$B$2:$N$2500,10,FALSE)</f>
        <v>Retail</v>
      </c>
      <c r="AA868" s="105" t="str">
        <f>VLOOKUP(Table__192.168.1.150_M_CONSOLIDATED_Delinquency_Compulsory_EOM[[#This Row],[Client No]],'Global Portfolio'!$B$2:$N$2500,11,FALSE)</f>
        <v>Electronics Stores</v>
      </c>
      <c r="AB868" s="105" t="str">
        <f>VLOOKUP(Table__192.168.1.150_M_CONSOLIDATED_Delinquency_Compulsory_EOM[[#This Row],[Client No]],'Global Portfolio'!$B$2:$N$2500,12,FALSE)</f>
        <v>Radio, Television, &amp; Other Electronics Stores</v>
      </c>
    </row>
    <row r="869" spans="1:28" x14ac:dyDescent="0.25">
      <c r="A869">
        <v>200532</v>
      </c>
      <c r="B869" t="s">
        <v>3205</v>
      </c>
      <c r="C869" t="s">
        <v>3215</v>
      </c>
      <c r="D869" t="s">
        <v>1279</v>
      </c>
      <c r="E869">
        <v>0</v>
      </c>
      <c r="F869">
        <v>3000000</v>
      </c>
      <c r="G869">
        <v>316186.84000000003</v>
      </c>
      <c r="H869">
        <v>330415.31</v>
      </c>
      <c r="I869" t="s">
        <v>963</v>
      </c>
      <c r="J869">
        <v>99000</v>
      </c>
      <c r="K869">
        <v>0</v>
      </c>
      <c r="L869">
        <v>68717.600000000006</v>
      </c>
      <c r="M869">
        <v>330415.25</v>
      </c>
      <c r="N869" s="711">
        <v>42671.680053935183</v>
      </c>
      <c r="O869" s="711">
        <v>43040</v>
      </c>
      <c r="P869" t="s">
        <v>3216</v>
      </c>
      <c r="Q869" t="s">
        <v>1280</v>
      </c>
      <c r="R869" t="s">
        <v>1280</v>
      </c>
      <c r="S869" t="s">
        <v>1510</v>
      </c>
      <c r="T869">
        <v>54</v>
      </c>
      <c r="U869">
        <f>IF(Table__192.168.1.150_M_CONSOLIDATED_Delinquency_Compulsory_EOM[[#This Row],[Days in Arrears]] &lt; 8, Table__192.168.1.150_M_CONSOLIDATED_Delinquency_Compulsory_EOM[[#This Row],[Outstanding Balance]], 0 )</f>
        <v>316186.84000000003</v>
      </c>
      <c r="V8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69" s="105" t="str">
        <f>VLOOKUP(Table__192.168.1.150_M_CONSOLIDATED_Delinquency_Compulsory_EOM[[#This Row],[Client No]],'Global Portfolio'!$B$2:$N$2500,10,FALSE)</f>
        <v>Real Estate and Rental</v>
      </c>
      <c r="AA869" s="105" t="str">
        <f>VLOOKUP(Table__192.168.1.150_M_CONSOLIDATED_Delinquency_Compulsory_EOM[[#This Row],[Client No]],'Global Portfolio'!$B$2:$N$2500,11,FALSE)</f>
        <v>Rental</v>
      </c>
      <c r="AB869" s="105" t="str">
        <f>VLOOKUP(Table__192.168.1.150_M_CONSOLIDATED_Delinquency_Compulsory_EOM[[#This Row],[Client No]],'Global Portfolio'!$B$2:$N$2500,12,FALSE)</f>
        <v>Others</v>
      </c>
    </row>
    <row r="870" spans="1:28" x14ac:dyDescent="0.25">
      <c r="A870">
        <v>200533</v>
      </c>
      <c r="B870" t="s">
        <v>3217</v>
      </c>
      <c r="C870" t="s">
        <v>3219</v>
      </c>
      <c r="D870" t="s">
        <v>1282</v>
      </c>
      <c r="E870">
        <v>0</v>
      </c>
      <c r="F870">
        <v>2500000</v>
      </c>
      <c r="G870">
        <v>263112.48</v>
      </c>
      <c r="H870">
        <v>274952.55</v>
      </c>
      <c r="I870" t="s">
        <v>4684</v>
      </c>
      <c r="J870">
        <v>20394.82</v>
      </c>
      <c r="K870">
        <v>250000</v>
      </c>
      <c r="L870">
        <v>11445.39</v>
      </c>
      <c r="M870">
        <v>274952.53999999998</v>
      </c>
      <c r="N870" s="711">
        <v>42672.498691701388</v>
      </c>
      <c r="O870" s="711">
        <v>43040</v>
      </c>
      <c r="P870" t="s">
        <v>3220</v>
      </c>
      <c r="Q870" t="s">
        <v>1280</v>
      </c>
      <c r="R870" t="s">
        <v>1280</v>
      </c>
      <c r="S870" t="s">
        <v>1510</v>
      </c>
      <c r="T870">
        <v>54</v>
      </c>
      <c r="U870">
        <f>IF(Table__192.168.1.150_M_CONSOLIDATED_Delinquency_Compulsory_EOM[[#This Row],[Days in Arrears]] &lt; 8, Table__192.168.1.150_M_CONSOLIDATED_Delinquency_Compulsory_EOM[[#This Row],[Outstanding Balance]], 0 )</f>
        <v>263112.48</v>
      </c>
      <c r="V8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0" s="105" t="e">
        <f>VLOOKUP(Table__192.168.1.150_M_CONSOLIDATED_Delinquency_Compulsory_EOM[[#This Row],[Client No]],'Global Portfolio'!$B$2:$N$2500,10,FALSE)</f>
        <v>#N/A</v>
      </c>
      <c r="AA870" s="105" t="e">
        <f>VLOOKUP(Table__192.168.1.150_M_CONSOLIDATED_Delinquency_Compulsory_EOM[[#This Row],[Client No]],'Global Portfolio'!$B$2:$N$2500,11,FALSE)</f>
        <v>#N/A</v>
      </c>
      <c r="AB870" s="105" t="e">
        <f>VLOOKUP(Table__192.168.1.150_M_CONSOLIDATED_Delinquency_Compulsory_EOM[[#This Row],[Client No]],'Global Portfolio'!$B$2:$N$2500,12,FALSE)</f>
        <v>#N/A</v>
      </c>
    </row>
    <row r="871" spans="1:28" x14ac:dyDescent="0.25">
      <c r="A871">
        <v>200535</v>
      </c>
      <c r="B871" t="s">
        <v>3224</v>
      </c>
      <c r="C871" t="s">
        <v>3237</v>
      </c>
      <c r="D871" t="s">
        <v>1282</v>
      </c>
      <c r="E871">
        <v>0</v>
      </c>
      <c r="F871">
        <v>5000000</v>
      </c>
      <c r="G871">
        <v>525471.80000000005</v>
      </c>
      <c r="H871">
        <v>549118.02</v>
      </c>
      <c r="I871" t="s">
        <v>1447</v>
      </c>
      <c r="J871">
        <v>103500</v>
      </c>
      <c r="K871">
        <v>0</v>
      </c>
      <c r="L871">
        <v>22858.02</v>
      </c>
      <c r="M871">
        <v>549118.03</v>
      </c>
      <c r="N871" s="711">
        <v>42674.474566400466</v>
      </c>
      <c r="O871" s="711">
        <v>43040</v>
      </c>
      <c r="P871" t="s">
        <v>3238</v>
      </c>
      <c r="Q871" t="s">
        <v>1280</v>
      </c>
      <c r="R871" t="s">
        <v>3239</v>
      </c>
      <c r="S871" t="s">
        <v>1510</v>
      </c>
      <c r="T871">
        <v>54</v>
      </c>
      <c r="U871">
        <f>IF(Table__192.168.1.150_M_CONSOLIDATED_Delinquency_Compulsory_EOM[[#This Row],[Days in Arrears]] &lt; 8, Table__192.168.1.150_M_CONSOLIDATED_Delinquency_Compulsory_EOM[[#This Row],[Outstanding Balance]], 0 )</f>
        <v>525471.80000000005</v>
      </c>
      <c r="V8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1" s="105" t="str">
        <f>VLOOKUP(Table__192.168.1.150_M_CONSOLIDATED_Delinquency_Compulsory_EOM[[#This Row],[Client No]],'Global Portfolio'!$B$2:$N$2500,10,FALSE)</f>
        <v>Retail</v>
      </c>
      <c r="AA871" s="105" t="str">
        <f>VLOOKUP(Table__192.168.1.150_M_CONSOLIDATED_Delinquency_Compulsory_EOM[[#This Row],[Client No]],'Global Portfolio'!$B$2:$N$2500,11,FALSE)</f>
        <v>Others</v>
      </c>
      <c r="AB871" s="105" t="str">
        <f>VLOOKUP(Table__192.168.1.150_M_CONSOLIDATED_Delinquency_Compulsory_EOM[[#This Row],[Client No]],'Global Portfolio'!$B$2:$N$2500,12,FALSE)</f>
        <v>Others</v>
      </c>
    </row>
    <row r="872" spans="1:28" x14ac:dyDescent="0.25">
      <c r="A872">
        <v>200536</v>
      </c>
      <c r="B872" t="s">
        <v>3230</v>
      </c>
      <c r="C872" t="s">
        <v>3240</v>
      </c>
      <c r="D872" t="s">
        <v>1866</v>
      </c>
      <c r="E872">
        <v>0</v>
      </c>
      <c r="F872">
        <v>6000000</v>
      </c>
      <c r="G872">
        <v>615512.16</v>
      </c>
      <c r="H872">
        <v>640132.67000000004</v>
      </c>
      <c r="I872" t="s">
        <v>963</v>
      </c>
      <c r="J872">
        <v>298800.08</v>
      </c>
      <c r="K872">
        <v>600000</v>
      </c>
      <c r="L872">
        <v>23799.8</v>
      </c>
      <c r="M872">
        <v>640132.65</v>
      </c>
      <c r="N872" s="711">
        <v>42674.631944097222</v>
      </c>
      <c r="O872" s="711">
        <v>43040</v>
      </c>
      <c r="P872" t="s">
        <v>3241</v>
      </c>
      <c r="Q872" t="s">
        <v>1280</v>
      </c>
      <c r="R872" t="s">
        <v>1280</v>
      </c>
      <c r="S872" t="s">
        <v>1510</v>
      </c>
      <c r="T872">
        <v>48</v>
      </c>
      <c r="U872">
        <f>IF(Table__192.168.1.150_M_CONSOLIDATED_Delinquency_Compulsory_EOM[[#This Row],[Days in Arrears]] &lt; 8, Table__192.168.1.150_M_CONSOLIDATED_Delinquency_Compulsory_EOM[[#This Row],[Outstanding Balance]], 0 )</f>
        <v>615512.16</v>
      </c>
      <c r="V8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2" s="105" t="e">
        <f>VLOOKUP(Table__192.168.1.150_M_CONSOLIDATED_Delinquency_Compulsory_EOM[[#This Row],[Client No]],'Global Portfolio'!$B$2:$N$2500,10,FALSE)</f>
        <v>#N/A</v>
      </c>
      <c r="AA872" s="105" t="e">
        <f>VLOOKUP(Table__192.168.1.150_M_CONSOLIDATED_Delinquency_Compulsory_EOM[[#This Row],[Client No]],'Global Portfolio'!$B$2:$N$2500,11,FALSE)</f>
        <v>#N/A</v>
      </c>
      <c r="AB872" s="105" t="e">
        <f>VLOOKUP(Table__192.168.1.150_M_CONSOLIDATED_Delinquency_Compulsory_EOM[[#This Row],[Client No]],'Global Portfolio'!$B$2:$N$2500,12,FALSE)</f>
        <v>#N/A</v>
      </c>
    </row>
    <row r="873" spans="1:28" x14ac:dyDescent="0.25">
      <c r="A873">
        <v>200539</v>
      </c>
      <c r="B873" t="s">
        <v>3223</v>
      </c>
      <c r="C873" t="s">
        <v>3242</v>
      </c>
      <c r="D873" t="s">
        <v>1282</v>
      </c>
      <c r="E873">
        <v>0</v>
      </c>
      <c r="F873">
        <v>6000000</v>
      </c>
      <c r="G873">
        <v>630566.1</v>
      </c>
      <c r="H873">
        <v>658941.63</v>
      </c>
      <c r="I873" t="s">
        <v>2034</v>
      </c>
      <c r="J873">
        <v>22150</v>
      </c>
      <c r="K873">
        <v>600000</v>
      </c>
      <c r="L873">
        <v>27429.63</v>
      </c>
      <c r="M873">
        <v>658941.56999999995</v>
      </c>
      <c r="N873" s="711">
        <v>42674.793237152779</v>
      </c>
      <c r="O873" s="711">
        <v>43040</v>
      </c>
      <c r="P873" t="s">
        <v>3243</v>
      </c>
      <c r="Q873" t="s">
        <v>1280</v>
      </c>
      <c r="R873" t="s">
        <v>3244</v>
      </c>
      <c r="S873" t="s">
        <v>1510</v>
      </c>
      <c r="T873">
        <v>54</v>
      </c>
      <c r="U873">
        <f>IF(Table__192.168.1.150_M_CONSOLIDATED_Delinquency_Compulsory_EOM[[#This Row],[Days in Arrears]] &lt; 8, Table__192.168.1.150_M_CONSOLIDATED_Delinquency_Compulsory_EOM[[#This Row],[Outstanding Balance]], 0 )</f>
        <v>630566.1</v>
      </c>
      <c r="V8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3" s="105" t="e">
        <f>VLOOKUP(Table__192.168.1.150_M_CONSOLIDATED_Delinquency_Compulsory_EOM[[#This Row],[Client No]],'Global Portfolio'!$B$2:$N$2500,10,FALSE)</f>
        <v>#N/A</v>
      </c>
      <c r="AA873" s="105" t="e">
        <f>VLOOKUP(Table__192.168.1.150_M_CONSOLIDATED_Delinquency_Compulsory_EOM[[#This Row],[Client No]],'Global Portfolio'!$B$2:$N$2500,11,FALSE)</f>
        <v>#N/A</v>
      </c>
      <c r="AB873" s="105" t="e">
        <f>VLOOKUP(Table__192.168.1.150_M_CONSOLIDATED_Delinquency_Compulsory_EOM[[#This Row],[Client No]],'Global Portfolio'!$B$2:$N$2500,12,FALSE)</f>
        <v>#N/A</v>
      </c>
    </row>
    <row r="874" spans="1:28" x14ac:dyDescent="0.25">
      <c r="A874">
        <v>200541</v>
      </c>
      <c r="B874" t="s">
        <v>3232</v>
      </c>
      <c r="C874" t="s">
        <v>3247</v>
      </c>
      <c r="D874" t="s">
        <v>1284</v>
      </c>
      <c r="E874">
        <v>60</v>
      </c>
      <c r="F874">
        <v>15000000</v>
      </c>
      <c r="G874">
        <v>10708766.49</v>
      </c>
      <c r="H874">
        <v>918802.93</v>
      </c>
      <c r="I874" t="s">
        <v>1467</v>
      </c>
      <c r="J874">
        <v>0</v>
      </c>
      <c r="K874">
        <v>0</v>
      </c>
      <c r="L874">
        <v>689696.67</v>
      </c>
      <c r="M874">
        <v>13776551.07</v>
      </c>
      <c r="N874" s="711">
        <v>42674.88020378472</v>
      </c>
      <c r="O874" s="711">
        <v>43405</v>
      </c>
      <c r="P874" t="s">
        <v>4108</v>
      </c>
      <c r="Q874" t="s">
        <v>1280</v>
      </c>
      <c r="R874" t="s">
        <v>1280</v>
      </c>
      <c r="S874" t="s">
        <v>1510</v>
      </c>
      <c r="T874">
        <v>40</v>
      </c>
      <c r="U874">
        <f>IF(Table__192.168.1.150_M_CONSOLIDATED_Delinquency_Compulsory_EOM[[#This Row],[Days in Arrears]] &lt; 8, Table__192.168.1.150_M_CONSOLIDATED_Delinquency_Compulsory_EOM[[#This Row],[Outstanding Balance]], 0 )</f>
        <v>0</v>
      </c>
      <c r="V8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10708766.49</v>
      </c>
      <c r="Y8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4" s="105" t="str">
        <f>VLOOKUP(Table__192.168.1.150_M_CONSOLIDATED_Delinquency_Compulsory_EOM[[#This Row],[Client No]],'Global Portfolio'!$B$2:$N$2500,10,FALSE)</f>
        <v>Real Estate and Rental</v>
      </c>
      <c r="AA874" s="105" t="str">
        <f>VLOOKUP(Table__192.168.1.150_M_CONSOLIDATED_Delinquency_Compulsory_EOM[[#This Row],[Client No]],'Global Portfolio'!$B$2:$N$2500,11,FALSE)</f>
        <v>Rental</v>
      </c>
      <c r="AB874" s="105" t="str">
        <f>VLOOKUP(Table__192.168.1.150_M_CONSOLIDATED_Delinquency_Compulsory_EOM[[#This Row],[Client No]],'Global Portfolio'!$B$2:$N$2500,12,FALSE)</f>
        <v>Others</v>
      </c>
    </row>
    <row r="875" spans="1:28" x14ac:dyDescent="0.25">
      <c r="A875">
        <v>200545</v>
      </c>
      <c r="B875" t="s">
        <v>3229</v>
      </c>
      <c r="C875" t="s">
        <v>3251</v>
      </c>
      <c r="D875" t="s">
        <v>1282</v>
      </c>
      <c r="E875">
        <v>30</v>
      </c>
      <c r="F875">
        <v>5000000</v>
      </c>
      <c r="G875">
        <v>635562.06999999995</v>
      </c>
      <c r="H875">
        <v>549118.02</v>
      </c>
      <c r="I875" t="s">
        <v>90</v>
      </c>
      <c r="J875">
        <v>0</v>
      </c>
      <c r="K875">
        <v>0</v>
      </c>
      <c r="L875">
        <v>22858.02</v>
      </c>
      <c r="M875">
        <v>659208.30000000005</v>
      </c>
      <c r="N875" s="711">
        <v>42674.934417789351</v>
      </c>
      <c r="O875" s="711">
        <v>43040</v>
      </c>
      <c r="P875" t="s">
        <v>3252</v>
      </c>
      <c r="Q875" t="s">
        <v>1280</v>
      </c>
      <c r="R875" t="s">
        <v>3253</v>
      </c>
      <c r="S875" t="s">
        <v>1510</v>
      </c>
      <c r="T875">
        <v>54</v>
      </c>
      <c r="U875">
        <f>IF(Table__192.168.1.150_M_CONSOLIDATED_Delinquency_Compulsory_EOM[[#This Row],[Days in Arrears]] &lt; 8, Table__192.168.1.150_M_CONSOLIDATED_Delinquency_Compulsory_EOM[[#This Row],[Outstanding Balance]], 0 )</f>
        <v>0</v>
      </c>
      <c r="V8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635562.06999999995</v>
      </c>
      <c r="X8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5" s="105" t="str">
        <f>VLOOKUP(Table__192.168.1.150_M_CONSOLIDATED_Delinquency_Compulsory_EOM[[#This Row],[Client No]],'Global Portfolio'!$B$2:$N$2500,10,FALSE)</f>
        <v>Real Estate and Rental</v>
      </c>
      <c r="AA875" s="105" t="str">
        <f>VLOOKUP(Table__192.168.1.150_M_CONSOLIDATED_Delinquency_Compulsory_EOM[[#This Row],[Client No]],'Global Portfolio'!$B$2:$N$2500,11,FALSE)</f>
        <v>Rental</v>
      </c>
      <c r="AB875" s="105" t="str">
        <f>VLOOKUP(Table__192.168.1.150_M_CONSOLIDATED_Delinquency_Compulsory_EOM[[#This Row],[Client No]],'Global Portfolio'!$B$2:$N$2500,12,FALSE)</f>
        <v>Others</v>
      </c>
    </row>
    <row r="876" spans="1:28" x14ac:dyDescent="0.25">
      <c r="A876">
        <v>200551</v>
      </c>
      <c r="B876" t="s">
        <v>3261</v>
      </c>
      <c r="C876" t="s">
        <v>3265</v>
      </c>
      <c r="D876" t="s">
        <v>1282</v>
      </c>
      <c r="E876">
        <v>179</v>
      </c>
      <c r="F876">
        <v>3000000</v>
      </c>
      <c r="G876">
        <v>1250308.6100000001</v>
      </c>
      <c r="H876">
        <v>454828.96</v>
      </c>
      <c r="I876" t="s">
        <v>3074</v>
      </c>
      <c r="J876">
        <v>0</v>
      </c>
      <c r="K876">
        <v>0</v>
      </c>
      <c r="L876">
        <v>75740.41</v>
      </c>
      <c r="M876">
        <v>1346912.58</v>
      </c>
      <c r="N876" s="711">
        <v>42676.657568483795</v>
      </c>
      <c r="O876" s="711">
        <v>42918</v>
      </c>
      <c r="P876" t="s">
        <v>3266</v>
      </c>
      <c r="Q876" t="s">
        <v>1280</v>
      </c>
      <c r="R876" t="s">
        <v>3267</v>
      </c>
      <c r="S876" t="s">
        <v>1510</v>
      </c>
      <c r="T876">
        <v>54</v>
      </c>
      <c r="U876">
        <f>IF(Table__192.168.1.150_M_CONSOLIDATED_Delinquency_Compulsory_EOM[[#This Row],[Days in Arrears]] &lt; 8, Table__192.168.1.150_M_CONSOLIDATED_Delinquency_Compulsory_EOM[[#This Row],[Outstanding Balance]], 0 )</f>
        <v>0</v>
      </c>
      <c r="V8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1250308.6100000001</v>
      </c>
      <c r="Z876" s="105" t="str">
        <f>VLOOKUP(Table__192.168.1.150_M_CONSOLIDATED_Delinquency_Compulsory_EOM[[#This Row],[Client No]],'Global Portfolio'!$B$2:$N$2500,10,FALSE)</f>
        <v>Health Care</v>
      </c>
      <c r="AA876" s="105" t="str">
        <f>VLOOKUP(Table__192.168.1.150_M_CONSOLIDATED_Delinquency_Compulsory_EOM[[#This Row],[Client No]],'Global Portfolio'!$B$2:$N$2500,11,FALSE)</f>
        <v>Health Care</v>
      </c>
      <c r="AB876" s="105" t="str">
        <f>VLOOKUP(Table__192.168.1.150_M_CONSOLIDATED_Delinquency_Compulsory_EOM[[#This Row],[Client No]],'Global Portfolio'!$B$2:$N$2500,12,FALSE)</f>
        <v>Offices of Dentists</v>
      </c>
    </row>
    <row r="877" spans="1:28" x14ac:dyDescent="0.25">
      <c r="A877">
        <v>200553</v>
      </c>
      <c r="B877" t="s">
        <v>3269</v>
      </c>
      <c r="C877" t="s">
        <v>3280</v>
      </c>
      <c r="D877" t="s">
        <v>1282</v>
      </c>
      <c r="E877">
        <v>-2</v>
      </c>
      <c r="F877">
        <v>15000000</v>
      </c>
      <c r="G877">
        <v>1574155.82</v>
      </c>
      <c r="H877">
        <v>1644992.83</v>
      </c>
      <c r="I877" t="s">
        <v>1448</v>
      </c>
      <c r="J877">
        <v>0</v>
      </c>
      <c r="K877">
        <v>1500000</v>
      </c>
      <c r="L877">
        <v>63753.31</v>
      </c>
      <c r="M877">
        <v>1644992.83</v>
      </c>
      <c r="N877" s="711">
        <v>42677.678876076388</v>
      </c>
      <c r="O877" s="711">
        <v>43042</v>
      </c>
      <c r="P877" t="s">
        <v>3281</v>
      </c>
      <c r="Q877" t="s">
        <v>1280</v>
      </c>
      <c r="R877" t="s">
        <v>3282</v>
      </c>
      <c r="S877" t="s">
        <v>1510</v>
      </c>
      <c r="T877">
        <v>54</v>
      </c>
      <c r="U877">
        <f>IF(Table__192.168.1.150_M_CONSOLIDATED_Delinquency_Compulsory_EOM[[#This Row],[Days in Arrears]] &lt; 8, Table__192.168.1.150_M_CONSOLIDATED_Delinquency_Compulsory_EOM[[#This Row],[Outstanding Balance]], 0 )</f>
        <v>1574155.82</v>
      </c>
      <c r="V8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77" s="105" t="str">
        <f>VLOOKUP(Table__192.168.1.150_M_CONSOLIDATED_Delinquency_Compulsory_EOM[[#This Row],[Client No]],'Global Portfolio'!$B$2:$N$2500,10,FALSE)</f>
        <v>Retail</v>
      </c>
      <c r="AA877" s="105" t="str">
        <f>VLOOKUP(Table__192.168.1.150_M_CONSOLIDATED_Delinquency_Compulsory_EOM[[#This Row],[Client No]],'Global Portfolio'!$B$2:$N$2500,11,FALSE)</f>
        <v>Miscellaneous Store Retailers</v>
      </c>
      <c r="AB877" s="105" t="str">
        <f>VLOOKUP(Table__192.168.1.150_M_CONSOLIDATED_Delinquency_Compulsory_EOM[[#This Row],[Client No]],'Global Portfolio'!$B$2:$N$2500,12,FALSE)</f>
        <v>Printing Stores</v>
      </c>
    </row>
    <row r="878" spans="1:28" x14ac:dyDescent="0.25">
      <c r="A878">
        <v>200555</v>
      </c>
      <c r="B878" t="s">
        <v>3271</v>
      </c>
      <c r="C878" t="s">
        <v>3283</v>
      </c>
      <c r="D878" t="s">
        <v>1279</v>
      </c>
      <c r="E878">
        <v>146</v>
      </c>
      <c r="F878">
        <v>3500000</v>
      </c>
      <c r="G878">
        <v>1985438.27</v>
      </c>
      <c r="H878">
        <v>384933.57</v>
      </c>
      <c r="I878" t="s">
        <v>1467</v>
      </c>
      <c r="J878">
        <v>0</v>
      </c>
      <c r="K878">
        <v>0</v>
      </c>
      <c r="L878">
        <v>165387.94</v>
      </c>
      <c r="M878">
        <v>2309601.42</v>
      </c>
      <c r="N878" s="711">
        <v>42677.750233449071</v>
      </c>
      <c r="O878" s="711">
        <v>43044</v>
      </c>
      <c r="P878" t="s">
        <v>3284</v>
      </c>
      <c r="Q878" t="s">
        <v>1280</v>
      </c>
      <c r="R878" t="s">
        <v>3285</v>
      </c>
      <c r="S878" t="s">
        <v>1510</v>
      </c>
      <c r="T878">
        <v>54</v>
      </c>
      <c r="U878">
        <f>IF(Table__192.168.1.150_M_CONSOLIDATED_Delinquency_Compulsory_EOM[[#This Row],[Days in Arrears]] &lt; 8, Table__192.168.1.150_M_CONSOLIDATED_Delinquency_Compulsory_EOM[[#This Row],[Outstanding Balance]], 0 )</f>
        <v>0</v>
      </c>
      <c r="V8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1985438.27</v>
      </c>
      <c r="Z878" s="105" t="str">
        <f>VLOOKUP(Table__192.168.1.150_M_CONSOLIDATED_Delinquency_Compulsory_EOM[[#This Row],[Client No]],'Global Portfolio'!$B$2:$N$2500,10,FALSE)</f>
        <v>Real Estate and Rental</v>
      </c>
      <c r="AA878" s="105" t="str">
        <f>VLOOKUP(Table__192.168.1.150_M_CONSOLIDATED_Delinquency_Compulsory_EOM[[#This Row],[Client No]],'Global Portfolio'!$B$2:$N$2500,11,FALSE)</f>
        <v>Rental</v>
      </c>
      <c r="AB878" s="105" t="str">
        <f>VLOOKUP(Table__192.168.1.150_M_CONSOLIDATED_Delinquency_Compulsory_EOM[[#This Row],[Client No]],'Global Portfolio'!$B$2:$N$2500,12,FALSE)</f>
        <v>General Rental Centers</v>
      </c>
    </row>
    <row r="879" spans="1:28" x14ac:dyDescent="0.25">
      <c r="A879">
        <v>200557</v>
      </c>
      <c r="B879" t="s">
        <v>3289</v>
      </c>
      <c r="C879" t="s">
        <v>3291</v>
      </c>
      <c r="D879" t="s">
        <v>1282</v>
      </c>
      <c r="E879">
        <v>116</v>
      </c>
      <c r="F879">
        <v>3000000</v>
      </c>
      <c r="G879">
        <v>1444296.02</v>
      </c>
      <c r="H879">
        <v>328998.57</v>
      </c>
      <c r="I879" t="s">
        <v>1039</v>
      </c>
      <c r="J879">
        <v>0</v>
      </c>
      <c r="K879">
        <v>0</v>
      </c>
      <c r="L879">
        <v>116335.97</v>
      </c>
      <c r="M879">
        <v>1644992.78</v>
      </c>
      <c r="N879" s="711">
        <v>42679.429257060183</v>
      </c>
      <c r="O879" s="711">
        <v>43044</v>
      </c>
      <c r="P879" t="s">
        <v>3292</v>
      </c>
      <c r="Q879" t="s">
        <v>1280</v>
      </c>
      <c r="R879" t="s">
        <v>1280</v>
      </c>
      <c r="S879" t="s">
        <v>1510</v>
      </c>
      <c r="T879">
        <v>54</v>
      </c>
      <c r="U879">
        <f>IF(Table__192.168.1.150_M_CONSOLIDATED_Delinquency_Compulsory_EOM[[#This Row],[Days in Arrears]] &lt; 8, Table__192.168.1.150_M_CONSOLIDATED_Delinquency_Compulsory_EOM[[#This Row],[Outstanding Balance]], 0 )</f>
        <v>0</v>
      </c>
      <c r="V8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1444296.02</v>
      </c>
      <c r="Z879" s="105" t="str">
        <f>VLOOKUP(Table__192.168.1.150_M_CONSOLIDATED_Delinquency_Compulsory_EOM[[#This Row],[Client No]],'Global Portfolio'!$B$2:$N$2500,10,FALSE)</f>
        <v>Retail</v>
      </c>
      <c r="AA879" s="105" t="str">
        <f>VLOOKUP(Table__192.168.1.150_M_CONSOLIDATED_Delinquency_Compulsory_EOM[[#This Row],[Client No]],'Global Portfolio'!$B$2:$N$2500,11,FALSE)</f>
        <v>Electronics Stores</v>
      </c>
      <c r="AB879" s="105" t="str">
        <f>VLOOKUP(Table__192.168.1.150_M_CONSOLIDATED_Delinquency_Compulsory_EOM[[#This Row],[Client No]],'Global Portfolio'!$B$2:$N$2500,12,FALSE)</f>
        <v>Radio, Television, &amp; Other Electronics Stores</v>
      </c>
    </row>
    <row r="880" spans="1:28" x14ac:dyDescent="0.25">
      <c r="A880">
        <v>200561</v>
      </c>
      <c r="B880" t="s">
        <v>3290</v>
      </c>
      <c r="C880" t="s">
        <v>3293</v>
      </c>
      <c r="D880" t="s">
        <v>1279</v>
      </c>
      <c r="E880">
        <v>-4</v>
      </c>
      <c r="F880">
        <v>5000000</v>
      </c>
      <c r="G880">
        <v>524718.64</v>
      </c>
      <c r="H880">
        <v>548330.93999999994</v>
      </c>
      <c r="I880" t="s">
        <v>2861</v>
      </c>
      <c r="J880">
        <v>0</v>
      </c>
      <c r="K880">
        <v>500000</v>
      </c>
      <c r="L880">
        <v>19676.95</v>
      </c>
      <c r="M880">
        <v>548330.98</v>
      </c>
      <c r="N880" s="711">
        <v>42679.550301192132</v>
      </c>
      <c r="O880" s="711">
        <v>43044</v>
      </c>
      <c r="P880" t="s">
        <v>3294</v>
      </c>
      <c r="Q880" t="s">
        <v>1280</v>
      </c>
      <c r="R880" t="s">
        <v>1280</v>
      </c>
      <c r="S880" t="s">
        <v>1510</v>
      </c>
      <c r="T880">
        <v>54</v>
      </c>
      <c r="U880">
        <f>IF(Table__192.168.1.150_M_CONSOLIDATED_Delinquency_Compulsory_EOM[[#This Row],[Days in Arrears]] &lt; 8, Table__192.168.1.150_M_CONSOLIDATED_Delinquency_Compulsory_EOM[[#This Row],[Outstanding Balance]], 0 )</f>
        <v>524718.64</v>
      </c>
      <c r="V8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0" s="105" t="e">
        <f>VLOOKUP(Table__192.168.1.150_M_CONSOLIDATED_Delinquency_Compulsory_EOM[[#This Row],[Client No]],'Global Portfolio'!$B$2:$N$2500,10,FALSE)</f>
        <v>#N/A</v>
      </c>
      <c r="AA880" s="105" t="e">
        <f>VLOOKUP(Table__192.168.1.150_M_CONSOLIDATED_Delinquency_Compulsory_EOM[[#This Row],[Client No]],'Global Portfolio'!$B$2:$N$2500,11,FALSE)</f>
        <v>#N/A</v>
      </c>
      <c r="AB880" s="105" t="e">
        <f>VLOOKUP(Table__192.168.1.150_M_CONSOLIDATED_Delinquency_Compulsory_EOM[[#This Row],[Client No]],'Global Portfolio'!$B$2:$N$2500,12,FALSE)</f>
        <v>#N/A</v>
      </c>
    </row>
    <row r="881" spans="1:28" x14ac:dyDescent="0.25">
      <c r="A881">
        <v>200563</v>
      </c>
      <c r="B881" t="s">
        <v>3036</v>
      </c>
      <c r="C881" t="s">
        <v>3043</v>
      </c>
      <c r="D881" t="s">
        <v>1284</v>
      </c>
      <c r="E881">
        <v>-9</v>
      </c>
      <c r="F881">
        <v>65000000</v>
      </c>
      <c r="G881">
        <v>51843235.170000002</v>
      </c>
      <c r="H881">
        <v>2977246.62</v>
      </c>
      <c r="I881" t="s">
        <v>546</v>
      </c>
      <c r="J881">
        <v>18666.5</v>
      </c>
      <c r="K881">
        <v>3250000</v>
      </c>
      <c r="L881">
        <v>1036864.7</v>
      </c>
      <c r="M881">
        <v>74431165.659999996</v>
      </c>
      <c r="N881" s="711">
        <v>42684.534706018516</v>
      </c>
      <c r="O881" s="711">
        <v>43779</v>
      </c>
      <c r="P881" t="s">
        <v>3044</v>
      </c>
      <c r="Q881" t="s">
        <v>1280</v>
      </c>
      <c r="R881" t="s">
        <v>1280</v>
      </c>
      <c r="S881" t="s">
        <v>1510</v>
      </c>
      <c r="T881">
        <v>36</v>
      </c>
      <c r="U881">
        <f>IF(Table__192.168.1.150_M_CONSOLIDATED_Delinquency_Compulsory_EOM[[#This Row],[Days in Arrears]] &lt; 8, Table__192.168.1.150_M_CONSOLIDATED_Delinquency_Compulsory_EOM[[#This Row],[Outstanding Balance]], 0 )</f>
        <v>51843235.170000002</v>
      </c>
      <c r="V8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1" s="105" t="str">
        <f>VLOOKUP(Table__192.168.1.150_M_CONSOLIDATED_Delinquency_Compulsory_EOM[[#This Row],[Client No]],'Global Portfolio'!$B$2:$N$2500,10,FALSE)</f>
        <v>Real Estate and Rental</v>
      </c>
      <c r="AA881" s="105" t="str">
        <f>VLOOKUP(Table__192.168.1.150_M_CONSOLIDATED_Delinquency_Compulsory_EOM[[#This Row],[Client No]],'Global Portfolio'!$B$2:$N$2500,11,FALSE)</f>
        <v>Rental</v>
      </c>
      <c r="AB881" s="105" t="str">
        <f>VLOOKUP(Table__192.168.1.150_M_CONSOLIDATED_Delinquency_Compulsory_EOM[[#This Row],[Client No]],'Global Portfolio'!$B$2:$N$2500,12,FALSE)</f>
        <v>Others</v>
      </c>
    </row>
    <row r="882" spans="1:28" x14ac:dyDescent="0.25">
      <c r="A882">
        <v>200564</v>
      </c>
      <c r="B882" t="s">
        <v>2084</v>
      </c>
      <c r="C882" t="s">
        <v>2091</v>
      </c>
      <c r="D882" t="s">
        <v>1284</v>
      </c>
      <c r="E882">
        <v>-9</v>
      </c>
      <c r="F882">
        <v>35000000</v>
      </c>
      <c r="G882">
        <v>21978832.079999998</v>
      </c>
      <c r="H882">
        <v>2066659.56</v>
      </c>
      <c r="I882" t="s">
        <v>1667</v>
      </c>
      <c r="J882">
        <v>0</v>
      </c>
      <c r="K882">
        <v>0</v>
      </c>
      <c r="L882">
        <v>439576.64</v>
      </c>
      <c r="M882">
        <v>26866574.23</v>
      </c>
      <c r="N882" s="711">
        <v>42684.633021678237</v>
      </c>
      <c r="O882" s="711">
        <v>43414</v>
      </c>
      <c r="P882" t="s">
        <v>2092</v>
      </c>
      <c r="Q882" t="s">
        <v>1280</v>
      </c>
      <c r="R882" t="s">
        <v>1280</v>
      </c>
      <c r="S882" t="s">
        <v>1510</v>
      </c>
      <c r="T882">
        <v>36</v>
      </c>
      <c r="U882">
        <f>IF(Table__192.168.1.150_M_CONSOLIDATED_Delinquency_Compulsory_EOM[[#This Row],[Days in Arrears]] &lt; 8, Table__192.168.1.150_M_CONSOLIDATED_Delinquency_Compulsory_EOM[[#This Row],[Outstanding Balance]], 0 )</f>
        <v>21978832.079999998</v>
      </c>
      <c r="V8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2" s="105" t="str">
        <f>VLOOKUP(Table__192.168.1.150_M_CONSOLIDATED_Delinquency_Compulsory_EOM[[#This Row],[Client No]],'Global Portfolio'!$B$2:$N$2500,10,FALSE)</f>
        <v>Real Estate and Rental</v>
      </c>
      <c r="AA882" s="105" t="str">
        <f>VLOOKUP(Table__192.168.1.150_M_CONSOLIDATED_Delinquency_Compulsory_EOM[[#This Row],[Client No]],'Global Portfolio'!$B$2:$N$2500,11,FALSE)</f>
        <v>Rental</v>
      </c>
      <c r="AB882" s="105" t="str">
        <f>VLOOKUP(Table__192.168.1.150_M_CONSOLIDATED_Delinquency_Compulsory_EOM[[#This Row],[Client No]],'Global Portfolio'!$B$2:$N$2500,12,FALSE)</f>
        <v>Others</v>
      </c>
    </row>
    <row r="883" spans="1:28" x14ac:dyDescent="0.25">
      <c r="A883">
        <v>200567</v>
      </c>
      <c r="B883" t="s">
        <v>3314</v>
      </c>
      <c r="C883" t="s">
        <v>3321</v>
      </c>
      <c r="D883" t="s">
        <v>1281</v>
      </c>
      <c r="E883">
        <v>-9</v>
      </c>
      <c r="F883">
        <v>30000000</v>
      </c>
      <c r="G883">
        <v>14223668.26</v>
      </c>
      <c r="H883">
        <v>2369799.84</v>
      </c>
      <c r="I883" t="s">
        <v>468</v>
      </c>
      <c r="J883">
        <v>0</v>
      </c>
      <c r="K883">
        <v>2250000</v>
      </c>
      <c r="L883">
        <v>379297.82</v>
      </c>
      <c r="M883">
        <v>16588598.970000001</v>
      </c>
      <c r="N883" s="711">
        <v>42684.672505821756</v>
      </c>
      <c r="O883" s="711">
        <v>43230</v>
      </c>
      <c r="P883" t="s">
        <v>3322</v>
      </c>
      <c r="Q883" t="s">
        <v>1280</v>
      </c>
      <c r="R883" t="s">
        <v>3323</v>
      </c>
      <c r="S883" t="s">
        <v>1510</v>
      </c>
      <c r="T883">
        <v>48</v>
      </c>
      <c r="U883">
        <f>IF(Table__192.168.1.150_M_CONSOLIDATED_Delinquency_Compulsory_EOM[[#This Row],[Days in Arrears]] &lt; 8, Table__192.168.1.150_M_CONSOLIDATED_Delinquency_Compulsory_EOM[[#This Row],[Outstanding Balance]], 0 )</f>
        <v>14223668.26</v>
      </c>
      <c r="V8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3" s="105" t="str">
        <f>VLOOKUP(Table__192.168.1.150_M_CONSOLIDATED_Delinquency_Compulsory_EOM[[#This Row],[Client No]],'Global Portfolio'!$B$2:$N$2500,10,FALSE)</f>
        <v>Educational Services</v>
      </c>
      <c r="AA883" s="105" t="str">
        <f>VLOOKUP(Table__192.168.1.150_M_CONSOLIDATED_Delinquency_Compulsory_EOM[[#This Row],[Client No]],'Global Portfolio'!$B$2:$N$2500,11,FALSE)</f>
        <v>Educational Services</v>
      </c>
      <c r="AB883" s="105" t="str">
        <f>VLOOKUP(Table__192.168.1.150_M_CONSOLIDATED_Delinquency_Compulsory_EOM[[#This Row],[Client No]],'Global Portfolio'!$B$2:$N$2500,12,FALSE)</f>
        <v>Schools</v>
      </c>
    </row>
    <row r="884" spans="1:28" x14ac:dyDescent="0.25">
      <c r="A884">
        <v>200568</v>
      </c>
      <c r="B884" t="s">
        <v>3313</v>
      </c>
      <c r="C884" t="s">
        <v>3324</v>
      </c>
      <c r="D884" t="s">
        <v>1866</v>
      </c>
      <c r="E884">
        <v>-9</v>
      </c>
      <c r="F884">
        <v>10000000</v>
      </c>
      <c r="G884">
        <v>1032817.1</v>
      </c>
      <c r="H884">
        <v>1075851.19</v>
      </c>
      <c r="I884" t="s">
        <v>2538</v>
      </c>
      <c r="J884">
        <v>0</v>
      </c>
      <c r="K884">
        <v>1000000</v>
      </c>
      <c r="L884">
        <v>28689.360000000001</v>
      </c>
      <c r="M884">
        <v>1075851.1499999999</v>
      </c>
      <c r="N884" s="711">
        <v>42684.709654513892</v>
      </c>
      <c r="O884" s="711">
        <v>43049</v>
      </c>
      <c r="P884" t="s">
        <v>3325</v>
      </c>
      <c r="Q884" t="s">
        <v>1280</v>
      </c>
      <c r="R884" t="s">
        <v>3326</v>
      </c>
      <c r="S884" t="s">
        <v>1510</v>
      </c>
      <c r="T884">
        <v>50</v>
      </c>
      <c r="U884">
        <f>IF(Table__192.168.1.150_M_CONSOLIDATED_Delinquency_Compulsory_EOM[[#This Row],[Days in Arrears]] &lt; 8, Table__192.168.1.150_M_CONSOLIDATED_Delinquency_Compulsory_EOM[[#This Row],[Outstanding Balance]], 0 )</f>
        <v>1032817.1</v>
      </c>
      <c r="V8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4" s="105" t="e">
        <f>VLOOKUP(Table__192.168.1.150_M_CONSOLIDATED_Delinquency_Compulsory_EOM[[#This Row],[Client No]],'Global Portfolio'!$B$2:$N$2500,10,FALSE)</f>
        <v>#N/A</v>
      </c>
      <c r="AA884" s="105" t="e">
        <f>VLOOKUP(Table__192.168.1.150_M_CONSOLIDATED_Delinquency_Compulsory_EOM[[#This Row],[Client No]],'Global Portfolio'!$B$2:$N$2500,11,FALSE)</f>
        <v>#N/A</v>
      </c>
      <c r="AB884" s="105" t="e">
        <f>VLOOKUP(Table__192.168.1.150_M_CONSOLIDATED_Delinquency_Compulsory_EOM[[#This Row],[Client No]],'Global Portfolio'!$B$2:$N$2500,12,FALSE)</f>
        <v>#N/A</v>
      </c>
    </row>
    <row r="885" spans="1:28" x14ac:dyDescent="0.25">
      <c r="A885">
        <v>200569</v>
      </c>
      <c r="B885" t="s">
        <v>3329</v>
      </c>
      <c r="C885" t="s">
        <v>3338</v>
      </c>
      <c r="D885" t="s">
        <v>1279</v>
      </c>
      <c r="E885">
        <v>-10</v>
      </c>
      <c r="F885">
        <v>2000000</v>
      </c>
      <c r="G885">
        <v>209887.4</v>
      </c>
      <c r="H885">
        <v>219332.38</v>
      </c>
      <c r="I885" t="s">
        <v>1467</v>
      </c>
      <c r="J885">
        <v>0</v>
      </c>
      <c r="K885">
        <v>200000</v>
      </c>
      <c r="L885">
        <v>5981.79</v>
      </c>
      <c r="M885">
        <v>219332.33</v>
      </c>
      <c r="N885" s="711">
        <v>42685.576619756946</v>
      </c>
      <c r="O885" s="711">
        <v>43050</v>
      </c>
      <c r="P885" t="s">
        <v>3339</v>
      </c>
      <c r="Q885" t="s">
        <v>1280</v>
      </c>
      <c r="R885" t="s">
        <v>1280</v>
      </c>
      <c r="S885" t="s">
        <v>1510</v>
      </c>
      <c r="T885">
        <v>54</v>
      </c>
      <c r="U885">
        <f>IF(Table__192.168.1.150_M_CONSOLIDATED_Delinquency_Compulsory_EOM[[#This Row],[Days in Arrears]] &lt; 8, Table__192.168.1.150_M_CONSOLIDATED_Delinquency_Compulsory_EOM[[#This Row],[Outstanding Balance]], 0 )</f>
        <v>209887.4</v>
      </c>
      <c r="V8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5" s="105" t="e">
        <f>VLOOKUP(Table__192.168.1.150_M_CONSOLIDATED_Delinquency_Compulsory_EOM[[#This Row],[Client No]],'Global Portfolio'!$B$2:$N$2500,10,FALSE)</f>
        <v>#N/A</v>
      </c>
      <c r="AA885" s="105" t="e">
        <f>VLOOKUP(Table__192.168.1.150_M_CONSOLIDATED_Delinquency_Compulsory_EOM[[#This Row],[Client No]],'Global Portfolio'!$B$2:$N$2500,11,FALSE)</f>
        <v>#N/A</v>
      </c>
      <c r="AB885" s="105" t="e">
        <f>VLOOKUP(Table__192.168.1.150_M_CONSOLIDATED_Delinquency_Compulsory_EOM[[#This Row],[Client No]],'Global Portfolio'!$B$2:$N$2500,12,FALSE)</f>
        <v>#N/A</v>
      </c>
    </row>
    <row r="886" spans="1:28" x14ac:dyDescent="0.25">
      <c r="A886">
        <v>200570</v>
      </c>
      <c r="B886" t="s">
        <v>3327</v>
      </c>
      <c r="C886" t="s">
        <v>3340</v>
      </c>
      <c r="D886" t="s">
        <v>1866</v>
      </c>
      <c r="E886">
        <v>-10</v>
      </c>
      <c r="F886">
        <v>7000000</v>
      </c>
      <c r="G886">
        <v>722972</v>
      </c>
      <c r="H886">
        <v>753095.83</v>
      </c>
      <c r="I886" t="s">
        <v>1925</v>
      </c>
      <c r="J886">
        <v>2539.1</v>
      </c>
      <c r="K886">
        <v>700000</v>
      </c>
      <c r="L886">
        <v>71486.210000000006</v>
      </c>
      <c r="M886">
        <v>753095.83</v>
      </c>
      <c r="N886" s="711">
        <v>42685.629395173608</v>
      </c>
      <c r="O886" s="711">
        <v>43050</v>
      </c>
      <c r="P886" t="s">
        <v>3341</v>
      </c>
      <c r="Q886" t="s">
        <v>1280</v>
      </c>
      <c r="R886" t="s">
        <v>3342</v>
      </c>
      <c r="S886" t="s">
        <v>1510</v>
      </c>
      <c r="T886">
        <v>50</v>
      </c>
      <c r="U886">
        <f>IF(Table__192.168.1.150_M_CONSOLIDATED_Delinquency_Compulsory_EOM[[#This Row],[Days in Arrears]] &lt; 8, Table__192.168.1.150_M_CONSOLIDATED_Delinquency_Compulsory_EOM[[#This Row],[Outstanding Balance]], 0 )</f>
        <v>722972</v>
      </c>
      <c r="V8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6" s="105" t="str">
        <f>VLOOKUP(Table__192.168.1.150_M_CONSOLIDATED_Delinquency_Compulsory_EOM[[#This Row],[Client No]],'Global Portfolio'!$B$2:$N$2500,10,FALSE)</f>
        <v>Agriculture, Forestry, Fishing and Hunting</v>
      </c>
      <c r="AA886" s="105" t="str">
        <f>VLOOKUP(Table__192.168.1.150_M_CONSOLIDATED_Delinquency_Compulsory_EOM[[#This Row],[Client No]],'Global Portfolio'!$B$2:$N$2500,11,FALSE)</f>
        <v>Animal Production</v>
      </c>
      <c r="AB886" s="105" t="str">
        <f>VLOOKUP(Table__192.168.1.150_M_CONSOLIDATED_Delinquency_Compulsory_EOM[[#This Row],[Client No]],'Global Portfolio'!$B$2:$N$2500,12,FALSE)</f>
        <v>Poultry &amp; Egg Production</v>
      </c>
    </row>
    <row r="887" spans="1:28" x14ac:dyDescent="0.25">
      <c r="A887">
        <v>200572</v>
      </c>
      <c r="B887" t="s">
        <v>3349</v>
      </c>
      <c r="C887" t="s">
        <v>3355</v>
      </c>
      <c r="D887" t="s">
        <v>1284</v>
      </c>
      <c r="E887">
        <v>139</v>
      </c>
      <c r="F887">
        <v>8000000</v>
      </c>
      <c r="G887">
        <v>6432897.4900000002</v>
      </c>
      <c r="H887">
        <v>489501.88</v>
      </c>
      <c r="I887" t="s">
        <v>3074</v>
      </c>
      <c r="J887">
        <v>0</v>
      </c>
      <c r="K887">
        <v>0</v>
      </c>
      <c r="L887">
        <v>209173.61</v>
      </c>
      <c r="M887">
        <v>8479221.2599999998</v>
      </c>
      <c r="N887" s="711">
        <v>42686.51169861111</v>
      </c>
      <c r="O887" s="711">
        <v>43416</v>
      </c>
      <c r="P887" t="s">
        <v>3356</v>
      </c>
      <c r="Q887" t="s">
        <v>1280</v>
      </c>
      <c r="R887" t="s">
        <v>3357</v>
      </c>
      <c r="S887" t="s">
        <v>1510</v>
      </c>
      <c r="T887">
        <v>40</v>
      </c>
      <c r="U887">
        <f>IF(Table__192.168.1.150_M_CONSOLIDATED_Delinquency_Compulsory_EOM[[#This Row],[Days in Arrears]] &lt; 8, Table__192.168.1.150_M_CONSOLIDATED_Delinquency_Compulsory_EOM[[#This Row],[Outstanding Balance]], 0 )</f>
        <v>0</v>
      </c>
      <c r="V8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6432897.4900000002</v>
      </c>
      <c r="Z887" s="105" t="str">
        <f>VLOOKUP(Table__192.168.1.150_M_CONSOLIDATED_Delinquency_Compulsory_EOM[[#This Row],[Client No]],'Global Portfolio'!$B$2:$N$2500,10,FALSE)</f>
        <v>Real Estate and Rental</v>
      </c>
      <c r="AA887" s="105" t="str">
        <f>VLOOKUP(Table__192.168.1.150_M_CONSOLIDATED_Delinquency_Compulsory_EOM[[#This Row],[Client No]],'Global Portfolio'!$B$2:$N$2500,11,FALSE)</f>
        <v>Rental</v>
      </c>
      <c r="AB887" s="105" t="str">
        <f>VLOOKUP(Table__192.168.1.150_M_CONSOLIDATED_Delinquency_Compulsory_EOM[[#This Row],[Client No]],'Global Portfolio'!$B$2:$N$2500,12,FALSE)</f>
        <v>General Rental Centers</v>
      </c>
    </row>
    <row r="888" spans="1:28" x14ac:dyDescent="0.25">
      <c r="A888">
        <v>200573</v>
      </c>
      <c r="B888" t="s">
        <v>1762</v>
      </c>
      <c r="C888" t="s">
        <v>1763</v>
      </c>
      <c r="D888" t="s">
        <v>1281</v>
      </c>
      <c r="E888">
        <v>-11</v>
      </c>
      <c r="F888">
        <v>16000000</v>
      </c>
      <c r="G888">
        <v>7417366.5800000001</v>
      </c>
      <c r="H888">
        <v>1213069.45</v>
      </c>
      <c r="I888" t="s">
        <v>1667</v>
      </c>
      <c r="J888">
        <v>0</v>
      </c>
      <c r="K888">
        <v>0</v>
      </c>
      <c r="L888">
        <v>155764.70000000001</v>
      </c>
      <c r="M888">
        <v>8491486.25</v>
      </c>
      <c r="N888" s="711">
        <v>42686.532003125001</v>
      </c>
      <c r="O888" s="711">
        <v>43232</v>
      </c>
      <c r="P888" t="s">
        <v>1764</v>
      </c>
      <c r="Q888" t="s">
        <v>1836</v>
      </c>
      <c r="R888" t="s">
        <v>1280</v>
      </c>
      <c r="S888" t="s">
        <v>1510</v>
      </c>
      <c r="T888">
        <v>42</v>
      </c>
      <c r="U888">
        <f>IF(Table__192.168.1.150_M_CONSOLIDATED_Delinquency_Compulsory_EOM[[#This Row],[Days in Arrears]] &lt; 8, Table__192.168.1.150_M_CONSOLIDATED_Delinquency_Compulsory_EOM[[#This Row],[Outstanding Balance]], 0 )</f>
        <v>7417366.5800000001</v>
      </c>
      <c r="V8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8" s="105" t="str">
        <f>VLOOKUP(Table__192.168.1.150_M_CONSOLIDATED_Delinquency_Compulsory_EOM[[#This Row],[Client No]],'Global Portfolio'!$B$2:$N$2500,10,FALSE)</f>
        <v>Retail</v>
      </c>
      <c r="AA888" s="105" t="str">
        <f>VLOOKUP(Table__192.168.1.150_M_CONSOLIDATED_Delinquency_Compulsory_EOM[[#This Row],[Client No]],'Global Portfolio'!$B$2:$N$2500,11,FALSE)</f>
        <v>Others</v>
      </c>
      <c r="AB888" s="105" t="str">
        <f>VLOOKUP(Table__192.168.1.150_M_CONSOLIDATED_Delinquency_Compulsory_EOM[[#This Row],[Client No]],'Global Portfolio'!$B$2:$N$2500,12,FALSE)</f>
        <v>Others</v>
      </c>
    </row>
    <row r="889" spans="1:28" x14ac:dyDescent="0.25">
      <c r="A889">
        <v>200574</v>
      </c>
      <c r="B889" t="s">
        <v>3348</v>
      </c>
      <c r="C889" t="s">
        <v>3358</v>
      </c>
      <c r="D889" t="s">
        <v>1284</v>
      </c>
      <c r="E889">
        <v>-11</v>
      </c>
      <c r="F889">
        <v>8000000</v>
      </c>
      <c r="G889">
        <v>5924811.1699999999</v>
      </c>
      <c r="H889">
        <v>425935.42</v>
      </c>
      <c r="I889" t="s">
        <v>2175</v>
      </c>
      <c r="J889">
        <v>0</v>
      </c>
      <c r="K889">
        <v>400000</v>
      </c>
      <c r="L889">
        <v>118496.22</v>
      </c>
      <c r="M889">
        <v>8092773.0499999998</v>
      </c>
      <c r="N889" s="711">
        <v>42686.558729282406</v>
      </c>
      <c r="O889" s="711">
        <v>43597</v>
      </c>
      <c r="P889" t="s">
        <v>3359</v>
      </c>
      <c r="Q889" t="s">
        <v>1280</v>
      </c>
      <c r="R889" t="s">
        <v>3360</v>
      </c>
      <c r="S889" t="s">
        <v>1510</v>
      </c>
      <c r="T889">
        <v>40</v>
      </c>
      <c r="U889">
        <f>IF(Table__192.168.1.150_M_CONSOLIDATED_Delinquency_Compulsory_EOM[[#This Row],[Days in Arrears]] &lt; 8, Table__192.168.1.150_M_CONSOLIDATED_Delinquency_Compulsory_EOM[[#This Row],[Outstanding Balance]], 0 )</f>
        <v>5924811.1699999999</v>
      </c>
      <c r="V8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89" s="105" t="str">
        <f>VLOOKUP(Table__192.168.1.150_M_CONSOLIDATED_Delinquency_Compulsory_EOM[[#This Row],[Client No]],'Global Portfolio'!$B$2:$N$2500,10,FALSE)</f>
        <v>Real Estate and Rental</v>
      </c>
      <c r="AA889" s="105" t="str">
        <f>VLOOKUP(Table__192.168.1.150_M_CONSOLIDATED_Delinquency_Compulsory_EOM[[#This Row],[Client No]],'Global Portfolio'!$B$2:$N$2500,11,FALSE)</f>
        <v>Rental</v>
      </c>
      <c r="AB889" s="105" t="str">
        <f>VLOOKUP(Table__192.168.1.150_M_CONSOLIDATED_Delinquency_Compulsory_EOM[[#This Row],[Client No]],'Global Portfolio'!$B$2:$N$2500,12,FALSE)</f>
        <v>General Rental Centers</v>
      </c>
    </row>
    <row r="890" spans="1:28" x14ac:dyDescent="0.25">
      <c r="A890">
        <v>200576</v>
      </c>
      <c r="B890" t="s">
        <v>3346</v>
      </c>
      <c r="C890" t="s">
        <v>3361</v>
      </c>
      <c r="D890" t="s">
        <v>1279</v>
      </c>
      <c r="E890">
        <v>19</v>
      </c>
      <c r="F890">
        <v>5000000</v>
      </c>
      <c r="G890">
        <v>1026841.7</v>
      </c>
      <c r="H890">
        <v>548330.93999999994</v>
      </c>
      <c r="I890" t="s">
        <v>2861</v>
      </c>
      <c r="J890">
        <v>0</v>
      </c>
      <c r="K890">
        <v>500000</v>
      </c>
      <c r="L890">
        <v>60375.28</v>
      </c>
      <c r="M890">
        <v>1096661.92</v>
      </c>
      <c r="N890" s="711">
        <v>42686.587221296293</v>
      </c>
      <c r="O890" s="711">
        <v>43051</v>
      </c>
      <c r="P890" t="s">
        <v>3362</v>
      </c>
      <c r="Q890" t="s">
        <v>1280</v>
      </c>
      <c r="R890" t="s">
        <v>3363</v>
      </c>
      <c r="S890" t="s">
        <v>1510</v>
      </c>
      <c r="T890">
        <v>54</v>
      </c>
      <c r="U890">
        <f>IF(Table__192.168.1.150_M_CONSOLIDATED_Delinquency_Compulsory_EOM[[#This Row],[Days in Arrears]] &lt; 8, Table__192.168.1.150_M_CONSOLIDATED_Delinquency_Compulsory_EOM[[#This Row],[Outstanding Balance]], 0 )</f>
        <v>0</v>
      </c>
      <c r="V8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1026841.7</v>
      </c>
      <c r="W8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0" s="105" t="str">
        <f>VLOOKUP(Table__192.168.1.150_M_CONSOLIDATED_Delinquency_Compulsory_EOM[[#This Row],[Client No]],'Global Portfolio'!$B$2:$N$2500,10,FALSE)</f>
        <v>Retail</v>
      </c>
      <c r="AA890" s="105" t="str">
        <f>VLOOKUP(Table__192.168.1.150_M_CONSOLIDATED_Delinquency_Compulsory_EOM[[#This Row],[Client No]],'Global Portfolio'!$B$2:$N$2500,11,FALSE)</f>
        <v>Others</v>
      </c>
      <c r="AB890" s="105" t="str">
        <f>VLOOKUP(Table__192.168.1.150_M_CONSOLIDATED_Delinquency_Compulsory_EOM[[#This Row],[Client No]],'Global Portfolio'!$B$2:$N$2500,12,FALSE)</f>
        <v>Others</v>
      </c>
    </row>
    <row r="891" spans="1:28" x14ac:dyDescent="0.25">
      <c r="A891">
        <v>200584</v>
      </c>
      <c r="B891" t="s">
        <v>3394</v>
      </c>
      <c r="C891" t="s">
        <v>3409</v>
      </c>
      <c r="D891" t="s">
        <v>1284</v>
      </c>
      <c r="E891">
        <v>14</v>
      </c>
      <c r="F891">
        <v>65000000</v>
      </c>
      <c r="G891">
        <v>53818485.340000004</v>
      </c>
      <c r="H891">
        <v>3127159.81</v>
      </c>
      <c r="I891" t="s">
        <v>4684</v>
      </c>
      <c r="J891">
        <v>0</v>
      </c>
      <c r="K891">
        <v>0</v>
      </c>
      <c r="L891">
        <v>2481134.0699999998</v>
      </c>
      <c r="M891">
        <v>80133873.329999998</v>
      </c>
      <c r="N891" s="711">
        <v>42691.642452662039</v>
      </c>
      <c r="O891" s="711">
        <v>43786</v>
      </c>
      <c r="P891" t="s">
        <v>3410</v>
      </c>
      <c r="Q891" t="s">
        <v>1280</v>
      </c>
      <c r="R891" t="s">
        <v>3411</v>
      </c>
      <c r="S891" t="s">
        <v>1510</v>
      </c>
      <c r="T891">
        <v>40</v>
      </c>
      <c r="U891">
        <f>IF(Table__192.168.1.150_M_CONSOLIDATED_Delinquency_Compulsory_EOM[[#This Row],[Days in Arrears]] &lt; 8, Table__192.168.1.150_M_CONSOLIDATED_Delinquency_Compulsory_EOM[[#This Row],[Outstanding Balance]], 0 )</f>
        <v>0</v>
      </c>
      <c r="V8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53818485.340000004</v>
      </c>
      <c r="W8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1" s="105" t="str">
        <f>VLOOKUP(Table__192.168.1.150_M_CONSOLIDATED_Delinquency_Compulsory_EOM[[#This Row],[Client No]],'Global Portfolio'!$B$2:$N$2500,10,FALSE)</f>
        <v>Manufacturing</v>
      </c>
      <c r="AA891" s="105" t="str">
        <f>VLOOKUP(Table__192.168.1.150_M_CONSOLIDATED_Delinquency_Compulsory_EOM[[#This Row],[Client No]],'Global Portfolio'!$B$2:$N$2500,11,FALSE)</f>
        <v>Machinery Manufacturing</v>
      </c>
      <c r="AB891" s="105" t="str">
        <f>VLOOKUP(Table__192.168.1.150_M_CONSOLIDATED_Delinquency_Compulsory_EOM[[#This Row],[Client No]],'Global Portfolio'!$B$2:$N$2500,12,FALSE)</f>
        <v>Other General Purpose Machinery</v>
      </c>
    </row>
    <row r="892" spans="1:28" x14ac:dyDescent="0.25">
      <c r="A892">
        <v>200585</v>
      </c>
      <c r="B892" t="s">
        <v>3396</v>
      </c>
      <c r="C892" t="s">
        <v>3412</v>
      </c>
      <c r="D892" t="s">
        <v>1279</v>
      </c>
      <c r="E892">
        <v>164</v>
      </c>
      <c r="F892">
        <v>1000000</v>
      </c>
      <c r="G892">
        <v>391007.09</v>
      </c>
      <c r="H892">
        <v>151609.65</v>
      </c>
      <c r="I892" t="s">
        <v>963</v>
      </c>
      <c r="J892">
        <v>0</v>
      </c>
      <c r="K892">
        <v>0</v>
      </c>
      <c r="L892">
        <v>12350.28</v>
      </c>
      <c r="M892">
        <v>410311.89</v>
      </c>
      <c r="N892" s="711">
        <v>42691.705971793985</v>
      </c>
      <c r="O892" s="711">
        <v>42933</v>
      </c>
      <c r="P892" t="s">
        <v>3413</v>
      </c>
      <c r="Q892" t="s">
        <v>1280</v>
      </c>
      <c r="R892" t="s">
        <v>1280</v>
      </c>
      <c r="S892" t="s">
        <v>1510</v>
      </c>
      <c r="T892">
        <v>54</v>
      </c>
      <c r="U892">
        <f>IF(Table__192.168.1.150_M_CONSOLIDATED_Delinquency_Compulsory_EOM[[#This Row],[Days in Arrears]] &lt; 8, Table__192.168.1.150_M_CONSOLIDATED_Delinquency_Compulsory_EOM[[#This Row],[Outstanding Balance]], 0 )</f>
        <v>0</v>
      </c>
      <c r="V8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391007.09</v>
      </c>
      <c r="Z892" s="105" t="str">
        <f>VLOOKUP(Table__192.168.1.150_M_CONSOLIDATED_Delinquency_Compulsory_EOM[[#This Row],[Client No]],'Global Portfolio'!$B$2:$N$2500,10,FALSE)</f>
        <v>Retail</v>
      </c>
      <c r="AA892" s="105" t="str">
        <f>VLOOKUP(Table__192.168.1.150_M_CONSOLIDATED_Delinquency_Compulsory_EOM[[#This Row],[Client No]],'Global Portfolio'!$B$2:$N$2500,11,FALSE)</f>
        <v>General Merchandise Stores</v>
      </c>
      <c r="AB892" s="105" t="str">
        <f>VLOOKUP(Table__192.168.1.150_M_CONSOLIDATED_Delinquency_Compulsory_EOM[[#This Row],[Client No]],'Global Portfolio'!$B$2:$N$2500,12,FALSE)</f>
        <v>General Stores</v>
      </c>
    </row>
    <row r="893" spans="1:28" x14ac:dyDescent="0.25">
      <c r="A893">
        <v>200589</v>
      </c>
      <c r="B893" t="s">
        <v>3402</v>
      </c>
      <c r="C893" t="s">
        <v>3421</v>
      </c>
      <c r="D893" t="s">
        <v>1282</v>
      </c>
      <c r="E893">
        <v>-16</v>
      </c>
      <c r="F893">
        <v>6000000</v>
      </c>
      <c r="G893">
        <v>629662.35</v>
      </c>
      <c r="H893">
        <v>657997.13</v>
      </c>
      <c r="I893" t="s">
        <v>2861</v>
      </c>
      <c r="J893">
        <v>0</v>
      </c>
      <c r="K893">
        <v>600000</v>
      </c>
      <c r="L893">
        <v>12278.42</v>
      </c>
      <c r="M893">
        <v>657997.16</v>
      </c>
      <c r="N893" s="711">
        <v>42691.700877280091</v>
      </c>
      <c r="O893" s="711">
        <v>43056</v>
      </c>
      <c r="P893" t="s">
        <v>3422</v>
      </c>
      <c r="Q893" t="s">
        <v>1280</v>
      </c>
      <c r="R893" t="s">
        <v>1280</v>
      </c>
      <c r="S893" t="s">
        <v>1510</v>
      </c>
      <c r="T893">
        <v>54</v>
      </c>
      <c r="U893">
        <f>IF(Table__192.168.1.150_M_CONSOLIDATED_Delinquency_Compulsory_EOM[[#This Row],[Days in Arrears]] &lt; 8, Table__192.168.1.150_M_CONSOLIDATED_Delinquency_Compulsory_EOM[[#This Row],[Outstanding Balance]], 0 )</f>
        <v>629662.35</v>
      </c>
      <c r="V8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3" s="105" t="str">
        <f>VLOOKUP(Table__192.168.1.150_M_CONSOLIDATED_Delinquency_Compulsory_EOM[[#This Row],[Client No]],'Global Portfolio'!$B$2:$N$2500,10,FALSE)</f>
        <v>Health Care</v>
      </c>
      <c r="AA893" s="105" t="str">
        <f>VLOOKUP(Table__192.168.1.150_M_CONSOLIDATED_Delinquency_Compulsory_EOM[[#This Row],[Client No]],'Global Portfolio'!$B$2:$N$2500,11,FALSE)</f>
        <v>Health Care</v>
      </c>
      <c r="AB893" s="105" t="str">
        <f>VLOOKUP(Table__192.168.1.150_M_CONSOLIDATED_Delinquency_Compulsory_EOM[[#This Row],[Client No]],'Global Portfolio'!$B$2:$N$2500,12,FALSE)</f>
        <v>Hospital</v>
      </c>
    </row>
    <row r="894" spans="1:28" x14ac:dyDescent="0.25">
      <c r="A894">
        <v>200592</v>
      </c>
      <c r="B894" t="s">
        <v>3398</v>
      </c>
      <c r="C894" t="s">
        <v>3423</v>
      </c>
      <c r="D894" t="s">
        <v>1279</v>
      </c>
      <c r="E894">
        <v>-16</v>
      </c>
      <c r="F894">
        <v>3000000</v>
      </c>
      <c r="G894">
        <v>314831.09999999998</v>
      </c>
      <c r="H894">
        <v>328998.57</v>
      </c>
      <c r="I894" t="s">
        <v>4684</v>
      </c>
      <c r="J894">
        <v>0</v>
      </c>
      <c r="K894">
        <v>300000</v>
      </c>
      <c r="L894">
        <v>6139.21</v>
      </c>
      <c r="M894">
        <v>328998.5</v>
      </c>
      <c r="N894" s="711">
        <v>42691.754474155096</v>
      </c>
      <c r="O894" s="711">
        <v>43056</v>
      </c>
      <c r="P894" t="s">
        <v>3424</v>
      </c>
      <c r="Q894" t="s">
        <v>1280</v>
      </c>
      <c r="R894" t="s">
        <v>1280</v>
      </c>
      <c r="S894" t="s">
        <v>1510</v>
      </c>
      <c r="T894">
        <v>54</v>
      </c>
      <c r="U894">
        <f>IF(Table__192.168.1.150_M_CONSOLIDATED_Delinquency_Compulsory_EOM[[#This Row],[Days in Arrears]] &lt; 8, Table__192.168.1.150_M_CONSOLIDATED_Delinquency_Compulsory_EOM[[#This Row],[Outstanding Balance]], 0 )</f>
        <v>314831.09999999998</v>
      </c>
      <c r="V8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4" s="105" t="e">
        <f>VLOOKUP(Table__192.168.1.150_M_CONSOLIDATED_Delinquency_Compulsory_EOM[[#This Row],[Client No]],'Global Portfolio'!$B$2:$N$2500,10,FALSE)</f>
        <v>#N/A</v>
      </c>
      <c r="AA894" s="105" t="e">
        <f>VLOOKUP(Table__192.168.1.150_M_CONSOLIDATED_Delinquency_Compulsory_EOM[[#This Row],[Client No]],'Global Portfolio'!$B$2:$N$2500,11,FALSE)</f>
        <v>#N/A</v>
      </c>
      <c r="AB894" s="105" t="e">
        <f>VLOOKUP(Table__192.168.1.150_M_CONSOLIDATED_Delinquency_Compulsory_EOM[[#This Row],[Client No]],'Global Portfolio'!$B$2:$N$2500,12,FALSE)</f>
        <v>#N/A</v>
      </c>
    </row>
    <row r="895" spans="1:28" x14ac:dyDescent="0.25">
      <c r="A895">
        <v>200593</v>
      </c>
      <c r="B895" t="s">
        <v>3425</v>
      </c>
      <c r="C895" t="s">
        <v>3430</v>
      </c>
      <c r="D895" t="s">
        <v>1281</v>
      </c>
      <c r="E895">
        <v>-17</v>
      </c>
      <c r="F895">
        <v>16000000</v>
      </c>
      <c r="G895">
        <v>10478832.02</v>
      </c>
      <c r="H895">
        <v>1049389.3</v>
      </c>
      <c r="I895" t="s">
        <v>2538</v>
      </c>
      <c r="J895">
        <v>0</v>
      </c>
      <c r="K895">
        <v>1200000</v>
      </c>
      <c r="L895">
        <v>167661.31</v>
      </c>
      <c r="M895">
        <v>13642060.92</v>
      </c>
      <c r="N895" s="711">
        <v>42692.404183483799</v>
      </c>
      <c r="O895" s="711">
        <v>43422</v>
      </c>
      <c r="P895" t="s">
        <v>3431</v>
      </c>
      <c r="Q895" t="s">
        <v>1280</v>
      </c>
      <c r="R895" t="s">
        <v>1280</v>
      </c>
      <c r="S895" t="s">
        <v>1510</v>
      </c>
      <c r="T895">
        <v>48</v>
      </c>
      <c r="U895">
        <f>IF(Table__192.168.1.150_M_CONSOLIDATED_Delinquency_Compulsory_EOM[[#This Row],[Days in Arrears]] &lt; 8, Table__192.168.1.150_M_CONSOLIDATED_Delinquency_Compulsory_EOM[[#This Row],[Outstanding Balance]], 0 )</f>
        <v>10478832.02</v>
      </c>
      <c r="V8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5" s="105" t="str">
        <f>VLOOKUP(Table__192.168.1.150_M_CONSOLIDATED_Delinquency_Compulsory_EOM[[#This Row],[Client No]],'Global Portfolio'!$B$2:$N$2500,10,FALSE)</f>
        <v>Agriculture, Forestry, Fishing and Hunting</v>
      </c>
      <c r="AA895" s="105" t="str">
        <f>VLOOKUP(Table__192.168.1.150_M_CONSOLIDATED_Delinquency_Compulsory_EOM[[#This Row],[Client No]],'Global Portfolio'!$B$2:$N$2500,11,FALSE)</f>
        <v>Others</v>
      </c>
      <c r="AB895" s="105" t="str">
        <f>VLOOKUP(Table__192.168.1.150_M_CONSOLIDATED_Delinquency_Compulsory_EOM[[#This Row],[Client No]],'Global Portfolio'!$B$2:$N$2500,12,FALSE)</f>
        <v>Others</v>
      </c>
    </row>
    <row r="896" spans="1:28" x14ac:dyDescent="0.25">
      <c r="A896">
        <v>200594</v>
      </c>
      <c r="B896" t="s">
        <v>3429</v>
      </c>
      <c r="C896" t="s">
        <v>3432</v>
      </c>
      <c r="D896" t="s">
        <v>1282</v>
      </c>
      <c r="E896">
        <v>13</v>
      </c>
      <c r="F896">
        <v>4000000</v>
      </c>
      <c r="G896">
        <v>510101.47</v>
      </c>
      <c r="H896">
        <v>438664.75</v>
      </c>
      <c r="I896" t="s">
        <v>1039</v>
      </c>
      <c r="J896">
        <v>0</v>
      </c>
      <c r="K896">
        <v>400000</v>
      </c>
      <c r="L896">
        <v>7555.95</v>
      </c>
      <c r="M896">
        <v>528991.34</v>
      </c>
      <c r="N896" s="711">
        <v>42692.537619409719</v>
      </c>
      <c r="O896" s="711">
        <v>43057</v>
      </c>
      <c r="P896" t="s">
        <v>3433</v>
      </c>
      <c r="Q896" t="s">
        <v>1280</v>
      </c>
      <c r="R896" t="s">
        <v>3434</v>
      </c>
      <c r="S896" t="s">
        <v>1510</v>
      </c>
      <c r="T896">
        <v>54</v>
      </c>
      <c r="U896">
        <f>IF(Table__192.168.1.150_M_CONSOLIDATED_Delinquency_Compulsory_EOM[[#This Row],[Days in Arrears]] &lt; 8, Table__192.168.1.150_M_CONSOLIDATED_Delinquency_Compulsory_EOM[[#This Row],[Outstanding Balance]], 0 )</f>
        <v>0</v>
      </c>
      <c r="V8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510101.47</v>
      </c>
      <c r="W8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6" s="105" t="e">
        <f>VLOOKUP(Table__192.168.1.150_M_CONSOLIDATED_Delinquency_Compulsory_EOM[[#This Row],[Client No]],'Global Portfolio'!$B$2:$N$2500,10,FALSE)</f>
        <v>#N/A</v>
      </c>
      <c r="AA896" s="105" t="e">
        <f>VLOOKUP(Table__192.168.1.150_M_CONSOLIDATED_Delinquency_Compulsory_EOM[[#This Row],[Client No]],'Global Portfolio'!$B$2:$N$2500,11,FALSE)</f>
        <v>#N/A</v>
      </c>
      <c r="AB896" s="105" t="e">
        <f>VLOOKUP(Table__192.168.1.150_M_CONSOLIDATED_Delinquency_Compulsory_EOM[[#This Row],[Client No]],'Global Portfolio'!$B$2:$N$2500,12,FALSE)</f>
        <v>#N/A</v>
      </c>
    </row>
    <row r="897" spans="1:28" x14ac:dyDescent="0.25">
      <c r="A897">
        <v>200598</v>
      </c>
      <c r="B897" t="s">
        <v>3428</v>
      </c>
      <c r="C897" t="s">
        <v>3438</v>
      </c>
      <c r="D897" t="s">
        <v>1283</v>
      </c>
      <c r="E897">
        <v>-18</v>
      </c>
      <c r="F897">
        <v>60000000</v>
      </c>
      <c r="G897">
        <v>38224299.57</v>
      </c>
      <c r="H897">
        <v>3671264.13</v>
      </c>
      <c r="I897" t="s">
        <v>1448</v>
      </c>
      <c r="J897">
        <v>397094.57</v>
      </c>
      <c r="K897">
        <v>3000000</v>
      </c>
      <c r="L897">
        <v>467185.88</v>
      </c>
      <c r="M897">
        <v>47726433.759999998</v>
      </c>
      <c r="N897" s="711">
        <v>42693.53923159722</v>
      </c>
      <c r="O897" s="711">
        <v>43423</v>
      </c>
      <c r="P897" t="s">
        <v>3439</v>
      </c>
      <c r="Q897" t="s">
        <v>1280</v>
      </c>
      <c r="R897" t="s">
        <v>3440</v>
      </c>
      <c r="S897" t="s">
        <v>1510</v>
      </c>
      <c r="T897">
        <v>40</v>
      </c>
      <c r="U897">
        <f>IF(Table__192.168.1.150_M_CONSOLIDATED_Delinquency_Compulsory_EOM[[#This Row],[Days in Arrears]] &lt; 8, Table__192.168.1.150_M_CONSOLIDATED_Delinquency_Compulsory_EOM[[#This Row],[Outstanding Balance]], 0 )</f>
        <v>38224299.57</v>
      </c>
      <c r="V8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7" s="105" t="str">
        <f>VLOOKUP(Table__192.168.1.150_M_CONSOLIDATED_Delinquency_Compulsory_EOM[[#This Row],[Client No]],'Global Portfolio'!$B$2:$N$2500,10,FALSE)</f>
        <v>Real Estate and Rental</v>
      </c>
      <c r="AA897" s="105" t="str">
        <f>VLOOKUP(Table__192.168.1.150_M_CONSOLIDATED_Delinquency_Compulsory_EOM[[#This Row],[Client No]],'Global Portfolio'!$B$2:$N$2500,11,FALSE)</f>
        <v>Rental</v>
      </c>
      <c r="AB897" s="105" t="str">
        <f>VLOOKUP(Table__192.168.1.150_M_CONSOLIDATED_Delinquency_Compulsory_EOM[[#This Row],[Client No]],'Global Portfolio'!$B$2:$N$2500,12,FALSE)</f>
        <v>General Rental Centers</v>
      </c>
    </row>
    <row r="898" spans="1:28" x14ac:dyDescent="0.25">
      <c r="A898">
        <v>200601</v>
      </c>
      <c r="B898" t="s">
        <v>2007</v>
      </c>
      <c r="C898" t="s">
        <v>2008</v>
      </c>
      <c r="D898" t="s">
        <v>1866</v>
      </c>
      <c r="E898">
        <v>-20</v>
      </c>
      <c r="F898">
        <v>7000000</v>
      </c>
      <c r="G898">
        <v>705637.58</v>
      </c>
      <c r="H898">
        <v>731510.97</v>
      </c>
      <c r="I898" t="s">
        <v>1667</v>
      </c>
      <c r="J898">
        <v>0</v>
      </c>
      <c r="K898">
        <v>700000</v>
      </c>
      <c r="L898">
        <v>7762.01</v>
      </c>
      <c r="M898">
        <v>731510.96</v>
      </c>
      <c r="N898" s="711">
        <v>42695.688144560183</v>
      </c>
      <c r="O898" s="711">
        <v>43060</v>
      </c>
      <c r="P898" t="s">
        <v>2009</v>
      </c>
      <c r="Q898" t="s">
        <v>1280</v>
      </c>
      <c r="R898" t="s">
        <v>1280</v>
      </c>
      <c r="S898" t="s">
        <v>1510</v>
      </c>
      <c r="T898">
        <v>44</v>
      </c>
      <c r="U898">
        <f>IF(Table__192.168.1.150_M_CONSOLIDATED_Delinquency_Compulsory_EOM[[#This Row],[Days in Arrears]] &lt; 8, Table__192.168.1.150_M_CONSOLIDATED_Delinquency_Compulsory_EOM[[#This Row],[Outstanding Balance]], 0 )</f>
        <v>705637.58</v>
      </c>
      <c r="V8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898" s="105" t="str">
        <f>VLOOKUP(Table__192.168.1.150_M_CONSOLIDATED_Delinquency_Compulsory_EOM[[#This Row],[Client No]],'Global Portfolio'!$B$2:$N$2500,10,FALSE)</f>
        <v>Real Estate and Rental</v>
      </c>
      <c r="AA898" s="105" t="str">
        <f>VLOOKUP(Table__192.168.1.150_M_CONSOLIDATED_Delinquency_Compulsory_EOM[[#This Row],[Client No]],'Global Portfolio'!$B$2:$N$2500,11,FALSE)</f>
        <v>Rental</v>
      </c>
      <c r="AB898" s="105" t="str">
        <f>VLOOKUP(Table__192.168.1.150_M_CONSOLIDATED_Delinquency_Compulsory_EOM[[#This Row],[Client No]],'Global Portfolio'!$B$2:$N$2500,12,FALSE)</f>
        <v>Others</v>
      </c>
    </row>
    <row r="899" spans="1:28" x14ac:dyDescent="0.25">
      <c r="A899">
        <v>200603</v>
      </c>
      <c r="B899" t="s">
        <v>3451</v>
      </c>
      <c r="C899" t="s">
        <v>3453</v>
      </c>
      <c r="D899" t="s">
        <v>1282</v>
      </c>
      <c r="E899">
        <v>158</v>
      </c>
      <c r="F899">
        <v>5000000</v>
      </c>
      <c r="G899">
        <v>3231150.28</v>
      </c>
      <c r="H899">
        <v>548330.93999999994</v>
      </c>
      <c r="I899" t="s">
        <v>1467</v>
      </c>
      <c r="J899">
        <v>0</v>
      </c>
      <c r="K899">
        <v>0</v>
      </c>
      <c r="L899">
        <v>263616.99</v>
      </c>
      <c r="M899">
        <v>3833504.23</v>
      </c>
      <c r="N899" s="711">
        <v>42697.471511377313</v>
      </c>
      <c r="O899" s="711">
        <v>43062</v>
      </c>
      <c r="P899" t="s">
        <v>3454</v>
      </c>
      <c r="Q899" t="s">
        <v>1280</v>
      </c>
      <c r="R899" t="s">
        <v>1280</v>
      </c>
      <c r="S899" t="s">
        <v>1510</v>
      </c>
      <c r="T899">
        <v>54</v>
      </c>
      <c r="U899">
        <f>IF(Table__192.168.1.150_M_CONSOLIDATED_Delinquency_Compulsory_EOM[[#This Row],[Days in Arrears]] &lt; 8, Table__192.168.1.150_M_CONSOLIDATED_Delinquency_Compulsory_EOM[[#This Row],[Outstanding Balance]], 0 )</f>
        <v>0</v>
      </c>
      <c r="V8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8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8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8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3231150.28</v>
      </c>
      <c r="Z899" s="105" t="str">
        <f>VLOOKUP(Table__192.168.1.150_M_CONSOLIDATED_Delinquency_Compulsory_EOM[[#This Row],[Client No]],'Global Portfolio'!$B$2:$N$2500,10,FALSE)</f>
        <v>Real Estate and Rental</v>
      </c>
      <c r="AA899" s="105" t="str">
        <f>VLOOKUP(Table__192.168.1.150_M_CONSOLIDATED_Delinquency_Compulsory_EOM[[#This Row],[Client No]],'Global Portfolio'!$B$2:$N$2500,11,FALSE)</f>
        <v>Rental</v>
      </c>
      <c r="AB899" s="105" t="str">
        <f>VLOOKUP(Table__192.168.1.150_M_CONSOLIDATED_Delinquency_Compulsory_EOM[[#This Row],[Client No]],'Global Portfolio'!$B$2:$N$2500,12,FALSE)</f>
        <v>General Rental Centers</v>
      </c>
    </row>
    <row r="900" spans="1:28" x14ac:dyDescent="0.25">
      <c r="A900">
        <v>200607</v>
      </c>
      <c r="B900" t="s">
        <v>3450</v>
      </c>
      <c r="C900" t="s">
        <v>3458</v>
      </c>
      <c r="D900" t="s">
        <v>1279</v>
      </c>
      <c r="E900">
        <v>-24</v>
      </c>
      <c r="F900">
        <v>2500000</v>
      </c>
      <c r="G900">
        <v>263112.48</v>
      </c>
      <c r="H900">
        <v>274952.55</v>
      </c>
      <c r="I900" t="s">
        <v>2034</v>
      </c>
      <c r="J900">
        <v>0</v>
      </c>
      <c r="K900">
        <v>250000</v>
      </c>
      <c r="L900">
        <v>1973.34</v>
      </c>
      <c r="M900">
        <v>274952.53999999998</v>
      </c>
      <c r="N900" s="711">
        <v>42697.708770254627</v>
      </c>
      <c r="O900" s="711">
        <v>43064</v>
      </c>
      <c r="P900" t="s">
        <v>3459</v>
      </c>
      <c r="Q900" t="s">
        <v>1280</v>
      </c>
      <c r="R900" t="s">
        <v>1280</v>
      </c>
      <c r="S900" t="s">
        <v>1510</v>
      </c>
      <c r="T900">
        <v>54</v>
      </c>
      <c r="U900">
        <f>IF(Table__192.168.1.150_M_CONSOLIDATED_Delinquency_Compulsory_EOM[[#This Row],[Days in Arrears]] &lt; 8, Table__192.168.1.150_M_CONSOLIDATED_Delinquency_Compulsory_EOM[[#This Row],[Outstanding Balance]], 0 )</f>
        <v>263112.48</v>
      </c>
      <c r="V9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0" s="105" t="str">
        <f>VLOOKUP(Table__192.168.1.150_M_CONSOLIDATED_Delinquency_Compulsory_EOM[[#This Row],[Client No]],'Global Portfolio'!$B$2:$N$2500,10,FALSE)</f>
        <v>Retail</v>
      </c>
      <c r="AA900" s="105" t="str">
        <f>VLOOKUP(Table__192.168.1.150_M_CONSOLIDATED_Delinquency_Compulsory_EOM[[#This Row],[Client No]],'Global Portfolio'!$B$2:$N$2500,11,FALSE)</f>
        <v>Food and Beverage Stores</v>
      </c>
      <c r="AB900" s="105" t="str">
        <f>VLOOKUP(Table__192.168.1.150_M_CONSOLIDATED_Delinquency_Compulsory_EOM[[#This Row],[Client No]],'Global Portfolio'!$B$2:$N$2500,12,FALSE)</f>
        <v>Others</v>
      </c>
    </row>
    <row r="901" spans="1:28" x14ac:dyDescent="0.25">
      <c r="A901">
        <v>200611</v>
      </c>
      <c r="B901" t="s">
        <v>3467</v>
      </c>
      <c r="C901" t="s">
        <v>3469</v>
      </c>
      <c r="D901" t="s">
        <v>1279</v>
      </c>
      <c r="E901">
        <v>-23</v>
      </c>
      <c r="F901">
        <v>3000000</v>
      </c>
      <c r="G901">
        <v>314831.09999999998</v>
      </c>
      <c r="H901">
        <v>328998.57</v>
      </c>
      <c r="I901" t="s">
        <v>2861</v>
      </c>
      <c r="J901">
        <v>0</v>
      </c>
      <c r="K901">
        <v>300000</v>
      </c>
      <c r="L901">
        <v>2833.48</v>
      </c>
      <c r="M901">
        <v>328998.5</v>
      </c>
      <c r="N901" s="711">
        <v>42698.678439814816</v>
      </c>
      <c r="O901" s="711">
        <v>43063</v>
      </c>
      <c r="P901" t="s">
        <v>3470</v>
      </c>
      <c r="Q901" t="s">
        <v>1280</v>
      </c>
      <c r="R901" t="s">
        <v>3471</v>
      </c>
      <c r="S901" t="s">
        <v>1510</v>
      </c>
      <c r="T901">
        <v>54</v>
      </c>
      <c r="U901">
        <f>IF(Table__192.168.1.150_M_CONSOLIDATED_Delinquency_Compulsory_EOM[[#This Row],[Days in Arrears]] &lt; 8, Table__192.168.1.150_M_CONSOLIDATED_Delinquency_Compulsory_EOM[[#This Row],[Outstanding Balance]], 0 )</f>
        <v>314831.09999999998</v>
      </c>
      <c r="V9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1" s="105" t="str">
        <f>VLOOKUP(Table__192.168.1.150_M_CONSOLIDATED_Delinquency_Compulsory_EOM[[#This Row],[Client No]],'Global Portfolio'!$B$2:$N$2500,10,FALSE)</f>
        <v>Real Estate and Rental</v>
      </c>
      <c r="AA901" s="105" t="str">
        <f>VLOOKUP(Table__192.168.1.150_M_CONSOLIDATED_Delinquency_Compulsory_EOM[[#This Row],[Client No]],'Global Portfolio'!$B$2:$N$2500,11,FALSE)</f>
        <v>Rental</v>
      </c>
      <c r="AB901" s="105" t="str">
        <f>VLOOKUP(Table__192.168.1.150_M_CONSOLIDATED_Delinquency_Compulsory_EOM[[#This Row],[Client No]],'Global Portfolio'!$B$2:$N$2500,12,FALSE)</f>
        <v>Others</v>
      </c>
    </row>
    <row r="902" spans="1:28" x14ac:dyDescent="0.25">
      <c r="A902">
        <v>200612</v>
      </c>
      <c r="B902" t="s">
        <v>1655</v>
      </c>
      <c r="C902" t="s">
        <v>1069</v>
      </c>
      <c r="D902" t="s">
        <v>1285</v>
      </c>
      <c r="E902">
        <v>-20</v>
      </c>
      <c r="F902">
        <v>38000000</v>
      </c>
      <c r="G902">
        <v>32182943.899999999</v>
      </c>
      <c r="H902">
        <v>1259970.8700000001</v>
      </c>
      <c r="I902" t="s">
        <v>284</v>
      </c>
      <c r="J902">
        <v>0</v>
      </c>
      <c r="K902">
        <v>0</v>
      </c>
      <c r="L902">
        <v>201143.4</v>
      </c>
      <c r="M902">
        <v>46417048.670000002</v>
      </c>
      <c r="N902" s="711">
        <v>42698.689469363424</v>
      </c>
      <c r="O902" s="711">
        <v>44156</v>
      </c>
      <c r="P902" t="s">
        <v>1070</v>
      </c>
      <c r="Q902" t="s">
        <v>1280</v>
      </c>
      <c r="R902" t="s">
        <v>1280</v>
      </c>
      <c r="S902" t="s">
        <v>1510</v>
      </c>
      <c r="T902">
        <v>25</v>
      </c>
      <c r="U902">
        <f>IF(Table__192.168.1.150_M_CONSOLIDATED_Delinquency_Compulsory_EOM[[#This Row],[Days in Arrears]] &lt; 8, Table__192.168.1.150_M_CONSOLIDATED_Delinquency_Compulsory_EOM[[#This Row],[Outstanding Balance]], 0 )</f>
        <v>32182943.899999999</v>
      </c>
      <c r="V9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2" s="105" t="str">
        <f>VLOOKUP(Table__192.168.1.150_M_CONSOLIDATED_Delinquency_Compulsory_EOM[[#This Row],[Client No]],'Global Portfolio'!$B$2:$N$2500,10,FALSE)</f>
        <v>Finance and Insurance</v>
      </c>
      <c r="AA902" s="105" t="str">
        <f>VLOOKUP(Table__192.168.1.150_M_CONSOLIDATED_Delinquency_Compulsory_EOM[[#This Row],[Client No]],'Global Portfolio'!$B$2:$N$2500,11,FALSE)</f>
        <v>Finance</v>
      </c>
      <c r="AB902" s="105" t="str">
        <f>VLOOKUP(Table__192.168.1.150_M_CONSOLIDATED_Delinquency_Compulsory_EOM[[#This Row],[Client No]],'Global Portfolio'!$B$2:$N$2500,12,FALSE)</f>
        <v>Microfinance Institutions</v>
      </c>
    </row>
    <row r="903" spans="1:28" x14ac:dyDescent="0.25">
      <c r="A903">
        <v>200613</v>
      </c>
      <c r="B903" t="s">
        <v>3468</v>
      </c>
      <c r="C903" t="s">
        <v>3472</v>
      </c>
      <c r="D903" t="s">
        <v>1282</v>
      </c>
      <c r="E903">
        <v>6</v>
      </c>
      <c r="F903">
        <v>5000000</v>
      </c>
      <c r="G903">
        <v>624124.71</v>
      </c>
      <c r="H903">
        <v>549118.02</v>
      </c>
      <c r="I903" t="s">
        <v>2034</v>
      </c>
      <c r="J903">
        <v>0</v>
      </c>
      <c r="K903">
        <v>0</v>
      </c>
      <c r="L903">
        <v>3941.04</v>
      </c>
      <c r="M903">
        <v>647770.93999999994</v>
      </c>
      <c r="N903" s="711">
        <v>42698.514199421297</v>
      </c>
      <c r="O903" s="711">
        <v>43064</v>
      </c>
      <c r="P903" t="s">
        <v>3473</v>
      </c>
      <c r="Q903" t="s">
        <v>1280</v>
      </c>
      <c r="R903" t="s">
        <v>1280</v>
      </c>
      <c r="S903" t="s">
        <v>1510</v>
      </c>
      <c r="T903">
        <v>54</v>
      </c>
      <c r="U903">
        <f>IF(Table__192.168.1.150_M_CONSOLIDATED_Delinquency_Compulsory_EOM[[#This Row],[Days in Arrears]] &lt; 8, Table__192.168.1.150_M_CONSOLIDATED_Delinquency_Compulsory_EOM[[#This Row],[Outstanding Balance]], 0 )</f>
        <v>624124.71</v>
      </c>
      <c r="V9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3" s="105" t="str">
        <f>VLOOKUP(Table__192.168.1.150_M_CONSOLIDATED_Delinquency_Compulsory_EOM[[#This Row],[Client No]],'Global Portfolio'!$B$2:$N$2500,10,FALSE)</f>
        <v>Educational Services</v>
      </c>
      <c r="AA903" s="105" t="str">
        <f>VLOOKUP(Table__192.168.1.150_M_CONSOLIDATED_Delinquency_Compulsory_EOM[[#This Row],[Client No]],'Global Portfolio'!$B$2:$N$2500,11,FALSE)</f>
        <v>Educational Services</v>
      </c>
      <c r="AB903" s="105" t="str">
        <f>VLOOKUP(Table__192.168.1.150_M_CONSOLIDATED_Delinquency_Compulsory_EOM[[#This Row],[Client No]],'Global Portfolio'!$B$2:$N$2500,12,FALSE)</f>
        <v>Schools</v>
      </c>
    </row>
    <row r="904" spans="1:28" x14ac:dyDescent="0.25">
      <c r="A904">
        <v>200616</v>
      </c>
      <c r="B904" t="s">
        <v>3460</v>
      </c>
      <c r="C904" t="s">
        <v>3477</v>
      </c>
      <c r="D904" t="s">
        <v>1282</v>
      </c>
      <c r="E904">
        <v>60</v>
      </c>
      <c r="F904">
        <v>12000000</v>
      </c>
      <c r="G904">
        <v>4178732.77</v>
      </c>
      <c r="H904">
        <v>1329217.17</v>
      </c>
      <c r="I904" t="s">
        <v>1039</v>
      </c>
      <c r="J904">
        <v>0</v>
      </c>
      <c r="K904">
        <v>0</v>
      </c>
      <c r="L904">
        <v>164428.68</v>
      </c>
      <c r="M904">
        <v>4512413.67</v>
      </c>
      <c r="N904" s="711">
        <v>42698.689138923612</v>
      </c>
      <c r="O904" s="711">
        <v>43070</v>
      </c>
      <c r="P904" t="s">
        <v>3478</v>
      </c>
      <c r="Q904" t="s">
        <v>1280</v>
      </c>
      <c r="R904" t="s">
        <v>3479</v>
      </c>
      <c r="S904" t="s">
        <v>1510</v>
      </c>
      <c r="T904">
        <v>54</v>
      </c>
      <c r="U904">
        <f>IF(Table__192.168.1.150_M_CONSOLIDATED_Delinquency_Compulsory_EOM[[#This Row],[Days in Arrears]] &lt; 8, Table__192.168.1.150_M_CONSOLIDATED_Delinquency_Compulsory_EOM[[#This Row],[Outstanding Balance]], 0 )</f>
        <v>0</v>
      </c>
      <c r="V9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4178732.77</v>
      </c>
      <c r="Y9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4" s="105" t="str">
        <f>VLOOKUP(Table__192.168.1.150_M_CONSOLIDATED_Delinquency_Compulsory_EOM[[#This Row],[Client No]],'Global Portfolio'!$B$2:$N$2500,10,FALSE)</f>
        <v>Agriculture, Forestry, Fishing and Hunting</v>
      </c>
      <c r="AA904" s="105" t="str">
        <f>VLOOKUP(Table__192.168.1.150_M_CONSOLIDATED_Delinquency_Compulsory_EOM[[#This Row],[Client No]],'Global Portfolio'!$B$2:$N$2500,11,FALSE)</f>
        <v>Animal Production</v>
      </c>
      <c r="AB904" s="105" t="str">
        <f>VLOOKUP(Table__192.168.1.150_M_CONSOLIDATED_Delinquency_Compulsory_EOM[[#This Row],[Client No]],'Global Portfolio'!$B$2:$N$2500,12,FALSE)</f>
        <v>Poultry &amp; Egg Production</v>
      </c>
    </row>
    <row r="905" spans="1:28" x14ac:dyDescent="0.25">
      <c r="A905">
        <v>200618</v>
      </c>
      <c r="B905" t="s">
        <v>3465</v>
      </c>
      <c r="C905" t="s">
        <v>3482</v>
      </c>
      <c r="D905" t="s">
        <v>1284</v>
      </c>
      <c r="E905">
        <v>0</v>
      </c>
      <c r="F905">
        <v>15000000</v>
      </c>
      <c r="G905">
        <v>2949026.2</v>
      </c>
      <c r="H905">
        <v>1548641.6</v>
      </c>
      <c r="I905" t="s">
        <v>2034</v>
      </c>
      <c r="J905">
        <v>1551358.4</v>
      </c>
      <c r="K905">
        <v>750000</v>
      </c>
      <c r="L905">
        <v>95024.18</v>
      </c>
      <c r="M905">
        <v>3097283.25</v>
      </c>
      <c r="N905" s="711">
        <v>42698.749268321757</v>
      </c>
      <c r="O905" s="711">
        <v>43070</v>
      </c>
      <c r="P905" t="s">
        <v>3483</v>
      </c>
      <c r="Q905" t="s">
        <v>1280</v>
      </c>
      <c r="R905" t="s">
        <v>3484</v>
      </c>
      <c r="S905" t="s">
        <v>1510</v>
      </c>
      <c r="T905">
        <v>40</v>
      </c>
      <c r="U905">
        <f>IF(Table__192.168.1.150_M_CONSOLIDATED_Delinquency_Compulsory_EOM[[#This Row],[Days in Arrears]] &lt; 8, Table__192.168.1.150_M_CONSOLIDATED_Delinquency_Compulsory_EOM[[#This Row],[Outstanding Balance]], 0 )</f>
        <v>2949026.2</v>
      </c>
      <c r="V9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5" s="105" t="str">
        <f>VLOOKUP(Table__192.168.1.150_M_CONSOLIDATED_Delinquency_Compulsory_EOM[[#This Row],[Client No]],'Global Portfolio'!$B$2:$N$2500,10,FALSE)</f>
        <v>Transportation and Warehousing</v>
      </c>
      <c r="AA905" s="105" t="str">
        <f>VLOOKUP(Table__192.168.1.150_M_CONSOLIDATED_Delinquency_Compulsory_EOM[[#This Row],[Client No]],'Global Portfolio'!$B$2:$N$2500,11,FALSE)</f>
        <v xml:space="preserve"> Passenger Transportation</v>
      </c>
      <c r="AB905" s="105" t="str">
        <f>VLOOKUP(Table__192.168.1.150_M_CONSOLIDATED_Delinquency_Compulsory_EOM[[#This Row],[Client No]],'Global Portfolio'!$B$2:$N$2500,12,FALSE)</f>
        <v>Bus transportation</v>
      </c>
    </row>
    <row r="906" spans="1:28" x14ac:dyDescent="0.25">
      <c r="A906">
        <v>200624</v>
      </c>
      <c r="B906" t="s">
        <v>3489</v>
      </c>
      <c r="C906" t="s">
        <v>3499</v>
      </c>
      <c r="D906" t="s">
        <v>1284</v>
      </c>
      <c r="E906">
        <v>-3</v>
      </c>
      <c r="F906">
        <v>25000000</v>
      </c>
      <c r="G906">
        <v>17056856.73</v>
      </c>
      <c r="H906">
        <v>1544496.87</v>
      </c>
      <c r="I906" t="s">
        <v>1925</v>
      </c>
      <c r="J906">
        <v>89000</v>
      </c>
      <c r="K906">
        <v>0</v>
      </c>
      <c r="L906">
        <v>1092797.3</v>
      </c>
      <c r="M906">
        <v>21622956.289999999</v>
      </c>
      <c r="N906" s="711">
        <v>42699.717979398149</v>
      </c>
      <c r="O906" s="711">
        <v>43438</v>
      </c>
      <c r="P906" t="s">
        <v>3500</v>
      </c>
      <c r="Q906" t="s">
        <v>1280</v>
      </c>
      <c r="R906" t="s">
        <v>3501</v>
      </c>
      <c r="S906" t="s">
        <v>1510</v>
      </c>
      <c r="T906">
        <v>40</v>
      </c>
      <c r="U906">
        <f>IF(Table__192.168.1.150_M_CONSOLIDATED_Delinquency_Compulsory_EOM[[#This Row],[Days in Arrears]] &lt; 8, Table__192.168.1.150_M_CONSOLIDATED_Delinquency_Compulsory_EOM[[#This Row],[Outstanding Balance]], 0 )</f>
        <v>17056856.73</v>
      </c>
      <c r="V9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6" s="105" t="str">
        <f>VLOOKUP(Table__192.168.1.150_M_CONSOLIDATED_Delinquency_Compulsory_EOM[[#This Row],[Client No]],'Global Portfolio'!$B$2:$N$2500,10,FALSE)</f>
        <v>Real Estate and Rental</v>
      </c>
      <c r="AA906" s="105" t="str">
        <f>VLOOKUP(Table__192.168.1.150_M_CONSOLIDATED_Delinquency_Compulsory_EOM[[#This Row],[Client No]],'Global Portfolio'!$B$2:$N$2500,11,FALSE)</f>
        <v>Rental</v>
      </c>
      <c r="AB906" s="105" t="str">
        <f>VLOOKUP(Table__192.168.1.150_M_CONSOLIDATED_Delinquency_Compulsory_EOM[[#This Row],[Client No]],'Global Portfolio'!$B$2:$N$2500,12,FALSE)</f>
        <v>General Rental Centers</v>
      </c>
    </row>
    <row r="907" spans="1:28" x14ac:dyDescent="0.25">
      <c r="A907">
        <v>200625</v>
      </c>
      <c r="B907" t="s">
        <v>3503</v>
      </c>
      <c r="C907" t="s">
        <v>3504</v>
      </c>
      <c r="D907" t="s">
        <v>1284</v>
      </c>
      <c r="E907">
        <v>29</v>
      </c>
      <c r="F907">
        <v>5000000</v>
      </c>
      <c r="G907">
        <v>1319815.32</v>
      </c>
      <c r="H907">
        <v>515662.95</v>
      </c>
      <c r="I907" t="s">
        <v>2538</v>
      </c>
      <c r="J907">
        <v>0</v>
      </c>
      <c r="K907">
        <v>250000</v>
      </c>
      <c r="L907">
        <v>78860.25</v>
      </c>
      <c r="M907">
        <v>1369181.6</v>
      </c>
      <c r="N907" s="711">
        <v>42700.540309756943</v>
      </c>
      <c r="O907" s="711">
        <v>43071</v>
      </c>
      <c r="P907" t="s">
        <v>3505</v>
      </c>
      <c r="Q907" t="s">
        <v>1280</v>
      </c>
      <c r="R907" t="s">
        <v>3506</v>
      </c>
      <c r="S907" t="s">
        <v>1510</v>
      </c>
      <c r="T907">
        <v>40</v>
      </c>
      <c r="U907">
        <f>IF(Table__192.168.1.150_M_CONSOLIDATED_Delinquency_Compulsory_EOM[[#This Row],[Days in Arrears]] &lt; 8, Table__192.168.1.150_M_CONSOLIDATED_Delinquency_Compulsory_EOM[[#This Row],[Outstanding Balance]], 0 )</f>
        <v>0</v>
      </c>
      <c r="V9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1319815.32</v>
      </c>
      <c r="W9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7" s="105" t="str">
        <f>VLOOKUP(Table__192.168.1.150_M_CONSOLIDATED_Delinquency_Compulsory_EOM[[#This Row],[Client No]],'Global Portfolio'!$B$2:$N$2500,10,FALSE)</f>
        <v>Real Estate and Rental</v>
      </c>
      <c r="AA907" s="105" t="str">
        <f>VLOOKUP(Table__192.168.1.150_M_CONSOLIDATED_Delinquency_Compulsory_EOM[[#This Row],[Client No]],'Global Portfolio'!$B$2:$N$2500,11,FALSE)</f>
        <v>Rental</v>
      </c>
      <c r="AB907" s="105" t="str">
        <f>VLOOKUP(Table__192.168.1.150_M_CONSOLIDATED_Delinquency_Compulsory_EOM[[#This Row],[Client No]],'Global Portfolio'!$B$2:$N$2500,12,FALSE)</f>
        <v>Others</v>
      </c>
    </row>
    <row r="908" spans="1:28" x14ac:dyDescent="0.25">
      <c r="A908">
        <v>200627</v>
      </c>
      <c r="B908" t="s">
        <v>3502</v>
      </c>
      <c r="C908" t="s">
        <v>3507</v>
      </c>
      <c r="D908" t="s">
        <v>1282</v>
      </c>
      <c r="E908">
        <v>150</v>
      </c>
      <c r="F908">
        <v>5000000</v>
      </c>
      <c r="G908">
        <v>3254340.35</v>
      </c>
      <c r="H908">
        <v>552266.32999999996</v>
      </c>
      <c r="I908" t="s">
        <v>1039</v>
      </c>
      <c r="J908">
        <v>0</v>
      </c>
      <c r="K908">
        <v>0</v>
      </c>
      <c r="L908">
        <v>274628.69</v>
      </c>
      <c r="M908">
        <v>3865864.36</v>
      </c>
      <c r="N908" s="711">
        <v>42700.50767673611</v>
      </c>
      <c r="O908" s="711">
        <v>43070</v>
      </c>
      <c r="P908" t="s">
        <v>3508</v>
      </c>
      <c r="Q908" t="s">
        <v>1280</v>
      </c>
      <c r="R908" t="s">
        <v>3509</v>
      </c>
      <c r="S908" t="s">
        <v>1510</v>
      </c>
      <c r="T908">
        <v>54</v>
      </c>
      <c r="U908">
        <f>IF(Table__192.168.1.150_M_CONSOLIDATED_Delinquency_Compulsory_EOM[[#This Row],[Days in Arrears]] &lt; 8, Table__192.168.1.150_M_CONSOLIDATED_Delinquency_Compulsory_EOM[[#This Row],[Outstanding Balance]], 0 )</f>
        <v>0</v>
      </c>
      <c r="V9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3254340.35</v>
      </c>
      <c r="Z908" s="105" t="str">
        <f>VLOOKUP(Table__192.168.1.150_M_CONSOLIDATED_Delinquency_Compulsory_EOM[[#This Row],[Client No]],'Global Portfolio'!$B$2:$N$2500,10,FALSE)</f>
        <v>Real Estate and Rental</v>
      </c>
      <c r="AA908" s="105" t="str">
        <f>VLOOKUP(Table__192.168.1.150_M_CONSOLIDATED_Delinquency_Compulsory_EOM[[#This Row],[Client No]],'Global Portfolio'!$B$2:$N$2500,11,FALSE)</f>
        <v>Rental</v>
      </c>
      <c r="AB908" s="105" t="str">
        <f>VLOOKUP(Table__192.168.1.150_M_CONSOLIDATED_Delinquency_Compulsory_EOM[[#This Row],[Client No]],'Global Portfolio'!$B$2:$N$2500,12,FALSE)</f>
        <v>General Rental Centers</v>
      </c>
    </row>
    <row r="909" spans="1:28" x14ac:dyDescent="0.25">
      <c r="A909">
        <v>200630</v>
      </c>
      <c r="B909" t="s">
        <v>3513</v>
      </c>
      <c r="C909" t="s">
        <v>3519</v>
      </c>
      <c r="D909" t="s">
        <v>1284</v>
      </c>
      <c r="E909">
        <v>-1</v>
      </c>
      <c r="F909">
        <v>20000000</v>
      </c>
      <c r="G909">
        <v>16630757.84</v>
      </c>
      <c r="H909">
        <v>966341.52</v>
      </c>
      <c r="I909" t="s">
        <v>4684</v>
      </c>
      <c r="J909">
        <v>0</v>
      </c>
      <c r="K909">
        <v>1000000</v>
      </c>
      <c r="L909">
        <v>517401.36</v>
      </c>
      <c r="M909">
        <v>25124879.91</v>
      </c>
      <c r="N909" s="711">
        <v>42702.629713541668</v>
      </c>
      <c r="O909" s="711">
        <v>43801</v>
      </c>
      <c r="P909" t="s">
        <v>3520</v>
      </c>
      <c r="Q909" t="s">
        <v>1280</v>
      </c>
      <c r="R909" t="s">
        <v>1280</v>
      </c>
      <c r="S909" t="s">
        <v>1510</v>
      </c>
      <c r="T909">
        <v>40</v>
      </c>
      <c r="U909">
        <f>IF(Table__192.168.1.150_M_CONSOLIDATED_Delinquency_Compulsory_EOM[[#This Row],[Days in Arrears]] &lt; 8, Table__192.168.1.150_M_CONSOLIDATED_Delinquency_Compulsory_EOM[[#This Row],[Outstanding Balance]], 0 )</f>
        <v>16630757.84</v>
      </c>
      <c r="V9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09" s="105" t="str">
        <f>VLOOKUP(Table__192.168.1.150_M_CONSOLIDATED_Delinquency_Compulsory_EOM[[#This Row],[Client No]],'Global Portfolio'!$B$2:$N$2500,10,FALSE)</f>
        <v>Real Estate and Rental</v>
      </c>
      <c r="AA909" s="105" t="str">
        <f>VLOOKUP(Table__192.168.1.150_M_CONSOLIDATED_Delinquency_Compulsory_EOM[[#This Row],[Client No]],'Global Portfolio'!$B$2:$N$2500,11,FALSE)</f>
        <v>Rental</v>
      </c>
      <c r="AB909" s="105" t="str">
        <f>VLOOKUP(Table__192.168.1.150_M_CONSOLIDATED_Delinquency_Compulsory_EOM[[#This Row],[Client No]],'Global Portfolio'!$B$2:$N$2500,12,FALSE)</f>
        <v>Others</v>
      </c>
    </row>
    <row r="910" spans="1:28" x14ac:dyDescent="0.25">
      <c r="A910">
        <v>200633</v>
      </c>
      <c r="B910" t="s">
        <v>1740</v>
      </c>
      <c r="C910" t="s">
        <v>1741</v>
      </c>
      <c r="D910" t="s">
        <v>1282</v>
      </c>
      <c r="E910">
        <v>0</v>
      </c>
      <c r="F910">
        <v>5000000</v>
      </c>
      <c r="G910">
        <v>1008702.23</v>
      </c>
      <c r="H910">
        <v>534809.93999999994</v>
      </c>
      <c r="I910" t="s">
        <v>1667</v>
      </c>
      <c r="J910">
        <v>0</v>
      </c>
      <c r="K910">
        <v>0</v>
      </c>
      <c r="L910">
        <v>39003.15</v>
      </c>
      <c r="M910">
        <v>1069619.94</v>
      </c>
      <c r="N910" s="711">
        <v>42702.681502002313</v>
      </c>
      <c r="O910" s="711">
        <v>43070</v>
      </c>
      <c r="P910" t="s">
        <v>1742</v>
      </c>
      <c r="Q910" t="s">
        <v>1840</v>
      </c>
      <c r="R910" t="s">
        <v>1280</v>
      </c>
      <c r="S910" t="s">
        <v>1510</v>
      </c>
      <c r="T910">
        <v>48</v>
      </c>
      <c r="U910">
        <f>IF(Table__192.168.1.150_M_CONSOLIDATED_Delinquency_Compulsory_EOM[[#This Row],[Days in Arrears]] &lt; 8, Table__192.168.1.150_M_CONSOLIDATED_Delinquency_Compulsory_EOM[[#This Row],[Outstanding Balance]], 0 )</f>
        <v>1008702.23</v>
      </c>
      <c r="V9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0" s="105" t="str">
        <f>VLOOKUP(Table__192.168.1.150_M_CONSOLIDATED_Delinquency_Compulsory_EOM[[#This Row],[Client No]],'Global Portfolio'!$B$2:$N$2500,10,FALSE)</f>
        <v>Construction</v>
      </c>
      <c r="AA910" s="105" t="str">
        <f>VLOOKUP(Table__192.168.1.150_M_CONSOLIDATED_Delinquency_Compulsory_EOM[[#This Row],[Client No]],'Global Portfolio'!$B$2:$N$2500,11,FALSE)</f>
        <v>Others</v>
      </c>
      <c r="AB910" s="105" t="str">
        <f>VLOOKUP(Table__192.168.1.150_M_CONSOLIDATED_Delinquency_Compulsory_EOM[[#This Row],[Client No]],'Global Portfolio'!$B$2:$N$2500,12,FALSE)</f>
        <v>Others</v>
      </c>
    </row>
    <row r="911" spans="1:28" x14ac:dyDescent="0.25">
      <c r="A911">
        <v>200635</v>
      </c>
      <c r="B911" t="s">
        <v>3527</v>
      </c>
      <c r="C911" t="s">
        <v>3535</v>
      </c>
      <c r="D911" t="s">
        <v>1866</v>
      </c>
      <c r="E911">
        <v>119</v>
      </c>
      <c r="F911">
        <v>6000000</v>
      </c>
      <c r="G911">
        <v>3359629.69</v>
      </c>
      <c r="H911">
        <v>648092.75</v>
      </c>
      <c r="I911" t="s">
        <v>2175</v>
      </c>
      <c r="J911">
        <v>0</v>
      </c>
      <c r="K911">
        <v>0</v>
      </c>
      <c r="L911">
        <v>115667.1</v>
      </c>
      <c r="M911">
        <v>3728358.66</v>
      </c>
      <c r="N911" s="711">
        <v>42703.705507673614</v>
      </c>
      <c r="O911" s="711">
        <v>43071</v>
      </c>
      <c r="P911" t="s">
        <v>3536</v>
      </c>
      <c r="Q911" t="s">
        <v>1280</v>
      </c>
      <c r="R911" t="s">
        <v>1280</v>
      </c>
      <c r="S911" t="s">
        <v>1510</v>
      </c>
      <c r="T911">
        <v>50</v>
      </c>
      <c r="U911">
        <f>IF(Table__192.168.1.150_M_CONSOLIDATED_Delinquency_Compulsory_EOM[[#This Row],[Days in Arrears]] &lt; 8, Table__192.168.1.150_M_CONSOLIDATED_Delinquency_Compulsory_EOM[[#This Row],[Outstanding Balance]], 0 )</f>
        <v>0</v>
      </c>
      <c r="V9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3359629.69</v>
      </c>
      <c r="Z911" s="105" t="str">
        <f>VLOOKUP(Table__192.168.1.150_M_CONSOLIDATED_Delinquency_Compulsory_EOM[[#This Row],[Client No]],'Global Portfolio'!$B$2:$N$2500,10,FALSE)</f>
        <v>Retail</v>
      </c>
      <c r="AA911" s="105" t="str">
        <f>VLOOKUP(Table__192.168.1.150_M_CONSOLIDATED_Delinquency_Compulsory_EOM[[#This Row],[Client No]],'Global Portfolio'!$B$2:$N$2500,11,FALSE)</f>
        <v>General Merchandise Stores</v>
      </c>
      <c r="AB911" s="105" t="str">
        <f>VLOOKUP(Table__192.168.1.150_M_CONSOLIDATED_Delinquency_Compulsory_EOM[[#This Row],[Client No]],'Global Portfolio'!$B$2:$N$2500,12,FALSE)</f>
        <v>Others</v>
      </c>
    </row>
    <row r="912" spans="1:28" x14ac:dyDescent="0.25">
      <c r="A912">
        <v>200636</v>
      </c>
      <c r="B912" t="s">
        <v>3528</v>
      </c>
      <c r="C912" t="s">
        <v>3537</v>
      </c>
      <c r="D912" t="s">
        <v>1283</v>
      </c>
      <c r="E912">
        <v>-1</v>
      </c>
      <c r="F912">
        <v>43500000</v>
      </c>
      <c r="G912">
        <v>29489288.890000001</v>
      </c>
      <c r="H912">
        <v>2670252.52</v>
      </c>
      <c r="I912" t="s">
        <v>1191</v>
      </c>
      <c r="J912">
        <v>0</v>
      </c>
      <c r="K912">
        <v>2175000</v>
      </c>
      <c r="L912">
        <v>917444.54</v>
      </c>
      <c r="M912">
        <v>37383535.170000002</v>
      </c>
      <c r="N912" s="711">
        <v>42703.623028935188</v>
      </c>
      <c r="O912" s="711">
        <v>43436</v>
      </c>
      <c r="P912" t="s">
        <v>3538</v>
      </c>
      <c r="Q912" t="s">
        <v>1280</v>
      </c>
      <c r="R912" t="s">
        <v>3539</v>
      </c>
      <c r="S912" t="s">
        <v>1510</v>
      </c>
      <c r="T912">
        <v>40</v>
      </c>
      <c r="U912">
        <f>IF(Table__192.168.1.150_M_CONSOLIDATED_Delinquency_Compulsory_EOM[[#This Row],[Days in Arrears]] &lt; 8, Table__192.168.1.150_M_CONSOLIDATED_Delinquency_Compulsory_EOM[[#This Row],[Outstanding Balance]], 0 )</f>
        <v>29489288.890000001</v>
      </c>
      <c r="V9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2" s="105" t="str">
        <f>VLOOKUP(Table__192.168.1.150_M_CONSOLIDATED_Delinquency_Compulsory_EOM[[#This Row],[Client No]],'Global Portfolio'!$B$2:$N$2500,10,FALSE)</f>
        <v>Real Estate and Rental</v>
      </c>
      <c r="AA912" s="105" t="str">
        <f>VLOOKUP(Table__192.168.1.150_M_CONSOLIDATED_Delinquency_Compulsory_EOM[[#This Row],[Client No]],'Global Portfolio'!$B$2:$N$2500,11,FALSE)</f>
        <v>Rental</v>
      </c>
      <c r="AB912" s="105" t="str">
        <f>VLOOKUP(Table__192.168.1.150_M_CONSOLIDATED_Delinquency_Compulsory_EOM[[#This Row],[Client No]],'Global Portfolio'!$B$2:$N$2500,12,FALSE)</f>
        <v>Others</v>
      </c>
    </row>
    <row r="913" spans="1:28" x14ac:dyDescent="0.25">
      <c r="A913">
        <v>200638</v>
      </c>
      <c r="B913" t="s">
        <v>3524</v>
      </c>
      <c r="C913" t="s">
        <v>3543</v>
      </c>
      <c r="D913" t="s">
        <v>1283</v>
      </c>
      <c r="E913">
        <v>-1</v>
      </c>
      <c r="F913">
        <v>65000000</v>
      </c>
      <c r="G913">
        <v>44064454.670000002</v>
      </c>
      <c r="H913">
        <v>3990032.5</v>
      </c>
      <c r="I913" t="s">
        <v>2538</v>
      </c>
      <c r="J913">
        <v>0</v>
      </c>
      <c r="K913">
        <v>0</v>
      </c>
      <c r="L913">
        <v>1370894.15</v>
      </c>
      <c r="M913">
        <v>55860454.869999997</v>
      </c>
      <c r="N913" s="711">
        <v>42703.767264085647</v>
      </c>
      <c r="O913" s="711">
        <v>43436</v>
      </c>
      <c r="P913" t="s">
        <v>3544</v>
      </c>
      <c r="Q913" t="s">
        <v>1280</v>
      </c>
      <c r="R913" t="s">
        <v>3545</v>
      </c>
      <c r="S913" t="s">
        <v>1510</v>
      </c>
      <c r="T913">
        <v>40</v>
      </c>
      <c r="U913">
        <f>IF(Table__192.168.1.150_M_CONSOLIDATED_Delinquency_Compulsory_EOM[[#This Row],[Days in Arrears]] &lt; 8, Table__192.168.1.150_M_CONSOLIDATED_Delinquency_Compulsory_EOM[[#This Row],[Outstanding Balance]], 0 )</f>
        <v>44064454.670000002</v>
      </c>
      <c r="V9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3" s="105" t="str">
        <f>VLOOKUP(Table__192.168.1.150_M_CONSOLIDATED_Delinquency_Compulsory_EOM[[#This Row],[Client No]],'Global Portfolio'!$B$2:$N$2500,10,FALSE)</f>
        <v>Agriculture, Forestry, Fishing and Hunting</v>
      </c>
      <c r="AA913" s="105" t="str">
        <f>VLOOKUP(Table__192.168.1.150_M_CONSOLIDATED_Delinquency_Compulsory_EOM[[#This Row],[Client No]],'Global Portfolio'!$B$2:$N$2500,11,FALSE)</f>
        <v>Animal Production</v>
      </c>
      <c r="AB913" s="105" t="str">
        <f>VLOOKUP(Table__192.168.1.150_M_CONSOLIDATED_Delinquency_Compulsory_EOM[[#This Row],[Client No]],'Global Portfolio'!$B$2:$N$2500,12,FALSE)</f>
        <v>Poultry &amp; Egg Production</v>
      </c>
    </row>
    <row r="914" spans="1:28" x14ac:dyDescent="0.25">
      <c r="A914">
        <v>200640</v>
      </c>
      <c r="B914" t="s">
        <v>3551</v>
      </c>
      <c r="C914" t="s">
        <v>3592</v>
      </c>
      <c r="D914" t="s">
        <v>1282</v>
      </c>
      <c r="E914">
        <v>-1</v>
      </c>
      <c r="F914">
        <v>2500000</v>
      </c>
      <c r="G914">
        <v>514894.77</v>
      </c>
      <c r="H914">
        <v>274952.55</v>
      </c>
      <c r="I914" t="s">
        <v>1447</v>
      </c>
      <c r="J914">
        <v>0</v>
      </c>
      <c r="K914">
        <v>250000</v>
      </c>
      <c r="L914">
        <v>21625.58</v>
      </c>
      <c r="M914">
        <v>549905.09</v>
      </c>
      <c r="N914" s="711">
        <v>42704.536556863422</v>
      </c>
      <c r="O914" s="711">
        <v>43071</v>
      </c>
      <c r="P914" t="s">
        <v>3593</v>
      </c>
      <c r="Q914" t="s">
        <v>1280</v>
      </c>
      <c r="R914" t="s">
        <v>3594</v>
      </c>
      <c r="S914" t="s">
        <v>1510</v>
      </c>
      <c r="T914">
        <v>54</v>
      </c>
      <c r="U914">
        <f>IF(Table__192.168.1.150_M_CONSOLIDATED_Delinquency_Compulsory_EOM[[#This Row],[Days in Arrears]] &lt; 8, Table__192.168.1.150_M_CONSOLIDATED_Delinquency_Compulsory_EOM[[#This Row],[Outstanding Balance]], 0 )</f>
        <v>514894.77</v>
      </c>
      <c r="V9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4" s="105" t="str">
        <f>VLOOKUP(Table__192.168.1.150_M_CONSOLIDATED_Delinquency_Compulsory_EOM[[#This Row],[Client No]],'Global Portfolio'!$B$2:$N$2500,10,FALSE)</f>
        <v>Retail</v>
      </c>
      <c r="AA914" s="105" t="str">
        <f>VLOOKUP(Table__192.168.1.150_M_CONSOLIDATED_Delinquency_Compulsory_EOM[[#This Row],[Client No]],'Global Portfolio'!$B$2:$N$2500,11,FALSE)</f>
        <v>General Merchandise Stores</v>
      </c>
      <c r="AB914" s="105" t="str">
        <f>VLOOKUP(Table__192.168.1.150_M_CONSOLIDATED_Delinquency_Compulsory_EOM[[#This Row],[Client No]],'Global Portfolio'!$B$2:$N$2500,12,FALSE)</f>
        <v>General Stores</v>
      </c>
    </row>
    <row r="915" spans="1:28" x14ac:dyDescent="0.25">
      <c r="A915">
        <v>200641</v>
      </c>
      <c r="B915" t="s">
        <v>1885</v>
      </c>
      <c r="C915" t="s">
        <v>1887</v>
      </c>
      <c r="D915" t="s">
        <v>1283</v>
      </c>
      <c r="E915">
        <v>-22</v>
      </c>
      <c r="F915">
        <v>65000000</v>
      </c>
      <c r="G915">
        <v>40540428.340000004</v>
      </c>
      <c r="H915">
        <v>3811997.98</v>
      </c>
      <c r="I915" t="s">
        <v>90</v>
      </c>
      <c r="J915">
        <v>466309.79</v>
      </c>
      <c r="K915">
        <v>3000000</v>
      </c>
      <c r="L915">
        <v>283783</v>
      </c>
      <c r="M915">
        <v>49555973.880000003</v>
      </c>
      <c r="N915" s="711">
        <v>42704.649020405093</v>
      </c>
      <c r="O915" s="711">
        <v>43427</v>
      </c>
      <c r="P915" t="s">
        <v>1888</v>
      </c>
      <c r="Q915" t="s">
        <v>1280</v>
      </c>
      <c r="R915" t="s">
        <v>1280</v>
      </c>
      <c r="S915" t="s">
        <v>1510</v>
      </c>
      <c r="T915">
        <v>36</v>
      </c>
      <c r="U915">
        <f>IF(Table__192.168.1.150_M_CONSOLIDATED_Delinquency_Compulsory_EOM[[#This Row],[Days in Arrears]] &lt; 8, Table__192.168.1.150_M_CONSOLIDATED_Delinquency_Compulsory_EOM[[#This Row],[Outstanding Balance]], 0 )</f>
        <v>40540428.340000004</v>
      </c>
      <c r="V9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5" s="105" t="str">
        <f>VLOOKUP(Table__192.168.1.150_M_CONSOLIDATED_Delinquency_Compulsory_EOM[[#This Row],[Client No]],'Global Portfolio'!$B$2:$N$2500,10,FALSE)</f>
        <v>Wholesale Trade</v>
      </c>
      <c r="AA915" s="105" t="str">
        <f>VLOOKUP(Table__192.168.1.150_M_CONSOLIDATED_Delinquency_Compulsory_EOM[[#This Row],[Client No]],'Global Portfolio'!$B$2:$N$2500,11,FALSE)</f>
        <v>Durable Goods</v>
      </c>
      <c r="AB915" s="105" t="str">
        <f>VLOOKUP(Table__192.168.1.150_M_CONSOLIDATED_Delinquency_Compulsory_EOM[[#This Row],[Client No]],'Global Portfolio'!$B$2:$N$2500,12,FALSE)</f>
        <v>Others</v>
      </c>
    </row>
    <row r="916" spans="1:28" x14ac:dyDescent="0.25">
      <c r="A916">
        <v>200644</v>
      </c>
      <c r="B916" t="s">
        <v>3546</v>
      </c>
      <c r="C916" t="s">
        <v>3597</v>
      </c>
      <c r="D916" t="s">
        <v>1279</v>
      </c>
      <c r="E916">
        <v>-1</v>
      </c>
      <c r="F916">
        <v>5000000</v>
      </c>
      <c r="G916">
        <v>1029789.53</v>
      </c>
      <c r="H916">
        <v>549905.1</v>
      </c>
      <c r="I916" t="s">
        <v>2861</v>
      </c>
      <c r="J916">
        <v>0</v>
      </c>
      <c r="K916">
        <v>500000</v>
      </c>
      <c r="L916">
        <v>43251.16</v>
      </c>
      <c r="M916">
        <v>1099810.18</v>
      </c>
      <c r="N916" s="711">
        <v>42704.782254594909</v>
      </c>
      <c r="O916" s="711">
        <v>43071</v>
      </c>
      <c r="P916" t="s">
        <v>3598</v>
      </c>
      <c r="Q916" t="s">
        <v>1280</v>
      </c>
      <c r="R916" t="s">
        <v>1280</v>
      </c>
      <c r="S916" t="s">
        <v>1510</v>
      </c>
      <c r="T916">
        <v>54</v>
      </c>
      <c r="U916">
        <f>IF(Table__192.168.1.150_M_CONSOLIDATED_Delinquency_Compulsory_EOM[[#This Row],[Days in Arrears]] &lt; 8, Table__192.168.1.150_M_CONSOLIDATED_Delinquency_Compulsory_EOM[[#This Row],[Outstanding Balance]], 0 )</f>
        <v>1029789.53</v>
      </c>
      <c r="V9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6" s="105" t="str">
        <f>VLOOKUP(Table__192.168.1.150_M_CONSOLIDATED_Delinquency_Compulsory_EOM[[#This Row],[Client No]],'Global Portfolio'!$B$2:$N$2500,10,FALSE)</f>
        <v>Wholesale Trade</v>
      </c>
      <c r="AA916" s="105" t="str">
        <f>VLOOKUP(Table__192.168.1.150_M_CONSOLIDATED_Delinquency_Compulsory_EOM[[#This Row],[Client No]],'Global Portfolio'!$B$2:$N$2500,11,FALSE)</f>
        <v>Others</v>
      </c>
      <c r="AB916" s="105" t="str">
        <f>VLOOKUP(Table__192.168.1.150_M_CONSOLIDATED_Delinquency_Compulsory_EOM[[#This Row],[Client No]],'Global Portfolio'!$B$2:$N$2500,12,FALSE)</f>
        <v>Others</v>
      </c>
    </row>
    <row r="917" spans="1:28" x14ac:dyDescent="0.25">
      <c r="A917">
        <v>200645</v>
      </c>
      <c r="B917" t="s">
        <v>3556</v>
      </c>
      <c r="C917" t="s">
        <v>3599</v>
      </c>
      <c r="D917" t="s">
        <v>1284</v>
      </c>
      <c r="E917">
        <v>29</v>
      </c>
      <c r="F917">
        <v>15000000</v>
      </c>
      <c r="G917">
        <v>10720268.91</v>
      </c>
      <c r="H917">
        <v>919789.83</v>
      </c>
      <c r="I917" t="s">
        <v>1467</v>
      </c>
      <c r="J917">
        <v>0</v>
      </c>
      <c r="K917">
        <v>0</v>
      </c>
      <c r="L917">
        <v>673363.41</v>
      </c>
      <c r="M917">
        <v>13796847.49</v>
      </c>
      <c r="N917" s="711">
        <v>42704.812343321762</v>
      </c>
      <c r="O917" s="711">
        <v>43436</v>
      </c>
      <c r="P917" t="s">
        <v>3600</v>
      </c>
      <c r="Q917" t="s">
        <v>1280</v>
      </c>
      <c r="R917" t="s">
        <v>3601</v>
      </c>
      <c r="S917" t="s">
        <v>1510</v>
      </c>
      <c r="T917">
        <v>40</v>
      </c>
      <c r="U917">
        <f>IF(Table__192.168.1.150_M_CONSOLIDATED_Delinquency_Compulsory_EOM[[#This Row],[Days in Arrears]] &lt; 8, Table__192.168.1.150_M_CONSOLIDATED_Delinquency_Compulsory_EOM[[#This Row],[Outstanding Balance]], 0 )</f>
        <v>0</v>
      </c>
      <c r="V9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10720268.91</v>
      </c>
      <c r="W9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7" s="105" t="str">
        <f>VLOOKUP(Table__192.168.1.150_M_CONSOLIDATED_Delinquency_Compulsory_EOM[[#This Row],[Client No]],'Global Portfolio'!$B$2:$N$2500,10,FALSE)</f>
        <v>Real Estate and Rental</v>
      </c>
      <c r="AA917" s="105" t="str">
        <f>VLOOKUP(Table__192.168.1.150_M_CONSOLIDATED_Delinquency_Compulsory_EOM[[#This Row],[Client No]],'Global Portfolio'!$B$2:$N$2500,11,FALSE)</f>
        <v>Rental</v>
      </c>
      <c r="AB917" s="105" t="str">
        <f>VLOOKUP(Table__192.168.1.150_M_CONSOLIDATED_Delinquency_Compulsory_EOM[[#This Row],[Client No]],'Global Portfolio'!$B$2:$N$2500,12,FALSE)</f>
        <v>General Rental Centers</v>
      </c>
    </row>
    <row r="918" spans="1:28" x14ac:dyDescent="0.25">
      <c r="A918">
        <v>200646</v>
      </c>
      <c r="B918" t="s">
        <v>3552</v>
      </c>
      <c r="C918" t="s">
        <v>3602</v>
      </c>
      <c r="D918" t="s">
        <v>1281</v>
      </c>
      <c r="E918">
        <v>-8</v>
      </c>
      <c r="F918">
        <v>21000000</v>
      </c>
      <c r="G918">
        <v>14716708.23</v>
      </c>
      <c r="H918">
        <v>1393215.65</v>
      </c>
      <c r="I918" t="s">
        <v>1925</v>
      </c>
      <c r="J918">
        <v>320439.15999999997</v>
      </c>
      <c r="K918">
        <v>0</v>
      </c>
      <c r="L918">
        <v>412067.83</v>
      </c>
      <c r="M918">
        <v>19505019.190000001</v>
      </c>
      <c r="N918" s="711">
        <v>42704.839833414349</v>
      </c>
      <c r="O918" s="711">
        <v>43443</v>
      </c>
      <c r="P918" t="s">
        <v>3603</v>
      </c>
      <c r="Q918" t="s">
        <v>1280</v>
      </c>
      <c r="R918" t="s">
        <v>1280</v>
      </c>
      <c r="S918" t="s">
        <v>1510</v>
      </c>
      <c r="T918">
        <v>48</v>
      </c>
      <c r="U918">
        <f>IF(Table__192.168.1.150_M_CONSOLIDATED_Delinquency_Compulsory_EOM[[#This Row],[Days in Arrears]] &lt; 8, Table__192.168.1.150_M_CONSOLIDATED_Delinquency_Compulsory_EOM[[#This Row],[Outstanding Balance]], 0 )</f>
        <v>14716708.23</v>
      </c>
      <c r="V9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8" s="105" t="str">
        <f>VLOOKUP(Table__192.168.1.150_M_CONSOLIDATED_Delinquency_Compulsory_EOM[[#This Row],[Client No]],'Global Portfolio'!$B$2:$N$2500,10,FALSE)</f>
        <v>Retail</v>
      </c>
      <c r="AA918" s="105" t="str">
        <f>VLOOKUP(Table__192.168.1.150_M_CONSOLIDATED_Delinquency_Compulsory_EOM[[#This Row],[Client No]],'Global Portfolio'!$B$2:$N$2500,11,FALSE)</f>
        <v>General Merchandise Stores</v>
      </c>
      <c r="AB918" s="105" t="str">
        <f>VLOOKUP(Table__192.168.1.150_M_CONSOLIDATED_Delinquency_Compulsory_EOM[[#This Row],[Client No]],'Global Portfolio'!$B$2:$N$2500,12,FALSE)</f>
        <v>General Stores</v>
      </c>
    </row>
    <row r="919" spans="1:28" x14ac:dyDescent="0.25">
      <c r="A919">
        <v>200647</v>
      </c>
      <c r="B919" t="s">
        <v>3555</v>
      </c>
      <c r="C919" t="s">
        <v>3604</v>
      </c>
      <c r="D919" t="s">
        <v>1284</v>
      </c>
      <c r="E919">
        <v>-4</v>
      </c>
      <c r="F919">
        <v>65000000</v>
      </c>
      <c r="G919">
        <v>54107832.090000004</v>
      </c>
      <c r="H919">
        <v>3143972.49</v>
      </c>
      <c r="I919" t="s">
        <v>90</v>
      </c>
      <c r="J919">
        <v>0</v>
      </c>
      <c r="K919">
        <v>0</v>
      </c>
      <c r="L919">
        <v>1502995.34</v>
      </c>
      <c r="M919">
        <v>81743284.939999998</v>
      </c>
      <c r="N919" s="711">
        <v>42704.835258217594</v>
      </c>
      <c r="O919" s="711">
        <v>43804</v>
      </c>
      <c r="P919" t="s">
        <v>3605</v>
      </c>
      <c r="Q919" t="s">
        <v>1280</v>
      </c>
      <c r="R919" t="s">
        <v>1280</v>
      </c>
      <c r="S919" t="s">
        <v>1510</v>
      </c>
      <c r="T919">
        <v>40</v>
      </c>
      <c r="U919">
        <f>IF(Table__192.168.1.150_M_CONSOLIDATED_Delinquency_Compulsory_EOM[[#This Row],[Days in Arrears]] &lt; 8, Table__192.168.1.150_M_CONSOLIDATED_Delinquency_Compulsory_EOM[[#This Row],[Outstanding Balance]], 0 )</f>
        <v>54107832.090000004</v>
      </c>
      <c r="V9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19" s="105" t="str">
        <f>VLOOKUP(Table__192.168.1.150_M_CONSOLIDATED_Delinquency_Compulsory_EOM[[#This Row],[Client No]],'Global Portfolio'!$B$2:$N$2500,10,FALSE)</f>
        <v>Real Estate and Rental</v>
      </c>
      <c r="AA919" s="105" t="str">
        <f>VLOOKUP(Table__192.168.1.150_M_CONSOLIDATED_Delinquency_Compulsory_EOM[[#This Row],[Client No]],'Global Portfolio'!$B$2:$N$2500,11,FALSE)</f>
        <v>Rental</v>
      </c>
      <c r="AB919" s="105" t="str">
        <f>VLOOKUP(Table__192.168.1.150_M_CONSOLIDATED_Delinquency_Compulsory_EOM[[#This Row],[Client No]],'Global Portfolio'!$B$2:$N$2500,12,FALSE)</f>
        <v>General Rental Centers</v>
      </c>
    </row>
    <row r="920" spans="1:28" x14ac:dyDescent="0.25">
      <c r="A920">
        <v>200648</v>
      </c>
      <c r="B920" t="s">
        <v>3560</v>
      </c>
      <c r="C920" t="s">
        <v>3606</v>
      </c>
      <c r="D920" t="s">
        <v>1283</v>
      </c>
      <c r="E920">
        <v>-1</v>
      </c>
      <c r="F920">
        <v>65000000</v>
      </c>
      <c r="G920">
        <v>50042693.420000002</v>
      </c>
      <c r="H920">
        <v>3468167.72</v>
      </c>
      <c r="I920" t="s">
        <v>90</v>
      </c>
      <c r="J920">
        <v>481796.71</v>
      </c>
      <c r="K920">
        <v>0</v>
      </c>
      <c r="L920">
        <v>1926454.72</v>
      </c>
      <c r="M920">
        <v>69363354.379999995</v>
      </c>
      <c r="N920" s="711">
        <v>42704.907638888886</v>
      </c>
      <c r="O920" s="711">
        <v>43618</v>
      </c>
      <c r="P920" t="s">
        <v>3607</v>
      </c>
      <c r="Q920" t="s">
        <v>1280</v>
      </c>
      <c r="R920" t="s">
        <v>1280</v>
      </c>
      <c r="S920" t="s">
        <v>1510</v>
      </c>
      <c r="T920">
        <v>40</v>
      </c>
      <c r="U920">
        <f>IF(Table__192.168.1.150_M_CONSOLIDATED_Delinquency_Compulsory_EOM[[#This Row],[Days in Arrears]] &lt; 8, Table__192.168.1.150_M_CONSOLIDATED_Delinquency_Compulsory_EOM[[#This Row],[Outstanding Balance]], 0 )</f>
        <v>50042693.420000002</v>
      </c>
      <c r="V9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0" s="105" t="str">
        <f>VLOOKUP(Table__192.168.1.150_M_CONSOLIDATED_Delinquency_Compulsory_EOM[[#This Row],[Client No]],'Global Portfolio'!$B$2:$N$2500,10,FALSE)</f>
        <v>Educational Services</v>
      </c>
      <c r="AA920" s="105" t="str">
        <f>VLOOKUP(Table__192.168.1.150_M_CONSOLIDATED_Delinquency_Compulsory_EOM[[#This Row],[Client No]],'Global Portfolio'!$B$2:$N$2500,11,FALSE)</f>
        <v>Educational Services</v>
      </c>
      <c r="AB920" s="105" t="str">
        <f>VLOOKUP(Table__192.168.1.150_M_CONSOLIDATED_Delinquency_Compulsory_EOM[[#This Row],[Client No]],'Global Portfolio'!$B$2:$N$2500,12,FALSE)</f>
        <v>Schools</v>
      </c>
    </row>
    <row r="921" spans="1:28" x14ac:dyDescent="0.25">
      <c r="A921">
        <v>200650</v>
      </c>
      <c r="B921" t="s">
        <v>2635</v>
      </c>
      <c r="C921" t="s">
        <v>2643</v>
      </c>
      <c r="D921" t="s">
        <v>1284</v>
      </c>
      <c r="E921">
        <v>-1</v>
      </c>
      <c r="F921">
        <v>65000000</v>
      </c>
      <c r="G921">
        <v>53327115.869999997</v>
      </c>
      <c r="H921">
        <v>2983027.68</v>
      </c>
      <c r="I921" t="s">
        <v>491</v>
      </c>
      <c r="J921">
        <v>82754.41</v>
      </c>
      <c r="K921">
        <v>3250000</v>
      </c>
      <c r="L921">
        <v>1493159.24</v>
      </c>
      <c r="M921">
        <v>77558719.930000007</v>
      </c>
      <c r="N921" s="711">
        <v>42704.924095486109</v>
      </c>
      <c r="O921" s="711">
        <v>43801</v>
      </c>
      <c r="P921" t="s">
        <v>2644</v>
      </c>
      <c r="Q921" t="s">
        <v>1280</v>
      </c>
      <c r="R921" t="s">
        <v>1280</v>
      </c>
      <c r="S921" t="s">
        <v>1510</v>
      </c>
      <c r="T921">
        <v>36</v>
      </c>
      <c r="U921">
        <f>IF(Table__192.168.1.150_M_CONSOLIDATED_Delinquency_Compulsory_EOM[[#This Row],[Days in Arrears]] &lt; 8, Table__192.168.1.150_M_CONSOLIDATED_Delinquency_Compulsory_EOM[[#This Row],[Outstanding Balance]], 0 )</f>
        <v>53327115.869999997</v>
      </c>
      <c r="V9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1" s="105" t="str">
        <f>VLOOKUP(Table__192.168.1.150_M_CONSOLIDATED_Delinquency_Compulsory_EOM[[#This Row],[Client No]],'Global Portfolio'!$B$2:$N$2500,10,FALSE)</f>
        <v>Real Estate and Rental</v>
      </c>
      <c r="AA921" s="105" t="str">
        <f>VLOOKUP(Table__192.168.1.150_M_CONSOLIDATED_Delinquency_Compulsory_EOM[[#This Row],[Client No]],'Global Portfolio'!$B$2:$N$2500,11,FALSE)</f>
        <v>Rental</v>
      </c>
      <c r="AB921" s="105" t="str">
        <f>VLOOKUP(Table__192.168.1.150_M_CONSOLIDATED_Delinquency_Compulsory_EOM[[#This Row],[Client No]],'Global Portfolio'!$B$2:$N$2500,12,FALSE)</f>
        <v>General Rental Centers</v>
      </c>
    </row>
    <row r="922" spans="1:28" x14ac:dyDescent="0.25">
      <c r="A922">
        <v>200653</v>
      </c>
      <c r="B922" t="s">
        <v>3186</v>
      </c>
      <c r="C922" t="s">
        <v>3193</v>
      </c>
      <c r="D922" t="s">
        <v>1281</v>
      </c>
      <c r="E922">
        <v>56</v>
      </c>
      <c r="F922">
        <v>30000000</v>
      </c>
      <c r="G922">
        <v>23015295.629999999</v>
      </c>
      <c r="H922">
        <v>1975172.65</v>
      </c>
      <c r="I922" t="s">
        <v>1447</v>
      </c>
      <c r="J922">
        <v>0</v>
      </c>
      <c r="K922">
        <v>0</v>
      </c>
      <c r="L922">
        <v>1799041.22</v>
      </c>
      <c r="M922">
        <v>31602762.460000001</v>
      </c>
      <c r="N922" s="711">
        <v>42706.578693634263</v>
      </c>
      <c r="O922" s="711">
        <v>43439</v>
      </c>
      <c r="P922" t="s">
        <v>3194</v>
      </c>
      <c r="Q922" t="s">
        <v>1280</v>
      </c>
      <c r="R922" t="s">
        <v>1280</v>
      </c>
      <c r="S922" t="s">
        <v>1510</v>
      </c>
      <c r="T922">
        <v>48</v>
      </c>
      <c r="U922">
        <f>IF(Table__192.168.1.150_M_CONSOLIDATED_Delinquency_Compulsory_EOM[[#This Row],[Days in Arrears]] &lt; 8, Table__192.168.1.150_M_CONSOLIDATED_Delinquency_Compulsory_EOM[[#This Row],[Outstanding Balance]], 0 )</f>
        <v>0</v>
      </c>
      <c r="V9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23015295.629999999</v>
      </c>
      <c r="X9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2" s="105" t="str">
        <f>VLOOKUP(Table__192.168.1.150_M_CONSOLIDATED_Delinquency_Compulsory_EOM[[#This Row],[Client No]],'Global Portfolio'!$B$2:$N$2500,10,FALSE)</f>
        <v>Transportation and Warehousing</v>
      </c>
      <c r="AA922" s="105" t="str">
        <f>VLOOKUP(Table__192.168.1.150_M_CONSOLIDATED_Delinquency_Compulsory_EOM[[#This Row],[Client No]],'Global Portfolio'!$B$2:$N$2500,11,FALSE)</f>
        <v xml:space="preserve"> Passenger Transportation</v>
      </c>
      <c r="AB922" s="105" t="str">
        <f>VLOOKUP(Table__192.168.1.150_M_CONSOLIDATED_Delinquency_Compulsory_EOM[[#This Row],[Client No]],'Global Portfolio'!$B$2:$N$2500,12,FALSE)</f>
        <v>Others</v>
      </c>
    </row>
    <row r="923" spans="1:28" x14ac:dyDescent="0.25">
      <c r="A923">
        <v>200654</v>
      </c>
      <c r="B923" t="s">
        <v>3620</v>
      </c>
      <c r="C923" t="s">
        <v>3629</v>
      </c>
      <c r="D923" t="s">
        <v>1282</v>
      </c>
      <c r="E923">
        <v>-4</v>
      </c>
      <c r="F923">
        <v>5000000</v>
      </c>
      <c r="G923">
        <v>1026841.7</v>
      </c>
      <c r="H923">
        <v>548330.93999999994</v>
      </c>
      <c r="I923" t="s">
        <v>1667</v>
      </c>
      <c r="J923">
        <v>16216.43</v>
      </c>
      <c r="K923">
        <v>0</v>
      </c>
      <c r="L923">
        <v>38506.559999999998</v>
      </c>
      <c r="M923">
        <v>1096661.92</v>
      </c>
      <c r="N923" s="711">
        <v>42709.63500130787</v>
      </c>
      <c r="O923" s="711">
        <v>43074</v>
      </c>
      <c r="P923" t="s">
        <v>3630</v>
      </c>
      <c r="Q923" t="s">
        <v>1280</v>
      </c>
      <c r="R923" t="s">
        <v>3631</v>
      </c>
      <c r="S923" t="s">
        <v>1510</v>
      </c>
      <c r="T923">
        <v>54</v>
      </c>
      <c r="U923">
        <f>IF(Table__192.168.1.150_M_CONSOLIDATED_Delinquency_Compulsory_EOM[[#This Row],[Days in Arrears]] &lt; 8, Table__192.168.1.150_M_CONSOLIDATED_Delinquency_Compulsory_EOM[[#This Row],[Outstanding Balance]], 0 )</f>
        <v>1026841.7</v>
      </c>
      <c r="V9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3" s="105" t="str">
        <f>VLOOKUP(Table__192.168.1.150_M_CONSOLIDATED_Delinquency_Compulsory_EOM[[#This Row],[Client No]],'Global Portfolio'!$B$2:$N$2500,10,FALSE)</f>
        <v>Retail</v>
      </c>
      <c r="AA923" s="105" t="str">
        <f>VLOOKUP(Table__192.168.1.150_M_CONSOLIDATED_Delinquency_Compulsory_EOM[[#This Row],[Client No]],'Global Portfolio'!$B$2:$N$2500,11,FALSE)</f>
        <v>Motor Vehicle and Parts Dealers</v>
      </c>
      <c r="AB923" s="105" t="str">
        <f>VLOOKUP(Table__192.168.1.150_M_CONSOLIDATED_Delinquency_Compulsory_EOM[[#This Row],[Client No]],'Global Portfolio'!$B$2:$N$2500,12,FALSE)</f>
        <v>Used Car Dealers</v>
      </c>
    </row>
    <row r="924" spans="1:28" x14ac:dyDescent="0.25">
      <c r="A924">
        <v>200655</v>
      </c>
      <c r="B924" t="s">
        <v>2699</v>
      </c>
      <c r="C924" t="s">
        <v>2704</v>
      </c>
      <c r="D924" t="s">
        <v>1283</v>
      </c>
      <c r="E924">
        <v>-4</v>
      </c>
      <c r="F924">
        <v>65000000</v>
      </c>
      <c r="G924">
        <v>43355255.359999999</v>
      </c>
      <c r="H924">
        <v>3838082.04</v>
      </c>
      <c r="I924" t="s">
        <v>1925</v>
      </c>
      <c r="J924">
        <v>0</v>
      </c>
      <c r="K924">
        <v>0</v>
      </c>
      <c r="L924">
        <v>1083881.3799999999</v>
      </c>
      <c r="M924">
        <v>53733148.439999998</v>
      </c>
      <c r="N924" s="711">
        <v>42709.701757407405</v>
      </c>
      <c r="O924" s="711">
        <v>43439</v>
      </c>
      <c r="P924" t="s">
        <v>2705</v>
      </c>
      <c r="Q924" t="s">
        <v>2706</v>
      </c>
      <c r="R924" t="s">
        <v>1280</v>
      </c>
      <c r="S924" t="s">
        <v>1510</v>
      </c>
      <c r="T924">
        <v>36</v>
      </c>
      <c r="U924">
        <f>IF(Table__192.168.1.150_M_CONSOLIDATED_Delinquency_Compulsory_EOM[[#This Row],[Days in Arrears]] &lt; 8, Table__192.168.1.150_M_CONSOLIDATED_Delinquency_Compulsory_EOM[[#This Row],[Outstanding Balance]], 0 )</f>
        <v>43355255.359999999</v>
      </c>
      <c r="V9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4" s="105" t="str">
        <f>VLOOKUP(Table__192.168.1.150_M_CONSOLIDATED_Delinquency_Compulsory_EOM[[#This Row],[Client No]],'Global Portfolio'!$B$2:$N$2500,10,FALSE)</f>
        <v>Wholesale Trade</v>
      </c>
      <c r="AA924" s="105" t="str">
        <f>VLOOKUP(Table__192.168.1.150_M_CONSOLIDATED_Delinquency_Compulsory_EOM[[#This Row],[Client No]],'Global Portfolio'!$B$2:$N$2500,11,FALSE)</f>
        <v>Nondurable Goods</v>
      </c>
      <c r="AB924" s="105" t="str">
        <f>VLOOKUP(Table__192.168.1.150_M_CONSOLIDATED_Delinquency_Compulsory_EOM[[#This Row],[Client No]],'Global Portfolio'!$B$2:$N$2500,12,FALSE)</f>
        <v>Others</v>
      </c>
    </row>
    <row r="925" spans="1:28" x14ac:dyDescent="0.25">
      <c r="A925">
        <v>200659</v>
      </c>
      <c r="B925" t="s">
        <v>3632</v>
      </c>
      <c r="C925" t="s">
        <v>3634</v>
      </c>
      <c r="D925" t="s">
        <v>1282</v>
      </c>
      <c r="E925">
        <v>115</v>
      </c>
      <c r="F925">
        <v>4000000</v>
      </c>
      <c r="G925">
        <v>2262576.9</v>
      </c>
      <c r="H925">
        <v>438664.75</v>
      </c>
      <c r="I925" t="s">
        <v>2034</v>
      </c>
      <c r="J925">
        <v>0</v>
      </c>
      <c r="K925">
        <v>0</v>
      </c>
      <c r="L925">
        <v>144180.29999999999</v>
      </c>
      <c r="M925">
        <v>2590583.73</v>
      </c>
      <c r="N925" s="711">
        <v>42710.542109606482</v>
      </c>
      <c r="O925" s="711">
        <v>43075</v>
      </c>
      <c r="P925" t="s">
        <v>3635</v>
      </c>
      <c r="Q925" t="s">
        <v>1280</v>
      </c>
      <c r="R925" t="s">
        <v>3636</v>
      </c>
      <c r="S925" t="s">
        <v>1510</v>
      </c>
      <c r="T925">
        <v>54</v>
      </c>
      <c r="U925">
        <f>IF(Table__192.168.1.150_M_CONSOLIDATED_Delinquency_Compulsory_EOM[[#This Row],[Days in Arrears]] &lt; 8, Table__192.168.1.150_M_CONSOLIDATED_Delinquency_Compulsory_EOM[[#This Row],[Outstanding Balance]], 0 )</f>
        <v>0</v>
      </c>
      <c r="V9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2262576.9</v>
      </c>
      <c r="Z925" s="105" t="str">
        <f>VLOOKUP(Table__192.168.1.150_M_CONSOLIDATED_Delinquency_Compulsory_EOM[[#This Row],[Client No]],'Global Portfolio'!$B$2:$N$2500,10,FALSE)</f>
        <v>Agriculture, Forestry, Fishing and Hunting</v>
      </c>
      <c r="AA925" s="105" t="str">
        <f>VLOOKUP(Table__192.168.1.150_M_CONSOLIDATED_Delinquency_Compulsory_EOM[[#This Row],[Client No]],'Global Portfolio'!$B$2:$N$2500,11,FALSE)</f>
        <v>Animal Production</v>
      </c>
      <c r="AB925" s="105" t="str">
        <f>VLOOKUP(Table__192.168.1.150_M_CONSOLIDATED_Delinquency_Compulsory_EOM[[#This Row],[Client No]],'Global Portfolio'!$B$2:$N$2500,12,FALSE)</f>
        <v>Poultry &amp; Egg Production</v>
      </c>
    </row>
    <row r="926" spans="1:28" x14ac:dyDescent="0.25">
      <c r="A926">
        <v>200660</v>
      </c>
      <c r="B926" t="s">
        <v>3633</v>
      </c>
      <c r="C926" t="s">
        <v>3637</v>
      </c>
      <c r="D926" t="s">
        <v>1282</v>
      </c>
      <c r="E926">
        <v>-5</v>
      </c>
      <c r="F926">
        <v>4000000</v>
      </c>
      <c r="G926">
        <v>821473.39</v>
      </c>
      <c r="H926">
        <v>438664.75</v>
      </c>
      <c r="I926" t="s">
        <v>2034</v>
      </c>
      <c r="J926">
        <v>0</v>
      </c>
      <c r="K926">
        <v>400000</v>
      </c>
      <c r="L926">
        <v>29573.040000000001</v>
      </c>
      <c r="M926">
        <v>877329.56</v>
      </c>
      <c r="N926" s="711">
        <v>42710.572149733795</v>
      </c>
      <c r="O926" s="711">
        <v>43075</v>
      </c>
      <c r="P926" t="s">
        <v>3638</v>
      </c>
      <c r="Q926" t="s">
        <v>1280</v>
      </c>
      <c r="R926" t="s">
        <v>1280</v>
      </c>
      <c r="S926" t="s">
        <v>1510</v>
      </c>
      <c r="T926">
        <v>54</v>
      </c>
      <c r="U926">
        <f>IF(Table__192.168.1.150_M_CONSOLIDATED_Delinquency_Compulsory_EOM[[#This Row],[Days in Arrears]] &lt; 8, Table__192.168.1.150_M_CONSOLIDATED_Delinquency_Compulsory_EOM[[#This Row],[Outstanding Balance]], 0 )</f>
        <v>821473.39</v>
      </c>
      <c r="V9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6" s="105" t="str">
        <f>VLOOKUP(Table__192.168.1.150_M_CONSOLIDATED_Delinquency_Compulsory_EOM[[#This Row],[Client No]],'Global Portfolio'!$B$2:$N$2500,10,FALSE)</f>
        <v>Real Estate and Rental</v>
      </c>
      <c r="AA926" s="105" t="str">
        <f>VLOOKUP(Table__192.168.1.150_M_CONSOLIDATED_Delinquency_Compulsory_EOM[[#This Row],[Client No]],'Global Portfolio'!$B$2:$N$2500,11,FALSE)</f>
        <v>Rental</v>
      </c>
      <c r="AB926" s="105" t="str">
        <f>VLOOKUP(Table__192.168.1.150_M_CONSOLIDATED_Delinquency_Compulsory_EOM[[#This Row],[Client No]],'Global Portfolio'!$B$2:$N$2500,12,FALSE)</f>
        <v>General Rental Centers</v>
      </c>
    </row>
    <row r="927" spans="1:28" x14ac:dyDescent="0.25">
      <c r="A927">
        <v>200663</v>
      </c>
      <c r="B927" t="s">
        <v>3639</v>
      </c>
      <c r="C927" t="s">
        <v>212</v>
      </c>
      <c r="D927" t="s">
        <v>1279</v>
      </c>
      <c r="E927">
        <v>23</v>
      </c>
      <c r="F927">
        <v>5000000</v>
      </c>
      <c r="G927">
        <v>1298012</v>
      </c>
      <c r="H927">
        <v>549118.02</v>
      </c>
      <c r="I927" t="s">
        <v>2861</v>
      </c>
      <c r="J927">
        <v>0</v>
      </c>
      <c r="K927">
        <v>0</v>
      </c>
      <c r="L927">
        <v>33934.42</v>
      </c>
      <c r="M927">
        <v>1367932.43</v>
      </c>
      <c r="N927" s="711">
        <v>42711.700587037034</v>
      </c>
      <c r="O927" s="711">
        <v>43077</v>
      </c>
      <c r="P927" t="s">
        <v>3640</v>
      </c>
      <c r="Q927" t="s">
        <v>1280</v>
      </c>
      <c r="R927" t="s">
        <v>1280</v>
      </c>
      <c r="S927" t="s">
        <v>1510</v>
      </c>
      <c r="T927">
        <v>54</v>
      </c>
      <c r="U927">
        <f>IF(Table__192.168.1.150_M_CONSOLIDATED_Delinquency_Compulsory_EOM[[#This Row],[Days in Arrears]] &lt; 8, Table__192.168.1.150_M_CONSOLIDATED_Delinquency_Compulsory_EOM[[#This Row],[Outstanding Balance]], 0 )</f>
        <v>0</v>
      </c>
      <c r="V9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1298012</v>
      </c>
      <c r="W9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7" s="105" t="str">
        <f>VLOOKUP(Table__192.168.1.150_M_CONSOLIDATED_Delinquency_Compulsory_EOM[[#This Row],[Client No]],'Global Portfolio'!$B$2:$N$2500,10,FALSE)</f>
        <v>Retail</v>
      </c>
      <c r="AA927" s="105" t="str">
        <f>VLOOKUP(Table__192.168.1.150_M_CONSOLIDATED_Delinquency_Compulsory_EOM[[#This Row],[Client No]],'Global Portfolio'!$B$2:$N$2500,11,FALSE)</f>
        <v>Miscellaneous Store Retailers</v>
      </c>
      <c r="AB927" s="105" t="str">
        <f>VLOOKUP(Table__192.168.1.150_M_CONSOLIDATED_Delinquency_Compulsory_EOM[[#This Row],[Client No]],'Global Portfolio'!$B$2:$N$2500,12,FALSE)</f>
        <v>Others</v>
      </c>
    </row>
    <row r="928" spans="1:28" x14ac:dyDescent="0.25">
      <c r="A928">
        <v>200665</v>
      </c>
      <c r="B928" t="s">
        <v>3650</v>
      </c>
      <c r="C928" t="s">
        <v>3655</v>
      </c>
      <c r="D928" t="s">
        <v>1281</v>
      </c>
      <c r="E928">
        <v>-8</v>
      </c>
      <c r="F928">
        <v>20000000</v>
      </c>
      <c r="G928">
        <v>10636838.539999999</v>
      </c>
      <c r="H928">
        <v>1579866.56</v>
      </c>
      <c r="I928" t="s">
        <v>1447</v>
      </c>
      <c r="J928">
        <v>864026.9</v>
      </c>
      <c r="K928">
        <v>0</v>
      </c>
      <c r="L928">
        <v>297831.48</v>
      </c>
      <c r="M928">
        <v>12638932.550000001</v>
      </c>
      <c r="N928" s="711">
        <v>42713.68491311343</v>
      </c>
      <c r="O928" s="711">
        <v>43260</v>
      </c>
      <c r="P928" t="s">
        <v>3656</v>
      </c>
      <c r="Q928" t="s">
        <v>1280</v>
      </c>
      <c r="R928" t="s">
        <v>3657</v>
      </c>
      <c r="S928" t="s">
        <v>1510</v>
      </c>
      <c r="T928">
        <v>48</v>
      </c>
      <c r="U928">
        <f>IF(Table__192.168.1.150_M_CONSOLIDATED_Delinquency_Compulsory_EOM[[#This Row],[Days in Arrears]] &lt; 8, Table__192.168.1.150_M_CONSOLIDATED_Delinquency_Compulsory_EOM[[#This Row],[Outstanding Balance]], 0 )</f>
        <v>10636838.539999999</v>
      </c>
      <c r="V9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8" s="105" t="str">
        <f>VLOOKUP(Table__192.168.1.150_M_CONSOLIDATED_Delinquency_Compulsory_EOM[[#This Row],[Client No]],'Global Portfolio'!$B$2:$N$2500,10,FALSE)</f>
        <v>Information</v>
      </c>
      <c r="AA928" s="105" t="str">
        <f>VLOOKUP(Table__192.168.1.150_M_CONSOLIDATED_Delinquency_Compulsory_EOM[[#This Row],[Client No]],'Global Portfolio'!$B$2:$N$2500,11,FALSE)</f>
        <v>Publishing Industries</v>
      </c>
      <c r="AB928" s="105" t="str">
        <f>VLOOKUP(Table__192.168.1.150_M_CONSOLIDATED_Delinquency_Compulsory_EOM[[#This Row],[Client No]],'Global Portfolio'!$B$2:$N$2500,12,FALSE)</f>
        <v>Others</v>
      </c>
    </row>
    <row r="929" spans="1:28" x14ac:dyDescent="0.25">
      <c r="A929">
        <v>200666</v>
      </c>
      <c r="B929" t="s">
        <v>3645</v>
      </c>
      <c r="C929" t="s">
        <v>3658</v>
      </c>
      <c r="D929" t="s">
        <v>1281</v>
      </c>
      <c r="E929">
        <v>-8</v>
      </c>
      <c r="F929">
        <v>20000000</v>
      </c>
      <c r="G929">
        <v>10636838.539999999</v>
      </c>
      <c r="H929">
        <v>1579866.56</v>
      </c>
      <c r="I929" t="s">
        <v>1447</v>
      </c>
      <c r="J929">
        <v>39861.769999999997</v>
      </c>
      <c r="K929">
        <v>1500000</v>
      </c>
      <c r="L929">
        <v>297831.48</v>
      </c>
      <c r="M929">
        <v>12638932.550000001</v>
      </c>
      <c r="N929" s="711">
        <v>42713.640433912034</v>
      </c>
      <c r="O929" s="711">
        <v>43260</v>
      </c>
      <c r="P929" t="s">
        <v>3659</v>
      </c>
      <c r="Q929" t="s">
        <v>1280</v>
      </c>
      <c r="R929" t="s">
        <v>3660</v>
      </c>
      <c r="S929" t="s">
        <v>1510</v>
      </c>
      <c r="T929">
        <v>48</v>
      </c>
      <c r="U929">
        <f>IF(Table__192.168.1.150_M_CONSOLIDATED_Delinquency_Compulsory_EOM[[#This Row],[Days in Arrears]] &lt; 8, Table__192.168.1.150_M_CONSOLIDATED_Delinquency_Compulsory_EOM[[#This Row],[Outstanding Balance]], 0 )</f>
        <v>10636838.539999999</v>
      </c>
      <c r="V9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29" s="105" t="str">
        <f>VLOOKUP(Table__192.168.1.150_M_CONSOLIDATED_Delinquency_Compulsory_EOM[[#This Row],[Client No]],'Global Portfolio'!$B$2:$N$2500,10,FALSE)</f>
        <v>Retail</v>
      </c>
      <c r="AA929" s="105" t="str">
        <f>VLOOKUP(Table__192.168.1.150_M_CONSOLIDATED_Delinquency_Compulsory_EOM[[#This Row],[Client No]],'Global Portfolio'!$B$2:$N$2500,11,FALSE)</f>
        <v>Building Material and Garden Equipment</v>
      </c>
      <c r="AB929" s="105" t="str">
        <f>VLOOKUP(Table__192.168.1.150_M_CONSOLIDATED_Delinquency_Compulsory_EOM[[#This Row],[Client No]],'Global Portfolio'!$B$2:$N$2500,12,FALSE)</f>
        <v>Hardware Stores</v>
      </c>
    </row>
    <row r="930" spans="1:28" x14ac:dyDescent="0.25">
      <c r="A930">
        <v>200668</v>
      </c>
      <c r="B930" t="s">
        <v>3648</v>
      </c>
      <c r="C930" t="s">
        <v>3661</v>
      </c>
      <c r="D930" t="s">
        <v>1279</v>
      </c>
      <c r="E930">
        <v>-9</v>
      </c>
      <c r="F930">
        <v>2500000</v>
      </c>
      <c r="G930">
        <v>513420.84</v>
      </c>
      <c r="H930">
        <v>274165.46999999997</v>
      </c>
      <c r="I930" t="s">
        <v>3074</v>
      </c>
      <c r="J930">
        <v>0</v>
      </c>
      <c r="K930">
        <v>250000</v>
      </c>
      <c r="L930">
        <v>15402.63</v>
      </c>
      <c r="M930">
        <v>548330.94999999995</v>
      </c>
      <c r="N930" s="711">
        <v>42714.481875775462</v>
      </c>
      <c r="O930" s="711">
        <v>43079</v>
      </c>
      <c r="P930" t="s">
        <v>3662</v>
      </c>
      <c r="Q930" t="s">
        <v>1280</v>
      </c>
      <c r="R930" t="s">
        <v>3663</v>
      </c>
      <c r="S930" t="s">
        <v>1510</v>
      </c>
      <c r="T930">
        <v>54</v>
      </c>
      <c r="U930">
        <f>IF(Table__192.168.1.150_M_CONSOLIDATED_Delinquency_Compulsory_EOM[[#This Row],[Days in Arrears]] &lt; 8, Table__192.168.1.150_M_CONSOLIDATED_Delinquency_Compulsory_EOM[[#This Row],[Outstanding Balance]], 0 )</f>
        <v>513420.84</v>
      </c>
      <c r="V9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0" s="105" t="str">
        <f>VLOOKUP(Table__192.168.1.150_M_CONSOLIDATED_Delinquency_Compulsory_EOM[[#This Row],[Client No]],'Global Portfolio'!$B$2:$N$2500,10,FALSE)</f>
        <v>Retail</v>
      </c>
      <c r="AA930" s="105" t="str">
        <f>VLOOKUP(Table__192.168.1.150_M_CONSOLIDATED_Delinquency_Compulsory_EOM[[#This Row],[Client No]],'Global Portfolio'!$B$2:$N$2500,11,FALSE)</f>
        <v>General Merchandise Stores</v>
      </c>
      <c r="AB930" s="105" t="str">
        <f>VLOOKUP(Table__192.168.1.150_M_CONSOLIDATED_Delinquency_Compulsory_EOM[[#This Row],[Client No]],'Global Portfolio'!$B$2:$N$2500,12,FALSE)</f>
        <v>General Stores</v>
      </c>
    </row>
    <row r="931" spans="1:28" x14ac:dyDescent="0.25">
      <c r="A931">
        <v>200669</v>
      </c>
      <c r="B931" t="s">
        <v>3649</v>
      </c>
      <c r="C931" t="s">
        <v>3664</v>
      </c>
      <c r="D931" t="s">
        <v>1281</v>
      </c>
      <c r="E931">
        <v>-9</v>
      </c>
      <c r="F931">
        <v>20000000</v>
      </c>
      <c r="G931">
        <v>10636838.539999999</v>
      </c>
      <c r="H931">
        <v>1579866.56</v>
      </c>
      <c r="I931" t="s">
        <v>1448</v>
      </c>
      <c r="J931">
        <v>0</v>
      </c>
      <c r="K931">
        <v>1500000</v>
      </c>
      <c r="L931">
        <v>283649.03000000003</v>
      </c>
      <c r="M931">
        <v>12638932.550000001</v>
      </c>
      <c r="N931" s="711">
        <v>42714.545201967594</v>
      </c>
      <c r="O931" s="711">
        <v>43261</v>
      </c>
      <c r="P931" t="s">
        <v>3665</v>
      </c>
      <c r="Q931" t="s">
        <v>1280</v>
      </c>
      <c r="R931" t="s">
        <v>3666</v>
      </c>
      <c r="S931" t="s">
        <v>1510</v>
      </c>
      <c r="T931">
        <v>48</v>
      </c>
      <c r="U931">
        <f>IF(Table__192.168.1.150_M_CONSOLIDATED_Delinquency_Compulsory_EOM[[#This Row],[Days in Arrears]] &lt; 8, Table__192.168.1.150_M_CONSOLIDATED_Delinquency_Compulsory_EOM[[#This Row],[Outstanding Balance]], 0 )</f>
        <v>10636838.539999999</v>
      </c>
      <c r="V9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1" s="105" t="str">
        <f>VLOOKUP(Table__192.168.1.150_M_CONSOLIDATED_Delinquency_Compulsory_EOM[[#This Row],[Client No]],'Global Portfolio'!$B$2:$N$2500,10,FALSE)</f>
        <v>Retail</v>
      </c>
      <c r="AA931" s="105" t="str">
        <f>VLOOKUP(Table__192.168.1.150_M_CONSOLIDATED_Delinquency_Compulsory_EOM[[#This Row],[Client No]],'Global Portfolio'!$B$2:$N$2500,11,FALSE)</f>
        <v>General Merchandise Stores</v>
      </c>
      <c r="AB931" s="105" t="str">
        <f>VLOOKUP(Table__192.168.1.150_M_CONSOLIDATED_Delinquency_Compulsory_EOM[[#This Row],[Client No]],'Global Portfolio'!$B$2:$N$2500,12,FALSE)</f>
        <v>Others</v>
      </c>
    </row>
    <row r="932" spans="1:28" x14ac:dyDescent="0.25">
      <c r="A932">
        <v>200671</v>
      </c>
      <c r="B932" t="s">
        <v>3729</v>
      </c>
      <c r="C932" t="s">
        <v>3730</v>
      </c>
      <c r="D932" t="s">
        <v>1282</v>
      </c>
      <c r="E932">
        <v>75</v>
      </c>
      <c r="F932">
        <v>4500000</v>
      </c>
      <c r="G932">
        <v>2166444.0699999998</v>
      </c>
      <c r="H932">
        <v>493497.85</v>
      </c>
      <c r="I932" t="s">
        <v>1467</v>
      </c>
      <c r="J932">
        <v>0</v>
      </c>
      <c r="K932">
        <v>450000</v>
      </c>
      <c r="L932">
        <v>174503.95</v>
      </c>
      <c r="M932">
        <v>2467489.23</v>
      </c>
      <c r="N932" s="711">
        <v>42720.639203356484</v>
      </c>
      <c r="O932" s="711">
        <v>43085</v>
      </c>
      <c r="P932" t="s">
        <v>3731</v>
      </c>
      <c r="Q932" t="s">
        <v>1280</v>
      </c>
      <c r="R932" t="s">
        <v>1280</v>
      </c>
      <c r="S932" t="s">
        <v>1510</v>
      </c>
      <c r="T932">
        <v>54</v>
      </c>
      <c r="U932">
        <f>IF(Table__192.168.1.150_M_CONSOLIDATED_Delinquency_Compulsory_EOM[[#This Row],[Days in Arrears]] &lt; 8, Table__192.168.1.150_M_CONSOLIDATED_Delinquency_Compulsory_EOM[[#This Row],[Outstanding Balance]], 0 )</f>
        <v>0</v>
      </c>
      <c r="V9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2166444.0699999998</v>
      </c>
      <c r="Y9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2" s="105" t="str">
        <f>VLOOKUP(Table__192.168.1.150_M_CONSOLIDATED_Delinquency_Compulsory_EOM[[#This Row],[Client No]],'Global Portfolio'!$B$2:$N$2500,10,FALSE)</f>
        <v>Real Estate and Rental</v>
      </c>
      <c r="AA932" s="105" t="str">
        <f>VLOOKUP(Table__192.168.1.150_M_CONSOLIDATED_Delinquency_Compulsory_EOM[[#This Row],[Client No]],'Global Portfolio'!$B$2:$N$2500,11,FALSE)</f>
        <v>Rental</v>
      </c>
      <c r="AB932" s="105" t="str">
        <f>VLOOKUP(Table__192.168.1.150_M_CONSOLIDATED_Delinquency_Compulsory_EOM[[#This Row],[Client No]],'Global Portfolio'!$B$2:$N$2500,12,FALSE)</f>
        <v>Others</v>
      </c>
    </row>
    <row r="933" spans="1:28" x14ac:dyDescent="0.25">
      <c r="A933">
        <v>200672</v>
      </c>
      <c r="B933" t="s">
        <v>3670</v>
      </c>
      <c r="C933" t="s">
        <v>3676</v>
      </c>
      <c r="D933" t="s">
        <v>1866</v>
      </c>
      <c r="E933">
        <v>19</v>
      </c>
      <c r="F933">
        <v>6000000</v>
      </c>
      <c r="G933">
        <v>1433967.43</v>
      </c>
      <c r="H933">
        <v>645510.71</v>
      </c>
      <c r="I933" t="s">
        <v>963</v>
      </c>
      <c r="J933">
        <v>0</v>
      </c>
      <c r="K933">
        <v>0</v>
      </c>
      <c r="L933">
        <v>171652.56</v>
      </c>
      <c r="M933">
        <v>1510395.9</v>
      </c>
      <c r="N933" s="711">
        <v>42716.489123576386</v>
      </c>
      <c r="O933" s="711">
        <v>43081</v>
      </c>
      <c r="P933" t="s">
        <v>3677</v>
      </c>
      <c r="Q933" t="s">
        <v>1280</v>
      </c>
      <c r="R933" t="s">
        <v>1280</v>
      </c>
      <c r="S933" t="s">
        <v>1510</v>
      </c>
      <c r="T933">
        <v>50</v>
      </c>
      <c r="U933">
        <f>IF(Table__192.168.1.150_M_CONSOLIDATED_Delinquency_Compulsory_EOM[[#This Row],[Days in Arrears]] &lt; 8, Table__192.168.1.150_M_CONSOLIDATED_Delinquency_Compulsory_EOM[[#This Row],[Outstanding Balance]], 0 )</f>
        <v>0</v>
      </c>
      <c r="V9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1433967.43</v>
      </c>
      <c r="W9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3" s="105" t="str">
        <f>VLOOKUP(Table__192.168.1.150_M_CONSOLIDATED_Delinquency_Compulsory_EOM[[#This Row],[Client No]],'Global Portfolio'!$B$2:$N$2500,10,FALSE)</f>
        <v>Restaurants and Hotels</v>
      </c>
      <c r="AA933" s="105" t="str">
        <f>VLOOKUP(Table__192.168.1.150_M_CONSOLIDATED_Delinquency_Compulsory_EOM[[#This Row],[Client No]],'Global Portfolio'!$B$2:$N$2500,11,FALSE)</f>
        <v>Restaurant</v>
      </c>
      <c r="AB933" s="105" t="str">
        <f>VLOOKUP(Table__192.168.1.150_M_CONSOLIDATED_Delinquency_Compulsory_EOM[[#This Row],[Client No]],'Global Portfolio'!$B$2:$N$2500,12,FALSE)</f>
        <v>Food  service contractors &amp; caterers</v>
      </c>
    </row>
    <row r="934" spans="1:28" x14ac:dyDescent="0.25">
      <c r="A934">
        <v>200673</v>
      </c>
      <c r="B934" t="s">
        <v>3669</v>
      </c>
      <c r="C934" t="s">
        <v>3678</v>
      </c>
      <c r="D934" t="s">
        <v>1279</v>
      </c>
      <c r="E934">
        <v>169</v>
      </c>
      <c r="F934">
        <v>1000000</v>
      </c>
      <c r="G934">
        <v>363069.79</v>
      </c>
      <c r="H934">
        <v>193878.39</v>
      </c>
      <c r="I934" t="s">
        <v>2855</v>
      </c>
      <c r="J934">
        <v>0</v>
      </c>
      <c r="K934">
        <v>103222.92</v>
      </c>
      <c r="L934">
        <v>24408.67</v>
      </c>
      <c r="M934">
        <v>387756.76</v>
      </c>
      <c r="N934" s="711">
        <v>42716.516254942129</v>
      </c>
      <c r="O934" s="711">
        <v>42898</v>
      </c>
      <c r="P934" t="s">
        <v>3679</v>
      </c>
      <c r="Q934" t="s">
        <v>1280</v>
      </c>
      <c r="R934" t="s">
        <v>3680</v>
      </c>
      <c r="S934" t="s">
        <v>1510</v>
      </c>
      <c r="T934">
        <v>54</v>
      </c>
      <c r="U934">
        <f>IF(Table__192.168.1.150_M_CONSOLIDATED_Delinquency_Compulsory_EOM[[#This Row],[Days in Arrears]] &lt; 8, Table__192.168.1.150_M_CONSOLIDATED_Delinquency_Compulsory_EOM[[#This Row],[Outstanding Balance]], 0 )</f>
        <v>0</v>
      </c>
      <c r="V9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363069.79</v>
      </c>
      <c r="Z934" s="105" t="str">
        <f>VLOOKUP(Table__192.168.1.150_M_CONSOLIDATED_Delinquency_Compulsory_EOM[[#This Row],[Client No]],'Global Portfolio'!$B$2:$N$2500,10,FALSE)</f>
        <v>Real Estate and Rental</v>
      </c>
      <c r="AA934" s="105" t="str">
        <f>VLOOKUP(Table__192.168.1.150_M_CONSOLIDATED_Delinquency_Compulsory_EOM[[#This Row],[Client No]],'Global Portfolio'!$B$2:$N$2500,11,FALSE)</f>
        <v>Rental</v>
      </c>
      <c r="AB934" s="105" t="str">
        <f>VLOOKUP(Table__192.168.1.150_M_CONSOLIDATED_Delinquency_Compulsory_EOM[[#This Row],[Client No]],'Global Portfolio'!$B$2:$N$2500,12,FALSE)</f>
        <v>Others</v>
      </c>
    </row>
    <row r="935" spans="1:28" x14ac:dyDescent="0.25">
      <c r="A935">
        <v>200675</v>
      </c>
      <c r="B935" t="s">
        <v>3683</v>
      </c>
      <c r="C935" t="s">
        <v>3688</v>
      </c>
      <c r="D935" t="s">
        <v>1866</v>
      </c>
      <c r="E935">
        <v>-12</v>
      </c>
      <c r="F935">
        <v>10000000</v>
      </c>
      <c r="G935">
        <v>4031924.26</v>
      </c>
      <c r="H935">
        <v>909924.16</v>
      </c>
      <c r="I935" t="s">
        <v>1467</v>
      </c>
      <c r="J935">
        <v>873228.07</v>
      </c>
      <c r="K935">
        <v>0</v>
      </c>
      <c r="L935">
        <v>95198.21</v>
      </c>
      <c r="M935">
        <v>4549620.84</v>
      </c>
      <c r="N935" s="711">
        <v>42717.589245914351</v>
      </c>
      <c r="O935" s="711">
        <v>43172</v>
      </c>
      <c r="P935" t="s">
        <v>3689</v>
      </c>
      <c r="Q935" t="s">
        <v>1280</v>
      </c>
      <c r="R935" t="s">
        <v>1280</v>
      </c>
      <c r="S935" t="s">
        <v>1510</v>
      </c>
      <c r="T935">
        <v>50</v>
      </c>
      <c r="U935">
        <f>IF(Table__192.168.1.150_M_CONSOLIDATED_Delinquency_Compulsory_EOM[[#This Row],[Days in Arrears]] &lt; 8, Table__192.168.1.150_M_CONSOLIDATED_Delinquency_Compulsory_EOM[[#This Row],[Outstanding Balance]], 0 )</f>
        <v>4031924.26</v>
      </c>
      <c r="V9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5" s="105" t="str">
        <f>VLOOKUP(Table__192.168.1.150_M_CONSOLIDATED_Delinquency_Compulsory_EOM[[#This Row],[Client No]],'Global Portfolio'!$B$2:$N$2500,10,FALSE)</f>
        <v>Restaurants and Hotels</v>
      </c>
      <c r="AA935" s="105" t="str">
        <f>VLOOKUP(Table__192.168.1.150_M_CONSOLIDATED_Delinquency_Compulsory_EOM[[#This Row],[Client No]],'Global Portfolio'!$B$2:$N$2500,11,FALSE)</f>
        <v>Restaurant</v>
      </c>
      <c r="AB935" s="105" t="str">
        <f>VLOOKUP(Table__192.168.1.150_M_CONSOLIDATED_Delinquency_Compulsory_EOM[[#This Row],[Client No]],'Global Portfolio'!$B$2:$N$2500,12,FALSE)</f>
        <v>Restaurant</v>
      </c>
    </row>
    <row r="936" spans="1:28" x14ac:dyDescent="0.25">
      <c r="A936">
        <v>200676</v>
      </c>
      <c r="B936" t="s">
        <v>2292</v>
      </c>
      <c r="C936" t="s">
        <v>2304</v>
      </c>
      <c r="D936" t="s">
        <v>1284</v>
      </c>
      <c r="E936">
        <v>-15</v>
      </c>
      <c r="F936">
        <v>40000000</v>
      </c>
      <c r="G936">
        <v>26680157.149999999</v>
      </c>
      <c r="H936">
        <v>2361896.64</v>
      </c>
      <c r="I936" t="s">
        <v>2175</v>
      </c>
      <c r="J936">
        <v>67070.81</v>
      </c>
      <c r="K936">
        <v>0</v>
      </c>
      <c r="L936">
        <v>373522.2</v>
      </c>
      <c r="M936">
        <v>33066552.899999999</v>
      </c>
      <c r="N936" s="711">
        <v>42720.740306678243</v>
      </c>
      <c r="O936" s="711">
        <v>43450</v>
      </c>
      <c r="P936" t="s">
        <v>2305</v>
      </c>
      <c r="Q936" t="s">
        <v>1280</v>
      </c>
      <c r="R936" t="s">
        <v>2306</v>
      </c>
      <c r="S936" t="s">
        <v>1510</v>
      </c>
      <c r="T936">
        <v>36</v>
      </c>
      <c r="U936">
        <f>IF(Table__192.168.1.150_M_CONSOLIDATED_Delinquency_Compulsory_EOM[[#This Row],[Days in Arrears]] &lt; 8, Table__192.168.1.150_M_CONSOLIDATED_Delinquency_Compulsory_EOM[[#This Row],[Outstanding Balance]], 0 )</f>
        <v>26680157.149999999</v>
      </c>
      <c r="V9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6" s="105" t="str">
        <f>VLOOKUP(Table__192.168.1.150_M_CONSOLIDATED_Delinquency_Compulsory_EOM[[#This Row],[Client No]],'Global Portfolio'!$B$2:$N$2500,10,FALSE)</f>
        <v>Retail</v>
      </c>
      <c r="AA936" s="105" t="str">
        <f>VLOOKUP(Table__192.168.1.150_M_CONSOLIDATED_Delinquency_Compulsory_EOM[[#This Row],[Client No]],'Global Portfolio'!$B$2:$N$2500,11,FALSE)</f>
        <v>Building Material and Garden Equipment</v>
      </c>
      <c r="AB936" s="105" t="str">
        <f>VLOOKUP(Table__192.168.1.150_M_CONSOLIDATED_Delinquency_Compulsory_EOM[[#This Row],[Client No]],'Global Portfolio'!$B$2:$N$2500,12,FALSE)</f>
        <v>Hardware Stores</v>
      </c>
    </row>
    <row r="937" spans="1:28" x14ac:dyDescent="0.25">
      <c r="A937">
        <v>200681</v>
      </c>
      <c r="B937" t="s">
        <v>3696</v>
      </c>
      <c r="C937" t="s">
        <v>3699</v>
      </c>
      <c r="D937" t="s">
        <v>1284</v>
      </c>
      <c r="E937">
        <v>-13</v>
      </c>
      <c r="F937">
        <v>65000000</v>
      </c>
      <c r="G937">
        <v>43922768.359999999</v>
      </c>
      <c r="H937">
        <v>3977202.81</v>
      </c>
      <c r="I937" t="s">
        <v>491</v>
      </c>
      <c r="J937">
        <v>3109513.86</v>
      </c>
      <c r="K937">
        <v>0</v>
      </c>
      <c r="L937">
        <v>780849.22</v>
      </c>
      <c r="M937">
        <v>55680839.299999997</v>
      </c>
      <c r="N937" s="711">
        <v>42718.605861145836</v>
      </c>
      <c r="O937" s="711">
        <v>43448</v>
      </c>
      <c r="P937" t="s">
        <v>3700</v>
      </c>
      <c r="Q937" t="s">
        <v>1280</v>
      </c>
      <c r="R937" t="s">
        <v>3701</v>
      </c>
      <c r="S937" t="s">
        <v>1510</v>
      </c>
      <c r="T937">
        <v>40</v>
      </c>
      <c r="U937">
        <f>IF(Table__192.168.1.150_M_CONSOLIDATED_Delinquency_Compulsory_EOM[[#This Row],[Days in Arrears]] &lt; 8, Table__192.168.1.150_M_CONSOLIDATED_Delinquency_Compulsory_EOM[[#This Row],[Outstanding Balance]], 0 )</f>
        <v>43922768.359999999</v>
      </c>
      <c r="V9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7" s="105" t="str">
        <f>VLOOKUP(Table__192.168.1.150_M_CONSOLIDATED_Delinquency_Compulsory_EOM[[#This Row],[Client No]],'Global Portfolio'!$B$2:$N$2500,10,FALSE)</f>
        <v>Real Estate and Rental</v>
      </c>
      <c r="AA937" s="105" t="str">
        <f>VLOOKUP(Table__192.168.1.150_M_CONSOLIDATED_Delinquency_Compulsory_EOM[[#This Row],[Client No]],'Global Portfolio'!$B$2:$N$2500,11,FALSE)</f>
        <v>Rental</v>
      </c>
      <c r="AB937" s="105" t="str">
        <f>VLOOKUP(Table__192.168.1.150_M_CONSOLIDATED_Delinquency_Compulsory_EOM[[#This Row],[Client No]],'Global Portfolio'!$B$2:$N$2500,12,FALSE)</f>
        <v>General Rental Centers</v>
      </c>
    </row>
    <row r="938" spans="1:28" x14ac:dyDescent="0.25">
      <c r="A938">
        <v>200689</v>
      </c>
      <c r="B938" t="s">
        <v>1687</v>
      </c>
      <c r="C938" t="s">
        <v>1694</v>
      </c>
      <c r="D938" t="s">
        <v>1281</v>
      </c>
      <c r="E938">
        <v>76</v>
      </c>
      <c r="F938">
        <v>30000000</v>
      </c>
      <c r="G938">
        <v>23635006.18</v>
      </c>
      <c r="H938">
        <v>1868184.91</v>
      </c>
      <c r="I938" t="s">
        <v>5724</v>
      </c>
      <c r="J938">
        <v>0</v>
      </c>
      <c r="K938">
        <v>0</v>
      </c>
      <c r="L938">
        <v>1591657.13</v>
      </c>
      <c r="M938">
        <v>31759143.420000002</v>
      </c>
      <c r="N938" s="711">
        <v>42719.7642991088</v>
      </c>
      <c r="O938" s="711">
        <v>43449</v>
      </c>
      <c r="P938" t="s">
        <v>1695</v>
      </c>
      <c r="Q938" t="s">
        <v>1280</v>
      </c>
      <c r="R938" t="s">
        <v>1696</v>
      </c>
      <c r="S938" t="s">
        <v>1510</v>
      </c>
      <c r="T938">
        <v>42</v>
      </c>
      <c r="U938">
        <f>IF(Table__192.168.1.150_M_CONSOLIDATED_Delinquency_Compulsory_EOM[[#This Row],[Days in Arrears]] &lt; 8, Table__192.168.1.150_M_CONSOLIDATED_Delinquency_Compulsory_EOM[[#This Row],[Outstanding Balance]], 0 )</f>
        <v>0</v>
      </c>
      <c r="V9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23635006.18</v>
      </c>
      <c r="Y9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8" s="105" t="str">
        <f>VLOOKUP(Table__192.168.1.150_M_CONSOLIDATED_Delinquency_Compulsory_EOM[[#This Row],[Client No]],'Global Portfolio'!$B$2:$N$2500,10,FALSE)</f>
        <v>Retail</v>
      </c>
      <c r="AA938" s="105" t="str">
        <f>VLOOKUP(Table__192.168.1.150_M_CONSOLIDATED_Delinquency_Compulsory_EOM[[#This Row],[Client No]],'Global Portfolio'!$B$2:$N$2500,11,FALSE)</f>
        <v>Motor Vehicle and Parts Dealers</v>
      </c>
      <c r="AB938" s="105" t="str">
        <f>VLOOKUP(Table__192.168.1.150_M_CONSOLIDATED_Delinquency_Compulsory_EOM[[#This Row],[Client No]],'Global Portfolio'!$B$2:$N$2500,12,FALSE)</f>
        <v>Others</v>
      </c>
    </row>
    <row r="939" spans="1:28" x14ac:dyDescent="0.25">
      <c r="A939">
        <v>200692</v>
      </c>
      <c r="B939" t="s">
        <v>3728</v>
      </c>
      <c r="C939" t="s">
        <v>3735</v>
      </c>
      <c r="D939" t="s">
        <v>1282</v>
      </c>
      <c r="E939">
        <v>-15</v>
      </c>
      <c r="F939">
        <v>5000000</v>
      </c>
      <c r="G939">
        <v>1026841.7</v>
      </c>
      <c r="H939">
        <v>548330.93999999994</v>
      </c>
      <c r="I939" t="s">
        <v>2557</v>
      </c>
      <c r="J939">
        <v>0</v>
      </c>
      <c r="K939">
        <v>500000</v>
      </c>
      <c r="L939">
        <v>21563.68</v>
      </c>
      <c r="M939">
        <v>1096661.92</v>
      </c>
      <c r="N939" s="711">
        <v>42720.726447488429</v>
      </c>
      <c r="O939" s="711">
        <v>43085</v>
      </c>
      <c r="P939" t="s">
        <v>3736</v>
      </c>
      <c r="Q939" t="s">
        <v>1280</v>
      </c>
      <c r="R939" t="s">
        <v>1280</v>
      </c>
      <c r="S939" t="s">
        <v>1510</v>
      </c>
      <c r="T939">
        <v>54</v>
      </c>
      <c r="U939">
        <f>IF(Table__192.168.1.150_M_CONSOLIDATED_Delinquency_Compulsory_EOM[[#This Row],[Days in Arrears]] &lt; 8, Table__192.168.1.150_M_CONSOLIDATED_Delinquency_Compulsory_EOM[[#This Row],[Outstanding Balance]], 0 )</f>
        <v>1026841.7</v>
      </c>
      <c r="V9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39" s="105" t="str">
        <f>VLOOKUP(Table__192.168.1.150_M_CONSOLIDATED_Delinquency_Compulsory_EOM[[#This Row],[Client No]],'Global Portfolio'!$B$2:$N$2500,10,FALSE)</f>
        <v>Real Estate and Rental</v>
      </c>
      <c r="AA939" s="105" t="str">
        <f>VLOOKUP(Table__192.168.1.150_M_CONSOLIDATED_Delinquency_Compulsory_EOM[[#This Row],[Client No]],'Global Portfolio'!$B$2:$N$2500,11,FALSE)</f>
        <v>Rental</v>
      </c>
      <c r="AB939" s="105" t="str">
        <f>VLOOKUP(Table__192.168.1.150_M_CONSOLIDATED_Delinquency_Compulsory_EOM[[#This Row],[Client No]],'Global Portfolio'!$B$2:$N$2500,12,FALSE)</f>
        <v>General Rental Centers</v>
      </c>
    </row>
    <row r="940" spans="1:28" x14ac:dyDescent="0.25">
      <c r="A940">
        <v>200694</v>
      </c>
      <c r="B940" t="s">
        <v>3725</v>
      </c>
      <c r="C940" t="s">
        <v>3737</v>
      </c>
      <c r="D940" t="s">
        <v>1282</v>
      </c>
      <c r="E940">
        <v>-15</v>
      </c>
      <c r="F940">
        <v>7500000</v>
      </c>
      <c r="G940">
        <v>1540262.57</v>
      </c>
      <c r="H940">
        <v>822496.41</v>
      </c>
      <c r="I940" t="s">
        <v>1448</v>
      </c>
      <c r="J940">
        <v>20589.099999999999</v>
      </c>
      <c r="K940">
        <v>750000</v>
      </c>
      <c r="L940">
        <v>32345.51</v>
      </c>
      <c r="M940">
        <v>1644992.9</v>
      </c>
      <c r="N940" s="711">
        <v>42720.640963078702</v>
      </c>
      <c r="O940" s="711">
        <v>43085</v>
      </c>
      <c r="P940" t="s">
        <v>3738</v>
      </c>
      <c r="Q940" t="s">
        <v>1280</v>
      </c>
      <c r="R940" t="s">
        <v>3739</v>
      </c>
      <c r="S940" t="s">
        <v>1510</v>
      </c>
      <c r="T940">
        <v>54</v>
      </c>
      <c r="U940">
        <f>IF(Table__192.168.1.150_M_CONSOLIDATED_Delinquency_Compulsory_EOM[[#This Row],[Days in Arrears]] &lt; 8, Table__192.168.1.150_M_CONSOLIDATED_Delinquency_Compulsory_EOM[[#This Row],[Outstanding Balance]], 0 )</f>
        <v>1540262.57</v>
      </c>
      <c r="V9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0" s="105" t="str">
        <f>VLOOKUP(Table__192.168.1.150_M_CONSOLIDATED_Delinquency_Compulsory_EOM[[#This Row],[Client No]],'Global Portfolio'!$B$2:$N$2500,10,FALSE)</f>
        <v>Retail</v>
      </c>
      <c r="AA940" s="105" t="str">
        <f>VLOOKUP(Table__192.168.1.150_M_CONSOLIDATED_Delinquency_Compulsory_EOM[[#This Row],[Client No]],'Global Portfolio'!$B$2:$N$2500,11,FALSE)</f>
        <v>Food and Beverage Stores</v>
      </c>
      <c r="AB940" s="105" t="str">
        <f>VLOOKUP(Table__192.168.1.150_M_CONSOLIDATED_Delinquency_Compulsory_EOM[[#This Row],[Client No]],'Global Portfolio'!$B$2:$N$2500,12,FALSE)</f>
        <v>Fruit &amp; Vegetable Markets</v>
      </c>
    </row>
    <row r="941" spans="1:28" x14ac:dyDescent="0.25">
      <c r="A941">
        <v>200695</v>
      </c>
      <c r="B941" t="s">
        <v>3727</v>
      </c>
      <c r="C941" t="s">
        <v>3740</v>
      </c>
      <c r="D941" t="s">
        <v>1282</v>
      </c>
      <c r="E941">
        <v>-19</v>
      </c>
      <c r="F941">
        <v>5000000</v>
      </c>
      <c r="G941">
        <v>1032737.48</v>
      </c>
      <c r="H941">
        <v>551479.25</v>
      </c>
      <c r="I941" t="s">
        <v>963</v>
      </c>
      <c r="J941">
        <v>3020.75</v>
      </c>
      <c r="K941">
        <v>500000</v>
      </c>
      <c r="L941">
        <v>15491.06</v>
      </c>
      <c r="M941">
        <v>1102958.58</v>
      </c>
      <c r="N941" s="711">
        <v>42720.736038773146</v>
      </c>
      <c r="O941" s="711">
        <v>43089</v>
      </c>
      <c r="P941" t="s">
        <v>3741</v>
      </c>
      <c r="Q941" t="s">
        <v>1280</v>
      </c>
      <c r="R941" t="s">
        <v>3742</v>
      </c>
      <c r="S941" t="s">
        <v>1510</v>
      </c>
      <c r="T941">
        <v>54</v>
      </c>
      <c r="U941">
        <f>IF(Table__192.168.1.150_M_CONSOLIDATED_Delinquency_Compulsory_EOM[[#This Row],[Days in Arrears]] &lt; 8, Table__192.168.1.150_M_CONSOLIDATED_Delinquency_Compulsory_EOM[[#This Row],[Outstanding Balance]], 0 )</f>
        <v>1032737.48</v>
      </c>
      <c r="V9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1" s="105" t="str">
        <f>VLOOKUP(Table__192.168.1.150_M_CONSOLIDATED_Delinquency_Compulsory_EOM[[#This Row],[Client No]],'Global Portfolio'!$B$2:$N$2500,10,FALSE)</f>
        <v>Retail</v>
      </c>
      <c r="AA941" s="105" t="str">
        <f>VLOOKUP(Table__192.168.1.150_M_CONSOLIDATED_Delinquency_Compulsory_EOM[[#This Row],[Client No]],'Global Portfolio'!$B$2:$N$2500,11,FALSE)</f>
        <v>Miscellaneous Store Retailers</v>
      </c>
      <c r="AB941" s="105" t="str">
        <f>VLOOKUP(Table__192.168.1.150_M_CONSOLIDATED_Delinquency_Compulsory_EOM[[#This Row],[Client No]],'Global Portfolio'!$B$2:$N$2500,12,FALSE)</f>
        <v>Printing Stores</v>
      </c>
    </row>
    <row r="942" spans="1:28" x14ac:dyDescent="0.25">
      <c r="A942">
        <v>200698</v>
      </c>
      <c r="B942" t="s">
        <v>3743</v>
      </c>
      <c r="C942" t="s">
        <v>3744</v>
      </c>
      <c r="D942" t="s">
        <v>1281</v>
      </c>
      <c r="E942">
        <v>-18</v>
      </c>
      <c r="F942">
        <v>22000000</v>
      </c>
      <c r="G942">
        <v>4421284.67</v>
      </c>
      <c r="H942">
        <v>2344147.7999999998</v>
      </c>
      <c r="I942" t="s">
        <v>963</v>
      </c>
      <c r="J942">
        <v>7714.36</v>
      </c>
      <c r="K942">
        <v>1650000</v>
      </c>
      <c r="L942">
        <v>64845.51</v>
      </c>
      <c r="M942">
        <v>4688295.59</v>
      </c>
      <c r="N942" s="711">
        <v>42723.661676504627</v>
      </c>
      <c r="O942" s="711">
        <v>43088</v>
      </c>
      <c r="P942" t="s">
        <v>3745</v>
      </c>
      <c r="Q942" t="s">
        <v>1280</v>
      </c>
      <c r="R942" t="s">
        <v>3746</v>
      </c>
      <c r="S942" t="s">
        <v>1510</v>
      </c>
      <c r="T942">
        <v>48</v>
      </c>
      <c r="U942">
        <f>IF(Table__192.168.1.150_M_CONSOLIDATED_Delinquency_Compulsory_EOM[[#This Row],[Days in Arrears]] &lt; 8, Table__192.168.1.150_M_CONSOLIDATED_Delinquency_Compulsory_EOM[[#This Row],[Outstanding Balance]], 0 )</f>
        <v>4421284.67</v>
      </c>
      <c r="V9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2" s="105" t="str">
        <f>VLOOKUP(Table__192.168.1.150_M_CONSOLIDATED_Delinquency_Compulsory_EOM[[#This Row],[Client No]],'Global Portfolio'!$B$2:$N$2500,10,FALSE)</f>
        <v>Health Care</v>
      </c>
      <c r="AA942" s="105" t="str">
        <f>VLOOKUP(Table__192.168.1.150_M_CONSOLIDATED_Delinquency_Compulsory_EOM[[#This Row],[Client No]],'Global Portfolio'!$B$2:$N$2500,11,FALSE)</f>
        <v>Health Care</v>
      </c>
      <c r="AB942" s="105" t="str">
        <f>VLOOKUP(Table__192.168.1.150_M_CONSOLIDATED_Delinquency_Compulsory_EOM[[#This Row],[Client No]],'Global Portfolio'!$B$2:$N$2500,12,FALSE)</f>
        <v xml:space="preserve"> Medical &amp; Diagnostic Laboratories</v>
      </c>
    </row>
    <row r="943" spans="1:28" x14ac:dyDescent="0.25">
      <c r="A943">
        <v>200701</v>
      </c>
      <c r="B943" t="s">
        <v>3747</v>
      </c>
      <c r="C943" t="s">
        <v>3748</v>
      </c>
      <c r="D943" t="s">
        <v>1283</v>
      </c>
      <c r="E943">
        <v>-19</v>
      </c>
      <c r="F943">
        <v>40000000</v>
      </c>
      <c r="G943">
        <v>27029395.91</v>
      </c>
      <c r="H943">
        <v>2447509.42</v>
      </c>
      <c r="I943" t="s">
        <v>2861</v>
      </c>
      <c r="J943">
        <v>0</v>
      </c>
      <c r="K943">
        <v>1000000</v>
      </c>
      <c r="L943">
        <v>300326.62</v>
      </c>
      <c r="M943">
        <v>34265131.899999999</v>
      </c>
      <c r="N943" s="711">
        <v>42724.647730590281</v>
      </c>
      <c r="O943" s="711">
        <v>43454</v>
      </c>
      <c r="P943" t="s">
        <v>3749</v>
      </c>
      <c r="Q943" t="s">
        <v>1280</v>
      </c>
      <c r="R943" t="s">
        <v>3750</v>
      </c>
      <c r="S943" t="s">
        <v>1510</v>
      </c>
      <c r="T943">
        <v>40</v>
      </c>
      <c r="U943">
        <f>IF(Table__192.168.1.150_M_CONSOLIDATED_Delinquency_Compulsory_EOM[[#This Row],[Days in Arrears]] &lt; 8, Table__192.168.1.150_M_CONSOLIDATED_Delinquency_Compulsory_EOM[[#This Row],[Outstanding Balance]], 0 )</f>
        <v>27029395.91</v>
      </c>
      <c r="V9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3" s="105" t="str">
        <f>VLOOKUP(Table__192.168.1.150_M_CONSOLIDATED_Delinquency_Compulsory_EOM[[#This Row],[Client No]],'Global Portfolio'!$B$2:$N$2500,10,FALSE)</f>
        <v>Retail</v>
      </c>
      <c r="AA943" s="105" t="str">
        <f>VLOOKUP(Table__192.168.1.150_M_CONSOLIDATED_Delinquency_Compulsory_EOM[[#This Row],[Client No]],'Global Portfolio'!$B$2:$N$2500,11,FALSE)</f>
        <v>Building Material and Garden Equipment</v>
      </c>
      <c r="AB943" s="105" t="str">
        <f>VLOOKUP(Table__192.168.1.150_M_CONSOLIDATED_Delinquency_Compulsory_EOM[[#This Row],[Client No]],'Global Portfolio'!$B$2:$N$2500,12,FALSE)</f>
        <v>Hardware Stores</v>
      </c>
    </row>
    <row r="944" spans="1:28" x14ac:dyDescent="0.25">
      <c r="A944">
        <v>200705</v>
      </c>
      <c r="B944" t="s">
        <v>3755</v>
      </c>
      <c r="C944" t="s">
        <v>3758</v>
      </c>
      <c r="D944" t="s">
        <v>1282</v>
      </c>
      <c r="E944">
        <v>-20</v>
      </c>
      <c r="F944">
        <v>10000000</v>
      </c>
      <c r="G944">
        <v>2053683.31</v>
      </c>
      <c r="H944">
        <v>1096661.8899999999</v>
      </c>
      <c r="I944" t="s">
        <v>1909</v>
      </c>
      <c r="J944">
        <v>0</v>
      </c>
      <c r="K944">
        <v>1000000</v>
      </c>
      <c r="L944">
        <v>27724.720000000001</v>
      </c>
      <c r="M944">
        <v>2712795.13</v>
      </c>
      <c r="N944" s="711">
        <v>42725.59253263889</v>
      </c>
      <c r="O944" s="711">
        <v>43425</v>
      </c>
      <c r="P944" t="s">
        <v>3759</v>
      </c>
      <c r="Q944" t="s">
        <v>1280</v>
      </c>
      <c r="R944" t="s">
        <v>3760</v>
      </c>
      <c r="S944" t="s">
        <v>1510</v>
      </c>
      <c r="T944">
        <v>54</v>
      </c>
      <c r="U944">
        <f>IF(Table__192.168.1.150_M_CONSOLIDATED_Delinquency_Compulsory_EOM[[#This Row],[Days in Arrears]] &lt; 8, Table__192.168.1.150_M_CONSOLIDATED_Delinquency_Compulsory_EOM[[#This Row],[Outstanding Balance]], 0 )</f>
        <v>2053683.31</v>
      </c>
      <c r="V9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4" s="105" t="e">
        <f>VLOOKUP(Table__192.168.1.150_M_CONSOLIDATED_Delinquency_Compulsory_EOM[[#This Row],[Client No]],'Global Portfolio'!$B$2:$N$2500,10,FALSE)</f>
        <v>#N/A</v>
      </c>
      <c r="AA944" s="105" t="e">
        <f>VLOOKUP(Table__192.168.1.150_M_CONSOLIDATED_Delinquency_Compulsory_EOM[[#This Row],[Client No]],'Global Portfolio'!$B$2:$N$2500,11,FALSE)</f>
        <v>#N/A</v>
      </c>
      <c r="AB944" s="105" t="e">
        <f>VLOOKUP(Table__192.168.1.150_M_CONSOLIDATED_Delinquency_Compulsory_EOM[[#This Row],[Client No]],'Global Portfolio'!$B$2:$N$2500,12,FALSE)</f>
        <v>#N/A</v>
      </c>
    </row>
    <row r="945" spans="1:28" x14ac:dyDescent="0.25">
      <c r="A945">
        <v>200706</v>
      </c>
      <c r="B945" t="s">
        <v>3757</v>
      </c>
      <c r="C945" t="s">
        <v>3761</v>
      </c>
      <c r="D945" t="s">
        <v>1284</v>
      </c>
      <c r="E945">
        <v>-20</v>
      </c>
      <c r="F945">
        <v>20000000</v>
      </c>
      <c r="G945">
        <v>7784459.0599999996</v>
      </c>
      <c r="H945">
        <v>1715982.76</v>
      </c>
      <c r="I945" t="s">
        <v>2538</v>
      </c>
      <c r="J945">
        <v>73017.240000000005</v>
      </c>
      <c r="K945">
        <v>1000000</v>
      </c>
      <c r="L945">
        <v>77844.59</v>
      </c>
      <c r="M945">
        <v>8579913.7699999996</v>
      </c>
      <c r="N945" s="711">
        <v>42725.698631446758</v>
      </c>
      <c r="O945" s="711">
        <v>43180</v>
      </c>
      <c r="P945" t="s">
        <v>3762</v>
      </c>
      <c r="Q945" t="s">
        <v>1280</v>
      </c>
      <c r="R945" t="s">
        <v>3763</v>
      </c>
      <c r="S945" t="s">
        <v>1510</v>
      </c>
      <c r="T945">
        <v>40</v>
      </c>
      <c r="U945">
        <f>IF(Table__192.168.1.150_M_CONSOLIDATED_Delinquency_Compulsory_EOM[[#This Row],[Days in Arrears]] &lt; 8, Table__192.168.1.150_M_CONSOLIDATED_Delinquency_Compulsory_EOM[[#This Row],[Outstanding Balance]], 0 )</f>
        <v>7784459.0599999996</v>
      </c>
      <c r="V9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5" s="105" t="str">
        <f>VLOOKUP(Table__192.168.1.150_M_CONSOLIDATED_Delinquency_Compulsory_EOM[[#This Row],[Client No]],'Global Portfolio'!$B$2:$N$2500,10,FALSE)</f>
        <v>Restaurants and Hotels</v>
      </c>
      <c r="AA945" s="105" t="str">
        <f>VLOOKUP(Table__192.168.1.150_M_CONSOLIDATED_Delinquency_Compulsory_EOM[[#This Row],[Client No]],'Global Portfolio'!$B$2:$N$2500,11,FALSE)</f>
        <v>Restaurant</v>
      </c>
      <c r="AB945" s="105" t="str">
        <f>VLOOKUP(Table__192.168.1.150_M_CONSOLIDATED_Delinquency_Compulsory_EOM[[#This Row],[Client No]],'Global Portfolio'!$B$2:$N$2500,12,FALSE)</f>
        <v>Restaurant</v>
      </c>
    </row>
    <row r="946" spans="1:28" x14ac:dyDescent="0.25">
      <c r="A946">
        <v>200708</v>
      </c>
      <c r="B946" t="s">
        <v>2537</v>
      </c>
      <c r="C946" t="s">
        <v>2550</v>
      </c>
      <c r="D946" t="s">
        <v>1283</v>
      </c>
      <c r="E946">
        <v>-20</v>
      </c>
      <c r="F946">
        <v>50000000</v>
      </c>
      <c r="G946">
        <v>33350196.440000001</v>
      </c>
      <c r="H946">
        <v>2952370.8</v>
      </c>
      <c r="I946" t="s">
        <v>2538</v>
      </c>
      <c r="J946">
        <v>30577.98</v>
      </c>
      <c r="K946">
        <v>0</v>
      </c>
      <c r="L946">
        <v>300151.77</v>
      </c>
      <c r="M946">
        <v>41333191.130000003</v>
      </c>
      <c r="N946" s="711">
        <v>42725.658498414348</v>
      </c>
      <c r="O946" s="711">
        <v>43455</v>
      </c>
      <c r="P946" t="s">
        <v>2551</v>
      </c>
      <c r="Q946" t="s">
        <v>2552</v>
      </c>
      <c r="R946" t="s">
        <v>1280</v>
      </c>
      <c r="S946" t="s">
        <v>1510</v>
      </c>
      <c r="T946">
        <v>36</v>
      </c>
      <c r="U946">
        <f>IF(Table__192.168.1.150_M_CONSOLIDATED_Delinquency_Compulsory_EOM[[#This Row],[Days in Arrears]] &lt; 8, Table__192.168.1.150_M_CONSOLIDATED_Delinquency_Compulsory_EOM[[#This Row],[Outstanding Balance]], 0 )</f>
        <v>33350196.440000001</v>
      </c>
      <c r="V9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6" s="105" t="str">
        <f>VLOOKUP(Table__192.168.1.150_M_CONSOLIDATED_Delinquency_Compulsory_EOM[[#This Row],[Client No]],'Global Portfolio'!$B$2:$N$2500,10,FALSE)</f>
        <v>Construction</v>
      </c>
      <c r="AA946" s="105" t="str">
        <f>VLOOKUP(Table__192.168.1.150_M_CONSOLIDATED_Delinquency_Compulsory_EOM[[#This Row],[Client No]],'Global Portfolio'!$B$2:$N$2500,11,FALSE)</f>
        <v>Construction of Buildings</v>
      </c>
      <c r="AB946" s="105" t="str">
        <f>VLOOKUP(Table__192.168.1.150_M_CONSOLIDATED_Delinquency_Compulsory_EOM[[#This Row],[Client No]],'Global Portfolio'!$B$2:$N$2500,12,FALSE)</f>
        <v>Residential Construction</v>
      </c>
    </row>
    <row r="947" spans="1:28" x14ac:dyDescent="0.25">
      <c r="A947">
        <v>200711</v>
      </c>
      <c r="B947" t="s">
        <v>3752</v>
      </c>
      <c r="C947" t="s">
        <v>3764</v>
      </c>
      <c r="D947" t="s">
        <v>1284</v>
      </c>
      <c r="E947">
        <v>-20</v>
      </c>
      <c r="F947">
        <v>20000000</v>
      </c>
      <c r="G947">
        <v>3902659.98</v>
      </c>
      <c r="H947">
        <v>2049429.66</v>
      </c>
      <c r="I947" t="s">
        <v>1467</v>
      </c>
      <c r="J947">
        <v>0</v>
      </c>
      <c r="K947">
        <v>1000000</v>
      </c>
      <c r="L947">
        <v>39026.6</v>
      </c>
      <c r="M947">
        <v>4098859.28</v>
      </c>
      <c r="N947" s="711">
        <v>42725.689662731478</v>
      </c>
      <c r="O947" s="711">
        <v>43090</v>
      </c>
      <c r="P947" t="s">
        <v>3765</v>
      </c>
      <c r="Q947" t="s">
        <v>1280</v>
      </c>
      <c r="R947" t="s">
        <v>3766</v>
      </c>
      <c r="S947" t="s">
        <v>1510</v>
      </c>
      <c r="T947">
        <v>40</v>
      </c>
      <c r="U947">
        <f>IF(Table__192.168.1.150_M_CONSOLIDATED_Delinquency_Compulsory_EOM[[#This Row],[Days in Arrears]] &lt; 8, Table__192.168.1.150_M_CONSOLIDATED_Delinquency_Compulsory_EOM[[#This Row],[Outstanding Balance]], 0 )</f>
        <v>3902659.98</v>
      </c>
      <c r="V9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47" s="105" t="str">
        <f>VLOOKUP(Table__192.168.1.150_M_CONSOLIDATED_Delinquency_Compulsory_EOM[[#This Row],[Client No]],'Global Portfolio'!$B$2:$N$2500,10,FALSE)</f>
        <v>Wholesale Trade</v>
      </c>
      <c r="AA947" s="105" t="str">
        <f>VLOOKUP(Table__192.168.1.150_M_CONSOLIDATED_Delinquency_Compulsory_EOM[[#This Row],[Client No]],'Global Portfolio'!$B$2:$N$2500,11,FALSE)</f>
        <v>Nondurable Goods</v>
      </c>
      <c r="AB947" s="105" t="str">
        <f>VLOOKUP(Table__192.168.1.150_M_CONSOLIDATED_Delinquency_Compulsory_EOM[[#This Row],[Client No]],'Global Portfolio'!$B$2:$N$2500,12,FALSE)</f>
        <v>Others</v>
      </c>
    </row>
    <row r="948" spans="1:28" x14ac:dyDescent="0.25">
      <c r="A948">
        <v>200712</v>
      </c>
      <c r="B948" t="s">
        <v>3753</v>
      </c>
      <c r="C948" t="s">
        <v>3767</v>
      </c>
      <c r="D948" t="s">
        <v>1279</v>
      </c>
      <c r="E948">
        <v>100</v>
      </c>
      <c r="F948">
        <v>5000000</v>
      </c>
      <c r="G948">
        <v>1419572.51</v>
      </c>
      <c r="H948">
        <v>758048.27</v>
      </c>
      <c r="I948" t="s">
        <v>2538</v>
      </c>
      <c r="J948">
        <v>0</v>
      </c>
      <c r="K948">
        <v>0</v>
      </c>
      <c r="L948">
        <v>95435.88</v>
      </c>
      <c r="M948">
        <v>1516096.5</v>
      </c>
      <c r="N948" s="711">
        <v>42725.702797951388</v>
      </c>
      <c r="O948" s="711">
        <v>42968</v>
      </c>
      <c r="P948" t="s">
        <v>3768</v>
      </c>
      <c r="Q948" t="s">
        <v>1280</v>
      </c>
      <c r="R948" t="s">
        <v>1280</v>
      </c>
      <c r="S948" t="s">
        <v>1510</v>
      </c>
      <c r="T948">
        <v>54</v>
      </c>
      <c r="U948">
        <f>IF(Table__192.168.1.150_M_CONSOLIDATED_Delinquency_Compulsory_EOM[[#This Row],[Days in Arrears]] &lt; 8, Table__192.168.1.150_M_CONSOLIDATED_Delinquency_Compulsory_EOM[[#This Row],[Outstanding Balance]], 0 )</f>
        <v>0</v>
      </c>
      <c r="V9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1419572.51</v>
      </c>
      <c r="Z948" s="105" t="str">
        <f>VLOOKUP(Table__192.168.1.150_M_CONSOLIDATED_Delinquency_Compulsory_EOM[[#This Row],[Client No]],'Global Portfolio'!$B$2:$N$2500,10,FALSE)</f>
        <v>Retail</v>
      </c>
      <c r="AA948" s="105" t="str">
        <f>VLOOKUP(Table__192.168.1.150_M_CONSOLIDATED_Delinquency_Compulsory_EOM[[#This Row],[Client No]],'Global Portfolio'!$B$2:$N$2500,11,FALSE)</f>
        <v>Second Hand -Clothing and  Accessories</v>
      </c>
      <c r="AB948" s="105" t="str">
        <f>VLOOKUP(Table__192.168.1.150_M_CONSOLIDATED_Delinquency_Compulsory_EOM[[#This Row],[Client No]],'Global Portfolio'!$B$2:$N$2500,12,FALSE)</f>
        <v>Others</v>
      </c>
    </row>
    <row r="949" spans="1:28" x14ac:dyDescent="0.25">
      <c r="A949">
        <v>200715</v>
      </c>
      <c r="B949" t="s">
        <v>3754</v>
      </c>
      <c r="C949" t="s">
        <v>3772</v>
      </c>
      <c r="D949" t="s">
        <v>1281</v>
      </c>
      <c r="E949">
        <v>100</v>
      </c>
      <c r="F949">
        <v>20000000</v>
      </c>
      <c r="G949">
        <v>13374838.109999999</v>
      </c>
      <c r="H949">
        <v>1798822.01</v>
      </c>
      <c r="I949" t="s">
        <v>2034</v>
      </c>
      <c r="J949">
        <v>0</v>
      </c>
      <c r="K949">
        <v>0</v>
      </c>
      <c r="L949">
        <v>1003285.89</v>
      </c>
      <c r="M949">
        <v>16189398.01</v>
      </c>
      <c r="N949" s="711">
        <v>42725.761977974536</v>
      </c>
      <c r="O949" s="711">
        <v>43180</v>
      </c>
      <c r="P949" t="s">
        <v>3773</v>
      </c>
      <c r="Q949" t="s">
        <v>1280</v>
      </c>
      <c r="R949" t="s">
        <v>1280</v>
      </c>
      <c r="S949" t="s">
        <v>1510</v>
      </c>
      <c r="T949">
        <v>48</v>
      </c>
      <c r="U949">
        <f>IF(Table__192.168.1.150_M_CONSOLIDATED_Delinquency_Compulsory_EOM[[#This Row],[Days in Arrears]] &lt; 8, Table__192.168.1.150_M_CONSOLIDATED_Delinquency_Compulsory_EOM[[#This Row],[Outstanding Balance]], 0 )</f>
        <v>0</v>
      </c>
      <c r="V9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13374838.109999999</v>
      </c>
      <c r="Z949" s="105" t="str">
        <f>VLOOKUP(Table__192.168.1.150_M_CONSOLIDATED_Delinquency_Compulsory_EOM[[#This Row],[Client No]],'Global Portfolio'!$B$2:$N$2500,10,FALSE)</f>
        <v>Transportation and Warehousing</v>
      </c>
      <c r="AA949" s="105" t="str">
        <f>VLOOKUP(Table__192.168.1.150_M_CONSOLIDATED_Delinquency_Compulsory_EOM[[#This Row],[Client No]],'Global Portfolio'!$B$2:$N$2500,11,FALSE)</f>
        <v xml:space="preserve"> Passenger Transportation</v>
      </c>
      <c r="AB949" s="105" t="str">
        <f>VLOOKUP(Table__192.168.1.150_M_CONSOLIDATED_Delinquency_Compulsory_EOM[[#This Row],[Client No]],'Global Portfolio'!$B$2:$N$2500,12,FALSE)</f>
        <v>Others</v>
      </c>
    </row>
    <row r="950" spans="1:28" x14ac:dyDescent="0.25">
      <c r="A950">
        <v>200716</v>
      </c>
      <c r="B950" t="s">
        <v>3751</v>
      </c>
      <c r="C950" t="s">
        <v>3774</v>
      </c>
      <c r="D950" t="s">
        <v>1282</v>
      </c>
      <c r="E950">
        <v>9</v>
      </c>
      <c r="F950">
        <v>12000000</v>
      </c>
      <c r="G950">
        <v>3622814.08</v>
      </c>
      <c r="H950">
        <v>1317883.25</v>
      </c>
      <c r="I950" t="s">
        <v>1448</v>
      </c>
      <c r="J950">
        <v>0</v>
      </c>
      <c r="K950">
        <v>1200000</v>
      </c>
      <c r="L950">
        <v>192642.12</v>
      </c>
      <c r="M950">
        <v>3953649.75</v>
      </c>
      <c r="N950" s="711">
        <v>42725.767250266203</v>
      </c>
      <c r="O950" s="711">
        <v>43091</v>
      </c>
      <c r="P950" t="s">
        <v>3775</v>
      </c>
      <c r="Q950" t="s">
        <v>1280</v>
      </c>
      <c r="R950" t="s">
        <v>3776</v>
      </c>
      <c r="S950" t="s">
        <v>1510</v>
      </c>
      <c r="T950">
        <v>54</v>
      </c>
      <c r="U950">
        <f>IF(Table__192.168.1.150_M_CONSOLIDATED_Delinquency_Compulsory_EOM[[#This Row],[Days in Arrears]] &lt; 8, Table__192.168.1.150_M_CONSOLIDATED_Delinquency_Compulsory_EOM[[#This Row],[Outstanding Balance]], 0 )</f>
        <v>0</v>
      </c>
      <c r="V9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3622814.08</v>
      </c>
      <c r="W9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0" s="105" t="str">
        <f>VLOOKUP(Table__192.168.1.150_M_CONSOLIDATED_Delinquency_Compulsory_EOM[[#This Row],[Client No]],'Global Portfolio'!$B$2:$N$2500,10,FALSE)</f>
        <v>Agriculture, Forestry, Fishing and Hunting</v>
      </c>
      <c r="AA950" s="105" t="str">
        <f>VLOOKUP(Table__192.168.1.150_M_CONSOLIDATED_Delinquency_Compulsory_EOM[[#This Row],[Client No]],'Global Portfolio'!$B$2:$N$2500,11,FALSE)</f>
        <v>Animal Production</v>
      </c>
      <c r="AB950" s="105" t="str">
        <f>VLOOKUP(Table__192.168.1.150_M_CONSOLIDATED_Delinquency_Compulsory_EOM[[#This Row],[Client No]],'Global Portfolio'!$B$2:$N$2500,12,FALSE)</f>
        <v>Other Animal Production</v>
      </c>
    </row>
    <row r="951" spans="1:28" x14ac:dyDescent="0.25">
      <c r="A951">
        <v>200719</v>
      </c>
      <c r="B951" t="s">
        <v>1765</v>
      </c>
      <c r="C951" t="s">
        <v>1766</v>
      </c>
      <c r="D951" t="s">
        <v>1284</v>
      </c>
      <c r="E951">
        <v>-23</v>
      </c>
      <c r="F951">
        <v>20000000</v>
      </c>
      <c r="G951">
        <v>13353030.109999999</v>
      </c>
      <c r="H951">
        <v>1182094.8700000001</v>
      </c>
      <c r="I951" t="s">
        <v>2861</v>
      </c>
      <c r="J951">
        <v>0</v>
      </c>
      <c r="K951">
        <v>0</v>
      </c>
      <c r="L951">
        <v>80118.179999999993</v>
      </c>
      <c r="M951">
        <v>16549328.17</v>
      </c>
      <c r="N951" s="711">
        <v>42727.67158440972</v>
      </c>
      <c r="O951" s="711">
        <v>43458</v>
      </c>
      <c r="P951" t="s">
        <v>1767</v>
      </c>
      <c r="Q951" t="s">
        <v>1280</v>
      </c>
      <c r="R951" t="s">
        <v>1839</v>
      </c>
      <c r="S951" t="s">
        <v>1510</v>
      </c>
      <c r="T951">
        <v>36</v>
      </c>
      <c r="U951">
        <f>IF(Table__192.168.1.150_M_CONSOLIDATED_Delinquency_Compulsory_EOM[[#This Row],[Days in Arrears]] &lt; 8, Table__192.168.1.150_M_CONSOLIDATED_Delinquency_Compulsory_EOM[[#This Row],[Outstanding Balance]], 0 )</f>
        <v>13353030.109999999</v>
      </c>
      <c r="V9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1" s="105" t="str">
        <f>VLOOKUP(Table__192.168.1.150_M_CONSOLIDATED_Delinquency_Compulsory_EOM[[#This Row],[Client No]],'Global Portfolio'!$B$2:$N$2500,10,FALSE)</f>
        <v>Retail</v>
      </c>
      <c r="AA951" s="105" t="str">
        <f>VLOOKUP(Table__192.168.1.150_M_CONSOLIDATED_Delinquency_Compulsory_EOM[[#This Row],[Client No]],'Global Portfolio'!$B$2:$N$2500,11,FALSE)</f>
        <v>Furniture and Home Furnishings Stores</v>
      </c>
      <c r="AB951" s="105" t="str">
        <f>VLOOKUP(Table__192.168.1.150_M_CONSOLIDATED_Delinquency_Compulsory_EOM[[#This Row],[Client No]],'Global Portfolio'!$B$2:$N$2500,12,FALSE)</f>
        <v>Kitchen Ware</v>
      </c>
    </row>
    <row r="952" spans="1:28" x14ac:dyDescent="0.25">
      <c r="A952">
        <v>200721</v>
      </c>
      <c r="B952" t="s">
        <v>3783</v>
      </c>
      <c r="C952" t="s">
        <v>3792</v>
      </c>
      <c r="D952" t="s">
        <v>1284</v>
      </c>
      <c r="E952">
        <v>-23</v>
      </c>
      <c r="F952">
        <v>25000000</v>
      </c>
      <c r="G952">
        <v>16893372.43</v>
      </c>
      <c r="H952">
        <v>1529693.39</v>
      </c>
      <c r="I952" t="s">
        <v>491</v>
      </c>
      <c r="J952">
        <v>605066.1</v>
      </c>
      <c r="K952">
        <v>1250000</v>
      </c>
      <c r="L952">
        <v>112622.48</v>
      </c>
      <c r="M952">
        <v>21415707.390000001</v>
      </c>
      <c r="N952" s="711">
        <v>42728.502432094909</v>
      </c>
      <c r="O952" s="711">
        <v>43458</v>
      </c>
      <c r="P952" t="s">
        <v>3793</v>
      </c>
      <c r="Q952" t="s">
        <v>1280</v>
      </c>
      <c r="R952" t="s">
        <v>3794</v>
      </c>
      <c r="S952" t="s">
        <v>1510</v>
      </c>
      <c r="T952">
        <v>40</v>
      </c>
      <c r="U952">
        <f>IF(Table__192.168.1.150_M_CONSOLIDATED_Delinquency_Compulsory_EOM[[#This Row],[Days in Arrears]] &lt; 8, Table__192.168.1.150_M_CONSOLIDATED_Delinquency_Compulsory_EOM[[#This Row],[Outstanding Balance]], 0 )</f>
        <v>16893372.43</v>
      </c>
      <c r="V9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2" s="105" t="str">
        <f>VLOOKUP(Table__192.168.1.150_M_CONSOLIDATED_Delinquency_Compulsory_EOM[[#This Row],[Client No]],'Global Portfolio'!$B$2:$N$2500,10,FALSE)</f>
        <v>Educational Services</v>
      </c>
      <c r="AA952" s="105" t="str">
        <f>VLOOKUP(Table__192.168.1.150_M_CONSOLIDATED_Delinquency_Compulsory_EOM[[#This Row],[Client No]],'Global Portfolio'!$B$2:$N$2500,11,FALSE)</f>
        <v>Educational Services</v>
      </c>
      <c r="AB952" s="105" t="str">
        <f>VLOOKUP(Table__192.168.1.150_M_CONSOLIDATED_Delinquency_Compulsory_EOM[[#This Row],[Client No]],'Global Portfolio'!$B$2:$N$2500,12,FALSE)</f>
        <v>Schools</v>
      </c>
    </row>
    <row r="953" spans="1:28" x14ac:dyDescent="0.25">
      <c r="A953">
        <v>200722</v>
      </c>
      <c r="B953" t="s">
        <v>3779</v>
      </c>
      <c r="C953" t="s">
        <v>3795</v>
      </c>
      <c r="D953" t="s">
        <v>1282</v>
      </c>
      <c r="E953">
        <v>7</v>
      </c>
      <c r="F953">
        <v>2500000</v>
      </c>
      <c r="G953">
        <v>753671.11</v>
      </c>
      <c r="H953">
        <v>274165.46999999997</v>
      </c>
      <c r="I953" t="s">
        <v>1039</v>
      </c>
      <c r="J953">
        <v>0</v>
      </c>
      <c r="K953">
        <v>250000</v>
      </c>
      <c r="L953">
        <v>38535.99</v>
      </c>
      <c r="M953">
        <v>822496.42</v>
      </c>
      <c r="N953" s="711">
        <v>42728.535110034725</v>
      </c>
      <c r="O953" s="711">
        <v>43093</v>
      </c>
      <c r="P953" t="s">
        <v>3796</v>
      </c>
      <c r="Q953" t="s">
        <v>1280</v>
      </c>
      <c r="R953" t="s">
        <v>1280</v>
      </c>
      <c r="S953" t="s">
        <v>1510</v>
      </c>
      <c r="T953">
        <v>54</v>
      </c>
      <c r="U953">
        <f>IF(Table__192.168.1.150_M_CONSOLIDATED_Delinquency_Compulsory_EOM[[#This Row],[Days in Arrears]] &lt; 8, Table__192.168.1.150_M_CONSOLIDATED_Delinquency_Compulsory_EOM[[#This Row],[Outstanding Balance]], 0 )</f>
        <v>753671.11</v>
      </c>
      <c r="V9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3" s="105" t="str">
        <f>VLOOKUP(Table__192.168.1.150_M_CONSOLIDATED_Delinquency_Compulsory_EOM[[#This Row],[Client No]],'Global Portfolio'!$B$2:$N$2500,10,FALSE)</f>
        <v>Retail</v>
      </c>
      <c r="AA953" s="105" t="str">
        <f>VLOOKUP(Table__192.168.1.150_M_CONSOLIDATED_Delinquency_Compulsory_EOM[[#This Row],[Client No]],'Global Portfolio'!$B$2:$N$2500,11,FALSE)</f>
        <v>Others</v>
      </c>
      <c r="AB953" s="105" t="str">
        <f>VLOOKUP(Table__192.168.1.150_M_CONSOLIDATED_Delinquency_Compulsory_EOM[[#This Row],[Client No]],'Global Portfolio'!$B$2:$N$2500,12,FALSE)</f>
        <v>Others</v>
      </c>
    </row>
    <row r="954" spans="1:28" x14ac:dyDescent="0.25">
      <c r="A954">
        <v>200723</v>
      </c>
      <c r="B954" t="s">
        <v>3780</v>
      </c>
      <c r="C954" t="s">
        <v>3797</v>
      </c>
      <c r="D954" t="s">
        <v>1282</v>
      </c>
      <c r="E954">
        <v>-23</v>
      </c>
      <c r="F954">
        <v>8000000</v>
      </c>
      <c r="G954">
        <v>1642946.68</v>
      </c>
      <c r="H954">
        <v>877329.51</v>
      </c>
      <c r="I954" t="s">
        <v>1448</v>
      </c>
      <c r="J954">
        <v>351457.72</v>
      </c>
      <c r="K954">
        <v>0</v>
      </c>
      <c r="L954">
        <v>14786.52</v>
      </c>
      <c r="M954">
        <v>1754659.02</v>
      </c>
      <c r="N954" s="711">
        <v>42728.548674571757</v>
      </c>
      <c r="O954" s="711">
        <v>43093</v>
      </c>
      <c r="P954" t="s">
        <v>3798</v>
      </c>
      <c r="Q954" t="s">
        <v>1280</v>
      </c>
      <c r="R954" t="s">
        <v>3799</v>
      </c>
      <c r="S954" t="s">
        <v>1510</v>
      </c>
      <c r="T954">
        <v>54</v>
      </c>
      <c r="U954">
        <f>IF(Table__192.168.1.150_M_CONSOLIDATED_Delinquency_Compulsory_EOM[[#This Row],[Days in Arrears]] &lt; 8, Table__192.168.1.150_M_CONSOLIDATED_Delinquency_Compulsory_EOM[[#This Row],[Outstanding Balance]], 0 )</f>
        <v>1642946.68</v>
      </c>
      <c r="V9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4" s="105" t="str">
        <f>VLOOKUP(Table__192.168.1.150_M_CONSOLIDATED_Delinquency_Compulsory_EOM[[#This Row],[Client No]],'Global Portfolio'!$B$2:$N$2500,10,FALSE)</f>
        <v>Retail</v>
      </c>
      <c r="AA954" s="105" t="str">
        <f>VLOOKUP(Table__192.168.1.150_M_CONSOLIDATED_Delinquency_Compulsory_EOM[[#This Row],[Client No]],'Global Portfolio'!$B$2:$N$2500,11,FALSE)</f>
        <v>Others</v>
      </c>
      <c r="AB954" s="105" t="str">
        <f>VLOOKUP(Table__192.168.1.150_M_CONSOLIDATED_Delinquency_Compulsory_EOM[[#This Row],[Client No]],'Global Portfolio'!$B$2:$N$2500,12,FALSE)</f>
        <v>Others</v>
      </c>
    </row>
    <row r="955" spans="1:28" x14ac:dyDescent="0.25">
      <c r="A955">
        <v>200724</v>
      </c>
      <c r="B955" t="s">
        <v>3801</v>
      </c>
      <c r="C955" t="s">
        <v>3802</v>
      </c>
      <c r="D955" t="s">
        <v>1281</v>
      </c>
      <c r="E955">
        <v>89</v>
      </c>
      <c r="F955">
        <v>18000000</v>
      </c>
      <c r="G955">
        <v>9970307.7200000007</v>
      </c>
      <c r="H955">
        <v>1871109.78</v>
      </c>
      <c r="I955" t="s">
        <v>2855</v>
      </c>
      <c r="J955">
        <v>0</v>
      </c>
      <c r="K955">
        <v>0</v>
      </c>
      <c r="L955">
        <v>634790.13</v>
      </c>
      <c r="M955">
        <v>11226658.74</v>
      </c>
      <c r="N955" s="711">
        <v>42732.658465509259</v>
      </c>
      <c r="O955" s="711">
        <v>43102</v>
      </c>
      <c r="P955" t="s">
        <v>3803</v>
      </c>
      <c r="Q955" t="s">
        <v>1280</v>
      </c>
      <c r="R955" t="s">
        <v>3804</v>
      </c>
      <c r="S955" t="s">
        <v>1510</v>
      </c>
      <c r="T955">
        <v>42</v>
      </c>
      <c r="U955">
        <f>IF(Table__192.168.1.150_M_CONSOLIDATED_Delinquency_Compulsory_EOM[[#This Row],[Days in Arrears]] &lt; 8, Table__192.168.1.150_M_CONSOLIDATED_Delinquency_Compulsory_EOM[[#This Row],[Outstanding Balance]], 0 )</f>
        <v>0</v>
      </c>
      <c r="V9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9970307.7200000007</v>
      </c>
      <c r="Y9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5" s="105" t="str">
        <f>VLOOKUP(Table__192.168.1.150_M_CONSOLIDATED_Delinquency_Compulsory_EOM[[#This Row],[Client No]],'Global Portfolio'!$B$2:$N$2500,10,FALSE)</f>
        <v>Real Estate and Rental</v>
      </c>
      <c r="AA955" s="105" t="str">
        <f>VLOOKUP(Table__192.168.1.150_M_CONSOLIDATED_Delinquency_Compulsory_EOM[[#This Row],[Client No]],'Global Portfolio'!$B$2:$N$2500,11,FALSE)</f>
        <v>Real Estate</v>
      </c>
      <c r="AB955" s="105" t="str">
        <f>VLOOKUP(Table__192.168.1.150_M_CONSOLIDATED_Delinquency_Compulsory_EOM[[#This Row],[Client No]],'Global Portfolio'!$B$2:$N$2500,12,FALSE)</f>
        <v>Others</v>
      </c>
    </row>
    <row r="956" spans="1:28" x14ac:dyDescent="0.25">
      <c r="A956">
        <v>200725</v>
      </c>
      <c r="B956" t="s">
        <v>3800</v>
      </c>
      <c r="C956" t="s">
        <v>3805</v>
      </c>
      <c r="D956" t="s">
        <v>1282</v>
      </c>
      <c r="E956">
        <v>0</v>
      </c>
      <c r="F956">
        <v>11000000</v>
      </c>
      <c r="G956">
        <v>3330432.95</v>
      </c>
      <c r="H956">
        <v>1211522.79</v>
      </c>
      <c r="I956" t="s">
        <v>2861</v>
      </c>
      <c r="J956">
        <v>0</v>
      </c>
      <c r="K956">
        <v>1100000</v>
      </c>
      <c r="L956">
        <v>144873.82999999999</v>
      </c>
      <c r="M956">
        <v>3634568.35</v>
      </c>
      <c r="N956" s="711">
        <v>42732.696451076386</v>
      </c>
      <c r="O956" s="711">
        <v>43101</v>
      </c>
      <c r="P956" t="s">
        <v>3806</v>
      </c>
      <c r="Q956" t="s">
        <v>1280</v>
      </c>
      <c r="R956" t="s">
        <v>1280</v>
      </c>
      <c r="S956" t="s">
        <v>1510</v>
      </c>
      <c r="T956">
        <v>54</v>
      </c>
      <c r="U956">
        <f>IF(Table__192.168.1.150_M_CONSOLIDATED_Delinquency_Compulsory_EOM[[#This Row],[Days in Arrears]] &lt; 8, Table__192.168.1.150_M_CONSOLIDATED_Delinquency_Compulsory_EOM[[#This Row],[Outstanding Balance]], 0 )</f>
        <v>3330432.95</v>
      </c>
      <c r="V9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6" s="105" t="str">
        <f>VLOOKUP(Table__192.168.1.150_M_CONSOLIDATED_Delinquency_Compulsory_EOM[[#This Row],[Client No]],'Global Portfolio'!$B$2:$N$2500,10,FALSE)</f>
        <v>Transportation and Warehousing</v>
      </c>
      <c r="AA956" s="105" t="str">
        <f>VLOOKUP(Table__192.168.1.150_M_CONSOLIDATED_Delinquency_Compulsory_EOM[[#This Row],[Client No]],'Global Portfolio'!$B$2:$N$2500,11,FALSE)</f>
        <v xml:space="preserve"> Passenger Transportation</v>
      </c>
      <c r="AB956" s="105" t="str">
        <f>VLOOKUP(Table__192.168.1.150_M_CONSOLIDATED_Delinquency_Compulsory_EOM[[#This Row],[Client No]],'Global Portfolio'!$B$2:$N$2500,12,FALSE)</f>
        <v>Taxi service</v>
      </c>
    </row>
    <row r="957" spans="1:28" x14ac:dyDescent="0.25">
      <c r="A957">
        <v>200729</v>
      </c>
      <c r="B957" t="s">
        <v>3809</v>
      </c>
      <c r="C957" t="s">
        <v>3819</v>
      </c>
      <c r="D957" t="s">
        <v>1284</v>
      </c>
      <c r="E957">
        <v>-1</v>
      </c>
      <c r="F957">
        <v>20000000</v>
      </c>
      <c r="G957">
        <v>14309028.390000001</v>
      </c>
      <c r="H957">
        <v>1227702.31</v>
      </c>
      <c r="I957" t="s">
        <v>1448</v>
      </c>
      <c r="J957">
        <v>513015.58</v>
      </c>
      <c r="K957">
        <v>1000000</v>
      </c>
      <c r="L957">
        <v>445169.77</v>
      </c>
      <c r="M957">
        <v>18415534.469999999</v>
      </c>
      <c r="N957" s="711">
        <v>42733.700722256945</v>
      </c>
      <c r="O957" s="711">
        <v>43467</v>
      </c>
      <c r="P957" t="s">
        <v>3820</v>
      </c>
      <c r="Q957" t="s">
        <v>1280</v>
      </c>
      <c r="R957" t="s">
        <v>3821</v>
      </c>
      <c r="S957" t="s">
        <v>1510</v>
      </c>
      <c r="T957">
        <v>40</v>
      </c>
      <c r="U957">
        <f>IF(Table__192.168.1.150_M_CONSOLIDATED_Delinquency_Compulsory_EOM[[#This Row],[Days in Arrears]] &lt; 8, Table__192.168.1.150_M_CONSOLIDATED_Delinquency_Compulsory_EOM[[#This Row],[Outstanding Balance]], 0 )</f>
        <v>14309028.390000001</v>
      </c>
      <c r="V9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7" s="105" t="str">
        <f>VLOOKUP(Table__192.168.1.150_M_CONSOLIDATED_Delinquency_Compulsory_EOM[[#This Row],[Client No]],'Global Portfolio'!$B$2:$N$2500,10,FALSE)</f>
        <v>Retail</v>
      </c>
      <c r="AA957" s="105" t="str">
        <f>VLOOKUP(Table__192.168.1.150_M_CONSOLIDATED_Delinquency_Compulsory_EOM[[#This Row],[Client No]],'Global Portfolio'!$B$2:$N$2500,11,FALSE)</f>
        <v>Others</v>
      </c>
      <c r="AB957" s="105" t="str">
        <f>VLOOKUP(Table__192.168.1.150_M_CONSOLIDATED_Delinquency_Compulsory_EOM[[#This Row],[Client No]],'Global Portfolio'!$B$2:$N$2500,12,FALSE)</f>
        <v>Others</v>
      </c>
    </row>
    <row r="958" spans="1:28" x14ac:dyDescent="0.25">
      <c r="A958">
        <v>200730</v>
      </c>
      <c r="B958" t="s">
        <v>3312</v>
      </c>
      <c r="C958" t="s">
        <v>3318</v>
      </c>
      <c r="D958" t="s">
        <v>1281</v>
      </c>
      <c r="E958">
        <v>-9</v>
      </c>
      <c r="F958">
        <v>10038600</v>
      </c>
      <c r="G958">
        <v>1965703.19</v>
      </c>
      <c r="H958">
        <v>1042208.11</v>
      </c>
      <c r="I958" t="s">
        <v>1925</v>
      </c>
      <c r="J958">
        <v>51869.81</v>
      </c>
      <c r="K958">
        <v>1200000</v>
      </c>
      <c r="L958">
        <v>52418.75</v>
      </c>
      <c r="M958">
        <v>2084416.25</v>
      </c>
      <c r="N958" s="711">
        <v>42734.481439351854</v>
      </c>
      <c r="O958" s="711">
        <v>43079</v>
      </c>
      <c r="P958" t="s">
        <v>3319</v>
      </c>
      <c r="Q958" t="s">
        <v>1280</v>
      </c>
      <c r="R958" t="s">
        <v>3320</v>
      </c>
      <c r="S958" t="s">
        <v>1510</v>
      </c>
      <c r="T958">
        <v>48</v>
      </c>
      <c r="U958">
        <f>IF(Table__192.168.1.150_M_CONSOLIDATED_Delinquency_Compulsory_EOM[[#This Row],[Days in Arrears]] &lt; 8, Table__192.168.1.150_M_CONSOLIDATED_Delinquency_Compulsory_EOM[[#This Row],[Outstanding Balance]], 0 )</f>
        <v>1965703.19</v>
      </c>
      <c r="V9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8" s="105" t="str">
        <f>VLOOKUP(Table__192.168.1.150_M_CONSOLIDATED_Delinquency_Compulsory_EOM[[#This Row],[Client No]],'Global Portfolio'!$B$2:$N$2500,10,FALSE)</f>
        <v>Retail</v>
      </c>
      <c r="AA958" s="105" t="str">
        <f>VLOOKUP(Table__192.168.1.150_M_CONSOLIDATED_Delinquency_Compulsory_EOM[[#This Row],[Client No]],'Global Portfolio'!$B$2:$N$2500,11,FALSE)</f>
        <v>General Merchandise Stores</v>
      </c>
      <c r="AB958" s="105" t="str">
        <f>VLOOKUP(Table__192.168.1.150_M_CONSOLIDATED_Delinquency_Compulsory_EOM[[#This Row],[Client No]],'Global Portfolio'!$B$2:$N$2500,12,FALSE)</f>
        <v>General Stores</v>
      </c>
    </row>
    <row r="959" spans="1:28" x14ac:dyDescent="0.25">
      <c r="A959">
        <v>200731</v>
      </c>
      <c r="B959" t="s">
        <v>1846</v>
      </c>
      <c r="C959" t="s">
        <v>1847</v>
      </c>
      <c r="D959" t="s">
        <v>1284</v>
      </c>
      <c r="E959">
        <v>-4</v>
      </c>
      <c r="F959">
        <v>17000000</v>
      </c>
      <c r="G959">
        <v>9670721.5199999996</v>
      </c>
      <c r="H959">
        <v>1242048.06</v>
      </c>
      <c r="I959" t="s">
        <v>491</v>
      </c>
      <c r="J959">
        <v>22235.42</v>
      </c>
      <c r="K959">
        <v>850000</v>
      </c>
      <c r="L959">
        <v>241768.04</v>
      </c>
      <c r="M959">
        <v>11178432.6</v>
      </c>
      <c r="N959" s="711">
        <v>42735.554605787038</v>
      </c>
      <c r="O959" s="711">
        <v>43286</v>
      </c>
      <c r="P959" t="s">
        <v>1848</v>
      </c>
      <c r="Q959" t="s">
        <v>1849</v>
      </c>
      <c r="R959" t="s">
        <v>1280</v>
      </c>
      <c r="S959" t="s">
        <v>1510</v>
      </c>
      <c r="T959">
        <v>36</v>
      </c>
      <c r="U959">
        <f>IF(Table__192.168.1.150_M_CONSOLIDATED_Delinquency_Compulsory_EOM[[#This Row],[Days in Arrears]] &lt; 8, Table__192.168.1.150_M_CONSOLIDATED_Delinquency_Compulsory_EOM[[#This Row],[Outstanding Balance]], 0 )</f>
        <v>9670721.5199999996</v>
      </c>
      <c r="V9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59" s="105" t="str">
        <f>VLOOKUP(Table__192.168.1.150_M_CONSOLIDATED_Delinquency_Compulsory_EOM[[#This Row],[Client No]],'Global Portfolio'!$B$2:$N$2500,10,FALSE)</f>
        <v>Information</v>
      </c>
      <c r="AA959" s="105" t="str">
        <f>VLOOKUP(Table__192.168.1.150_M_CONSOLIDATED_Delinquency_Compulsory_EOM[[#This Row],[Client No]],'Global Portfolio'!$B$2:$N$2500,11,FALSE)</f>
        <v>Others</v>
      </c>
      <c r="AB959" s="105" t="str">
        <f>VLOOKUP(Table__192.168.1.150_M_CONSOLIDATED_Delinquency_Compulsory_EOM[[#This Row],[Client No]],'Global Portfolio'!$B$2:$N$2500,12,FALSE)</f>
        <v>Others</v>
      </c>
    </row>
    <row r="960" spans="1:28" x14ac:dyDescent="0.25">
      <c r="A960">
        <v>200733</v>
      </c>
      <c r="B960" t="s">
        <v>3829</v>
      </c>
      <c r="C960" t="s">
        <v>3830</v>
      </c>
      <c r="D960" t="s">
        <v>1281</v>
      </c>
      <c r="E960">
        <v>0</v>
      </c>
      <c r="F960">
        <v>28000000</v>
      </c>
      <c r="G960">
        <v>8289990.04</v>
      </c>
      <c r="H960">
        <v>2987285.78</v>
      </c>
      <c r="I960" t="s">
        <v>2175</v>
      </c>
      <c r="J960">
        <v>55812.27</v>
      </c>
      <c r="K960">
        <v>2100000</v>
      </c>
      <c r="L960">
        <v>320546.28000000003</v>
      </c>
      <c r="M960">
        <v>8961857.4000000004</v>
      </c>
      <c r="N960" s="711">
        <v>42735.665573611113</v>
      </c>
      <c r="O960" s="711">
        <v>43101</v>
      </c>
      <c r="P960" t="s">
        <v>3831</v>
      </c>
      <c r="Q960" t="s">
        <v>1280</v>
      </c>
      <c r="R960" t="s">
        <v>1280</v>
      </c>
      <c r="S960" t="s">
        <v>1510</v>
      </c>
      <c r="T960">
        <v>48</v>
      </c>
      <c r="U960">
        <f>IF(Table__192.168.1.150_M_CONSOLIDATED_Delinquency_Compulsory_EOM[[#This Row],[Days in Arrears]] &lt; 8, Table__192.168.1.150_M_CONSOLIDATED_Delinquency_Compulsory_EOM[[#This Row],[Outstanding Balance]], 0 )</f>
        <v>8289990.04</v>
      </c>
      <c r="V9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0" s="105" t="str">
        <f>VLOOKUP(Table__192.168.1.150_M_CONSOLIDATED_Delinquency_Compulsory_EOM[[#This Row],[Client No]],'Global Portfolio'!$B$2:$N$2500,10,FALSE)</f>
        <v>Transportation and Warehousing</v>
      </c>
      <c r="AA960" s="105" t="str">
        <f>VLOOKUP(Table__192.168.1.150_M_CONSOLIDATED_Delinquency_Compulsory_EOM[[#This Row],[Client No]],'Global Portfolio'!$B$2:$N$2500,11,FALSE)</f>
        <v>Truck Transportation</v>
      </c>
      <c r="AB960" s="105" t="str">
        <f>VLOOKUP(Table__192.168.1.150_M_CONSOLIDATED_Delinquency_Compulsory_EOM[[#This Row],[Client No]],'Global Portfolio'!$B$2:$N$2500,12,FALSE)</f>
        <v>General Freight Trucking, Local</v>
      </c>
    </row>
    <row r="961" spans="1:28" x14ac:dyDescent="0.25">
      <c r="A961">
        <v>200734</v>
      </c>
      <c r="B961" t="s">
        <v>3832</v>
      </c>
      <c r="C961" t="s">
        <v>3833</v>
      </c>
      <c r="D961" t="s">
        <v>1279</v>
      </c>
      <c r="E961">
        <v>29</v>
      </c>
      <c r="F961">
        <v>3000000</v>
      </c>
      <c r="G961">
        <v>1183679.2</v>
      </c>
      <c r="H961">
        <v>329943.06</v>
      </c>
      <c r="I961" t="s">
        <v>3074</v>
      </c>
      <c r="J961">
        <v>0</v>
      </c>
      <c r="K961">
        <v>0</v>
      </c>
      <c r="L961">
        <v>91359.63</v>
      </c>
      <c r="M961">
        <v>1319772.23</v>
      </c>
      <c r="N961" s="711">
        <v>42735.453944479166</v>
      </c>
      <c r="O961" s="711">
        <v>43102</v>
      </c>
      <c r="P961" t="s">
        <v>3834</v>
      </c>
      <c r="Q961" t="s">
        <v>1280</v>
      </c>
      <c r="R961" t="s">
        <v>3835</v>
      </c>
      <c r="S961" t="s">
        <v>1510</v>
      </c>
      <c r="T961">
        <v>54</v>
      </c>
      <c r="U961">
        <f>IF(Table__192.168.1.150_M_CONSOLIDATED_Delinquency_Compulsory_EOM[[#This Row],[Days in Arrears]] &lt; 8, Table__192.168.1.150_M_CONSOLIDATED_Delinquency_Compulsory_EOM[[#This Row],[Outstanding Balance]], 0 )</f>
        <v>0</v>
      </c>
      <c r="V9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1183679.2</v>
      </c>
      <c r="W9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1" s="105" t="e">
        <f>VLOOKUP(Table__192.168.1.150_M_CONSOLIDATED_Delinquency_Compulsory_EOM[[#This Row],[Client No]],'Global Portfolio'!$B$2:$N$2500,10,FALSE)</f>
        <v>#N/A</v>
      </c>
      <c r="AA961" s="105" t="e">
        <f>VLOOKUP(Table__192.168.1.150_M_CONSOLIDATED_Delinquency_Compulsory_EOM[[#This Row],[Client No]],'Global Portfolio'!$B$2:$N$2500,11,FALSE)</f>
        <v>#N/A</v>
      </c>
      <c r="AB961" s="105" t="e">
        <f>VLOOKUP(Table__192.168.1.150_M_CONSOLIDATED_Delinquency_Compulsory_EOM[[#This Row],[Client No]],'Global Portfolio'!$B$2:$N$2500,12,FALSE)</f>
        <v>#N/A</v>
      </c>
    </row>
    <row r="962" spans="1:28" x14ac:dyDescent="0.25">
      <c r="A962">
        <v>200736</v>
      </c>
      <c r="B962" t="s">
        <v>3836</v>
      </c>
      <c r="C962" t="s">
        <v>3837</v>
      </c>
      <c r="D962" t="s">
        <v>1282</v>
      </c>
      <c r="E962">
        <v>-4</v>
      </c>
      <c r="F962">
        <v>15000000</v>
      </c>
      <c r="G962">
        <v>4554481.38</v>
      </c>
      <c r="H962">
        <v>1656799</v>
      </c>
      <c r="I962" t="s">
        <v>1909</v>
      </c>
      <c r="J962">
        <v>1646201</v>
      </c>
      <c r="K962">
        <v>0</v>
      </c>
      <c r="L962">
        <v>170793.05</v>
      </c>
      <c r="M962">
        <v>4970396.9800000004</v>
      </c>
      <c r="N962" s="711">
        <v>42735.522011805559</v>
      </c>
      <c r="O962" s="711">
        <v>43105</v>
      </c>
      <c r="P962" t="s">
        <v>3838</v>
      </c>
      <c r="Q962" t="s">
        <v>1280</v>
      </c>
      <c r="R962" t="s">
        <v>3839</v>
      </c>
      <c r="S962" t="s">
        <v>1510</v>
      </c>
      <c r="T962">
        <v>54</v>
      </c>
      <c r="U962">
        <f>IF(Table__192.168.1.150_M_CONSOLIDATED_Delinquency_Compulsory_EOM[[#This Row],[Days in Arrears]] &lt; 8, Table__192.168.1.150_M_CONSOLIDATED_Delinquency_Compulsory_EOM[[#This Row],[Outstanding Balance]], 0 )</f>
        <v>4554481.38</v>
      </c>
      <c r="V9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2" s="105" t="str">
        <f>VLOOKUP(Table__192.168.1.150_M_CONSOLIDATED_Delinquency_Compulsory_EOM[[#This Row],[Client No]],'Global Portfolio'!$B$2:$N$2500,10,FALSE)</f>
        <v>Health Care</v>
      </c>
      <c r="AA962" s="105" t="str">
        <f>VLOOKUP(Table__192.168.1.150_M_CONSOLIDATED_Delinquency_Compulsory_EOM[[#This Row],[Client No]],'Global Portfolio'!$B$2:$N$2500,11,FALSE)</f>
        <v>Health Care</v>
      </c>
      <c r="AB962" s="105" t="str">
        <f>VLOOKUP(Table__192.168.1.150_M_CONSOLIDATED_Delinquency_Compulsory_EOM[[#This Row],[Client No]],'Global Portfolio'!$B$2:$N$2500,12,FALSE)</f>
        <v>Offices of Doctor</v>
      </c>
    </row>
    <row r="963" spans="1:28" x14ac:dyDescent="0.25">
      <c r="A963">
        <v>200738</v>
      </c>
      <c r="B963" t="s">
        <v>2495</v>
      </c>
      <c r="C963" t="s">
        <v>2501</v>
      </c>
      <c r="D963" t="s">
        <v>1283</v>
      </c>
      <c r="E963">
        <v>30</v>
      </c>
      <c r="F963">
        <v>40000000</v>
      </c>
      <c r="G963">
        <v>34412071.380000003</v>
      </c>
      <c r="H963">
        <v>1833930.56</v>
      </c>
      <c r="I963" t="s">
        <v>1447</v>
      </c>
      <c r="J963">
        <v>0</v>
      </c>
      <c r="K963">
        <v>0</v>
      </c>
      <c r="L963">
        <v>2007066.73</v>
      </c>
      <c r="M963">
        <v>51350055.359999999</v>
      </c>
      <c r="N963" s="711">
        <v>42735.812771412035</v>
      </c>
      <c r="O963" s="711">
        <v>43831</v>
      </c>
      <c r="P963" t="s">
        <v>2502</v>
      </c>
      <c r="Q963" t="s">
        <v>2503</v>
      </c>
      <c r="R963" t="s">
        <v>1280</v>
      </c>
      <c r="S963" t="s">
        <v>1510</v>
      </c>
      <c r="T963">
        <v>36</v>
      </c>
      <c r="U963">
        <f>IF(Table__192.168.1.150_M_CONSOLIDATED_Delinquency_Compulsory_EOM[[#This Row],[Days in Arrears]] &lt; 8, Table__192.168.1.150_M_CONSOLIDATED_Delinquency_Compulsory_EOM[[#This Row],[Outstanding Balance]], 0 )</f>
        <v>0</v>
      </c>
      <c r="V9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34412071.380000003</v>
      </c>
      <c r="X9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3" s="105" t="str">
        <f>VLOOKUP(Table__192.168.1.150_M_CONSOLIDATED_Delinquency_Compulsory_EOM[[#This Row],[Client No]],'Global Portfolio'!$B$2:$N$2500,10,FALSE)</f>
        <v>Real Estate and Rental</v>
      </c>
      <c r="AA963" s="105" t="str">
        <f>VLOOKUP(Table__192.168.1.150_M_CONSOLIDATED_Delinquency_Compulsory_EOM[[#This Row],[Client No]],'Global Portfolio'!$B$2:$N$2500,11,FALSE)</f>
        <v>Rental</v>
      </c>
      <c r="AB963" s="105" t="str">
        <f>VLOOKUP(Table__192.168.1.150_M_CONSOLIDATED_Delinquency_Compulsory_EOM[[#This Row],[Client No]],'Global Portfolio'!$B$2:$N$2500,12,FALSE)</f>
        <v>General Rental Centers</v>
      </c>
    </row>
    <row r="964" spans="1:28" x14ac:dyDescent="0.25">
      <c r="A964">
        <v>200739</v>
      </c>
      <c r="B964" t="s">
        <v>3842</v>
      </c>
      <c r="C964" t="s">
        <v>3843</v>
      </c>
      <c r="D964" t="s">
        <v>1284</v>
      </c>
      <c r="E964">
        <v>27</v>
      </c>
      <c r="F964">
        <v>15000000</v>
      </c>
      <c r="G964">
        <v>13005524.529999999</v>
      </c>
      <c r="H964">
        <v>721652.26</v>
      </c>
      <c r="I964" t="s">
        <v>1667</v>
      </c>
      <c r="J964">
        <v>0</v>
      </c>
      <c r="K964">
        <v>0</v>
      </c>
      <c r="L964">
        <v>433517.48</v>
      </c>
      <c r="M964">
        <v>20206263.440000001</v>
      </c>
      <c r="N964" s="711">
        <v>42739.603332094906</v>
      </c>
      <c r="O964" s="711">
        <v>43834</v>
      </c>
      <c r="P964" t="s">
        <v>3844</v>
      </c>
      <c r="Q964" t="s">
        <v>1280</v>
      </c>
      <c r="R964" t="s">
        <v>1280</v>
      </c>
      <c r="S964" t="s">
        <v>1510</v>
      </c>
      <c r="T964">
        <v>40</v>
      </c>
      <c r="U964">
        <f>IF(Table__192.168.1.150_M_CONSOLIDATED_Delinquency_Compulsory_EOM[[#This Row],[Days in Arrears]] &lt; 8, Table__192.168.1.150_M_CONSOLIDATED_Delinquency_Compulsory_EOM[[#This Row],[Outstanding Balance]], 0 )</f>
        <v>0</v>
      </c>
      <c r="V9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13005524.529999999</v>
      </c>
      <c r="W9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4" s="105" t="str">
        <f>VLOOKUP(Table__192.168.1.150_M_CONSOLIDATED_Delinquency_Compulsory_EOM[[#This Row],[Client No]],'Global Portfolio'!$B$2:$N$2500,10,FALSE)</f>
        <v>Real Estate and Rental</v>
      </c>
      <c r="AA964" s="105" t="str">
        <f>VLOOKUP(Table__192.168.1.150_M_CONSOLIDATED_Delinquency_Compulsory_EOM[[#This Row],[Client No]],'Global Portfolio'!$B$2:$N$2500,11,FALSE)</f>
        <v>Rental</v>
      </c>
      <c r="AB964" s="105" t="str">
        <f>VLOOKUP(Table__192.168.1.150_M_CONSOLIDATED_Delinquency_Compulsory_EOM[[#This Row],[Client No]],'Global Portfolio'!$B$2:$N$2500,12,FALSE)</f>
        <v>General Rental Centers</v>
      </c>
    </row>
    <row r="965" spans="1:28" x14ac:dyDescent="0.25">
      <c r="A965">
        <v>200740</v>
      </c>
      <c r="B965" t="s">
        <v>3841</v>
      </c>
      <c r="C965" t="s">
        <v>3845</v>
      </c>
      <c r="D965" t="s">
        <v>1282</v>
      </c>
      <c r="E965">
        <v>27</v>
      </c>
      <c r="F965">
        <v>6000000</v>
      </c>
      <c r="G965">
        <v>2360581.64</v>
      </c>
      <c r="H965">
        <v>657997.13</v>
      </c>
      <c r="I965" t="s">
        <v>90</v>
      </c>
      <c r="J965">
        <v>0</v>
      </c>
      <c r="K965">
        <v>0</v>
      </c>
      <c r="L965">
        <v>176769.79</v>
      </c>
      <c r="M965">
        <v>2631988.5499999998</v>
      </c>
      <c r="N965" s="711">
        <v>42739.676790081015</v>
      </c>
      <c r="O965" s="711">
        <v>43104</v>
      </c>
      <c r="P965" t="s">
        <v>3846</v>
      </c>
      <c r="Q965" t="s">
        <v>1280</v>
      </c>
      <c r="R965" t="s">
        <v>3847</v>
      </c>
      <c r="S965" t="s">
        <v>1510</v>
      </c>
      <c r="T965">
        <v>54</v>
      </c>
      <c r="U965">
        <f>IF(Table__192.168.1.150_M_CONSOLIDATED_Delinquency_Compulsory_EOM[[#This Row],[Days in Arrears]] &lt; 8, Table__192.168.1.150_M_CONSOLIDATED_Delinquency_Compulsory_EOM[[#This Row],[Outstanding Balance]], 0 )</f>
        <v>0</v>
      </c>
      <c r="V9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2360581.64</v>
      </c>
      <c r="W9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5" s="105" t="str">
        <f>VLOOKUP(Table__192.168.1.150_M_CONSOLIDATED_Delinquency_Compulsory_EOM[[#This Row],[Client No]],'Global Portfolio'!$B$2:$N$2500,10,FALSE)</f>
        <v>Manufacturing</v>
      </c>
      <c r="AA965" s="105" t="str">
        <f>VLOOKUP(Table__192.168.1.150_M_CONSOLIDATED_Delinquency_Compulsory_EOM[[#This Row],[Client No]],'Global Portfolio'!$B$2:$N$2500,11,FALSE)</f>
        <v>Fabricated Metal Product Manufacturing</v>
      </c>
      <c r="AB965" s="105" t="str">
        <f>VLOOKUP(Table__192.168.1.150_M_CONSOLIDATED_Delinquency_Compulsory_EOM[[#This Row],[Client No]],'Global Portfolio'!$B$2:$N$2500,12,FALSE)</f>
        <v>Others</v>
      </c>
    </row>
    <row r="966" spans="1:28" x14ac:dyDescent="0.25">
      <c r="A966">
        <v>200742</v>
      </c>
      <c r="B966" t="s">
        <v>2136</v>
      </c>
      <c r="C966" t="s">
        <v>2154</v>
      </c>
      <c r="D966" t="s">
        <v>1282</v>
      </c>
      <c r="E966">
        <v>-5</v>
      </c>
      <c r="F966">
        <v>8000000</v>
      </c>
      <c r="G966">
        <v>2365535.84</v>
      </c>
      <c r="H966">
        <v>852417.38</v>
      </c>
      <c r="I966" t="s">
        <v>1925</v>
      </c>
      <c r="J966">
        <v>0</v>
      </c>
      <c r="K966">
        <v>800000</v>
      </c>
      <c r="L966">
        <v>75697.149999999994</v>
      </c>
      <c r="M966">
        <v>2557252.15</v>
      </c>
      <c r="N966" s="711">
        <v>42741.718298032407</v>
      </c>
      <c r="O966" s="711">
        <v>43106</v>
      </c>
      <c r="P966" t="s">
        <v>2155</v>
      </c>
      <c r="Q966" t="s">
        <v>1280</v>
      </c>
      <c r="R966" t="s">
        <v>1280</v>
      </c>
      <c r="S966" t="s">
        <v>1510</v>
      </c>
      <c r="T966">
        <v>48</v>
      </c>
      <c r="U966">
        <f>IF(Table__192.168.1.150_M_CONSOLIDATED_Delinquency_Compulsory_EOM[[#This Row],[Days in Arrears]] &lt; 8, Table__192.168.1.150_M_CONSOLIDATED_Delinquency_Compulsory_EOM[[#This Row],[Outstanding Balance]], 0 )</f>
        <v>2365535.84</v>
      </c>
      <c r="V9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6" s="105" t="str">
        <f>VLOOKUP(Table__192.168.1.150_M_CONSOLIDATED_Delinquency_Compulsory_EOM[[#This Row],[Client No]],'Global Portfolio'!$B$2:$N$2500,10,FALSE)</f>
        <v>Real Estate and Rental</v>
      </c>
      <c r="AA966" s="105" t="str">
        <f>VLOOKUP(Table__192.168.1.150_M_CONSOLIDATED_Delinquency_Compulsory_EOM[[#This Row],[Client No]],'Global Portfolio'!$B$2:$N$2500,11,FALSE)</f>
        <v>Rental</v>
      </c>
      <c r="AB966" s="105" t="str">
        <f>VLOOKUP(Table__192.168.1.150_M_CONSOLIDATED_Delinquency_Compulsory_EOM[[#This Row],[Client No]],'Global Portfolio'!$B$2:$N$2500,12,FALSE)</f>
        <v>General Rental Centers</v>
      </c>
    </row>
    <row r="967" spans="1:28" x14ac:dyDescent="0.25">
      <c r="A967">
        <v>200744</v>
      </c>
      <c r="B967" t="s">
        <v>1649</v>
      </c>
      <c r="C967" t="s">
        <v>1653</v>
      </c>
      <c r="D967" t="s">
        <v>1284</v>
      </c>
      <c r="E967">
        <v>-9</v>
      </c>
      <c r="F967">
        <v>20000000</v>
      </c>
      <c r="G967">
        <v>16837851.370000001</v>
      </c>
      <c r="H967">
        <v>918744.07</v>
      </c>
      <c r="I967" t="s">
        <v>963</v>
      </c>
      <c r="J967">
        <v>2307</v>
      </c>
      <c r="K967">
        <v>1000000</v>
      </c>
      <c r="L967">
        <v>336757.03</v>
      </c>
      <c r="M967">
        <v>24806089.649999999</v>
      </c>
      <c r="N967" s="711">
        <v>42742.522071180552</v>
      </c>
      <c r="O967" s="711">
        <v>43840</v>
      </c>
      <c r="P967" t="s">
        <v>1654</v>
      </c>
      <c r="Q967" t="s">
        <v>1280</v>
      </c>
      <c r="R967" t="s">
        <v>1280</v>
      </c>
      <c r="S967" t="s">
        <v>1510</v>
      </c>
      <c r="T967">
        <v>36</v>
      </c>
      <c r="U967">
        <f>IF(Table__192.168.1.150_M_CONSOLIDATED_Delinquency_Compulsory_EOM[[#This Row],[Days in Arrears]] &lt; 8, Table__192.168.1.150_M_CONSOLIDATED_Delinquency_Compulsory_EOM[[#This Row],[Outstanding Balance]], 0 )</f>
        <v>16837851.370000001</v>
      </c>
      <c r="V9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7" s="105" t="str">
        <f>VLOOKUP(Table__192.168.1.150_M_CONSOLIDATED_Delinquency_Compulsory_EOM[[#This Row],[Client No]],'Global Portfolio'!$B$2:$N$2500,10,FALSE)</f>
        <v>Educational Services</v>
      </c>
      <c r="AA967" s="105" t="str">
        <f>VLOOKUP(Table__192.168.1.150_M_CONSOLIDATED_Delinquency_Compulsory_EOM[[#This Row],[Client No]],'Global Portfolio'!$B$2:$N$2500,11,FALSE)</f>
        <v>Educational Services</v>
      </c>
      <c r="AB967" s="105" t="str">
        <f>VLOOKUP(Table__192.168.1.150_M_CONSOLIDATED_Delinquency_Compulsory_EOM[[#This Row],[Client No]],'Global Portfolio'!$B$2:$N$2500,12,FALSE)</f>
        <v>Schools</v>
      </c>
    </row>
    <row r="968" spans="1:28" x14ac:dyDescent="0.25">
      <c r="A968">
        <v>200745</v>
      </c>
      <c r="B968" t="s">
        <v>3850</v>
      </c>
      <c r="C968" t="s">
        <v>3855</v>
      </c>
      <c r="D968" t="s">
        <v>1284</v>
      </c>
      <c r="E968">
        <v>-14</v>
      </c>
      <c r="F968">
        <v>40000000</v>
      </c>
      <c r="G968">
        <v>36567289.109999999</v>
      </c>
      <c r="H968">
        <v>1689106.77</v>
      </c>
      <c r="I968" t="s">
        <v>1191</v>
      </c>
      <c r="J968">
        <v>25080.81</v>
      </c>
      <c r="K968">
        <v>2000000</v>
      </c>
      <c r="L968">
        <v>609454.81999999995</v>
      </c>
      <c r="M968">
        <v>65875164.060000002</v>
      </c>
      <c r="N968" s="711">
        <v>42746.49197476852</v>
      </c>
      <c r="O968" s="711">
        <v>44211</v>
      </c>
      <c r="P968" t="s">
        <v>3856</v>
      </c>
      <c r="Q968" t="s">
        <v>1280</v>
      </c>
      <c r="R968" t="s">
        <v>1280</v>
      </c>
      <c r="S968" t="s">
        <v>1510</v>
      </c>
      <c r="T968">
        <v>40</v>
      </c>
      <c r="U968">
        <f>IF(Table__192.168.1.150_M_CONSOLIDATED_Delinquency_Compulsory_EOM[[#This Row],[Days in Arrears]] &lt; 8, Table__192.168.1.150_M_CONSOLIDATED_Delinquency_Compulsory_EOM[[#This Row],[Outstanding Balance]], 0 )</f>
        <v>36567289.109999999</v>
      </c>
      <c r="V9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8" s="105" t="str">
        <f>VLOOKUP(Table__192.168.1.150_M_CONSOLIDATED_Delinquency_Compulsory_EOM[[#This Row],[Client No]],'Global Portfolio'!$B$2:$N$2500,10,FALSE)</f>
        <v>Real Estate and Rental</v>
      </c>
      <c r="AA968" s="105" t="str">
        <f>VLOOKUP(Table__192.168.1.150_M_CONSOLIDATED_Delinquency_Compulsory_EOM[[#This Row],[Client No]],'Global Portfolio'!$B$2:$N$2500,11,FALSE)</f>
        <v>Rental</v>
      </c>
      <c r="AB968" s="105" t="str">
        <f>VLOOKUP(Table__192.168.1.150_M_CONSOLIDATED_Delinquency_Compulsory_EOM[[#This Row],[Client No]],'Global Portfolio'!$B$2:$N$2500,12,FALSE)</f>
        <v>Others</v>
      </c>
    </row>
    <row r="969" spans="1:28" x14ac:dyDescent="0.25">
      <c r="A969">
        <v>200746</v>
      </c>
      <c r="B969" t="s">
        <v>3851</v>
      </c>
      <c r="C969" t="s">
        <v>3857</v>
      </c>
      <c r="D969" t="s">
        <v>1866</v>
      </c>
      <c r="E969">
        <v>-10</v>
      </c>
      <c r="F969">
        <v>10000000</v>
      </c>
      <c r="G969">
        <v>2976165.84</v>
      </c>
      <c r="H969">
        <v>1075851.19</v>
      </c>
      <c r="I969" t="s">
        <v>1467</v>
      </c>
      <c r="J969">
        <v>0</v>
      </c>
      <c r="K969">
        <v>1000000</v>
      </c>
      <c r="L969">
        <v>78537.710000000006</v>
      </c>
      <c r="M969">
        <v>3227553.53</v>
      </c>
      <c r="N969" s="711">
        <v>42746.558083877317</v>
      </c>
      <c r="O969" s="711">
        <v>43111</v>
      </c>
      <c r="P969" t="s">
        <v>3858</v>
      </c>
      <c r="Q969" t="s">
        <v>1280</v>
      </c>
      <c r="R969" t="s">
        <v>1280</v>
      </c>
      <c r="S969" t="s">
        <v>1510</v>
      </c>
      <c r="T969">
        <v>50</v>
      </c>
      <c r="U969">
        <f>IF(Table__192.168.1.150_M_CONSOLIDATED_Delinquency_Compulsory_EOM[[#This Row],[Days in Arrears]] &lt; 8, Table__192.168.1.150_M_CONSOLIDATED_Delinquency_Compulsory_EOM[[#This Row],[Outstanding Balance]], 0 )</f>
        <v>2976165.84</v>
      </c>
      <c r="V9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69" s="105" t="str">
        <f>VLOOKUP(Table__192.168.1.150_M_CONSOLIDATED_Delinquency_Compulsory_EOM[[#This Row],[Client No]],'Global Portfolio'!$B$2:$N$2500,10,FALSE)</f>
        <v>Retail</v>
      </c>
      <c r="AA969" s="105" t="str">
        <f>VLOOKUP(Table__192.168.1.150_M_CONSOLIDATED_Delinquency_Compulsory_EOM[[#This Row],[Client No]],'Global Portfolio'!$B$2:$N$2500,11,FALSE)</f>
        <v>General Merchandise Stores</v>
      </c>
      <c r="AB969" s="105" t="str">
        <f>VLOOKUP(Table__192.168.1.150_M_CONSOLIDATED_Delinquency_Compulsory_EOM[[#This Row],[Client No]],'Global Portfolio'!$B$2:$N$2500,12,FALSE)</f>
        <v>General Stores</v>
      </c>
    </row>
    <row r="970" spans="1:28" x14ac:dyDescent="0.25">
      <c r="A970">
        <v>200748</v>
      </c>
      <c r="B970" t="s">
        <v>3848</v>
      </c>
      <c r="C970" t="s">
        <v>3859</v>
      </c>
      <c r="D970" t="s">
        <v>1282</v>
      </c>
      <c r="E970">
        <v>-10</v>
      </c>
      <c r="F970">
        <v>6000000</v>
      </c>
      <c r="G970">
        <v>1808810.68</v>
      </c>
      <c r="H970">
        <v>657997.13</v>
      </c>
      <c r="I970" t="s">
        <v>2861</v>
      </c>
      <c r="J970">
        <v>142343.51999999999</v>
      </c>
      <c r="K970">
        <v>0</v>
      </c>
      <c r="L970">
        <v>51551.1</v>
      </c>
      <c r="M970">
        <v>1973991.42</v>
      </c>
      <c r="N970" s="711">
        <v>42746.725331678237</v>
      </c>
      <c r="O970" s="711">
        <v>43111</v>
      </c>
      <c r="P970" t="s">
        <v>3860</v>
      </c>
      <c r="Q970" t="s">
        <v>1280</v>
      </c>
      <c r="R970" t="s">
        <v>1280</v>
      </c>
      <c r="S970" t="s">
        <v>1510</v>
      </c>
      <c r="T970">
        <v>54</v>
      </c>
      <c r="U970">
        <f>IF(Table__192.168.1.150_M_CONSOLIDATED_Delinquency_Compulsory_EOM[[#This Row],[Days in Arrears]] &lt; 8, Table__192.168.1.150_M_CONSOLIDATED_Delinquency_Compulsory_EOM[[#This Row],[Outstanding Balance]], 0 )</f>
        <v>1808810.68</v>
      </c>
      <c r="V9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0" s="105" t="str">
        <f>VLOOKUP(Table__192.168.1.150_M_CONSOLIDATED_Delinquency_Compulsory_EOM[[#This Row],[Client No]],'Global Portfolio'!$B$2:$N$2500,10,FALSE)</f>
        <v>Retail</v>
      </c>
      <c r="AA970" s="105" t="str">
        <f>VLOOKUP(Table__192.168.1.150_M_CONSOLIDATED_Delinquency_Compulsory_EOM[[#This Row],[Client No]],'Global Portfolio'!$B$2:$N$2500,11,FALSE)</f>
        <v>Others</v>
      </c>
      <c r="AB970" s="105" t="str">
        <f>VLOOKUP(Table__192.168.1.150_M_CONSOLIDATED_Delinquency_Compulsory_EOM[[#This Row],[Client No]],'Global Portfolio'!$B$2:$N$2500,12,FALSE)</f>
        <v>Others</v>
      </c>
    </row>
    <row r="971" spans="1:28" x14ac:dyDescent="0.25">
      <c r="A971">
        <v>200750</v>
      </c>
      <c r="B971" t="s">
        <v>1751</v>
      </c>
      <c r="C971" t="s">
        <v>1752</v>
      </c>
      <c r="D971" t="s">
        <v>1284</v>
      </c>
      <c r="E971">
        <v>26</v>
      </c>
      <c r="F971">
        <v>50000000</v>
      </c>
      <c r="G971">
        <v>36086563.07</v>
      </c>
      <c r="H971">
        <v>2932306.14</v>
      </c>
      <c r="I971" t="s">
        <v>1667</v>
      </c>
      <c r="J971">
        <v>0</v>
      </c>
      <c r="K971">
        <v>0</v>
      </c>
      <c r="L971">
        <v>875142.01</v>
      </c>
      <c r="M971">
        <v>45065474.859999999</v>
      </c>
      <c r="N971" s="711">
        <v>42747.690769907407</v>
      </c>
      <c r="O971" s="711">
        <v>43470</v>
      </c>
      <c r="P971" t="s">
        <v>1753</v>
      </c>
      <c r="Q971" t="s">
        <v>1280</v>
      </c>
      <c r="R971" t="s">
        <v>1280</v>
      </c>
      <c r="S971" t="s">
        <v>1510</v>
      </c>
      <c r="T971">
        <v>36</v>
      </c>
      <c r="U971">
        <f>IF(Table__192.168.1.150_M_CONSOLIDATED_Delinquency_Compulsory_EOM[[#This Row],[Days in Arrears]] &lt; 8, Table__192.168.1.150_M_CONSOLIDATED_Delinquency_Compulsory_EOM[[#This Row],[Outstanding Balance]], 0 )</f>
        <v>0</v>
      </c>
      <c r="V9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36086563.07</v>
      </c>
      <c r="W9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1" s="105" t="str">
        <f>VLOOKUP(Table__192.168.1.150_M_CONSOLIDATED_Delinquency_Compulsory_EOM[[#This Row],[Client No]],'Global Portfolio'!$B$2:$N$2500,10,FALSE)</f>
        <v>Real Estate and Rental</v>
      </c>
      <c r="AA971" s="105" t="str">
        <f>VLOOKUP(Table__192.168.1.150_M_CONSOLIDATED_Delinquency_Compulsory_EOM[[#This Row],[Client No]],'Global Portfolio'!$B$2:$N$2500,11,FALSE)</f>
        <v>Rental</v>
      </c>
      <c r="AB971" s="105" t="str">
        <f>VLOOKUP(Table__192.168.1.150_M_CONSOLIDATED_Delinquency_Compulsory_EOM[[#This Row],[Client No]],'Global Portfolio'!$B$2:$N$2500,12,FALSE)</f>
        <v>General Rental Centers</v>
      </c>
    </row>
    <row r="972" spans="1:28" x14ac:dyDescent="0.25">
      <c r="A972">
        <v>200751</v>
      </c>
      <c r="B972" t="s">
        <v>3865</v>
      </c>
      <c r="C972" t="s">
        <v>3874</v>
      </c>
      <c r="D972" t="s">
        <v>1281</v>
      </c>
      <c r="E972">
        <v>16</v>
      </c>
      <c r="F972">
        <v>20000000</v>
      </c>
      <c r="G972">
        <v>12846989.810000001</v>
      </c>
      <c r="H972">
        <v>1583917.5</v>
      </c>
      <c r="I972" t="s">
        <v>2861</v>
      </c>
      <c r="J972">
        <v>0</v>
      </c>
      <c r="K972">
        <v>0</v>
      </c>
      <c r="L972">
        <v>513879.59</v>
      </c>
      <c r="M972">
        <v>15839175.060000001</v>
      </c>
      <c r="N972" s="711">
        <v>42748.658324918979</v>
      </c>
      <c r="O972" s="711">
        <v>43296</v>
      </c>
      <c r="P972" t="s">
        <v>3875</v>
      </c>
      <c r="Q972" t="s">
        <v>1280</v>
      </c>
      <c r="R972" t="s">
        <v>3876</v>
      </c>
      <c r="S972" t="s">
        <v>1510</v>
      </c>
      <c r="T972">
        <v>48</v>
      </c>
      <c r="U972">
        <f>IF(Table__192.168.1.150_M_CONSOLIDATED_Delinquency_Compulsory_EOM[[#This Row],[Days in Arrears]] &lt; 8, Table__192.168.1.150_M_CONSOLIDATED_Delinquency_Compulsory_EOM[[#This Row],[Outstanding Balance]], 0 )</f>
        <v>0</v>
      </c>
      <c r="V9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12846989.810000001</v>
      </c>
      <c r="W9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2" s="105" t="str">
        <f>VLOOKUP(Table__192.168.1.150_M_CONSOLIDATED_Delinquency_Compulsory_EOM[[#This Row],[Client No]],'Global Portfolio'!$B$2:$N$2500,10,FALSE)</f>
        <v>Real Estate and Rental</v>
      </c>
      <c r="AA972" s="105" t="str">
        <f>VLOOKUP(Table__192.168.1.150_M_CONSOLIDATED_Delinquency_Compulsory_EOM[[#This Row],[Client No]],'Global Portfolio'!$B$2:$N$2500,11,FALSE)</f>
        <v>Real Estate</v>
      </c>
      <c r="AB972" s="105" t="str">
        <f>VLOOKUP(Table__192.168.1.150_M_CONSOLIDATED_Delinquency_Compulsory_EOM[[#This Row],[Client No]],'Global Portfolio'!$B$2:$N$2500,12,FALSE)</f>
        <v>Others</v>
      </c>
    </row>
    <row r="973" spans="1:28" x14ac:dyDescent="0.25">
      <c r="A973">
        <v>200754</v>
      </c>
      <c r="B973" t="s">
        <v>3886</v>
      </c>
      <c r="C973" t="s">
        <v>3894</v>
      </c>
      <c r="D973" t="s">
        <v>1282</v>
      </c>
      <c r="E973">
        <v>-15</v>
      </c>
      <c r="F973">
        <v>6000000</v>
      </c>
      <c r="G973">
        <v>1808810.68</v>
      </c>
      <c r="H973">
        <v>657997.13</v>
      </c>
      <c r="I973" t="s">
        <v>1039</v>
      </c>
      <c r="J973">
        <v>23104.51</v>
      </c>
      <c r="K973">
        <v>600000</v>
      </c>
      <c r="L973">
        <v>37985.019999999997</v>
      </c>
      <c r="M973">
        <v>1973991.42</v>
      </c>
      <c r="N973" s="711">
        <v>42751.542047488423</v>
      </c>
      <c r="O973" s="711">
        <v>43116</v>
      </c>
      <c r="P973" t="s">
        <v>3895</v>
      </c>
      <c r="Q973" t="s">
        <v>1280</v>
      </c>
      <c r="R973" t="s">
        <v>3896</v>
      </c>
      <c r="S973" t="s">
        <v>1510</v>
      </c>
      <c r="T973">
        <v>54</v>
      </c>
      <c r="U973">
        <f>IF(Table__192.168.1.150_M_CONSOLIDATED_Delinquency_Compulsory_EOM[[#This Row],[Days in Arrears]] &lt; 8, Table__192.168.1.150_M_CONSOLIDATED_Delinquency_Compulsory_EOM[[#This Row],[Outstanding Balance]], 0 )</f>
        <v>1808810.68</v>
      </c>
      <c r="V9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3" s="105" t="str">
        <f>VLOOKUP(Table__192.168.1.150_M_CONSOLIDATED_Delinquency_Compulsory_EOM[[#This Row],[Client No]],'Global Portfolio'!$B$2:$N$2500,10,FALSE)</f>
        <v>Agriculture, Forestry, Fishing and Hunting</v>
      </c>
      <c r="AA973" s="105" t="str">
        <f>VLOOKUP(Table__192.168.1.150_M_CONSOLIDATED_Delinquency_Compulsory_EOM[[#This Row],[Client No]],'Global Portfolio'!$B$2:$N$2500,11,FALSE)</f>
        <v>Forestry</v>
      </c>
      <c r="AB973" s="105" t="str">
        <f>VLOOKUP(Table__192.168.1.150_M_CONSOLIDATED_Delinquency_Compulsory_EOM[[#This Row],[Client No]],'Global Portfolio'!$B$2:$N$2500,12,FALSE)</f>
        <v>Timber Tract Operations</v>
      </c>
    </row>
    <row r="974" spans="1:28" x14ac:dyDescent="0.25">
      <c r="A974">
        <v>200755</v>
      </c>
      <c r="B974" t="s">
        <v>1854</v>
      </c>
      <c r="C974" t="s">
        <v>1855</v>
      </c>
      <c r="D974" t="s">
        <v>1285</v>
      </c>
      <c r="E974">
        <v>-20</v>
      </c>
      <c r="F974">
        <v>42800000</v>
      </c>
      <c r="G974">
        <v>39066230.5</v>
      </c>
      <c r="H974">
        <v>1185636.3500000001</v>
      </c>
      <c r="I974" t="s">
        <v>284</v>
      </c>
      <c r="J974">
        <v>2526140.5299999998</v>
      </c>
      <c r="K974">
        <v>0</v>
      </c>
      <c r="L974">
        <v>214864.27</v>
      </c>
      <c r="M974">
        <v>60467453.600000001</v>
      </c>
      <c r="N974" s="711">
        <v>42751.716267129632</v>
      </c>
      <c r="O974" s="711">
        <v>44582</v>
      </c>
      <c r="P974" t="s">
        <v>1856</v>
      </c>
      <c r="Q974" t="s">
        <v>1280</v>
      </c>
      <c r="R974" t="s">
        <v>1280</v>
      </c>
      <c r="S974" t="s">
        <v>1510</v>
      </c>
      <c r="T974">
        <v>22</v>
      </c>
      <c r="U974">
        <f>IF(Table__192.168.1.150_M_CONSOLIDATED_Delinquency_Compulsory_EOM[[#This Row],[Days in Arrears]] &lt; 8, Table__192.168.1.150_M_CONSOLIDATED_Delinquency_Compulsory_EOM[[#This Row],[Outstanding Balance]], 0 )</f>
        <v>39066230.5</v>
      </c>
      <c r="V9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4" s="105" t="str">
        <f>VLOOKUP(Table__192.168.1.150_M_CONSOLIDATED_Delinquency_Compulsory_EOM[[#This Row],[Client No]],'Global Portfolio'!$B$2:$N$2500,10,FALSE)</f>
        <v>Finance and Insurance</v>
      </c>
      <c r="AA974" s="105" t="str">
        <f>VLOOKUP(Table__192.168.1.150_M_CONSOLIDATED_Delinquency_Compulsory_EOM[[#This Row],[Client No]],'Global Portfolio'!$B$2:$N$2500,11,FALSE)</f>
        <v>Finance</v>
      </c>
      <c r="AB974" s="105" t="str">
        <f>VLOOKUP(Table__192.168.1.150_M_CONSOLIDATED_Delinquency_Compulsory_EOM[[#This Row],[Client No]],'Global Portfolio'!$B$2:$N$2500,12,FALSE)</f>
        <v>Microfinance Institutions</v>
      </c>
    </row>
    <row r="975" spans="1:28" x14ac:dyDescent="0.25">
      <c r="A975">
        <v>200757</v>
      </c>
      <c r="B975" t="s">
        <v>3902</v>
      </c>
      <c r="C975" t="s">
        <v>3909</v>
      </c>
      <c r="D975" t="s">
        <v>1867</v>
      </c>
      <c r="E975">
        <v>-16</v>
      </c>
      <c r="F975">
        <v>15000000</v>
      </c>
      <c r="G975">
        <v>4435379.6900000004</v>
      </c>
      <c r="H975">
        <v>1598282.59</v>
      </c>
      <c r="I975" t="s">
        <v>2557</v>
      </c>
      <c r="J975">
        <v>90717.41</v>
      </c>
      <c r="K975">
        <v>1500000</v>
      </c>
      <c r="L975">
        <v>76879.91</v>
      </c>
      <c r="M975">
        <v>4794847.78</v>
      </c>
      <c r="N975" s="711">
        <v>42752.563019675923</v>
      </c>
      <c r="O975" s="711">
        <v>43117</v>
      </c>
      <c r="P975" t="s">
        <v>3910</v>
      </c>
      <c r="Q975" t="s">
        <v>1280</v>
      </c>
      <c r="R975" t="s">
        <v>1280</v>
      </c>
      <c r="S975" t="s">
        <v>1510</v>
      </c>
      <c r="T975">
        <v>48</v>
      </c>
      <c r="U975">
        <f>IF(Table__192.168.1.150_M_CONSOLIDATED_Delinquency_Compulsory_EOM[[#This Row],[Days in Arrears]] &lt; 8, Table__192.168.1.150_M_CONSOLIDATED_Delinquency_Compulsory_EOM[[#This Row],[Outstanding Balance]], 0 )</f>
        <v>4435379.6900000004</v>
      </c>
      <c r="V9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5" s="105" t="str">
        <f>VLOOKUP(Table__192.168.1.150_M_CONSOLIDATED_Delinquency_Compulsory_EOM[[#This Row],[Client No]],'Global Portfolio'!$B$2:$N$2500,10,FALSE)</f>
        <v>Educational Services</v>
      </c>
      <c r="AA975" s="105" t="str">
        <f>VLOOKUP(Table__192.168.1.150_M_CONSOLIDATED_Delinquency_Compulsory_EOM[[#This Row],[Client No]],'Global Portfolio'!$B$2:$N$2500,11,FALSE)</f>
        <v>Educational Services</v>
      </c>
      <c r="AB975" s="105" t="str">
        <f>VLOOKUP(Table__192.168.1.150_M_CONSOLIDATED_Delinquency_Compulsory_EOM[[#This Row],[Client No]],'Global Portfolio'!$B$2:$N$2500,12,FALSE)</f>
        <v>Schools</v>
      </c>
    </row>
    <row r="976" spans="1:28" x14ac:dyDescent="0.25">
      <c r="A976">
        <v>200758</v>
      </c>
      <c r="B976" t="s">
        <v>3901</v>
      </c>
      <c r="C976" t="s">
        <v>3911</v>
      </c>
      <c r="D976" t="s">
        <v>1281</v>
      </c>
      <c r="E976">
        <v>-16</v>
      </c>
      <c r="F976">
        <v>30000000</v>
      </c>
      <c r="G976">
        <v>21876594.050000001</v>
      </c>
      <c r="H976">
        <v>1967604.94</v>
      </c>
      <c r="I976" t="s">
        <v>2855</v>
      </c>
      <c r="J976">
        <v>1992952.1</v>
      </c>
      <c r="K976">
        <v>0</v>
      </c>
      <c r="L976">
        <v>379194.3</v>
      </c>
      <c r="M976">
        <v>29514074.100000001</v>
      </c>
      <c r="N976" s="711">
        <v>42752.565499884258</v>
      </c>
      <c r="O976" s="711">
        <v>43482</v>
      </c>
      <c r="P976" t="s">
        <v>3912</v>
      </c>
      <c r="Q976" t="s">
        <v>1280</v>
      </c>
      <c r="R976" t="s">
        <v>3913</v>
      </c>
      <c r="S976" t="s">
        <v>1510</v>
      </c>
      <c r="T976">
        <v>48</v>
      </c>
      <c r="U976">
        <f>IF(Table__192.168.1.150_M_CONSOLIDATED_Delinquency_Compulsory_EOM[[#This Row],[Days in Arrears]] &lt; 8, Table__192.168.1.150_M_CONSOLIDATED_Delinquency_Compulsory_EOM[[#This Row],[Outstanding Balance]], 0 )</f>
        <v>21876594.050000001</v>
      </c>
      <c r="V9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6" s="105" t="str">
        <f>VLOOKUP(Table__192.168.1.150_M_CONSOLIDATED_Delinquency_Compulsory_EOM[[#This Row],[Client No]],'Global Portfolio'!$B$2:$N$2500,10,FALSE)</f>
        <v>Educational Services</v>
      </c>
      <c r="AA976" s="105" t="str">
        <f>VLOOKUP(Table__192.168.1.150_M_CONSOLIDATED_Delinquency_Compulsory_EOM[[#This Row],[Client No]],'Global Portfolio'!$B$2:$N$2500,11,FALSE)</f>
        <v>Educational Services</v>
      </c>
      <c r="AB976" s="105" t="str">
        <f>VLOOKUP(Table__192.168.1.150_M_CONSOLIDATED_Delinquency_Compulsory_EOM[[#This Row],[Client No]],'Global Portfolio'!$B$2:$N$2500,12,FALSE)</f>
        <v>Schools</v>
      </c>
    </row>
    <row r="977" spans="1:28" x14ac:dyDescent="0.25">
      <c r="A977">
        <v>200759</v>
      </c>
      <c r="B977" t="s">
        <v>1669</v>
      </c>
      <c r="C977" t="s">
        <v>1677</v>
      </c>
      <c r="D977" t="s">
        <v>1284</v>
      </c>
      <c r="E977">
        <v>-16</v>
      </c>
      <c r="F977">
        <v>65000000</v>
      </c>
      <c r="G977">
        <v>51120102.340000004</v>
      </c>
      <c r="H977">
        <v>3316251.86</v>
      </c>
      <c r="I977" t="s">
        <v>491</v>
      </c>
      <c r="J977">
        <v>0</v>
      </c>
      <c r="K977">
        <v>3250000</v>
      </c>
      <c r="L977">
        <v>664561.32999999996</v>
      </c>
      <c r="M977">
        <v>69641288.829999998</v>
      </c>
      <c r="N977" s="711">
        <v>42752.62497271991</v>
      </c>
      <c r="O977" s="711">
        <v>43663</v>
      </c>
      <c r="P977" t="s">
        <v>1678</v>
      </c>
      <c r="Q977" t="s">
        <v>1679</v>
      </c>
      <c r="R977" t="s">
        <v>1280</v>
      </c>
      <c r="S977" t="s">
        <v>1510</v>
      </c>
      <c r="T977">
        <v>36</v>
      </c>
      <c r="U977">
        <f>IF(Table__192.168.1.150_M_CONSOLIDATED_Delinquency_Compulsory_EOM[[#This Row],[Days in Arrears]] &lt; 8, Table__192.168.1.150_M_CONSOLIDATED_Delinquency_Compulsory_EOM[[#This Row],[Outstanding Balance]], 0 )</f>
        <v>51120102.340000004</v>
      </c>
      <c r="V9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7" s="105" t="str">
        <f>VLOOKUP(Table__192.168.1.150_M_CONSOLIDATED_Delinquency_Compulsory_EOM[[#This Row],[Client No]],'Global Portfolio'!$B$2:$N$2500,10,FALSE)</f>
        <v>Real Estate and Rental</v>
      </c>
      <c r="AA977" s="105" t="str">
        <f>VLOOKUP(Table__192.168.1.150_M_CONSOLIDATED_Delinquency_Compulsory_EOM[[#This Row],[Client No]],'Global Portfolio'!$B$2:$N$2500,11,FALSE)</f>
        <v>Rental</v>
      </c>
      <c r="AB977" s="105" t="str">
        <f>VLOOKUP(Table__192.168.1.150_M_CONSOLIDATED_Delinquency_Compulsory_EOM[[#This Row],[Client No]],'Global Portfolio'!$B$2:$N$2500,12,FALSE)</f>
        <v>General Rental Centers</v>
      </c>
    </row>
    <row r="978" spans="1:28" x14ac:dyDescent="0.25">
      <c r="A978">
        <v>200760</v>
      </c>
      <c r="B978" t="s">
        <v>3899</v>
      </c>
      <c r="C978" t="s">
        <v>3914</v>
      </c>
      <c r="D978" t="s">
        <v>1284</v>
      </c>
      <c r="E978">
        <v>-19</v>
      </c>
      <c r="F978">
        <v>20000000</v>
      </c>
      <c r="G978">
        <v>14309028.390000001</v>
      </c>
      <c r="H978">
        <v>1227702.31</v>
      </c>
      <c r="I978" t="s">
        <v>2855</v>
      </c>
      <c r="J978">
        <v>0</v>
      </c>
      <c r="K978">
        <v>1000000</v>
      </c>
      <c r="L978">
        <v>158989.20000000001</v>
      </c>
      <c r="M978">
        <v>18415534.469999999</v>
      </c>
      <c r="N978" s="711">
        <v>42752.656163159721</v>
      </c>
      <c r="O978" s="711">
        <v>43485</v>
      </c>
      <c r="P978" t="s">
        <v>3915</v>
      </c>
      <c r="Q978" t="s">
        <v>1280</v>
      </c>
      <c r="R978" t="s">
        <v>3916</v>
      </c>
      <c r="S978" t="s">
        <v>1510</v>
      </c>
      <c r="T978">
        <v>40</v>
      </c>
      <c r="U978">
        <f>IF(Table__192.168.1.150_M_CONSOLIDATED_Delinquency_Compulsory_EOM[[#This Row],[Days in Arrears]] &lt; 8, Table__192.168.1.150_M_CONSOLIDATED_Delinquency_Compulsory_EOM[[#This Row],[Outstanding Balance]], 0 )</f>
        <v>14309028.390000001</v>
      </c>
      <c r="V9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8" s="105" t="str">
        <f>VLOOKUP(Table__192.168.1.150_M_CONSOLIDATED_Delinquency_Compulsory_EOM[[#This Row],[Client No]],'Global Portfolio'!$B$2:$N$2500,10,FALSE)</f>
        <v>Real Estate and Rental</v>
      </c>
      <c r="AA978" s="105" t="str">
        <f>VLOOKUP(Table__192.168.1.150_M_CONSOLIDATED_Delinquency_Compulsory_EOM[[#This Row],[Client No]],'Global Portfolio'!$B$2:$N$2500,11,FALSE)</f>
        <v>Real Estate</v>
      </c>
      <c r="AB978" s="105" t="str">
        <f>VLOOKUP(Table__192.168.1.150_M_CONSOLIDATED_Delinquency_Compulsory_EOM[[#This Row],[Client No]],'Global Portfolio'!$B$2:$N$2500,12,FALSE)</f>
        <v>Others</v>
      </c>
    </row>
    <row r="979" spans="1:28" x14ac:dyDescent="0.25">
      <c r="A979">
        <v>200761</v>
      </c>
      <c r="B979" t="s">
        <v>3898</v>
      </c>
      <c r="C979" t="s">
        <v>3917</v>
      </c>
      <c r="D979" t="s">
        <v>1282</v>
      </c>
      <c r="E979">
        <v>44</v>
      </c>
      <c r="F979">
        <v>15000000</v>
      </c>
      <c r="G979">
        <v>6637121.4900000002</v>
      </c>
      <c r="H979">
        <v>1644992.83</v>
      </c>
      <c r="I979" t="s">
        <v>1467</v>
      </c>
      <c r="J979">
        <v>0</v>
      </c>
      <c r="K979">
        <v>0</v>
      </c>
      <c r="L979">
        <v>265565.43</v>
      </c>
      <c r="M979">
        <v>7315638.7599999998</v>
      </c>
      <c r="N979" s="711">
        <v>42752.731632210649</v>
      </c>
      <c r="O979" s="711">
        <v>43117</v>
      </c>
      <c r="P979" t="s">
        <v>3918</v>
      </c>
      <c r="Q979" t="s">
        <v>1280</v>
      </c>
      <c r="R979" t="s">
        <v>3919</v>
      </c>
      <c r="S979" t="s">
        <v>1510</v>
      </c>
      <c r="T979">
        <v>54</v>
      </c>
      <c r="U979">
        <f>IF(Table__192.168.1.150_M_CONSOLIDATED_Delinquency_Compulsory_EOM[[#This Row],[Days in Arrears]] &lt; 8, Table__192.168.1.150_M_CONSOLIDATED_Delinquency_Compulsory_EOM[[#This Row],[Outstanding Balance]], 0 )</f>
        <v>0</v>
      </c>
      <c r="V9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6637121.4900000002</v>
      </c>
      <c r="X9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79" s="105" t="str">
        <f>VLOOKUP(Table__192.168.1.150_M_CONSOLIDATED_Delinquency_Compulsory_EOM[[#This Row],[Client No]],'Global Portfolio'!$B$2:$N$2500,10,FALSE)</f>
        <v>Retail</v>
      </c>
      <c r="AA979" s="105" t="str">
        <f>VLOOKUP(Table__192.168.1.150_M_CONSOLIDATED_Delinquency_Compulsory_EOM[[#This Row],[Client No]],'Global Portfolio'!$B$2:$N$2500,11,FALSE)</f>
        <v>Food and Beverage Stores</v>
      </c>
      <c r="AB979" s="105" t="str">
        <f>VLOOKUP(Table__192.168.1.150_M_CONSOLIDATED_Delinquency_Compulsory_EOM[[#This Row],[Client No]],'Global Portfolio'!$B$2:$N$2500,12,FALSE)</f>
        <v>Beverage Stores</v>
      </c>
    </row>
    <row r="980" spans="1:28" x14ac:dyDescent="0.25">
      <c r="A980">
        <v>200762</v>
      </c>
      <c r="B980" t="s">
        <v>3922</v>
      </c>
      <c r="C980" t="s">
        <v>3933</v>
      </c>
      <c r="D980" t="s">
        <v>1284</v>
      </c>
      <c r="E980">
        <v>-17</v>
      </c>
      <c r="F980">
        <v>30000000</v>
      </c>
      <c r="G980">
        <v>25434779.43</v>
      </c>
      <c r="H980">
        <v>1443304.53</v>
      </c>
      <c r="I980" t="s">
        <v>1448</v>
      </c>
      <c r="J980">
        <v>92840.71</v>
      </c>
      <c r="K980">
        <v>213428000</v>
      </c>
      <c r="L980">
        <v>339130.39</v>
      </c>
      <c r="M980">
        <v>38969222.060000002</v>
      </c>
      <c r="N980" s="711">
        <v>42753.702417743058</v>
      </c>
      <c r="O980" s="711">
        <v>43848</v>
      </c>
      <c r="P980" t="s">
        <v>3934</v>
      </c>
      <c r="Q980" t="s">
        <v>1280</v>
      </c>
      <c r="R980" t="s">
        <v>1280</v>
      </c>
      <c r="S980" t="s">
        <v>1510</v>
      </c>
      <c r="T980">
        <v>40</v>
      </c>
      <c r="U980">
        <f>IF(Table__192.168.1.150_M_CONSOLIDATED_Delinquency_Compulsory_EOM[[#This Row],[Days in Arrears]] &lt; 8, Table__192.168.1.150_M_CONSOLIDATED_Delinquency_Compulsory_EOM[[#This Row],[Outstanding Balance]], 0 )</f>
        <v>25434779.43</v>
      </c>
      <c r="V9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0" s="105" t="str">
        <f>VLOOKUP(Table__192.168.1.150_M_CONSOLIDATED_Delinquency_Compulsory_EOM[[#This Row],[Client No]],'Global Portfolio'!$B$2:$N$2500,10,FALSE)</f>
        <v>Retail</v>
      </c>
      <c r="AA980" s="105" t="str">
        <f>VLOOKUP(Table__192.168.1.150_M_CONSOLIDATED_Delinquency_Compulsory_EOM[[#This Row],[Client No]],'Global Portfolio'!$B$2:$N$2500,11,FALSE)</f>
        <v>Gasoline Stations</v>
      </c>
      <c r="AB980" s="105" t="str">
        <f>VLOOKUP(Table__192.168.1.150_M_CONSOLIDATED_Delinquency_Compulsory_EOM[[#This Row],[Client No]],'Global Portfolio'!$B$2:$N$2500,12,FALSE)</f>
        <v>Gas station</v>
      </c>
    </row>
    <row r="981" spans="1:28" x14ac:dyDescent="0.25">
      <c r="A981">
        <v>200763</v>
      </c>
      <c r="B981" t="s">
        <v>3935</v>
      </c>
      <c r="C981" t="s">
        <v>3936</v>
      </c>
      <c r="D981" t="s">
        <v>1282</v>
      </c>
      <c r="E981">
        <v>12</v>
      </c>
      <c r="F981">
        <v>5000000</v>
      </c>
      <c r="G981">
        <v>1967151.37</v>
      </c>
      <c r="H981">
        <v>548330.93999999994</v>
      </c>
      <c r="I981" t="s">
        <v>2034</v>
      </c>
      <c r="J981">
        <v>0</v>
      </c>
      <c r="K981">
        <v>0</v>
      </c>
      <c r="L981">
        <v>42436.31</v>
      </c>
      <c r="M981">
        <v>2122367.15</v>
      </c>
      <c r="N981" s="711">
        <v>42754.707278506947</v>
      </c>
      <c r="O981" s="711">
        <v>43119</v>
      </c>
      <c r="P981" t="s">
        <v>3937</v>
      </c>
      <c r="Q981" t="s">
        <v>1280</v>
      </c>
      <c r="R981" t="s">
        <v>3938</v>
      </c>
      <c r="S981" t="s">
        <v>1510</v>
      </c>
      <c r="T981">
        <v>54</v>
      </c>
      <c r="U981">
        <f>IF(Table__192.168.1.150_M_CONSOLIDATED_Delinquency_Compulsory_EOM[[#This Row],[Days in Arrears]] &lt; 8, Table__192.168.1.150_M_CONSOLIDATED_Delinquency_Compulsory_EOM[[#This Row],[Outstanding Balance]], 0 )</f>
        <v>0</v>
      </c>
      <c r="V9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1967151.37</v>
      </c>
      <c r="W9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1" s="105" t="str">
        <f>VLOOKUP(Table__192.168.1.150_M_CONSOLIDATED_Delinquency_Compulsory_EOM[[#This Row],[Client No]],'Global Portfolio'!$B$2:$N$2500,10,FALSE)</f>
        <v>Health Care</v>
      </c>
      <c r="AA981" s="105" t="str">
        <f>VLOOKUP(Table__192.168.1.150_M_CONSOLIDATED_Delinquency_Compulsory_EOM[[#This Row],[Client No]],'Global Portfolio'!$B$2:$N$2500,11,FALSE)</f>
        <v>Health Care</v>
      </c>
      <c r="AB981" s="105" t="str">
        <f>VLOOKUP(Table__192.168.1.150_M_CONSOLIDATED_Delinquency_Compulsory_EOM[[#This Row],[Client No]],'Global Portfolio'!$B$2:$N$2500,12,FALSE)</f>
        <v>Others</v>
      </c>
    </row>
    <row r="982" spans="1:28" x14ac:dyDescent="0.25">
      <c r="A982">
        <v>200765</v>
      </c>
      <c r="B982" t="s">
        <v>3942</v>
      </c>
      <c r="C982" t="s">
        <v>3950</v>
      </c>
      <c r="D982" t="s">
        <v>1282</v>
      </c>
      <c r="E982">
        <v>11</v>
      </c>
      <c r="F982">
        <v>6000000</v>
      </c>
      <c r="G982">
        <v>2360581.64</v>
      </c>
      <c r="H982">
        <v>657997.13</v>
      </c>
      <c r="I982" t="s">
        <v>468</v>
      </c>
      <c r="J982">
        <v>0</v>
      </c>
      <c r="K982">
        <v>600000</v>
      </c>
      <c r="L982">
        <v>114341.64</v>
      </c>
      <c r="M982">
        <v>2612971.86</v>
      </c>
      <c r="N982" s="711">
        <v>42755.601103009256</v>
      </c>
      <c r="O982" s="711">
        <v>43120</v>
      </c>
      <c r="P982" t="s">
        <v>3951</v>
      </c>
      <c r="Q982" t="s">
        <v>1280</v>
      </c>
      <c r="R982" t="s">
        <v>3952</v>
      </c>
      <c r="S982" t="s">
        <v>1510</v>
      </c>
      <c r="T982">
        <v>54</v>
      </c>
      <c r="U982">
        <f>IF(Table__192.168.1.150_M_CONSOLIDATED_Delinquency_Compulsory_EOM[[#This Row],[Days in Arrears]] &lt; 8, Table__192.168.1.150_M_CONSOLIDATED_Delinquency_Compulsory_EOM[[#This Row],[Outstanding Balance]], 0 )</f>
        <v>0</v>
      </c>
      <c r="V9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2360581.64</v>
      </c>
      <c r="W9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2" s="105" t="str">
        <f>VLOOKUP(Table__192.168.1.150_M_CONSOLIDATED_Delinquency_Compulsory_EOM[[#This Row],[Client No]],'Global Portfolio'!$B$2:$N$2500,10,FALSE)</f>
        <v>Retail</v>
      </c>
      <c r="AA982" s="105" t="str">
        <f>VLOOKUP(Table__192.168.1.150_M_CONSOLIDATED_Delinquency_Compulsory_EOM[[#This Row],[Client No]],'Global Portfolio'!$B$2:$N$2500,11,FALSE)</f>
        <v>Furniture and Home Furnishings Stores</v>
      </c>
      <c r="AB982" s="105" t="str">
        <f>VLOOKUP(Table__192.168.1.150_M_CONSOLIDATED_Delinquency_Compulsory_EOM[[#This Row],[Client No]],'Global Portfolio'!$B$2:$N$2500,12,FALSE)</f>
        <v>Others</v>
      </c>
    </row>
    <row r="983" spans="1:28" x14ac:dyDescent="0.25">
      <c r="A983">
        <v>200767</v>
      </c>
      <c r="B983" t="s">
        <v>3944</v>
      </c>
      <c r="C983" t="s">
        <v>3953</v>
      </c>
      <c r="D983" t="s">
        <v>1284</v>
      </c>
      <c r="E983">
        <v>-19</v>
      </c>
      <c r="F983">
        <v>16000000</v>
      </c>
      <c r="G983">
        <v>9171940.6600000001</v>
      </c>
      <c r="H983">
        <v>1196370.22</v>
      </c>
      <c r="I983" t="s">
        <v>2861</v>
      </c>
      <c r="J983">
        <v>8400.81</v>
      </c>
      <c r="K983">
        <v>800000</v>
      </c>
      <c r="L983">
        <v>101910.45</v>
      </c>
      <c r="M983">
        <v>10767331.949999999</v>
      </c>
      <c r="N983" s="711">
        <v>42755.603499571756</v>
      </c>
      <c r="O983" s="711">
        <v>43301</v>
      </c>
      <c r="P983" t="s">
        <v>3954</v>
      </c>
      <c r="Q983" t="s">
        <v>1280</v>
      </c>
      <c r="R983" t="s">
        <v>1280</v>
      </c>
      <c r="S983" t="s">
        <v>1510</v>
      </c>
      <c r="T983">
        <v>40</v>
      </c>
      <c r="U983">
        <f>IF(Table__192.168.1.150_M_CONSOLIDATED_Delinquency_Compulsory_EOM[[#This Row],[Days in Arrears]] &lt; 8, Table__192.168.1.150_M_CONSOLIDATED_Delinquency_Compulsory_EOM[[#This Row],[Outstanding Balance]], 0 )</f>
        <v>9171940.6600000001</v>
      </c>
      <c r="V9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3" s="105" t="str">
        <f>VLOOKUP(Table__192.168.1.150_M_CONSOLIDATED_Delinquency_Compulsory_EOM[[#This Row],[Client No]],'Global Portfolio'!$B$2:$N$2500,10,FALSE)</f>
        <v>Real Estate and Rental</v>
      </c>
      <c r="AA983" s="105" t="str">
        <f>VLOOKUP(Table__192.168.1.150_M_CONSOLIDATED_Delinquency_Compulsory_EOM[[#This Row],[Client No]],'Global Portfolio'!$B$2:$N$2500,11,FALSE)</f>
        <v>Rental</v>
      </c>
      <c r="AB983" s="105" t="str">
        <f>VLOOKUP(Table__192.168.1.150_M_CONSOLIDATED_Delinquency_Compulsory_EOM[[#This Row],[Client No]],'Global Portfolio'!$B$2:$N$2500,12,FALSE)</f>
        <v>General Rental Centers</v>
      </c>
    </row>
    <row r="984" spans="1:28" x14ac:dyDescent="0.25">
      <c r="A984">
        <v>200768</v>
      </c>
      <c r="B984" t="s">
        <v>3943</v>
      </c>
      <c r="C984" t="s">
        <v>3955</v>
      </c>
      <c r="D984" t="s">
        <v>1282</v>
      </c>
      <c r="E984">
        <v>-19</v>
      </c>
      <c r="F984">
        <v>6000000</v>
      </c>
      <c r="G984">
        <v>1808810.68</v>
      </c>
      <c r="H984">
        <v>657997.13</v>
      </c>
      <c r="I984" t="s">
        <v>2034</v>
      </c>
      <c r="J984">
        <v>69718.62</v>
      </c>
      <c r="K984">
        <v>600000</v>
      </c>
      <c r="L984">
        <v>27132.16</v>
      </c>
      <c r="M984">
        <v>1973991.42</v>
      </c>
      <c r="N984" s="711">
        <v>42755.624337847221</v>
      </c>
      <c r="O984" s="711">
        <v>43120</v>
      </c>
      <c r="P984" t="s">
        <v>3956</v>
      </c>
      <c r="Q984" t="s">
        <v>1280</v>
      </c>
      <c r="R984" t="s">
        <v>3957</v>
      </c>
      <c r="S984" t="s">
        <v>1510</v>
      </c>
      <c r="T984">
        <v>54</v>
      </c>
      <c r="U984">
        <f>IF(Table__192.168.1.150_M_CONSOLIDATED_Delinquency_Compulsory_EOM[[#This Row],[Days in Arrears]] &lt; 8, Table__192.168.1.150_M_CONSOLIDATED_Delinquency_Compulsory_EOM[[#This Row],[Outstanding Balance]], 0 )</f>
        <v>1808810.68</v>
      </c>
      <c r="V9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4" s="105" t="str">
        <f>VLOOKUP(Table__192.168.1.150_M_CONSOLIDATED_Delinquency_Compulsory_EOM[[#This Row],[Client No]],'Global Portfolio'!$B$2:$N$2500,10,FALSE)</f>
        <v>Retail</v>
      </c>
      <c r="AA984" s="105" t="str">
        <f>VLOOKUP(Table__192.168.1.150_M_CONSOLIDATED_Delinquency_Compulsory_EOM[[#This Row],[Client No]],'Global Portfolio'!$B$2:$N$2500,11,FALSE)</f>
        <v>Second Hand -Clothing and  Accessories</v>
      </c>
      <c r="AB984" s="105" t="str">
        <f>VLOOKUP(Table__192.168.1.150_M_CONSOLIDATED_Delinquency_Compulsory_EOM[[#This Row],[Client No]],'Global Portfolio'!$B$2:$N$2500,12,FALSE)</f>
        <v>Shoes Stores</v>
      </c>
    </row>
    <row r="985" spans="1:28" x14ac:dyDescent="0.25">
      <c r="A985">
        <v>200770</v>
      </c>
      <c r="B985" t="s">
        <v>1754</v>
      </c>
      <c r="C985" t="s">
        <v>1755</v>
      </c>
      <c r="D985" t="s">
        <v>1283</v>
      </c>
      <c r="E985">
        <v>-9</v>
      </c>
      <c r="F985">
        <v>60000000</v>
      </c>
      <c r="G985">
        <v>41719379.799999997</v>
      </c>
      <c r="H985">
        <v>3494689.78</v>
      </c>
      <c r="I985" t="s">
        <v>1191</v>
      </c>
      <c r="J985">
        <v>2004085.83</v>
      </c>
      <c r="K985">
        <v>0</v>
      </c>
      <c r="L985">
        <v>834387.6</v>
      </c>
      <c r="M985">
        <v>52420346.780000001</v>
      </c>
      <c r="N985" s="711">
        <v>42759.51062734954</v>
      </c>
      <c r="O985" s="711">
        <v>43475</v>
      </c>
      <c r="P985" t="s">
        <v>1756</v>
      </c>
      <c r="Q985" t="s">
        <v>1838</v>
      </c>
      <c r="R985" t="s">
        <v>1280</v>
      </c>
      <c r="S985" t="s">
        <v>1510</v>
      </c>
      <c r="T985">
        <v>36</v>
      </c>
      <c r="U985">
        <f>IF(Table__192.168.1.150_M_CONSOLIDATED_Delinquency_Compulsory_EOM[[#This Row],[Days in Arrears]] &lt; 8, Table__192.168.1.150_M_CONSOLIDATED_Delinquency_Compulsory_EOM[[#This Row],[Outstanding Balance]], 0 )</f>
        <v>41719379.799999997</v>
      </c>
      <c r="V9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5" s="105" t="str">
        <f>VLOOKUP(Table__192.168.1.150_M_CONSOLIDATED_Delinquency_Compulsory_EOM[[#This Row],[Client No]],'Global Portfolio'!$B$2:$N$2500,10,FALSE)</f>
        <v>Retail</v>
      </c>
      <c r="AA985" s="105" t="str">
        <f>VLOOKUP(Table__192.168.1.150_M_CONSOLIDATED_Delinquency_Compulsory_EOM[[#This Row],[Client No]],'Global Portfolio'!$B$2:$N$2500,11,FALSE)</f>
        <v>General Merchandise Stores</v>
      </c>
      <c r="AB985" s="105" t="str">
        <f>VLOOKUP(Table__192.168.1.150_M_CONSOLIDATED_Delinquency_Compulsory_EOM[[#This Row],[Client No]],'Global Portfolio'!$B$2:$N$2500,12,FALSE)</f>
        <v>Others</v>
      </c>
    </row>
    <row r="986" spans="1:28" x14ac:dyDescent="0.25">
      <c r="A986">
        <v>200772</v>
      </c>
      <c r="B986" t="s">
        <v>3960</v>
      </c>
      <c r="C986" t="s">
        <v>3962</v>
      </c>
      <c r="D986" t="s">
        <v>1866</v>
      </c>
      <c r="E986">
        <v>-20</v>
      </c>
      <c r="F986">
        <v>6000000</v>
      </c>
      <c r="G986">
        <v>1785699.53</v>
      </c>
      <c r="H986">
        <v>645510.71</v>
      </c>
      <c r="I986" t="s">
        <v>1447</v>
      </c>
      <c r="J986">
        <v>0</v>
      </c>
      <c r="K986">
        <v>600000</v>
      </c>
      <c r="L986">
        <v>22321.24</v>
      </c>
      <c r="M986">
        <v>1936532.15</v>
      </c>
      <c r="N986" s="711">
        <v>42756.515501504633</v>
      </c>
      <c r="O986" s="711">
        <v>43121</v>
      </c>
      <c r="P986" t="s">
        <v>3963</v>
      </c>
      <c r="Q986" t="s">
        <v>1280</v>
      </c>
      <c r="R986" t="s">
        <v>1280</v>
      </c>
      <c r="S986" t="s">
        <v>1510</v>
      </c>
      <c r="T986">
        <v>50</v>
      </c>
      <c r="U986">
        <f>IF(Table__192.168.1.150_M_CONSOLIDATED_Delinquency_Compulsory_EOM[[#This Row],[Days in Arrears]] &lt; 8, Table__192.168.1.150_M_CONSOLIDATED_Delinquency_Compulsory_EOM[[#This Row],[Outstanding Balance]], 0 )</f>
        <v>1785699.53</v>
      </c>
      <c r="V9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6" s="105" t="str">
        <f>VLOOKUP(Table__192.168.1.150_M_CONSOLIDATED_Delinquency_Compulsory_EOM[[#This Row],[Client No]],'Global Portfolio'!$B$2:$N$2500,10,FALSE)</f>
        <v>Agriculture, Forestry, Fishing and Hunting</v>
      </c>
      <c r="AA986" s="105" t="str">
        <f>VLOOKUP(Table__192.168.1.150_M_CONSOLIDATED_Delinquency_Compulsory_EOM[[#This Row],[Client No]],'Global Portfolio'!$B$2:$N$2500,11,FALSE)</f>
        <v>Animal Production</v>
      </c>
      <c r="AB986" s="105" t="str">
        <f>VLOOKUP(Table__192.168.1.150_M_CONSOLIDATED_Delinquency_Compulsory_EOM[[#This Row],[Client No]],'Global Portfolio'!$B$2:$N$2500,12,FALSE)</f>
        <v>Sheep &amp; Goat Farming</v>
      </c>
    </row>
    <row r="987" spans="1:28" x14ac:dyDescent="0.25">
      <c r="A987">
        <v>200778</v>
      </c>
      <c r="B987" t="s">
        <v>3978</v>
      </c>
      <c r="C987" t="s">
        <v>3979</v>
      </c>
      <c r="D987" t="s">
        <v>1282</v>
      </c>
      <c r="E987">
        <v>0</v>
      </c>
      <c r="F987">
        <v>5000000</v>
      </c>
      <c r="G987">
        <v>1986916.98</v>
      </c>
      <c r="H987">
        <v>553840.49</v>
      </c>
      <c r="I987" t="s">
        <v>1448</v>
      </c>
      <c r="J987">
        <v>558503.31999999995</v>
      </c>
      <c r="K987">
        <v>500000</v>
      </c>
      <c r="L987">
        <v>86430.89</v>
      </c>
      <c r="M987">
        <v>2215361.94</v>
      </c>
      <c r="N987" s="711">
        <v>42759.545042939812</v>
      </c>
      <c r="O987" s="711">
        <v>43132</v>
      </c>
      <c r="P987" t="s">
        <v>3980</v>
      </c>
      <c r="Q987" t="s">
        <v>1280</v>
      </c>
      <c r="R987" t="s">
        <v>3981</v>
      </c>
      <c r="S987" t="s">
        <v>1510</v>
      </c>
      <c r="T987">
        <v>54</v>
      </c>
      <c r="U987">
        <f>IF(Table__192.168.1.150_M_CONSOLIDATED_Delinquency_Compulsory_EOM[[#This Row],[Days in Arrears]] &lt; 8, Table__192.168.1.150_M_CONSOLIDATED_Delinquency_Compulsory_EOM[[#This Row],[Outstanding Balance]], 0 )</f>
        <v>1986916.98</v>
      </c>
      <c r="V9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7" s="105" t="str">
        <f>VLOOKUP(Table__192.168.1.150_M_CONSOLIDATED_Delinquency_Compulsory_EOM[[#This Row],[Client No]],'Global Portfolio'!$B$2:$N$2500,10,FALSE)</f>
        <v>Agriculture, Forestry, Fishing and Hunting</v>
      </c>
      <c r="AA987" s="105" t="str">
        <f>VLOOKUP(Table__192.168.1.150_M_CONSOLIDATED_Delinquency_Compulsory_EOM[[#This Row],[Client No]],'Global Portfolio'!$B$2:$N$2500,11,FALSE)</f>
        <v>Animal Production</v>
      </c>
      <c r="AB987" s="105" t="str">
        <f>VLOOKUP(Table__192.168.1.150_M_CONSOLIDATED_Delinquency_Compulsory_EOM[[#This Row],[Client No]],'Global Portfolio'!$B$2:$N$2500,12,FALSE)</f>
        <v>Poultry &amp; Egg Production</v>
      </c>
    </row>
    <row r="988" spans="1:28" x14ac:dyDescent="0.25">
      <c r="A988">
        <v>200779</v>
      </c>
      <c r="B988" t="s">
        <v>2469</v>
      </c>
      <c r="C988" t="s">
        <v>2470</v>
      </c>
      <c r="D988" t="s">
        <v>1282</v>
      </c>
      <c r="E988">
        <v>-24</v>
      </c>
      <c r="F988">
        <v>4000000</v>
      </c>
      <c r="G988">
        <v>1182767.92</v>
      </c>
      <c r="H988">
        <v>426208.69</v>
      </c>
      <c r="I988" t="s">
        <v>1925</v>
      </c>
      <c r="J988">
        <v>41535.980000000003</v>
      </c>
      <c r="K988">
        <v>400000</v>
      </c>
      <c r="L988">
        <v>7885.12</v>
      </c>
      <c r="M988">
        <v>1278626.08</v>
      </c>
      <c r="N988" s="711">
        <v>42760.657270717595</v>
      </c>
      <c r="O988" s="711">
        <v>43125</v>
      </c>
      <c r="P988" t="s">
        <v>2471</v>
      </c>
      <c r="Q988" t="s">
        <v>2472</v>
      </c>
      <c r="R988" t="s">
        <v>1280</v>
      </c>
      <c r="S988" t="s">
        <v>1510</v>
      </c>
      <c r="T988">
        <v>48</v>
      </c>
      <c r="U988">
        <f>IF(Table__192.168.1.150_M_CONSOLIDATED_Delinquency_Compulsory_EOM[[#This Row],[Days in Arrears]] &lt; 8, Table__192.168.1.150_M_CONSOLIDATED_Delinquency_Compulsory_EOM[[#This Row],[Outstanding Balance]], 0 )</f>
        <v>1182767.92</v>
      </c>
      <c r="V9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8" s="105" t="str">
        <f>VLOOKUP(Table__192.168.1.150_M_CONSOLIDATED_Delinquency_Compulsory_EOM[[#This Row],[Client No]],'Global Portfolio'!$B$2:$N$2500,10,FALSE)</f>
        <v>Real Estate and Rental</v>
      </c>
      <c r="AA988" s="105" t="str">
        <f>VLOOKUP(Table__192.168.1.150_M_CONSOLIDATED_Delinquency_Compulsory_EOM[[#This Row],[Client No]],'Global Portfolio'!$B$2:$N$2500,11,FALSE)</f>
        <v>Rental</v>
      </c>
      <c r="AB988" s="105" t="str">
        <f>VLOOKUP(Table__192.168.1.150_M_CONSOLIDATED_Delinquency_Compulsory_EOM[[#This Row],[Client No]],'Global Portfolio'!$B$2:$N$2500,12,FALSE)</f>
        <v>Others</v>
      </c>
    </row>
    <row r="989" spans="1:28" x14ac:dyDescent="0.25">
      <c r="A989">
        <v>200780</v>
      </c>
      <c r="B989" t="s">
        <v>3982</v>
      </c>
      <c r="C989" t="s">
        <v>3983</v>
      </c>
      <c r="D989" t="s">
        <v>1279</v>
      </c>
      <c r="E989">
        <v>36</v>
      </c>
      <c r="F989">
        <v>2000000</v>
      </c>
      <c r="G989">
        <v>290162</v>
      </c>
      <c r="H989">
        <v>303219.31</v>
      </c>
      <c r="I989" t="s">
        <v>2861</v>
      </c>
      <c r="J989">
        <v>0</v>
      </c>
      <c r="K989">
        <v>0</v>
      </c>
      <c r="L989">
        <v>12622.05</v>
      </c>
      <c r="M989">
        <v>303219.28999999998</v>
      </c>
      <c r="N989" s="711">
        <v>42760.690128553244</v>
      </c>
      <c r="O989" s="711">
        <v>43003</v>
      </c>
      <c r="P989" t="s">
        <v>3984</v>
      </c>
      <c r="Q989" t="s">
        <v>1280</v>
      </c>
      <c r="R989" t="s">
        <v>3985</v>
      </c>
      <c r="S989" t="s">
        <v>1510</v>
      </c>
      <c r="T989">
        <v>54</v>
      </c>
      <c r="U989">
        <f>IF(Table__192.168.1.150_M_CONSOLIDATED_Delinquency_Compulsory_EOM[[#This Row],[Days in Arrears]] &lt; 8, Table__192.168.1.150_M_CONSOLIDATED_Delinquency_Compulsory_EOM[[#This Row],[Outstanding Balance]], 0 )</f>
        <v>0</v>
      </c>
      <c r="V9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290162</v>
      </c>
      <c r="X9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89" s="105" t="str">
        <f>VLOOKUP(Table__192.168.1.150_M_CONSOLIDATED_Delinquency_Compulsory_EOM[[#This Row],[Client No]],'Global Portfolio'!$B$2:$N$2500,10,FALSE)</f>
        <v>Transportation and Warehousing</v>
      </c>
      <c r="AA989" s="105" t="str">
        <f>VLOOKUP(Table__192.168.1.150_M_CONSOLIDATED_Delinquency_Compulsory_EOM[[#This Row],[Client No]],'Global Portfolio'!$B$2:$N$2500,11,FALSE)</f>
        <v xml:space="preserve"> Passenger Transportation</v>
      </c>
      <c r="AB989" s="105" t="str">
        <f>VLOOKUP(Table__192.168.1.150_M_CONSOLIDATED_Delinquency_Compulsory_EOM[[#This Row],[Client No]],'Global Portfolio'!$B$2:$N$2500,12,FALSE)</f>
        <v>Taxi service</v>
      </c>
    </row>
    <row r="990" spans="1:28" x14ac:dyDescent="0.25">
      <c r="A990">
        <v>200782</v>
      </c>
      <c r="B990" t="s">
        <v>3991</v>
      </c>
      <c r="C990" t="s">
        <v>3994</v>
      </c>
      <c r="D990" t="s">
        <v>1283</v>
      </c>
      <c r="E990">
        <v>0</v>
      </c>
      <c r="F990">
        <v>35000000</v>
      </c>
      <c r="G990">
        <v>22019848.66</v>
      </c>
      <c r="H990">
        <v>2625501.98</v>
      </c>
      <c r="I990" t="s">
        <v>1039</v>
      </c>
      <c r="J990">
        <v>0</v>
      </c>
      <c r="K990">
        <v>1750000</v>
      </c>
      <c r="L990">
        <v>709528.46</v>
      </c>
      <c r="M990">
        <v>26257843.010000002</v>
      </c>
      <c r="N990" s="711">
        <v>42763.586794560186</v>
      </c>
      <c r="O990" s="711">
        <v>43314</v>
      </c>
      <c r="P990" t="s">
        <v>3995</v>
      </c>
      <c r="Q990" t="s">
        <v>1280</v>
      </c>
      <c r="R990" t="s">
        <v>3996</v>
      </c>
      <c r="S990" t="s">
        <v>1510</v>
      </c>
      <c r="T990">
        <v>40</v>
      </c>
      <c r="U990">
        <f>IF(Table__192.168.1.150_M_CONSOLIDATED_Delinquency_Compulsory_EOM[[#This Row],[Days in Arrears]] &lt; 8, Table__192.168.1.150_M_CONSOLIDATED_Delinquency_Compulsory_EOM[[#This Row],[Outstanding Balance]], 0 )</f>
        <v>22019848.66</v>
      </c>
      <c r="V9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0" s="105" t="str">
        <f>VLOOKUP(Table__192.168.1.150_M_CONSOLIDATED_Delinquency_Compulsory_EOM[[#This Row],[Client No]],'Global Portfolio'!$B$2:$N$2500,10,FALSE)</f>
        <v>Transportation and Warehousing</v>
      </c>
      <c r="AA990" s="105" t="str">
        <f>VLOOKUP(Table__192.168.1.150_M_CONSOLIDATED_Delinquency_Compulsory_EOM[[#This Row],[Client No]],'Global Portfolio'!$B$2:$N$2500,11,FALSE)</f>
        <v>Truck Transportation</v>
      </c>
      <c r="AB990" s="105" t="str">
        <f>VLOOKUP(Table__192.168.1.150_M_CONSOLIDATED_Delinquency_Compulsory_EOM[[#This Row],[Client No]],'Global Portfolio'!$B$2:$N$2500,12,FALSE)</f>
        <v>Others</v>
      </c>
    </row>
    <row r="991" spans="1:28" x14ac:dyDescent="0.25">
      <c r="A991">
        <v>200783</v>
      </c>
      <c r="B991" t="s">
        <v>3999</v>
      </c>
      <c r="C991" t="s">
        <v>4006</v>
      </c>
      <c r="D991" t="s">
        <v>1282</v>
      </c>
      <c r="E991">
        <v>-2</v>
      </c>
      <c r="F991">
        <v>18000000</v>
      </c>
      <c r="G991">
        <v>9754338.1500000004</v>
      </c>
      <c r="H991">
        <v>1625166.5</v>
      </c>
      <c r="I991" t="s">
        <v>491</v>
      </c>
      <c r="J991">
        <v>1733754.5</v>
      </c>
      <c r="K991">
        <v>0</v>
      </c>
      <c r="L991">
        <v>351156.17</v>
      </c>
      <c r="M991">
        <v>11380332.560000001</v>
      </c>
      <c r="N991" s="711">
        <v>42765.5072147338</v>
      </c>
      <c r="O991" s="711">
        <v>43225</v>
      </c>
      <c r="P991" t="s">
        <v>4007</v>
      </c>
      <c r="Q991" t="s">
        <v>1280</v>
      </c>
      <c r="R991" t="s">
        <v>4008</v>
      </c>
      <c r="S991" t="s">
        <v>1510</v>
      </c>
      <c r="T991">
        <v>48</v>
      </c>
      <c r="U991">
        <f>IF(Table__192.168.1.150_M_CONSOLIDATED_Delinquency_Compulsory_EOM[[#This Row],[Days in Arrears]] &lt; 8, Table__192.168.1.150_M_CONSOLIDATED_Delinquency_Compulsory_EOM[[#This Row],[Outstanding Balance]], 0 )</f>
        <v>9754338.1500000004</v>
      </c>
      <c r="V9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1" s="105" t="str">
        <f>VLOOKUP(Table__192.168.1.150_M_CONSOLIDATED_Delinquency_Compulsory_EOM[[#This Row],[Client No]],'Global Portfolio'!$B$2:$N$2500,10,FALSE)</f>
        <v>Transportation and Warehousing</v>
      </c>
      <c r="AA991" s="105" t="str">
        <f>VLOOKUP(Table__192.168.1.150_M_CONSOLIDATED_Delinquency_Compulsory_EOM[[#This Row],[Client No]],'Global Portfolio'!$B$2:$N$2500,11,FALSE)</f>
        <v xml:space="preserve"> Passenger Transportation</v>
      </c>
      <c r="AB991" s="105" t="str">
        <f>VLOOKUP(Table__192.168.1.150_M_CONSOLIDATED_Delinquency_Compulsory_EOM[[#This Row],[Client No]],'Global Portfolio'!$B$2:$N$2500,12,FALSE)</f>
        <v>Others</v>
      </c>
    </row>
    <row r="992" spans="1:28" x14ac:dyDescent="0.25">
      <c r="A992">
        <v>200784</v>
      </c>
      <c r="B992" t="s">
        <v>2866</v>
      </c>
      <c r="C992" t="s">
        <v>2868</v>
      </c>
      <c r="D992" t="s">
        <v>1282</v>
      </c>
      <c r="E992">
        <v>0</v>
      </c>
      <c r="F992">
        <v>10000000</v>
      </c>
      <c r="G992">
        <v>3882608.09</v>
      </c>
      <c r="H992">
        <v>1069619.8899999999</v>
      </c>
      <c r="I992" t="s">
        <v>2538</v>
      </c>
      <c r="J992">
        <v>340348.2</v>
      </c>
      <c r="K992">
        <v>0</v>
      </c>
      <c r="L992">
        <v>150127.51</v>
      </c>
      <c r="M992">
        <v>4279850.8099999996</v>
      </c>
      <c r="N992" s="711">
        <v>42763.526987581019</v>
      </c>
      <c r="O992" s="711">
        <v>43133</v>
      </c>
      <c r="P992" t="s">
        <v>2869</v>
      </c>
      <c r="Q992" t="s">
        <v>1280</v>
      </c>
      <c r="R992" t="s">
        <v>1280</v>
      </c>
      <c r="S992" t="s">
        <v>1510</v>
      </c>
      <c r="T992">
        <v>48</v>
      </c>
      <c r="U992">
        <f>IF(Table__192.168.1.150_M_CONSOLIDATED_Delinquency_Compulsory_EOM[[#This Row],[Days in Arrears]] &lt; 8, Table__192.168.1.150_M_CONSOLIDATED_Delinquency_Compulsory_EOM[[#This Row],[Outstanding Balance]], 0 )</f>
        <v>3882608.09</v>
      </c>
      <c r="V9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2" s="105" t="str">
        <f>VLOOKUP(Table__192.168.1.150_M_CONSOLIDATED_Delinquency_Compulsory_EOM[[#This Row],[Client No]],'Global Portfolio'!$B$2:$N$2500,10,FALSE)</f>
        <v>Retail</v>
      </c>
      <c r="AA992" s="105" t="str">
        <f>VLOOKUP(Table__192.168.1.150_M_CONSOLIDATED_Delinquency_Compulsory_EOM[[#This Row],[Client No]],'Global Portfolio'!$B$2:$N$2500,11,FALSE)</f>
        <v>Electronics Stores</v>
      </c>
      <c r="AB992" s="105" t="str">
        <f>VLOOKUP(Table__192.168.1.150_M_CONSOLIDATED_Delinquency_Compulsory_EOM[[#This Row],[Client No]],'Global Portfolio'!$B$2:$N$2500,12,FALSE)</f>
        <v>Others</v>
      </c>
    </row>
    <row r="993" spans="1:28" x14ac:dyDescent="0.25">
      <c r="A993">
        <v>200785</v>
      </c>
      <c r="B993" t="s">
        <v>2371</v>
      </c>
      <c r="C993" t="s">
        <v>2375</v>
      </c>
      <c r="D993" t="s">
        <v>1283</v>
      </c>
      <c r="E993">
        <v>-9</v>
      </c>
      <c r="F993">
        <v>40000000</v>
      </c>
      <c r="G993">
        <v>24881055.620000001</v>
      </c>
      <c r="H993">
        <v>2916818.75</v>
      </c>
      <c r="I993" t="s">
        <v>2175</v>
      </c>
      <c r="J993">
        <v>0</v>
      </c>
      <c r="K993">
        <v>0</v>
      </c>
      <c r="L993">
        <v>1307267.94</v>
      </c>
      <c r="M993">
        <v>29168187.579999998</v>
      </c>
      <c r="N993" s="711">
        <v>42773.688587928242</v>
      </c>
      <c r="O993" s="711">
        <v>43322</v>
      </c>
      <c r="P993" t="s">
        <v>2376</v>
      </c>
      <c r="Q993" t="s">
        <v>1280</v>
      </c>
      <c r="R993" t="s">
        <v>1280</v>
      </c>
      <c r="S993" t="s">
        <v>1510</v>
      </c>
      <c r="T993">
        <v>36</v>
      </c>
      <c r="U993">
        <f>IF(Table__192.168.1.150_M_CONSOLIDATED_Delinquency_Compulsory_EOM[[#This Row],[Days in Arrears]] &lt; 8, Table__192.168.1.150_M_CONSOLIDATED_Delinquency_Compulsory_EOM[[#This Row],[Outstanding Balance]], 0 )</f>
        <v>24881055.620000001</v>
      </c>
      <c r="V9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3" s="105" t="str">
        <f>VLOOKUP(Table__192.168.1.150_M_CONSOLIDATED_Delinquency_Compulsory_EOM[[#This Row],[Client No]],'Global Portfolio'!$B$2:$N$2500,10,FALSE)</f>
        <v>Wholesale Trade</v>
      </c>
      <c r="AA993" s="105" t="str">
        <f>VLOOKUP(Table__192.168.1.150_M_CONSOLIDATED_Delinquency_Compulsory_EOM[[#This Row],[Client No]],'Global Portfolio'!$B$2:$N$2500,11,FALSE)</f>
        <v>Others</v>
      </c>
      <c r="AB993" s="105" t="str">
        <f>VLOOKUP(Table__192.168.1.150_M_CONSOLIDATED_Delinquency_Compulsory_EOM[[#This Row],[Client No]],'Global Portfolio'!$B$2:$N$2500,12,FALSE)</f>
        <v>Others</v>
      </c>
    </row>
    <row r="994" spans="1:28" x14ac:dyDescent="0.25">
      <c r="A994">
        <v>200790</v>
      </c>
      <c r="B994" t="s">
        <v>4070</v>
      </c>
      <c r="C994" t="s">
        <v>4073</v>
      </c>
      <c r="D994" t="s">
        <v>1283</v>
      </c>
      <c r="E994">
        <v>-9</v>
      </c>
      <c r="F994">
        <v>65000000</v>
      </c>
      <c r="G994">
        <v>24562188.760000002</v>
      </c>
      <c r="H994">
        <v>6660646.3899999997</v>
      </c>
      <c r="I994" t="s">
        <v>1909</v>
      </c>
      <c r="J994">
        <v>0</v>
      </c>
      <c r="K994">
        <v>1950000</v>
      </c>
      <c r="L994">
        <v>545826.42000000004</v>
      </c>
      <c r="M994">
        <v>26642585.52</v>
      </c>
      <c r="N994" s="711">
        <v>42776.583435995373</v>
      </c>
      <c r="O994" s="711">
        <v>43141</v>
      </c>
      <c r="P994" t="s">
        <v>4074</v>
      </c>
      <c r="Q994" t="s">
        <v>1280</v>
      </c>
      <c r="R994" t="s">
        <v>4075</v>
      </c>
      <c r="S994" t="s">
        <v>1510</v>
      </c>
      <c r="T994">
        <v>40</v>
      </c>
      <c r="U994">
        <f>IF(Table__192.168.1.150_M_CONSOLIDATED_Delinquency_Compulsory_EOM[[#This Row],[Days in Arrears]] &lt; 8, Table__192.168.1.150_M_CONSOLIDATED_Delinquency_Compulsory_EOM[[#This Row],[Outstanding Balance]], 0 )</f>
        <v>24562188.760000002</v>
      </c>
      <c r="V9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4" s="105" t="str">
        <f>VLOOKUP(Table__192.168.1.150_M_CONSOLIDATED_Delinquency_Compulsory_EOM[[#This Row],[Client No]],'Global Portfolio'!$B$2:$N$2500,10,FALSE)</f>
        <v>Wholesale Trade</v>
      </c>
      <c r="AA994" s="105" t="str">
        <f>VLOOKUP(Table__192.168.1.150_M_CONSOLIDATED_Delinquency_Compulsory_EOM[[#This Row],[Client No]],'Global Portfolio'!$B$2:$N$2500,11,FALSE)</f>
        <v>Others</v>
      </c>
      <c r="AB994" s="105" t="str">
        <f>VLOOKUP(Table__192.168.1.150_M_CONSOLIDATED_Delinquency_Compulsory_EOM[[#This Row],[Client No]],'Global Portfolio'!$B$2:$N$2500,12,FALSE)</f>
        <v>Others</v>
      </c>
    </row>
    <row r="995" spans="1:28" x14ac:dyDescent="0.25">
      <c r="A995">
        <v>200793</v>
      </c>
      <c r="B995" t="s">
        <v>4009</v>
      </c>
      <c r="C995" t="s">
        <v>4025</v>
      </c>
      <c r="D995" t="s">
        <v>1282</v>
      </c>
      <c r="E995">
        <v>0</v>
      </c>
      <c r="F995">
        <v>6000000</v>
      </c>
      <c r="G995">
        <v>2363969.98</v>
      </c>
      <c r="H995">
        <v>658941.63</v>
      </c>
      <c r="I995" t="s">
        <v>1447</v>
      </c>
      <c r="J995">
        <v>0</v>
      </c>
      <c r="K995">
        <v>0</v>
      </c>
      <c r="L995">
        <v>102832.69</v>
      </c>
      <c r="M995">
        <v>2637658.16</v>
      </c>
      <c r="N995" s="711">
        <v>42766.752147569445</v>
      </c>
      <c r="O995" s="711">
        <v>43134</v>
      </c>
      <c r="P995" t="s">
        <v>4026</v>
      </c>
      <c r="Q995" t="s">
        <v>1280</v>
      </c>
      <c r="R995" t="s">
        <v>1280</v>
      </c>
      <c r="S995" t="s">
        <v>1510</v>
      </c>
      <c r="T995">
        <v>54</v>
      </c>
      <c r="U995">
        <f>IF(Table__192.168.1.150_M_CONSOLIDATED_Delinquency_Compulsory_EOM[[#This Row],[Days in Arrears]] &lt; 8, Table__192.168.1.150_M_CONSOLIDATED_Delinquency_Compulsory_EOM[[#This Row],[Outstanding Balance]], 0 )</f>
        <v>2363969.98</v>
      </c>
      <c r="V9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5" s="105" t="str">
        <f>VLOOKUP(Table__192.168.1.150_M_CONSOLIDATED_Delinquency_Compulsory_EOM[[#This Row],[Client No]],'Global Portfolio'!$B$2:$N$2500,10,FALSE)</f>
        <v>Agriculture, Forestry, Fishing and Hunting</v>
      </c>
      <c r="AA995" s="105" t="str">
        <f>VLOOKUP(Table__192.168.1.150_M_CONSOLIDATED_Delinquency_Compulsory_EOM[[#This Row],[Client No]],'Global Portfolio'!$B$2:$N$2500,11,FALSE)</f>
        <v>Animal Production</v>
      </c>
      <c r="AB995" s="105" t="str">
        <f>VLOOKUP(Table__192.168.1.150_M_CONSOLIDATED_Delinquency_Compulsory_EOM[[#This Row],[Client No]],'Global Portfolio'!$B$2:$N$2500,12,FALSE)</f>
        <v>Poultry &amp; Egg Production</v>
      </c>
    </row>
    <row r="996" spans="1:28" x14ac:dyDescent="0.25">
      <c r="A996">
        <v>200795</v>
      </c>
      <c r="B996" t="s">
        <v>2676</v>
      </c>
      <c r="C996" t="s">
        <v>2695</v>
      </c>
      <c r="D996" t="s">
        <v>1282</v>
      </c>
      <c r="E996">
        <v>0</v>
      </c>
      <c r="F996">
        <v>15000000</v>
      </c>
      <c r="G996">
        <v>5809036.2999999998</v>
      </c>
      <c r="H996">
        <v>1600331.67</v>
      </c>
      <c r="I996" t="s">
        <v>2538</v>
      </c>
      <c r="J996">
        <v>300148.01</v>
      </c>
      <c r="K996">
        <v>1500000</v>
      </c>
      <c r="L996">
        <v>224616.07</v>
      </c>
      <c r="M996">
        <v>6405430.0999999996</v>
      </c>
      <c r="N996" s="711">
        <v>42766.618874108797</v>
      </c>
      <c r="O996" s="711">
        <v>43134</v>
      </c>
      <c r="P996" t="s">
        <v>2696</v>
      </c>
      <c r="Q996" t="s">
        <v>1280</v>
      </c>
      <c r="R996" t="s">
        <v>2697</v>
      </c>
      <c r="S996" t="s">
        <v>1510</v>
      </c>
      <c r="T996">
        <v>48</v>
      </c>
      <c r="U996">
        <f>IF(Table__192.168.1.150_M_CONSOLIDATED_Delinquency_Compulsory_EOM[[#This Row],[Days in Arrears]] &lt; 8, Table__192.168.1.150_M_CONSOLIDATED_Delinquency_Compulsory_EOM[[#This Row],[Outstanding Balance]], 0 )</f>
        <v>5809036.2999999998</v>
      </c>
      <c r="V9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6" s="105" t="str">
        <f>VLOOKUP(Table__192.168.1.150_M_CONSOLIDATED_Delinquency_Compulsory_EOM[[#This Row],[Client No]],'Global Portfolio'!$B$2:$N$2500,10,FALSE)</f>
        <v>Wholesale Trade</v>
      </c>
      <c r="AA996" s="105" t="str">
        <f>VLOOKUP(Table__192.168.1.150_M_CONSOLIDATED_Delinquency_Compulsory_EOM[[#This Row],[Client No]],'Global Portfolio'!$B$2:$N$2500,11,FALSE)</f>
        <v>Nondurable Goods</v>
      </c>
      <c r="AB996" s="105" t="str">
        <f>VLOOKUP(Table__192.168.1.150_M_CONSOLIDATED_Delinquency_Compulsory_EOM[[#This Row],[Client No]],'Global Portfolio'!$B$2:$N$2500,12,FALSE)</f>
        <v>Others</v>
      </c>
    </row>
    <row r="997" spans="1:28" x14ac:dyDescent="0.25">
      <c r="A997">
        <v>200796</v>
      </c>
      <c r="B997" t="s">
        <v>4013</v>
      </c>
      <c r="C997" t="s">
        <v>4027</v>
      </c>
      <c r="D997" t="s">
        <v>1279</v>
      </c>
      <c r="E997">
        <v>30</v>
      </c>
      <c r="F997">
        <v>3500000</v>
      </c>
      <c r="G997">
        <v>1380339.05</v>
      </c>
      <c r="H997">
        <v>384382.61</v>
      </c>
      <c r="I997" t="s">
        <v>2175</v>
      </c>
      <c r="J997">
        <v>0</v>
      </c>
      <c r="K997">
        <v>0</v>
      </c>
      <c r="L997">
        <v>59985.74</v>
      </c>
      <c r="M997">
        <v>1539990.49</v>
      </c>
      <c r="N997" s="711">
        <v>42766.718846215277</v>
      </c>
      <c r="O997" s="711">
        <v>43134</v>
      </c>
      <c r="P997" t="s">
        <v>4028</v>
      </c>
      <c r="Q997" t="s">
        <v>1280</v>
      </c>
      <c r="R997" t="s">
        <v>4029</v>
      </c>
      <c r="S997" t="s">
        <v>1510</v>
      </c>
      <c r="T997">
        <v>54</v>
      </c>
      <c r="U997">
        <f>IF(Table__192.168.1.150_M_CONSOLIDATED_Delinquency_Compulsory_EOM[[#This Row],[Days in Arrears]] &lt; 8, Table__192.168.1.150_M_CONSOLIDATED_Delinquency_Compulsory_EOM[[#This Row],[Outstanding Balance]], 0 )</f>
        <v>0</v>
      </c>
      <c r="V9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1380339.05</v>
      </c>
      <c r="X9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7" s="105" t="str">
        <f>VLOOKUP(Table__192.168.1.150_M_CONSOLIDATED_Delinquency_Compulsory_EOM[[#This Row],[Client No]],'Global Portfolio'!$B$2:$N$2500,10,FALSE)</f>
        <v>Retail</v>
      </c>
      <c r="AA997" s="105" t="str">
        <f>VLOOKUP(Table__192.168.1.150_M_CONSOLIDATED_Delinquency_Compulsory_EOM[[#This Row],[Client No]],'Global Portfolio'!$B$2:$N$2500,11,FALSE)</f>
        <v>Others</v>
      </c>
      <c r="AB997" s="105" t="str">
        <f>VLOOKUP(Table__192.168.1.150_M_CONSOLIDATED_Delinquency_Compulsory_EOM[[#This Row],[Client No]],'Global Portfolio'!$B$2:$N$2500,12,FALSE)</f>
        <v>Others</v>
      </c>
    </row>
    <row r="998" spans="1:28" x14ac:dyDescent="0.25">
      <c r="A998">
        <v>200798</v>
      </c>
      <c r="B998" t="s">
        <v>4014</v>
      </c>
      <c r="C998" t="s">
        <v>4032</v>
      </c>
      <c r="D998" t="s">
        <v>1281</v>
      </c>
      <c r="E998">
        <v>0</v>
      </c>
      <c r="F998">
        <v>25000000</v>
      </c>
      <c r="G998">
        <v>16038201.77</v>
      </c>
      <c r="H998">
        <v>1977365.04</v>
      </c>
      <c r="I998" t="s">
        <v>5725</v>
      </c>
      <c r="J998">
        <v>53054.400000000001</v>
      </c>
      <c r="K998">
        <v>0</v>
      </c>
      <c r="L998">
        <v>1271630.78</v>
      </c>
      <c r="M998">
        <v>19778720.579999998</v>
      </c>
      <c r="N998" s="711">
        <v>42766.855295868052</v>
      </c>
      <c r="O998" s="711">
        <v>43315</v>
      </c>
      <c r="P998" t="s">
        <v>4033</v>
      </c>
      <c r="Q998" t="s">
        <v>1280</v>
      </c>
      <c r="R998" t="s">
        <v>1280</v>
      </c>
      <c r="S998" t="s">
        <v>1510</v>
      </c>
      <c r="T998">
        <v>48</v>
      </c>
      <c r="U998">
        <f>IF(Table__192.168.1.150_M_CONSOLIDATED_Delinquency_Compulsory_EOM[[#This Row],[Days in Arrears]] &lt; 8, Table__192.168.1.150_M_CONSOLIDATED_Delinquency_Compulsory_EOM[[#This Row],[Outstanding Balance]], 0 )</f>
        <v>16038201.77</v>
      </c>
      <c r="V9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9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8" s="105" t="str">
        <f>VLOOKUP(Table__192.168.1.150_M_CONSOLIDATED_Delinquency_Compulsory_EOM[[#This Row],[Client No]],'Global Portfolio'!$B$2:$N$2500,10,FALSE)</f>
        <v>Transportation and Warehousing</v>
      </c>
      <c r="AA998" s="105" t="str">
        <f>VLOOKUP(Table__192.168.1.150_M_CONSOLIDATED_Delinquency_Compulsory_EOM[[#This Row],[Client No]],'Global Portfolio'!$B$2:$N$2500,11,FALSE)</f>
        <v xml:space="preserve"> Passenger Transportation</v>
      </c>
      <c r="AB998" s="105" t="str">
        <f>VLOOKUP(Table__192.168.1.150_M_CONSOLIDATED_Delinquency_Compulsory_EOM[[#This Row],[Client No]],'Global Portfolio'!$B$2:$N$2500,12,FALSE)</f>
        <v>Others</v>
      </c>
    </row>
    <row r="999" spans="1:28" x14ac:dyDescent="0.25">
      <c r="A999">
        <v>200800</v>
      </c>
      <c r="B999" t="s">
        <v>2387</v>
      </c>
      <c r="C999" t="s">
        <v>2401</v>
      </c>
      <c r="D999" t="s">
        <v>1866</v>
      </c>
      <c r="E999">
        <v>30</v>
      </c>
      <c r="F999">
        <v>6000000</v>
      </c>
      <c r="G999">
        <v>2820989.04</v>
      </c>
      <c r="H999">
        <v>627748.64</v>
      </c>
      <c r="I999" t="s">
        <v>2034</v>
      </c>
      <c r="J999">
        <v>0</v>
      </c>
      <c r="K999">
        <v>600000</v>
      </c>
      <c r="L999">
        <v>184840.69</v>
      </c>
      <c r="M999">
        <v>3140223.44</v>
      </c>
      <c r="N999" s="711">
        <v>42766.881417557874</v>
      </c>
      <c r="O999" s="711">
        <v>43134</v>
      </c>
      <c r="P999" t="s">
        <v>2402</v>
      </c>
      <c r="Q999" t="s">
        <v>1280</v>
      </c>
      <c r="R999" t="s">
        <v>1280</v>
      </c>
      <c r="S999" t="s">
        <v>1510</v>
      </c>
      <c r="T999">
        <v>44</v>
      </c>
      <c r="U999">
        <f>IF(Table__192.168.1.150_M_CONSOLIDATED_Delinquency_Compulsory_EOM[[#This Row],[Days in Arrears]] &lt; 8, Table__192.168.1.150_M_CONSOLIDATED_Delinquency_Compulsory_EOM[[#This Row],[Outstanding Balance]], 0 )</f>
        <v>0</v>
      </c>
      <c r="V9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9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2820989.04</v>
      </c>
      <c r="X9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9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999" s="105" t="str">
        <f>VLOOKUP(Table__192.168.1.150_M_CONSOLIDATED_Delinquency_Compulsory_EOM[[#This Row],[Client No]],'Global Portfolio'!$B$2:$N$2500,10,FALSE)</f>
        <v>Restaurants and Hotels</v>
      </c>
      <c r="AA999" s="105" t="str">
        <f>VLOOKUP(Table__192.168.1.150_M_CONSOLIDATED_Delinquency_Compulsory_EOM[[#This Row],[Client No]],'Global Portfolio'!$B$2:$N$2500,11,FALSE)</f>
        <v>Restaurant</v>
      </c>
      <c r="AB999" s="105" t="str">
        <f>VLOOKUP(Table__192.168.1.150_M_CONSOLIDATED_Delinquency_Compulsory_EOM[[#This Row],[Client No]],'Global Portfolio'!$B$2:$N$2500,12,FALSE)</f>
        <v>Others</v>
      </c>
    </row>
    <row r="1000" spans="1:28" x14ac:dyDescent="0.25">
      <c r="A1000">
        <v>200802</v>
      </c>
      <c r="B1000" t="s">
        <v>3203</v>
      </c>
      <c r="C1000" t="s">
        <v>3210</v>
      </c>
      <c r="D1000" t="s">
        <v>1284</v>
      </c>
      <c r="E1000">
        <v>0</v>
      </c>
      <c r="F1000">
        <v>50000000</v>
      </c>
      <c r="G1000">
        <v>37121035.649999999</v>
      </c>
      <c r="H1000">
        <v>2955237.18</v>
      </c>
      <c r="I1000" t="s">
        <v>2538</v>
      </c>
      <c r="J1000">
        <v>1901771.13</v>
      </c>
      <c r="K1000">
        <v>2500000</v>
      </c>
      <c r="L1000">
        <v>1076510.03</v>
      </c>
      <c r="M1000">
        <v>47289533.079999998</v>
      </c>
      <c r="N1000" s="711">
        <v>42766.913834259256</v>
      </c>
      <c r="O1000" s="711">
        <v>43499</v>
      </c>
      <c r="P1000" t="s">
        <v>3211</v>
      </c>
      <c r="Q1000" t="s">
        <v>1280</v>
      </c>
      <c r="R1000" t="s">
        <v>3212</v>
      </c>
      <c r="S1000" t="s">
        <v>1510</v>
      </c>
      <c r="T1000">
        <v>36</v>
      </c>
      <c r="U1000">
        <f>IF(Table__192.168.1.150_M_CONSOLIDATED_Delinquency_Compulsory_EOM[[#This Row],[Days in Arrears]] &lt; 8, Table__192.168.1.150_M_CONSOLIDATED_Delinquency_Compulsory_EOM[[#This Row],[Outstanding Balance]], 0 )</f>
        <v>37121035.649999999</v>
      </c>
      <c r="V10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0" s="105" t="str">
        <f>VLOOKUP(Table__192.168.1.150_M_CONSOLIDATED_Delinquency_Compulsory_EOM[[#This Row],[Client No]],'Global Portfolio'!$B$2:$N$2500,10,FALSE)</f>
        <v>Real Estate and Rental</v>
      </c>
      <c r="AA1000" s="105" t="str">
        <f>VLOOKUP(Table__192.168.1.150_M_CONSOLIDATED_Delinquency_Compulsory_EOM[[#This Row],[Client No]],'Global Portfolio'!$B$2:$N$2500,11,FALSE)</f>
        <v>Rental</v>
      </c>
      <c r="AB1000" s="105" t="str">
        <f>VLOOKUP(Table__192.168.1.150_M_CONSOLIDATED_Delinquency_Compulsory_EOM[[#This Row],[Client No]],'Global Portfolio'!$B$2:$N$2500,12,FALSE)</f>
        <v>General Rental Centers</v>
      </c>
    </row>
    <row r="1001" spans="1:28" x14ac:dyDescent="0.25">
      <c r="A1001">
        <v>200803</v>
      </c>
      <c r="B1001" t="s">
        <v>4036</v>
      </c>
      <c r="C1001" t="s">
        <v>4037</v>
      </c>
      <c r="D1001" t="s">
        <v>1282</v>
      </c>
      <c r="E1001">
        <v>0</v>
      </c>
      <c r="F1001">
        <v>2500000</v>
      </c>
      <c r="G1001">
        <v>983575.67</v>
      </c>
      <c r="H1001">
        <v>274165.46999999997</v>
      </c>
      <c r="I1001" t="s">
        <v>2538</v>
      </c>
      <c r="J1001">
        <v>0</v>
      </c>
      <c r="K1001">
        <v>250000</v>
      </c>
      <c r="L1001">
        <v>42785.54</v>
      </c>
      <c r="M1001">
        <v>1096661.8899999999</v>
      </c>
      <c r="N1001" s="711">
        <v>42767.695371643516</v>
      </c>
      <c r="O1001" s="711">
        <v>43132</v>
      </c>
      <c r="P1001" t="s">
        <v>4038</v>
      </c>
      <c r="Q1001" t="s">
        <v>1280</v>
      </c>
      <c r="R1001" t="s">
        <v>4039</v>
      </c>
      <c r="S1001" t="s">
        <v>1510</v>
      </c>
      <c r="T1001">
        <v>54</v>
      </c>
      <c r="U1001">
        <f>IF(Table__192.168.1.150_M_CONSOLIDATED_Delinquency_Compulsory_EOM[[#This Row],[Days in Arrears]] &lt; 8, Table__192.168.1.150_M_CONSOLIDATED_Delinquency_Compulsory_EOM[[#This Row],[Outstanding Balance]], 0 )</f>
        <v>983575.67</v>
      </c>
      <c r="V10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1" s="105" t="str">
        <f>VLOOKUP(Table__192.168.1.150_M_CONSOLIDATED_Delinquency_Compulsory_EOM[[#This Row],[Client No]],'Global Portfolio'!$B$2:$N$2500,10,FALSE)</f>
        <v>Retail</v>
      </c>
      <c r="AA1001" s="105" t="str">
        <f>VLOOKUP(Table__192.168.1.150_M_CONSOLIDATED_Delinquency_Compulsory_EOM[[#This Row],[Client No]],'Global Portfolio'!$B$2:$N$2500,11,FALSE)</f>
        <v>Others</v>
      </c>
      <c r="AB1001" s="105" t="str">
        <f>VLOOKUP(Table__192.168.1.150_M_CONSOLIDATED_Delinquency_Compulsory_EOM[[#This Row],[Client No]],'Global Portfolio'!$B$2:$N$2500,12,FALSE)</f>
        <v>Others</v>
      </c>
    </row>
    <row r="1002" spans="1:28" x14ac:dyDescent="0.25">
      <c r="A1002">
        <v>200804</v>
      </c>
      <c r="B1002" t="s">
        <v>2099</v>
      </c>
      <c r="C1002" t="s">
        <v>2117</v>
      </c>
      <c r="D1002" t="s">
        <v>1282</v>
      </c>
      <c r="E1002">
        <v>-1</v>
      </c>
      <c r="F1002">
        <v>8000000</v>
      </c>
      <c r="G1002">
        <v>3094185.79</v>
      </c>
      <c r="H1002">
        <v>852417.38</v>
      </c>
      <c r="I1002" t="s">
        <v>1909</v>
      </c>
      <c r="J1002">
        <v>0</v>
      </c>
      <c r="K1002">
        <v>800000</v>
      </c>
      <c r="L1002">
        <v>115516.27</v>
      </c>
      <c r="M1002">
        <v>3409669.53</v>
      </c>
      <c r="N1002" s="711">
        <v>42768.616484571758</v>
      </c>
      <c r="O1002" s="711">
        <v>43133</v>
      </c>
      <c r="P1002" t="s">
        <v>2118</v>
      </c>
      <c r="Q1002" t="s">
        <v>1280</v>
      </c>
      <c r="R1002" t="s">
        <v>2119</v>
      </c>
      <c r="S1002" t="s">
        <v>1510</v>
      </c>
      <c r="T1002">
        <v>48</v>
      </c>
      <c r="U1002">
        <f>IF(Table__192.168.1.150_M_CONSOLIDATED_Delinquency_Compulsory_EOM[[#This Row],[Days in Arrears]] &lt; 8, Table__192.168.1.150_M_CONSOLIDATED_Delinquency_Compulsory_EOM[[#This Row],[Outstanding Balance]], 0 )</f>
        <v>3094185.79</v>
      </c>
      <c r="V10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2" s="105" t="str">
        <f>VLOOKUP(Table__192.168.1.150_M_CONSOLIDATED_Delinquency_Compulsory_EOM[[#This Row],[Client No]],'Global Portfolio'!$B$2:$N$2500,10,FALSE)</f>
        <v>Agriculture, Forestry, Fishing and Hunting</v>
      </c>
      <c r="AA1002" s="105" t="str">
        <f>VLOOKUP(Table__192.168.1.150_M_CONSOLIDATED_Delinquency_Compulsory_EOM[[#This Row],[Client No]],'Global Portfolio'!$B$2:$N$2500,11,FALSE)</f>
        <v>Crop Production</v>
      </c>
      <c r="AB1002" s="105" t="str">
        <f>VLOOKUP(Table__192.168.1.150_M_CONSOLIDATED_Delinquency_Compulsory_EOM[[#This Row],[Client No]],'Global Portfolio'!$B$2:$N$2500,12,FALSE)</f>
        <v>Maize</v>
      </c>
    </row>
    <row r="1003" spans="1:28" x14ac:dyDescent="0.25">
      <c r="A1003">
        <v>200805</v>
      </c>
      <c r="B1003" t="s">
        <v>2740</v>
      </c>
      <c r="C1003" t="s">
        <v>2741</v>
      </c>
      <c r="D1003" t="s">
        <v>1281</v>
      </c>
      <c r="E1003">
        <v>-2</v>
      </c>
      <c r="F1003">
        <v>30000000</v>
      </c>
      <c r="G1003">
        <v>22594046.489999998</v>
      </c>
      <c r="H1003">
        <v>1868184.91</v>
      </c>
      <c r="I1003" t="s">
        <v>86</v>
      </c>
      <c r="J1003">
        <v>156967.74</v>
      </c>
      <c r="K1003">
        <v>0</v>
      </c>
      <c r="L1003">
        <v>711712.46</v>
      </c>
      <c r="M1003">
        <v>29890958.510000002</v>
      </c>
      <c r="N1003" s="711">
        <v>42769.738868981483</v>
      </c>
      <c r="O1003" s="711">
        <v>43499</v>
      </c>
      <c r="P1003" t="s">
        <v>2742</v>
      </c>
      <c r="Q1003" t="s">
        <v>1280</v>
      </c>
      <c r="R1003" t="s">
        <v>1280</v>
      </c>
      <c r="S1003" t="s">
        <v>1510</v>
      </c>
      <c r="T1003">
        <v>42</v>
      </c>
      <c r="U1003">
        <f>IF(Table__192.168.1.150_M_CONSOLIDATED_Delinquency_Compulsory_EOM[[#This Row],[Days in Arrears]] &lt; 8, Table__192.168.1.150_M_CONSOLIDATED_Delinquency_Compulsory_EOM[[#This Row],[Outstanding Balance]], 0 )</f>
        <v>22594046.489999998</v>
      </c>
      <c r="V10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3" s="105" t="str">
        <f>VLOOKUP(Table__192.168.1.150_M_CONSOLIDATED_Delinquency_Compulsory_EOM[[#This Row],[Client No]],'Global Portfolio'!$B$2:$N$2500,10,FALSE)</f>
        <v>Restaurants and Hotels</v>
      </c>
      <c r="AA1003" s="105" t="str">
        <f>VLOOKUP(Table__192.168.1.150_M_CONSOLIDATED_Delinquency_Compulsory_EOM[[#This Row],[Client No]],'Global Portfolio'!$B$2:$N$2500,11,FALSE)</f>
        <v>Restaurant</v>
      </c>
      <c r="AB1003" s="105" t="str">
        <f>VLOOKUP(Table__192.168.1.150_M_CONSOLIDATED_Delinquency_Compulsory_EOM[[#This Row],[Client No]],'Global Portfolio'!$B$2:$N$2500,12,FALSE)</f>
        <v>Others</v>
      </c>
    </row>
    <row r="1004" spans="1:28" x14ac:dyDescent="0.25">
      <c r="A1004">
        <v>200808</v>
      </c>
      <c r="B1004" t="s">
        <v>4052</v>
      </c>
      <c r="C1004" t="s">
        <v>4053</v>
      </c>
      <c r="D1004" t="s">
        <v>1284</v>
      </c>
      <c r="E1004">
        <v>-5</v>
      </c>
      <c r="F1004">
        <v>10000000</v>
      </c>
      <c r="G1004">
        <v>5279012.28</v>
      </c>
      <c r="H1004">
        <v>857991.38</v>
      </c>
      <c r="I1004" t="s">
        <v>1467</v>
      </c>
      <c r="J1004">
        <v>226827.85</v>
      </c>
      <c r="K1004">
        <v>500000</v>
      </c>
      <c r="L1004">
        <v>140773.66</v>
      </c>
      <c r="M1004">
        <v>6005939.6399999997</v>
      </c>
      <c r="N1004" s="711">
        <v>42772.666294062503</v>
      </c>
      <c r="O1004" s="711">
        <v>43226</v>
      </c>
      <c r="P1004" t="s">
        <v>4054</v>
      </c>
      <c r="Q1004" t="s">
        <v>4055</v>
      </c>
      <c r="R1004" t="s">
        <v>1280</v>
      </c>
      <c r="S1004" t="s">
        <v>1510</v>
      </c>
      <c r="T1004">
        <v>40</v>
      </c>
      <c r="U1004">
        <f>IF(Table__192.168.1.150_M_CONSOLIDATED_Delinquency_Compulsory_EOM[[#This Row],[Days in Arrears]] &lt; 8, Table__192.168.1.150_M_CONSOLIDATED_Delinquency_Compulsory_EOM[[#This Row],[Outstanding Balance]], 0 )</f>
        <v>5279012.28</v>
      </c>
      <c r="V10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4" s="105" t="str">
        <f>VLOOKUP(Table__192.168.1.150_M_CONSOLIDATED_Delinquency_Compulsory_EOM[[#This Row],[Client No]],'Global Portfolio'!$B$2:$N$2500,10,FALSE)</f>
        <v>Real Estate and Rental</v>
      </c>
      <c r="AA1004" s="105" t="str">
        <f>VLOOKUP(Table__192.168.1.150_M_CONSOLIDATED_Delinquency_Compulsory_EOM[[#This Row],[Client No]],'Global Portfolio'!$B$2:$N$2500,11,FALSE)</f>
        <v>Real Estate</v>
      </c>
      <c r="AB1004" s="105" t="str">
        <f>VLOOKUP(Table__192.168.1.150_M_CONSOLIDATED_Delinquency_Compulsory_EOM[[#This Row],[Client No]],'Global Portfolio'!$B$2:$N$2500,12,FALSE)</f>
        <v>Others</v>
      </c>
    </row>
    <row r="1005" spans="1:28" x14ac:dyDescent="0.25">
      <c r="A1005">
        <v>200815</v>
      </c>
      <c r="B1005" t="s">
        <v>2489</v>
      </c>
      <c r="C1005" t="s">
        <v>2490</v>
      </c>
      <c r="D1005" t="s">
        <v>1279</v>
      </c>
      <c r="E1005">
        <v>-9</v>
      </c>
      <c r="F1005">
        <v>2500000</v>
      </c>
      <c r="G1005">
        <v>966933.07</v>
      </c>
      <c r="H1005">
        <v>266380.43</v>
      </c>
      <c r="I1005" t="s">
        <v>1909</v>
      </c>
      <c r="J1005">
        <v>21466.61</v>
      </c>
      <c r="K1005">
        <v>250000</v>
      </c>
      <c r="L1005">
        <v>25784.880000000001</v>
      </c>
      <c r="M1005">
        <v>1065521.74</v>
      </c>
      <c r="N1005" s="711">
        <v>42776.513805324073</v>
      </c>
      <c r="O1005" s="711">
        <v>43141</v>
      </c>
      <c r="P1005" t="s">
        <v>2491</v>
      </c>
      <c r="Q1005" t="s">
        <v>1280</v>
      </c>
      <c r="R1005" t="s">
        <v>1280</v>
      </c>
      <c r="S1005" t="s">
        <v>1510</v>
      </c>
      <c r="T1005">
        <v>48</v>
      </c>
      <c r="U1005">
        <f>IF(Table__192.168.1.150_M_CONSOLIDATED_Delinquency_Compulsory_EOM[[#This Row],[Days in Arrears]] &lt; 8, Table__192.168.1.150_M_CONSOLIDATED_Delinquency_Compulsory_EOM[[#This Row],[Outstanding Balance]], 0 )</f>
        <v>966933.07</v>
      </c>
      <c r="V10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5" s="105" t="str">
        <f>VLOOKUP(Table__192.168.1.150_M_CONSOLIDATED_Delinquency_Compulsory_EOM[[#This Row],[Client No]],'Global Portfolio'!$B$2:$N$2500,10,FALSE)</f>
        <v>Retail</v>
      </c>
      <c r="AA1005" s="105" t="str">
        <f>VLOOKUP(Table__192.168.1.150_M_CONSOLIDATED_Delinquency_Compulsory_EOM[[#This Row],[Client No]],'Global Portfolio'!$B$2:$N$2500,11,FALSE)</f>
        <v>General Merchandise Stores</v>
      </c>
      <c r="AB1005" s="105" t="str">
        <f>VLOOKUP(Table__192.168.1.150_M_CONSOLIDATED_Delinquency_Compulsory_EOM[[#This Row],[Client No]],'Global Portfolio'!$B$2:$N$2500,12,FALSE)</f>
        <v>Others</v>
      </c>
    </row>
    <row r="1006" spans="1:28" x14ac:dyDescent="0.25">
      <c r="A1006">
        <v>200816</v>
      </c>
      <c r="B1006" t="s">
        <v>4071</v>
      </c>
      <c r="C1006" t="s">
        <v>4076</v>
      </c>
      <c r="D1006" t="s">
        <v>1866</v>
      </c>
      <c r="E1006">
        <v>-9</v>
      </c>
      <c r="F1006">
        <v>6000000</v>
      </c>
      <c r="G1006">
        <v>2333961.83</v>
      </c>
      <c r="H1006">
        <v>645510.71</v>
      </c>
      <c r="I1006" t="s">
        <v>468</v>
      </c>
      <c r="J1006">
        <v>0</v>
      </c>
      <c r="K1006">
        <v>600000</v>
      </c>
      <c r="L1006">
        <v>64832.27</v>
      </c>
      <c r="M1006">
        <v>2582042.86</v>
      </c>
      <c r="N1006" s="711">
        <v>42776.606118483796</v>
      </c>
      <c r="O1006" s="711">
        <v>43141</v>
      </c>
      <c r="P1006" t="s">
        <v>4077</v>
      </c>
      <c r="Q1006" t="s">
        <v>1280</v>
      </c>
      <c r="R1006" t="s">
        <v>4078</v>
      </c>
      <c r="S1006" t="s">
        <v>1510</v>
      </c>
      <c r="T1006">
        <v>50</v>
      </c>
      <c r="U1006">
        <f>IF(Table__192.168.1.150_M_CONSOLIDATED_Delinquency_Compulsory_EOM[[#This Row],[Days in Arrears]] &lt; 8, Table__192.168.1.150_M_CONSOLIDATED_Delinquency_Compulsory_EOM[[#This Row],[Outstanding Balance]], 0 )</f>
        <v>2333961.83</v>
      </c>
      <c r="V10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6" s="105" t="str">
        <f>VLOOKUP(Table__192.168.1.150_M_CONSOLIDATED_Delinquency_Compulsory_EOM[[#This Row],[Client No]],'Global Portfolio'!$B$2:$N$2500,10,FALSE)</f>
        <v>Retail</v>
      </c>
      <c r="AA1006" s="105" t="str">
        <f>VLOOKUP(Table__192.168.1.150_M_CONSOLIDATED_Delinquency_Compulsory_EOM[[#This Row],[Client No]],'Global Portfolio'!$B$2:$N$2500,11,FALSE)</f>
        <v>Others</v>
      </c>
      <c r="AB1006" s="105" t="str">
        <f>VLOOKUP(Table__192.168.1.150_M_CONSOLIDATED_Delinquency_Compulsory_EOM[[#This Row],[Client No]],'Global Portfolio'!$B$2:$N$2500,12,FALSE)</f>
        <v>Others</v>
      </c>
    </row>
    <row r="1007" spans="1:28" x14ac:dyDescent="0.25">
      <c r="A1007">
        <v>200817</v>
      </c>
      <c r="B1007" t="s">
        <v>4072</v>
      </c>
      <c r="C1007" t="s">
        <v>4079</v>
      </c>
      <c r="D1007" t="s">
        <v>1866</v>
      </c>
      <c r="E1007">
        <v>-9</v>
      </c>
      <c r="F1007">
        <v>6000000</v>
      </c>
      <c r="G1007">
        <v>2333961.83</v>
      </c>
      <c r="H1007">
        <v>645510.71</v>
      </c>
      <c r="I1007" t="s">
        <v>1191</v>
      </c>
      <c r="J1007">
        <v>0</v>
      </c>
      <c r="K1007">
        <v>600000</v>
      </c>
      <c r="L1007">
        <v>64832.27</v>
      </c>
      <c r="M1007">
        <v>2582042.86</v>
      </c>
      <c r="N1007" s="711">
        <v>42776.699919293984</v>
      </c>
      <c r="O1007" s="711">
        <v>43141</v>
      </c>
      <c r="P1007" t="s">
        <v>4080</v>
      </c>
      <c r="Q1007" t="s">
        <v>1280</v>
      </c>
      <c r="R1007" t="s">
        <v>4081</v>
      </c>
      <c r="S1007" t="s">
        <v>1510</v>
      </c>
      <c r="T1007">
        <v>50</v>
      </c>
      <c r="U1007">
        <f>IF(Table__192.168.1.150_M_CONSOLIDATED_Delinquency_Compulsory_EOM[[#This Row],[Days in Arrears]] &lt; 8, Table__192.168.1.150_M_CONSOLIDATED_Delinquency_Compulsory_EOM[[#This Row],[Outstanding Balance]], 0 )</f>
        <v>2333961.83</v>
      </c>
      <c r="V10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7" s="105" t="str">
        <f>VLOOKUP(Table__192.168.1.150_M_CONSOLIDATED_Delinquency_Compulsory_EOM[[#This Row],[Client No]],'Global Portfolio'!$B$2:$N$2500,10,FALSE)</f>
        <v>Real Estate and Rental</v>
      </c>
      <c r="AA1007" s="105" t="str">
        <f>VLOOKUP(Table__192.168.1.150_M_CONSOLIDATED_Delinquency_Compulsory_EOM[[#This Row],[Client No]],'Global Portfolio'!$B$2:$N$2500,11,FALSE)</f>
        <v>Rental</v>
      </c>
      <c r="AB1007" s="105" t="str">
        <f>VLOOKUP(Table__192.168.1.150_M_CONSOLIDATED_Delinquency_Compulsory_EOM[[#This Row],[Client No]],'Global Portfolio'!$B$2:$N$2500,12,FALSE)</f>
        <v>Others</v>
      </c>
    </row>
    <row r="1008" spans="1:28" x14ac:dyDescent="0.25">
      <c r="A1008">
        <v>200818</v>
      </c>
      <c r="B1008" t="s">
        <v>4082</v>
      </c>
      <c r="C1008" t="s">
        <v>4088</v>
      </c>
      <c r="D1008" t="s">
        <v>1282</v>
      </c>
      <c r="E1008">
        <v>-10</v>
      </c>
      <c r="F1008">
        <v>10000000</v>
      </c>
      <c r="G1008">
        <v>3934302.67</v>
      </c>
      <c r="H1008">
        <v>1096661.8899999999</v>
      </c>
      <c r="I1008" t="s">
        <v>1447</v>
      </c>
      <c r="J1008">
        <v>0</v>
      </c>
      <c r="K1008">
        <v>1000000</v>
      </c>
      <c r="L1008">
        <v>112127.63</v>
      </c>
      <c r="M1008">
        <v>4386647.51</v>
      </c>
      <c r="N1008" s="711">
        <v>42777.574609918978</v>
      </c>
      <c r="O1008" s="711">
        <v>43142</v>
      </c>
      <c r="P1008" t="s">
        <v>4089</v>
      </c>
      <c r="Q1008" t="s">
        <v>1280</v>
      </c>
      <c r="R1008" t="s">
        <v>4090</v>
      </c>
      <c r="S1008" t="s">
        <v>1510</v>
      </c>
      <c r="T1008">
        <v>54</v>
      </c>
      <c r="U1008">
        <f>IF(Table__192.168.1.150_M_CONSOLIDATED_Delinquency_Compulsory_EOM[[#This Row],[Days in Arrears]] &lt; 8, Table__192.168.1.150_M_CONSOLIDATED_Delinquency_Compulsory_EOM[[#This Row],[Outstanding Balance]], 0 )</f>
        <v>3934302.67</v>
      </c>
      <c r="V10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8" s="105" t="str">
        <f>VLOOKUP(Table__192.168.1.150_M_CONSOLIDATED_Delinquency_Compulsory_EOM[[#This Row],[Client No]],'Global Portfolio'!$B$2:$N$2500,10,FALSE)</f>
        <v>Wholesale Trade</v>
      </c>
      <c r="AA1008" s="105" t="str">
        <f>VLOOKUP(Table__192.168.1.150_M_CONSOLIDATED_Delinquency_Compulsory_EOM[[#This Row],[Client No]],'Global Portfolio'!$B$2:$N$2500,11,FALSE)</f>
        <v>Durable Goods</v>
      </c>
      <c r="AB1008" s="105" t="str">
        <f>VLOOKUP(Table__192.168.1.150_M_CONSOLIDATED_Delinquency_Compulsory_EOM[[#This Row],[Client No]],'Global Portfolio'!$B$2:$N$2500,12,FALSE)</f>
        <v>Others</v>
      </c>
    </row>
    <row r="1009" spans="1:28" x14ac:dyDescent="0.25">
      <c r="A1009">
        <v>200820</v>
      </c>
      <c r="B1009" t="s">
        <v>3045</v>
      </c>
      <c r="C1009" t="s">
        <v>3068</v>
      </c>
      <c r="D1009" t="s">
        <v>1282</v>
      </c>
      <c r="E1009">
        <v>-12</v>
      </c>
      <c r="F1009">
        <v>6000000</v>
      </c>
      <c r="G1009">
        <v>2320639.31</v>
      </c>
      <c r="H1009">
        <v>639313.04</v>
      </c>
      <c r="I1009" t="s">
        <v>2861</v>
      </c>
      <c r="J1009">
        <v>0</v>
      </c>
      <c r="K1009">
        <v>600000</v>
      </c>
      <c r="L1009">
        <v>52601.16</v>
      </c>
      <c r="M1009">
        <v>2557252.1</v>
      </c>
      <c r="N1009" s="711">
        <v>42779.543588622684</v>
      </c>
      <c r="O1009" s="711">
        <v>43144</v>
      </c>
      <c r="P1009" t="s">
        <v>3069</v>
      </c>
      <c r="Q1009" t="s">
        <v>1280</v>
      </c>
      <c r="R1009" t="s">
        <v>1280</v>
      </c>
      <c r="S1009" t="s">
        <v>1510</v>
      </c>
      <c r="T1009">
        <v>48</v>
      </c>
      <c r="U1009">
        <f>IF(Table__192.168.1.150_M_CONSOLIDATED_Delinquency_Compulsory_EOM[[#This Row],[Days in Arrears]] &lt; 8, Table__192.168.1.150_M_CONSOLIDATED_Delinquency_Compulsory_EOM[[#This Row],[Outstanding Balance]], 0 )</f>
        <v>2320639.31</v>
      </c>
      <c r="V10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09" s="105" t="str">
        <f>VLOOKUP(Table__192.168.1.150_M_CONSOLIDATED_Delinquency_Compulsory_EOM[[#This Row],[Client No]],'Global Portfolio'!$B$2:$N$2500,10,FALSE)</f>
        <v>Agriculture, Forestry, Fishing and Hunting</v>
      </c>
      <c r="AA1009" s="105" t="str">
        <f>VLOOKUP(Table__192.168.1.150_M_CONSOLIDATED_Delinquency_Compulsory_EOM[[#This Row],[Client No]],'Global Portfolio'!$B$2:$N$2500,11,FALSE)</f>
        <v>Animal Production</v>
      </c>
      <c r="AB1009" s="105" t="str">
        <f>VLOOKUP(Table__192.168.1.150_M_CONSOLIDATED_Delinquency_Compulsory_EOM[[#This Row],[Client No]],'Global Portfolio'!$B$2:$N$2500,12,FALSE)</f>
        <v>Poultry &amp; Egg Production</v>
      </c>
    </row>
    <row r="1010" spans="1:28" x14ac:dyDescent="0.25">
      <c r="A1010">
        <v>200823</v>
      </c>
      <c r="B1010" t="s">
        <v>4093</v>
      </c>
      <c r="C1010" t="s">
        <v>4099</v>
      </c>
      <c r="D1010" t="s">
        <v>1282</v>
      </c>
      <c r="E1010">
        <v>-12</v>
      </c>
      <c r="F1010">
        <v>6000000</v>
      </c>
      <c r="G1010">
        <v>2360581.64</v>
      </c>
      <c r="H1010">
        <v>657997.13</v>
      </c>
      <c r="I1010" t="s">
        <v>2861</v>
      </c>
      <c r="J1010">
        <v>0</v>
      </c>
      <c r="K1010">
        <v>600000</v>
      </c>
      <c r="L1010">
        <v>60194.83</v>
      </c>
      <c r="M1010">
        <v>2631988.5499999998</v>
      </c>
      <c r="N1010" s="711">
        <v>42779.711102233799</v>
      </c>
      <c r="O1010" s="711">
        <v>43144</v>
      </c>
      <c r="P1010" t="s">
        <v>4100</v>
      </c>
      <c r="Q1010" t="s">
        <v>1280</v>
      </c>
      <c r="R1010" t="s">
        <v>4101</v>
      </c>
      <c r="S1010" t="s">
        <v>1510</v>
      </c>
      <c r="T1010">
        <v>54</v>
      </c>
      <c r="U1010">
        <f>IF(Table__192.168.1.150_M_CONSOLIDATED_Delinquency_Compulsory_EOM[[#This Row],[Days in Arrears]] &lt; 8, Table__192.168.1.150_M_CONSOLIDATED_Delinquency_Compulsory_EOM[[#This Row],[Outstanding Balance]], 0 )</f>
        <v>2360581.64</v>
      </c>
      <c r="V10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0" s="105" t="str">
        <f>VLOOKUP(Table__192.168.1.150_M_CONSOLIDATED_Delinquency_Compulsory_EOM[[#This Row],[Client No]],'Global Portfolio'!$B$2:$N$2500,10,FALSE)</f>
        <v>Agriculture, Forestry, Fishing and Hunting</v>
      </c>
      <c r="AA1010" s="105" t="str">
        <f>VLOOKUP(Table__192.168.1.150_M_CONSOLIDATED_Delinquency_Compulsory_EOM[[#This Row],[Client No]],'Global Portfolio'!$B$2:$N$2500,11,FALSE)</f>
        <v>Crop Production</v>
      </c>
      <c r="AB1010" s="105" t="str">
        <f>VLOOKUP(Table__192.168.1.150_M_CONSOLIDATED_Delinquency_Compulsory_EOM[[#This Row],[Client No]],'Global Portfolio'!$B$2:$N$2500,12,FALSE)</f>
        <v>Others</v>
      </c>
    </row>
    <row r="1011" spans="1:28" x14ac:dyDescent="0.25">
      <c r="A1011">
        <v>200824</v>
      </c>
      <c r="B1011" t="s">
        <v>2572</v>
      </c>
      <c r="C1011" t="s">
        <v>2581</v>
      </c>
      <c r="D1011" t="s">
        <v>1282</v>
      </c>
      <c r="E1011">
        <v>-12</v>
      </c>
      <c r="F1011">
        <v>5000000</v>
      </c>
      <c r="G1011">
        <v>1933866.15</v>
      </c>
      <c r="H1011">
        <v>532760.86</v>
      </c>
      <c r="I1011" t="s">
        <v>1925</v>
      </c>
      <c r="J1011">
        <v>239000</v>
      </c>
      <c r="K1011">
        <v>0</v>
      </c>
      <c r="L1011">
        <v>94870.27</v>
      </c>
      <c r="M1011">
        <v>2131043.5</v>
      </c>
      <c r="N1011" s="711">
        <v>42779.721087928243</v>
      </c>
      <c r="O1011" s="711">
        <v>43144</v>
      </c>
      <c r="P1011" t="s">
        <v>2582</v>
      </c>
      <c r="Q1011" t="s">
        <v>3628</v>
      </c>
      <c r="R1011" t="s">
        <v>1280</v>
      </c>
      <c r="S1011" t="s">
        <v>1510</v>
      </c>
      <c r="T1011">
        <v>48</v>
      </c>
      <c r="U1011">
        <f>IF(Table__192.168.1.150_M_CONSOLIDATED_Delinquency_Compulsory_EOM[[#This Row],[Days in Arrears]] &lt; 8, Table__192.168.1.150_M_CONSOLIDATED_Delinquency_Compulsory_EOM[[#This Row],[Outstanding Balance]], 0 )</f>
        <v>1933866.15</v>
      </c>
      <c r="V10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1" s="105" t="str">
        <f>VLOOKUP(Table__192.168.1.150_M_CONSOLIDATED_Delinquency_Compulsory_EOM[[#This Row],[Client No]],'Global Portfolio'!$B$2:$N$2500,10,FALSE)</f>
        <v>Retail</v>
      </c>
      <c r="AA1011" s="105" t="str">
        <f>VLOOKUP(Table__192.168.1.150_M_CONSOLIDATED_Delinquency_Compulsory_EOM[[#This Row],[Client No]],'Global Portfolio'!$B$2:$N$2500,11,FALSE)</f>
        <v>General Merchandise Stores</v>
      </c>
      <c r="AB1011" s="105" t="str">
        <f>VLOOKUP(Table__192.168.1.150_M_CONSOLIDATED_Delinquency_Compulsory_EOM[[#This Row],[Client No]],'Global Portfolio'!$B$2:$N$2500,12,FALSE)</f>
        <v>General Stores</v>
      </c>
    </row>
    <row r="1012" spans="1:28" x14ac:dyDescent="0.25">
      <c r="A1012">
        <v>200827</v>
      </c>
      <c r="B1012" t="s">
        <v>2810</v>
      </c>
      <c r="C1012" t="s">
        <v>2823</v>
      </c>
      <c r="D1012" t="s">
        <v>1281</v>
      </c>
      <c r="E1012">
        <v>-14</v>
      </c>
      <c r="F1012">
        <v>15500000</v>
      </c>
      <c r="G1012">
        <v>5891623.54</v>
      </c>
      <c r="H1012">
        <v>1604001.21</v>
      </c>
      <c r="I1012" t="s">
        <v>2557</v>
      </c>
      <c r="J1012">
        <v>0</v>
      </c>
      <c r="K1012">
        <v>1162500</v>
      </c>
      <c r="L1012">
        <v>103103.41</v>
      </c>
      <c r="M1012">
        <v>6416004.8899999997</v>
      </c>
      <c r="N1012" s="711">
        <v>42781.578117245372</v>
      </c>
      <c r="O1012" s="711">
        <v>43146</v>
      </c>
      <c r="P1012" t="s">
        <v>2824</v>
      </c>
      <c r="Q1012" t="s">
        <v>1280</v>
      </c>
      <c r="R1012" t="s">
        <v>1280</v>
      </c>
      <c r="S1012" t="s">
        <v>1510</v>
      </c>
      <c r="T1012">
        <v>42</v>
      </c>
      <c r="U1012">
        <f>IF(Table__192.168.1.150_M_CONSOLIDATED_Delinquency_Compulsory_EOM[[#This Row],[Days in Arrears]] &lt; 8, Table__192.168.1.150_M_CONSOLIDATED_Delinquency_Compulsory_EOM[[#This Row],[Outstanding Balance]], 0 )</f>
        <v>5891623.54</v>
      </c>
      <c r="V10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2" s="105" t="str">
        <f>VLOOKUP(Table__192.168.1.150_M_CONSOLIDATED_Delinquency_Compulsory_EOM[[#This Row],[Client No]],'Global Portfolio'!$B$2:$N$2500,10,FALSE)</f>
        <v>Real Estate and Rental</v>
      </c>
      <c r="AA1012" s="105" t="str">
        <f>VLOOKUP(Table__192.168.1.150_M_CONSOLIDATED_Delinquency_Compulsory_EOM[[#This Row],[Client No]],'Global Portfolio'!$B$2:$N$2500,11,FALSE)</f>
        <v>Rental</v>
      </c>
      <c r="AB1012" s="105" t="str">
        <f>VLOOKUP(Table__192.168.1.150_M_CONSOLIDATED_Delinquency_Compulsory_EOM[[#This Row],[Client No]],'Global Portfolio'!$B$2:$N$2500,12,FALSE)</f>
        <v>General Rental Centers</v>
      </c>
    </row>
    <row r="1013" spans="1:28" x14ac:dyDescent="0.25">
      <c r="A1013">
        <v>200828</v>
      </c>
      <c r="B1013" t="s">
        <v>4111</v>
      </c>
      <c r="C1013" t="s">
        <v>4115</v>
      </c>
      <c r="D1013" t="s">
        <v>1279</v>
      </c>
      <c r="E1013">
        <v>16</v>
      </c>
      <c r="F1013">
        <v>6000000</v>
      </c>
      <c r="G1013">
        <v>2860293.64</v>
      </c>
      <c r="H1013">
        <v>645510.71</v>
      </c>
      <c r="I1013" t="s">
        <v>1039</v>
      </c>
      <c r="J1013">
        <v>0</v>
      </c>
      <c r="K1013">
        <v>600000</v>
      </c>
      <c r="L1013">
        <v>167803.1</v>
      </c>
      <c r="M1013">
        <v>3227553.57</v>
      </c>
      <c r="N1013" s="711">
        <v>42781.639749224538</v>
      </c>
      <c r="O1013" s="711">
        <v>43146</v>
      </c>
      <c r="P1013" t="s">
        <v>4116</v>
      </c>
      <c r="Q1013" t="s">
        <v>1280</v>
      </c>
      <c r="R1013" t="s">
        <v>4117</v>
      </c>
      <c r="S1013" t="s">
        <v>1510</v>
      </c>
      <c r="T1013">
        <v>50</v>
      </c>
      <c r="U1013">
        <f>IF(Table__192.168.1.150_M_CONSOLIDATED_Delinquency_Compulsory_EOM[[#This Row],[Days in Arrears]] &lt; 8, Table__192.168.1.150_M_CONSOLIDATED_Delinquency_Compulsory_EOM[[#This Row],[Outstanding Balance]], 0 )</f>
        <v>0</v>
      </c>
      <c r="V10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2860293.64</v>
      </c>
      <c r="W10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3" s="105" t="str">
        <f>VLOOKUP(Table__192.168.1.150_M_CONSOLIDATED_Delinquency_Compulsory_EOM[[#This Row],[Client No]],'Global Portfolio'!$B$2:$N$2500,10,FALSE)</f>
        <v>Health Care</v>
      </c>
      <c r="AA1013" s="105" t="str">
        <f>VLOOKUP(Table__192.168.1.150_M_CONSOLIDATED_Delinquency_Compulsory_EOM[[#This Row],[Client No]],'Global Portfolio'!$B$2:$N$2500,11,FALSE)</f>
        <v>Health Care</v>
      </c>
      <c r="AB1013" s="105" t="str">
        <f>VLOOKUP(Table__192.168.1.150_M_CONSOLIDATED_Delinquency_Compulsory_EOM[[#This Row],[Client No]],'Global Portfolio'!$B$2:$N$2500,12,FALSE)</f>
        <v>Others</v>
      </c>
    </row>
    <row r="1014" spans="1:28" x14ac:dyDescent="0.25">
      <c r="A1014">
        <v>200829</v>
      </c>
      <c r="B1014" t="s">
        <v>4109</v>
      </c>
      <c r="C1014" t="s">
        <v>4118</v>
      </c>
      <c r="D1014" t="s">
        <v>1282</v>
      </c>
      <c r="E1014">
        <v>16</v>
      </c>
      <c r="F1014">
        <v>13000000</v>
      </c>
      <c r="G1014">
        <v>9118091.6500000004</v>
      </c>
      <c r="H1014">
        <v>1069079.67</v>
      </c>
      <c r="I1014" t="s">
        <v>1467</v>
      </c>
      <c r="J1014">
        <v>0</v>
      </c>
      <c r="K1014">
        <v>0</v>
      </c>
      <c r="L1014">
        <v>600648.95999999996</v>
      </c>
      <c r="M1014">
        <v>11759876.279999999</v>
      </c>
      <c r="N1014" s="711">
        <v>42781.678935416669</v>
      </c>
      <c r="O1014" s="711">
        <v>43327</v>
      </c>
      <c r="P1014" t="s">
        <v>4119</v>
      </c>
      <c r="Q1014" t="s">
        <v>1280</v>
      </c>
      <c r="R1014" t="s">
        <v>4120</v>
      </c>
      <c r="S1014" t="s">
        <v>1510</v>
      </c>
      <c r="T1014">
        <v>54</v>
      </c>
      <c r="U1014">
        <f>IF(Table__192.168.1.150_M_CONSOLIDATED_Delinquency_Compulsory_EOM[[#This Row],[Days in Arrears]] &lt; 8, Table__192.168.1.150_M_CONSOLIDATED_Delinquency_Compulsory_EOM[[#This Row],[Outstanding Balance]], 0 )</f>
        <v>0</v>
      </c>
      <c r="V10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9118091.6500000004</v>
      </c>
      <c r="W10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4" s="105" t="str">
        <f>VLOOKUP(Table__192.168.1.150_M_CONSOLIDATED_Delinquency_Compulsory_EOM[[#This Row],[Client No]],'Global Portfolio'!$B$2:$N$2500,10,FALSE)</f>
        <v>Transportation and Warehousing</v>
      </c>
      <c r="AA1014" s="105" t="str">
        <f>VLOOKUP(Table__192.168.1.150_M_CONSOLIDATED_Delinquency_Compulsory_EOM[[#This Row],[Client No]],'Global Portfolio'!$B$2:$N$2500,11,FALSE)</f>
        <v xml:space="preserve"> Passenger Transportation</v>
      </c>
      <c r="AB1014" s="105" t="str">
        <f>VLOOKUP(Table__192.168.1.150_M_CONSOLIDATED_Delinquency_Compulsory_EOM[[#This Row],[Client No]],'Global Portfolio'!$B$2:$N$2500,12,FALSE)</f>
        <v>Taxi service</v>
      </c>
    </row>
    <row r="1015" spans="1:28" x14ac:dyDescent="0.25">
      <c r="A1015">
        <v>200833</v>
      </c>
      <c r="B1015" t="s">
        <v>4127</v>
      </c>
      <c r="C1015" t="s">
        <v>4144</v>
      </c>
      <c r="D1015" t="s">
        <v>1282</v>
      </c>
      <c r="E1015">
        <v>-17</v>
      </c>
      <c r="F1015">
        <v>2500000</v>
      </c>
      <c r="G1015">
        <v>983575.67</v>
      </c>
      <c r="H1015">
        <v>274165.46999999997</v>
      </c>
      <c r="I1015" t="s">
        <v>1925</v>
      </c>
      <c r="J1015">
        <v>0</v>
      </c>
      <c r="K1015">
        <v>250000</v>
      </c>
      <c r="L1015">
        <v>17704.36</v>
      </c>
      <c r="M1015">
        <v>1096661.8899999999</v>
      </c>
      <c r="N1015" s="711">
        <v>42784.470498495371</v>
      </c>
      <c r="O1015" s="711">
        <v>43149</v>
      </c>
      <c r="P1015" t="s">
        <v>4145</v>
      </c>
      <c r="Q1015" t="s">
        <v>1280</v>
      </c>
      <c r="R1015" t="s">
        <v>4146</v>
      </c>
      <c r="S1015" t="s">
        <v>1510</v>
      </c>
      <c r="T1015">
        <v>54</v>
      </c>
      <c r="U1015">
        <f>IF(Table__192.168.1.150_M_CONSOLIDATED_Delinquency_Compulsory_EOM[[#This Row],[Days in Arrears]] &lt; 8, Table__192.168.1.150_M_CONSOLIDATED_Delinquency_Compulsory_EOM[[#This Row],[Outstanding Balance]], 0 )</f>
        <v>983575.67</v>
      </c>
      <c r="V10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5" s="105" t="str">
        <f>VLOOKUP(Table__192.168.1.150_M_CONSOLIDATED_Delinquency_Compulsory_EOM[[#This Row],[Client No]],'Global Portfolio'!$B$2:$N$2500,10,FALSE)</f>
        <v>Real Estate and Rental</v>
      </c>
      <c r="AA1015" s="105" t="str">
        <f>VLOOKUP(Table__192.168.1.150_M_CONSOLIDATED_Delinquency_Compulsory_EOM[[#This Row],[Client No]],'Global Portfolio'!$B$2:$N$2500,11,FALSE)</f>
        <v>Rental</v>
      </c>
      <c r="AB1015" s="105" t="str">
        <f>VLOOKUP(Table__192.168.1.150_M_CONSOLIDATED_Delinquency_Compulsory_EOM[[#This Row],[Client No]],'Global Portfolio'!$B$2:$N$2500,12,FALSE)</f>
        <v>Others</v>
      </c>
    </row>
    <row r="1016" spans="1:28" x14ac:dyDescent="0.25">
      <c r="A1016">
        <v>200834</v>
      </c>
      <c r="B1016" t="s">
        <v>4129</v>
      </c>
      <c r="C1016" t="s">
        <v>4147</v>
      </c>
      <c r="D1016" t="s">
        <v>1279</v>
      </c>
      <c r="E1016">
        <v>103</v>
      </c>
      <c r="F1016">
        <v>2000000</v>
      </c>
      <c r="G1016">
        <v>1303691.71</v>
      </c>
      <c r="H1016">
        <v>252757.64</v>
      </c>
      <c r="I1016" t="s">
        <v>3074</v>
      </c>
      <c r="J1016">
        <v>0</v>
      </c>
      <c r="K1016">
        <v>0</v>
      </c>
      <c r="L1016">
        <v>58666.13</v>
      </c>
      <c r="M1016">
        <v>1516545.89</v>
      </c>
      <c r="N1016" s="711">
        <v>42784.481672488429</v>
      </c>
      <c r="O1016" s="711">
        <v>43087</v>
      </c>
      <c r="P1016" t="s">
        <v>4148</v>
      </c>
      <c r="Q1016" t="s">
        <v>1280</v>
      </c>
      <c r="R1016" t="s">
        <v>1280</v>
      </c>
      <c r="S1016" t="s">
        <v>1510</v>
      </c>
      <c r="T1016">
        <v>54</v>
      </c>
      <c r="U1016">
        <f>IF(Table__192.168.1.150_M_CONSOLIDATED_Delinquency_Compulsory_EOM[[#This Row],[Days in Arrears]] &lt; 8, Table__192.168.1.150_M_CONSOLIDATED_Delinquency_Compulsory_EOM[[#This Row],[Outstanding Balance]], 0 )</f>
        <v>0</v>
      </c>
      <c r="V10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1303691.71</v>
      </c>
      <c r="Z1016" s="105" t="str">
        <f>VLOOKUP(Table__192.168.1.150_M_CONSOLIDATED_Delinquency_Compulsory_EOM[[#This Row],[Client No]],'Global Portfolio'!$B$2:$N$2500,10,FALSE)</f>
        <v>Real Estate and Rental</v>
      </c>
      <c r="AA1016" s="105" t="str">
        <f>VLOOKUP(Table__192.168.1.150_M_CONSOLIDATED_Delinquency_Compulsory_EOM[[#This Row],[Client No]],'Global Portfolio'!$B$2:$N$2500,11,FALSE)</f>
        <v>Rental</v>
      </c>
      <c r="AB1016" s="105" t="str">
        <f>VLOOKUP(Table__192.168.1.150_M_CONSOLIDATED_Delinquency_Compulsory_EOM[[#This Row],[Client No]],'Global Portfolio'!$B$2:$N$2500,12,FALSE)</f>
        <v>Others</v>
      </c>
    </row>
    <row r="1017" spans="1:28" x14ac:dyDescent="0.25">
      <c r="A1017">
        <v>200835</v>
      </c>
      <c r="B1017" t="s">
        <v>2085</v>
      </c>
      <c r="C1017" t="s">
        <v>2097</v>
      </c>
      <c r="D1017" t="s">
        <v>1281</v>
      </c>
      <c r="E1017">
        <v>-17</v>
      </c>
      <c r="F1017">
        <v>20000000</v>
      </c>
      <c r="G1017">
        <v>7602094.8099999996</v>
      </c>
      <c r="H1017">
        <v>2069678.99</v>
      </c>
      <c r="I1017" t="s">
        <v>1909</v>
      </c>
      <c r="J1017">
        <v>38642.019999999997</v>
      </c>
      <c r="K1017">
        <v>1500000</v>
      </c>
      <c r="L1017">
        <v>106429.33</v>
      </c>
      <c r="M1017">
        <v>8278715.8899999997</v>
      </c>
      <c r="N1017" s="711">
        <v>42784.520356793983</v>
      </c>
      <c r="O1017" s="711">
        <v>43149</v>
      </c>
      <c r="P1017" t="s">
        <v>2098</v>
      </c>
      <c r="Q1017" t="s">
        <v>1280</v>
      </c>
      <c r="R1017" t="s">
        <v>1280</v>
      </c>
      <c r="S1017" t="s">
        <v>1510</v>
      </c>
      <c r="T1017">
        <v>42</v>
      </c>
      <c r="U1017">
        <f>IF(Table__192.168.1.150_M_CONSOLIDATED_Delinquency_Compulsory_EOM[[#This Row],[Days in Arrears]] &lt; 8, Table__192.168.1.150_M_CONSOLIDATED_Delinquency_Compulsory_EOM[[#This Row],[Outstanding Balance]], 0 )</f>
        <v>7602094.8099999996</v>
      </c>
      <c r="V10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7" s="105" t="str">
        <f>VLOOKUP(Table__192.168.1.150_M_CONSOLIDATED_Delinquency_Compulsory_EOM[[#This Row],[Client No]],'Global Portfolio'!$B$2:$N$2500,10,FALSE)</f>
        <v>Retail</v>
      </c>
      <c r="AA1017" s="105" t="str">
        <f>VLOOKUP(Table__192.168.1.150_M_CONSOLIDATED_Delinquency_Compulsory_EOM[[#This Row],[Client No]],'Global Portfolio'!$B$2:$N$2500,11,FALSE)</f>
        <v>Second Hand -Clothing and  Accessories</v>
      </c>
      <c r="AB1017" s="105" t="str">
        <f>VLOOKUP(Table__192.168.1.150_M_CONSOLIDATED_Delinquency_Compulsory_EOM[[#This Row],[Client No]],'Global Portfolio'!$B$2:$N$2500,12,FALSE)</f>
        <v>Clothing Stores</v>
      </c>
    </row>
    <row r="1018" spans="1:28" x14ac:dyDescent="0.25">
      <c r="A1018">
        <v>200836</v>
      </c>
      <c r="B1018" t="s">
        <v>4130</v>
      </c>
      <c r="C1018" t="s">
        <v>4149</v>
      </c>
      <c r="D1018" t="s">
        <v>1866</v>
      </c>
      <c r="E1018">
        <v>-17</v>
      </c>
      <c r="F1018">
        <v>6000000</v>
      </c>
      <c r="G1018">
        <v>2333961.83</v>
      </c>
      <c r="H1018">
        <v>645510.71</v>
      </c>
      <c r="I1018" t="s">
        <v>2175</v>
      </c>
      <c r="J1018">
        <v>0</v>
      </c>
      <c r="K1018">
        <v>600000</v>
      </c>
      <c r="L1018">
        <v>38899.360000000001</v>
      </c>
      <c r="M1018">
        <v>2582042.86</v>
      </c>
      <c r="N1018" s="711">
        <v>42784.547488391203</v>
      </c>
      <c r="O1018" s="711">
        <v>43149</v>
      </c>
      <c r="P1018" t="s">
        <v>4150</v>
      </c>
      <c r="Q1018" t="s">
        <v>1280</v>
      </c>
      <c r="R1018" t="s">
        <v>4151</v>
      </c>
      <c r="S1018" t="s">
        <v>1510</v>
      </c>
      <c r="T1018">
        <v>50</v>
      </c>
      <c r="U1018">
        <f>IF(Table__192.168.1.150_M_CONSOLIDATED_Delinquency_Compulsory_EOM[[#This Row],[Days in Arrears]] &lt; 8, Table__192.168.1.150_M_CONSOLIDATED_Delinquency_Compulsory_EOM[[#This Row],[Outstanding Balance]], 0 )</f>
        <v>2333961.83</v>
      </c>
      <c r="V10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8" s="105" t="str">
        <f>VLOOKUP(Table__192.168.1.150_M_CONSOLIDATED_Delinquency_Compulsory_EOM[[#This Row],[Client No]],'Global Portfolio'!$B$2:$N$2500,10,FALSE)</f>
        <v>Educational Services</v>
      </c>
      <c r="AA1018" s="105" t="str">
        <f>VLOOKUP(Table__192.168.1.150_M_CONSOLIDATED_Delinquency_Compulsory_EOM[[#This Row],[Client No]],'Global Portfolio'!$B$2:$N$2500,11,FALSE)</f>
        <v>Educational Services</v>
      </c>
      <c r="AB1018" s="105" t="str">
        <f>VLOOKUP(Table__192.168.1.150_M_CONSOLIDATED_Delinquency_Compulsory_EOM[[#This Row],[Client No]],'Global Portfolio'!$B$2:$N$2500,12,FALSE)</f>
        <v>Schools</v>
      </c>
    </row>
    <row r="1019" spans="1:28" x14ac:dyDescent="0.25">
      <c r="A1019">
        <v>200838</v>
      </c>
      <c r="B1019" t="s">
        <v>4124</v>
      </c>
      <c r="C1019" t="s">
        <v>4152</v>
      </c>
      <c r="D1019" t="s">
        <v>1282</v>
      </c>
      <c r="E1019">
        <v>-19</v>
      </c>
      <c r="F1019">
        <v>5000000</v>
      </c>
      <c r="G1019">
        <v>1967151.37</v>
      </c>
      <c r="H1019">
        <v>548330.93999999994</v>
      </c>
      <c r="I1019" t="s">
        <v>1448</v>
      </c>
      <c r="J1019">
        <v>0</v>
      </c>
      <c r="K1019">
        <v>500000</v>
      </c>
      <c r="L1019">
        <v>29507.27</v>
      </c>
      <c r="M1019">
        <v>2193323.7999999998</v>
      </c>
      <c r="N1019" s="711">
        <v>42786.587887384259</v>
      </c>
      <c r="O1019" s="711">
        <v>43151</v>
      </c>
      <c r="P1019" t="s">
        <v>4153</v>
      </c>
      <c r="Q1019" t="s">
        <v>1280</v>
      </c>
      <c r="R1019" t="s">
        <v>4154</v>
      </c>
      <c r="S1019" t="s">
        <v>1510</v>
      </c>
      <c r="T1019">
        <v>54</v>
      </c>
      <c r="U1019">
        <f>IF(Table__192.168.1.150_M_CONSOLIDATED_Delinquency_Compulsory_EOM[[#This Row],[Days in Arrears]] &lt; 8, Table__192.168.1.150_M_CONSOLIDATED_Delinquency_Compulsory_EOM[[#This Row],[Outstanding Balance]], 0 )</f>
        <v>1967151.37</v>
      </c>
      <c r="V10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19" s="105" t="str">
        <f>VLOOKUP(Table__192.168.1.150_M_CONSOLIDATED_Delinquency_Compulsory_EOM[[#This Row],[Client No]],'Global Portfolio'!$B$2:$N$2500,10,FALSE)</f>
        <v>Real Estate and Rental</v>
      </c>
      <c r="AA1019" s="105" t="str">
        <f>VLOOKUP(Table__192.168.1.150_M_CONSOLIDATED_Delinquency_Compulsory_EOM[[#This Row],[Client No]],'Global Portfolio'!$B$2:$N$2500,11,FALSE)</f>
        <v>Rental</v>
      </c>
      <c r="AB1019" s="105" t="str">
        <f>VLOOKUP(Table__192.168.1.150_M_CONSOLIDATED_Delinquency_Compulsory_EOM[[#This Row],[Client No]],'Global Portfolio'!$B$2:$N$2500,12,FALSE)</f>
        <v>General Rental Centers</v>
      </c>
    </row>
    <row r="1020" spans="1:28" x14ac:dyDescent="0.25">
      <c r="A1020">
        <v>200839</v>
      </c>
      <c r="B1020" t="s">
        <v>4125</v>
      </c>
      <c r="C1020" t="s">
        <v>4155</v>
      </c>
      <c r="D1020" t="s">
        <v>1284</v>
      </c>
      <c r="E1020">
        <v>11</v>
      </c>
      <c r="F1020">
        <v>30000000</v>
      </c>
      <c r="G1020">
        <v>23532031.129999999</v>
      </c>
      <c r="H1020">
        <v>1835632.07</v>
      </c>
      <c r="I1020" t="s">
        <v>546</v>
      </c>
      <c r="J1020">
        <v>0</v>
      </c>
      <c r="K1020">
        <v>0</v>
      </c>
      <c r="L1020">
        <v>764814.81</v>
      </c>
      <c r="M1020">
        <v>31186158.82</v>
      </c>
      <c r="N1020" s="711">
        <v>42786.606222569448</v>
      </c>
      <c r="O1020" s="711">
        <v>43516</v>
      </c>
      <c r="P1020" t="s">
        <v>4156</v>
      </c>
      <c r="Q1020" t="s">
        <v>1280</v>
      </c>
      <c r="R1020" t="s">
        <v>4157</v>
      </c>
      <c r="S1020" t="s">
        <v>1510</v>
      </c>
      <c r="T1020">
        <v>40</v>
      </c>
      <c r="U1020">
        <f>IF(Table__192.168.1.150_M_CONSOLIDATED_Delinquency_Compulsory_EOM[[#This Row],[Days in Arrears]] &lt; 8, Table__192.168.1.150_M_CONSOLIDATED_Delinquency_Compulsory_EOM[[#This Row],[Outstanding Balance]], 0 )</f>
        <v>0</v>
      </c>
      <c r="V10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23532031.129999999</v>
      </c>
      <c r="W10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0" s="105" t="str">
        <f>VLOOKUP(Table__192.168.1.150_M_CONSOLIDATED_Delinquency_Compulsory_EOM[[#This Row],[Client No]],'Global Portfolio'!$B$2:$N$2500,10,FALSE)</f>
        <v>Real Estate and Rental</v>
      </c>
      <c r="AA1020" s="105" t="str">
        <f>VLOOKUP(Table__192.168.1.150_M_CONSOLIDATED_Delinquency_Compulsory_EOM[[#This Row],[Client No]],'Global Portfolio'!$B$2:$N$2500,11,FALSE)</f>
        <v>Rental</v>
      </c>
      <c r="AB1020" s="105" t="str">
        <f>VLOOKUP(Table__192.168.1.150_M_CONSOLIDATED_Delinquency_Compulsory_EOM[[#This Row],[Client No]],'Global Portfolio'!$B$2:$N$2500,12,FALSE)</f>
        <v>General Rental Centers</v>
      </c>
    </row>
    <row r="1021" spans="1:28" x14ac:dyDescent="0.25">
      <c r="A1021">
        <v>200840</v>
      </c>
      <c r="B1021" t="s">
        <v>2278</v>
      </c>
      <c r="C1021" t="s">
        <v>2287</v>
      </c>
      <c r="D1021" t="s">
        <v>1282</v>
      </c>
      <c r="E1021">
        <v>-19</v>
      </c>
      <c r="F1021">
        <v>4000000</v>
      </c>
      <c r="G1021">
        <v>1547092.89</v>
      </c>
      <c r="H1021">
        <v>426208.69</v>
      </c>
      <c r="I1021" t="s">
        <v>2538</v>
      </c>
      <c r="J1021">
        <v>0</v>
      </c>
      <c r="K1021">
        <v>0</v>
      </c>
      <c r="L1021">
        <v>20627.91</v>
      </c>
      <c r="M1021">
        <v>1704834.77</v>
      </c>
      <c r="N1021" s="711">
        <v>42786.738933101849</v>
      </c>
      <c r="O1021" s="711">
        <v>43151</v>
      </c>
      <c r="P1021" t="s">
        <v>2288</v>
      </c>
      <c r="Q1021" t="s">
        <v>1280</v>
      </c>
      <c r="R1021" t="s">
        <v>1280</v>
      </c>
      <c r="S1021" t="s">
        <v>1510</v>
      </c>
      <c r="T1021">
        <v>48</v>
      </c>
      <c r="U1021">
        <f>IF(Table__192.168.1.150_M_CONSOLIDATED_Delinquency_Compulsory_EOM[[#This Row],[Days in Arrears]] &lt; 8, Table__192.168.1.150_M_CONSOLIDATED_Delinquency_Compulsory_EOM[[#This Row],[Outstanding Balance]], 0 )</f>
        <v>1547092.89</v>
      </c>
      <c r="V10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1" s="105" t="str">
        <f>VLOOKUP(Table__192.168.1.150_M_CONSOLIDATED_Delinquency_Compulsory_EOM[[#This Row],[Client No]],'Global Portfolio'!$B$2:$N$2500,10,FALSE)</f>
        <v>Retail</v>
      </c>
      <c r="AA1021" s="105" t="str">
        <f>VLOOKUP(Table__192.168.1.150_M_CONSOLIDATED_Delinquency_Compulsory_EOM[[#This Row],[Client No]],'Global Portfolio'!$B$2:$N$2500,11,FALSE)</f>
        <v>Others</v>
      </c>
      <c r="AB1021" s="105" t="str">
        <f>VLOOKUP(Table__192.168.1.150_M_CONSOLIDATED_Delinquency_Compulsory_EOM[[#This Row],[Client No]],'Global Portfolio'!$B$2:$N$2500,12,FALSE)</f>
        <v>Others</v>
      </c>
    </row>
    <row r="1022" spans="1:28" x14ac:dyDescent="0.25">
      <c r="A1022">
        <v>200842</v>
      </c>
      <c r="B1022" t="s">
        <v>4159</v>
      </c>
      <c r="C1022" t="s">
        <v>4164</v>
      </c>
      <c r="D1022" t="s">
        <v>1282</v>
      </c>
      <c r="E1022">
        <v>10</v>
      </c>
      <c r="F1022">
        <v>10000000</v>
      </c>
      <c r="G1022">
        <v>4321167.1100000003</v>
      </c>
      <c r="H1022">
        <v>1096661.8899999999</v>
      </c>
      <c r="I1022" t="s">
        <v>2538</v>
      </c>
      <c r="J1022">
        <v>0</v>
      </c>
      <c r="K1022">
        <v>0</v>
      </c>
      <c r="L1022">
        <v>53113.09</v>
      </c>
      <c r="M1022">
        <v>4773511.95</v>
      </c>
      <c r="N1022" s="711">
        <v>42787.757573113427</v>
      </c>
      <c r="O1022" s="711">
        <v>43152</v>
      </c>
      <c r="P1022" t="s">
        <v>4165</v>
      </c>
      <c r="Q1022" t="s">
        <v>1280</v>
      </c>
      <c r="R1022" t="s">
        <v>4166</v>
      </c>
      <c r="S1022" t="s">
        <v>1510</v>
      </c>
      <c r="T1022">
        <v>54</v>
      </c>
      <c r="U1022">
        <f>IF(Table__192.168.1.150_M_CONSOLIDATED_Delinquency_Compulsory_EOM[[#This Row],[Days in Arrears]] &lt; 8, Table__192.168.1.150_M_CONSOLIDATED_Delinquency_Compulsory_EOM[[#This Row],[Outstanding Balance]], 0 )</f>
        <v>0</v>
      </c>
      <c r="V10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4321167.1100000003</v>
      </c>
      <c r="W10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2" s="105" t="str">
        <f>VLOOKUP(Table__192.168.1.150_M_CONSOLIDATED_Delinquency_Compulsory_EOM[[#This Row],[Client No]],'Global Portfolio'!$B$2:$N$2500,10,FALSE)</f>
        <v>Retail</v>
      </c>
      <c r="AA1022" s="105" t="str">
        <f>VLOOKUP(Table__192.168.1.150_M_CONSOLIDATED_Delinquency_Compulsory_EOM[[#This Row],[Client No]],'Global Portfolio'!$B$2:$N$2500,11,FALSE)</f>
        <v>General Merchandise Stores</v>
      </c>
      <c r="AB1022" s="105" t="str">
        <f>VLOOKUP(Table__192.168.1.150_M_CONSOLIDATED_Delinquency_Compulsory_EOM[[#This Row],[Client No]],'Global Portfolio'!$B$2:$N$2500,12,FALSE)</f>
        <v>Others</v>
      </c>
    </row>
    <row r="1023" spans="1:28" x14ac:dyDescent="0.25">
      <c r="A1023">
        <v>200845</v>
      </c>
      <c r="B1023" t="s">
        <v>1957</v>
      </c>
      <c r="C1023" t="s">
        <v>2032</v>
      </c>
      <c r="D1023" t="s">
        <v>1866</v>
      </c>
      <c r="E1023">
        <v>-9</v>
      </c>
      <c r="F1023">
        <v>8000000</v>
      </c>
      <c r="G1023">
        <v>3018962.31</v>
      </c>
      <c r="H1023">
        <v>825170.36</v>
      </c>
      <c r="I1023" t="s">
        <v>963</v>
      </c>
      <c r="J1023">
        <v>55918.62</v>
      </c>
      <c r="K1023">
        <v>800000</v>
      </c>
      <c r="L1023">
        <v>73796.86</v>
      </c>
      <c r="M1023">
        <v>3300681.42</v>
      </c>
      <c r="N1023" s="711">
        <v>42787.70436246528</v>
      </c>
      <c r="O1023" s="711">
        <v>43141</v>
      </c>
      <c r="P1023" t="s">
        <v>2033</v>
      </c>
      <c r="Q1023" t="s">
        <v>1280</v>
      </c>
      <c r="R1023" t="s">
        <v>1280</v>
      </c>
      <c r="S1023" t="s">
        <v>1510</v>
      </c>
      <c r="T1023">
        <v>44</v>
      </c>
      <c r="U1023">
        <f>IF(Table__192.168.1.150_M_CONSOLIDATED_Delinquency_Compulsory_EOM[[#This Row],[Days in Arrears]] &lt; 8, Table__192.168.1.150_M_CONSOLIDATED_Delinquency_Compulsory_EOM[[#This Row],[Outstanding Balance]], 0 )</f>
        <v>3018962.31</v>
      </c>
      <c r="V10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3" s="105" t="str">
        <f>VLOOKUP(Table__192.168.1.150_M_CONSOLIDATED_Delinquency_Compulsory_EOM[[#This Row],[Client No]],'Global Portfolio'!$B$2:$N$2500,10,FALSE)</f>
        <v>Real Estate and Rental</v>
      </c>
      <c r="AA1023" s="105" t="str">
        <f>VLOOKUP(Table__192.168.1.150_M_CONSOLIDATED_Delinquency_Compulsory_EOM[[#This Row],[Client No]],'Global Portfolio'!$B$2:$N$2500,11,FALSE)</f>
        <v>Rental</v>
      </c>
      <c r="AB1023" s="105" t="str">
        <f>VLOOKUP(Table__192.168.1.150_M_CONSOLIDATED_Delinquency_Compulsory_EOM[[#This Row],[Client No]],'Global Portfolio'!$B$2:$N$2500,12,FALSE)</f>
        <v>General Rental Centers</v>
      </c>
    </row>
    <row r="1024" spans="1:28" x14ac:dyDescent="0.25">
      <c r="A1024">
        <v>200846</v>
      </c>
      <c r="B1024" t="s">
        <v>4160</v>
      </c>
      <c r="C1024" t="s">
        <v>4169</v>
      </c>
      <c r="D1024" t="s">
        <v>1282</v>
      </c>
      <c r="E1024">
        <v>-20</v>
      </c>
      <c r="F1024">
        <v>10000000</v>
      </c>
      <c r="G1024">
        <v>3934302.67</v>
      </c>
      <c r="H1024">
        <v>1096661.8899999999</v>
      </c>
      <c r="I1024" t="s">
        <v>2175</v>
      </c>
      <c r="J1024">
        <v>1734437.1</v>
      </c>
      <c r="K1024">
        <v>1000000</v>
      </c>
      <c r="L1024">
        <v>53113.09</v>
      </c>
      <c r="M1024">
        <v>4386647.51</v>
      </c>
      <c r="N1024" s="711">
        <v>42787.770598414354</v>
      </c>
      <c r="O1024" s="711">
        <v>43152</v>
      </c>
      <c r="P1024" t="s">
        <v>4170</v>
      </c>
      <c r="Q1024" t="s">
        <v>1280</v>
      </c>
      <c r="R1024" t="s">
        <v>1280</v>
      </c>
      <c r="S1024" t="s">
        <v>1510</v>
      </c>
      <c r="T1024">
        <v>54</v>
      </c>
      <c r="U1024">
        <f>IF(Table__192.168.1.150_M_CONSOLIDATED_Delinquency_Compulsory_EOM[[#This Row],[Days in Arrears]] &lt; 8, Table__192.168.1.150_M_CONSOLIDATED_Delinquency_Compulsory_EOM[[#This Row],[Outstanding Balance]], 0 )</f>
        <v>3934302.67</v>
      </c>
      <c r="V10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4" s="105" t="str">
        <f>VLOOKUP(Table__192.168.1.150_M_CONSOLIDATED_Delinquency_Compulsory_EOM[[#This Row],[Client No]],'Global Portfolio'!$B$2:$N$2500,10,FALSE)</f>
        <v>Retail</v>
      </c>
      <c r="AA1024" s="105" t="str">
        <f>VLOOKUP(Table__192.168.1.150_M_CONSOLIDATED_Delinquency_Compulsory_EOM[[#This Row],[Client No]],'Global Portfolio'!$B$2:$N$2500,11,FALSE)</f>
        <v>Others</v>
      </c>
      <c r="AB1024" s="105" t="str">
        <f>VLOOKUP(Table__192.168.1.150_M_CONSOLIDATED_Delinquency_Compulsory_EOM[[#This Row],[Client No]],'Global Portfolio'!$B$2:$N$2500,12,FALSE)</f>
        <v>Others</v>
      </c>
    </row>
    <row r="1025" spans="1:28" x14ac:dyDescent="0.25">
      <c r="A1025">
        <v>200847</v>
      </c>
      <c r="B1025" t="s">
        <v>4171</v>
      </c>
      <c r="C1025" t="s">
        <v>4172</v>
      </c>
      <c r="D1025" t="s">
        <v>1282</v>
      </c>
      <c r="E1025">
        <v>-21</v>
      </c>
      <c r="F1025">
        <v>4000000</v>
      </c>
      <c r="G1025">
        <v>1573721.12</v>
      </c>
      <c r="H1025">
        <v>438664.75</v>
      </c>
      <c r="I1025" t="s">
        <v>491</v>
      </c>
      <c r="J1025">
        <v>1107045.5</v>
      </c>
      <c r="K1025">
        <v>400000</v>
      </c>
      <c r="L1025">
        <v>18884.650000000001</v>
      </c>
      <c r="M1025">
        <v>1754659.06</v>
      </c>
      <c r="N1025" s="711">
        <v>42788.666958182868</v>
      </c>
      <c r="O1025" s="711">
        <v>43153</v>
      </c>
      <c r="P1025" t="s">
        <v>4173</v>
      </c>
      <c r="Q1025" t="s">
        <v>1280</v>
      </c>
      <c r="R1025" t="s">
        <v>1280</v>
      </c>
      <c r="S1025" t="s">
        <v>1510</v>
      </c>
      <c r="T1025">
        <v>54</v>
      </c>
      <c r="U1025">
        <f>IF(Table__192.168.1.150_M_CONSOLIDATED_Delinquency_Compulsory_EOM[[#This Row],[Days in Arrears]] &lt; 8, Table__192.168.1.150_M_CONSOLIDATED_Delinquency_Compulsory_EOM[[#This Row],[Outstanding Balance]], 0 )</f>
        <v>1573721.12</v>
      </c>
      <c r="V10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5" s="105" t="str">
        <f>VLOOKUP(Table__192.168.1.150_M_CONSOLIDATED_Delinquency_Compulsory_EOM[[#This Row],[Client No]],'Global Portfolio'!$B$2:$N$2500,10,FALSE)</f>
        <v>Real Estate and Rental</v>
      </c>
      <c r="AA1025" s="105" t="str">
        <f>VLOOKUP(Table__192.168.1.150_M_CONSOLIDATED_Delinquency_Compulsory_EOM[[#This Row],[Client No]],'Global Portfolio'!$B$2:$N$2500,11,FALSE)</f>
        <v>Rental</v>
      </c>
      <c r="AB1025" s="105" t="str">
        <f>VLOOKUP(Table__192.168.1.150_M_CONSOLIDATED_Delinquency_Compulsory_EOM[[#This Row],[Client No]],'Global Portfolio'!$B$2:$N$2500,12,FALSE)</f>
        <v>Others</v>
      </c>
    </row>
    <row r="1026" spans="1:28" x14ac:dyDescent="0.25">
      <c r="A1026">
        <v>200849</v>
      </c>
      <c r="B1026" t="s">
        <v>2191</v>
      </c>
      <c r="C1026" t="s">
        <v>2212</v>
      </c>
      <c r="D1026" t="s">
        <v>1283</v>
      </c>
      <c r="E1026">
        <v>-21</v>
      </c>
      <c r="F1026">
        <v>55000000</v>
      </c>
      <c r="G1026">
        <v>40793533.850000001</v>
      </c>
      <c r="H1026">
        <v>3247607.88</v>
      </c>
      <c r="I1026" t="s">
        <v>1448</v>
      </c>
      <c r="J1026">
        <v>16090.5</v>
      </c>
      <c r="K1026">
        <v>1750000</v>
      </c>
      <c r="L1026">
        <v>326348.27</v>
      </c>
      <c r="M1026">
        <v>51961725.990000002</v>
      </c>
      <c r="N1026" s="711">
        <v>42788.647240393519</v>
      </c>
      <c r="O1026" s="711">
        <v>43518</v>
      </c>
      <c r="P1026" t="s">
        <v>2213</v>
      </c>
      <c r="Q1026" t="s">
        <v>1280</v>
      </c>
      <c r="R1026" t="s">
        <v>1280</v>
      </c>
      <c r="S1026" t="s">
        <v>1510</v>
      </c>
      <c r="T1026">
        <v>36</v>
      </c>
      <c r="U1026">
        <f>IF(Table__192.168.1.150_M_CONSOLIDATED_Delinquency_Compulsory_EOM[[#This Row],[Days in Arrears]] &lt; 8, Table__192.168.1.150_M_CONSOLIDATED_Delinquency_Compulsory_EOM[[#This Row],[Outstanding Balance]], 0 )</f>
        <v>40793533.850000001</v>
      </c>
      <c r="V10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6" s="105" t="str">
        <f>VLOOKUP(Table__192.168.1.150_M_CONSOLIDATED_Delinquency_Compulsory_EOM[[#This Row],[Client No]],'Global Portfolio'!$B$2:$N$2500,10,FALSE)</f>
        <v>Transportation and Warehousing</v>
      </c>
      <c r="AA1026" s="105" t="str">
        <f>VLOOKUP(Table__192.168.1.150_M_CONSOLIDATED_Delinquency_Compulsory_EOM[[#This Row],[Client No]],'Global Portfolio'!$B$2:$N$2500,11,FALSE)</f>
        <v xml:space="preserve"> Passenger Transportation</v>
      </c>
      <c r="AB1026" s="105" t="str">
        <f>VLOOKUP(Table__192.168.1.150_M_CONSOLIDATED_Delinquency_Compulsory_EOM[[#This Row],[Client No]],'Global Portfolio'!$B$2:$N$2500,12,FALSE)</f>
        <v>Bus transportation</v>
      </c>
    </row>
    <row r="1027" spans="1:28" x14ac:dyDescent="0.25">
      <c r="A1027">
        <v>200850</v>
      </c>
      <c r="B1027" t="s">
        <v>1937</v>
      </c>
      <c r="C1027" t="s">
        <v>1944</v>
      </c>
      <c r="D1027" t="s">
        <v>1283</v>
      </c>
      <c r="E1027">
        <v>-21</v>
      </c>
      <c r="F1027">
        <v>50000000</v>
      </c>
      <c r="G1027">
        <v>31010996.25</v>
      </c>
      <c r="H1027">
        <v>3635434.79</v>
      </c>
      <c r="I1027" t="s">
        <v>1925</v>
      </c>
      <c r="J1027">
        <v>0</v>
      </c>
      <c r="K1027">
        <v>2500000</v>
      </c>
      <c r="L1027">
        <v>248087.97</v>
      </c>
      <c r="M1027">
        <v>36354348.030000001</v>
      </c>
      <c r="N1027" s="711">
        <v>42788.646414814815</v>
      </c>
      <c r="O1027" s="711">
        <v>43334</v>
      </c>
      <c r="P1027" t="s">
        <v>1945</v>
      </c>
      <c r="Q1027" t="s">
        <v>1280</v>
      </c>
      <c r="R1027" t="s">
        <v>1946</v>
      </c>
      <c r="S1027" t="s">
        <v>1510</v>
      </c>
      <c r="T1027">
        <v>36</v>
      </c>
      <c r="U1027">
        <f>IF(Table__192.168.1.150_M_CONSOLIDATED_Delinquency_Compulsory_EOM[[#This Row],[Days in Arrears]] &lt; 8, Table__192.168.1.150_M_CONSOLIDATED_Delinquency_Compulsory_EOM[[#This Row],[Outstanding Balance]], 0 )</f>
        <v>31010996.25</v>
      </c>
      <c r="V10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7" s="105" t="str">
        <f>VLOOKUP(Table__192.168.1.150_M_CONSOLIDATED_Delinquency_Compulsory_EOM[[#This Row],[Client No]],'Global Portfolio'!$B$2:$N$2500,10,FALSE)</f>
        <v>Retail</v>
      </c>
      <c r="AA1027" s="105" t="str">
        <f>VLOOKUP(Table__192.168.1.150_M_CONSOLIDATED_Delinquency_Compulsory_EOM[[#This Row],[Client No]],'Global Portfolio'!$B$2:$N$2500,11,FALSE)</f>
        <v>Building Material and Garden Equipment</v>
      </c>
      <c r="AB1027" s="105" t="str">
        <f>VLOOKUP(Table__192.168.1.150_M_CONSOLIDATED_Delinquency_Compulsory_EOM[[#This Row],[Client No]],'Global Portfolio'!$B$2:$N$2500,12,FALSE)</f>
        <v>Hardware Stores</v>
      </c>
    </row>
    <row r="1028" spans="1:28" x14ac:dyDescent="0.25">
      <c r="A1028">
        <v>200851</v>
      </c>
      <c r="B1028" t="s">
        <v>4174</v>
      </c>
      <c r="C1028" t="s">
        <v>4176</v>
      </c>
      <c r="D1028" t="s">
        <v>1283</v>
      </c>
      <c r="E1028">
        <v>0</v>
      </c>
      <c r="F1028">
        <v>35000000</v>
      </c>
      <c r="G1028">
        <v>27690200.07</v>
      </c>
      <c r="H1028">
        <v>2159992.86</v>
      </c>
      <c r="I1028" t="s">
        <v>2034</v>
      </c>
      <c r="J1028">
        <v>110858.14</v>
      </c>
      <c r="K1028">
        <v>875000</v>
      </c>
      <c r="L1028">
        <v>892239.78</v>
      </c>
      <c r="M1028">
        <v>36719878.5</v>
      </c>
      <c r="N1028" s="711">
        <v>42789.440038194443</v>
      </c>
      <c r="O1028" s="711">
        <v>43525</v>
      </c>
      <c r="P1028" t="s">
        <v>4177</v>
      </c>
      <c r="Q1028" t="s">
        <v>1280</v>
      </c>
      <c r="R1028" t="s">
        <v>4178</v>
      </c>
      <c r="S1028" t="s">
        <v>1510</v>
      </c>
      <c r="T1028">
        <v>40</v>
      </c>
      <c r="U1028">
        <f>IF(Table__192.168.1.150_M_CONSOLIDATED_Delinquency_Compulsory_EOM[[#This Row],[Days in Arrears]] &lt; 8, Table__192.168.1.150_M_CONSOLIDATED_Delinquency_Compulsory_EOM[[#This Row],[Outstanding Balance]], 0 )</f>
        <v>27690200.07</v>
      </c>
      <c r="V10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8" s="105" t="str">
        <f>VLOOKUP(Table__192.168.1.150_M_CONSOLIDATED_Delinquency_Compulsory_EOM[[#This Row],[Client No]],'Global Portfolio'!$B$2:$N$2500,10,FALSE)</f>
        <v>Agriculture, Forestry, Fishing and Hunting</v>
      </c>
      <c r="AA1028" s="105" t="str">
        <f>VLOOKUP(Table__192.168.1.150_M_CONSOLIDATED_Delinquency_Compulsory_EOM[[#This Row],[Client No]],'Global Portfolio'!$B$2:$N$2500,11,FALSE)</f>
        <v>Others</v>
      </c>
      <c r="AB1028" s="105" t="str">
        <f>VLOOKUP(Table__192.168.1.150_M_CONSOLIDATED_Delinquency_Compulsory_EOM[[#This Row],[Client No]],'Global Portfolio'!$B$2:$N$2500,12,FALSE)</f>
        <v>Others</v>
      </c>
    </row>
    <row r="1029" spans="1:28" x14ac:dyDescent="0.25">
      <c r="A1029">
        <v>200853</v>
      </c>
      <c r="B1029" t="s">
        <v>4232</v>
      </c>
      <c r="C1029" t="s">
        <v>4233</v>
      </c>
      <c r="D1029" t="s">
        <v>1279</v>
      </c>
      <c r="E1029">
        <v>-5</v>
      </c>
      <c r="F1029">
        <v>5000000</v>
      </c>
      <c r="G1029">
        <v>2407160.11</v>
      </c>
      <c r="H1029">
        <v>548330.93999999994</v>
      </c>
      <c r="I1029" t="s">
        <v>2861</v>
      </c>
      <c r="J1029">
        <v>0</v>
      </c>
      <c r="K1029">
        <v>500000</v>
      </c>
      <c r="L1029">
        <v>86657.76</v>
      </c>
      <c r="M1029">
        <v>2741654.74</v>
      </c>
      <c r="N1029" s="711">
        <v>42800.46648703704</v>
      </c>
      <c r="O1029" s="711">
        <v>43165</v>
      </c>
      <c r="P1029" t="s">
        <v>4234</v>
      </c>
      <c r="Q1029" t="s">
        <v>1280</v>
      </c>
      <c r="R1029" t="s">
        <v>4235</v>
      </c>
      <c r="S1029" t="s">
        <v>1510</v>
      </c>
      <c r="T1029">
        <v>54</v>
      </c>
      <c r="U1029">
        <f>IF(Table__192.168.1.150_M_CONSOLIDATED_Delinquency_Compulsory_EOM[[#This Row],[Days in Arrears]] &lt; 8, Table__192.168.1.150_M_CONSOLIDATED_Delinquency_Compulsory_EOM[[#This Row],[Outstanding Balance]], 0 )</f>
        <v>2407160.11</v>
      </c>
      <c r="V10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29" s="105" t="str">
        <f>VLOOKUP(Table__192.168.1.150_M_CONSOLIDATED_Delinquency_Compulsory_EOM[[#This Row],[Client No]],'Global Portfolio'!$B$2:$N$2500,10,FALSE)</f>
        <v>Retail</v>
      </c>
      <c r="AA1029" s="105" t="str">
        <f>VLOOKUP(Table__192.168.1.150_M_CONSOLIDATED_Delinquency_Compulsory_EOM[[#This Row],[Client No]],'Global Portfolio'!$B$2:$N$2500,11,FALSE)</f>
        <v>General Merchandise Stores</v>
      </c>
      <c r="AB1029" s="105" t="str">
        <f>VLOOKUP(Table__192.168.1.150_M_CONSOLIDATED_Delinquency_Compulsory_EOM[[#This Row],[Client No]],'Global Portfolio'!$B$2:$N$2500,12,FALSE)</f>
        <v>Others</v>
      </c>
    </row>
    <row r="1030" spans="1:28" x14ac:dyDescent="0.25">
      <c r="A1030">
        <v>200854</v>
      </c>
      <c r="B1030" t="s">
        <v>4175</v>
      </c>
      <c r="C1030" t="s">
        <v>4179</v>
      </c>
      <c r="D1030" t="s">
        <v>1282</v>
      </c>
      <c r="E1030">
        <v>8</v>
      </c>
      <c r="F1030">
        <v>3000000</v>
      </c>
      <c r="G1030">
        <v>1317850.3</v>
      </c>
      <c r="H1030">
        <v>328998.57</v>
      </c>
      <c r="I1030" t="s">
        <v>1039</v>
      </c>
      <c r="J1030">
        <v>0</v>
      </c>
      <c r="K1030">
        <v>300000</v>
      </c>
      <c r="L1030">
        <v>12393.05</v>
      </c>
      <c r="M1030">
        <v>1453553.74</v>
      </c>
      <c r="N1030" s="711">
        <v>42789.672435567132</v>
      </c>
      <c r="O1030" s="711">
        <v>43154</v>
      </c>
      <c r="P1030" t="s">
        <v>4180</v>
      </c>
      <c r="Q1030" t="s">
        <v>1280</v>
      </c>
      <c r="R1030" t="s">
        <v>4181</v>
      </c>
      <c r="S1030" t="s">
        <v>1510</v>
      </c>
      <c r="T1030">
        <v>54</v>
      </c>
      <c r="U1030">
        <f>IF(Table__192.168.1.150_M_CONSOLIDATED_Delinquency_Compulsory_EOM[[#This Row],[Days in Arrears]] &lt; 8, Table__192.168.1.150_M_CONSOLIDATED_Delinquency_Compulsory_EOM[[#This Row],[Outstanding Balance]], 0 )</f>
        <v>0</v>
      </c>
      <c r="V10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1317850.3</v>
      </c>
      <c r="W10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0" s="105" t="str">
        <f>VLOOKUP(Table__192.168.1.150_M_CONSOLIDATED_Delinquency_Compulsory_EOM[[#This Row],[Client No]],'Global Portfolio'!$B$2:$N$2500,10,FALSE)</f>
        <v>Real Estate and Rental</v>
      </c>
      <c r="AA1030" s="105" t="str">
        <f>VLOOKUP(Table__192.168.1.150_M_CONSOLIDATED_Delinquency_Compulsory_EOM[[#This Row],[Client No]],'Global Portfolio'!$B$2:$N$2500,11,FALSE)</f>
        <v>Rental</v>
      </c>
      <c r="AB1030" s="105" t="str">
        <f>VLOOKUP(Table__192.168.1.150_M_CONSOLIDATED_Delinquency_Compulsory_EOM[[#This Row],[Client No]],'Global Portfolio'!$B$2:$N$2500,12,FALSE)</f>
        <v>General Rental Centers</v>
      </c>
    </row>
    <row r="1031" spans="1:28" x14ac:dyDescent="0.25">
      <c r="A1031">
        <v>200855</v>
      </c>
      <c r="B1031" t="s">
        <v>2327</v>
      </c>
      <c r="C1031" t="s">
        <v>2335</v>
      </c>
      <c r="D1031" t="s">
        <v>1282</v>
      </c>
      <c r="E1031">
        <v>-22</v>
      </c>
      <c r="F1031">
        <v>10000000</v>
      </c>
      <c r="G1031">
        <v>3867732.21</v>
      </c>
      <c r="H1031">
        <v>1065521.73</v>
      </c>
      <c r="I1031" t="s">
        <v>1667</v>
      </c>
      <c r="J1031">
        <v>0</v>
      </c>
      <c r="K1031">
        <v>1000000</v>
      </c>
      <c r="L1031">
        <v>36098.83</v>
      </c>
      <c r="M1031">
        <v>4262086.88</v>
      </c>
      <c r="N1031" s="711">
        <v>42789.675475694443</v>
      </c>
      <c r="O1031" s="711">
        <v>43154</v>
      </c>
      <c r="P1031" t="s">
        <v>2336</v>
      </c>
      <c r="Q1031" t="s">
        <v>1280</v>
      </c>
      <c r="R1031" t="s">
        <v>1280</v>
      </c>
      <c r="S1031" t="s">
        <v>1510</v>
      </c>
      <c r="T1031">
        <v>48</v>
      </c>
      <c r="U1031">
        <f>IF(Table__192.168.1.150_M_CONSOLIDATED_Delinquency_Compulsory_EOM[[#This Row],[Days in Arrears]] &lt; 8, Table__192.168.1.150_M_CONSOLIDATED_Delinquency_Compulsory_EOM[[#This Row],[Outstanding Balance]], 0 )</f>
        <v>3867732.21</v>
      </c>
      <c r="V10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1" s="105" t="str">
        <f>VLOOKUP(Table__192.168.1.150_M_CONSOLIDATED_Delinquency_Compulsory_EOM[[#This Row],[Client No]],'Global Portfolio'!$B$2:$N$2500,10,FALSE)</f>
        <v>Real Estate and Rental</v>
      </c>
      <c r="AA1031" s="105" t="str">
        <f>VLOOKUP(Table__192.168.1.150_M_CONSOLIDATED_Delinquency_Compulsory_EOM[[#This Row],[Client No]],'Global Portfolio'!$B$2:$N$2500,11,FALSE)</f>
        <v>Rental</v>
      </c>
      <c r="AB1031" s="105" t="str">
        <f>VLOOKUP(Table__192.168.1.150_M_CONSOLIDATED_Delinquency_Compulsory_EOM[[#This Row],[Client No]],'Global Portfolio'!$B$2:$N$2500,12,FALSE)</f>
        <v>General Rental Centers</v>
      </c>
    </row>
    <row r="1032" spans="1:28" x14ac:dyDescent="0.25">
      <c r="A1032">
        <v>200857</v>
      </c>
      <c r="B1032" t="s">
        <v>4184</v>
      </c>
      <c r="C1032" t="s">
        <v>4189</v>
      </c>
      <c r="D1032" t="s">
        <v>1282</v>
      </c>
      <c r="E1032">
        <v>37</v>
      </c>
      <c r="F1032">
        <v>2500000</v>
      </c>
      <c r="G1032">
        <v>709786.29</v>
      </c>
      <c r="H1032">
        <v>379024.13</v>
      </c>
      <c r="I1032" t="s">
        <v>546</v>
      </c>
      <c r="J1032">
        <v>0</v>
      </c>
      <c r="K1032">
        <v>250000</v>
      </c>
      <c r="L1032">
        <v>48261.99</v>
      </c>
      <c r="M1032">
        <v>758048.28</v>
      </c>
      <c r="N1032" s="711">
        <v>42790.634258680555</v>
      </c>
      <c r="O1032" s="711">
        <v>43032</v>
      </c>
      <c r="P1032" t="s">
        <v>4190</v>
      </c>
      <c r="Q1032" t="s">
        <v>1280</v>
      </c>
      <c r="R1032" t="s">
        <v>1280</v>
      </c>
      <c r="S1032" t="s">
        <v>1510</v>
      </c>
      <c r="T1032">
        <v>54</v>
      </c>
      <c r="U1032">
        <f>IF(Table__192.168.1.150_M_CONSOLIDATED_Delinquency_Compulsory_EOM[[#This Row],[Days in Arrears]] &lt; 8, Table__192.168.1.150_M_CONSOLIDATED_Delinquency_Compulsory_EOM[[#This Row],[Outstanding Balance]], 0 )</f>
        <v>0</v>
      </c>
      <c r="V10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709786.29</v>
      </c>
      <c r="X10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2" s="105" t="str">
        <f>VLOOKUP(Table__192.168.1.150_M_CONSOLIDATED_Delinquency_Compulsory_EOM[[#This Row],[Client No]],'Global Portfolio'!$B$2:$N$2500,10,FALSE)</f>
        <v>Retail</v>
      </c>
      <c r="AA1032" s="105" t="str">
        <f>VLOOKUP(Table__192.168.1.150_M_CONSOLIDATED_Delinquency_Compulsory_EOM[[#This Row],[Client No]],'Global Portfolio'!$B$2:$N$2500,11,FALSE)</f>
        <v>General Merchandise Stores</v>
      </c>
      <c r="AB1032" s="105" t="str">
        <f>VLOOKUP(Table__192.168.1.150_M_CONSOLIDATED_Delinquency_Compulsory_EOM[[#This Row],[Client No]],'Global Portfolio'!$B$2:$N$2500,12,FALSE)</f>
        <v>General Stores</v>
      </c>
    </row>
    <row r="1033" spans="1:28" x14ac:dyDescent="0.25">
      <c r="A1033">
        <v>200859</v>
      </c>
      <c r="B1033" t="s">
        <v>2279</v>
      </c>
      <c r="C1033" t="s">
        <v>2284</v>
      </c>
      <c r="D1033" t="s">
        <v>1282</v>
      </c>
      <c r="E1033">
        <v>0</v>
      </c>
      <c r="F1033">
        <v>6000000</v>
      </c>
      <c r="G1033">
        <v>2868001.18</v>
      </c>
      <c r="H1033">
        <v>644230.82999999996</v>
      </c>
      <c r="I1033" t="s">
        <v>4684</v>
      </c>
      <c r="J1033">
        <v>0</v>
      </c>
      <c r="K1033">
        <v>600000</v>
      </c>
      <c r="L1033">
        <v>110896.05</v>
      </c>
      <c r="M1033">
        <v>3221154.14</v>
      </c>
      <c r="N1033" s="711">
        <v>42791.547885219908</v>
      </c>
      <c r="O1033" s="711">
        <v>43160</v>
      </c>
      <c r="P1033" t="s">
        <v>2285</v>
      </c>
      <c r="Q1033" t="s">
        <v>1280</v>
      </c>
      <c r="R1033" t="s">
        <v>2286</v>
      </c>
      <c r="S1033" t="s">
        <v>1510</v>
      </c>
      <c r="T1033">
        <v>48</v>
      </c>
      <c r="U1033">
        <f>IF(Table__192.168.1.150_M_CONSOLIDATED_Delinquency_Compulsory_EOM[[#This Row],[Days in Arrears]] &lt; 8, Table__192.168.1.150_M_CONSOLIDATED_Delinquency_Compulsory_EOM[[#This Row],[Outstanding Balance]], 0 )</f>
        <v>2868001.18</v>
      </c>
      <c r="V10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3" s="105" t="str">
        <f>VLOOKUP(Table__192.168.1.150_M_CONSOLIDATED_Delinquency_Compulsory_EOM[[#This Row],[Client No]],'Global Portfolio'!$B$2:$N$2500,10,FALSE)</f>
        <v>Retail</v>
      </c>
      <c r="AA1033" s="105" t="str">
        <f>VLOOKUP(Table__192.168.1.150_M_CONSOLIDATED_Delinquency_Compulsory_EOM[[#This Row],[Client No]],'Global Portfolio'!$B$2:$N$2500,11,FALSE)</f>
        <v>Food and Beverage Stores</v>
      </c>
      <c r="AB1033" s="105" t="str">
        <f>VLOOKUP(Table__192.168.1.150_M_CONSOLIDATED_Delinquency_Compulsory_EOM[[#This Row],[Client No]],'Global Portfolio'!$B$2:$N$2500,12,FALSE)</f>
        <v>Butchery</v>
      </c>
    </row>
    <row r="1034" spans="1:28" x14ac:dyDescent="0.25">
      <c r="A1034">
        <v>200861</v>
      </c>
      <c r="B1034" t="s">
        <v>4191</v>
      </c>
      <c r="C1034" t="s">
        <v>4195</v>
      </c>
      <c r="D1034" t="s">
        <v>1282</v>
      </c>
      <c r="E1034">
        <v>0</v>
      </c>
      <c r="F1034">
        <v>2500000</v>
      </c>
      <c r="G1034">
        <v>1213945.77</v>
      </c>
      <c r="H1034">
        <v>276526.71000000002</v>
      </c>
      <c r="I1034" t="s">
        <v>2538</v>
      </c>
      <c r="J1034">
        <v>272473.28999999998</v>
      </c>
      <c r="K1034">
        <v>250000</v>
      </c>
      <c r="L1034">
        <v>52806.64</v>
      </c>
      <c r="M1034">
        <v>1382633.49</v>
      </c>
      <c r="N1034" s="711">
        <v>42791.544452974536</v>
      </c>
      <c r="O1034" s="711">
        <v>43160</v>
      </c>
      <c r="P1034" t="s">
        <v>4196</v>
      </c>
      <c r="Q1034" t="s">
        <v>1280</v>
      </c>
      <c r="R1034" t="s">
        <v>4197</v>
      </c>
      <c r="S1034" t="s">
        <v>1510</v>
      </c>
      <c r="T1034">
        <v>54</v>
      </c>
      <c r="U1034">
        <f>IF(Table__192.168.1.150_M_CONSOLIDATED_Delinquency_Compulsory_EOM[[#This Row],[Days in Arrears]] &lt; 8, Table__192.168.1.150_M_CONSOLIDATED_Delinquency_Compulsory_EOM[[#This Row],[Outstanding Balance]], 0 )</f>
        <v>1213945.77</v>
      </c>
      <c r="V10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4" s="105" t="str">
        <f>VLOOKUP(Table__192.168.1.150_M_CONSOLIDATED_Delinquency_Compulsory_EOM[[#This Row],[Client No]],'Global Portfolio'!$B$2:$N$2500,10,FALSE)</f>
        <v>Real Estate and Rental</v>
      </c>
      <c r="AA1034" s="105" t="str">
        <f>VLOOKUP(Table__192.168.1.150_M_CONSOLIDATED_Delinquency_Compulsory_EOM[[#This Row],[Client No]],'Global Portfolio'!$B$2:$N$2500,11,FALSE)</f>
        <v>Rental</v>
      </c>
      <c r="AB1034" s="105" t="str">
        <f>VLOOKUP(Table__192.168.1.150_M_CONSOLIDATED_Delinquency_Compulsory_EOM[[#This Row],[Client No]],'Global Portfolio'!$B$2:$N$2500,12,FALSE)</f>
        <v>General Rental Centers</v>
      </c>
    </row>
    <row r="1035" spans="1:28" x14ac:dyDescent="0.25">
      <c r="A1035">
        <v>200863</v>
      </c>
      <c r="B1035" t="s">
        <v>2361</v>
      </c>
      <c r="C1035" t="s">
        <v>2368</v>
      </c>
      <c r="D1035" t="s">
        <v>1282</v>
      </c>
      <c r="E1035">
        <v>120</v>
      </c>
      <c r="F1035">
        <v>6000000</v>
      </c>
      <c r="G1035">
        <v>4462763.1399999997</v>
      </c>
      <c r="H1035">
        <v>743539.23</v>
      </c>
      <c r="I1035" t="s">
        <v>2538</v>
      </c>
      <c r="J1035">
        <v>0</v>
      </c>
      <c r="K1035">
        <v>0</v>
      </c>
      <c r="L1035">
        <v>262265.92</v>
      </c>
      <c r="M1035">
        <v>5137817.6399999997</v>
      </c>
      <c r="N1035" s="711">
        <v>42793.702722534719</v>
      </c>
      <c r="O1035" s="711">
        <v>43101</v>
      </c>
      <c r="P1035" t="s">
        <v>2369</v>
      </c>
      <c r="Q1035" t="s">
        <v>1280</v>
      </c>
      <c r="R1035" t="s">
        <v>1280</v>
      </c>
      <c r="S1035" t="s">
        <v>1510</v>
      </c>
      <c r="T1035">
        <v>48</v>
      </c>
      <c r="U1035">
        <f>IF(Table__192.168.1.150_M_CONSOLIDATED_Delinquency_Compulsory_EOM[[#This Row],[Days in Arrears]] &lt; 8, Table__192.168.1.150_M_CONSOLIDATED_Delinquency_Compulsory_EOM[[#This Row],[Outstanding Balance]], 0 )</f>
        <v>0</v>
      </c>
      <c r="V10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4462763.1399999997</v>
      </c>
      <c r="Z1035" s="105" t="str">
        <f>VLOOKUP(Table__192.168.1.150_M_CONSOLIDATED_Delinquency_Compulsory_EOM[[#This Row],[Client No]],'Global Portfolio'!$B$2:$N$2500,10,FALSE)</f>
        <v>Wholesale Trade</v>
      </c>
      <c r="AA1035" s="105" t="str">
        <f>VLOOKUP(Table__192.168.1.150_M_CONSOLIDATED_Delinquency_Compulsory_EOM[[#This Row],[Client No]],'Global Portfolio'!$B$2:$N$2500,11,FALSE)</f>
        <v>Others</v>
      </c>
      <c r="AB1035" s="105" t="str">
        <f>VLOOKUP(Table__192.168.1.150_M_CONSOLIDATED_Delinquency_Compulsory_EOM[[#This Row],[Client No]],'Global Portfolio'!$B$2:$N$2500,12,FALSE)</f>
        <v>Others</v>
      </c>
    </row>
    <row r="1036" spans="1:28" x14ac:dyDescent="0.25">
      <c r="A1036">
        <v>200864</v>
      </c>
      <c r="B1036" t="s">
        <v>4199</v>
      </c>
      <c r="C1036" t="s">
        <v>4203</v>
      </c>
      <c r="D1036" t="s">
        <v>1282</v>
      </c>
      <c r="E1036">
        <v>0</v>
      </c>
      <c r="F1036">
        <v>10000000</v>
      </c>
      <c r="G1036">
        <v>4841962.2</v>
      </c>
      <c r="H1036">
        <v>1102958.51</v>
      </c>
      <c r="I1036" t="s">
        <v>1447</v>
      </c>
      <c r="J1036">
        <v>1092041.49</v>
      </c>
      <c r="K1036">
        <v>1000000</v>
      </c>
      <c r="L1036">
        <v>210625.36</v>
      </c>
      <c r="M1036">
        <v>5514792.54</v>
      </c>
      <c r="N1036" s="711">
        <v>42793.760730439812</v>
      </c>
      <c r="O1036" s="711">
        <v>43160</v>
      </c>
      <c r="P1036" t="s">
        <v>4204</v>
      </c>
      <c r="Q1036" t="s">
        <v>1280</v>
      </c>
      <c r="R1036" t="s">
        <v>4205</v>
      </c>
      <c r="S1036" t="s">
        <v>1510</v>
      </c>
      <c r="T1036">
        <v>54</v>
      </c>
      <c r="U1036">
        <f>IF(Table__192.168.1.150_M_CONSOLIDATED_Delinquency_Compulsory_EOM[[#This Row],[Days in Arrears]] &lt; 8, Table__192.168.1.150_M_CONSOLIDATED_Delinquency_Compulsory_EOM[[#This Row],[Outstanding Balance]], 0 )</f>
        <v>4841962.2</v>
      </c>
      <c r="V10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6" s="105" t="str">
        <f>VLOOKUP(Table__192.168.1.150_M_CONSOLIDATED_Delinquency_Compulsory_EOM[[#This Row],[Client No]],'Global Portfolio'!$B$2:$N$2500,10,FALSE)</f>
        <v>Real Estate and Rental</v>
      </c>
      <c r="AA1036" s="105" t="str">
        <f>VLOOKUP(Table__192.168.1.150_M_CONSOLIDATED_Delinquency_Compulsory_EOM[[#This Row],[Client No]],'Global Portfolio'!$B$2:$N$2500,11,FALSE)</f>
        <v>Rental</v>
      </c>
      <c r="AB1036" s="105" t="str">
        <f>VLOOKUP(Table__192.168.1.150_M_CONSOLIDATED_Delinquency_Compulsory_EOM[[#This Row],[Client No]],'Global Portfolio'!$B$2:$N$2500,12,FALSE)</f>
        <v>General Rental Centers</v>
      </c>
    </row>
    <row r="1037" spans="1:28" x14ac:dyDescent="0.25">
      <c r="A1037">
        <v>200867</v>
      </c>
      <c r="B1037" t="s">
        <v>4214</v>
      </c>
      <c r="C1037" t="s">
        <v>4215</v>
      </c>
      <c r="D1037" t="s">
        <v>1282</v>
      </c>
      <c r="E1037">
        <v>0</v>
      </c>
      <c r="F1037">
        <v>3000000</v>
      </c>
      <c r="G1037">
        <v>1450515.48</v>
      </c>
      <c r="H1037">
        <v>330415.31</v>
      </c>
      <c r="I1037" t="s">
        <v>1925</v>
      </c>
      <c r="J1037">
        <v>5822.17</v>
      </c>
      <c r="K1037">
        <v>300000</v>
      </c>
      <c r="L1037">
        <v>63097.42</v>
      </c>
      <c r="M1037">
        <v>1652076.49</v>
      </c>
      <c r="N1037" s="711">
        <v>42794.632678125003</v>
      </c>
      <c r="O1037" s="711">
        <v>43160</v>
      </c>
      <c r="P1037" t="s">
        <v>4216</v>
      </c>
      <c r="Q1037" t="s">
        <v>1280</v>
      </c>
      <c r="R1037" t="s">
        <v>4217</v>
      </c>
      <c r="S1037" t="s">
        <v>1510</v>
      </c>
      <c r="T1037">
        <v>54</v>
      </c>
      <c r="U1037">
        <f>IF(Table__192.168.1.150_M_CONSOLIDATED_Delinquency_Compulsory_EOM[[#This Row],[Days in Arrears]] &lt; 8, Table__192.168.1.150_M_CONSOLIDATED_Delinquency_Compulsory_EOM[[#This Row],[Outstanding Balance]], 0 )</f>
        <v>1450515.48</v>
      </c>
      <c r="V10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7" s="105" t="str">
        <f>VLOOKUP(Table__192.168.1.150_M_CONSOLIDATED_Delinquency_Compulsory_EOM[[#This Row],[Client No]],'Global Portfolio'!$B$2:$N$2500,10,FALSE)</f>
        <v>Real Estate and Rental</v>
      </c>
      <c r="AA1037" s="105" t="str">
        <f>VLOOKUP(Table__192.168.1.150_M_CONSOLIDATED_Delinquency_Compulsory_EOM[[#This Row],[Client No]],'Global Portfolio'!$B$2:$N$2500,11,FALSE)</f>
        <v>Rental</v>
      </c>
      <c r="AB1037" s="105" t="str">
        <f>VLOOKUP(Table__192.168.1.150_M_CONSOLIDATED_Delinquency_Compulsory_EOM[[#This Row],[Client No]],'Global Portfolio'!$B$2:$N$2500,12,FALSE)</f>
        <v>Others</v>
      </c>
    </row>
    <row r="1038" spans="1:28" x14ac:dyDescent="0.25">
      <c r="A1038">
        <v>200868</v>
      </c>
      <c r="B1038" t="s">
        <v>4218</v>
      </c>
      <c r="C1038" t="s">
        <v>4219</v>
      </c>
      <c r="D1038" t="s">
        <v>1282</v>
      </c>
      <c r="E1038">
        <v>0</v>
      </c>
      <c r="F1038">
        <v>7000000</v>
      </c>
      <c r="G1038">
        <v>3384536.17</v>
      </c>
      <c r="H1038">
        <v>770969.05</v>
      </c>
      <c r="I1038" t="s">
        <v>3074</v>
      </c>
      <c r="J1038">
        <v>13337.34</v>
      </c>
      <c r="K1038">
        <v>0</v>
      </c>
      <c r="L1038">
        <v>147227.32</v>
      </c>
      <c r="M1038">
        <v>3854845.22</v>
      </c>
      <c r="N1038" s="711">
        <v>42794.750202118055</v>
      </c>
      <c r="O1038" s="711">
        <v>43160</v>
      </c>
      <c r="P1038" t="s">
        <v>4220</v>
      </c>
      <c r="Q1038" t="s">
        <v>1280</v>
      </c>
      <c r="R1038" t="s">
        <v>4221</v>
      </c>
      <c r="S1038" t="s">
        <v>1510</v>
      </c>
      <c r="T1038">
        <v>54</v>
      </c>
      <c r="U1038">
        <f>IF(Table__192.168.1.150_M_CONSOLIDATED_Delinquency_Compulsory_EOM[[#This Row],[Days in Arrears]] &lt; 8, Table__192.168.1.150_M_CONSOLIDATED_Delinquency_Compulsory_EOM[[#This Row],[Outstanding Balance]], 0 )</f>
        <v>3384536.17</v>
      </c>
      <c r="V10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8" s="105" t="str">
        <f>VLOOKUP(Table__192.168.1.150_M_CONSOLIDATED_Delinquency_Compulsory_EOM[[#This Row],[Client No]],'Global Portfolio'!$B$2:$N$2500,10,FALSE)</f>
        <v>Real Estate and Rental</v>
      </c>
      <c r="AA1038" s="105" t="str">
        <f>VLOOKUP(Table__192.168.1.150_M_CONSOLIDATED_Delinquency_Compulsory_EOM[[#This Row],[Client No]],'Global Portfolio'!$B$2:$N$2500,11,FALSE)</f>
        <v>Rental</v>
      </c>
      <c r="AB1038" s="105" t="str">
        <f>VLOOKUP(Table__192.168.1.150_M_CONSOLIDATED_Delinquency_Compulsory_EOM[[#This Row],[Client No]],'Global Portfolio'!$B$2:$N$2500,12,FALSE)</f>
        <v>Others</v>
      </c>
    </row>
    <row r="1039" spans="1:28" x14ac:dyDescent="0.25">
      <c r="A1039">
        <v>200870</v>
      </c>
      <c r="B1039" t="s">
        <v>2193</v>
      </c>
      <c r="C1039" t="s">
        <v>2201</v>
      </c>
      <c r="D1039" t="s">
        <v>1283</v>
      </c>
      <c r="E1039">
        <v>-1</v>
      </c>
      <c r="F1039">
        <v>40000000</v>
      </c>
      <c r="G1039">
        <v>18474947.199999999</v>
      </c>
      <c r="H1039">
        <v>4034089.18</v>
      </c>
      <c r="I1039" t="s">
        <v>1448</v>
      </c>
      <c r="J1039">
        <v>0</v>
      </c>
      <c r="K1039">
        <v>2000000</v>
      </c>
      <c r="L1039">
        <v>517298.52</v>
      </c>
      <c r="M1039">
        <v>20170445.879999999</v>
      </c>
      <c r="N1039" s="711">
        <v>42794.796723761574</v>
      </c>
      <c r="O1039" s="711">
        <v>43161</v>
      </c>
      <c r="P1039" t="s">
        <v>2202</v>
      </c>
      <c r="Q1039" t="s">
        <v>1280</v>
      </c>
      <c r="R1039" t="s">
        <v>1280</v>
      </c>
      <c r="S1039" t="s">
        <v>1510</v>
      </c>
      <c r="T1039">
        <v>36</v>
      </c>
      <c r="U1039">
        <f>IF(Table__192.168.1.150_M_CONSOLIDATED_Delinquency_Compulsory_EOM[[#This Row],[Days in Arrears]] &lt; 8, Table__192.168.1.150_M_CONSOLIDATED_Delinquency_Compulsory_EOM[[#This Row],[Outstanding Balance]], 0 )</f>
        <v>18474947.199999999</v>
      </c>
      <c r="V10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39" s="105" t="str">
        <f>VLOOKUP(Table__192.168.1.150_M_CONSOLIDATED_Delinquency_Compulsory_EOM[[#This Row],[Client No]],'Global Portfolio'!$B$2:$N$2500,10,FALSE)</f>
        <v>Retail</v>
      </c>
      <c r="AA1039" s="105" t="str">
        <f>VLOOKUP(Table__192.168.1.150_M_CONSOLIDATED_Delinquency_Compulsory_EOM[[#This Row],[Client No]],'Global Portfolio'!$B$2:$N$2500,11,FALSE)</f>
        <v>Others</v>
      </c>
      <c r="AB1039" s="105" t="str">
        <f>VLOOKUP(Table__192.168.1.150_M_CONSOLIDATED_Delinquency_Compulsory_EOM[[#This Row],[Client No]],'Global Portfolio'!$B$2:$N$2500,12,FALSE)</f>
        <v>Others</v>
      </c>
    </row>
    <row r="1040" spans="1:28" x14ac:dyDescent="0.25">
      <c r="A1040">
        <v>200871</v>
      </c>
      <c r="B1040" t="s">
        <v>2517</v>
      </c>
      <c r="C1040" t="s">
        <v>2522</v>
      </c>
      <c r="D1040" t="s">
        <v>1282</v>
      </c>
      <c r="E1040">
        <v>0</v>
      </c>
      <c r="F1040">
        <v>3500000</v>
      </c>
      <c r="G1040">
        <v>1666615.2</v>
      </c>
      <c r="H1040">
        <v>374366.96</v>
      </c>
      <c r="I1040" t="s">
        <v>1909</v>
      </c>
      <c r="J1040">
        <v>0</v>
      </c>
      <c r="K1040">
        <v>350000</v>
      </c>
      <c r="L1040">
        <v>64442.45</v>
      </c>
      <c r="M1040">
        <v>1871834.81</v>
      </c>
      <c r="N1040" s="711">
        <v>42794.869916053241</v>
      </c>
      <c r="O1040" s="711">
        <v>43160</v>
      </c>
      <c r="P1040" t="s">
        <v>2523</v>
      </c>
      <c r="Q1040" t="s">
        <v>2524</v>
      </c>
      <c r="R1040" t="s">
        <v>1280</v>
      </c>
      <c r="S1040" t="s">
        <v>1510</v>
      </c>
      <c r="T1040">
        <v>48</v>
      </c>
      <c r="U1040">
        <f>IF(Table__192.168.1.150_M_CONSOLIDATED_Delinquency_Compulsory_EOM[[#This Row],[Days in Arrears]] &lt; 8, Table__192.168.1.150_M_CONSOLIDATED_Delinquency_Compulsory_EOM[[#This Row],[Outstanding Balance]], 0 )</f>
        <v>1666615.2</v>
      </c>
      <c r="V10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0" s="105" t="str">
        <f>VLOOKUP(Table__192.168.1.150_M_CONSOLIDATED_Delinquency_Compulsory_EOM[[#This Row],[Client No]],'Global Portfolio'!$B$2:$N$2500,10,FALSE)</f>
        <v>Construction</v>
      </c>
      <c r="AA1040" s="105" t="str">
        <f>VLOOKUP(Table__192.168.1.150_M_CONSOLIDATED_Delinquency_Compulsory_EOM[[#This Row],[Client No]],'Global Portfolio'!$B$2:$N$2500,11,FALSE)</f>
        <v>Construction of Buildings</v>
      </c>
      <c r="AB1040" s="105" t="str">
        <f>VLOOKUP(Table__192.168.1.150_M_CONSOLIDATED_Delinquency_Compulsory_EOM[[#This Row],[Client No]],'Global Portfolio'!$B$2:$N$2500,12,FALSE)</f>
        <v>Others</v>
      </c>
    </row>
    <row r="1041" spans="1:28" x14ac:dyDescent="0.25">
      <c r="A1041">
        <v>200872</v>
      </c>
      <c r="B1041" t="s">
        <v>4222</v>
      </c>
      <c r="C1041" t="s">
        <v>4223</v>
      </c>
      <c r="D1041" t="s">
        <v>1283</v>
      </c>
      <c r="E1041">
        <v>0</v>
      </c>
      <c r="F1041">
        <v>35000000</v>
      </c>
      <c r="G1041">
        <v>27542597.719999999</v>
      </c>
      <c r="H1041">
        <v>2148479.04</v>
      </c>
      <c r="I1041" t="s">
        <v>2034</v>
      </c>
      <c r="J1041">
        <v>1362984.92</v>
      </c>
      <c r="K1041">
        <v>1750000</v>
      </c>
      <c r="L1041">
        <v>887483.7</v>
      </c>
      <c r="M1041">
        <v>36524143.530000001</v>
      </c>
      <c r="N1041" s="711">
        <v>42794.843159108794</v>
      </c>
      <c r="O1041" s="711">
        <v>43525</v>
      </c>
      <c r="P1041" t="s">
        <v>4224</v>
      </c>
      <c r="Q1041" t="s">
        <v>1280</v>
      </c>
      <c r="R1041" t="s">
        <v>4225</v>
      </c>
      <c r="S1041" t="s">
        <v>1510</v>
      </c>
      <c r="T1041">
        <v>40</v>
      </c>
      <c r="U1041">
        <f>IF(Table__192.168.1.150_M_CONSOLIDATED_Delinquency_Compulsory_EOM[[#This Row],[Days in Arrears]] &lt; 8, Table__192.168.1.150_M_CONSOLIDATED_Delinquency_Compulsory_EOM[[#This Row],[Outstanding Balance]], 0 )</f>
        <v>27542597.719999999</v>
      </c>
      <c r="V10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1" s="105" t="str">
        <f>VLOOKUP(Table__192.168.1.150_M_CONSOLIDATED_Delinquency_Compulsory_EOM[[#This Row],[Client No]],'Global Portfolio'!$B$2:$N$2500,10,FALSE)</f>
        <v>Real Estate and Rental</v>
      </c>
      <c r="AA1041" s="105" t="str">
        <f>VLOOKUP(Table__192.168.1.150_M_CONSOLIDATED_Delinquency_Compulsory_EOM[[#This Row],[Client No]],'Global Portfolio'!$B$2:$N$2500,11,FALSE)</f>
        <v>Rental</v>
      </c>
      <c r="AB1041" s="105" t="str">
        <f>VLOOKUP(Table__192.168.1.150_M_CONSOLIDATED_Delinquency_Compulsory_EOM[[#This Row],[Client No]],'Global Portfolio'!$B$2:$N$2500,12,FALSE)</f>
        <v>Others</v>
      </c>
    </row>
    <row r="1042" spans="1:28" x14ac:dyDescent="0.25">
      <c r="A1042">
        <v>200875</v>
      </c>
      <c r="B1042" t="s">
        <v>4208</v>
      </c>
      <c r="C1042" t="s">
        <v>4229</v>
      </c>
      <c r="D1042" t="s">
        <v>1281</v>
      </c>
      <c r="E1042">
        <v>-1</v>
      </c>
      <c r="F1042">
        <v>20000000</v>
      </c>
      <c r="G1042">
        <v>12111009.619999999</v>
      </c>
      <c r="H1042">
        <v>1798822.01</v>
      </c>
      <c r="I1042" t="s">
        <v>2538</v>
      </c>
      <c r="J1042">
        <v>289000</v>
      </c>
      <c r="K1042">
        <v>1500000</v>
      </c>
      <c r="L1042">
        <v>452144.36</v>
      </c>
      <c r="M1042">
        <v>14390576</v>
      </c>
      <c r="N1042" s="711">
        <v>42796.665665277775</v>
      </c>
      <c r="O1042" s="711">
        <v>43253</v>
      </c>
      <c r="P1042" t="s">
        <v>4230</v>
      </c>
      <c r="Q1042" t="s">
        <v>1280</v>
      </c>
      <c r="R1042" t="s">
        <v>4231</v>
      </c>
      <c r="S1042" t="s">
        <v>1510</v>
      </c>
      <c r="T1042">
        <v>48</v>
      </c>
      <c r="U1042">
        <f>IF(Table__192.168.1.150_M_CONSOLIDATED_Delinquency_Compulsory_EOM[[#This Row],[Days in Arrears]] &lt; 8, Table__192.168.1.150_M_CONSOLIDATED_Delinquency_Compulsory_EOM[[#This Row],[Outstanding Balance]], 0 )</f>
        <v>12111009.619999999</v>
      </c>
      <c r="V10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2" s="105" t="str">
        <f>VLOOKUP(Table__192.168.1.150_M_CONSOLIDATED_Delinquency_Compulsory_EOM[[#This Row],[Client No]],'Global Portfolio'!$B$2:$N$2500,10,FALSE)</f>
        <v>Wholesale Trade</v>
      </c>
      <c r="AA1042" s="105" t="str">
        <f>VLOOKUP(Table__192.168.1.150_M_CONSOLIDATED_Delinquency_Compulsory_EOM[[#This Row],[Client No]],'Global Portfolio'!$B$2:$N$2500,11,FALSE)</f>
        <v>Durable Goods</v>
      </c>
      <c r="AB1042" s="105" t="str">
        <f>VLOOKUP(Table__192.168.1.150_M_CONSOLIDATED_Delinquency_Compulsory_EOM[[#This Row],[Client No]],'Global Portfolio'!$B$2:$N$2500,12,FALSE)</f>
        <v>Others</v>
      </c>
    </row>
    <row r="1043" spans="1:28" x14ac:dyDescent="0.25">
      <c r="A1043">
        <v>200878</v>
      </c>
      <c r="B1043" t="s">
        <v>4236</v>
      </c>
      <c r="C1043" t="s">
        <v>4237</v>
      </c>
      <c r="D1043" t="s">
        <v>1281</v>
      </c>
      <c r="E1043">
        <v>-6</v>
      </c>
      <c r="F1043">
        <v>16000000</v>
      </c>
      <c r="G1043">
        <v>7589621.4900000002</v>
      </c>
      <c r="H1043">
        <v>1704834.76</v>
      </c>
      <c r="I1043" t="s">
        <v>1447</v>
      </c>
      <c r="J1043">
        <v>35606.199999999997</v>
      </c>
      <c r="K1043">
        <v>1200000</v>
      </c>
      <c r="L1043">
        <v>232748.39</v>
      </c>
      <c r="M1043">
        <v>8524173.8399999999</v>
      </c>
      <c r="N1043" s="711">
        <v>42801.530226932868</v>
      </c>
      <c r="O1043" s="711">
        <v>43166</v>
      </c>
      <c r="P1043" t="s">
        <v>4238</v>
      </c>
      <c r="Q1043" t="s">
        <v>1280</v>
      </c>
      <c r="R1043" t="s">
        <v>4239</v>
      </c>
      <c r="S1043" t="s">
        <v>1510</v>
      </c>
      <c r="T1043">
        <v>48</v>
      </c>
      <c r="U1043">
        <f>IF(Table__192.168.1.150_M_CONSOLIDATED_Delinquency_Compulsory_EOM[[#This Row],[Days in Arrears]] &lt; 8, Table__192.168.1.150_M_CONSOLIDATED_Delinquency_Compulsory_EOM[[#This Row],[Outstanding Balance]], 0 )</f>
        <v>7589621.4900000002</v>
      </c>
      <c r="V10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3" s="105" t="str">
        <f>VLOOKUP(Table__192.168.1.150_M_CONSOLIDATED_Delinquency_Compulsory_EOM[[#This Row],[Client No]],'Global Portfolio'!$B$2:$N$2500,10,FALSE)</f>
        <v>Educational Services</v>
      </c>
      <c r="AA1043" s="105" t="str">
        <f>VLOOKUP(Table__192.168.1.150_M_CONSOLIDATED_Delinquency_Compulsory_EOM[[#This Row],[Client No]],'Global Portfolio'!$B$2:$N$2500,11,FALSE)</f>
        <v>Educational Services</v>
      </c>
      <c r="AB1043" s="105" t="str">
        <f>VLOOKUP(Table__192.168.1.150_M_CONSOLIDATED_Delinquency_Compulsory_EOM[[#This Row],[Client No]],'Global Portfolio'!$B$2:$N$2500,12,FALSE)</f>
        <v>Others</v>
      </c>
    </row>
    <row r="1044" spans="1:28" x14ac:dyDescent="0.25">
      <c r="A1044">
        <v>200879</v>
      </c>
      <c r="B1044" t="s">
        <v>2449</v>
      </c>
      <c r="C1044" t="s">
        <v>2450</v>
      </c>
      <c r="D1044" t="s">
        <v>1866</v>
      </c>
      <c r="E1044">
        <v>-6</v>
      </c>
      <c r="F1044">
        <v>8000000</v>
      </c>
      <c r="G1044">
        <v>3756889.31</v>
      </c>
      <c r="H1044">
        <v>836012.54</v>
      </c>
      <c r="I1044" t="s">
        <v>1925</v>
      </c>
      <c r="J1044">
        <v>0</v>
      </c>
      <c r="K1044">
        <v>800000</v>
      </c>
      <c r="L1044">
        <v>105610.33</v>
      </c>
      <c r="M1044">
        <v>4180062.62</v>
      </c>
      <c r="N1044" s="711">
        <v>42801.65197885417</v>
      </c>
      <c r="O1044" s="711">
        <v>43166</v>
      </c>
      <c r="P1044" t="s">
        <v>2451</v>
      </c>
      <c r="Q1044" t="s">
        <v>1280</v>
      </c>
      <c r="R1044" t="s">
        <v>1280</v>
      </c>
      <c r="S1044" t="s">
        <v>1510</v>
      </c>
      <c r="T1044">
        <v>44</v>
      </c>
      <c r="U1044">
        <f>IF(Table__192.168.1.150_M_CONSOLIDATED_Delinquency_Compulsory_EOM[[#This Row],[Days in Arrears]] &lt; 8, Table__192.168.1.150_M_CONSOLIDATED_Delinquency_Compulsory_EOM[[#This Row],[Outstanding Balance]], 0 )</f>
        <v>3756889.31</v>
      </c>
      <c r="V10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4" s="105" t="str">
        <f>VLOOKUP(Table__192.168.1.150_M_CONSOLIDATED_Delinquency_Compulsory_EOM[[#This Row],[Client No]],'Global Portfolio'!$B$2:$N$2500,10,FALSE)</f>
        <v>Retail</v>
      </c>
      <c r="AA1044" s="105" t="str">
        <f>VLOOKUP(Table__192.168.1.150_M_CONSOLIDATED_Delinquency_Compulsory_EOM[[#This Row],[Client No]],'Global Portfolio'!$B$2:$N$2500,11,FALSE)</f>
        <v>Electronics Stores</v>
      </c>
      <c r="AB1044" s="105" t="str">
        <f>VLOOKUP(Table__192.168.1.150_M_CONSOLIDATED_Delinquency_Compulsory_EOM[[#This Row],[Client No]],'Global Portfolio'!$B$2:$N$2500,12,FALSE)</f>
        <v>Others</v>
      </c>
    </row>
    <row r="1045" spans="1:28" x14ac:dyDescent="0.25">
      <c r="A1045">
        <v>200883</v>
      </c>
      <c r="B1045" t="s">
        <v>4243</v>
      </c>
      <c r="C1045" t="s">
        <v>4244</v>
      </c>
      <c r="D1045" t="s">
        <v>1282</v>
      </c>
      <c r="E1045">
        <v>-14</v>
      </c>
      <c r="F1045">
        <v>2500000</v>
      </c>
      <c r="G1045">
        <v>1203580.04</v>
      </c>
      <c r="H1045">
        <v>274165.46999999997</v>
      </c>
      <c r="I1045" t="s">
        <v>1447</v>
      </c>
      <c r="J1045">
        <v>0</v>
      </c>
      <c r="K1045">
        <v>250000</v>
      </c>
      <c r="L1045">
        <v>27080.55</v>
      </c>
      <c r="M1045">
        <v>1370827.36</v>
      </c>
      <c r="N1045" s="711">
        <v>42809.655407835649</v>
      </c>
      <c r="O1045" s="711">
        <v>43174</v>
      </c>
      <c r="P1045" t="s">
        <v>4245</v>
      </c>
      <c r="Q1045" t="s">
        <v>1280</v>
      </c>
      <c r="R1045" t="s">
        <v>4246</v>
      </c>
      <c r="S1045" t="s">
        <v>1510</v>
      </c>
      <c r="T1045">
        <v>54</v>
      </c>
      <c r="U1045">
        <f>IF(Table__192.168.1.150_M_CONSOLIDATED_Delinquency_Compulsory_EOM[[#This Row],[Days in Arrears]] &lt; 8, Table__192.168.1.150_M_CONSOLIDATED_Delinquency_Compulsory_EOM[[#This Row],[Outstanding Balance]], 0 )</f>
        <v>1203580.04</v>
      </c>
      <c r="V10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5" s="105" t="str">
        <f>VLOOKUP(Table__192.168.1.150_M_CONSOLIDATED_Delinquency_Compulsory_EOM[[#This Row],[Client No]],'Global Portfolio'!$B$2:$N$2500,10,FALSE)</f>
        <v>Real Estate and Rental</v>
      </c>
      <c r="AA1045" s="105" t="str">
        <f>VLOOKUP(Table__192.168.1.150_M_CONSOLIDATED_Delinquency_Compulsory_EOM[[#This Row],[Client No]],'Global Portfolio'!$B$2:$N$2500,11,FALSE)</f>
        <v>Rental</v>
      </c>
      <c r="AB1045" s="105" t="str">
        <f>VLOOKUP(Table__192.168.1.150_M_CONSOLIDATED_Delinquency_Compulsory_EOM[[#This Row],[Client No]],'Global Portfolio'!$B$2:$N$2500,12,FALSE)</f>
        <v>General Rental Centers</v>
      </c>
    </row>
    <row r="1046" spans="1:28" x14ac:dyDescent="0.25">
      <c r="A1046">
        <v>200884</v>
      </c>
      <c r="B1046" t="s">
        <v>4248</v>
      </c>
      <c r="C1046" t="s">
        <v>4249</v>
      </c>
      <c r="D1046" t="s">
        <v>1284</v>
      </c>
      <c r="E1046">
        <v>-15</v>
      </c>
      <c r="F1046">
        <v>35000000</v>
      </c>
      <c r="G1046">
        <v>16269963.73</v>
      </c>
      <c r="H1046">
        <v>3586501.9</v>
      </c>
      <c r="I1046" t="s">
        <v>1448</v>
      </c>
      <c r="J1046">
        <v>89000</v>
      </c>
      <c r="K1046">
        <v>1750000</v>
      </c>
      <c r="L1046">
        <v>253088.32</v>
      </c>
      <c r="M1046">
        <v>17932509.489999998</v>
      </c>
      <c r="N1046" s="711">
        <v>42810.64776403935</v>
      </c>
      <c r="O1046" s="711">
        <v>43175</v>
      </c>
      <c r="P1046" t="s">
        <v>4250</v>
      </c>
      <c r="Q1046" t="s">
        <v>1280</v>
      </c>
      <c r="R1046" t="s">
        <v>4251</v>
      </c>
      <c r="S1046" t="s">
        <v>1510</v>
      </c>
      <c r="T1046">
        <v>40</v>
      </c>
      <c r="U1046">
        <f>IF(Table__192.168.1.150_M_CONSOLIDATED_Delinquency_Compulsory_EOM[[#This Row],[Days in Arrears]] &lt; 8, Table__192.168.1.150_M_CONSOLIDATED_Delinquency_Compulsory_EOM[[#This Row],[Outstanding Balance]], 0 )</f>
        <v>16269963.73</v>
      </c>
      <c r="V10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6" s="105" t="str">
        <f>VLOOKUP(Table__192.168.1.150_M_CONSOLIDATED_Delinquency_Compulsory_EOM[[#This Row],[Client No]],'Global Portfolio'!$B$2:$N$2500,10,FALSE)</f>
        <v>Retail</v>
      </c>
      <c r="AA1046" s="105" t="str">
        <f>VLOOKUP(Table__192.168.1.150_M_CONSOLIDATED_Delinquency_Compulsory_EOM[[#This Row],[Client No]],'Global Portfolio'!$B$2:$N$2500,11,FALSE)</f>
        <v>General Merchandise Stores</v>
      </c>
      <c r="AB1046" s="105" t="str">
        <f>VLOOKUP(Table__192.168.1.150_M_CONSOLIDATED_Delinquency_Compulsory_EOM[[#This Row],[Client No]],'Global Portfolio'!$B$2:$N$2500,12,FALSE)</f>
        <v>General Stores</v>
      </c>
    </row>
    <row r="1047" spans="1:28" x14ac:dyDescent="0.25">
      <c r="A1047">
        <v>200886</v>
      </c>
      <c r="B1047" t="s">
        <v>2195</v>
      </c>
      <c r="C1047" t="s">
        <v>2198</v>
      </c>
      <c r="D1047" t="s">
        <v>1282</v>
      </c>
      <c r="E1047">
        <v>-15</v>
      </c>
      <c r="F1047">
        <v>10000000</v>
      </c>
      <c r="G1047">
        <v>4743513.4000000004</v>
      </c>
      <c r="H1047">
        <v>1065521.73</v>
      </c>
      <c r="I1047" t="s">
        <v>1909</v>
      </c>
      <c r="J1047">
        <v>1050478.27</v>
      </c>
      <c r="K1047">
        <v>1000000</v>
      </c>
      <c r="L1047">
        <v>88545.58</v>
      </c>
      <c r="M1047">
        <v>5327608.6100000003</v>
      </c>
      <c r="N1047" s="711">
        <v>42810.74490528935</v>
      </c>
      <c r="O1047" s="711">
        <v>43175</v>
      </c>
      <c r="P1047" t="s">
        <v>2199</v>
      </c>
      <c r="Q1047" t="s">
        <v>1280</v>
      </c>
      <c r="R1047" t="s">
        <v>2200</v>
      </c>
      <c r="S1047" t="s">
        <v>1510</v>
      </c>
      <c r="T1047">
        <v>48</v>
      </c>
      <c r="U1047">
        <f>IF(Table__192.168.1.150_M_CONSOLIDATED_Delinquency_Compulsory_EOM[[#This Row],[Days in Arrears]] &lt; 8, Table__192.168.1.150_M_CONSOLIDATED_Delinquency_Compulsory_EOM[[#This Row],[Outstanding Balance]], 0 )</f>
        <v>4743513.4000000004</v>
      </c>
      <c r="V10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7" s="105" t="str">
        <f>VLOOKUP(Table__192.168.1.150_M_CONSOLIDATED_Delinquency_Compulsory_EOM[[#This Row],[Client No]],'Global Portfolio'!$B$2:$N$2500,10,FALSE)</f>
        <v>Educational Services</v>
      </c>
      <c r="AA1047" s="105" t="str">
        <f>VLOOKUP(Table__192.168.1.150_M_CONSOLIDATED_Delinquency_Compulsory_EOM[[#This Row],[Client No]],'Global Portfolio'!$B$2:$N$2500,11,FALSE)</f>
        <v>Educational Services</v>
      </c>
      <c r="AB1047" s="105" t="str">
        <f>VLOOKUP(Table__192.168.1.150_M_CONSOLIDATED_Delinquency_Compulsory_EOM[[#This Row],[Client No]],'Global Portfolio'!$B$2:$N$2500,12,FALSE)</f>
        <v>Schools</v>
      </c>
    </row>
    <row r="1048" spans="1:28" x14ac:dyDescent="0.25">
      <c r="A1048">
        <v>200887</v>
      </c>
      <c r="B1048" t="s">
        <v>4255</v>
      </c>
      <c r="C1048" t="s">
        <v>4257</v>
      </c>
      <c r="D1048" t="s">
        <v>1282</v>
      </c>
      <c r="E1048">
        <v>-16</v>
      </c>
      <c r="F1048">
        <v>12000000</v>
      </c>
      <c r="G1048">
        <v>5692216.1100000003</v>
      </c>
      <c r="H1048">
        <v>1278626.07</v>
      </c>
      <c r="I1048" t="s">
        <v>4684</v>
      </c>
      <c r="J1048">
        <v>8875.32</v>
      </c>
      <c r="K1048">
        <v>0</v>
      </c>
      <c r="L1048">
        <v>98665.08</v>
      </c>
      <c r="M1048">
        <v>6393130.3700000001</v>
      </c>
      <c r="N1048" s="711">
        <v>42811.448582094905</v>
      </c>
      <c r="O1048" s="711">
        <v>43176</v>
      </c>
      <c r="P1048" t="s">
        <v>4258</v>
      </c>
      <c r="Q1048" t="s">
        <v>4259</v>
      </c>
      <c r="R1048" t="s">
        <v>1280</v>
      </c>
      <c r="S1048" t="s">
        <v>1510</v>
      </c>
      <c r="T1048">
        <v>48</v>
      </c>
      <c r="U1048">
        <f>IF(Table__192.168.1.150_M_CONSOLIDATED_Delinquency_Compulsory_EOM[[#This Row],[Days in Arrears]] &lt; 8, Table__192.168.1.150_M_CONSOLIDATED_Delinquency_Compulsory_EOM[[#This Row],[Outstanding Balance]], 0 )</f>
        <v>5692216.1100000003</v>
      </c>
      <c r="V10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8" s="105" t="str">
        <f>VLOOKUP(Table__192.168.1.150_M_CONSOLIDATED_Delinquency_Compulsory_EOM[[#This Row],[Client No]],'Global Portfolio'!$B$2:$N$2500,10,FALSE)</f>
        <v>Real Estate and Rental</v>
      </c>
      <c r="AA1048" s="105" t="str">
        <f>VLOOKUP(Table__192.168.1.150_M_CONSOLIDATED_Delinquency_Compulsory_EOM[[#This Row],[Client No]],'Global Portfolio'!$B$2:$N$2500,11,FALSE)</f>
        <v>Rental</v>
      </c>
      <c r="AB1048" s="105" t="str">
        <f>VLOOKUP(Table__192.168.1.150_M_CONSOLIDATED_Delinquency_Compulsory_EOM[[#This Row],[Client No]],'Global Portfolio'!$B$2:$N$2500,12,FALSE)</f>
        <v>General Rental Centers</v>
      </c>
    </row>
    <row r="1049" spans="1:28" x14ac:dyDescent="0.25">
      <c r="A1049">
        <v>200888</v>
      </c>
      <c r="B1049" t="s">
        <v>2061</v>
      </c>
      <c r="C1049" t="s">
        <v>2064</v>
      </c>
      <c r="D1049" t="s">
        <v>1282</v>
      </c>
      <c r="E1049">
        <v>-16</v>
      </c>
      <c r="F1049">
        <v>5000000</v>
      </c>
      <c r="G1049">
        <v>2371756.7400000002</v>
      </c>
      <c r="H1049">
        <v>532760.86</v>
      </c>
      <c r="I1049" t="s">
        <v>1448</v>
      </c>
      <c r="J1049">
        <v>3913.27</v>
      </c>
      <c r="K1049">
        <v>500000</v>
      </c>
      <c r="L1049">
        <v>41110.449999999997</v>
      </c>
      <c r="M1049">
        <v>2663804.36</v>
      </c>
      <c r="N1049" s="711">
        <v>42811.544827858794</v>
      </c>
      <c r="O1049" s="711">
        <v>43176</v>
      </c>
      <c r="P1049" t="s">
        <v>2065</v>
      </c>
      <c r="Q1049" t="s">
        <v>1280</v>
      </c>
      <c r="R1049" t="s">
        <v>1280</v>
      </c>
      <c r="S1049" t="s">
        <v>1510</v>
      </c>
      <c r="T1049">
        <v>48</v>
      </c>
      <c r="U1049">
        <f>IF(Table__192.168.1.150_M_CONSOLIDATED_Delinquency_Compulsory_EOM[[#This Row],[Days in Arrears]] &lt; 8, Table__192.168.1.150_M_CONSOLIDATED_Delinquency_Compulsory_EOM[[#This Row],[Outstanding Balance]], 0 )</f>
        <v>2371756.7400000002</v>
      </c>
      <c r="V10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49" s="105" t="str">
        <f>VLOOKUP(Table__192.168.1.150_M_CONSOLIDATED_Delinquency_Compulsory_EOM[[#This Row],[Client No]],'Global Portfolio'!$B$2:$N$2500,10,FALSE)</f>
        <v>Real Estate and Rental</v>
      </c>
      <c r="AA1049" s="105" t="str">
        <f>VLOOKUP(Table__192.168.1.150_M_CONSOLIDATED_Delinquency_Compulsory_EOM[[#This Row],[Client No]],'Global Portfolio'!$B$2:$N$2500,11,FALSE)</f>
        <v>Rental</v>
      </c>
      <c r="AB1049" s="105" t="str">
        <f>VLOOKUP(Table__192.168.1.150_M_CONSOLIDATED_Delinquency_Compulsory_EOM[[#This Row],[Client No]],'Global Portfolio'!$B$2:$N$2500,12,FALSE)</f>
        <v>General Rental Centers</v>
      </c>
    </row>
    <row r="1050" spans="1:28" x14ac:dyDescent="0.25">
      <c r="A1050">
        <v>200889</v>
      </c>
      <c r="B1050" t="s">
        <v>3123</v>
      </c>
      <c r="C1050" t="s">
        <v>3124</v>
      </c>
      <c r="D1050" t="s">
        <v>1282</v>
      </c>
      <c r="E1050">
        <v>-16</v>
      </c>
      <c r="F1050">
        <v>4500000</v>
      </c>
      <c r="G1050">
        <v>2134581.0099999998</v>
      </c>
      <c r="H1050">
        <v>479484.78</v>
      </c>
      <c r="I1050" t="s">
        <v>1909</v>
      </c>
      <c r="J1050">
        <v>0</v>
      </c>
      <c r="K1050">
        <v>450000</v>
      </c>
      <c r="L1050">
        <v>36999.4</v>
      </c>
      <c r="M1050">
        <v>2397423.85</v>
      </c>
      <c r="N1050" s="711">
        <v>42811.654107326387</v>
      </c>
      <c r="O1050" s="711">
        <v>43176</v>
      </c>
      <c r="P1050" t="s">
        <v>3125</v>
      </c>
      <c r="Q1050" t="s">
        <v>1280</v>
      </c>
      <c r="R1050" t="s">
        <v>1280</v>
      </c>
      <c r="S1050" t="s">
        <v>1510</v>
      </c>
      <c r="T1050">
        <v>48</v>
      </c>
      <c r="U1050">
        <f>IF(Table__192.168.1.150_M_CONSOLIDATED_Delinquency_Compulsory_EOM[[#This Row],[Days in Arrears]] &lt; 8, Table__192.168.1.150_M_CONSOLIDATED_Delinquency_Compulsory_EOM[[#This Row],[Outstanding Balance]], 0 )</f>
        <v>2134581.0099999998</v>
      </c>
      <c r="V10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0" s="105" t="str">
        <f>VLOOKUP(Table__192.168.1.150_M_CONSOLIDATED_Delinquency_Compulsory_EOM[[#This Row],[Client No]],'Global Portfolio'!$B$2:$N$2500,10,FALSE)</f>
        <v>Retail</v>
      </c>
      <c r="AA1050" s="105" t="str">
        <f>VLOOKUP(Table__192.168.1.150_M_CONSOLIDATED_Delinquency_Compulsory_EOM[[#This Row],[Client No]],'Global Portfolio'!$B$2:$N$2500,11,FALSE)</f>
        <v>General Merchandise Stores</v>
      </c>
      <c r="AB1050" s="105" t="str">
        <f>VLOOKUP(Table__192.168.1.150_M_CONSOLIDATED_Delinquency_Compulsory_EOM[[#This Row],[Client No]],'Global Portfolio'!$B$2:$N$2500,12,FALSE)</f>
        <v>Others</v>
      </c>
    </row>
    <row r="1051" spans="1:28" x14ac:dyDescent="0.25">
      <c r="A1051">
        <v>200891</v>
      </c>
      <c r="B1051" t="s">
        <v>4256</v>
      </c>
      <c r="C1051" t="s">
        <v>4260</v>
      </c>
      <c r="D1051" t="s">
        <v>1284</v>
      </c>
      <c r="E1051">
        <v>-16</v>
      </c>
      <c r="F1051">
        <v>15000000</v>
      </c>
      <c r="G1051">
        <v>8908553.7200000007</v>
      </c>
      <c r="H1051">
        <v>1286987.07</v>
      </c>
      <c r="I1051" t="s">
        <v>2855</v>
      </c>
      <c r="J1051">
        <v>0</v>
      </c>
      <c r="K1051">
        <v>750000</v>
      </c>
      <c r="L1051">
        <v>0</v>
      </c>
      <c r="M1051">
        <v>10295896.57</v>
      </c>
      <c r="N1051" s="711">
        <v>42811.759254363424</v>
      </c>
      <c r="O1051" s="711">
        <v>43268</v>
      </c>
      <c r="P1051" t="s">
        <v>4261</v>
      </c>
      <c r="Q1051" t="s">
        <v>1280</v>
      </c>
      <c r="R1051" t="s">
        <v>4262</v>
      </c>
      <c r="S1051" t="s">
        <v>1510</v>
      </c>
      <c r="T1051">
        <v>40</v>
      </c>
      <c r="U1051">
        <f>IF(Table__192.168.1.150_M_CONSOLIDATED_Delinquency_Compulsory_EOM[[#This Row],[Days in Arrears]] &lt; 8, Table__192.168.1.150_M_CONSOLIDATED_Delinquency_Compulsory_EOM[[#This Row],[Outstanding Balance]], 0 )</f>
        <v>8908553.7200000007</v>
      </c>
      <c r="V10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1" s="105" t="str">
        <f>VLOOKUP(Table__192.168.1.150_M_CONSOLIDATED_Delinquency_Compulsory_EOM[[#This Row],[Client No]],'Global Portfolio'!$B$2:$N$2500,10,FALSE)</f>
        <v>Real Estate and Rental</v>
      </c>
      <c r="AA1051" s="105" t="str">
        <f>VLOOKUP(Table__192.168.1.150_M_CONSOLIDATED_Delinquency_Compulsory_EOM[[#This Row],[Client No]],'Global Portfolio'!$B$2:$N$2500,11,FALSE)</f>
        <v>Rental</v>
      </c>
      <c r="AB1051" s="105" t="str">
        <f>VLOOKUP(Table__192.168.1.150_M_CONSOLIDATED_Delinquency_Compulsory_EOM[[#This Row],[Client No]],'Global Portfolio'!$B$2:$N$2500,12,FALSE)</f>
        <v>General Rental Centers</v>
      </c>
    </row>
    <row r="1052" spans="1:28" x14ac:dyDescent="0.25">
      <c r="A1052">
        <v>200892</v>
      </c>
      <c r="B1052" t="s">
        <v>2714</v>
      </c>
      <c r="C1052" t="s">
        <v>2726</v>
      </c>
      <c r="D1052" t="s">
        <v>1279</v>
      </c>
      <c r="E1052">
        <v>-17</v>
      </c>
      <c r="F1052">
        <v>4500000</v>
      </c>
      <c r="G1052">
        <v>2134581.0099999998</v>
      </c>
      <c r="H1052">
        <v>479484.78</v>
      </c>
      <c r="I1052" t="s">
        <v>2494</v>
      </c>
      <c r="J1052">
        <v>60864.66</v>
      </c>
      <c r="K1052">
        <v>0</v>
      </c>
      <c r="L1052">
        <v>34153.300000000003</v>
      </c>
      <c r="M1052">
        <v>2397423.85</v>
      </c>
      <c r="N1052" s="711">
        <v>42812.444238888886</v>
      </c>
      <c r="O1052" s="711">
        <v>43177</v>
      </c>
      <c r="P1052" t="s">
        <v>2727</v>
      </c>
      <c r="Q1052" t="s">
        <v>2728</v>
      </c>
      <c r="R1052" t="s">
        <v>1280</v>
      </c>
      <c r="S1052" t="s">
        <v>1510</v>
      </c>
      <c r="T1052">
        <v>48</v>
      </c>
      <c r="U1052">
        <f>IF(Table__192.168.1.150_M_CONSOLIDATED_Delinquency_Compulsory_EOM[[#This Row],[Days in Arrears]] &lt; 8, Table__192.168.1.150_M_CONSOLIDATED_Delinquency_Compulsory_EOM[[#This Row],[Outstanding Balance]], 0 )</f>
        <v>2134581.0099999998</v>
      </c>
      <c r="V10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2" s="105" t="str">
        <f>VLOOKUP(Table__192.168.1.150_M_CONSOLIDATED_Delinquency_Compulsory_EOM[[#This Row],[Client No]],'Global Portfolio'!$B$2:$N$2500,10,FALSE)</f>
        <v>Retail</v>
      </c>
      <c r="AA1052" s="105" t="str">
        <f>VLOOKUP(Table__192.168.1.150_M_CONSOLIDATED_Delinquency_Compulsory_EOM[[#This Row],[Client No]],'Global Portfolio'!$B$2:$N$2500,11,FALSE)</f>
        <v>Others</v>
      </c>
      <c r="AB1052" s="105" t="str">
        <f>VLOOKUP(Table__192.168.1.150_M_CONSOLIDATED_Delinquency_Compulsory_EOM[[#This Row],[Client No]],'Global Portfolio'!$B$2:$N$2500,12,FALSE)</f>
        <v>Others</v>
      </c>
    </row>
    <row r="1053" spans="1:28" x14ac:dyDescent="0.25">
      <c r="A1053">
        <v>200893</v>
      </c>
      <c r="B1053" t="s">
        <v>4264</v>
      </c>
      <c r="C1053" t="s">
        <v>4268</v>
      </c>
      <c r="D1053" t="s">
        <v>1279</v>
      </c>
      <c r="E1053">
        <v>-17</v>
      </c>
      <c r="F1053">
        <v>3000000</v>
      </c>
      <c r="G1053">
        <v>1444296.02</v>
      </c>
      <c r="H1053">
        <v>328998.57</v>
      </c>
      <c r="I1053" t="s">
        <v>2557</v>
      </c>
      <c r="J1053">
        <v>0</v>
      </c>
      <c r="K1053">
        <v>300000</v>
      </c>
      <c r="L1053">
        <v>25997.33</v>
      </c>
      <c r="M1053">
        <v>1644992.78</v>
      </c>
      <c r="N1053" s="711">
        <v>42812.532050729169</v>
      </c>
      <c r="O1053" s="711">
        <v>43177</v>
      </c>
      <c r="P1053" t="s">
        <v>4269</v>
      </c>
      <c r="Q1053" t="s">
        <v>1280</v>
      </c>
      <c r="R1053" t="s">
        <v>1280</v>
      </c>
      <c r="S1053" t="s">
        <v>1510</v>
      </c>
      <c r="T1053">
        <v>54</v>
      </c>
      <c r="U1053">
        <f>IF(Table__192.168.1.150_M_CONSOLIDATED_Delinquency_Compulsory_EOM[[#This Row],[Days in Arrears]] &lt; 8, Table__192.168.1.150_M_CONSOLIDATED_Delinquency_Compulsory_EOM[[#This Row],[Outstanding Balance]], 0 )</f>
        <v>1444296.02</v>
      </c>
      <c r="V10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3" s="105" t="str">
        <f>VLOOKUP(Table__192.168.1.150_M_CONSOLIDATED_Delinquency_Compulsory_EOM[[#This Row],[Client No]],'Global Portfolio'!$B$2:$N$2500,10,FALSE)</f>
        <v>Retail</v>
      </c>
      <c r="AA1053" s="105" t="str">
        <f>VLOOKUP(Table__192.168.1.150_M_CONSOLIDATED_Delinquency_Compulsory_EOM[[#This Row],[Client No]],'Global Portfolio'!$B$2:$N$2500,11,FALSE)</f>
        <v>General Merchandise Stores</v>
      </c>
      <c r="AB1053" s="105" t="str">
        <f>VLOOKUP(Table__192.168.1.150_M_CONSOLIDATED_Delinquency_Compulsory_EOM[[#This Row],[Client No]],'Global Portfolio'!$B$2:$N$2500,12,FALSE)</f>
        <v>Others</v>
      </c>
    </row>
    <row r="1054" spans="1:28" x14ac:dyDescent="0.25">
      <c r="A1054">
        <v>200894</v>
      </c>
      <c r="B1054" t="s">
        <v>2372</v>
      </c>
      <c r="C1054" t="s">
        <v>2377</v>
      </c>
      <c r="D1054" t="s">
        <v>1282</v>
      </c>
      <c r="E1054">
        <v>-23</v>
      </c>
      <c r="F1054">
        <v>6000000</v>
      </c>
      <c r="G1054">
        <v>2846108.03</v>
      </c>
      <c r="H1054">
        <v>639313.04</v>
      </c>
      <c r="I1054" t="s">
        <v>2861</v>
      </c>
      <c r="J1054">
        <v>100322.46</v>
      </c>
      <c r="K1054">
        <v>600000</v>
      </c>
      <c r="L1054">
        <v>64770.23</v>
      </c>
      <c r="M1054">
        <v>3196565.14</v>
      </c>
      <c r="N1054" s="711">
        <v>42818.463421956018</v>
      </c>
      <c r="O1054" s="711">
        <v>43183</v>
      </c>
      <c r="P1054" t="s">
        <v>2378</v>
      </c>
      <c r="Q1054" t="s">
        <v>1280</v>
      </c>
      <c r="R1054" t="s">
        <v>1280</v>
      </c>
      <c r="S1054" t="s">
        <v>1510</v>
      </c>
      <c r="T1054">
        <v>48</v>
      </c>
      <c r="U1054">
        <f>IF(Table__192.168.1.150_M_CONSOLIDATED_Delinquency_Compulsory_EOM[[#This Row],[Days in Arrears]] &lt; 8, Table__192.168.1.150_M_CONSOLIDATED_Delinquency_Compulsory_EOM[[#This Row],[Outstanding Balance]], 0 )</f>
        <v>2846108.03</v>
      </c>
      <c r="V10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4" s="105" t="str">
        <f>VLOOKUP(Table__192.168.1.150_M_CONSOLIDATED_Delinquency_Compulsory_EOM[[#This Row],[Client No]],'Global Portfolio'!$B$2:$N$2500,10,FALSE)</f>
        <v>Retail</v>
      </c>
      <c r="AA1054" s="105" t="str">
        <f>VLOOKUP(Table__192.168.1.150_M_CONSOLIDATED_Delinquency_Compulsory_EOM[[#This Row],[Client No]],'Global Portfolio'!$B$2:$N$2500,11,FALSE)</f>
        <v>General Merchandise Stores</v>
      </c>
      <c r="AB1054" s="105" t="str">
        <f>VLOOKUP(Table__192.168.1.150_M_CONSOLIDATED_Delinquency_Compulsory_EOM[[#This Row],[Client No]],'Global Portfolio'!$B$2:$N$2500,12,FALSE)</f>
        <v>General Stores</v>
      </c>
    </row>
    <row r="1055" spans="1:28" x14ac:dyDescent="0.25">
      <c r="A1055">
        <v>200896</v>
      </c>
      <c r="B1055" t="s">
        <v>4283</v>
      </c>
      <c r="C1055" t="s">
        <v>4290</v>
      </c>
      <c r="D1055" t="s">
        <v>1282</v>
      </c>
      <c r="E1055">
        <v>100</v>
      </c>
      <c r="F1055">
        <v>5000000</v>
      </c>
      <c r="G1055">
        <v>3723563.01</v>
      </c>
      <c r="H1055">
        <v>631894.11</v>
      </c>
      <c r="I1055" t="s">
        <v>2034</v>
      </c>
      <c r="J1055">
        <v>0</v>
      </c>
      <c r="K1055">
        <v>0</v>
      </c>
      <c r="L1055">
        <v>173941.23</v>
      </c>
      <c r="M1055">
        <v>4287863.2</v>
      </c>
      <c r="N1055" s="711">
        <v>42815.688522685188</v>
      </c>
      <c r="O1055" s="711">
        <v>43121</v>
      </c>
      <c r="P1055" t="s">
        <v>4291</v>
      </c>
      <c r="Q1055" t="s">
        <v>1280</v>
      </c>
      <c r="R1055" t="s">
        <v>1280</v>
      </c>
      <c r="S1055" t="s">
        <v>1510</v>
      </c>
      <c r="T1055">
        <v>54</v>
      </c>
      <c r="U1055">
        <f>IF(Table__192.168.1.150_M_CONSOLIDATED_Delinquency_Compulsory_EOM[[#This Row],[Days in Arrears]] &lt; 8, Table__192.168.1.150_M_CONSOLIDATED_Delinquency_Compulsory_EOM[[#This Row],[Outstanding Balance]], 0 )</f>
        <v>0</v>
      </c>
      <c r="V10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3723563.01</v>
      </c>
      <c r="Z1055" s="105" t="str">
        <f>VLOOKUP(Table__192.168.1.150_M_CONSOLIDATED_Delinquency_Compulsory_EOM[[#This Row],[Client No]],'Global Portfolio'!$B$2:$N$2500,10,FALSE)</f>
        <v>Retail</v>
      </c>
      <c r="AA1055" s="105" t="str">
        <f>VLOOKUP(Table__192.168.1.150_M_CONSOLIDATED_Delinquency_Compulsory_EOM[[#This Row],[Client No]],'Global Portfolio'!$B$2:$N$2500,11,FALSE)</f>
        <v>Others</v>
      </c>
      <c r="AB1055" s="105" t="str">
        <f>VLOOKUP(Table__192.168.1.150_M_CONSOLIDATED_Delinquency_Compulsory_EOM[[#This Row],[Client No]],'Global Portfolio'!$B$2:$N$2500,12,FALSE)</f>
        <v>Others</v>
      </c>
    </row>
    <row r="1056" spans="1:28" x14ac:dyDescent="0.25">
      <c r="A1056">
        <v>200897</v>
      </c>
      <c r="B1056" t="s">
        <v>4280</v>
      </c>
      <c r="C1056" t="s">
        <v>4292</v>
      </c>
      <c r="D1056" t="s">
        <v>1282</v>
      </c>
      <c r="E1056">
        <v>-20</v>
      </c>
      <c r="F1056">
        <v>4000000</v>
      </c>
      <c r="G1056">
        <v>1925728.11</v>
      </c>
      <c r="H1056">
        <v>438664.75</v>
      </c>
      <c r="I1056" t="s">
        <v>963</v>
      </c>
      <c r="J1056">
        <v>0</v>
      </c>
      <c r="K1056">
        <v>400000</v>
      </c>
      <c r="L1056">
        <v>25997.33</v>
      </c>
      <c r="M1056">
        <v>2193323.81</v>
      </c>
      <c r="N1056" s="711">
        <v>42815.578442905091</v>
      </c>
      <c r="O1056" s="711">
        <v>43180</v>
      </c>
      <c r="P1056" t="s">
        <v>4293</v>
      </c>
      <c r="Q1056" t="s">
        <v>1280</v>
      </c>
      <c r="R1056" t="s">
        <v>4294</v>
      </c>
      <c r="S1056" t="s">
        <v>1510</v>
      </c>
      <c r="T1056">
        <v>54</v>
      </c>
      <c r="U1056">
        <f>IF(Table__192.168.1.150_M_CONSOLIDATED_Delinquency_Compulsory_EOM[[#This Row],[Days in Arrears]] &lt; 8, Table__192.168.1.150_M_CONSOLIDATED_Delinquency_Compulsory_EOM[[#This Row],[Outstanding Balance]], 0 )</f>
        <v>1925728.11</v>
      </c>
      <c r="V10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6" s="105" t="str">
        <f>VLOOKUP(Table__192.168.1.150_M_CONSOLIDATED_Delinquency_Compulsory_EOM[[#This Row],[Client No]],'Global Portfolio'!$B$2:$N$2500,10,FALSE)</f>
        <v>Retail</v>
      </c>
      <c r="AA1056" s="105" t="str">
        <f>VLOOKUP(Table__192.168.1.150_M_CONSOLIDATED_Delinquency_Compulsory_EOM[[#This Row],[Client No]],'Global Portfolio'!$B$2:$N$2500,11,FALSE)</f>
        <v>Electronics Stores</v>
      </c>
      <c r="AB1056" s="105" t="str">
        <f>VLOOKUP(Table__192.168.1.150_M_CONSOLIDATED_Delinquency_Compulsory_EOM[[#This Row],[Client No]],'Global Portfolio'!$B$2:$N$2500,12,FALSE)</f>
        <v>Computer &amp; Software</v>
      </c>
    </row>
    <row r="1057" spans="1:28" x14ac:dyDescent="0.25">
      <c r="A1057">
        <v>200899</v>
      </c>
      <c r="B1057" t="s">
        <v>4277</v>
      </c>
      <c r="C1057" t="s">
        <v>4298</v>
      </c>
      <c r="D1057" t="s">
        <v>1283</v>
      </c>
      <c r="E1057">
        <v>-20</v>
      </c>
      <c r="F1057">
        <v>55000000</v>
      </c>
      <c r="G1057">
        <v>37358593.020000003</v>
      </c>
      <c r="H1057">
        <v>4112522.63</v>
      </c>
      <c r="I1057" t="s">
        <v>491</v>
      </c>
      <c r="J1057">
        <v>0</v>
      </c>
      <c r="K1057">
        <v>0</v>
      </c>
      <c r="L1057">
        <v>1711363.85</v>
      </c>
      <c r="M1057">
        <v>45237748.920000002</v>
      </c>
      <c r="N1057" s="711">
        <v>42815.615635185182</v>
      </c>
      <c r="O1057" s="711">
        <v>43364</v>
      </c>
      <c r="P1057" t="s">
        <v>4299</v>
      </c>
      <c r="Q1057" t="s">
        <v>1280</v>
      </c>
      <c r="R1057" t="s">
        <v>4300</v>
      </c>
      <c r="S1057" t="s">
        <v>1510</v>
      </c>
      <c r="T1057">
        <v>40</v>
      </c>
      <c r="U1057">
        <f>IF(Table__192.168.1.150_M_CONSOLIDATED_Delinquency_Compulsory_EOM[[#This Row],[Days in Arrears]] &lt; 8, Table__192.168.1.150_M_CONSOLIDATED_Delinquency_Compulsory_EOM[[#This Row],[Outstanding Balance]], 0 )</f>
        <v>37358593.020000003</v>
      </c>
      <c r="V10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7" s="105" t="str">
        <f>VLOOKUP(Table__192.168.1.150_M_CONSOLIDATED_Delinquency_Compulsory_EOM[[#This Row],[Client No]],'Global Portfolio'!$B$2:$N$2500,10,FALSE)</f>
        <v>Agriculture, Forestry, Fishing and Hunting</v>
      </c>
      <c r="AA1057" s="105" t="str">
        <f>VLOOKUP(Table__192.168.1.150_M_CONSOLIDATED_Delinquency_Compulsory_EOM[[#This Row],[Client No]],'Global Portfolio'!$B$2:$N$2500,11,FALSE)</f>
        <v>Crop Production</v>
      </c>
      <c r="AB1057" s="105" t="str">
        <f>VLOOKUP(Table__192.168.1.150_M_CONSOLIDATED_Delinquency_Compulsory_EOM[[#This Row],[Client No]],'Global Portfolio'!$B$2:$N$2500,12,FALSE)</f>
        <v>Maize</v>
      </c>
    </row>
    <row r="1058" spans="1:28" x14ac:dyDescent="0.25">
      <c r="A1058">
        <v>200901</v>
      </c>
      <c r="B1058" t="s">
        <v>4279</v>
      </c>
      <c r="C1058" t="s">
        <v>4303</v>
      </c>
      <c r="D1058" t="s">
        <v>1279</v>
      </c>
      <c r="E1058">
        <v>70</v>
      </c>
      <c r="F1058">
        <v>2000000</v>
      </c>
      <c r="G1058">
        <v>1087807.04</v>
      </c>
      <c r="H1058">
        <v>303219.31</v>
      </c>
      <c r="I1058" t="s">
        <v>3074</v>
      </c>
      <c r="J1058">
        <v>0</v>
      </c>
      <c r="K1058">
        <v>0</v>
      </c>
      <c r="L1058">
        <v>85210.27</v>
      </c>
      <c r="M1058">
        <v>1187456.7</v>
      </c>
      <c r="N1058" s="711">
        <v>42815.728533912035</v>
      </c>
      <c r="O1058" s="711">
        <v>43060</v>
      </c>
      <c r="P1058" t="s">
        <v>4304</v>
      </c>
      <c r="Q1058" t="s">
        <v>1280</v>
      </c>
      <c r="R1058" t="s">
        <v>1280</v>
      </c>
      <c r="S1058" t="s">
        <v>1510</v>
      </c>
      <c r="T1058">
        <v>54</v>
      </c>
      <c r="U1058">
        <f>IF(Table__192.168.1.150_M_CONSOLIDATED_Delinquency_Compulsory_EOM[[#This Row],[Days in Arrears]] &lt; 8, Table__192.168.1.150_M_CONSOLIDATED_Delinquency_Compulsory_EOM[[#This Row],[Outstanding Balance]], 0 )</f>
        <v>0</v>
      </c>
      <c r="V10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1087807.04</v>
      </c>
      <c r="Y10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8" s="105" t="str">
        <f>VLOOKUP(Table__192.168.1.150_M_CONSOLIDATED_Delinquency_Compulsory_EOM[[#This Row],[Client No]],'Global Portfolio'!$B$2:$N$2500,10,FALSE)</f>
        <v>Agriculture, Forestry, Fishing and Hunting</v>
      </c>
      <c r="AA1058" s="105" t="str">
        <f>VLOOKUP(Table__192.168.1.150_M_CONSOLIDATED_Delinquency_Compulsory_EOM[[#This Row],[Client No]],'Global Portfolio'!$B$2:$N$2500,11,FALSE)</f>
        <v>Animal Production</v>
      </c>
      <c r="AB1058" s="105" t="str">
        <f>VLOOKUP(Table__192.168.1.150_M_CONSOLIDATED_Delinquency_Compulsory_EOM[[#This Row],[Client No]],'Global Portfolio'!$B$2:$N$2500,12,FALSE)</f>
        <v>Poultry &amp; Egg Production</v>
      </c>
    </row>
    <row r="1059" spans="1:28" x14ac:dyDescent="0.25">
      <c r="A1059">
        <v>200902</v>
      </c>
      <c r="B1059" t="s">
        <v>4308</v>
      </c>
      <c r="C1059" t="s">
        <v>4314</v>
      </c>
      <c r="D1059" t="s">
        <v>1282</v>
      </c>
      <c r="E1059">
        <v>-21</v>
      </c>
      <c r="F1059">
        <v>5000000</v>
      </c>
      <c r="G1059">
        <v>2407160.11</v>
      </c>
      <c r="H1059">
        <v>548330.93999999994</v>
      </c>
      <c r="I1059" t="s">
        <v>1447</v>
      </c>
      <c r="J1059">
        <v>0</v>
      </c>
      <c r="K1059">
        <v>500000</v>
      </c>
      <c r="L1059">
        <v>28885.919999999998</v>
      </c>
      <c r="M1059">
        <v>2741654.74</v>
      </c>
      <c r="N1059" s="711">
        <v>42816.495054513885</v>
      </c>
      <c r="O1059" s="711">
        <v>43181</v>
      </c>
      <c r="P1059" t="s">
        <v>4315</v>
      </c>
      <c r="Q1059" t="s">
        <v>1280</v>
      </c>
      <c r="R1059" t="s">
        <v>4316</v>
      </c>
      <c r="S1059" t="s">
        <v>1510</v>
      </c>
      <c r="T1059">
        <v>54</v>
      </c>
      <c r="U1059">
        <f>IF(Table__192.168.1.150_M_CONSOLIDATED_Delinquency_Compulsory_EOM[[#This Row],[Days in Arrears]] &lt; 8, Table__192.168.1.150_M_CONSOLIDATED_Delinquency_Compulsory_EOM[[#This Row],[Outstanding Balance]], 0 )</f>
        <v>2407160.11</v>
      </c>
      <c r="V10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59" s="105" t="str">
        <f>VLOOKUP(Table__192.168.1.150_M_CONSOLIDATED_Delinquency_Compulsory_EOM[[#This Row],[Client No]],'Global Portfolio'!$B$2:$N$2500,10,FALSE)</f>
        <v>Real Estate and Rental</v>
      </c>
      <c r="AA1059" s="105" t="str">
        <f>VLOOKUP(Table__192.168.1.150_M_CONSOLIDATED_Delinquency_Compulsory_EOM[[#This Row],[Client No]],'Global Portfolio'!$B$2:$N$2500,11,FALSE)</f>
        <v>Rental</v>
      </c>
      <c r="AB1059" s="105" t="str">
        <f>VLOOKUP(Table__192.168.1.150_M_CONSOLIDATED_Delinquency_Compulsory_EOM[[#This Row],[Client No]],'Global Portfolio'!$B$2:$N$2500,12,FALSE)</f>
        <v>General Rental Centers</v>
      </c>
    </row>
    <row r="1060" spans="1:28" x14ac:dyDescent="0.25">
      <c r="A1060">
        <v>200905</v>
      </c>
      <c r="B1060" t="s">
        <v>4306</v>
      </c>
      <c r="C1060" t="s">
        <v>4320</v>
      </c>
      <c r="D1060" t="s">
        <v>1282</v>
      </c>
      <c r="E1060">
        <v>-21</v>
      </c>
      <c r="F1060">
        <v>6000000</v>
      </c>
      <c r="G1060">
        <v>2888592.12</v>
      </c>
      <c r="H1060">
        <v>657997.13</v>
      </c>
      <c r="I1060" t="s">
        <v>1447</v>
      </c>
      <c r="J1060">
        <v>0</v>
      </c>
      <c r="K1060">
        <v>600000</v>
      </c>
      <c r="L1060">
        <v>34663.11</v>
      </c>
      <c r="M1060">
        <v>3289985.68</v>
      </c>
      <c r="N1060" s="711">
        <v>42816.696472187497</v>
      </c>
      <c r="O1060" s="711">
        <v>43181</v>
      </c>
      <c r="P1060" t="s">
        <v>4321</v>
      </c>
      <c r="Q1060" t="s">
        <v>1280</v>
      </c>
      <c r="R1060" t="s">
        <v>4322</v>
      </c>
      <c r="S1060" t="s">
        <v>1510</v>
      </c>
      <c r="T1060">
        <v>54</v>
      </c>
      <c r="U1060">
        <f>IF(Table__192.168.1.150_M_CONSOLIDATED_Delinquency_Compulsory_EOM[[#This Row],[Days in Arrears]] &lt; 8, Table__192.168.1.150_M_CONSOLIDATED_Delinquency_Compulsory_EOM[[#This Row],[Outstanding Balance]], 0 )</f>
        <v>2888592.12</v>
      </c>
      <c r="V10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0" s="105" t="str">
        <f>VLOOKUP(Table__192.168.1.150_M_CONSOLIDATED_Delinquency_Compulsory_EOM[[#This Row],[Client No]],'Global Portfolio'!$B$2:$N$2500,10,FALSE)</f>
        <v>Retail</v>
      </c>
      <c r="AA1060" s="105" t="str">
        <f>VLOOKUP(Table__192.168.1.150_M_CONSOLIDATED_Delinquency_Compulsory_EOM[[#This Row],[Client No]],'Global Portfolio'!$B$2:$N$2500,11,FALSE)</f>
        <v>Others</v>
      </c>
      <c r="AB1060" s="105" t="str">
        <f>VLOOKUP(Table__192.168.1.150_M_CONSOLIDATED_Delinquency_Compulsory_EOM[[#This Row],[Client No]],'Global Portfolio'!$B$2:$N$2500,12,FALSE)</f>
        <v>Others</v>
      </c>
    </row>
    <row r="1061" spans="1:28" x14ac:dyDescent="0.25">
      <c r="A1061">
        <v>200906</v>
      </c>
      <c r="B1061" t="s">
        <v>2235</v>
      </c>
      <c r="C1061" t="s">
        <v>2243</v>
      </c>
      <c r="D1061" t="s">
        <v>1282</v>
      </c>
      <c r="E1061">
        <v>-22</v>
      </c>
      <c r="F1061">
        <v>6000000</v>
      </c>
      <c r="G1061">
        <v>2846108.03</v>
      </c>
      <c r="H1061">
        <v>639313.04</v>
      </c>
      <c r="I1061" t="s">
        <v>1467</v>
      </c>
      <c r="J1061">
        <v>0</v>
      </c>
      <c r="K1061">
        <v>600000</v>
      </c>
      <c r="L1061">
        <v>26563.67</v>
      </c>
      <c r="M1061">
        <v>3196565.14</v>
      </c>
      <c r="N1061" s="711">
        <v>42817.435043900463</v>
      </c>
      <c r="O1061" s="711">
        <v>43182</v>
      </c>
      <c r="P1061" t="s">
        <v>2244</v>
      </c>
      <c r="Q1061" t="s">
        <v>1280</v>
      </c>
      <c r="R1061" t="s">
        <v>1280</v>
      </c>
      <c r="S1061" t="s">
        <v>1510</v>
      </c>
      <c r="T1061">
        <v>48</v>
      </c>
      <c r="U1061">
        <f>IF(Table__192.168.1.150_M_CONSOLIDATED_Delinquency_Compulsory_EOM[[#This Row],[Days in Arrears]] &lt; 8, Table__192.168.1.150_M_CONSOLIDATED_Delinquency_Compulsory_EOM[[#This Row],[Outstanding Balance]], 0 )</f>
        <v>2846108.03</v>
      </c>
      <c r="V10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1" s="105" t="str">
        <f>VLOOKUP(Table__192.168.1.150_M_CONSOLIDATED_Delinquency_Compulsory_EOM[[#This Row],[Client No]],'Global Portfolio'!$B$2:$N$2500,10,FALSE)</f>
        <v>Real Estate and Rental</v>
      </c>
      <c r="AA1061" s="105" t="str">
        <f>VLOOKUP(Table__192.168.1.150_M_CONSOLIDATED_Delinquency_Compulsory_EOM[[#This Row],[Client No]],'Global Portfolio'!$B$2:$N$2500,11,FALSE)</f>
        <v>Rental</v>
      </c>
      <c r="AB1061" s="105" t="str">
        <f>VLOOKUP(Table__192.168.1.150_M_CONSOLIDATED_Delinquency_Compulsory_EOM[[#This Row],[Client No]],'Global Portfolio'!$B$2:$N$2500,12,FALSE)</f>
        <v>Others</v>
      </c>
    </row>
    <row r="1062" spans="1:28" x14ac:dyDescent="0.25">
      <c r="A1062">
        <v>200910</v>
      </c>
      <c r="B1062" t="s">
        <v>2674</v>
      </c>
      <c r="C1062" t="s">
        <v>2680</v>
      </c>
      <c r="D1062" t="s">
        <v>1282</v>
      </c>
      <c r="E1062">
        <v>-23</v>
      </c>
      <c r="F1062">
        <v>10000000</v>
      </c>
      <c r="G1062">
        <v>4743513.4000000004</v>
      </c>
      <c r="H1062">
        <v>1065521.73</v>
      </c>
      <c r="I1062" t="s">
        <v>2538</v>
      </c>
      <c r="J1062">
        <v>4270.97</v>
      </c>
      <c r="K1062">
        <v>0</v>
      </c>
      <c r="L1062">
        <v>37948.11</v>
      </c>
      <c r="M1062">
        <v>5327608.6100000003</v>
      </c>
      <c r="N1062" s="711">
        <v>42818.709434606484</v>
      </c>
      <c r="O1062" s="711">
        <v>43183</v>
      </c>
      <c r="P1062" t="s">
        <v>2681</v>
      </c>
      <c r="Q1062" t="s">
        <v>1280</v>
      </c>
      <c r="R1062" t="s">
        <v>1280</v>
      </c>
      <c r="S1062" t="s">
        <v>1510</v>
      </c>
      <c r="T1062">
        <v>48</v>
      </c>
      <c r="U1062">
        <f>IF(Table__192.168.1.150_M_CONSOLIDATED_Delinquency_Compulsory_EOM[[#This Row],[Days in Arrears]] &lt; 8, Table__192.168.1.150_M_CONSOLIDATED_Delinquency_Compulsory_EOM[[#This Row],[Outstanding Balance]], 0 )</f>
        <v>4743513.4000000004</v>
      </c>
      <c r="V10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2" s="105" t="str">
        <f>VLOOKUP(Table__192.168.1.150_M_CONSOLIDATED_Delinquency_Compulsory_EOM[[#This Row],[Client No]],'Global Portfolio'!$B$2:$N$2500,10,FALSE)</f>
        <v>Manufacturing</v>
      </c>
      <c r="AA1062" s="105" t="str">
        <f>VLOOKUP(Table__192.168.1.150_M_CONSOLIDATED_Delinquency_Compulsory_EOM[[#This Row],[Client No]],'Global Portfolio'!$B$2:$N$2500,11,FALSE)</f>
        <v>Apparel Manufacturing</v>
      </c>
      <c r="AB1062" s="105" t="str">
        <f>VLOOKUP(Table__192.168.1.150_M_CONSOLIDATED_Delinquency_Compulsory_EOM[[#This Row],[Client No]],'Global Portfolio'!$B$2:$N$2500,12,FALSE)</f>
        <v>Others</v>
      </c>
    </row>
    <row r="1063" spans="1:28" x14ac:dyDescent="0.25">
      <c r="A1063">
        <v>200913</v>
      </c>
      <c r="B1063" t="s">
        <v>4332</v>
      </c>
      <c r="C1063" t="s">
        <v>4346</v>
      </c>
      <c r="D1063" t="s">
        <v>1866</v>
      </c>
      <c r="E1063">
        <v>-23</v>
      </c>
      <c r="F1063">
        <v>6000000</v>
      </c>
      <c r="G1063">
        <v>2063399.01</v>
      </c>
      <c r="H1063">
        <v>745896.01</v>
      </c>
      <c r="I1063" t="s">
        <v>2855</v>
      </c>
      <c r="J1063">
        <v>1323103.99</v>
      </c>
      <c r="K1063">
        <v>600000</v>
      </c>
      <c r="L1063">
        <v>17194.990000000002</v>
      </c>
      <c r="M1063">
        <v>2237688.06</v>
      </c>
      <c r="N1063" s="711">
        <v>42818.746776736109</v>
      </c>
      <c r="O1063" s="711">
        <v>43124</v>
      </c>
      <c r="P1063" t="s">
        <v>4347</v>
      </c>
      <c r="Q1063" t="s">
        <v>1280</v>
      </c>
      <c r="R1063" t="s">
        <v>4348</v>
      </c>
      <c r="S1063" t="s">
        <v>1510</v>
      </c>
      <c r="T1063">
        <v>50</v>
      </c>
      <c r="U1063">
        <f>IF(Table__192.168.1.150_M_CONSOLIDATED_Delinquency_Compulsory_EOM[[#This Row],[Days in Arrears]] &lt; 8, Table__192.168.1.150_M_CONSOLIDATED_Delinquency_Compulsory_EOM[[#This Row],[Outstanding Balance]], 0 )</f>
        <v>2063399.01</v>
      </c>
      <c r="V10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3" s="105" t="str">
        <f>VLOOKUP(Table__192.168.1.150_M_CONSOLIDATED_Delinquency_Compulsory_EOM[[#This Row],[Client No]],'Global Portfolio'!$B$2:$N$2500,10,FALSE)</f>
        <v>Educational Services</v>
      </c>
      <c r="AA1063" s="105" t="str">
        <f>VLOOKUP(Table__192.168.1.150_M_CONSOLIDATED_Delinquency_Compulsory_EOM[[#This Row],[Client No]],'Global Portfolio'!$B$2:$N$2500,11,FALSE)</f>
        <v>Educational Services</v>
      </c>
      <c r="AB1063" s="105" t="str">
        <f>VLOOKUP(Table__192.168.1.150_M_CONSOLIDATED_Delinquency_Compulsory_EOM[[#This Row],[Client No]],'Global Portfolio'!$B$2:$N$2500,12,FALSE)</f>
        <v>Others</v>
      </c>
    </row>
    <row r="1064" spans="1:28" x14ac:dyDescent="0.25">
      <c r="A1064">
        <v>200916</v>
      </c>
      <c r="B1064" t="s">
        <v>4329</v>
      </c>
      <c r="C1064" t="s">
        <v>4349</v>
      </c>
      <c r="D1064" t="s">
        <v>1282</v>
      </c>
      <c r="E1064">
        <v>67</v>
      </c>
      <c r="F1064">
        <v>7000000</v>
      </c>
      <c r="G1064">
        <v>5063419.8</v>
      </c>
      <c r="H1064">
        <v>767663.32</v>
      </c>
      <c r="I1064" t="s">
        <v>2034</v>
      </c>
      <c r="J1064">
        <v>0</v>
      </c>
      <c r="K1064">
        <v>0</v>
      </c>
      <c r="L1064">
        <v>220258.76</v>
      </c>
      <c r="M1064">
        <v>6141306.5800000001</v>
      </c>
      <c r="N1064" s="711">
        <v>42818.801787881945</v>
      </c>
      <c r="O1064" s="711">
        <v>43183</v>
      </c>
      <c r="P1064" t="s">
        <v>4350</v>
      </c>
      <c r="Q1064" t="s">
        <v>1280</v>
      </c>
      <c r="R1064" t="s">
        <v>4351</v>
      </c>
      <c r="S1064" t="s">
        <v>1510</v>
      </c>
      <c r="T1064">
        <v>54</v>
      </c>
      <c r="U1064">
        <f>IF(Table__192.168.1.150_M_CONSOLIDATED_Delinquency_Compulsory_EOM[[#This Row],[Days in Arrears]] &lt; 8, Table__192.168.1.150_M_CONSOLIDATED_Delinquency_Compulsory_EOM[[#This Row],[Outstanding Balance]], 0 )</f>
        <v>0</v>
      </c>
      <c r="V10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5063419.8</v>
      </c>
      <c r="Y10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4" s="105" t="str">
        <f>VLOOKUP(Table__192.168.1.150_M_CONSOLIDATED_Delinquency_Compulsory_EOM[[#This Row],[Client No]],'Global Portfolio'!$B$2:$N$2500,10,FALSE)</f>
        <v>Retail</v>
      </c>
      <c r="AA1064" s="105" t="str">
        <f>VLOOKUP(Table__192.168.1.150_M_CONSOLIDATED_Delinquency_Compulsory_EOM[[#This Row],[Client No]],'Global Portfolio'!$B$2:$N$2500,11,FALSE)</f>
        <v>General Merchandise Stores</v>
      </c>
      <c r="AB1064" s="105" t="str">
        <f>VLOOKUP(Table__192.168.1.150_M_CONSOLIDATED_Delinquency_Compulsory_EOM[[#This Row],[Client No]],'Global Portfolio'!$B$2:$N$2500,12,FALSE)</f>
        <v>Others</v>
      </c>
    </row>
    <row r="1065" spans="1:28" x14ac:dyDescent="0.25">
      <c r="A1065">
        <v>200921</v>
      </c>
      <c r="B1065" t="s">
        <v>2310</v>
      </c>
      <c r="C1065" t="s">
        <v>2318</v>
      </c>
      <c r="D1065" t="s">
        <v>1282</v>
      </c>
      <c r="E1065">
        <v>6</v>
      </c>
      <c r="F1065">
        <v>4500000</v>
      </c>
      <c r="G1065">
        <v>2513524.7999999998</v>
      </c>
      <c r="H1065">
        <v>479484.78</v>
      </c>
      <c r="I1065" t="s">
        <v>1448</v>
      </c>
      <c r="J1065">
        <v>0</v>
      </c>
      <c r="K1065">
        <v>450000</v>
      </c>
      <c r="L1065">
        <v>114771.53</v>
      </c>
      <c r="M1065">
        <v>2876908.63</v>
      </c>
      <c r="N1065" s="711">
        <v>42819.541967210651</v>
      </c>
      <c r="O1065" s="711">
        <v>43184</v>
      </c>
      <c r="P1065" t="s">
        <v>2319</v>
      </c>
      <c r="Q1065" t="s">
        <v>1280</v>
      </c>
      <c r="R1065" t="s">
        <v>2320</v>
      </c>
      <c r="S1065" t="s">
        <v>1510</v>
      </c>
      <c r="T1065">
        <v>48</v>
      </c>
      <c r="U1065">
        <f>IF(Table__192.168.1.150_M_CONSOLIDATED_Delinquency_Compulsory_EOM[[#This Row],[Days in Arrears]] &lt; 8, Table__192.168.1.150_M_CONSOLIDATED_Delinquency_Compulsory_EOM[[#This Row],[Outstanding Balance]], 0 )</f>
        <v>2513524.7999999998</v>
      </c>
      <c r="V10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5" s="105" t="str">
        <f>VLOOKUP(Table__192.168.1.150_M_CONSOLIDATED_Delinquency_Compulsory_EOM[[#This Row],[Client No]],'Global Portfolio'!$B$2:$N$2500,10,FALSE)</f>
        <v>Retail</v>
      </c>
      <c r="AA1065" s="105" t="str">
        <f>VLOOKUP(Table__192.168.1.150_M_CONSOLIDATED_Delinquency_Compulsory_EOM[[#This Row],[Client No]],'Global Portfolio'!$B$2:$N$2500,11,FALSE)</f>
        <v>Others</v>
      </c>
      <c r="AB1065" s="105" t="str">
        <f>VLOOKUP(Table__192.168.1.150_M_CONSOLIDATED_Delinquency_Compulsory_EOM[[#This Row],[Client No]],'Global Portfolio'!$B$2:$N$2500,12,FALSE)</f>
        <v>Others</v>
      </c>
    </row>
    <row r="1066" spans="1:28" x14ac:dyDescent="0.25">
      <c r="A1066">
        <v>200924</v>
      </c>
      <c r="B1066" t="s">
        <v>4359</v>
      </c>
      <c r="C1066" t="s">
        <v>4368</v>
      </c>
      <c r="D1066" t="s">
        <v>1282</v>
      </c>
      <c r="E1066">
        <v>0</v>
      </c>
      <c r="F1066">
        <v>4000000</v>
      </c>
      <c r="G1066">
        <v>2275567.7799999998</v>
      </c>
      <c r="H1066">
        <v>441183.4</v>
      </c>
      <c r="I1066" t="s">
        <v>2175</v>
      </c>
      <c r="J1066">
        <v>533199.42000000004</v>
      </c>
      <c r="K1066">
        <v>400000</v>
      </c>
      <c r="L1066">
        <v>98987.199999999997</v>
      </c>
      <c r="M1066">
        <v>2647100.48</v>
      </c>
      <c r="N1066" s="711">
        <v>42821.721101736111</v>
      </c>
      <c r="O1066" s="711">
        <v>43191</v>
      </c>
      <c r="P1066" t="s">
        <v>4369</v>
      </c>
      <c r="Q1066" t="s">
        <v>1280</v>
      </c>
      <c r="R1066" t="s">
        <v>4370</v>
      </c>
      <c r="S1066" t="s">
        <v>1510</v>
      </c>
      <c r="T1066">
        <v>54</v>
      </c>
      <c r="U1066">
        <f>IF(Table__192.168.1.150_M_CONSOLIDATED_Delinquency_Compulsory_EOM[[#This Row],[Days in Arrears]] &lt; 8, Table__192.168.1.150_M_CONSOLIDATED_Delinquency_Compulsory_EOM[[#This Row],[Outstanding Balance]], 0 )</f>
        <v>2275567.7799999998</v>
      </c>
      <c r="V10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6" s="105" t="str">
        <f>VLOOKUP(Table__192.168.1.150_M_CONSOLIDATED_Delinquency_Compulsory_EOM[[#This Row],[Client No]],'Global Portfolio'!$B$2:$N$2500,10,FALSE)</f>
        <v>Retail</v>
      </c>
      <c r="AA1066" s="105" t="str">
        <f>VLOOKUP(Table__192.168.1.150_M_CONSOLIDATED_Delinquency_Compulsory_EOM[[#This Row],[Client No]],'Global Portfolio'!$B$2:$N$2500,11,FALSE)</f>
        <v>Others</v>
      </c>
      <c r="AB1066" s="105" t="str">
        <f>VLOOKUP(Table__192.168.1.150_M_CONSOLIDATED_Delinquency_Compulsory_EOM[[#This Row],[Client No]],'Global Portfolio'!$B$2:$N$2500,12,FALSE)</f>
        <v>Others</v>
      </c>
    </row>
    <row r="1067" spans="1:28" x14ac:dyDescent="0.25">
      <c r="A1067">
        <v>200925</v>
      </c>
      <c r="B1067" t="s">
        <v>2081</v>
      </c>
      <c r="C1067" t="s">
        <v>2095</v>
      </c>
      <c r="D1067" t="s">
        <v>1282</v>
      </c>
      <c r="E1067">
        <v>0</v>
      </c>
      <c r="F1067">
        <v>10000000</v>
      </c>
      <c r="G1067">
        <v>5614254.8700000001</v>
      </c>
      <c r="H1067">
        <v>1070985.94</v>
      </c>
      <c r="I1067" t="s">
        <v>1925</v>
      </c>
      <c r="J1067">
        <v>28585.200000000001</v>
      </c>
      <c r="K1067">
        <v>1000000</v>
      </c>
      <c r="L1067">
        <v>217084.52</v>
      </c>
      <c r="M1067">
        <v>6425915.6299999999</v>
      </c>
      <c r="N1067" s="711">
        <v>42821.704418634261</v>
      </c>
      <c r="O1067" s="711">
        <v>43191</v>
      </c>
      <c r="P1067" t="s">
        <v>2096</v>
      </c>
      <c r="Q1067" t="s">
        <v>1280</v>
      </c>
      <c r="R1067" t="s">
        <v>1280</v>
      </c>
      <c r="S1067" t="s">
        <v>1510</v>
      </c>
      <c r="T1067">
        <v>48</v>
      </c>
      <c r="U1067">
        <f>IF(Table__192.168.1.150_M_CONSOLIDATED_Delinquency_Compulsory_EOM[[#This Row],[Days in Arrears]] &lt; 8, Table__192.168.1.150_M_CONSOLIDATED_Delinquency_Compulsory_EOM[[#This Row],[Outstanding Balance]], 0 )</f>
        <v>5614254.8700000001</v>
      </c>
      <c r="V10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7" s="105" t="str">
        <f>VLOOKUP(Table__192.168.1.150_M_CONSOLIDATED_Delinquency_Compulsory_EOM[[#This Row],[Client No]],'Global Portfolio'!$B$2:$N$2500,10,FALSE)</f>
        <v>Wholesale Trade</v>
      </c>
      <c r="AA1067" s="105" t="str">
        <f>VLOOKUP(Table__192.168.1.150_M_CONSOLIDATED_Delinquency_Compulsory_EOM[[#This Row],[Client No]],'Global Portfolio'!$B$2:$N$2500,11,FALSE)</f>
        <v>Durable Goods</v>
      </c>
      <c r="AB1067" s="105" t="str">
        <f>VLOOKUP(Table__192.168.1.150_M_CONSOLIDATED_Delinquency_Compulsory_EOM[[#This Row],[Client No]],'Global Portfolio'!$B$2:$N$2500,12,FALSE)</f>
        <v>Others</v>
      </c>
    </row>
    <row r="1068" spans="1:28" x14ac:dyDescent="0.25">
      <c r="A1068">
        <v>200932</v>
      </c>
      <c r="B1068" t="s">
        <v>2652</v>
      </c>
      <c r="C1068" t="s">
        <v>1711</v>
      </c>
      <c r="D1068" t="s">
        <v>1282</v>
      </c>
      <c r="E1068">
        <v>-4</v>
      </c>
      <c r="F1068">
        <v>8000000</v>
      </c>
      <c r="G1068">
        <v>4468488.58</v>
      </c>
      <c r="H1068">
        <v>852417.38</v>
      </c>
      <c r="I1068" t="s">
        <v>3074</v>
      </c>
      <c r="J1068">
        <v>841582.62</v>
      </c>
      <c r="K1068">
        <v>800000</v>
      </c>
      <c r="L1068">
        <v>148949.62</v>
      </c>
      <c r="M1068">
        <v>5114504.29</v>
      </c>
      <c r="N1068" s="711">
        <v>42830.416092280095</v>
      </c>
      <c r="O1068" s="711">
        <v>43195</v>
      </c>
      <c r="P1068" t="s">
        <v>2653</v>
      </c>
      <c r="Q1068" t="s">
        <v>2654</v>
      </c>
      <c r="R1068" t="s">
        <v>1280</v>
      </c>
      <c r="S1068" t="s">
        <v>1510</v>
      </c>
      <c r="T1068">
        <v>48</v>
      </c>
      <c r="U1068">
        <f>IF(Table__192.168.1.150_M_CONSOLIDATED_Delinquency_Compulsory_EOM[[#This Row],[Days in Arrears]] &lt; 8, Table__192.168.1.150_M_CONSOLIDATED_Delinquency_Compulsory_EOM[[#This Row],[Outstanding Balance]], 0 )</f>
        <v>4468488.58</v>
      </c>
      <c r="V10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8" s="105" t="str">
        <f>VLOOKUP(Table__192.168.1.150_M_CONSOLIDATED_Delinquency_Compulsory_EOM[[#This Row],[Client No]],'Global Portfolio'!$B$2:$N$2500,10,FALSE)</f>
        <v>Retail</v>
      </c>
      <c r="AA1068" s="105" t="str">
        <f>VLOOKUP(Table__192.168.1.150_M_CONSOLIDATED_Delinquency_Compulsory_EOM[[#This Row],[Client No]],'Global Portfolio'!$B$2:$N$2500,11,FALSE)</f>
        <v>Electronics Stores</v>
      </c>
      <c r="AB1068" s="105" t="str">
        <f>VLOOKUP(Table__192.168.1.150_M_CONSOLIDATED_Delinquency_Compulsory_EOM[[#This Row],[Client No]],'Global Portfolio'!$B$2:$N$2500,12,FALSE)</f>
        <v>Computer &amp; Software</v>
      </c>
    </row>
    <row r="1069" spans="1:28" x14ac:dyDescent="0.25">
      <c r="A1069">
        <v>200933</v>
      </c>
      <c r="B1069" t="s">
        <v>4389</v>
      </c>
      <c r="C1069" t="s">
        <v>4391</v>
      </c>
      <c r="D1069" t="s">
        <v>1282</v>
      </c>
      <c r="E1069">
        <v>0</v>
      </c>
      <c r="F1069">
        <v>5000000</v>
      </c>
      <c r="G1069">
        <v>2836340.36</v>
      </c>
      <c r="H1069">
        <v>549905.1</v>
      </c>
      <c r="I1069" t="s">
        <v>2557</v>
      </c>
      <c r="J1069">
        <v>2315855.81</v>
      </c>
      <c r="K1069">
        <v>500000</v>
      </c>
      <c r="L1069">
        <v>123380.81</v>
      </c>
      <c r="M1069">
        <v>3299430.58</v>
      </c>
      <c r="N1069" s="711">
        <v>42823.681535451389</v>
      </c>
      <c r="O1069" s="711">
        <v>43191</v>
      </c>
      <c r="P1069" t="s">
        <v>4392</v>
      </c>
      <c r="Q1069" t="s">
        <v>1280</v>
      </c>
      <c r="R1069" t="s">
        <v>4393</v>
      </c>
      <c r="S1069" t="s">
        <v>1510</v>
      </c>
      <c r="T1069">
        <v>54</v>
      </c>
      <c r="U1069">
        <f>IF(Table__192.168.1.150_M_CONSOLIDATED_Delinquency_Compulsory_EOM[[#This Row],[Days in Arrears]] &lt; 8, Table__192.168.1.150_M_CONSOLIDATED_Delinquency_Compulsory_EOM[[#This Row],[Outstanding Balance]], 0 )</f>
        <v>2836340.36</v>
      </c>
      <c r="V10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69" s="105" t="str">
        <f>VLOOKUP(Table__192.168.1.150_M_CONSOLIDATED_Delinquency_Compulsory_EOM[[#This Row],[Client No]],'Global Portfolio'!$B$2:$N$2500,10,FALSE)</f>
        <v>Retail</v>
      </c>
      <c r="AA1069" s="105" t="str">
        <f>VLOOKUP(Table__192.168.1.150_M_CONSOLIDATED_Delinquency_Compulsory_EOM[[#This Row],[Client No]],'Global Portfolio'!$B$2:$N$2500,11,FALSE)</f>
        <v>Electronics Stores</v>
      </c>
      <c r="AB1069" s="105" t="str">
        <f>VLOOKUP(Table__192.168.1.150_M_CONSOLIDATED_Delinquency_Compulsory_EOM[[#This Row],[Client No]],'Global Portfolio'!$B$2:$N$2500,12,FALSE)</f>
        <v>Mobile</v>
      </c>
    </row>
    <row r="1070" spans="1:28" x14ac:dyDescent="0.25">
      <c r="A1070">
        <v>200934</v>
      </c>
      <c r="B1070" t="s">
        <v>3129</v>
      </c>
      <c r="C1070" t="s">
        <v>3134</v>
      </c>
      <c r="D1070" t="s">
        <v>1866</v>
      </c>
      <c r="E1070">
        <v>0</v>
      </c>
      <c r="F1070">
        <v>10000000</v>
      </c>
      <c r="G1070">
        <v>5551123.6500000004</v>
      </c>
      <c r="H1070">
        <v>1047479.8</v>
      </c>
      <c r="I1070" t="s">
        <v>2861</v>
      </c>
      <c r="J1070">
        <v>0</v>
      </c>
      <c r="K1070">
        <v>0</v>
      </c>
      <c r="L1070">
        <v>196756.49</v>
      </c>
      <c r="M1070">
        <v>6284878.7999999998</v>
      </c>
      <c r="N1070" s="711">
        <v>42823.775273877312</v>
      </c>
      <c r="O1070" s="711">
        <v>43191</v>
      </c>
      <c r="P1070" t="s">
        <v>3135</v>
      </c>
      <c r="Q1070" t="s">
        <v>1280</v>
      </c>
      <c r="R1070" t="s">
        <v>1280</v>
      </c>
      <c r="S1070" t="s">
        <v>1510</v>
      </c>
      <c r="T1070">
        <v>44</v>
      </c>
      <c r="U1070">
        <f>IF(Table__192.168.1.150_M_CONSOLIDATED_Delinquency_Compulsory_EOM[[#This Row],[Days in Arrears]] &lt; 8, Table__192.168.1.150_M_CONSOLIDATED_Delinquency_Compulsory_EOM[[#This Row],[Outstanding Balance]], 0 )</f>
        <v>5551123.6500000004</v>
      </c>
      <c r="V10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0" s="105" t="str">
        <f>VLOOKUP(Table__192.168.1.150_M_CONSOLIDATED_Delinquency_Compulsory_EOM[[#This Row],[Client No]],'Global Portfolio'!$B$2:$N$2500,10,FALSE)</f>
        <v>Retail</v>
      </c>
      <c r="AA1070" s="105" t="str">
        <f>VLOOKUP(Table__192.168.1.150_M_CONSOLIDATED_Delinquency_Compulsory_EOM[[#This Row],[Client No]],'Global Portfolio'!$B$2:$N$2500,11,FALSE)</f>
        <v>Second Hand -Clothing and  Accessories</v>
      </c>
      <c r="AB1070" s="105" t="str">
        <f>VLOOKUP(Table__192.168.1.150_M_CONSOLIDATED_Delinquency_Compulsory_EOM[[#This Row],[Client No]],'Global Portfolio'!$B$2:$N$2500,12,FALSE)</f>
        <v>Clothing Stores</v>
      </c>
    </row>
    <row r="1071" spans="1:28" x14ac:dyDescent="0.25">
      <c r="A1071">
        <v>200936</v>
      </c>
      <c r="B1071" t="s">
        <v>4390</v>
      </c>
      <c r="C1071" t="s">
        <v>4394</v>
      </c>
      <c r="D1071" t="s">
        <v>1279</v>
      </c>
      <c r="E1071">
        <v>0</v>
      </c>
      <c r="F1071">
        <v>4000000</v>
      </c>
      <c r="G1071">
        <v>1818755.44</v>
      </c>
      <c r="H1071">
        <v>506966.53</v>
      </c>
      <c r="I1071" t="s">
        <v>2538</v>
      </c>
      <c r="J1071">
        <v>37772.75</v>
      </c>
      <c r="K1071">
        <v>0</v>
      </c>
      <c r="L1071">
        <v>79115.86</v>
      </c>
      <c r="M1071">
        <v>2027866.09</v>
      </c>
      <c r="N1071" s="711">
        <v>42823.669070601849</v>
      </c>
      <c r="O1071" s="711">
        <v>43132</v>
      </c>
      <c r="P1071" t="s">
        <v>4395</v>
      </c>
      <c r="Q1071" t="s">
        <v>1280</v>
      </c>
      <c r="R1071" t="s">
        <v>4396</v>
      </c>
      <c r="S1071" t="s">
        <v>1510</v>
      </c>
      <c r="T1071">
        <v>54</v>
      </c>
      <c r="U1071">
        <f>IF(Table__192.168.1.150_M_CONSOLIDATED_Delinquency_Compulsory_EOM[[#This Row],[Days in Arrears]] &lt; 8, Table__192.168.1.150_M_CONSOLIDATED_Delinquency_Compulsory_EOM[[#This Row],[Outstanding Balance]], 0 )</f>
        <v>1818755.44</v>
      </c>
      <c r="V10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1" s="105" t="str">
        <f>VLOOKUP(Table__192.168.1.150_M_CONSOLIDATED_Delinquency_Compulsory_EOM[[#This Row],[Client No]],'Global Portfolio'!$B$2:$N$2500,10,FALSE)</f>
        <v>Real Estate and Rental</v>
      </c>
      <c r="AA1071" s="105" t="str">
        <f>VLOOKUP(Table__192.168.1.150_M_CONSOLIDATED_Delinquency_Compulsory_EOM[[#This Row],[Client No]],'Global Portfolio'!$B$2:$N$2500,11,FALSE)</f>
        <v>Rental</v>
      </c>
      <c r="AB1071" s="105" t="str">
        <f>VLOOKUP(Table__192.168.1.150_M_CONSOLIDATED_Delinquency_Compulsory_EOM[[#This Row],[Client No]],'Global Portfolio'!$B$2:$N$2500,12,FALSE)</f>
        <v>General Rental Centers</v>
      </c>
    </row>
    <row r="1072" spans="1:28" x14ac:dyDescent="0.25">
      <c r="A1072">
        <v>200937</v>
      </c>
      <c r="B1072" t="s">
        <v>2950</v>
      </c>
      <c r="C1072" t="s">
        <v>2951</v>
      </c>
      <c r="D1072" t="s">
        <v>1282</v>
      </c>
      <c r="E1072">
        <v>0</v>
      </c>
      <c r="F1072">
        <v>6500000</v>
      </c>
      <c r="G1072">
        <v>3639956.32</v>
      </c>
      <c r="H1072">
        <v>694364.99</v>
      </c>
      <c r="I1072" t="s">
        <v>1667</v>
      </c>
      <c r="J1072">
        <v>0</v>
      </c>
      <c r="K1072">
        <v>666619.19999999995</v>
      </c>
      <c r="L1072">
        <v>140744.98000000001</v>
      </c>
      <c r="M1072">
        <v>4166189.95</v>
      </c>
      <c r="N1072" s="711">
        <v>42823.716414351853</v>
      </c>
      <c r="O1072" s="711">
        <v>43191</v>
      </c>
      <c r="P1072" t="s">
        <v>2952</v>
      </c>
      <c r="Q1072" t="s">
        <v>1280</v>
      </c>
      <c r="R1072" t="s">
        <v>1280</v>
      </c>
      <c r="S1072" t="s">
        <v>1510</v>
      </c>
      <c r="T1072">
        <v>48</v>
      </c>
      <c r="U1072">
        <f>IF(Table__192.168.1.150_M_CONSOLIDATED_Delinquency_Compulsory_EOM[[#This Row],[Days in Arrears]] &lt; 8, Table__192.168.1.150_M_CONSOLIDATED_Delinquency_Compulsory_EOM[[#This Row],[Outstanding Balance]], 0 )</f>
        <v>3639956.32</v>
      </c>
      <c r="V10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2" s="105" t="str">
        <f>VLOOKUP(Table__192.168.1.150_M_CONSOLIDATED_Delinquency_Compulsory_EOM[[#This Row],[Client No]],'Global Portfolio'!$B$2:$N$2500,10,FALSE)</f>
        <v>Real Estate and Rental</v>
      </c>
      <c r="AA1072" s="105" t="str">
        <f>VLOOKUP(Table__192.168.1.150_M_CONSOLIDATED_Delinquency_Compulsory_EOM[[#This Row],[Client No]],'Global Portfolio'!$B$2:$N$2500,11,FALSE)</f>
        <v>Rental</v>
      </c>
      <c r="AB1072" s="105" t="str">
        <f>VLOOKUP(Table__192.168.1.150_M_CONSOLIDATED_Delinquency_Compulsory_EOM[[#This Row],[Client No]],'Global Portfolio'!$B$2:$N$2500,12,FALSE)</f>
        <v>General Rental Centers</v>
      </c>
    </row>
    <row r="1073" spans="1:28" x14ac:dyDescent="0.25">
      <c r="A1073">
        <v>200938</v>
      </c>
      <c r="B1073" t="s">
        <v>4398</v>
      </c>
      <c r="C1073" t="s">
        <v>4404</v>
      </c>
      <c r="D1073" t="s">
        <v>1282</v>
      </c>
      <c r="E1073">
        <v>60</v>
      </c>
      <c r="F1073">
        <v>2500000</v>
      </c>
      <c r="G1073">
        <v>908977.4</v>
      </c>
      <c r="H1073">
        <v>485391.7</v>
      </c>
      <c r="I1073" t="s">
        <v>2557</v>
      </c>
      <c r="J1073">
        <v>0</v>
      </c>
      <c r="K1073">
        <v>0</v>
      </c>
      <c r="L1073">
        <v>61806.02</v>
      </c>
      <c r="M1073">
        <v>970783.42</v>
      </c>
      <c r="N1073" s="711">
        <v>42824.432637303238</v>
      </c>
      <c r="O1073" s="711">
        <v>43009</v>
      </c>
      <c r="P1073" t="s">
        <v>4405</v>
      </c>
      <c r="Q1073" t="s">
        <v>1280</v>
      </c>
      <c r="R1073" t="s">
        <v>4406</v>
      </c>
      <c r="S1073" t="s">
        <v>1510</v>
      </c>
      <c r="T1073">
        <v>54</v>
      </c>
      <c r="U1073">
        <f>IF(Table__192.168.1.150_M_CONSOLIDATED_Delinquency_Compulsory_EOM[[#This Row],[Days in Arrears]] &lt; 8, Table__192.168.1.150_M_CONSOLIDATED_Delinquency_Compulsory_EOM[[#This Row],[Outstanding Balance]], 0 )</f>
        <v>0</v>
      </c>
      <c r="V10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908977.4</v>
      </c>
      <c r="Y10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3" s="105" t="str">
        <f>VLOOKUP(Table__192.168.1.150_M_CONSOLIDATED_Delinquency_Compulsory_EOM[[#This Row],[Client No]],'Global Portfolio'!$B$2:$N$2500,10,FALSE)</f>
        <v>Retail</v>
      </c>
      <c r="AA1073" s="105" t="str">
        <f>VLOOKUP(Table__192.168.1.150_M_CONSOLIDATED_Delinquency_Compulsory_EOM[[#This Row],[Client No]],'Global Portfolio'!$B$2:$N$2500,11,FALSE)</f>
        <v>Others</v>
      </c>
      <c r="AB1073" s="105" t="str">
        <f>VLOOKUP(Table__192.168.1.150_M_CONSOLIDATED_Delinquency_Compulsory_EOM[[#This Row],[Client No]],'Global Portfolio'!$B$2:$N$2500,12,FALSE)</f>
        <v>Others</v>
      </c>
    </row>
    <row r="1074" spans="1:28" x14ac:dyDescent="0.25">
      <c r="A1074">
        <v>200939</v>
      </c>
      <c r="B1074" t="s">
        <v>4397</v>
      </c>
      <c r="C1074" t="s">
        <v>4407</v>
      </c>
      <c r="D1074" t="s">
        <v>1866</v>
      </c>
      <c r="E1074">
        <v>0</v>
      </c>
      <c r="F1074">
        <v>7000000</v>
      </c>
      <c r="G1074">
        <v>3150605.59</v>
      </c>
      <c r="H1074">
        <v>871372.3</v>
      </c>
      <c r="I1074" t="s">
        <v>1447</v>
      </c>
      <c r="J1074">
        <v>49000</v>
      </c>
      <c r="K1074">
        <v>700000</v>
      </c>
      <c r="L1074">
        <v>126899.39</v>
      </c>
      <c r="M1074">
        <v>3485489.16</v>
      </c>
      <c r="N1074" s="711">
        <v>42824.447417013886</v>
      </c>
      <c r="O1074" s="711">
        <v>43132</v>
      </c>
      <c r="P1074" t="s">
        <v>4408</v>
      </c>
      <c r="Q1074" t="s">
        <v>1280</v>
      </c>
      <c r="R1074" t="s">
        <v>4409</v>
      </c>
      <c r="S1074" t="s">
        <v>1510</v>
      </c>
      <c r="T1074">
        <v>50</v>
      </c>
      <c r="U1074">
        <f>IF(Table__192.168.1.150_M_CONSOLIDATED_Delinquency_Compulsory_EOM[[#This Row],[Days in Arrears]] &lt; 8, Table__192.168.1.150_M_CONSOLIDATED_Delinquency_Compulsory_EOM[[#This Row],[Outstanding Balance]], 0 )</f>
        <v>3150605.59</v>
      </c>
      <c r="V10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4" s="105" t="str">
        <f>VLOOKUP(Table__192.168.1.150_M_CONSOLIDATED_Delinquency_Compulsory_EOM[[#This Row],[Client No]],'Global Portfolio'!$B$2:$N$2500,10,FALSE)</f>
        <v>Retail</v>
      </c>
      <c r="AA1074" s="105" t="str">
        <f>VLOOKUP(Table__192.168.1.150_M_CONSOLIDATED_Delinquency_Compulsory_EOM[[#This Row],[Client No]],'Global Portfolio'!$B$2:$N$2500,11,FALSE)</f>
        <v>General Merchandise Stores</v>
      </c>
      <c r="AB1074" s="105" t="str">
        <f>VLOOKUP(Table__192.168.1.150_M_CONSOLIDATED_Delinquency_Compulsory_EOM[[#This Row],[Client No]],'Global Portfolio'!$B$2:$N$2500,12,FALSE)</f>
        <v>General Stores</v>
      </c>
    </row>
    <row r="1075" spans="1:28" x14ac:dyDescent="0.25">
      <c r="A1075">
        <v>200941</v>
      </c>
      <c r="B1075" t="s">
        <v>4399</v>
      </c>
      <c r="C1075" t="s">
        <v>4412</v>
      </c>
      <c r="D1075" t="s">
        <v>1282</v>
      </c>
      <c r="E1075">
        <v>0</v>
      </c>
      <c r="F1075">
        <v>8000000</v>
      </c>
      <c r="G1075">
        <v>3632304.54</v>
      </c>
      <c r="H1075">
        <v>1012481.81</v>
      </c>
      <c r="I1075" t="s">
        <v>1909</v>
      </c>
      <c r="J1075">
        <v>846336.91</v>
      </c>
      <c r="K1075">
        <v>800000</v>
      </c>
      <c r="L1075">
        <v>158005.25</v>
      </c>
      <c r="M1075">
        <v>4049927.27</v>
      </c>
      <c r="N1075" s="711">
        <v>42824.665698460645</v>
      </c>
      <c r="O1075" s="711">
        <v>43132</v>
      </c>
      <c r="P1075" t="s">
        <v>4413</v>
      </c>
      <c r="Q1075" t="s">
        <v>1280</v>
      </c>
      <c r="R1075" t="s">
        <v>4414</v>
      </c>
      <c r="S1075" t="s">
        <v>1510</v>
      </c>
      <c r="T1075">
        <v>54</v>
      </c>
      <c r="U1075">
        <f>IF(Table__192.168.1.150_M_CONSOLIDATED_Delinquency_Compulsory_EOM[[#This Row],[Days in Arrears]] &lt; 8, Table__192.168.1.150_M_CONSOLIDATED_Delinquency_Compulsory_EOM[[#This Row],[Outstanding Balance]], 0 )</f>
        <v>3632304.54</v>
      </c>
      <c r="V10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5" s="105" t="str">
        <f>VLOOKUP(Table__192.168.1.150_M_CONSOLIDATED_Delinquency_Compulsory_EOM[[#This Row],[Client No]],'Global Portfolio'!$B$2:$N$2500,10,FALSE)</f>
        <v>Retail</v>
      </c>
      <c r="AA1075" s="105" t="str">
        <f>VLOOKUP(Table__192.168.1.150_M_CONSOLIDATED_Delinquency_Compulsory_EOM[[#This Row],[Client No]],'Global Portfolio'!$B$2:$N$2500,11,FALSE)</f>
        <v>Others</v>
      </c>
      <c r="AB1075" s="105" t="str">
        <f>VLOOKUP(Table__192.168.1.150_M_CONSOLIDATED_Delinquency_Compulsory_EOM[[#This Row],[Client No]],'Global Portfolio'!$B$2:$N$2500,12,FALSE)</f>
        <v>Others</v>
      </c>
    </row>
    <row r="1076" spans="1:28" x14ac:dyDescent="0.25">
      <c r="A1076">
        <v>200942</v>
      </c>
      <c r="B1076" t="s">
        <v>2486</v>
      </c>
      <c r="C1076" t="s">
        <v>2487</v>
      </c>
      <c r="D1076" t="s">
        <v>1866</v>
      </c>
      <c r="E1076">
        <v>0</v>
      </c>
      <c r="F1076">
        <v>6000000</v>
      </c>
      <c r="G1076">
        <v>3326756.6</v>
      </c>
      <c r="H1076">
        <v>627748.64</v>
      </c>
      <c r="I1076" t="s">
        <v>2861</v>
      </c>
      <c r="J1076">
        <v>0</v>
      </c>
      <c r="K1076">
        <v>600000</v>
      </c>
      <c r="L1076">
        <v>117915.04</v>
      </c>
      <c r="M1076">
        <v>3766491.86</v>
      </c>
      <c r="N1076" s="711">
        <v>42824.708639965276</v>
      </c>
      <c r="O1076" s="711">
        <v>43191</v>
      </c>
      <c r="P1076" t="s">
        <v>2488</v>
      </c>
      <c r="Q1076" t="s">
        <v>1280</v>
      </c>
      <c r="R1076" t="s">
        <v>1280</v>
      </c>
      <c r="S1076" t="s">
        <v>1510</v>
      </c>
      <c r="T1076">
        <v>44</v>
      </c>
      <c r="U1076">
        <f>IF(Table__192.168.1.150_M_CONSOLIDATED_Delinquency_Compulsory_EOM[[#This Row],[Days in Arrears]] &lt; 8, Table__192.168.1.150_M_CONSOLIDATED_Delinquency_Compulsory_EOM[[#This Row],[Outstanding Balance]], 0 )</f>
        <v>3326756.6</v>
      </c>
      <c r="V10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6" s="105" t="str">
        <f>VLOOKUP(Table__192.168.1.150_M_CONSOLIDATED_Delinquency_Compulsory_EOM[[#This Row],[Client No]],'Global Portfolio'!$B$2:$N$2500,10,FALSE)</f>
        <v>Wholesale Trade</v>
      </c>
      <c r="AA1076" s="105" t="str">
        <f>VLOOKUP(Table__192.168.1.150_M_CONSOLIDATED_Delinquency_Compulsory_EOM[[#This Row],[Client No]],'Global Portfolio'!$B$2:$N$2500,11,FALSE)</f>
        <v>Others</v>
      </c>
      <c r="AB1076" s="105" t="str">
        <f>VLOOKUP(Table__192.168.1.150_M_CONSOLIDATED_Delinquency_Compulsory_EOM[[#This Row],[Client No]],'Global Portfolio'!$B$2:$N$2500,12,FALSE)</f>
        <v>Others</v>
      </c>
    </row>
    <row r="1077" spans="1:28" x14ac:dyDescent="0.25">
      <c r="A1077">
        <v>200943</v>
      </c>
      <c r="B1077" t="s">
        <v>4422</v>
      </c>
      <c r="C1077" t="s">
        <v>4428</v>
      </c>
      <c r="D1077" t="s">
        <v>1284</v>
      </c>
      <c r="E1077">
        <v>0</v>
      </c>
      <c r="F1077">
        <v>25000000</v>
      </c>
      <c r="G1077">
        <v>18275152.739999998</v>
      </c>
      <c r="H1077">
        <v>1869328.47</v>
      </c>
      <c r="I1077" t="s">
        <v>1467</v>
      </c>
      <c r="J1077">
        <v>0</v>
      </c>
      <c r="K1077">
        <v>1250000</v>
      </c>
      <c r="L1077">
        <v>588866.03</v>
      </c>
      <c r="M1077">
        <v>22480446.420000002</v>
      </c>
      <c r="N1077" s="711">
        <v>42825.559319097221</v>
      </c>
      <c r="O1077" s="711">
        <v>43374</v>
      </c>
      <c r="P1077" t="s">
        <v>4429</v>
      </c>
      <c r="Q1077" t="s">
        <v>1280</v>
      </c>
      <c r="R1077" t="s">
        <v>4430</v>
      </c>
      <c r="S1077" t="s">
        <v>1510</v>
      </c>
      <c r="T1077">
        <v>40</v>
      </c>
      <c r="U1077">
        <f>IF(Table__192.168.1.150_M_CONSOLIDATED_Delinquency_Compulsory_EOM[[#This Row],[Days in Arrears]] &lt; 8, Table__192.168.1.150_M_CONSOLIDATED_Delinquency_Compulsory_EOM[[#This Row],[Outstanding Balance]], 0 )</f>
        <v>18275152.739999998</v>
      </c>
      <c r="V10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7" s="105" t="str">
        <f>VLOOKUP(Table__192.168.1.150_M_CONSOLIDATED_Delinquency_Compulsory_EOM[[#This Row],[Client No]],'Global Portfolio'!$B$2:$N$2500,10,FALSE)</f>
        <v>Retail</v>
      </c>
      <c r="AA1077" s="105" t="str">
        <f>VLOOKUP(Table__192.168.1.150_M_CONSOLIDATED_Delinquency_Compulsory_EOM[[#This Row],[Client No]],'Global Portfolio'!$B$2:$N$2500,11,FALSE)</f>
        <v>General Merchandise Stores</v>
      </c>
      <c r="AB1077" s="105" t="str">
        <f>VLOOKUP(Table__192.168.1.150_M_CONSOLIDATED_Delinquency_Compulsory_EOM[[#This Row],[Client No]],'Global Portfolio'!$B$2:$N$2500,12,FALSE)</f>
        <v>General Stores</v>
      </c>
    </row>
    <row r="1078" spans="1:28" x14ac:dyDescent="0.25">
      <c r="A1078">
        <v>200944</v>
      </c>
      <c r="B1078" t="s">
        <v>2493</v>
      </c>
      <c r="C1078" t="s">
        <v>2496</v>
      </c>
      <c r="D1078" t="s">
        <v>1282</v>
      </c>
      <c r="E1078">
        <v>-4</v>
      </c>
      <c r="F1078">
        <v>7000000</v>
      </c>
      <c r="G1078">
        <v>3934991.12</v>
      </c>
      <c r="H1078">
        <v>750646.4</v>
      </c>
      <c r="I1078" t="s">
        <v>2494</v>
      </c>
      <c r="J1078">
        <v>20000</v>
      </c>
      <c r="K1078">
        <v>700000</v>
      </c>
      <c r="L1078">
        <v>131166.37</v>
      </c>
      <c r="M1078">
        <v>4503878.33</v>
      </c>
      <c r="N1078" s="711">
        <v>42825.707775659721</v>
      </c>
      <c r="O1078" s="711">
        <v>43195</v>
      </c>
      <c r="P1078" t="s">
        <v>2497</v>
      </c>
      <c r="Q1078" t="s">
        <v>1280</v>
      </c>
      <c r="R1078" t="s">
        <v>2498</v>
      </c>
      <c r="S1078" t="s">
        <v>1510</v>
      </c>
      <c r="T1078">
        <v>48</v>
      </c>
      <c r="U1078">
        <f>IF(Table__192.168.1.150_M_CONSOLIDATED_Delinquency_Compulsory_EOM[[#This Row],[Days in Arrears]] &lt; 8, Table__192.168.1.150_M_CONSOLIDATED_Delinquency_Compulsory_EOM[[#This Row],[Outstanding Balance]], 0 )</f>
        <v>3934991.12</v>
      </c>
      <c r="V10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8" s="105" t="str">
        <f>VLOOKUP(Table__192.168.1.150_M_CONSOLIDATED_Delinquency_Compulsory_EOM[[#This Row],[Client No]],'Global Portfolio'!$B$2:$N$2500,10,FALSE)</f>
        <v>Real Estate and Rental</v>
      </c>
      <c r="AA1078" s="105" t="str">
        <f>VLOOKUP(Table__192.168.1.150_M_CONSOLIDATED_Delinquency_Compulsory_EOM[[#This Row],[Client No]],'Global Portfolio'!$B$2:$N$2500,11,FALSE)</f>
        <v>Rental</v>
      </c>
      <c r="AB1078" s="105" t="str">
        <f>VLOOKUP(Table__192.168.1.150_M_CONSOLIDATED_Delinquency_Compulsory_EOM[[#This Row],[Client No]],'Global Portfolio'!$B$2:$N$2500,12,FALSE)</f>
        <v>General Rental Centers</v>
      </c>
    </row>
    <row r="1079" spans="1:28" x14ac:dyDescent="0.25">
      <c r="A1079">
        <v>200945</v>
      </c>
      <c r="B1079" t="s">
        <v>2473</v>
      </c>
      <c r="C1079" t="s">
        <v>2474</v>
      </c>
      <c r="D1079" t="s">
        <v>1279</v>
      </c>
      <c r="E1079">
        <v>0</v>
      </c>
      <c r="F1079">
        <v>4000000</v>
      </c>
      <c r="G1079">
        <v>2237108.71</v>
      </c>
      <c r="H1079">
        <v>426755.11</v>
      </c>
      <c r="I1079" t="s">
        <v>2861</v>
      </c>
      <c r="J1079">
        <v>422244.89</v>
      </c>
      <c r="K1079">
        <v>400000</v>
      </c>
      <c r="L1079">
        <v>86501.54</v>
      </c>
      <c r="M1079">
        <v>2560530.6800000002</v>
      </c>
      <c r="N1079" s="711">
        <v>42825.563153668983</v>
      </c>
      <c r="O1079" s="711">
        <v>43191</v>
      </c>
      <c r="P1079" t="s">
        <v>2475</v>
      </c>
      <c r="Q1079" t="s">
        <v>1280</v>
      </c>
      <c r="R1079" t="s">
        <v>2476</v>
      </c>
      <c r="S1079" t="s">
        <v>1510</v>
      </c>
      <c r="T1079">
        <v>48</v>
      </c>
      <c r="U1079">
        <f>IF(Table__192.168.1.150_M_CONSOLIDATED_Delinquency_Compulsory_EOM[[#This Row],[Days in Arrears]] &lt; 8, Table__192.168.1.150_M_CONSOLIDATED_Delinquency_Compulsory_EOM[[#This Row],[Outstanding Balance]], 0 )</f>
        <v>2237108.71</v>
      </c>
      <c r="V10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79" s="105" t="str">
        <f>VLOOKUP(Table__192.168.1.150_M_CONSOLIDATED_Delinquency_Compulsory_EOM[[#This Row],[Client No]],'Global Portfolio'!$B$2:$N$2500,10,FALSE)</f>
        <v>Retail</v>
      </c>
      <c r="AA1079" s="105" t="str">
        <f>VLOOKUP(Table__192.168.1.150_M_CONSOLIDATED_Delinquency_Compulsory_EOM[[#This Row],[Client No]],'Global Portfolio'!$B$2:$N$2500,11,FALSE)</f>
        <v>General Merchandise Stores</v>
      </c>
      <c r="AB1079" s="105" t="str">
        <f>VLOOKUP(Table__192.168.1.150_M_CONSOLIDATED_Delinquency_Compulsory_EOM[[#This Row],[Client No]],'Global Portfolio'!$B$2:$N$2500,12,FALSE)</f>
        <v>General Stores</v>
      </c>
    </row>
    <row r="1080" spans="1:28" x14ac:dyDescent="0.25">
      <c r="A1080">
        <v>200947</v>
      </c>
      <c r="B1080" t="s">
        <v>2382</v>
      </c>
      <c r="C1080" t="s">
        <v>2407</v>
      </c>
      <c r="D1080" t="s">
        <v>1282</v>
      </c>
      <c r="E1080">
        <v>0</v>
      </c>
      <c r="F1080">
        <v>10000000</v>
      </c>
      <c r="G1080">
        <v>5592771.75</v>
      </c>
      <c r="H1080">
        <v>1066887.78</v>
      </c>
      <c r="I1080" t="s">
        <v>1667</v>
      </c>
      <c r="J1080">
        <v>21174.880000000001</v>
      </c>
      <c r="K1080">
        <v>1000000</v>
      </c>
      <c r="L1080">
        <v>216253.84</v>
      </c>
      <c r="M1080">
        <v>6401326.6600000001</v>
      </c>
      <c r="N1080" s="711">
        <v>42825.758884872688</v>
      </c>
      <c r="O1080" s="711">
        <v>43191</v>
      </c>
      <c r="P1080" t="s">
        <v>2408</v>
      </c>
      <c r="Q1080" t="s">
        <v>1280</v>
      </c>
      <c r="R1080" t="s">
        <v>2409</v>
      </c>
      <c r="S1080" t="s">
        <v>1510</v>
      </c>
      <c r="T1080">
        <v>48</v>
      </c>
      <c r="U1080">
        <f>IF(Table__192.168.1.150_M_CONSOLIDATED_Delinquency_Compulsory_EOM[[#This Row],[Days in Arrears]] &lt; 8, Table__192.168.1.150_M_CONSOLIDATED_Delinquency_Compulsory_EOM[[#This Row],[Outstanding Balance]], 0 )</f>
        <v>5592771.75</v>
      </c>
      <c r="V10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0" s="105" t="str">
        <f>VLOOKUP(Table__192.168.1.150_M_CONSOLIDATED_Delinquency_Compulsory_EOM[[#This Row],[Client No]],'Global Portfolio'!$B$2:$N$2500,10,FALSE)</f>
        <v>Wholesale Trade</v>
      </c>
      <c r="AA1080" s="105" t="str">
        <f>VLOOKUP(Table__192.168.1.150_M_CONSOLIDATED_Delinquency_Compulsory_EOM[[#This Row],[Client No]],'Global Portfolio'!$B$2:$N$2500,11,FALSE)</f>
        <v>Durable Goods</v>
      </c>
      <c r="AB1080" s="105" t="str">
        <f>VLOOKUP(Table__192.168.1.150_M_CONSOLIDATED_Delinquency_Compulsory_EOM[[#This Row],[Client No]],'Global Portfolio'!$B$2:$N$2500,12,FALSE)</f>
        <v>Others</v>
      </c>
    </row>
    <row r="1081" spans="1:28" x14ac:dyDescent="0.25">
      <c r="A1081">
        <v>200948</v>
      </c>
      <c r="B1081" t="s">
        <v>4423</v>
      </c>
      <c r="C1081" t="s">
        <v>4431</v>
      </c>
      <c r="D1081" t="s">
        <v>1866</v>
      </c>
      <c r="E1081">
        <v>0</v>
      </c>
      <c r="F1081">
        <v>6000000</v>
      </c>
      <c r="G1081">
        <v>3370059.62</v>
      </c>
      <c r="H1081">
        <v>646371.39</v>
      </c>
      <c r="I1081" t="s">
        <v>2861</v>
      </c>
      <c r="J1081">
        <v>59474.86</v>
      </c>
      <c r="K1081">
        <v>600000</v>
      </c>
      <c r="L1081">
        <v>135738.51</v>
      </c>
      <c r="M1081">
        <v>3878228.39</v>
      </c>
      <c r="N1081" s="711">
        <v>42825.769430474538</v>
      </c>
      <c r="O1081" s="711">
        <v>43191</v>
      </c>
      <c r="P1081" t="s">
        <v>4432</v>
      </c>
      <c r="Q1081" t="s">
        <v>1280</v>
      </c>
      <c r="R1081" t="s">
        <v>4433</v>
      </c>
      <c r="S1081" t="s">
        <v>1510</v>
      </c>
      <c r="T1081">
        <v>50</v>
      </c>
      <c r="U1081">
        <f>IF(Table__192.168.1.150_M_CONSOLIDATED_Delinquency_Compulsory_EOM[[#This Row],[Days in Arrears]] &lt; 8, Table__192.168.1.150_M_CONSOLIDATED_Delinquency_Compulsory_EOM[[#This Row],[Outstanding Balance]], 0 )</f>
        <v>3370059.62</v>
      </c>
      <c r="V10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1" s="105" t="str">
        <f>VLOOKUP(Table__192.168.1.150_M_CONSOLIDATED_Delinquency_Compulsory_EOM[[#This Row],[Client No]],'Global Portfolio'!$B$2:$N$2500,10,FALSE)</f>
        <v>Retail</v>
      </c>
      <c r="AA1081" s="105" t="str">
        <f>VLOOKUP(Table__192.168.1.150_M_CONSOLIDATED_Delinquency_Compulsory_EOM[[#This Row],[Client No]],'Global Portfolio'!$B$2:$N$2500,11,FALSE)</f>
        <v>Others</v>
      </c>
      <c r="AB1081" s="105" t="str">
        <f>VLOOKUP(Table__192.168.1.150_M_CONSOLIDATED_Delinquency_Compulsory_EOM[[#This Row],[Client No]],'Global Portfolio'!$B$2:$N$2500,12,FALSE)</f>
        <v>Others</v>
      </c>
    </row>
    <row r="1082" spans="1:28" x14ac:dyDescent="0.25">
      <c r="A1082">
        <v>200949</v>
      </c>
      <c r="B1082" t="s">
        <v>4415</v>
      </c>
      <c r="C1082" t="s">
        <v>4434</v>
      </c>
      <c r="D1082" t="s">
        <v>1279</v>
      </c>
      <c r="E1082">
        <v>0</v>
      </c>
      <c r="F1082">
        <v>3000000</v>
      </c>
      <c r="G1082">
        <v>1362114.19</v>
      </c>
      <c r="H1082">
        <v>379680.68</v>
      </c>
      <c r="I1082" t="s">
        <v>1467</v>
      </c>
      <c r="J1082">
        <v>0</v>
      </c>
      <c r="K1082">
        <v>300000</v>
      </c>
      <c r="L1082">
        <v>59251.97</v>
      </c>
      <c r="M1082">
        <v>1518722.72</v>
      </c>
      <c r="N1082" s="711">
        <v>42825.788788576392</v>
      </c>
      <c r="O1082" s="711">
        <v>43132</v>
      </c>
      <c r="P1082" t="s">
        <v>4435</v>
      </c>
      <c r="Q1082" t="s">
        <v>1280</v>
      </c>
      <c r="R1082" t="s">
        <v>1280</v>
      </c>
      <c r="S1082" t="s">
        <v>1510</v>
      </c>
      <c r="T1082">
        <v>54</v>
      </c>
      <c r="U1082">
        <f>IF(Table__192.168.1.150_M_CONSOLIDATED_Delinquency_Compulsory_EOM[[#This Row],[Days in Arrears]] &lt; 8, Table__192.168.1.150_M_CONSOLIDATED_Delinquency_Compulsory_EOM[[#This Row],[Outstanding Balance]], 0 )</f>
        <v>1362114.19</v>
      </c>
      <c r="V10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2" s="105" t="str">
        <f>VLOOKUP(Table__192.168.1.150_M_CONSOLIDATED_Delinquency_Compulsory_EOM[[#This Row],[Client No]],'Global Portfolio'!$B$2:$N$2500,10,FALSE)</f>
        <v>Manufacturing</v>
      </c>
      <c r="AA1082" s="105" t="str">
        <f>VLOOKUP(Table__192.168.1.150_M_CONSOLIDATED_Delinquency_Compulsory_EOM[[#This Row],[Client No]],'Global Portfolio'!$B$2:$N$2500,11,FALSE)</f>
        <v>Textiles</v>
      </c>
      <c r="AB1082" s="105" t="str">
        <f>VLOOKUP(Table__192.168.1.150_M_CONSOLIDATED_Delinquency_Compulsory_EOM[[#This Row],[Client No]],'Global Portfolio'!$B$2:$N$2500,12,FALSE)</f>
        <v>Others</v>
      </c>
    </row>
    <row r="1083" spans="1:28" x14ac:dyDescent="0.25">
      <c r="A1083">
        <v>200951</v>
      </c>
      <c r="B1083" t="s">
        <v>4419</v>
      </c>
      <c r="C1083" t="s">
        <v>4436</v>
      </c>
      <c r="D1083" t="s">
        <v>1866</v>
      </c>
      <c r="E1083">
        <v>-23</v>
      </c>
      <c r="F1083">
        <v>10000000</v>
      </c>
      <c r="G1083">
        <v>4729018.76</v>
      </c>
      <c r="H1083">
        <v>1067244.3799999999</v>
      </c>
      <c r="I1083" t="s">
        <v>2557</v>
      </c>
      <c r="J1083">
        <v>0</v>
      </c>
      <c r="K1083">
        <v>1000000</v>
      </c>
      <c r="L1083">
        <v>39408.49</v>
      </c>
      <c r="M1083">
        <v>5336221.82</v>
      </c>
      <c r="N1083" s="711">
        <v>42825.753275694442</v>
      </c>
      <c r="O1083" s="711">
        <v>43183</v>
      </c>
      <c r="P1083" t="s">
        <v>4437</v>
      </c>
      <c r="Q1083" t="s">
        <v>1280</v>
      </c>
      <c r="R1083" t="s">
        <v>4438</v>
      </c>
      <c r="S1083" t="s">
        <v>1510</v>
      </c>
      <c r="T1083">
        <v>50</v>
      </c>
      <c r="U1083">
        <f>IF(Table__192.168.1.150_M_CONSOLIDATED_Delinquency_Compulsory_EOM[[#This Row],[Days in Arrears]] &lt; 8, Table__192.168.1.150_M_CONSOLIDATED_Delinquency_Compulsory_EOM[[#This Row],[Outstanding Balance]], 0 )</f>
        <v>4729018.76</v>
      </c>
      <c r="V10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3" s="105" t="str">
        <f>VLOOKUP(Table__192.168.1.150_M_CONSOLIDATED_Delinquency_Compulsory_EOM[[#This Row],[Client No]],'Global Portfolio'!$B$2:$N$2500,10,FALSE)</f>
        <v>Wholesale Trade</v>
      </c>
      <c r="AA1083" s="105" t="str">
        <f>VLOOKUP(Table__192.168.1.150_M_CONSOLIDATED_Delinquency_Compulsory_EOM[[#This Row],[Client No]],'Global Portfolio'!$B$2:$N$2500,11,FALSE)</f>
        <v>Others</v>
      </c>
      <c r="AB1083" s="105" t="str">
        <f>VLOOKUP(Table__192.168.1.150_M_CONSOLIDATED_Delinquency_Compulsory_EOM[[#This Row],[Client No]],'Global Portfolio'!$B$2:$N$2500,12,FALSE)</f>
        <v>Others</v>
      </c>
    </row>
    <row r="1084" spans="1:28" x14ac:dyDescent="0.25">
      <c r="A1084">
        <v>200952</v>
      </c>
      <c r="B1084" t="s">
        <v>4418</v>
      </c>
      <c r="C1084" t="s">
        <v>4439</v>
      </c>
      <c r="D1084" t="s">
        <v>1284</v>
      </c>
      <c r="E1084">
        <v>-2</v>
      </c>
      <c r="F1084">
        <v>8000000</v>
      </c>
      <c r="G1084">
        <v>5014308.3499999996</v>
      </c>
      <c r="H1084">
        <v>724399.3</v>
      </c>
      <c r="I1084" t="s">
        <v>1667</v>
      </c>
      <c r="J1084">
        <v>832738.21</v>
      </c>
      <c r="K1084">
        <v>400000</v>
      </c>
      <c r="L1084">
        <v>150429.25</v>
      </c>
      <c r="M1084">
        <v>5795194.3300000001</v>
      </c>
      <c r="N1084" s="711">
        <v>42825.553923344909</v>
      </c>
      <c r="O1084" s="711">
        <v>43254</v>
      </c>
      <c r="P1084" t="s">
        <v>4440</v>
      </c>
      <c r="Q1084" t="s">
        <v>1280</v>
      </c>
      <c r="R1084" t="s">
        <v>4441</v>
      </c>
      <c r="S1084" t="s">
        <v>1510</v>
      </c>
      <c r="T1084">
        <v>40</v>
      </c>
      <c r="U1084">
        <f>IF(Table__192.168.1.150_M_CONSOLIDATED_Delinquency_Compulsory_EOM[[#This Row],[Days in Arrears]] &lt; 8, Table__192.168.1.150_M_CONSOLIDATED_Delinquency_Compulsory_EOM[[#This Row],[Outstanding Balance]], 0 )</f>
        <v>5014308.3499999996</v>
      </c>
      <c r="V10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4" s="105" t="str">
        <f>VLOOKUP(Table__192.168.1.150_M_CONSOLIDATED_Delinquency_Compulsory_EOM[[#This Row],[Client No]],'Global Portfolio'!$B$2:$N$2500,10,FALSE)</f>
        <v>Wholesale Trade</v>
      </c>
      <c r="AA1084" s="105" t="str">
        <f>VLOOKUP(Table__192.168.1.150_M_CONSOLIDATED_Delinquency_Compulsory_EOM[[#This Row],[Client No]],'Global Portfolio'!$B$2:$N$2500,11,FALSE)</f>
        <v>Others</v>
      </c>
      <c r="AB1084" s="105" t="str">
        <f>VLOOKUP(Table__192.168.1.150_M_CONSOLIDATED_Delinquency_Compulsory_EOM[[#This Row],[Client No]],'Global Portfolio'!$B$2:$N$2500,12,FALSE)</f>
        <v>Others</v>
      </c>
    </row>
    <row r="1085" spans="1:28" x14ac:dyDescent="0.25">
      <c r="A1085">
        <v>200954</v>
      </c>
      <c r="B1085" t="s">
        <v>4446</v>
      </c>
      <c r="C1085" t="s">
        <v>4447</v>
      </c>
      <c r="D1085" t="s">
        <v>1866</v>
      </c>
      <c r="E1085">
        <v>-2</v>
      </c>
      <c r="F1085">
        <v>10000000</v>
      </c>
      <c r="G1085">
        <v>5609286.9400000004</v>
      </c>
      <c r="H1085">
        <v>1075851.19</v>
      </c>
      <c r="I1085" t="s">
        <v>1909</v>
      </c>
      <c r="J1085">
        <v>0</v>
      </c>
      <c r="K1085">
        <v>1000000</v>
      </c>
      <c r="L1085">
        <v>210348.26</v>
      </c>
      <c r="M1085">
        <v>6455107.0999999996</v>
      </c>
      <c r="N1085" s="711">
        <v>42828.483967245367</v>
      </c>
      <c r="O1085" s="711">
        <v>43193</v>
      </c>
      <c r="P1085" t="s">
        <v>4448</v>
      </c>
      <c r="Q1085" t="s">
        <v>4681</v>
      </c>
      <c r="R1085" t="s">
        <v>1280</v>
      </c>
      <c r="S1085" t="s">
        <v>1510</v>
      </c>
      <c r="T1085">
        <v>50</v>
      </c>
      <c r="U1085">
        <f>IF(Table__192.168.1.150_M_CONSOLIDATED_Delinquency_Compulsory_EOM[[#This Row],[Days in Arrears]] &lt; 8, Table__192.168.1.150_M_CONSOLIDATED_Delinquency_Compulsory_EOM[[#This Row],[Outstanding Balance]], 0 )</f>
        <v>5609286.9400000004</v>
      </c>
      <c r="V10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5" s="105" t="str">
        <f>VLOOKUP(Table__192.168.1.150_M_CONSOLIDATED_Delinquency_Compulsory_EOM[[#This Row],[Client No]],'Global Portfolio'!$B$2:$N$2500,10,FALSE)</f>
        <v>Wholesale Trade</v>
      </c>
      <c r="AA1085" s="105" t="str">
        <f>VLOOKUP(Table__192.168.1.150_M_CONSOLIDATED_Delinquency_Compulsory_EOM[[#This Row],[Client No]],'Global Portfolio'!$B$2:$N$2500,11,FALSE)</f>
        <v>Others</v>
      </c>
      <c r="AB1085" s="105" t="str">
        <f>VLOOKUP(Table__192.168.1.150_M_CONSOLIDATED_Delinquency_Compulsory_EOM[[#This Row],[Client No]],'Global Portfolio'!$B$2:$N$2500,12,FALSE)</f>
        <v>Others</v>
      </c>
    </row>
    <row r="1086" spans="1:28" x14ac:dyDescent="0.25">
      <c r="A1086">
        <v>200955</v>
      </c>
      <c r="B1086" t="s">
        <v>4444</v>
      </c>
      <c r="C1086" t="s">
        <v>4449</v>
      </c>
      <c r="D1086" t="s">
        <v>1281</v>
      </c>
      <c r="E1086">
        <v>148</v>
      </c>
      <c r="F1086">
        <v>25000000</v>
      </c>
      <c r="G1086">
        <v>23336195.68</v>
      </c>
      <c r="H1086">
        <v>2663804.3199999998</v>
      </c>
      <c r="I1086" t="s">
        <v>491</v>
      </c>
      <c r="J1086">
        <v>0</v>
      </c>
      <c r="K1086">
        <v>1875000</v>
      </c>
      <c r="L1086">
        <v>1443485.72</v>
      </c>
      <c r="M1086">
        <v>28947651.800000001</v>
      </c>
      <c r="N1086" s="711">
        <v>42828.658962187503</v>
      </c>
      <c r="O1086" s="711">
        <v>43193</v>
      </c>
      <c r="P1086" t="s">
        <v>4450</v>
      </c>
      <c r="Q1086" t="s">
        <v>1280</v>
      </c>
      <c r="R1086" t="s">
        <v>4451</v>
      </c>
      <c r="S1086" t="s">
        <v>1510</v>
      </c>
      <c r="T1086">
        <v>48</v>
      </c>
      <c r="U1086">
        <f>IF(Table__192.168.1.150_M_CONSOLIDATED_Delinquency_Compulsory_EOM[[#This Row],[Days in Arrears]] &lt; 8, Table__192.168.1.150_M_CONSOLIDATED_Delinquency_Compulsory_EOM[[#This Row],[Outstanding Balance]], 0 )</f>
        <v>0</v>
      </c>
      <c r="V10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23336195.68</v>
      </c>
      <c r="Z1086" s="105" t="str">
        <f>VLOOKUP(Table__192.168.1.150_M_CONSOLIDATED_Delinquency_Compulsory_EOM[[#This Row],[Client No]],'Global Portfolio'!$B$2:$N$2500,10,FALSE)</f>
        <v>Agriculture, Forestry, Fishing and Hunting</v>
      </c>
      <c r="AA1086" s="105" t="str">
        <f>VLOOKUP(Table__192.168.1.150_M_CONSOLIDATED_Delinquency_Compulsory_EOM[[#This Row],[Client No]],'Global Portfolio'!$B$2:$N$2500,11,FALSE)</f>
        <v>Crop Production</v>
      </c>
      <c r="AB1086" s="105" t="str">
        <f>VLOOKUP(Table__192.168.1.150_M_CONSOLIDATED_Delinquency_Compulsory_EOM[[#This Row],[Client No]],'Global Portfolio'!$B$2:$N$2500,12,FALSE)</f>
        <v>Maize</v>
      </c>
    </row>
    <row r="1087" spans="1:28" x14ac:dyDescent="0.25">
      <c r="A1087">
        <v>200956</v>
      </c>
      <c r="B1087" t="s">
        <v>4445</v>
      </c>
      <c r="C1087" t="s">
        <v>4452</v>
      </c>
      <c r="D1087" t="s">
        <v>1281</v>
      </c>
      <c r="E1087">
        <v>-2</v>
      </c>
      <c r="F1087">
        <v>30000000</v>
      </c>
      <c r="G1087">
        <v>22240746.359999999</v>
      </c>
      <c r="H1087">
        <v>2369799.84</v>
      </c>
      <c r="I1087" t="s">
        <v>1447</v>
      </c>
      <c r="J1087">
        <v>329001.34000000003</v>
      </c>
      <c r="K1087">
        <v>2250000</v>
      </c>
      <c r="L1087">
        <v>800666.87</v>
      </c>
      <c r="M1087">
        <v>28437598.170000002</v>
      </c>
      <c r="N1087" s="711">
        <v>42828.67673634259</v>
      </c>
      <c r="O1087" s="711">
        <v>43376</v>
      </c>
      <c r="P1087" t="s">
        <v>4453</v>
      </c>
      <c r="Q1087" t="s">
        <v>1280</v>
      </c>
      <c r="R1087" t="s">
        <v>4454</v>
      </c>
      <c r="S1087" t="s">
        <v>1510</v>
      </c>
      <c r="T1087">
        <v>48</v>
      </c>
      <c r="U1087">
        <f>IF(Table__192.168.1.150_M_CONSOLIDATED_Delinquency_Compulsory_EOM[[#This Row],[Days in Arrears]] &lt; 8, Table__192.168.1.150_M_CONSOLIDATED_Delinquency_Compulsory_EOM[[#This Row],[Outstanding Balance]], 0 )</f>
        <v>22240746.359999999</v>
      </c>
      <c r="V10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7" s="105" t="str">
        <f>VLOOKUP(Table__192.168.1.150_M_CONSOLIDATED_Delinquency_Compulsory_EOM[[#This Row],[Client No]],'Global Portfolio'!$B$2:$N$2500,10,FALSE)</f>
        <v>Retail</v>
      </c>
      <c r="AA1087" s="105" t="str">
        <f>VLOOKUP(Table__192.168.1.150_M_CONSOLIDATED_Delinquency_Compulsory_EOM[[#This Row],[Client No]],'Global Portfolio'!$B$2:$N$2500,11,FALSE)</f>
        <v>Others</v>
      </c>
      <c r="AB1087" s="105" t="str">
        <f>VLOOKUP(Table__192.168.1.150_M_CONSOLIDATED_Delinquency_Compulsory_EOM[[#This Row],[Client No]],'Global Portfolio'!$B$2:$N$2500,12,FALSE)</f>
        <v>Others</v>
      </c>
    </row>
    <row r="1088" spans="1:28" x14ac:dyDescent="0.25">
      <c r="A1088">
        <v>200958</v>
      </c>
      <c r="B1088" t="s">
        <v>4456</v>
      </c>
      <c r="C1088" t="s">
        <v>4457</v>
      </c>
      <c r="D1088" t="s">
        <v>1284</v>
      </c>
      <c r="E1088">
        <v>-3</v>
      </c>
      <c r="F1088">
        <v>25000000</v>
      </c>
      <c r="G1088">
        <v>20457792.91</v>
      </c>
      <c r="H1088">
        <v>1529693.39</v>
      </c>
      <c r="I1088" t="s">
        <v>1447</v>
      </c>
      <c r="J1088">
        <v>0</v>
      </c>
      <c r="K1088">
        <v>1250000</v>
      </c>
      <c r="L1088">
        <v>591002.91</v>
      </c>
      <c r="M1088">
        <v>27534480.949999999</v>
      </c>
      <c r="N1088" s="711">
        <v>42829.434922488428</v>
      </c>
      <c r="O1088" s="711">
        <v>43559</v>
      </c>
      <c r="P1088" t="s">
        <v>4458</v>
      </c>
      <c r="Q1088" t="s">
        <v>1280</v>
      </c>
      <c r="R1088" t="s">
        <v>4459</v>
      </c>
      <c r="S1088" t="s">
        <v>1510</v>
      </c>
      <c r="T1088">
        <v>40</v>
      </c>
      <c r="U1088">
        <f>IF(Table__192.168.1.150_M_CONSOLIDATED_Delinquency_Compulsory_EOM[[#This Row],[Days in Arrears]] &lt; 8, Table__192.168.1.150_M_CONSOLIDATED_Delinquency_Compulsory_EOM[[#This Row],[Outstanding Balance]], 0 )</f>
        <v>20457792.91</v>
      </c>
      <c r="V10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8" s="105" t="str">
        <f>VLOOKUP(Table__192.168.1.150_M_CONSOLIDATED_Delinquency_Compulsory_EOM[[#This Row],[Client No]],'Global Portfolio'!$B$2:$N$2500,10,FALSE)</f>
        <v>Agriculture, Forestry, Fishing and Hunting</v>
      </c>
      <c r="AA1088" s="105" t="str">
        <f>VLOOKUP(Table__192.168.1.150_M_CONSOLIDATED_Delinquency_Compulsory_EOM[[#This Row],[Client No]],'Global Portfolio'!$B$2:$N$2500,11,FALSE)</f>
        <v>Animal Production</v>
      </c>
      <c r="AB1088" s="105" t="str">
        <f>VLOOKUP(Table__192.168.1.150_M_CONSOLIDATED_Delinquency_Compulsory_EOM[[#This Row],[Client No]],'Global Portfolio'!$B$2:$N$2500,12,FALSE)</f>
        <v>Poultry &amp; Egg Production</v>
      </c>
    </row>
    <row r="1089" spans="1:28" x14ac:dyDescent="0.25">
      <c r="A1089">
        <v>200960</v>
      </c>
      <c r="B1089" t="s">
        <v>4455</v>
      </c>
      <c r="C1089" t="s">
        <v>4460</v>
      </c>
      <c r="D1089" t="s">
        <v>1282</v>
      </c>
      <c r="E1089">
        <v>-3</v>
      </c>
      <c r="F1089">
        <v>2500000</v>
      </c>
      <c r="G1089">
        <v>1133468.21</v>
      </c>
      <c r="H1089">
        <v>315947.05</v>
      </c>
      <c r="I1089" t="s">
        <v>1909</v>
      </c>
      <c r="J1089">
        <v>111695.69</v>
      </c>
      <c r="K1089">
        <v>0</v>
      </c>
      <c r="L1089">
        <v>44205.26</v>
      </c>
      <c r="M1089">
        <v>1263788.27</v>
      </c>
      <c r="N1089" s="711">
        <v>42829.592091631945</v>
      </c>
      <c r="O1089" s="711">
        <v>43135</v>
      </c>
      <c r="P1089" t="s">
        <v>4461</v>
      </c>
      <c r="Q1089" t="s">
        <v>1280</v>
      </c>
      <c r="R1089" t="s">
        <v>4462</v>
      </c>
      <c r="S1089" t="s">
        <v>1510</v>
      </c>
      <c r="T1089">
        <v>54</v>
      </c>
      <c r="U1089">
        <f>IF(Table__192.168.1.150_M_CONSOLIDATED_Delinquency_Compulsory_EOM[[#This Row],[Days in Arrears]] &lt; 8, Table__192.168.1.150_M_CONSOLIDATED_Delinquency_Compulsory_EOM[[#This Row],[Outstanding Balance]], 0 )</f>
        <v>1133468.21</v>
      </c>
      <c r="V10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89" s="105" t="str">
        <f>VLOOKUP(Table__192.168.1.150_M_CONSOLIDATED_Delinquency_Compulsory_EOM[[#This Row],[Client No]],'Global Portfolio'!$B$2:$N$2500,10,FALSE)</f>
        <v>Real Estate and Rental</v>
      </c>
      <c r="AA1089" s="105" t="str">
        <f>VLOOKUP(Table__192.168.1.150_M_CONSOLIDATED_Delinquency_Compulsory_EOM[[#This Row],[Client No]],'Global Portfolio'!$B$2:$N$2500,11,FALSE)</f>
        <v>Rental</v>
      </c>
      <c r="AB1089" s="105" t="str">
        <f>VLOOKUP(Table__192.168.1.150_M_CONSOLIDATED_Delinquency_Compulsory_EOM[[#This Row],[Client No]],'Global Portfolio'!$B$2:$N$2500,12,FALSE)</f>
        <v>Others</v>
      </c>
    </row>
    <row r="1090" spans="1:28" x14ac:dyDescent="0.25">
      <c r="A1090">
        <v>200961</v>
      </c>
      <c r="B1090" t="s">
        <v>2459</v>
      </c>
      <c r="C1090" t="s">
        <v>2460</v>
      </c>
      <c r="D1090" t="s">
        <v>1282</v>
      </c>
      <c r="E1090">
        <v>-4</v>
      </c>
      <c r="F1090">
        <v>10000000</v>
      </c>
      <c r="G1090">
        <v>5585610.7000000002</v>
      </c>
      <c r="H1090">
        <v>1065521.73</v>
      </c>
      <c r="I1090" t="s">
        <v>1667</v>
      </c>
      <c r="J1090">
        <v>0</v>
      </c>
      <c r="K1090">
        <v>1000000</v>
      </c>
      <c r="L1090">
        <v>186187.02</v>
      </c>
      <c r="M1090">
        <v>6393130.3399999999</v>
      </c>
      <c r="N1090" s="711">
        <v>42830.696861655095</v>
      </c>
      <c r="O1090" s="711">
        <v>43195</v>
      </c>
      <c r="P1090" t="s">
        <v>2461</v>
      </c>
      <c r="Q1090" t="s">
        <v>1280</v>
      </c>
      <c r="R1090" t="s">
        <v>1280</v>
      </c>
      <c r="S1090" t="s">
        <v>1510</v>
      </c>
      <c r="T1090">
        <v>48</v>
      </c>
      <c r="U1090">
        <f>IF(Table__192.168.1.150_M_CONSOLIDATED_Delinquency_Compulsory_EOM[[#This Row],[Days in Arrears]] &lt; 8, Table__192.168.1.150_M_CONSOLIDATED_Delinquency_Compulsory_EOM[[#This Row],[Outstanding Balance]], 0 )</f>
        <v>5585610.7000000002</v>
      </c>
      <c r="V10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0" s="105" t="str">
        <f>VLOOKUP(Table__192.168.1.150_M_CONSOLIDATED_Delinquency_Compulsory_EOM[[#This Row],[Client No]],'Global Portfolio'!$B$2:$N$2500,10,FALSE)</f>
        <v>Retail</v>
      </c>
      <c r="AA1090" s="105" t="str">
        <f>VLOOKUP(Table__192.168.1.150_M_CONSOLIDATED_Delinquency_Compulsory_EOM[[#This Row],[Client No]],'Global Portfolio'!$B$2:$N$2500,11,FALSE)</f>
        <v>Health and Personal Care Stores</v>
      </c>
      <c r="AB1090" s="105" t="str">
        <f>VLOOKUP(Table__192.168.1.150_M_CONSOLIDATED_Delinquency_Compulsory_EOM[[#This Row],[Client No]],'Global Portfolio'!$B$2:$N$2500,12,FALSE)</f>
        <v>Pharmacies &amp; Drug Stores</v>
      </c>
    </row>
    <row r="1091" spans="1:28" x14ac:dyDescent="0.25">
      <c r="A1091">
        <v>200962</v>
      </c>
      <c r="B1091" t="s">
        <v>4464</v>
      </c>
      <c r="C1091" t="s">
        <v>4468</v>
      </c>
      <c r="D1091" t="s">
        <v>1282</v>
      </c>
      <c r="E1091">
        <v>-5</v>
      </c>
      <c r="F1091">
        <v>10000000</v>
      </c>
      <c r="G1091">
        <v>5656442.1399999997</v>
      </c>
      <c r="H1091">
        <v>1096661.8899999999</v>
      </c>
      <c r="I1091" t="s">
        <v>1925</v>
      </c>
      <c r="J1091">
        <v>0</v>
      </c>
      <c r="K1091">
        <v>1000000</v>
      </c>
      <c r="L1091">
        <v>203631.92</v>
      </c>
      <c r="M1091">
        <v>6579971.29</v>
      </c>
      <c r="N1091" s="711">
        <v>42831.70020003472</v>
      </c>
      <c r="O1091" s="711">
        <v>43196</v>
      </c>
      <c r="P1091" t="s">
        <v>4469</v>
      </c>
      <c r="Q1091" t="s">
        <v>1280</v>
      </c>
      <c r="R1091" t="s">
        <v>4470</v>
      </c>
      <c r="S1091" t="s">
        <v>1510</v>
      </c>
      <c r="T1091">
        <v>54</v>
      </c>
      <c r="U1091">
        <f>IF(Table__192.168.1.150_M_CONSOLIDATED_Delinquency_Compulsory_EOM[[#This Row],[Days in Arrears]] &lt; 8, Table__192.168.1.150_M_CONSOLIDATED_Delinquency_Compulsory_EOM[[#This Row],[Outstanding Balance]], 0 )</f>
        <v>5656442.1399999997</v>
      </c>
      <c r="V10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1" s="105" t="str">
        <f>VLOOKUP(Table__192.168.1.150_M_CONSOLIDATED_Delinquency_Compulsory_EOM[[#This Row],[Client No]],'Global Portfolio'!$B$2:$N$2500,10,FALSE)</f>
        <v>Retail</v>
      </c>
      <c r="AA1091" s="105" t="str">
        <f>VLOOKUP(Table__192.168.1.150_M_CONSOLIDATED_Delinquency_Compulsory_EOM[[#This Row],[Client No]],'Global Portfolio'!$B$2:$N$2500,11,FALSE)</f>
        <v>General Merchandise Stores</v>
      </c>
      <c r="AB1091" s="105" t="str">
        <f>VLOOKUP(Table__192.168.1.150_M_CONSOLIDATED_Delinquency_Compulsory_EOM[[#This Row],[Client No]],'Global Portfolio'!$B$2:$N$2500,12,FALSE)</f>
        <v>General Stores</v>
      </c>
    </row>
    <row r="1092" spans="1:28" x14ac:dyDescent="0.25">
      <c r="A1092">
        <v>200963</v>
      </c>
      <c r="B1092" t="s">
        <v>4476</v>
      </c>
      <c r="C1092" t="s">
        <v>4477</v>
      </c>
      <c r="D1092" t="s">
        <v>1282</v>
      </c>
      <c r="E1092">
        <v>-7</v>
      </c>
      <c r="F1092">
        <v>7000000</v>
      </c>
      <c r="G1092">
        <v>3959509.52</v>
      </c>
      <c r="H1092">
        <v>767663.32</v>
      </c>
      <c r="I1092" t="s">
        <v>491</v>
      </c>
      <c r="J1092">
        <v>0</v>
      </c>
      <c r="K1092">
        <v>700000</v>
      </c>
      <c r="L1092">
        <v>130663.81</v>
      </c>
      <c r="M1092">
        <v>4605979.9400000004</v>
      </c>
      <c r="N1092" s="711">
        <v>42833.446310763888</v>
      </c>
      <c r="O1092" s="711">
        <v>43198</v>
      </c>
      <c r="P1092" t="s">
        <v>4478</v>
      </c>
      <c r="Q1092" t="s">
        <v>1280</v>
      </c>
      <c r="R1092" t="s">
        <v>1280</v>
      </c>
      <c r="S1092" t="s">
        <v>1510</v>
      </c>
      <c r="T1092">
        <v>54</v>
      </c>
      <c r="U1092">
        <f>IF(Table__192.168.1.150_M_CONSOLIDATED_Delinquency_Compulsory_EOM[[#This Row],[Days in Arrears]] &lt; 8, Table__192.168.1.150_M_CONSOLIDATED_Delinquency_Compulsory_EOM[[#This Row],[Outstanding Balance]], 0 )</f>
        <v>3959509.52</v>
      </c>
      <c r="V10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2" s="105" t="str">
        <f>VLOOKUP(Table__192.168.1.150_M_CONSOLIDATED_Delinquency_Compulsory_EOM[[#This Row],[Client No]],'Global Portfolio'!$B$2:$N$2500,10,FALSE)</f>
        <v>Wholesale Trade</v>
      </c>
      <c r="AA1092" s="105" t="str">
        <f>VLOOKUP(Table__192.168.1.150_M_CONSOLIDATED_Delinquency_Compulsory_EOM[[#This Row],[Client No]],'Global Portfolio'!$B$2:$N$2500,11,FALSE)</f>
        <v>Durable Goods</v>
      </c>
      <c r="AB1092" s="105" t="str">
        <f>VLOOKUP(Table__192.168.1.150_M_CONSOLIDATED_Delinquency_Compulsory_EOM[[#This Row],[Client No]],'Global Portfolio'!$B$2:$N$2500,12,FALSE)</f>
        <v>Others</v>
      </c>
    </row>
    <row r="1093" spans="1:28" x14ac:dyDescent="0.25">
      <c r="A1093">
        <v>200964</v>
      </c>
      <c r="B1093" t="s">
        <v>4475</v>
      </c>
      <c r="C1093" t="s">
        <v>4479</v>
      </c>
      <c r="D1093" t="s">
        <v>1282</v>
      </c>
      <c r="E1093">
        <v>143</v>
      </c>
      <c r="F1093">
        <v>5000000</v>
      </c>
      <c r="G1093">
        <v>4440190.3099999996</v>
      </c>
      <c r="H1093">
        <v>758048.27</v>
      </c>
      <c r="I1093" t="s">
        <v>2861</v>
      </c>
      <c r="J1093">
        <v>0</v>
      </c>
      <c r="K1093">
        <v>0</v>
      </c>
      <c r="L1093">
        <v>175946.23</v>
      </c>
      <c r="M1093">
        <v>5078563.5999999996</v>
      </c>
      <c r="N1093" s="711">
        <v>42833.49402395833</v>
      </c>
      <c r="O1093" s="711">
        <v>43077</v>
      </c>
      <c r="P1093" t="s">
        <v>4480</v>
      </c>
      <c r="Q1093" t="s">
        <v>1280</v>
      </c>
      <c r="R1093" t="s">
        <v>4481</v>
      </c>
      <c r="S1093" t="s">
        <v>1510</v>
      </c>
      <c r="T1093">
        <v>54</v>
      </c>
      <c r="U1093">
        <f>IF(Table__192.168.1.150_M_CONSOLIDATED_Delinquency_Compulsory_EOM[[#This Row],[Days in Arrears]] &lt; 8, Table__192.168.1.150_M_CONSOLIDATED_Delinquency_Compulsory_EOM[[#This Row],[Outstanding Balance]], 0 )</f>
        <v>0</v>
      </c>
      <c r="V10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4440190.3099999996</v>
      </c>
      <c r="Z1093" s="105" t="str">
        <f>VLOOKUP(Table__192.168.1.150_M_CONSOLIDATED_Delinquency_Compulsory_EOM[[#This Row],[Client No]],'Global Portfolio'!$B$2:$N$2500,10,FALSE)</f>
        <v>Retail</v>
      </c>
      <c r="AA1093" s="105" t="str">
        <f>VLOOKUP(Table__192.168.1.150_M_CONSOLIDATED_Delinquency_Compulsory_EOM[[#This Row],[Client No]],'Global Portfolio'!$B$2:$N$2500,11,FALSE)</f>
        <v>Furniture and Home Furnishings Stores</v>
      </c>
      <c r="AB1093" s="105" t="str">
        <f>VLOOKUP(Table__192.168.1.150_M_CONSOLIDATED_Delinquency_Compulsory_EOM[[#This Row],[Client No]],'Global Portfolio'!$B$2:$N$2500,12,FALSE)</f>
        <v>Furniture Stores</v>
      </c>
    </row>
    <row r="1094" spans="1:28" x14ac:dyDescent="0.25">
      <c r="A1094">
        <v>200966</v>
      </c>
      <c r="B1094" t="s">
        <v>2014</v>
      </c>
      <c r="C1094" t="s">
        <v>2015</v>
      </c>
      <c r="D1094" t="s">
        <v>1284</v>
      </c>
      <c r="E1094">
        <v>-9</v>
      </c>
      <c r="F1094">
        <v>17000000</v>
      </c>
      <c r="G1094">
        <v>13805859.939999999</v>
      </c>
      <c r="H1094">
        <v>1003806.07</v>
      </c>
      <c r="I1094" t="s">
        <v>1467</v>
      </c>
      <c r="J1094">
        <v>46715.62</v>
      </c>
      <c r="K1094">
        <v>850000</v>
      </c>
      <c r="L1094">
        <v>276117.2</v>
      </c>
      <c r="M1094">
        <v>18068509.300000001</v>
      </c>
      <c r="N1094" s="711">
        <v>42835.685623877318</v>
      </c>
      <c r="O1094" s="711">
        <v>43565</v>
      </c>
      <c r="P1094" t="s">
        <v>2016</v>
      </c>
      <c r="Q1094" t="s">
        <v>1280</v>
      </c>
      <c r="R1094" t="s">
        <v>1280</v>
      </c>
      <c r="S1094" t="s">
        <v>1510</v>
      </c>
      <c r="T1094">
        <v>36</v>
      </c>
      <c r="U1094">
        <f>IF(Table__192.168.1.150_M_CONSOLIDATED_Delinquency_Compulsory_EOM[[#This Row],[Days in Arrears]] &lt; 8, Table__192.168.1.150_M_CONSOLIDATED_Delinquency_Compulsory_EOM[[#This Row],[Outstanding Balance]], 0 )</f>
        <v>13805859.939999999</v>
      </c>
      <c r="V10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4" s="105" t="str">
        <f>VLOOKUP(Table__192.168.1.150_M_CONSOLIDATED_Delinquency_Compulsory_EOM[[#This Row],[Client No]],'Global Portfolio'!$B$2:$N$2500,10,FALSE)</f>
        <v>Retail</v>
      </c>
      <c r="AA1094" s="105" t="str">
        <f>VLOOKUP(Table__192.168.1.150_M_CONSOLIDATED_Delinquency_Compulsory_EOM[[#This Row],[Client No]],'Global Portfolio'!$B$2:$N$2500,11,FALSE)</f>
        <v>General Merchandise Stores</v>
      </c>
      <c r="AB1094" s="105" t="str">
        <f>VLOOKUP(Table__192.168.1.150_M_CONSOLIDATED_Delinquency_Compulsory_EOM[[#This Row],[Client No]],'Global Portfolio'!$B$2:$N$2500,12,FALSE)</f>
        <v>General Stores</v>
      </c>
    </row>
    <row r="1095" spans="1:28" x14ac:dyDescent="0.25">
      <c r="A1095">
        <v>200967</v>
      </c>
      <c r="B1095" t="s">
        <v>2413</v>
      </c>
      <c r="C1095" t="s">
        <v>2414</v>
      </c>
      <c r="D1095" t="s">
        <v>1282</v>
      </c>
      <c r="E1095">
        <v>-9</v>
      </c>
      <c r="F1095">
        <v>15000000</v>
      </c>
      <c r="G1095">
        <v>8378416.0800000001</v>
      </c>
      <c r="H1095">
        <v>1598282.59</v>
      </c>
      <c r="I1095" t="s">
        <v>86</v>
      </c>
      <c r="J1095">
        <v>0</v>
      </c>
      <c r="K1095">
        <v>1500000</v>
      </c>
      <c r="L1095">
        <v>223424.43</v>
      </c>
      <c r="M1095">
        <v>9589695.5500000007</v>
      </c>
      <c r="N1095" s="711">
        <v>42835.773810798608</v>
      </c>
      <c r="O1095" s="711">
        <v>43200</v>
      </c>
      <c r="P1095" t="s">
        <v>2415</v>
      </c>
      <c r="Q1095" t="s">
        <v>1280</v>
      </c>
      <c r="R1095" t="s">
        <v>1280</v>
      </c>
      <c r="S1095" t="s">
        <v>1510</v>
      </c>
      <c r="T1095">
        <v>48</v>
      </c>
      <c r="U1095">
        <f>IF(Table__192.168.1.150_M_CONSOLIDATED_Delinquency_Compulsory_EOM[[#This Row],[Days in Arrears]] &lt; 8, Table__192.168.1.150_M_CONSOLIDATED_Delinquency_Compulsory_EOM[[#This Row],[Outstanding Balance]], 0 )</f>
        <v>8378416.0800000001</v>
      </c>
      <c r="V10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5" s="105" t="str">
        <f>VLOOKUP(Table__192.168.1.150_M_CONSOLIDATED_Delinquency_Compulsory_EOM[[#This Row],[Client No]],'Global Portfolio'!$B$2:$N$2500,10,FALSE)</f>
        <v>Retail</v>
      </c>
      <c r="AA1095" s="105" t="str">
        <f>VLOOKUP(Table__192.168.1.150_M_CONSOLIDATED_Delinquency_Compulsory_EOM[[#This Row],[Client No]],'Global Portfolio'!$B$2:$N$2500,11,FALSE)</f>
        <v>General Merchandise Stores</v>
      </c>
      <c r="AB1095" s="105" t="str">
        <f>VLOOKUP(Table__192.168.1.150_M_CONSOLIDATED_Delinquency_Compulsory_EOM[[#This Row],[Client No]],'Global Portfolio'!$B$2:$N$2500,12,FALSE)</f>
        <v>General Stores</v>
      </c>
    </row>
    <row r="1096" spans="1:28" x14ac:dyDescent="0.25">
      <c r="A1096">
        <v>200970</v>
      </c>
      <c r="B1096" t="s">
        <v>4491</v>
      </c>
      <c r="C1096" t="s">
        <v>4495</v>
      </c>
      <c r="D1096" t="s">
        <v>1279</v>
      </c>
      <c r="E1096">
        <v>-10</v>
      </c>
      <c r="F1096">
        <v>3000000</v>
      </c>
      <c r="G1096">
        <v>1360161.78</v>
      </c>
      <c r="H1096">
        <v>379136.47</v>
      </c>
      <c r="I1096" t="s">
        <v>1909</v>
      </c>
      <c r="J1096">
        <v>160726.67000000001</v>
      </c>
      <c r="K1096">
        <v>0</v>
      </c>
      <c r="L1096">
        <v>38764.61</v>
      </c>
      <c r="M1096">
        <v>1516545.83</v>
      </c>
      <c r="N1096" s="711">
        <v>42836.624498645833</v>
      </c>
      <c r="O1096" s="711">
        <v>43142</v>
      </c>
      <c r="P1096" t="s">
        <v>4496</v>
      </c>
      <c r="Q1096" t="s">
        <v>1280</v>
      </c>
      <c r="R1096" t="s">
        <v>4497</v>
      </c>
      <c r="S1096" t="s">
        <v>1510</v>
      </c>
      <c r="T1096">
        <v>54</v>
      </c>
      <c r="U1096">
        <f>IF(Table__192.168.1.150_M_CONSOLIDATED_Delinquency_Compulsory_EOM[[#This Row],[Days in Arrears]] &lt; 8, Table__192.168.1.150_M_CONSOLIDATED_Delinquency_Compulsory_EOM[[#This Row],[Outstanding Balance]], 0 )</f>
        <v>1360161.78</v>
      </c>
      <c r="V10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6" s="105" t="str">
        <f>VLOOKUP(Table__192.168.1.150_M_CONSOLIDATED_Delinquency_Compulsory_EOM[[#This Row],[Client No]],'Global Portfolio'!$B$2:$N$2500,10,FALSE)</f>
        <v>Real Estate and Rental</v>
      </c>
      <c r="AA1096" s="105" t="str">
        <f>VLOOKUP(Table__192.168.1.150_M_CONSOLIDATED_Delinquency_Compulsory_EOM[[#This Row],[Client No]],'Global Portfolio'!$B$2:$N$2500,11,FALSE)</f>
        <v>Rental</v>
      </c>
      <c r="AB1096" s="105" t="str">
        <f>VLOOKUP(Table__192.168.1.150_M_CONSOLIDATED_Delinquency_Compulsory_EOM[[#This Row],[Client No]],'Global Portfolio'!$B$2:$N$2500,12,FALSE)</f>
        <v>General Rental Centers</v>
      </c>
    </row>
    <row r="1097" spans="1:28" x14ac:dyDescent="0.25">
      <c r="A1097">
        <v>200971</v>
      </c>
      <c r="B1097" t="s">
        <v>4498</v>
      </c>
      <c r="C1097" t="s">
        <v>4513</v>
      </c>
      <c r="D1097" t="s">
        <v>1283</v>
      </c>
      <c r="E1097">
        <v>-14</v>
      </c>
      <c r="F1097">
        <v>40000000</v>
      </c>
      <c r="G1097">
        <v>22031910.149999999</v>
      </c>
      <c r="H1097">
        <v>4112081.44</v>
      </c>
      <c r="I1097" t="s">
        <v>2861</v>
      </c>
      <c r="J1097">
        <v>0</v>
      </c>
      <c r="K1097">
        <v>0</v>
      </c>
      <c r="L1097">
        <v>367198.5</v>
      </c>
      <c r="M1097">
        <v>24672488.66</v>
      </c>
      <c r="N1097" s="711">
        <v>42837.450458564817</v>
      </c>
      <c r="O1097" s="711">
        <v>43205</v>
      </c>
      <c r="P1097" t="s">
        <v>4514</v>
      </c>
      <c r="Q1097" t="s">
        <v>1280</v>
      </c>
      <c r="R1097" t="s">
        <v>4515</v>
      </c>
      <c r="S1097" t="s">
        <v>1510</v>
      </c>
      <c r="T1097">
        <v>40</v>
      </c>
      <c r="U1097">
        <f>IF(Table__192.168.1.150_M_CONSOLIDATED_Delinquency_Compulsory_EOM[[#This Row],[Days in Arrears]] &lt; 8, Table__192.168.1.150_M_CONSOLIDATED_Delinquency_Compulsory_EOM[[#This Row],[Outstanding Balance]], 0 )</f>
        <v>22031910.149999999</v>
      </c>
      <c r="V10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7" s="105" t="str">
        <f>VLOOKUP(Table__192.168.1.150_M_CONSOLIDATED_Delinquency_Compulsory_EOM[[#This Row],[Client No]],'Global Portfolio'!$B$2:$N$2500,10,FALSE)</f>
        <v>Agriculture, Forestry, Fishing and Hunting</v>
      </c>
      <c r="AA1097" s="105" t="str">
        <f>VLOOKUP(Table__192.168.1.150_M_CONSOLIDATED_Delinquency_Compulsory_EOM[[#This Row],[Client No]],'Global Portfolio'!$B$2:$N$2500,11,FALSE)</f>
        <v>Animal Production</v>
      </c>
      <c r="AB1097" s="105" t="str">
        <f>VLOOKUP(Table__192.168.1.150_M_CONSOLIDATED_Delinquency_Compulsory_EOM[[#This Row],[Client No]],'Global Portfolio'!$B$2:$N$2500,12,FALSE)</f>
        <v>Poultry &amp; Egg Production</v>
      </c>
    </row>
    <row r="1098" spans="1:28" x14ac:dyDescent="0.25">
      <c r="A1098">
        <v>200972</v>
      </c>
      <c r="B1098" t="s">
        <v>4499</v>
      </c>
      <c r="C1098" t="s">
        <v>4516</v>
      </c>
      <c r="D1098" t="s">
        <v>1282</v>
      </c>
      <c r="E1098">
        <v>-12</v>
      </c>
      <c r="F1098">
        <v>5000000</v>
      </c>
      <c r="G1098">
        <v>2792805.38</v>
      </c>
      <c r="H1098">
        <v>532760.86</v>
      </c>
      <c r="I1098" t="s">
        <v>468</v>
      </c>
      <c r="J1098">
        <v>8000</v>
      </c>
      <c r="K1098">
        <v>500000</v>
      </c>
      <c r="L1098">
        <v>63303.59</v>
      </c>
      <c r="M1098">
        <v>3196565.22</v>
      </c>
      <c r="N1098" s="711">
        <v>42838.711294907407</v>
      </c>
      <c r="O1098" s="711">
        <v>43203</v>
      </c>
      <c r="P1098" t="s">
        <v>4517</v>
      </c>
      <c r="Q1098" t="s">
        <v>1280</v>
      </c>
      <c r="R1098" t="s">
        <v>1280</v>
      </c>
      <c r="S1098" t="s">
        <v>1510</v>
      </c>
      <c r="T1098">
        <v>48</v>
      </c>
      <c r="U1098">
        <f>IF(Table__192.168.1.150_M_CONSOLIDATED_Delinquency_Compulsory_EOM[[#This Row],[Days in Arrears]] &lt; 8, Table__192.168.1.150_M_CONSOLIDATED_Delinquency_Compulsory_EOM[[#This Row],[Outstanding Balance]], 0 )</f>
        <v>2792805.38</v>
      </c>
      <c r="V10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8" s="105" t="str">
        <f>VLOOKUP(Table__192.168.1.150_M_CONSOLIDATED_Delinquency_Compulsory_EOM[[#This Row],[Client No]],'Global Portfolio'!$B$2:$N$2500,10,FALSE)</f>
        <v>Construction</v>
      </c>
      <c r="AA1098" s="105" t="str">
        <f>VLOOKUP(Table__192.168.1.150_M_CONSOLIDATED_Delinquency_Compulsory_EOM[[#This Row],[Client No]],'Global Portfolio'!$B$2:$N$2500,11,FALSE)</f>
        <v>Construction of Buildings</v>
      </c>
      <c r="AB1098" s="105" t="str">
        <f>VLOOKUP(Table__192.168.1.150_M_CONSOLIDATED_Delinquency_Compulsory_EOM[[#This Row],[Client No]],'Global Portfolio'!$B$2:$N$2500,12,FALSE)</f>
        <v>Others</v>
      </c>
    </row>
    <row r="1099" spans="1:28" x14ac:dyDescent="0.25">
      <c r="A1099">
        <v>200974</v>
      </c>
      <c r="B1099" t="s">
        <v>4500</v>
      </c>
      <c r="C1099" t="s">
        <v>4518</v>
      </c>
      <c r="D1099" t="s">
        <v>1866</v>
      </c>
      <c r="E1099">
        <v>-11</v>
      </c>
      <c r="F1099">
        <v>7000000</v>
      </c>
      <c r="G1099">
        <v>3926500.87</v>
      </c>
      <c r="H1099">
        <v>753095.83</v>
      </c>
      <c r="I1099" t="s">
        <v>1447</v>
      </c>
      <c r="J1099">
        <v>0</v>
      </c>
      <c r="K1099">
        <v>700000</v>
      </c>
      <c r="L1099">
        <v>98162.52</v>
      </c>
      <c r="M1099">
        <v>4518574.9800000004</v>
      </c>
      <c r="N1099" s="711">
        <v>42837.609828969908</v>
      </c>
      <c r="O1099" s="711">
        <v>43202</v>
      </c>
      <c r="P1099" t="s">
        <v>4519</v>
      </c>
      <c r="Q1099" t="s">
        <v>1280</v>
      </c>
      <c r="R1099" t="s">
        <v>4520</v>
      </c>
      <c r="S1099" t="s">
        <v>1510</v>
      </c>
      <c r="T1099">
        <v>50</v>
      </c>
      <c r="U1099">
        <f>IF(Table__192.168.1.150_M_CONSOLIDATED_Delinquency_Compulsory_EOM[[#This Row],[Days in Arrears]] &lt; 8, Table__192.168.1.150_M_CONSOLIDATED_Delinquency_Compulsory_EOM[[#This Row],[Outstanding Balance]], 0 )</f>
        <v>3926500.87</v>
      </c>
      <c r="V10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0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0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0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099" s="105" t="str">
        <f>VLOOKUP(Table__192.168.1.150_M_CONSOLIDATED_Delinquency_Compulsory_EOM[[#This Row],[Client No]],'Global Portfolio'!$B$2:$N$2500,10,FALSE)</f>
        <v>Wholesale Trade</v>
      </c>
      <c r="AA1099" s="105" t="str">
        <f>VLOOKUP(Table__192.168.1.150_M_CONSOLIDATED_Delinquency_Compulsory_EOM[[#This Row],[Client No]],'Global Portfolio'!$B$2:$N$2500,11,FALSE)</f>
        <v>Durable Goods</v>
      </c>
      <c r="AB1099" s="105" t="str">
        <f>VLOOKUP(Table__192.168.1.150_M_CONSOLIDATED_Delinquency_Compulsory_EOM[[#This Row],[Client No]],'Global Portfolio'!$B$2:$N$2500,12,FALSE)</f>
        <v>Others</v>
      </c>
    </row>
    <row r="1100" spans="1:28" x14ac:dyDescent="0.25">
      <c r="A1100">
        <v>200975</v>
      </c>
      <c r="B1100" t="s">
        <v>4504</v>
      </c>
      <c r="C1100" t="s">
        <v>4521</v>
      </c>
      <c r="D1100" t="s">
        <v>1279</v>
      </c>
      <c r="E1100">
        <v>49</v>
      </c>
      <c r="F1100">
        <v>1500000</v>
      </c>
      <c r="G1100">
        <v>544604.71</v>
      </c>
      <c r="H1100">
        <v>290817.58</v>
      </c>
      <c r="I1100" t="s">
        <v>1467</v>
      </c>
      <c r="J1100">
        <v>0</v>
      </c>
      <c r="K1100">
        <v>150000</v>
      </c>
      <c r="L1100">
        <v>36470.68</v>
      </c>
      <c r="M1100">
        <v>581075.39</v>
      </c>
      <c r="N1100" s="711">
        <v>42837.554754745368</v>
      </c>
      <c r="O1100" s="711">
        <v>43020</v>
      </c>
      <c r="P1100" t="s">
        <v>4522</v>
      </c>
      <c r="Q1100" t="s">
        <v>1280</v>
      </c>
      <c r="R1100" t="s">
        <v>1280</v>
      </c>
      <c r="S1100" t="s">
        <v>1510</v>
      </c>
      <c r="T1100">
        <v>54</v>
      </c>
      <c r="U1100">
        <f>IF(Table__192.168.1.150_M_CONSOLIDATED_Delinquency_Compulsory_EOM[[#This Row],[Days in Arrears]] &lt; 8, Table__192.168.1.150_M_CONSOLIDATED_Delinquency_Compulsory_EOM[[#This Row],[Outstanding Balance]], 0 )</f>
        <v>0</v>
      </c>
      <c r="V11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544604.71</v>
      </c>
      <c r="X11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0" s="105" t="str">
        <f>VLOOKUP(Table__192.168.1.150_M_CONSOLIDATED_Delinquency_Compulsory_EOM[[#This Row],[Client No]],'Global Portfolio'!$B$2:$N$2500,10,FALSE)</f>
        <v>Real Estate and Rental</v>
      </c>
      <c r="AA1100" s="105" t="str">
        <f>VLOOKUP(Table__192.168.1.150_M_CONSOLIDATED_Delinquency_Compulsory_EOM[[#This Row],[Client No]],'Global Portfolio'!$B$2:$N$2500,11,FALSE)</f>
        <v>Rental</v>
      </c>
      <c r="AB1100" s="105" t="str">
        <f>VLOOKUP(Table__192.168.1.150_M_CONSOLIDATED_Delinquency_Compulsory_EOM[[#This Row],[Client No]],'Global Portfolio'!$B$2:$N$2500,12,FALSE)</f>
        <v>Others</v>
      </c>
    </row>
    <row r="1101" spans="1:28" x14ac:dyDescent="0.25">
      <c r="A1101">
        <v>200977</v>
      </c>
      <c r="B1101" t="s">
        <v>3097</v>
      </c>
      <c r="C1101" t="s">
        <v>3098</v>
      </c>
      <c r="D1101" t="s">
        <v>1281</v>
      </c>
      <c r="E1101">
        <v>18</v>
      </c>
      <c r="F1101">
        <v>25000000</v>
      </c>
      <c r="G1101">
        <v>15818928.98</v>
      </c>
      <c r="H1101">
        <v>2587098.73</v>
      </c>
      <c r="I1101" t="s">
        <v>2175</v>
      </c>
      <c r="J1101">
        <v>0</v>
      </c>
      <c r="K1101">
        <v>1875000</v>
      </c>
      <c r="L1101">
        <v>827074.78</v>
      </c>
      <c r="M1101">
        <v>18109691.120000001</v>
      </c>
      <c r="N1101" s="711">
        <v>42838.68076466435</v>
      </c>
      <c r="O1101" s="711">
        <v>43203</v>
      </c>
      <c r="P1101" t="s">
        <v>3099</v>
      </c>
      <c r="Q1101" t="s">
        <v>1280</v>
      </c>
      <c r="R1101" t="s">
        <v>1280</v>
      </c>
      <c r="S1101" t="s">
        <v>1510</v>
      </c>
      <c r="T1101">
        <v>42</v>
      </c>
      <c r="U1101">
        <f>IF(Table__192.168.1.150_M_CONSOLIDATED_Delinquency_Compulsory_EOM[[#This Row],[Days in Arrears]] &lt; 8, Table__192.168.1.150_M_CONSOLIDATED_Delinquency_Compulsory_EOM[[#This Row],[Outstanding Balance]], 0 )</f>
        <v>0</v>
      </c>
      <c r="V11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15818928.98</v>
      </c>
      <c r="W11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1" s="105" t="str">
        <f>VLOOKUP(Table__192.168.1.150_M_CONSOLIDATED_Delinquency_Compulsory_EOM[[#This Row],[Client No]],'Global Portfolio'!$B$2:$N$2500,10,FALSE)</f>
        <v>Retail</v>
      </c>
      <c r="AA1101" s="105" t="str">
        <f>VLOOKUP(Table__192.168.1.150_M_CONSOLIDATED_Delinquency_Compulsory_EOM[[#This Row],[Client No]],'Global Portfolio'!$B$2:$N$2500,11,FALSE)</f>
        <v>Others</v>
      </c>
      <c r="AB1101" s="105" t="str">
        <f>VLOOKUP(Table__192.168.1.150_M_CONSOLIDATED_Delinquency_Compulsory_EOM[[#This Row],[Client No]],'Global Portfolio'!$B$2:$N$2500,12,FALSE)</f>
        <v>Others</v>
      </c>
    </row>
    <row r="1102" spans="1:28" x14ac:dyDescent="0.25">
      <c r="A1102">
        <v>200980</v>
      </c>
      <c r="B1102" t="s">
        <v>2312</v>
      </c>
      <c r="C1102" t="s">
        <v>2321</v>
      </c>
      <c r="D1102" t="s">
        <v>1284</v>
      </c>
      <c r="E1102">
        <v>-19</v>
      </c>
      <c r="F1102">
        <v>26000000</v>
      </c>
      <c r="G1102">
        <v>21114844.629999999</v>
      </c>
      <c r="H1102">
        <v>1535232.81</v>
      </c>
      <c r="I1102" t="s">
        <v>2538</v>
      </c>
      <c r="J1102">
        <v>0</v>
      </c>
      <c r="K1102">
        <v>0</v>
      </c>
      <c r="L1102">
        <v>211148.45</v>
      </c>
      <c r="M1102">
        <v>27634190.75</v>
      </c>
      <c r="N1102" s="711">
        <v>42845.708019212965</v>
      </c>
      <c r="O1102" s="711">
        <v>43575</v>
      </c>
      <c r="P1102" t="s">
        <v>2322</v>
      </c>
      <c r="Q1102" t="s">
        <v>1280</v>
      </c>
      <c r="R1102" t="s">
        <v>1280</v>
      </c>
      <c r="S1102" t="s">
        <v>1510</v>
      </c>
      <c r="T1102">
        <v>36</v>
      </c>
      <c r="U1102">
        <f>IF(Table__192.168.1.150_M_CONSOLIDATED_Delinquency_Compulsory_EOM[[#This Row],[Days in Arrears]] &lt; 8, Table__192.168.1.150_M_CONSOLIDATED_Delinquency_Compulsory_EOM[[#This Row],[Outstanding Balance]], 0 )</f>
        <v>21114844.629999999</v>
      </c>
      <c r="V11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2" s="105" t="str">
        <f>VLOOKUP(Table__192.168.1.150_M_CONSOLIDATED_Delinquency_Compulsory_EOM[[#This Row],[Client No]],'Global Portfolio'!$B$2:$N$2500,10,FALSE)</f>
        <v>Real Estate and Rental</v>
      </c>
      <c r="AA1102" s="105" t="str">
        <f>VLOOKUP(Table__192.168.1.150_M_CONSOLIDATED_Delinquency_Compulsory_EOM[[#This Row],[Client No]],'Global Portfolio'!$B$2:$N$2500,11,FALSE)</f>
        <v>Rental</v>
      </c>
      <c r="AB1102" s="105" t="str">
        <f>VLOOKUP(Table__192.168.1.150_M_CONSOLIDATED_Delinquency_Compulsory_EOM[[#This Row],[Client No]],'Global Portfolio'!$B$2:$N$2500,12,FALSE)</f>
        <v>General Rental Centers</v>
      </c>
    </row>
    <row r="1103" spans="1:28" x14ac:dyDescent="0.25">
      <c r="A1103">
        <v>200981</v>
      </c>
      <c r="B1103" t="s">
        <v>2713</v>
      </c>
      <c r="C1103" t="s">
        <v>2720</v>
      </c>
      <c r="D1103" t="s">
        <v>1279</v>
      </c>
      <c r="E1103">
        <v>-19</v>
      </c>
      <c r="F1103">
        <v>3000000</v>
      </c>
      <c r="G1103">
        <v>1342599.66</v>
      </c>
      <c r="H1103">
        <v>369872.83</v>
      </c>
      <c r="I1103" t="s">
        <v>2855</v>
      </c>
      <c r="J1103">
        <v>0</v>
      </c>
      <c r="K1103">
        <v>300000</v>
      </c>
      <c r="L1103">
        <v>83765.66</v>
      </c>
      <c r="M1103">
        <v>1479491.37</v>
      </c>
      <c r="N1103" s="711">
        <v>42845.729833645833</v>
      </c>
      <c r="O1103" s="711">
        <v>43151</v>
      </c>
      <c r="P1103" t="s">
        <v>2721</v>
      </c>
      <c r="Q1103" t="s">
        <v>1280</v>
      </c>
      <c r="R1103" t="s">
        <v>2722</v>
      </c>
      <c r="S1103" t="s">
        <v>1510</v>
      </c>
      <c r="T1103">
        <v>48</v>
      </c>
      <c r="U1103">
        <f>IF(Table__192.168.1.150_M_CONSOLIDATED_Delinquency_Compulsory_EOM[[#This Row],[Days in Arrears]] &lt; 8, Table__192.168.1.150_M_CONSOLIDATED_Delinquency_Compulsory_EOM[[#This Row],[Outstanding Balance]], 0 )</f>
        <v>1342599.66</v>
      </c>
      <c r="V11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3" s="105" t="str">
        <f>VLOOKUP(Table__192.168.1.150_M_CONSOLIDATED_Delinquency_Compulsory_EOM[[#This Row],[Client No]],'Global Portfolio'!$B$2:$N$2500,10,FALSE)</f>
        <v>Wholesale Trade</v>
      </c>
      <c r="AA1103" s="105" t="str">
        <f>VLOOKUP(Table__192.168.1.150_M_CONSOLIDATED_Delinquency_Compulsory_EOM[[#This Row],[Client No]],'Global Portfolio'!$B$2:$N$2500,11,FALSE)</f>
        <v>Others</v>
      </c>
      <c r="AB1103" s="105" t="str">
        <f>VLOOKUP(Table__192.168.1.150_M_CONSOLIDATED_Delinquency_Compulsory_EOM[[#This Row],[Client No]],'Global Portfolio'!$B$2:$N$2500,12,FALSE)</f>
        <v>Others</v>
      </c>
    </row>
    <row r="1104" spans="1:28" x14ac:dyDescent="0.25">
      <c r="A1104">
        <v>200982</v>
      </c>
      <c r="B1104" t="s">
        <v>4537</v>
      </c>
      <c r="C1104" t="s">
        <v>4544</v>
      </c>
      <c r="D1104" t="s">
        <v>1283</v>
      </c>
      <c r="E1104">
        <v>36</v>
      </c>
      <c r="F1104">
        <v>50000000</v>
      </c>
      <c r="G1104">
        <v>17472898.690000001</v>
      </c>
      <c r="H1104">
        <v>9382276.3900000006</v>
      </c>
      <c r="I1104" t="s">
        <v>5167</v>
      </c>
      <c r="J1104">
        <v>0</v>
      </c>
      <c r="K1104">
        <v>1250000</v>
      </c>
      <c r="L1104">
        <v>302654.08000000002</v>
      </c>
      <c r="M1104">
        <v>17775552.77</v>
      </c>
      <c r="N1104" s="711">
        <v>42845.775843553238</v>
      </c>
      <c r="O1104" s="711">
        <v>43033</v>
      </c>
      <c r="P1104" t="s">
        <v>4545</v>
      </c>
      <c r="Q1104" t="s">
        <v>1280</v>
      </c>
      <c r="R1104" t="s">
        <v>1280</v>
      </c>
      <c r="S1104" t="s">
        <v>1510</v>
      </c>
      <c r="T1104">
        <v>40</v>
      </c>
      <c r="U1104">
        <f>IF(Table__192.168.1.150_M_CONSOLIDATED_Delinquency_Compulsory_EOM[[#This Row],[Days in Arrears]] &lt; 8, Table__192.168.1.150_M_CONSOLIDATED_Delinquency_Compulsory_EOM[[#This Row],[Outstanding Balance]], 0 )</f>
        <v>0</v>
      </c>
      <c r="V11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17472898.690000001</v>
      </c>
      <c r="X11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4" s="105" t="str">
        <f>VLOOKUP(Table__192.168.1.150_M_CONSOLIDATED_Delinquency_Compulsory_EOM[[#This Row],[Client No]],'Global Portfolio'!$B$2:$N$2500,10,FALSE)</f>
        <v>Real Estate and Rental</v>
      </c>
      <c r="AA1104" s="105" t="str">
        <f>VLOOKUP(Table__192.168.1.150_M_CONSOLIDATED_Delinquency_Compulsory_EOM[[#This Row],[Client No]],'Global Portfolio'!$B$2:$N$2500,11,FALSE)</f>
        <v>Rental</v>
      </c>
      <c r="AB1104" s="105" t="str">
        <f>VLOOKUP(Table__192.168.1.150_M_CONSOLIDATED_Delinquency_Compulsory_EOM[[#This Row],[Client No]],'Global Portfolio'!$B$2:$N$2500,12,FALSE)</f>
        <v>General Rental Centers</v>
      </c>
    </row>
    <row r="1105" spans="1:28" x14ac:dyDescent="0.25">
      <c r="A1105">
        <v>200985</v>
      </c>
      <c r="B1105" t="s">
        <v>4547</v>
      </c>
      <c r="C1105" t="s">
        <v>4555</v>
      </c>
      <c r="D1105" t="s">
        <v>1282</v>
      </c>
      <c r="E1105">
        <v>-20</v>
      </c>
      <c r="F1105">
        <v>2500000</v>
      </c>
      <c r="G1105">
        <v>1414110.54</v>
      </c>
      <c r="H1105">
        <v>274165.46999999997</v>
      </c>
      <c r="I1105" t="s">
        <v>1667</v>
      </c>
      <c r="J1105">
        <v>0</v>
      </c>
      <c r="K1105">
        <v>250000</v>
      </c>
      <c r="L1105">
        <v>19090.490000000002</v>
      </c>
      <c r="M1105">
        <v>1644992.83</v>
      </c>
      <c r="N1105" s="711">
        <v>42846.585483599534</v>
      </c>
      <c r="O1105" s="711">
        <v>43211</v>
      </c>
      <c r="P1105" t="s">
        <v>4556</v>
      </c>
      <c r="Q1105" t="s">
        <v>1280</v>
      </c>
      <c r="R1105" t="s">
        <v>4557</v>
      </c>
      <c r="S1105" t="s">
        <v>1510</v>
      </c>
      <c r="T1105">
        <v>54</v>
      </c>
      <c r="U1105">
        <f>IF(Table__192.168.1.150_M_CONSOLIDATED_Delinquency_Compulsory_EOM[[#This Row],[Days in Arrears]] &lt; 8, Table__192.168.1.150_M_CONSOLIDATED_Delinquency_Compulsory_EOM[[#This Row],[Outstanding Balance]], 0 )</f>
        <v>1414110.54</v>
      </c>
      <c r="V11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5" s="105" t="str">
        <f>VLOOKUP(Table__192.168.1.150_M_CONSOLIDATED_Delinquency_Compulsory_EOM[[#This Row],[Client No]],'Global Portfolio'!$B$2:$N$2500,10,FALSE)</f>
        <v>Real Estate and Rental</v>
      </c>
      <c r="AA1105" s="105" t="str">
        <f>VLOOKUP(Table__192.168.1.150_M_CONSOLIDATED_Delinquency_Compulsory_EOM[[#This Row],[Client No]],'Global Portfolio'!$B$2:$N$2500,11,FALSE)</f>
        <v>Rental</v>
      </c>
      <c r="AB1105" s="105" t="str">
        <f>VLOOKUP(Table__192.168.1.150_M_CONSOLIDATED_Delinquency_Compulsory_EOM[[#This Row],[Client No]],'Global Portfolio'!$B$2:$N$2500,12,FALSE)</f>
        <v>General Rental Centers</v>
      </c>
    </row>
    <row r="1106" spans="1:28" x14ac:dyDescent="0.25">
      <c r="A1106">
        <v>200987</v>
      </c>
      <c r="B1106" t="s">
        <v>2281</v>
      </c>
      <c r="C1106" t="s">
        <v>2289</v>
      </c>
      <c r="D1106" t="s">
        <v>1284</v>
      </c>
      <c r="E1106">
        <v>-20</v>
      </c>
      <c r="F1106">
        <v>25000000</v>
      </c>
      <c r="G1106">
        <v>18093566.219999999</v>
      </c>
      <c r="H1106">
        <v>1817717.4</v>
      </c>
      <c r="I1106" t="s">
        <v>546</v>
      </c>
      <c r="J1106">
        <v>35575.480000000003</v>
      </c>
      <c r="K1106">
        <v>625000</v>
      </c>
      <c r="L1106">
        <v>162842.1</v>
      </c>
      <c r="M1106">
        <v>21812608.73</v>
      </c>
      <c r="N1106" s="711">
        <v>42846.66457361111</v>
      </c>
      <c r="O1106" s="711">
        <v>43394</v>
      </c>
      <c r="P1106" t="s">
        <v>2290</v>
      </c>
      <c r="Q1106" t="s">
        <v>1280</v>
      </c>
      <c r="R1106" t="s">
        <v>1280</v>
      </c>
      <c r="S1106" t="s">
        <v>1510</v>
      </c>
      <c r="T1106">
        <v>36</v>
      </c>
      <c r="U1106">
        <f>IF(Table__192.168.1.150_M_CONSOLIDATED_Delinquency_Compulsory_EOM[[#This Row],[Days in Arrears]] &lt; 8, Table__192.168.1.150_M_CONSOLIDATED_Delinquency_Compulsory_EOM[[#This Row],[Outstanding Balance]], 0 )</f>
        <v>18093566.219999999</v>
      </c>
      <c r="V11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6" s="105" t="str">
        <f>VLOOKUP(Table__192.168.1.150_M_CONSOLIDATED_Delinquency_Compulsory_EOM[[#This Row],[Client No]],'Global Portfolio'!$B$2:$N$2500,10,FALSE)</f>
        <v>Wholesale Trade</v>
      </c>
      <c r="AA1106" s="105" t="str">
        <f>VLOOKUP(Table__192.168.1.150_M_CONSOLIDATED_Delinquency_Compulsory_EOM[[#This Row],[Client No]],'Global Portfolio'!$B$2:$N$2500,11,FALSE)</f>
        <v>Others</v>
      </c>
      <c r="AB1106" s="105" t="str">
        <f>VLOOKUP(Table__192.168.1.150_M_CONSOLIDATED_Delinquency_Compulsory_EOM[[#This Row],[Client No]],'Global Portfolio'!$B$2:$N$2500,12,FALSE)</f>
        <v>Others</v>
      </c>
    </row>
    <row r="1107" spans="1:28" x14ac:dyDescent="0.25">
      <c r="A1107">
        <v>200989</v>
      </c>
      <c r="B1107" t="s">
        <v>4561</v>
      </c>
      <c r="C1107" t="s">
        <v>4562</v>
      </c>
      <c r="D1107" t="s">
        <v>1281</v>
      </c>
      <c r="E1107">
        <v>-21</v>
      </c>
      <c r="F1107">
        <v>25000000</v>
      </c>
      <c r="G1107">
        <v>13964026.779999999</v>
      </c>
      <c r="H1107">
        <v>2663804.3199999998</v>
      </c>
      <c r="I1107" t="s">
        <v>1447</v>
      </c>
      <c r="J1107">
        <v>5953.22</v>
      </c>
      <c r="K1107">
        <v>1875000</v>
      </c>
      <c r="L1107">
        <v>148949.62</v>
      </c>
      <c r="M1107">
        <v>15982825.880000001</v>
      </c>
      <c r="N1107" s="711">
        <v>42847.543185381946</v>
      </c>
      <c r="O1107" s="711">
        <v>43212</v>
      </c>
      <c r="P1107" t="s">
        <v>4563</v>
      </c>
      <c r="Q1107" t="s">
        <v>1280</v>
      </c>
      <c r="R1107" t="s">
        <v>4564</v>
      </c>
      <c r="S1107" t="s">
        <v>1510</v>
      </c>
      <c r="T1107">
        <v>48</v>
      </c>
      <c r="U1107">
        <f>IF(Table__192.168.1.150_M_CONSOLIDATED_Delinquency_Compulsory_EOM[[#This Row],[Days in Arrears]] &lt; 8, Table__192.168.1.150_M_CONSOLIDATED_Delinquency_Compulsory_EOM[[#This Row],[Outstanding Balance]], 0 )</f>
        <v>13964026.779999999</v>
      </c>
      <c r="V11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7" s="105" t="str">
        <f>VLOOKUP(Table__192.168.1.150_M_CONSOLIDATED_Delinquency_Compulsory_EOM[[#This Row],[Client No]],'Global Portfolio'!$B$2:$N$2500,10,FALSE)</f>
        <v>Retail</v>
      </c>
      <c r="AA1107" s="105" t="str">
        <f>VLOOKUP(Table__192.168.1.150_M_CONSOLIDATED_Delinquency_Compulsory_EOM[[#This Row],[Client No]],'Global Portfolio'!$B$2:$N$2500,11,FALSE)</f>
        <v>Others</v>
      </c>
      <c r="AB1107" s="105" t="str">
        <f>VLOOKUP(Table__192.168.1.150_M_CONSOLIDATED_Delinquency_Compulsory_EOM[[#This Row],[Client No]],'Global Portfolio'!$B$2:$N$2500,12,FALSE)</f>
        <v>Others</v>
      </c>
    </row>
    <row r="1108" spans="1:28" x14ac:dyDescent="0.25">
      <c r="A1108">
        <v>200991</v>
      </c>
      <c r="B1108" t="s">
        <v>3810</v>
      </c>
      <c r="C1108" t="s">
        <v>3816</v>
      </c>
      <c r="D1108" t="s">
        <v>1283</v>
      </c>
      <c r="E1108">
        <v>-24</v>
      </c>
      <c r="F1108">
        <v>45000000</v>
      </c>
      <c r="G1108">
        <v>34266826.119999997</v>
      </c>
      <c r="H1108">
        <v>3033516.67</v>
      </c>
      <c r="I1108" t="s">
        <v>1447</v>
      </c>
      <c r="J1108">
        <v>7966.66</v>
      </c>
      <c r="K1108">
        <v>2250000</v>
      </c>
      <c r="L1108">
        <v>171334.13</v>
      </c>
      <c r="M1108">
        <v>42469233.280000001</v>
      </c>
      <c r="N1108" s="711">
        <v>42847.560156562497</v>
      </c>
      <c r="O1108" s="711">
        <v>43459</v>
      </c>
      <c r="P1108" t="s">
        <v>3817</v>
      </c>
      <c r="Q1108" t="s">
        <v>1280</v>
      </c>
      <c r="R1108" t="s">
        <v>3818</v>
      </c>
      <c r="S1108" t="s">
        <v>1510</v>
      </c>
      <c r="T1108">
        <v>36</v>
      </c>
      <c r="U1108">
        <f>IF(Table__192.168.1.150_M_CONSOLIDATED_Delinquency_Compulsory_EOM[[#This Row],[Days in Arrears]] &lt; 8, Table__192.168.1.150_M_CONSOLIDATED_Delinquency_Compulsory_EOM[[#This Row],[Outstanding Balance]], 0 )</f>
        <v>34266826.119999997</v>
      </c>
      <c r="V11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8" s="105" t="str">
        <f>VLOOKUP(Table__192.168.1.150_M_CONSOLIDATED_Delinquency_Compulsory_EOM[[#This Row],[Client No]],'Global Portfolio'!$B$2:$N$2500,10,FALSE)</f>
        <v>Transportation and Warehousing</v>
      </c>
      <c r="AA1108" s="105" t="str">
        <f>VLOOKUP(Table__192.168.1.150_M_CONSOLIDATED_Delinquency_Compulsory_EOM[[#This Row],[Client No]],'Global Portfolio'!$B$2:$N$2500,11,FALSE)</f>
        <v xml:space="preserve"> Passenger Transportation</v>
      </c>
      <c r="AB1108" s="105" t="str">
        <f>VLOOKUP(Table__192.168.1.150_M_CONSOLIDATED_Delinquency_Compulsory_EOM[[#This Row],[Client No]],'Global Portfolio'!$B$2:$N$2500,12,FALSE)</f>
        <v>Taxi service</v>
      </c>
    </row>
    <row r="1109" spans="1:28" x14ac:dyDescent="0.25">
      <c r="A1109">
        <v>200995</v>
      </c>
      <c r="B1109" t="s">
        <v>4574</v>
      </c>
      <c r="C1109" t="s">
        <v>4583</v>
      </c>
      <c r="D1109" t="s">
        <v>1282</v>
      </c>
      <c r="E1109">
        <v>-24</v>
      </c>
      <c r="F1109">
        <v>8000000</v>
      </c>
      <c r="G1109">
        <v>4525153.7300000004</v>
      </c>
      <c r="H1109">
        <v>877329.51</v>
      </c>
      <c r="I1109" t="s">
        <v>491</v>
      </c>
      <c r="J1109">
        <v>11670.49</v>
      </c>
      <c r="K1109">
        <v>800000</v>
      </c>
      <c r="L1109">
        <v>33938.65</v>
      </c>
      <c r="M1109">
        <v>5263977.0599999996</v>
      </c>
      <c r="N1109" s="711">
        <v>42850.794766585648</v>
      </c>
      <c r="O1109" s="711">
        <v>43215</v>
      </c>
      <c r="P1109" t="s">
        <v>4584</v>
      </c>
      <c r="Q1109" t="s">
        <v>1280</v>
      </c>
      <c r="R1109" t="s">
        <v>4585</v>
      </c>
      <c r="S1109" t="s">
        <v>1510</v>
      </c>
      <c r="T1109">
        <v>54</v>
      </c>
      <c r="U1109">
        <f>IF(Table__192.168.1.150_M_CONSOLIDATED_Delinquency_Compulsory_EOM[[#This Row],[Days in Arrears]] &lt; 8, Table__192.168.1.150_M_CONSOLIDATED_Delinquency_Compulsory_EOM[[#This Row],[Outstanding Balance]], 0 )</f>
        <v>4525153.7300000004</v>
      </c>
      <c r="V11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09" s="105" t="str">
        <f>VLOOKUP(Table__192.168.1.150_M_CONSOLIDATED_Delinquency_Compulsory_EOM[[#This Row],[Client No]],'Global Portfolio'!$B$2:$N$2500,10,FALSE)</f>
        <v>Wholesale Trade</v>
      </c>
      <c r="AA1109" s="105" t="str">
        <f>VLOOKUP(Table__192.168.1.150_M_CONSOLIDATED_Delinquency_Compulsory_EOM[[#This Row],[Client No]],'Global Portfolio'!$B$2:$N$2500,11,FALSE)</f>
        <v>Durable Goods</v>
      </c>
      <c r="AB1109" s="105" t="str">
        <f>VLOOKUP(Table__192.168.1.150_M_CONSOLIDATED_Delinquency_Compulsory_EOM[[#This Row],[Client No]],'Global Portfolio'!$B$2:$N$2500,12,FALSE)</f>
        <v>Others</v>
      </c>
    </row>
    <row r="1110" spans="1:28" x14ac:dyDescent="0.25">
      <c r="A1110">
        <v>200997</v>
      </c>
      <c r="B1110" t="s">
        <v>4575</v>
      </c>
      <c r="C1110" t="s">
        <v>4586</v>
      </c>
      <c r="D1110" t="s">
        <v>1282</v>
      </c>
      <c r="E1110">
        <v>36</v>
      </c>
      <c r="F1110">
        <v>4000000</v>
      </c>
      <c r="G1110">
        <v>2505801.33</v>
      </c>
      <c r="H1110">
        <v>505515.29</v>
      </c>
      <c r="I1110" t="s">
        <v>2861</v>
      </c>
      <c r="J1110">
        <v>0</v>
      </c>
      <c r="K1110">
        <v>0</v>
      </c>
      <c r="L1110">
        <v>99864.02</v>
      </c>
      <c r="M1110">
        <v>2814177.42</v>
      </c>
      <c r="N1110" s="711">
        <v>42850.755774224534</v>
      </c>
      <c r="O1110" s="711">
        <v>43156</v>
      </c>
      <c r="P1110" t="s">
        <v>4587</v>
      </c>
      <c r="Q1110" t="s">
        <v>1280</v>
      </c>
      <c r="R1110" t="s">
        <v>4588</v>
      </c>
      <c r="S1110" t="s">
        <v>1510</v>
      </c>
      <c r="T1110">
        <v>54</v>
      </c>
      <c r="U1110">
        <f>IF(Table__192.168.1.150_M_CONSOLIDATED_Delinquency_Compulsory_EOM[[#This Row],[Days in Arrears]] &lt; 8, Table__192.168.1.150_M_CONSOLIDATED_Delinquency_Compulsory_EOM[[#This Row],[Outstanding Balance]], 0 )</f>
        <v>0</v>
      </c>
      <c r="V11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2505801.33</v>
      </c>
      <c r="X11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0" s="105" t="str">
        <f>VLOOKUP(Table__192.168.1.150_M_CONSOLIDATED_Delinquency_Compulsory_EOM[[#This Row],[Client No]],'Global Portfolio'!$B$2:$N$2500,10,FALSE)</f>
        <v>Retail</v>
      </c>
      <c r="AA1110" s="105" t="str">
        <f>VLOOKUP(Table__192.168.1.150_M_CONSOLIDATED_Delinquency_Compulsory_EOM[[#This Row],[Client No]],'Global Portfolio'!$B$2:$N$2500,11,FALSE)</f>
        <v>General Merchandise Stores</v>
      </c>
      <c r="AB1110" s="105" t="str">
        <f>VLOOKUP(Table__192.168.1.150_M_CONSOLIDATED_Delinquency_Compulsory_EOM[[#This Row],[Client No]],'Global Portfolio'!$B$2:$N$2500,12,FALSE)</f>
        <v>General Stores</v>
      </c>
    </row>
    <row r="1111" spans="1:28" x14ac:dyDescent="0.25">
      <c r="A1111">
        <v>200998</v>
      </c>
      <c r="B1111" t="s">
        <v>3452</v>
      </c>
      <c r="C1111" t="s">
        <v>3455</v>
      </c>
      <c r="D1111" t="s">
        <v>1282</v>
      </c>
      <c r="E1111">
        <v>0</v>
      </c>
      <c r="F1111">
        <v>8000000</v>
      </c>
      <c r="G1111">
        <v>4390955.0599999996</v>
      </c>
      <c r="H1111">
        <v>986327.55</v>
      </c>
      <c r="I1111" t="s">
        <v>1467</v>
      </c>
      <c r="J1111">
        <v>0</v>
      </c>
      <c r="K1111">
        <v>800000</v>
      </c>
      <c r="L1111">
        <v>169783.6</v>
      </c>
      <c r="M1111">
        <v>4931637.8099999996</v>
      </c>
      <c r="N1111" s="711">
        <v>42853.463061145834</v>
      </c>
      <c r="O1111" s="711">
        <v>43160</v>
      </c>
      <c r="P1111" t="s">
        <v>3456</v>
      </c>
      <c r="Q1111" t="s">
        <v>1280</v>
      </c>
      <c r="R1111" t="s">
        <v>3457</v>
      </c>
      <c r="S1111" t="s">
        <v>1510</v>
      </c>
      <c r="T1111">
        <v>48</v>
      </c>
      <c r="U1111">
        <f>IF(Table__192.168.1.150_M_CONSOLIDATED_Delinquency_Compulsory_EOM[[#This Row],[Days in Arrears]] &lt; 8, Table__192.168.1.150_M_CONSOLIDATED_Delinquency_Compulsory_EOM[[#This Row],[Outstanding Balance]], 0 )</f>
        <v>4390955.0599999996</v>
      </c>
      <c r="V11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1" s="105" t="str">
        <f>VLOOKUP(Table__192.168.1.150_M_CONSOLIDATED_Delinquency_Compulsory_EOM[[#This Row],[Client No]],'Global Portfolio'!$B$2:$N$2500,10,FALSE)</f>
        <v>Real Estate and Rental</v>
      </c>
      <c r="AA1111" s="105" t="str">
        <f>VLOOKUP(Table__192.168.1.150_M_CONSOLIDATED_Delinquency_Compulsory_EOM[[#This Row],[Client No]],'Global Portfolio'!$B$2:$N$2500,11,FALSE)</f>
        <v>Rental</v>
      </c>
      <c r="AB1111" s="105" t="str">
        <f>VLOOKUP(Table__192.168.1.150_M_CONSOLIDATED_Delinquency_Compulsory_EOM[[#This Row],[Client No]],'Global Portfolio'!$B$2:$N$2500,12,FALSE)</f>
        <v>Others</v>
      </c>
    </row>
    <row r="1112" spans="1:28" x14ac:dyDescent="0.25">
      <c r="A1112">
        <v>200999</v>
      </c>
      <c r="B1112" t="s">
        <v>4590</v>
      </c>
      <c r="C1112" t="s">
        <v>4600</v>
      </c>
      <c r="D1112" t="s">
        <v>1283</v>
      </c>
      <c r="E1112">
        <v>30</v>
      </c>
      <c r="F1112">
        <v>40000000</v>
      </c>
      <c r="G1112">
        <v>33208268.57</v>
      </c>
      <c r="H1112">
        <v>3007005.79</v>
      </c>
      <c r="I1112" t="s">
        <v>1191</v>
      </c>
      <c r="J1112">
        <v>0</v>
      </c>
      <c r="K1112">
        <v>0</v>
      </c>
      <c r="L1112">
        <v>2020708.01</v>
      </c>
      <c r="M1112">
        <v>41532146.469999999</v>
      </c>
      <c r="N1112" s="711">
        <v>42851.593739351854</v>
      </c>
      <c r="O1112" s="711">
        <v>43405</v>
      </c>
      <c r="P1112" t="s">
        <v>4601</v>
      </c>
      <c r="Q1112" t="s">
        <v>1280</v>
      </c>
      <c r="R1112" t="s">
        <v>1280</v>
      </c>
      <c r="S1112" t="s">
        <v>1510</v>
      </c>
      <c r="T1112">
        <v>40</v>
      </c>
      <c r="U1112">
        <f>IF(Table__192.168.1.150_M_CONSOLIDATED_Delinquency_Compulsory_EOM[[#This Row],[Days in Arrears]] &lt; 8, Table__192.168.1.150_M_CONSOLIDATED_Delinquency_Compulsory_EOM[[#This Row],[Outstanding Balance]], 0 )</f>
        <v>0</v>
      </c>
      <c r="V11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33208268.57</v>
      </c>
      <c r="X11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2" s="105" t="str">
        <f>VLOOKUP(Table__192.168.1.150_M_CONSOLIDATED_Delinquency_Compulsory_EOM[[#This Row],[Client No]],'Global Portfolio'!$B$2:$N$2500,10,FALSE)</f>
        <v>Wholesale Trade</v>
      </c>
      <c r="AA1112" s="105" t="str">
        <f>VLOOKUP(Table__192.168.1.150_M_CONSOLIDATED_Delinquency_Compulsory_EOM[[#This Row],[Client No]],'Global Portfolio'!$B$2:$N$2500,11,FALSE)</f>
        <v>Durable Goods</v>
      </c>
      <c r="AB1112" s="105" t="str">
        <f>VLOOKUP(Table__192.168.1.150_M_CONSOLIDATED_Delinquency_Compulsory_EOM[[#This Row],[Client No]],'Global Portfolio'!$B$2:$N$2500,12,FALSE)</f>
        <v>Others</v>
      </c>
    </row>
    <row r="1113" spans="1:28" x14ac:dyDescent="0.25">
      <c r="A1113">
        <v>201000</v>
      </c>
      <c r="B1113" t="s">
        <v>1735</v>
      </c>
      <c r="C1113" t="s">
        <v>1736</v>
      </c>
      <c r="D1113" t="s">
        <v>1866</v>
      </c>
      <c r="E1113">
        <v>0</v>
      </c>
      <c r="F1113">
        <v>10000000</v>
      </c>
      <c r="G1113">
        <v>6372699.2000000002</v>
      </c>
      <c r="H1113">
        <v>1048711.8700000001</v>
      </c>
      <c r="I1113" t="s">
        <v>90</v>
      </c>
      <c r="J1113">
        <v>0</v>
      </c>
      <c r="K1113">
        <v>1000000</v>
      </c>
      <c r="L1113">
        <v>225876.78</v>
      </c>
      <c r="M1113">
        <v>7340983.04</v>
      </c>
      <c r="N1113" s="711">
        <v>42853.653735844906</v>
      </c>
      <c r="O1113" s="711">
        <v>43221</v>
      </c>
      <c r="P1113" t="s">
        <v>1737</v>
      </c>
      <c r="Q1113" t="s">
        <v>1280</v>
      </c>
      <c r="R1113" t="s">
        <v>1280</v>
      </c>
      <c r="S1113" t="s">
        <v>1510</v>
      </c>
      <c r="T1113">
        <v>44</v>
      </c>
      <c r="U1113">
        <f>IF(Table__192.168.1.150_M_CONSOLIDATED_Delinquency_Compulsory_EOM[[#This Row],[Days in Arrears]] &lt; 8, Table__192.168.1.150_M_CONSOLIDATED_Delinquency_Compulsory_EOM[[#This Row],[Outstanding Balance]], 0 )</f>
        <v>6372699.2000000002</v>
      </c>
      <c r="V11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3" s="105" t="str">
        <f>VLOOKUP(Table__192.168.1.150_M_CONSOLIDATED_Delinquency_Compulsory_EOM[[#This Row],[Client No]],'Global Portfolio'!$B$2:$N$2500,10,FALSE)</f>
        <v>Retail</v>
      </c>
      <c r="AA1113" s="105" t="str">
        <f>VLOOKUP(Table__192.168.1.150_M_CONSOLIDATED_Delinquency_Compulsory_EOM[[#This Row],[Client No]],'Global Portfolio'!$B$2:$N$2500,11,FALSE)</f>
        <v>Others</v>
      </c>
      <c r="AB1113" s="105" t="str">
        <f>VLOOKUP(Table__192.168.1.150_M_CONSOLIDATED_Delinquency_Compulsory_EOM[[#This Row],[Client No]],'Global Portfolio'!$B$2:$N$2500,12,FALSE)</f>
        <v>Others</v>
      </c>
    </row>
    <row r="1114" spans="1:28" x14ac:dyDescent="0.25">
      <c r="A1114">
        <v>201001</v>
      </c>
      <c r="B1114" t="s">
        <v>4595</v>
      </c>
      <c r="C1114" t="s">
        <v>4602</v>
      </c>
      <c r="D1114" t="s">
        <v>1279</v>
      </c>
      <c r="E1114">
        <v>0</v>
      </c>
      <c r="F1114">
        <v>2000000</v>
      </c>
      <c r="G1114">
        <v>839521.41</v>
      </c>
      <c r="H1114">
        <v>305395.52</v>
      </c>
      <c r="I1114" t="s">
        <v>1667</v>
      </c>
      <c r="J1114">
        <v>292212.96999999997</v>
      </c>
      <c r="K1114">
        <v>200000</v>
      </c>
      <c r="L1114">
        <v>36519.18</v>
      </c>
      <c r="M1114">
        <v>916186.57</v>
      </c>
      <c r="N1114" s="711">
        <v>42851.61552392361</v>
      </c>
      <c r="O1114" s="711">
        <v>43101</v>
      </c>
      <c r="P1114" t="s">
        <v>4603</v>
      </c>
      <c r="Q1114" t="s">
        <v>1280</v>
      </c>
      <c r="R1114" t="s">
        <v>4604</v>
      </c>
      <c r="S1114" t="s">
        <v>1510</v>
      </c>
      <c r="T1114">
        <v>54</v>
      </c>
      <c r="U1114">
        <f>IF(Table__192.168.1.150_M_CONSOLIDATED_Delinquency_Compulsory_EOM[[#This Row],[Days in Arrears]] &lt; 8, Table__192.168.1.150_M_CONSOLIDATED_Delinquency_Compulsory_EOM[[#This Row],[Outstanding Balance]], 0 )</f>
        <v>839521.41</v>
      </c>
      <c r="V11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4" s="105" t="str">
        <f>VLOOKUP(Table__192.168.1.150_M_CONSOLIDATED_Delinquency_Compulsory_EOM[[#This Row],[Client No]],'Global Portfolio'!$B$2:$N$2500,10,FALSE)</f>
        <v>Real Estate and Rental</v>
      </c>
      <c r="AA1114" s="105" t="str">
        <f>VLOOKUP(Table__192.168.1.150_M_CONSOLIDATED_Delinquency_Compulsory_EOM[[#This Row],[Client No]],'Global Portfolio'!$B$2:$N$2500,11,FALSE)</f>
        <v>Rental</v>
      </c>
      <c r="AB1114" s="105" t="str">
        <f>VLOOKUP(Table__192.168.1.150_M_CONSOLIDATED_Delinquency_Compulsory_EOM[[#This Row],[Client No]],'Global Portfolio'!$B$2:$N$2500,12,FALSE)</f>
        <v>Others</v>
      </c>
    </row>
    <row r="1115" spans="1:28" x14ac:dyDescent="0.25">
      <c r="A1115">
        <v>201002</v>
      </c>
      <c r="B1115" t="s">
        <v>4593</v>
      </c>
      <c r="C1115" t="s">
        <v>4605</v>
      </c>
      <c r="D1115" t="s">
        <v>1284</v>
      </c>
      <c r="E1115">
        <v>0</v>
      </c>
      <c r="F1115">
        <v>55000000</v>
      </c>
      <c r="G1115">
        <v>47063745.420000002</v>
      </c>
      <c r="H1115">
        <v>3383418.6</v>
      </c>
      <c r="I1115" t="s">
        <v>491</v>
      </c>
      <c r="J1115">
        <v>0</v>
      </c>
      <c r="K1115">
        <v>0</v>
      </c>
      <c r="L1115">
        <v>1516498.46</v>
      </c>
      <c r="M1115">
        <v>64284953.450000003</v>
      </c>
      <c r="N1115" s="711">
        <v>42851.551072650465</v>
      </c>
      <c r="O1115" s="711">
        <v>43586</v>
      </c>
      <c r="P1115" t="s">
        <v>4606</v>
      </c>
      <c r="Q1115" t="s">
        <v>1280</v>
      </c>
      <c r="R1115" t="s">
        <v>4607</v>
      </c>
      <c r="S1115" t="s">
        <v>1510</v>
      </c>
      <c r="T1115">
        <v>40</v>
      </c>
      <c r="U1115">
        <f>IF(Table__192.168.1.150_M_CONSOLIDATED_Delinquency_Compulsory_EOM[[#This Row],[Days in Arrears]] &lt; 8, Table__192.168.1.150_M_CONSOLIDATED_Delinquency_Compulsory_EOM[[#This Row],[Outstanding Balance]], 0 )</f>
        <v>47063745.420000002</v>
      </c>
      <c r="V11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5" s="105" t="str">
        <f>VLOOKUP(Table__192.168.1.150_M_CONSOLIDATED_Delinquency_Compulsory_EOM[[#This Row],[Client No]],'Global Portfolio'!$B$2:$N$2500,10,FALSE)</f>
        <v>Retail</v>
      </c>
      <c r="AA1115" s="105" t="str">
        <f>VLOOKUP(Table__192.168.1.150_M_CONSOLIDATED_Delinquency_Compulsory_EOM[[#This Row],[Client No]],'Global Portfolio'!$B$2:$N$2500,11,FALSE)</f>
        <v>Miscellaneous Store Retailers</v>
      </c>
      <c r="AB1115" s="105" t="str">
        <f>VLOOKUP(Table__192.168.1.150_M_CONSOLIDATED_Delinquency_Compulsory_EOM[[#This Row],[Client No]],'Global Portfolio'!$B$2:$N$2500,12,FALSE)</f>
        <v>Others</v>
      </c>
    </row>
    <row r="1116" spans="1:28" x14ac:dyDescent="0.25">
      <c r="A1116">
        <v>201003</v>
      </c>
      <c r="B1116" t="s">
        <v>4594</v>
      </c>
      <c r="C1116" t="s">
        <v>4608</v>
      </c>
      <c r="D1116" t="s">
        <v>1282</v>
      </c>
      <c r="E1116">
        <v>0</v>
      </c>
      <c r="F1116">
        <v>10000000</v>
      </c>
      <c r="G1116">
        <v>6508680.6500000004</v>
      </c>
      <c r="H1116">
        <v>1104532.67</v>
      </c>
      <c r="I1116" t="s">
        <v>1925</v>
      </c>
      <c r="J1116">
        <v>1299678.01</v>
      </c>
      <c r="K1116">
        <v>1000000</v>
      </c>
      <c r="L1116">
        <v>283127.61</v>
      </c>
      <c r="M1116">
        <v>7731728.6299999999</v>
      </c>
      <c r="N1116" s="711">
        <v>42851.783158298611</v>
      </c>
      <c r="O1116" s="711">
        <v>43221</v>
      </c>
      <c r="P1116" t="s">
        <v>4609</v>
      </c>
      <c r="Q1116" t="s">
        <v>1280</v>
      </c>
      <c r="R1116" t="s">
        <v>4610</v>
      </c>
      <c r="S1116" t="s">
        <v>1510</v>
      </c>
      <c r="T1116">
        <v>54</v>
      </c>
      <c r="U1116">
        <f>IF(Table__192.168.1.150_M_CONSOLIDATED_Delinquency_Compulsory_EOM[[#This Row],[Days in Arrears]] &lt; 8, Table__192.168.1.150_M_CONSOLIDATED_Delinquency_Compulsory_EOM[[#This Row],[Outstanding Balance]], 0 )</f>
        <v>6508680.6500000004</v>
      </c>
      <c r="V11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6" s="105" t="str">
        <f>VLOOKUP(Table__192.168.1.150_M_CONSOLIDATED_Delinquency_Compulsory_EOM[[#This Row],[Client No]],'Global Portfolio'!$B$2:$N$2500,10,FALSE)</f>
        <v>Real Estate and Rental</v>
      </c>
      <c r="AA1116" s="105" t="str">
        <f>VLOOKUP(Table__192.168.1.150_M_CONSOLIDATED_Delinquency_Compulsory_EOM[[#This Row],[Client No]],'Global Portfolio'!$B$2:$N$2500,11,FALSE)</f>
        <v>Rental</v>
      </c>
      <c r="AB1116" s="105" t="str">
        <f>VLOOKUP(Table__192.168.1.150_M_CONSOLIDATED_Delinquency_Compulsory_EOM[[#This Row],[Client No]],'Global Portfolio'!$B$2:$N$2500,12,FALSE)</f>
        <v>Others</v>
      </c>
    </row>
    <row r="1117" spans="1:28" x14ac:dyDescent="0.25">
      <c r="A1117">
        <v>201004</v>
      </c>
      <c r="B1117" t="s">
        <v>4589</v>
      </c>
      <c r="C1117" t="s">
        <v>4611</v>
      </c>
      <c r="D1117" t="s">
        <v>1282</v>
      </c>
      <c r="E1117">
        <v>0</v>
      </c>
      <c r="F1117">
        <v>6000000</v>
      </c>
      <c r="G1117">
        <v>2518564.19</v>
      </c>
      <c r="H1117">
        <v>916186.57</v>
      </c>
      <c r="I1117" t="s">
        <v>1925</v>
      </c>
      <c r="J1117">
        <v>94776.06</v>
      </c>
      <c r="K1117">
        <v>600000</v>
      </c>
      <c r="L1117">
        <v>109557.54</v>
      </c>
      <c r="M1117">
        <v>2748559.68</v>
      </c>
      <c r="N1117" s="711">
        <v>42851.73559128472</v>
      </c>
      <c r="O1117" s="711">
        <v>43101</v>
      </c>
      <c r="P1117" t="s">
        <v>4612</v>
      </c>
      <c r="Q1117" t="s">
        <v>4613</v>
      </c>
      <c r="R1117" t="s">
        <v>1280</v>
      </c>
      <c r="S1117" t="s">
        <v>1510</v>
      </c>
      <c r="T1117">
        <v>54</v>
      </c>
      <c r="U1117">
        <f>IF(Table__192.168.1.150_M_CONSOLIDATED_Delinquency_Compulsory_EOM[[#This Row],[Days in Arrears]] &lt; 8, Table__192.168.1.150_M_CONSOLIDATED_Delinquency_Compulsory_EOM[[#This Row],[Outstanding Balance]], 0 )</f>
        <v>2518564.19</v>
      </c>
      <c r="V11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7" s="105" t="str">
        <f>VLOOKUP(Table__192.168.1.150_M_CONSOLIDATED_Delinquency_Compulsory_EOM[[#This Row],[Client No]],'Global Portfolio'!$B$2:$N$2500,10,FALSE)</f>
        <v>Wholesale Trade</v>
      </c>
      <c r="AA1117" s="105" t="str">
        <f>VLOOKUP(Table__192.168.1.150_M_CONSOLIDATED_Delinquency_Compulsory_EOM[[#This Row],[Client No]],'Global Portfolio'!$B$2:$N$2500,11,FALSE)</f>
        <v>Durable Goods</v>
      </c>
      <c r="AB1117" s="105" t="str">
        <f>VLOOKUP(Table__192.168.1.150_M_CONSOLIDATED_Delinquency_Compulsory_EOM[[#This Row],[Client No]],'Global Portfolio'!$B$2:$N$2500,12,FALSE)</f>
        <v>Others</v>
      </c>
    </row>
    <row r="1118" spans="1:28" x14ac:dyDescent="0.25">
      <c r="A1118">
        <v>201005</v>
      </c>
      <c r="B1118" t="s">
        <v>4592</v>
      </c>
      <c r="C1118" t="s">
        <v>4614</v>
      </c>
      <c r="D1118" t="s">
        <v>1279</v>
      </c>
      <c r="E1118">
        <v>0</v>
      </c>
      <c r="F1118">
        <v>1500000</v>
      </c>
      <c r="G1118">
        <v>280291.65999999997</v>
      </c>
      <c r="H1118">
        <v>292904.78999999998</v>
      </c>
      <c r="I1118" t="s">
        <v>2538</v>
      </c>
      <c r="J1118">
        <v>282000</v>
      </c>
      <c r="K1118">
        <v>150000</v>
      </c>
      <c r="L1118">
        <v>12192.69</v>
      </c>
      <c r="M1118">
        <v>292904.78000000003</v>
      </c>
      <c r="N1118" s="711">
        <v>42851.660091238424</v>
      </c>
      <c r="O1118" s="711">
        <v>43040</v>
      </c>
      <c r="P1118" t="s">
        <v>4615</v>
      </c>
      <c r="Q1118" t="s">
        <v>1280</v>
      </c>
      <c r="R1118" t="s">
        <v>1280</v>
      </c>
      <c r="S1118" t="s">
        <v>1510</v>
      </c>
      <c r="T1118">
        <v>54</v>
      </c>
      <c r="U1118">
        <f>IF(Table__192.168.1.150_M_CONSOLIDATED_Delinquency_Compulsory_EOM[[#This Row],[Days in Arrears]] &lt; 8, Table__192.168.1.150_M_CONSOLIDATED_Delinquency_Compulsory_EOM[[#This Row],[Outstanding Balance]], 0 )</f>
        <v>280291.65999999997</v>
      </c>
      <c r="V11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8" s="105" t="e">
        <f>VLOOKUP(Table__192.168.1.150_M_CONSOLIDATED_Delinquency_Compulsory_EOM[[#This Row],[Client No]],'Global Portfolio'!$B$2:$N$2500,10,FALSE)</f>
        <v>#N/A</v>
      </c>
      <c r="AA1118" s="105" t="e">
        <f>VLOOKUP(Table__192.168.1.150_M_CONSOLIDATED_Delinquency_Compulsory_EOM[[#This Row],[Client No]],'Global Portfolio'!$B$2:$N$2500,11,FALSE)</f>
        <v>#N/A</v>
      </c>
      <c r="AB1118" s="105" t="e">
        <f>VLOOKUP(Table__192.168.1.150_M_CONSOLIDATED_Delinquency_Compulsory_EOM[[#This Row],[Client No]],'Global Portfolio'!$B$2:$N$2500,12,FALSE)</f>
        <v>#N/A</v>
      </c>
    </row>
    <row r="1119" spans="1:28" x14ac:dyDescent="0.25">
      <c r="A1119">
        <v>201007</v>
      </c>
      <c r="B1119" t="s">
        <v>1882</v>
      </c>
      <c r="C1119" t="s">
        <v>1883</v>
      </c>
      <c r="D1119" t="s">
        <v>1284</v>
      </c>
      <c r="E1119">
        <v>-23</v>
      </c>
      <c r="F1119">
        <v>55000000</v>
      </c>
      <c r="G1119">
        <v>44579287.289999999</v>
      </c>
      <c r="H1119">
        <v>3241301.84</v>
      </c>
      <c r="I1119" t="s">
        <v>2861</v>
      </c>
      <c r="J1119">
        <v>0</v>
      </c>
      <c r="K1119">
        <v>2750000</v>
      </c>
      <c r="L1119">
        <v>267475.71999999997</v>
      </c>
      <c r="M1119">
        <v>58343433.200000003</v>
      </c>
      <c r="N1119" s="711">
        <v>42851.791021446756</v>
      </c>
      <c r="O1119" s="711">
        <v>43579</v>
      </c>
      <c r="P1119" t="s">
        <v>1884</v>
      </c>
      <c r="Q1119" t="s">
        <v>1280</v>
      </c>
      <c r="R1119" t="s">
        <v>1280</v>
      </c>
      <c r="S1119" t="s">
        <v>1510</v>
      </c>
      <c r="T1119">
        <v>36</v>
      </c>
      <c r="U1119">
        <f>IF(Table__192.168.1.150_M_CONSOLIDATED_Delinquency_Compulsory_EOM[[#This Row],[Days in Arrears]] &lt; 8, Table__192.168.1.150_M_CONSOLIDATED_Delinquency_Compulsory_EOM[[#This Row],[Outstanding Balance]], 0 )</f>
        <v>44579287.289999999</v>
      </c>
      <c r="V11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19" s="105" t="e">
        <f>VLOOKUP(Table__192.168.1.150_M_CONSOLIDATED_Delinquency_Compulsory_EOM[[#This Row],[Client No]],'Global Portfolio'!$B$2:$N$2500,10,FALSE)</f>
        <v>#N/A</v>
      </c>
      <c r="AA1119" s="105" t="e">
        <f>VLOOKUP(Table__192.168.1.150_M_CONSOLIDATED_Delinquency_Compulsory_EOM[[#This Row],[Client No]],'Global Portfolio'!$B$2:$N$2500,11,FALSE)</f>
        <v>#N/A</v>
      </c>
      <c r="AB1119" s="105" t="e">
        <f>VLOOKUP(Table__192.168.1.150_M_CONSOLIDATED_Delinquency_Compulsory_EOM[[#This Row],[Client No]],'Global Portfolio'!$B$2:$N$2500,12,FALSE)</f>
        <v>#N/A</v>
      </c>
    </row>
    <row r="1120" spans="1:28" x14ac:dyDescent="0.25">
      <c r="A1120">
        <v>201008</v>
      </c>
      <c r="B1120" t="s">
        <v>4591</v>
      </c>
      <c r="C1120" t="s">
        <v>4616</v>
      </c>
      <c r="D1120" t="s">
        <v>1866</v>
      </c>
      <c r="E1120">
        <v>-23</v>
      </c>
      <c r="F1120">
        <v>6000000</v>
      </c>
      <c r="G1120">
        <v>3356597.31</v>
      </c>
      <c r="H1120">
        <v>643789.35</v>
      </c>
      <c r="I1120" t="s">
        <v>1667</v>
      </c>
      <c r="J1120">
        <v>0</v>
      </c>
      <c r="K1120">
        <v>600000</v>
      </c>
      <c r="L1120">
        <v>27971.64</v>
      </c>
      <c r="M1120">
        <v>3862736.1</v>
      </c>
      <c r="N1120" s="711">
        <v>42851.813862847222</v>
      </c>
      <c r="O1120" s="711">
        <v>43214</v>
      </c>
      <c r="P1120" t="s">
        <v>4617</v>
      </c>
      <c r="Q1120" t="s">
        <v>1280</v>
      </c>
      <c r="R1120" t="s">
        <v>1280</v>
      </c>
      <c r="S1120" t="s">
        <v>1510</v>
      </c>
      <c r="T1120">
        <v>50</v>
      </c>
      <c r="U1120">
        <f>IF(Table__192.168.1.150_M_CONSOLIDATED_Delinquency_Compulsory_EOM[[#This Row],[Days in Arrears]] &lt; 8, Table__192.168.1.150_M_CONSOLIDATED_Delinquency_Compulsory_EOM[[#This Row],[Outstanding Balance]], 0 )</f>
        <v>3356597.31</v>
      </c>
      <c r="V11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0" s="105" t="str">
        <f>VLOOKUP(Table__192.168.1.150_M_CONSOLIDATED_Delinquency_Compulsory_EOM[[#This Row],[Client No]],'Global Portfolio'!$B$2:$N$2500,10,FALSE)</f>
        <v>Retail</v>
      </c>
      <c r="AA1120" s="105" t="str">
        <f>VLOOKUP(Table__192.168.1.150_M_CONSOLIDATED_Delinquency_Compulsory_EOM[[#This Row],[Client No]],'Global Portfolio'!$B$2:$N$2500,11,FALSE)</f>
        <v>General Merchandise Stores</v>
      </c>
      <c r="AB1120" s="105" t="str">
        <f>VLOOKUP(Table__192.168.1.150_M_CONSOLIDATED_Delinquency_Compulsory_EOM[[#This Row],[Client No]],'Global Portfolio'!$B$2:$N$2500,12,FALSE)</f>
        <v>General Stores</v>
      </c>
    </row>
    <row r="1121" spans="1:28" x14ac:dyDescent="0.25">
      <c r="A1121">
        <v>201009</v>
      </c>
      <c r="B1121" t="s">
        <v>2678</v>
      </c>
      <c r="C1121" t="s">
        <v>2688</v>
      </c>
      <c r="D1121" t="s">
        <v>1284</v>
      </c>
      <c r="E1121">
        <v>0</v>
      </c>
      <c r="F1121">
        <v>20000000</v>
      </c>
      <c r="G1121">
        <v>16981358.359999999</v>
      </c>
      <c r="H1121">
        <v>1185534.53</v>
      </c>
      <c r="I1121" t="s">
        <v>1925</v>
      </c>
      <c r="J1121">
        <v>14927.58</v>
      </c>
      <c r="K1121">
        <v>1000000</v>
      </c>
      <c r="L1121">
        <v>492459.39</v>
      </c>
      <c r="M1121">
        <v>22525155.940000001</v>
      </c>
      <c r="N1121" s="711">
        <v>42852.637940509259</v>
      </c>
      <c r="O1121" s="711">
        <v>43586</v>
      </c>
      <c r="P1121" t="s">
        <v>2689</v>
      </c>
      <c r="Q1121" t="s">
        <v>2690</v>
      </c>
      <c r="R1121" t="s">
        <v>1280</v>
      </c>
      <c r="S1121" t="s">
        <v>1510</v>
      </c>
      <c r="T1121">
        <v>36</v>
      </c>
      <c r="U1121">
        <f>IF(Table__192.168.1.150_M_CONSOLIDATED_Delinquency_Compulsory_EOM[[#This Row],[Days in Arrears]] &lt; 8, Table__192.168.1.150_M_CONSOLIDATED_Delinquency_Compulsory_EOM[[#This Row],[Outstanding Balance]], 0 )</f>
        <v>16981358.359999999</v>
      </c>
      <c r="V11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1" s="105" t="str">
        <f>VLOOKUP(Table__192.168.1.150_M_CONSOLIDATED_Delinquency_Compulsory_EOM[[#This Row],[Client No]],'Global Portfolio'!$B$2:$N$2500,10,FALSE)</f>
        <v>Real Estate and Rental</v>
      </c>
      <c r="AA1121" s="105" t="str">
        <f>VLOOKUP(Table__192.168.1.150_M_CONSOLIDATED_Delinquency_Compulsory_EOM[[#This Row],[Client No]],'Global Portfolio'!$B$2:$N$2500,11,FALSE)</f>
        <v>Rental</v>
      </c>
      <c r="AB1121" s="105" t="str">
        <f>VLOOKUP(Table__192.168.1.150_M_CONSOLIDATED_Delinquency_Compulsory_EOM[[#This Row],[Client No]],'Global Portfolio'!$B$2:$N$2500,12,FALSE)</f>
        <v>Others</v>
      </c>
    </row>
    <row r="1122" spans="1:28" x14ac:dyDescent="0.25">
      <c r="A1122">
        <v>201010</v>
      </c>
      <c r="B1122" t="s">
        <v>4619</v>
      </c>
      <c r="C1122" t="s">
        <v>4628</v>
      </c>
      <c r="D1122" t="s">
        <v>1279</v>
      </c>
      <c r="E1122">
        <v>0</v>
      </c>
      <c r="F1122">
        <v>5000000</v>
      </c>
      <c r="G1122">
        <v>2789927.7</v>
      </c>
      <c r="H1122">
        <v>635522.21</v>
      </c>
      <c r="I1122" t="s">
        <v>1467</v>
      </c>
      <c r="J1122">
        <v>0</v>
      </c>
      <c r="K1122">
        <v>500000</v>
      </c>
      <c r="L1122">
        <v>121361.85</v>
      </c>
      <c r="M1122">
        <v>3177611.02</v>
      </c>
      <c r="N1122" s="711">
        <v>42852.58366851852</v>
      </c>
      <c r="O1122" s="711">
        <v>43160</v>
      </c>
      <c r="P1122" t="s">
        <v>4629</v>
      </c>
      <c r="Q1122" t="s">
        <v>1280</v>
      </c>
      <c r="R1122" t="s">
        <v>1280</v>
      </c>
      <c r="S1122" t="s">
        <v>1510</v>
      </c>
      <c r="T1122">
        <v>54</v>
      </c>
      <c r="U1122">
        <f>IF(Table__192.168.1.150_M_CONSOLIDATED_Delinquency_Compulsory_EOM[[#This Row],[Days in Arrears]] &lt; 8, Table__192.168.1.150_M_CONSOLIDATED_Delinquency_Compulsory_EOM[[#This Row],[Outstanding Balance]], 0 )</f>
        <v>2789927.7</v>
      </c>
      <c r="V11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2" s="105" t="str">
        <f>VLOOKUP(Table__192.168.1.150_M_CONSOLIDATED_Delinquency_Compulsory_EOM[[#This Row],[Client No]],'Global Portfolio'!$B$2:$N$2500,10,FALSE)</f>
        <v>Retail</v>
      </c>
      <c r="AA1122" s="105" t="str">
        <f>VLOOKUP(Table__192.168.1.150_M_CONSOLIDATED_Delinquency_Compulsory_EOM[[#This Row],[Client No]],'Global Portfolio'!$B$2:$N$2500,11,FALSE)</f>
        <v>General Merchandise Stores</v>
      </c>
      <c r="AB1122" s="105" t="str">
        <f>VLOOKUP(Table__192.168.1.150_M_CONSOLIDATED_Delinquency_Compulsory_EOM[[#This Row],[Client No]],'Global Portfolio'!$B$2:$N$2500,12,FALSE)</f>
        <v>General Stores</v>
      </c>
    </row>
    <row r="1123" spans="1:28" x14ac:dyDescent="0.25">
      <c r="A1123">
        <v>201011</v>
      </c>
      <c r="B1123" t="s">
        <v>2037</v>
      </c>
      <c r="C1123" t="s">
        <v>2042</v>
      </c>
      <c r="D1123" t="s">
        <v>1284</v>
      </c>
      <c r="E1123">
        <v>0</v>
      </c>
      <c r="F1123">
        <v>21000000</v>
      </c>
      <c r="G1123">
        <v>19294038.739999998</v>
      </c>
      <c r="H1123">
        <v>964681.27</v>
      </c>
      <c r="I1123" t="s">
        <v>1467</v>
      </c>
      <c r="J1123">
        <v>1272763.8899999999</v>
      </c>
      <c r="K1123">
        <v>0</v>
      </c>
      <c r="L1123">
        <v>559527.12</v>
      </c>
      <c r="M1123">
        <v>29906055.890000001</v>
      </c>
      <c r="N1123" s="711">
        <v>42853.385363310183</v>
      </c>
      <c r="O1123" s="711">
        <v>43953</v>
      </c>
      <c r="P1123" t="s">
        <v>2043</v>
      </c>
      <c r="Q1123" t="s">
        <v>1280</v>
      </c>
      <c r="R1123" t="s">
        <v>1280</v>
      </c>
      <c r="S1123" t="s">
        <v>1510</v>
      </c>
      <c r="T1123">
        <v>36</v>
      </c>
      <c r="U1123">
        <f>IF(Table__192.168.1.150_M_CONSOLIDATED_Delinquency_Compulsory_EOM[[#This Row],[Days in Arrears]] &lt; 8, Table__192.168.1.150_M_CONSOLIDATED_Delinquency_Compulsory_EOM[[#This Row],[Outstanding Balance]], 0 )</f>
        <v>19294038.739999998</v>
      </c>
      <c r="V11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3" s="105" t="str">
        <f>VLOOKUP(Table__192.168.1.150_M_CONSOLIDATED_Delinquency_Compulsory_EOM[[#This Row],[Client No]],'Global Portfolio'!$B$2:$N$2500,10,FALSE)</f>
        <v>Real Estate and Rental</v>
      </c>
      <c r="AA1123" s="105" t="str">
        <f>VLOOKUP(Table__192.168.1.150_M_CONSOLIDATED_Delinquency_Compulsory_EOM[[#This Row],[Client No]],'Global Portfolio'!$B$2:$N$2500,11,FALSE)</f>
        <v>Rental</v>
      </c>
      <c r="AB1123" s="105" t="str">
        <f>VLOOKUP(Table__192.168.1.150_M_CONSOLIDATED_Delinquency_Compulsory_EOM[[#This Row],[Client No]],'Global Portfolio'!$B$2:$N$2500,12,FALSE)</f>
        <v>General Rental Centers</v>
      </c>
    </row>
    <row r="1124" spans="1:28" x14ac:dyDescent="0.25">
      <c r="A1124">
        <v>201014</v>
      </c>
      <c r="B1124" t="s">
        <v>2698</v>
      </c>
      <c r="C1124" t="s">
        <v>2707</v>
      </c>
      <c r="D1124" t="s">
        <v>1282</v>
      </c>
      <c r="E1124">
        <v>0</v>
      </c>
      <c r="F1124">
        <v>8000000</v>
      </c>
      <c r="G1124">
        <v>5135933.62</v>
      </c>
      <c r="H1124">
        <v>855695.91</v>
      </c>
      <c r="I1124" t="s">
        <v>3074</v>
      </c>
      <c r="J1124">
        <v>0</v>
      </c>
      <c r="K1124">
        <v>800000</v>
      </c>
      <c r="L1124">
        <v>198589.43</v>
      </c>
      <c r="M1124">
        <v>5989871.3499999996</v>
      </c>
      <c r="N1124" s="711">
        <v>42853.553240972222</v>
      </c>
      <c r="O1124" s="711">
        <v>43221</v>
      </c>
      <c r="P1124" t="s">
        <v>2708</v>
      </c>
      <c r="Q1124" t="s">
        <v>1280</v>
      </c>
      <c r="R1124" t="s">
        <v>1280</v>
      </c>
      <c r="S1124" t="s">
        <v>1510</v>
      </c>
      <c r="T1124">
        <v>48</v>
      </c>
      <c r="U1124">
        <f>IF(Table__192.168.1.150_M_CONSOLIDATED_Delinquency_Compulsory_EOM[[#This Row],[Days in Arrears]] &lt; 8, Table__192.168.1.150_M_CONSOLIDATED_Delinquency_Compulsory_EOM[[#This Row],[Outstanding Balance]], 0 )</f>
        <v>5135933.62</v>
      </c>
      <c r="V11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4" s="105" t="str">
        <f>VLOOKUP(Table__192.168.1.150_M_CONSOLIDATED_Delinquency_Compulsory_EOM[[#This Row],[Client No]],'Global Portfolio'!$B$2:$N$2500,10,FALSE)</f>
        <v>Retail</v>
      </c>
      <c r="AA1124" s="105" t="str">
        <f>VLOOKUP(Table__192.168.1.150_M_CONSOLIDATED_Delinquency_Compulsory_EOM[[#This Row],[Client No]],'Global Portfolio'!$B$2:$N$2500,11,FALSE)</f>
        <v>Others</v>
      </c>
      <c r="AB1124" s="105" t="str">
        <f>VLOOKUP(Table__192.168.1.150_M_CONSOLIDATED_Delinquency_Compulsory_EOM[[#This Row],[Client No]],'Global Portfolio'!$B$2:$N$2500,12,FALSE)</f>
        <v>Others</v>
      </c>
    </row>
    <row r="1125" spans="1:28" x14ac:dyDescent="0.25">
      <c r="A1125">
        <v>201017</v>
      </c>
      <c r="B1125" t="s">
        <v>4634</v>
      </c>
      <c r="C1125" t="s">
        <v>4641</v>
      </c>
      <c r="D1125" t="s">
        <v>1279</v>
      </c>
      <c r="E1125">
        <v>0</v>
      </c>
      <c r="F1125">
        <v>5000000</v>
      </c>
      <c r="G1125">
        <v>3245064.29</v>
      </c>
      <c r="H1125">
        <v>550692.18000000005</v>
      </c>
      <c r="I1125" t="s">
        <v>1909</v>
      </c>
      <c r="J1125">
        <v>330219.90000000002</v>
      </c>
      <c r="K1125">
        <v>500000</v>
      </c>
      <c r="L1125">
        <v>141160.29999999999</v>
      </c>
      <c r="M1125">
        <v>3854845.19</v>
      </c>
      <c r="N1125" s="711">
        <v>42853.78242693287</v>
      </c>
      <c r="O1125" s="711">
        <v>43221</v>
      </c>
      <c r="P1125" t="s">
        <v>4642</v>
      </c>
      <c r="Q1125" t="s">
        <v>1280</v>
      </c>
      <c r="R1125" t="s">
        <v>4643</v>
      </c>
      <c r="S1125" t="s">
        <v>1510</v>
      </c>
      <c r="T1125">
        <v>54</v>
      </c>
      <c r="U1125">
        <f>IF(Table__192.168.1.150_M_CONSOLIDATED_Delinquency_Compulsory_EOM[[#This Row],[Days in Arrears]] &lt; 8, Table__192.168.1.150_M_CONSOLIDATED_Delinquency_Compulsory_EOM[[#This Row],[Outstanding Balance]], 0 )</f>
        <v>3245064.29</v>
      </c>
      <c r="V11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5" s="105" t="str">
        <f>VLOOKUP(Table__192.168.1.150_M_CONSOLIDATED_Delinquency_Compulsory_EOM[[#This Row],[Client No]],'Global Portfolio'!$B$2:$N$2500,10,FALSE)</f>
        <v>Restaurants and Hotels</v>
      </c>
      <c r="AA1125" s="105" t="str">
        <f>VLOOKUP(Table__192.168.1.150_M_CONSOLIDATED_Delinquency_Compulsory_EOM[[#This Row],[Client No]],'Global Portfolio'!$B$2:$N$2500,11,FALSE)</f>
        <v>Hotel</v>
      </c>
      <c r="AB1125" s="105" t="str">
        <f>VLOOKUP(Table__192.168.1.150_M_CONSOLIDATED_Delinquency_Compulsory_EOM[[#This Row],[Client No]],'Global Portfolio'!$B$2:$N$2500,12,FALSE)</f>
        <v>Others</v>
      </c>
    </row>
    <row r="1126" spans="1:28" x14ac:dyDescent="0.25">
      <c r="A1126">
        <v>201018</v>
      </c>
      <c r="B1126" t="s">
        <v>4633</v>
      </c>
      <c r="C1126" t="s">
        <v>4644</v>
      </c>
      <c r="D1126" t="s">
        <v>1283</v>
      </c>
      <c r="E1126">
        <v>0</v>
      </c>
      <c r="F1126">
        <v>35000000</v>
      </c>
      <c r="G1126">
        <v>22138057.399999999</v>
      </c>
      <c r="H1126">
        <v>3598071.26</v>
      </c>
      <c r="I1126" t="s">
        <v>1447</v>
      </c>
      <c r="J1126">
        <v>0</v>
      </c>
      <c r="K1126">
        <v>0</v>
      </c>
      <c r="L1126">
        <v>713337.41</v>
      </c>
      <c r="M1126">
        <v>25186498.850000001</v>
      </c>
      <c r="N1126" s="711">
        <v>42853.865207789349</v>
      </c>
      <c r="O1126" s="711">
        <v>43221</v>
      </c>
      <c r="P1126" t="s">
        <v>4645</v>
      </c>
      <c r="Q1126" t="s">
        <v>1280</v>
      </c>
      <c r="R1126" t="s">
        <v>4646</v>
      </c>
      <c r="S1126" t="s">
        <v>1510</v>
      </c>
      <c r="T1126">
        <v>40</v>
      </c>
      <c r="U1126">
        <f>IF(Table__192.168.1.150_M_CONSOLIDATED_Delinquency_Compulsory_EOM[[#This Row],[Days in Arrears]] &lt; 8, Table__192.168.1.150_M_CONSOLIDATED_Delinquency_Compulsory_EOM[[#This Row],[Outstanding Balance]], 0 )</f>
        <v>22138057.399999999</v>
      </c>
      <c r="V11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6" s="105" t="e">
        <f>VLOOKUP(Table__192.168.1.150_M_CONSOLIDATED_Delinquency_Compulsory_EOM[[#This Row],[Client No]],'Global Portfolio'!$B$2:$N$2500,10,FALSE)</f>
        <v>#N/A</v>
      </c>
      <c r="AA1126" s="105" t="e">
        <f>VLOOKUP(Table__192.168.1.150_M_CONSOLIDATED_Delinquency_Compulsory_EOM[[#This Row],[Client No]],'Global Portfolio'!$B$2:$N$2500,11,FALSE)</f>
        <v>#N/A</v>
      </c>
      <c r="AB1126" s="105" t="e">
        <f>VLOOKUP(Table__192.168.1.150_M_CONSOLIDATED_Delinquency_Compulsory_EOM[[#This Row],[Client No]],'Global Portfolio'!$B$2:$N$2500,12,FALSE)</f>
        <v>#N/A</v>
      </c>
    </row>
    <row r="1127" spans="1:28" x14ac:dyDescent="0.25">
      <c r="A1127">
        <v>201020</v>
      </c>
      <c r="B1127" t="s">
        <v>2617</v>
      </c>
      <c r="C1127" t="s">
        <v>2625</v>
      </c>
      <c r="D1127" t="s">
        <v>1284</v>
      </c>
      <c r="E1127">
        <v>29</v>
      </c>
      <c r="F1127">
        <v>55000000</v>
      </c>
      <c r="G1127">
        <v>48316204.530000001</v>
      </c>
      <c r="H1127">
        <v>3247607.88</v>
      </c>
      <c r="I1127" t="s">
        <v>546</v>
      </c>
      <c r="J1127">
        <v>0</v>
      </c>
      <c r="K1127">
        <v>2750000</v>
      </c>
      <c r="L1127">
        <v>2751992.46</v>
      </c>
      <c r="M1127">
        <v>64952157.509999998</v>
      </c>
      <c r="N1127" s="711">
        <v>42857.561418634257</v>
      </c>
      <c r="O1127" s="711">
        <v>43587</v>
      </c>
      <c r="P1127" t="s">
        <v>2626</v>
      </c>
      <c r="Q1127" t="s">
        <v>2627</v>
      </c>
      <c r="R1127" t="s">
        <v>1280</v>
      </c>
      <c r="S1127" t="s">
        <v>1510</v>
      </c>
      <c r="T1127">
        <v>36</v>
      </c>
      <c r="U1127">
        <f>IF(Table__192.168.1.150_M_CONSOLIDATED_Delinquency_Compulsory_EOM[[#This Row],[Days in Arrears]] &lt; 8, Table__192.168.1.150_M_CONSOLIDATED_Delinquency_Compulsory_EOM[[#This Row],[Outstanding Balance]], 0 )</f>
        <v>0</v>
      </c>
      <c r="V11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48316204.530000001</v>
      </c>
      <c r="W11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7" s="105" t="str">
        <f>VLOOKUP(Table__192.168.1.150_M_CONSOLIDATED_Delinquency_Compulsory_EOM[[#This Row],[Client No]],'Global Portfolio'!$B$2:$N$2500,10,FALSE)</f>
        <v>Real Estate and Rental</v>
      </c>
      <c r="AA1127" s="105" t="str">
        <f>VLOOKUP(Table__192.168.1.150_M_CONSOLIDATED_Delinquency_Compulsory_EOM[[#This Row],[Client No]],'Global Portfolio'!$B$2:$N$2500,11,FALSE)</f>
        <v>Rental</v>
      </c>
      <c r="AB1127" s="105" t="str">
        <f>VLOOKUP(Table__192.168.1.150_M_CONSOLIDATED_Delinquency_Compulsory_EOM[[#This Row],[Client No]],'Global Portfolio'!$B$2:$N$2500,12,FALSE)</f>
        <v>Others</v>
      </c>
    </row>
    <row r="1128" spans="1:28" x14ac:dyDescent="0.25">
      <c r="A1128">
        <v>201021</v>
      </c>
      <c r="B1128" t="s">
        <v>4651</v>
      </c>
      <c r="C1128" t="s">
        <v>4659</v>
      </c>
      <c r="D1128" t="s">
        <v>1282</v>
      </c>
      <c r="E1128">
        <v>0</v>
      </c>
      <c r="F1128">
        <v>2500000</v>
      </c>
      <c r="G1128">
        <v>465155.45</v>
      </c>
      <c r="H1128">
        <v>486087.44</v>
      </c>
      <c r="I1128" t="s">
        <v>1925</v>
      </c>
      <c r="J1128">
        <v>18726.95</v>
      </c>
      <c r="K1128">
        <v>250000</v>
      </c>
      <c r="L1128">
        <v>20234.259999999998</v>
      </c>
      <c r="M1128">
        <v>486087.45</v>
      </c>
      <c r="N1128" s="711">
        <v>42854.555631446761</v>
      </c>
      <c r="O1128" s="711">
        <v>43040</v>
      </c>
      <c r="P1128" t="s">
        <v>4660</v>
      </c>
      <c r="Q1128" t="s">
        <v>1280</v>
      </c>
      <c r="R1128" t="s">
        <v>4661</v>
      </c>
      <c r="S1128" t="s">
        <v>1510</v>
      </c>
      <c r="T1128">
        <v>54</v>
      </c>
      <c r="U1128">
        <f>IF(Table__192.168.1.150_M_CONSOLIDATED_Delinquency_Compulsory_EOM[[#This Row],[Days in Arrears]] &lt; 8, Table__192.168.1.150_M_CONSOLIDATED_Delinquency_Compulsory_EOM[[#This Row],[Outstanding Balance]], 0 )</f>
        <v>465155.45</v>
      </c>
      <c r="V11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8" s="105" t="str">
        <f>VLOOKUP(Table__192.168.1.150_M_CONSOLIDATED_Delinquency_Compulsory_EOM[[#This Row],[Client No]],'Global Portfolio'!$B$2:$N$2500,10,FALSE)</f>
        <v>Real Estate and Rental</v>
      </c>
      <c r="AA1128" s="105" t="str">
        <f>VLOOKUP(Table__192.168.1.150_M_CONSOLIDATED_Delinquency_Compulsory_EOM[[#This Row],[Client No]],'Global Portfolio'!$B$2:$N$2500,11,FALSE)</f>
        <v>Rental</v>
      </c>
      <c r="AB1128" s="105" t="str">
        <f>VLOOKUP(Table__192.168.1.150_M_CONSOLIDATED_Delinquency_Compulsory_EOM[[#This Row],[Client No]],'Global Portfolio'!$B$2:$N$2500,12,FALSE)</f>
        <v>Others</v>
      </c>
    </row>
    <row r="1129" spans="1:28" x14ac:dyDescent="0.25">
      <c r="A1129">
        <v>201023</v>
      </c>
      <c r="B1129" t="s">
        <v>4649</v>
      </c>
      <c r="C1129" t="s">
        <v>4662</v>
      </c>
      <c r="D1129" t="s">
        <v>1281</v>
      </c>
      <c r="E1129">
        <v>0</v>
      </c>
      <c r="F1129">
        <v>20000000</v>
      </c>
      <c r="G1129">
        <v>12823435.810000001</v>
      </c>
      <c r="H1129">
        <v>2136507.67</v>
      </c>
      <c r="I1129" t="s">
        <v>1447</v>
      </c>
      <c r="J1129">
        <v>1490168.6</v>
      </c>
      <c r="K1129">
        <v>1500000</v>
      </c>
      <c r="L1129">
        <v>495839.52</v>
      </c>
      <c r="M1129">
        <v>14955553.65</v>
      </c>
      <c r="N1129" s="711">
        <v>42854.645710798613</v>
      </c>
      <c r="O1129" s="711">
        <v>43221</v>
      </c>
      <c r="P1129" t="s">
        <v>4663</v>
      </c>
      <c r="Q1129" t="s">
        <v>1280</v>
      </c>
      <c r="R1129" t="s">
        <v>1280</v>
      </c>
      <c r="S1129" t="s">
        <v>1510</v>
      </c>
      <c r="T1129">
        <v>48</v>
      </c>
      <c r="U1129">
        <f>IF(Table__192.168.1.150_M_CONSOLIDATED_Delinquency_Compulsory_EOM[[#This Row],[Days in Arrears]] &lt; 8, Table__192.168.1.150_M_CONSOLIDATED_Delinquency_Compulsory_EOM[[#This Row],[Outstanding Balance]], 0 )</f>
        <v>12823435.810000001</v>
      </c>
      <c r="V11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29" s="105" t="str">
        <f>VLOOKUP(Table__192.168.1.150_M_CONSOLIDATED_Delinquency_Compulsory_EOM[[#This Row],[Client No]],'Global Portfolio'!$B$2:$N$2500,10,FALSE)</f>
        <v>Retail</v>
      </c>
      <c r="AA1129" s="105" t="str">
        <f>VLOOKUP(Table__192.168.1.150_M_CONSOLIDATED_Delinquency_Compulsory_EOM[[#This Row],[Client No]],'Global Portfolio'!$B$2:$N$2500,11,FALSE)</f>
        <v>Others</v>
      </c>
      <c r="AB1129" s="105" t="str">
        <f>VLOOKUP(Table__192.168.1.150_M_CONSOLIDATED_Delinquency_Compulsory_EOM[[#This Row],[Client No]],'Global Portfolio'!$B$2:$N$2500,12,FALSE)</f>
        <v>Others</v>
      </c>
    </row>
    <row r="1130" spans="1:28" x14ac:dyDescent="0.25">
      <c r="A1130">
        <v>201025</v>
      </c>
      <c r="B1130" t="s">
        <v>4652</v>
      </c>
      <c r="C1130" t="s">
        <v>4664</v>
      </c>
      <c r="D1130" t="s">
        <v>1284</v>
      </c>
      <c r="E1130">
        <v>0</v>
      </c>
      <c r="F1130">
        <v>16000000</v>
      </c>
      <c r="G1130">
        <v>10109407.779999999</v>
      </c>
      <c r="H1130">
        <v>1643069.63</v>
      </c>
      <c r="I1130" t="s">
        <v>90</v>
      </c>
      <c r="J1130">
        <v>0</v>
      </c>
      <c r="K1130">
        <v>800000</v>
      </c>
      <c r="L1130">
        <v>325747.58</v>
      </c>
      <c r="M1130">
        <v>11501487.35</v>
      </c>
      <c r="N1130" s="711">
        <v>42854.749433564815</v>
      </c>
      <c r="O1130" s="711">
        <v>43221</v>
      </c>
      <c r="P1130" t="s">
        <v>4665</v>
      </c>
      <c r="Q1130" t="s">
        <v>1280</v>
      </c>
      <c r="R1130" t="s">
        <v>4666</v>
      </c>
      <c r="S1130" t="s">
        <v>1510</v>
      </c>
      <c r="T1130">
        <v>40</v>
      </c>
      <c r="U1130">
        <f>IF(Table__192.168.1.150_M_CONSOLIDATED_Delinquency_Compulsory_EOM[[#This Row],[Days in Arrears]] &lt; 8, Table__192.168.1.150_M_CONSOLIDATED_Delinquency_Compulsory_EOM[[#This Row],[Outstanding Balance]], 0 )</f>
        <v>10109407.779999999</v>
      </c>
      <c r="V11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0" s="105" t="str">
        <f>VLOOKUP(Table__192.168.1.150_M_CONSOLIDATED_Delinquency_Compulsory_EOM[[#This Row],[Client No]],'Global Portfolio'!$B$2:$N$2500,10,FALSE)</f>
        <v>Real Estate and Rental</v>
      </c>
      <c r="AA1130" s="105" t="str">
        <f>VLOOKUP(Table__192.168.1.150_M_CONSOLIDATED_Delinquency_Compulsory_EOM[[#This Row],[Client No]],'Global Portfolio'!$B$2:$N$2500,11,FALSE)</f>
        <v>Rental</v>
      </c>
      <c r="AB1130" s="105" t="str">
        <f>VLOOKUP(Table__192.168.1.150_M_CONSOLIDATED_Delinquency_Compulsory_EOM[[#This Row],[Client No]],'Global Portfolio'!$B$2:$N$2500,12,FALSE)</f>
        <v>Others</v>
      </c>
    </row>
    <row r="1131" spans="1:28" x14ac:dyDescent="0.25">
      <c r="A1131">
        <v>201026</v>
      </c>
      <c r="B1131" t="s">
        <v>4668</v>
      </c>
      <c r="C1131" t="s">
        <v>4671</v>
      </c>
      <c r="D1131" t="s">
        <v>1866</v>
      </c>
      <c r="E1131">
        <v>-1</v>
      </c>
      <c r="F1131">
        <v>9000000</v>
      </c>
      <c r="G1131">
        <v>5775959.3399999999</v>
      </c>
      <c r="H1131">
        <v>968266.07</v>
      </c>
      <c r="I1131" t="s">
        <v>1909</v>
      </c>
      <c r="J1131">
        <v>5785.2</v>
      </c>
      <c r="K1131">
        <v>0</v>
      </c>
      <c r="L1131">
        <v>224620.64</v>
      </c>
      <c r="M1131">
        <v>6777862.4500000002</v>
      </c>
      <c r="N1131" s="711">
        <v>42857.715871608794</v>
      </c>
      <c r="O1131" s="711">
        <v>43222</v>
      </c>
      <c r="P1131" t="s">
        <v>4672</v>
      </c>
      <c r="Q1131" t="s">
        <v>1280</v>
      </c>
      <c r="R1131" t="s">
        <v>1280</v>
      </c>
      <c r="S1131" t="s">
        <v>1510</v>
      </c>
      <c r="T1131">
        <v>50</v>
      </c>
      <c r="U1131">
        <f>IF(Table__192.168.1.150_M_CONSOLIDATED_Delinquency_Compulsory_EOM[[#This Row],[Days in Arrears]] &lt; 8, Table__192.168.1.150_M_CONSOLIDATED_Delinquency_Compulsory_EOM[[#This Row],[Outstanding Balance]], 0 )</f>
        <v>5775959.3399999999</v>
      </c>
      <c r="V11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1" s="105" t="str">
        <f>VLOOKUP(Table__192.168.1.150_M_CONSOLIDATED_Delinquency_Compulsory_EOM[[#This Row],[Client No]],'Global Portfolio'!$B$2:$N$2500,10,FALSE)</f>
        <v>Retail</v>
      </c>
      <c r="AA1131" s="105" t="str">
        <f>VLOOKUP(Table__192.168.1.150_M_CONSOLIDATED_Delinquency_Compulsory_EOM[[#This Row],[Client No]],'Global Portfolio'!$B$2:$N$2500,11,FALSE)</f>
        <v>General Merchandise Stores</v>
      </c>
      <c r="AB1131" s="105" t="str">
        <f>VLOOKUP(Table__192.168.1.150_M_CONSOLIDATED_Delinquency_Compulsory_EOM[[#This Row],[Client No]],'Global Portfolio'!$B$2:$N$2500,12,FALSE)</f>
        <v>General Stores</v>
      </c>
    </row>
    <row r="1132" spans="1:28" x14ac:dyDescent="0.25">
      <c r="A1132">
        <v>201027</v>
      </c>
      <c r="B1132" t="s">
        <v>4673</v>
      </c>
      <c r="C1132" t="s">
        <v>4674</v>
      </c>
      <c r="D1132" t="s">
        <v>1282</v>
      </c>
      <c r="E1132">
        <v>-2</v>
      </c>
      <c r="F1132">
        <v>5000000</v>
      </c>
      <c r="G1132">
        <v>2774000.45</v>
      </c>
      <c r="H1132">
        <v>631894.11</v>
      </c>
      <c r="I1132" t="s">
        <v>90</v>
      </c>
      <c r="J1132">
        <v>0</v>
      </c>
      <c r="K1132">
        <v>500000</v>
      </c>
      <c r="L1132">
        <v>112347.02</v>
      </c>
      <c r="M1132">
        <v>3159470.56</v>
      </c>
      <c r="N1132" s="711">
        <v>42858.49758815972</v>
      </c>
      <c r="O1132" s="711">
        <v>43162</v>
      </c>
      <c r="P1132" t="s">
        <v>4675</v>
      </c>
      <c r="Q1132" t="s">
        <v>1280</v>
      </c>
      <c r="R1132" t="s">
        <v>4676</v>
      </c>
      <c r="S1132" t="s">
        <v>1510</v>
      </c>
      <c r="T1132">
        <v>54</v>
      </c>
      <c r="U1132">
        <f>IF(Table__192.168.1.150_M_CONSOLIDATED_Delinquency_Compulsory_EOM[[#This Row],[Days in Arrears]] &lt; 8, Table__192.168.1.150_M_CONSOLIDATED_Delinquency_Compulsory_EOM[[#This Row],[Outstanding Balance]], 0 )</f>
        <v>2774000.45</v>
      </c>
      <c r="V11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2" s="105" t="str">
        <f>VLOOKUP(Table__192.168.1.150_M_CONSOLIDATED_Delinquency_Compulsory_EOM[[#This Row],[Client No]],'Global Portfolio'!$B$2:$N$2500,10,FALSE)</f>
        <v>Retail</v>
      </c>
      <c r="AA1132" s="105" t="str">
        <f>VLOOKUP(Table__192.168.1.150_M_CONSOLIDATED_Delinquency_Compulsory_EOM[[#This Row],[Client No]],'Global Portfolio'!$B$2:$N$2500,11,FALSE)</f>
        <v>Miscellaneous Store Retailers</v>
      </c>
      <c r="AB1132" s="105" t="str">
        <f>VLOOKUP(Table__192.168.1.150_M_CONSOLIDATED_Delinquency_Compulsory_EOM[[#This Row],[Client No]],'Global Portfolio'!$B$2:$N$2500,12,FALSE)</f>
        <v>Others</v>
      </c>
    </row>
    <row r="1133" spans="1:28" x14ac:dyDescent="0.25">
      <c r="A1133">
        <v>201029</v>
      </c>
      <c r="B1133" t="s">
        <v>4693</v>
      </c>
      <c r="C1133" t="s">
        <v>4701</v>
      </c>
      <c r="D1133" t="s">
        <v>1282</v>
      </c>
      <c r="E1133">
        <v>-7</v>
      </c>
      <c r="F1133">
        <v>8000000</v>
      </c>
      <c r="G1133">
        <v>5169840.42</v>
      </c>
      <c r="H1133">
        <v>877329.51</v>
      </c>
      <c r="I1133" t="s">
        <v>963</v>
      </c>
      <c r="J1133">
        <v>0</v>
      </c>
      <c r="K1133">
        <v>0</v>
      </c>
      <c r="L1133">
        <v>170604.73</v>
      </c>
      <c r="M1133">
        <v>6141306.5700000003</v>
      </c>
      <c r="N1133" s="711">
        <v>42863.664337152775</v>
      </c>
      <c r="O1133" s="711">
        <v>43228</v>
      </c>
      <c r="P1133" t="s">
        <v>4702</v>
      </c>
      <c r="Q1133" t="s">
        <v>1280</v>
      </c>
      <c r="R1133" t="s">
        <v>4703</v>
      </c>
      <c r="S1133" t="s">
        <v>1510</v>
      </c>
      <c r="T1133">
        <v>54</v>
      </c>
      <c r="U1133">
        <f>IF(Table__192.168.1.150_M_CONSOLIDATED_Delinquency_Compulsory_EOM[[#This Row],[Days in Arrears]] &lt; 8, Table__192.168.1.150_M_CONSOLIDATED_Delinquency_Compulsory_EOM[[#This Row],[Outstanding Balance]], 0 )</f>
        <v>5169840.42</v>
      </c>
      <c r="V11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3" s="105" t="str">
        <f>VLOOKUP(Table__192.168.1.150_M_CONSOLIDATED_Delinquency_Compulsory_EOM[[#This Row],[Client No]],'Global Portfolio'!$B$2:$N$2500,10,FALSE)</f>
        <v>Retail</v>
      </c>
      <c r="AA1133" s="105" t="str">
        <f>VLOOKUP(Table__192.168.1.150_M_CONSOLIDATED_Delinquency_Compulsory_EOM[[#This Row],[Client No]],'Global Portfolio'!$B$2:$N$2500,11,FALSE)</f>
        <v>Others</v>
      </c>
      <c r="AB1133" s="105" t="str">
        <f>VLOOKUP(Table__192.168.1.150_M_CONSOLIDATED_Delinquency_Compulsory_EOM[[#This Row],[Client No]],'Global Portfolio'!$B$2:$N$2500,12,FALSE)</f>
        <v>Others</v>
      </c>
    </row>
    <row r="1134" spans="1:28" x14ac:dyDescent="0.25">
      <c r="A1134">
        <v>201031</v>
      </c>
      <c r="B1134" t="s">
        <v>4692</v>
      </c>
      <c r="C1134" t="s">
        <v>4704</v>
      </c>
      <c r="D1134" t="s">
        <v>1282</v>
      </c>
      <c r="E1134">
        <v>-7</v>
      </c>
      <c r="F1134">
        <v>5000000</v>
      </c>
      <c r="G1134">
        <v>3231150.28</v>
      </c>
      <c r="H1134">
        <v>548330.93999999994</v>
      </c>
      <c r="I1134" t="s">
        <v>2861</v>
      </c>
      <c r="J1134">
        <v>0</v>
      </c>
      <c r="K1134">
        <v>500000</v>
      </c>
      <c r="L1134">
        <v>106627.96</v>
      </c>
      <c r="M1134">
        <v>3838316.62</v>
      </c>
      <c r="N1134" s="711">
        <v>42863.68455740741</v>
      </c>
      <c r="O1134" s="711">
        <v>43228</v>
      </c>
      <c r="P1134" t="s">
        <v>4705</v>
      </c>
      <c r="Q1134" t="s">
        <v>1280</v>
      </c>
      <c r="R1134" t="s">
        <v>1280</v>
      </c>
      <c r="S1134" t="s">
        <v>1510</v>
      </c>
      <c r="T1134">
        <v>54</v>
      </c>
      <c r="U1134">
        <f>IF(Table__192.168.1.150_M_CONSOLIDATED_Delinquency_Compulsory_EOM[[#This Row],[Days in Arrears]] &lt; 8, Table__192.168.1.150_M_CONSOLIDATED_Delinquency_Compulsory_EOM[[#This Row],[Outstanding Balance]], 0 )</f>
        <v>3231150.28</v>
      </c>
      <c r="V11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4" s="105" t="str">
        <f>VLOOKUP(Table__192.168.1.150_M_CONSOLIDATED_Delinquency_Compulsory_EOM[[#This Row],[Client No]],'Global Portfolio'!$B$2:$N$2500,10,FALSE)</f>
        <v>Retail</v>
      </c>
      <c r="AA1134" s="105" t="str">
        <f>VLOOKUP(Table__192.168.1.150_M_CONSOLIDATED_Delinquency_Compulsory_EOM[[#This Row],[Client No]],'Global Portfolio'!$B$2:$N$2500,11,FALSE)</f>
        <v>Others</v>
      </c>
      <c r="AB1134" s="105" t="str">
        <f>VLOOKUP(Table__192.168.1.150_M_CONSOLIDATED_Delinquency_Compulsory_EOM[[#This Row],[Client No]],'Global Portfolio'!$B$2:$N$2500,12,FALSE)</f>
        <v>Others</v>
      </c>
    </row>
    <row r="1135" spans="1:28" x14ac:dyDescent="0.25">
      <c r="A1135">
        <v>201032</v>
      </c>
      <c r="B1135" t="s">
        <v>4695</v>
      </c>
      <c r="C1135" t="s">
        <v>4706</v>
      </c>
      <c r="D1135" t="s">
        <v>1279</v>
      </c>
      <c r="E1135">
        <v>-7</v>
      </c>
      <c r="F1135">
        <v>2000000</v>
      </c>
      <c r="G1135">
        <v>371059.08</v>
      </c>
      <c r="H1135">
        <v>387756.78</v>
      </c>
      <c r="I1135" t="s">
        <v>2538</v>
      </c>
      <c r="J1135">
        <v>0</v>
      </c>
      <c r="K1135">
        <v>200000</v>
      </c>
      <c r="L1135">
        <v>12244.95</v>
      </c>
      <c r="M1135">
        <v>387756.74</v>
      </c>
      <c r="N1135" s="711">
        <v>42863.539526967594</v>
      </c>
      <c r="O1135" s="711">
        <v>43047</v>
      </c>
      <c r="P1135" t="s">
        <v>4707</v>
      </c>
      <c r="Q1135" t="s">
        <v>1280</v>
      </c>
      <c r="R1135" t="s">
        <v>1280</v>
      </c>
      <c r="S1135" t="s">
        <v>1510</v>
      </c>
      <c r="T1135">
        <v>54</v>
      </c>
      <c r="U1135">
        <f>IF(Table__192.168.1.150_M_CONSOLIDATED_Delinquency_Compulsory_EOM[[#This Row],[Days in Arrears]] &lt; 8, Table__192.168.1.150_M_CONSOLIDATED_Delinquency_Compulsory_EOM[[#This Row],[Outstanding Balance]], 0 )</f>
        <v>371059.08</v>
      </c>
      <c r="V11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5" s="105" t="str">
        <f>VLOOKUP(Table__192.168.1.150_M_CONSOLIDATED_Delinquency_Compulsory_EOM[[#This Row],[Client No]],'Global Portfolio'!$B$2:$N$2500,10,FALSE)</f>
        <v>Retail</v>
      </c>
      <c r="AA1135" s="105" t="str">
        <f>VLOOKUP(Table__192.168.1.150_M_CONSOLIDATED_Delinquency_Compulsory_EOM[[#This Row],[Client No]],'Global Portfolio'!$B$2:$N$2500,11,FALSE)</f>
        <v>General Merchandise Stores</v>
      </c>
      <c r="AB1135" s="105" t="str">
        <f>VLOOKUP(Table__192.168.1.150_M_CONSOLIDATED_Delinquency_Compulsory_EOM[[#This Row],[Client No]],'Global Portfolio'!$B$2:$N$2500,12,FALSE)</f>
        <v>General Stores</v>
      </c>
    </row>
    <row r="1136" spans="1:28" x14ac:dyDescent="0.25">
      <c r="A1136">
        <v>201033</v>
      </c>
      <c r="B1136" t="s">
        <v>4696</v>
      </c>
      <c r="C1136" t="s">
        <v>4708</v>
      </c>
      <c r="D1136" t="s">
        <v>1279</v>
      </c>
      <c r="E1136">
        <v>-7</v>
      </c>
      <c r="F1136">
        <v>2000000</v>
      </c>
      <c r="G1136">
        <v>833539.05</v>
      </c>
      <c r="H1136">
        <v>303219.31</v>
      </c>
      <c r="I1136" t="s">
        <v>1447</v>
      </c>
      <c r="J1136">
        <v>293048.5</v>
      </c>
      <c r="K1136">
        <v>200000</v>
      </c>
      <c r="L1136">
        <v>27506.79</v>
      </c>
      <c r="M1136">
        <v>909657.91</v>
      </c>
      <c r="N1136" s="711">
        <v>42863.718327893519</v>
      </c>
      <c r="O1136" s="711">
        <v>43108</v>
      </c>
      <c r="P1136" t="s">
        <v>4709</v>
      </c>
      <c r="Q1136" t="s">
        <v>1280</v>
      </c>
      <c r="R1136" t="s">
        <v>4710</v>
      </c>
      <c r="S1136" t="s">
        <v>1510</v>
      </c>
      <c r="T1136">
        <v>54</v>
      </c>
      <c r="U1136">
        <f>IF(Table__192.168.1.150_M_CONSOLIDATED_Delinquency_Compulsory_EOM[[#This Row],[Days in Arrears]] &lt; 8, Table__192.168.1.150_M_CONSOLIDATED_Delinquency_Compulsory_EOM[[#This Row],[Outstanding Balance]], 0 )</f>
        <v>833539.05</v>
      </c>
      <c r="V11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6" s="105" t="str">
        <f>VLOOKUP(Table__192.168.1.150_M_CONSOLIDATED_Delinquency_Compulsory_EOM[[#This Row],[Client No]],'Global Portfolio'!$B$2:$N$2500,10,FALSE)</f>
        <v>Retail</v>
      </c>
      <c r="AA1136" s="105" t="str">
        <f>VLOOKUP(Table__192.168.1.150_M_CONSOLIDATED_Delinquency_Compulsory_EOM[[#This Row],[Client No]],'Global Portfolio'!$B$2:$N$2500,11,FALSE)</f>
        <v>General Merchandise Stores</v>
      </c>
      <c r="AB1136" s="105" t="str">
        <f>VLOOKUP(Table__192.168.1.150_M_CONSOLIDATED_Delinquency_Compulsory_EOM[[#This Row],[Client No]],'Global Portfolio'!$B$2:$N$2500,12,FALSE)</f>
        <v>General Stores</v>
      </c>
    </row>
    <row r="1137" spans="1:28" x14ac:dyDescent="0.25">
      <c r="A1137">
        <v>201034</v>
      </c>
      <c r="B1137" t="s">
        <v>4722</v>
      </c>
      <c r="C1137" t="s">
        <v>4727</v>
      </c>
      <c r="D1137" t="s">
        <v>1282</v>
      </c>
      <c r="E1137">
        <v>22</v>
      </c>
      <c r="F1137">
        <v>10000000</v>
      </c>
      <c r="G1137">
        <v>7233456.8399999999</v>
      </c>
      <c r="H1137">
        <v>1096661.8899999999</v>
      </c>
      <c r="I1137" t="s">
        <v>1925</v>
      </c>
      <c r="J1137">
        <v>0</v>
      </c>
      <c r="K1137">
        <v>1000000</v>
      </c>
      <c r="L1137">
        <v>452738.11</v>
      </c>
      <c r="M1137">
        <v>8696965.1500000004</v>
      </c>
      <c r="N1137" s="711">
        <v>42864.526064317128</v>
      </c>
      <c r="O1137" s="711">
        <v>43229</v>
      </c>
      <c r="P1137" t="s">
        <v>4728</v>
      </c>
      <c r="Q1137" t="s">
        <v>1280</v>
      </c>
      <c r="R1137" t="s">
        <v>4729</v>
      </c>
      <c r="S1137" t="s">
        <v>1510</v>
      </c>
      <c r="T1137">
        <v>54</v>
      </c>
      <c r="U1137">
        <f>IF(Table__192.168.1.150_M_CONSOLIDATED_Delinquency_Compulsory_EOM[[#This Row],[Days in Arrears]] &lt; 8, Table__192.168.1.150_M_CONSOLIDATED_Delinquency_Compulsory_EOM[[#This Row],[Outstanding Balance]], 0 )</f>
        <v>0</v>
      </c>
      <c r="V11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7233456.8399999999</v>
      </c>
      <c r="W11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7" s="105" t="str">
        <f>VLOOKUP(Table__192.168.1.150_M_CONSOLIDATED_Delinquency_Compulsory_EOM[[#This Row],[Client No]],'Global Portfolio'!$B$2:$N$2500,10,FALSE)</f>
        <v>Real Estate and Rental</v>
      </c>
      <c r="AA1137" s="105" t="str">
        <f>VLOOKUP(Table__192.168.1.150_M_CONSOLIDATED_Delinquency_Compulsory_EOM[[#This Row],[Client No]],'Global Portfolio'!$B$2:$N$2500,11,FALSE)</f>
        <v>Rental</v>
      </c>
      <c r="AB1137" s="105" t="str">
        <f>VLOOKUP(Table__192.168.1.150_M_CONSOLIDATED_Delinquency_Compulsory_EOM[[#This Row],[Client No]],'Global Portfolio'!$B$2:$N$2500,12,FALSE)</f>
        <v>Others</v>
      </c>
    </row>
    <row r="1138" spans="1:28" x14ac:dyDescent="0.25">
      <c r="A1138">
        <v>201037</v>
      </c>
      <c r="B1138" t="s">
        <v>2446</v>
      </c>
      <c r="C1138" t="s">
        <v>2447</v>
      </c>
      <c r="D1138" t="s">
        <v>1285</v>
      </c>
      <c r="E1138">
        <v>-20</v>
      </c>
      <c r="F1138">
        <v>32914204</v>
      </c>
      <c r="G1138">
        <v>30719944.91</v>
      </c>
      <c r="H1138">
        <v>1072353.55</v>
      </c>
      <c r="I1138" t="s">
        <v>284</v>
      </c>
      <c r="J1138">
        <v>1789169.05</v>
      </c>
      <c r="K1138">
        <v>0</v>
      </c>
      <c r="L1138">
        <v>168959.7</v>
      </c>
      <c r="M1138">
        <v>43966495.780000001</v>
      </c>
      <c r="N1138" s="711">
        <v>42865.489353275465</v>
      </c>
      <c r="O1138" s="711">
        <v>44276</v>
      </c>
      <c r="P1138" t="s">
        <v>2448</v>
      </c>
      <c r="Q1138" t="s">
        <v>1280</v>
      </c>
      <c r="R1138" t="s">
        <v>1280</v>
      </c>
      <c r="S1138" t="s">
        <v>1510</v>
      </c>
      <c r="T1138">
        <v>22</v>
      </c>
      <c r="U1138">
        <f>IF(Table__192.168.1.150_M_CONSOLIDATED_Delinquency_Compulsory_EOM[[#This Row],[Days in Arrears]] &lt; 8, Table__192.168.1.150_M_CONSOLIDATED_Delinquency_Compulsory_EOM[[#This Row],[Outstanding Balance]], 0 )</f>
        <v>30719944.91</v>
      </c>
      <c r="V11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8" s="105" t="str">
        <f>VLOOKUP(Table__192.168.1.150_M_CONSOLIDATED_Delinquency_Compulsory_EOM[[#This Row],[Client No]],'Global Portfolio'!$B$2:$N$2500,10,FALSE)</f>
        <v>Finance and Insurance</v>
      </c>
      <c r="AA1138" s="105" t="str">
        <f>VLOOKUP(Table__192.168.1.150_M_CONSOLIDATED_Delinquency_Compulsory_EOM[[#This Row],[Client No]],'Global Portfolio'!$B$2:$N$2500,11,FALSE)</f>
        <v>Finance</v>
      </c>
      <c r="AB1138" s="105" t="str">
        <f>VLOOKUP(Table__192.168.1.150_M_CONSOLIDATED_Delinquency_Compulsory_EOM[[#This Row],[Client No]],'Global Portfolio'!$B$2:$N$2500,12,FALSE)</f>
        <v>Others</v>
      </c>
    </row>
    <row r="1139" spans="1:28" x14ac:dyDescent="0.25">
      <c r="A1139">
        <v>201039</v>
      </c>
      <c r="B1139" t="s">
        <v>3311</v>
      </c>
      <c r="C1139" t="s">
        <v>3315</v>
      </c>
      <c r="D1139" t="s">
        <v>1284</v>
      </c>
      <c r="E1139">
        <v>-9</v>
      </c>
      <c r="F1139">
        <v>10000000</v>
      </c>
      <c r="G1139">
        <v>7195896.4100000001</v>
      </c>
      <c r="H1139">
        <v>857991.38</v>
      </c>
      <c r="I1139" t="s">
        <v>491</v>
      </c>
      <c r="J1139">
        <v>16956.39</v>
      </c>
      <c r="K1139">
        <v>0</v>
      </c>
      <c r="L1139">
        <v>159908.81</v>
      </c>
      <c r="M1139">
        <v>8579913.7799999993</v>
      </c>
      <c r="N1139" s="711">
        <v>42865.775814699075</v>
      </c>
      <c r="O1139" s="711">
        <v>43322</v>
      </c>
      <c r="P1139" t="s">
        <v>3316</v>
      </c>
      <c r="Q1139" t="s">
        <v>1280</v>
      </c>
      <c r="R1139" t="s">
        <v>3317</v>
      </c>
      <c r="S1139" t="s">
        <v>1510</v>
      </c>
      <c r="T1139">
        <v>40</v>
      </c>
      <c r="U1139">
        <f>IF(Table__192.168.1.150_M_CONSOLIDATED_Delinquency_Compulsory_EOM[[#This Row],[Days in Arrears]] &lt; 8, Table__192.168.1.150_M_CONSOLIDATED_Delinquency_Compulsory_EOM[[#This Row],[Outstanding Balance]], 0 )</f>
        <v>7195896.4100000001</v>
      </c>
      <c r="V11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39" s="105" t="str">
        <f>VLOOKUP(Table__192.168.1.150_M_CONSOLIDATED_Delinquency_Compulsory_EOM[[#This Row],[Client No]],'Global Portfolio'!$B$2:$N$2500,10,FALSE)</f>
        <v>Real Estate and Rental</v>
      </c>
      <c r="AA1139" s="105" t="str">
        <f>VLOOKUP(Table__192.168.1.150_M_CONSOLIDATED_Delinquency_Compulsory_EOM[[#This Row],[Client No]],'Global Portfolio'!$B$2:$N$2500,11,FALSE)</f>
        <v>Rental</v>
      </c>
      <c r="AB1139" s="105" t="str">
        <f>VLOOKUP(Table__192.168.1.150_M_CONSOLIDATED_Delinquency_Compulsory_EOM[[#This Row],[Client No]],'Global Portfolio'!$B$2:$N$2500,12,FALSE)</f>
        <v>General Rental Centers</v>
      </c>
    </row>
    <row r="1140" spans="1:28" x14ac:dyDescent="0.25">
      <c r="A1140">
        <v>201040</v>
      </c>
      <c r="B1140" t="s">
        <v>4740</v>
      </c>
      <c r="C1140" t="s">
        <v>4745</v>
      </c>
      <c r="D1140" t="s">
        <v>1281</v>
      </c>
      <c r="E1140">
        <v>-10</v>
      </c>
      <c r="F1140">
        <v>26000000</v>
      </c>
      <c r="G1140">
        <v>20508788.5</v>
      </c>
      <c r="H1140">
        <v>2053826.53</v>
      </c>
      <c r="I1140" t="s">
        <v>2034</v>
      </c>
      <c r="J1140">
        <v>0</v>
      </c>
      <c r="K1140">
        <v>1950000</v>
      </c>
      <c r="L1140">
        <v>519555.98</v>
      </c>
      <c r="M1140">
        <v>26699744.940000001</v>
      </c>
      <c r="N1140" s="711">
        <v>42866.435538391204</v>
      </c>
      <c r="O1140" s="711">
        <v>43415</v>
      </c>
      <c r="P1140" t="s">
        <v>4746</v>
      </c>
      <c r="Q1140" t="s">
        <v>1280</v>
      </c>
      <c r="R1140" t="s">
        <v>4747</v>
      </c>
      <c r="S1140" t="s">
        <v>1510</v>
      </c>
      <c r="T1140">
        <v>48</v>
      </c>
      <c r="U1140">
        <f>IF(Table__192.168.1.150_M_CONSOLIDATED_Delinquency_Compulsory_EOM[[#This Row],[Days in Arrears]] &lt; 8, Table__192.168.1.150_M_CONSOLIDATED_Delinquency_Compulsory_EOM[[#This Row],[Outstanding Balance]], 0 )</f>
        <v>20508788.5</v>
      </c>
      <c r="V11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0" s="105" t="e">
        <f>VLOOKUP(Table__192.168.1.150_M_CONSOLIDATED_Delinquency_Compulsory_EOM[[#This Row],[Client No]],'Global Portfolio'!$B$2:$N$2500,10,FALSE)</f>
        <v>#N/A</v>
      </c>
      <c r="AA1140" s="105" t="e">
        <f>VLOOKUP(Table__192.168.1.150_M_CONSOLIDATED_Delinquency_Compulsory_EOM[[#This Row],[Client No]],'Global Portfolio'!$B$2:$N$2500,11,FALSE)</f>
        <v>#N/A</v>
      </c>
      <c r="AB1140" s="105" t="e">
        <f>VLOOKUP(Table__192.168.1.150_M_CONSOLIDATED_Delinquency_Compulsory_EOM[[#This Row],[Client No]],'Global Portfolio'!$B$2:$N$2500,12,FALSE)</f>
        <v>#N/A</v>
      </c>
    </row>
    <row r="1141" spans="1:28" x14ac:dyDescent="0.25">
      <c r="A1141">
        <v>201041</v>
      </c>
      <c r="B1141" t="s">
        <v>4739</v>
      </c>
      <c r="C1141" t="s">
        <v>4748</v>
      </c>
      <c r="D1141" t="s">
        <v>1281</v>
      </c>
      <c r="E1141">
        <v>-10</v>
      </c>
      <c r="F1141">
        <v>20000000</v>
      </c>
      <c r="G1141">
        <v>12790639.33</v>
      </c>
      <c r="H1141">
        <v>2131043.4500000002</v>
      </c>
      <c r="I1141" t="s">
        <v>491</v>
      </c>
      <c r="J1141">
        <v>0</v>
      </c>
      <c r="K1141">
        <v>1500000</v>
      </c>
      <c r="L1141">
        <v>324029.53000000003</v>
      </c>
      <c r="M1141">
        <v>14917304.189999999</v>
      </c>
      <c r="N1141" s="711">
        <v>42866.727631712965</v>
      </c>
      <c r="O1141" s="711">
        <v>43231</v>
      </c>
      <c r="P1141" t="s">
        <v>4749</v>
      </c>
      <c r="Q1141" t="s">
        <v>1280</v>
      </c>
      <c r="R1141" t="s">
        <v>4750</v>
      </c>
      <c r="S1141" t="s">
        <v>1510</v>
      </c>
      <c r="T1141">
        <v>48</v>
      </c>
      <c r="U1141">
        <f>IF(Table__192.168.1.150_M_CONSOLIDATED_Delinquency_Compulsory_EOM[[#This Row],[Days in Arrears]] &lt; 8, Table__192.168.1.150_M_CONSOLIDATED_Delinquency_Compulsory_EOM[[#This Row],[Outstanding Balance]], 0 )</f>
        <v>12790639.33</v>
      </c>
      <c r="V11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1" s="105" t="str">
        <f>VLOOKUP(Table__192.168.1.150_M_CONSOLIDATED_Delinquency_Compulsory_EOM[[#This Row],[Client No]],'Global Portfolio'!$B$2:$N$2500,10,FALSE)</f>
        <v>Retail</v>
      </c>
      <c r="AA1141" s="105" t="str">
        <f>VLOOKUP(Table__192.168.1.150_M_CONSOLIDATED_Delinquency_Compulsory_EOM[[#This Row],[Client No]],'Global Portfolio'!$B$2:$N$2500,11,FALSE)</f>
        <v>Others</v>
      </c>
      <c r="AB1141" s="105" t="str">
        <f>VLOOKUP(Table__192.168.1.150_M_CONSOLIDATED_Delinquency_Compulsory_EOM[[#This Row],[Client No]],'Global Portfolio'!$B$2:$N$2500,12,FALSE)</f>
        <v>Others</v>
      </c>
    </row>
    <row r="1142" spans="1:28" x14ac:dyDescent="0.25">
      <c r="A1142">
        <v>201044</v>
      </c>
      <c r="B1142" t="s">
        <v>3464</v>
      </c>
      <c r="C1142" t="s">
        <v>3485</v>
      </c>
      <c r="D1142" t="s">
        <v>1279</v>
      </c>
      <c r="E1142">
        <v>-11</v>
      </c>
      <c r="F1142">
        <v>5000000</v>
      </c>
      <c r="G1142">
        <v>3197659.85</v>
      </c>
      <c r="H1142">
        <v>532760.86</v>
      </c>
      <c r="I1142" t="s">
        <v>2538</v>
      </c>
      <c r="J1142">
        <v>0</v>
      </c>
      <c r="K1142">
        <v>500000</v>
      </c>
      <c r="L1142">
        <v>76743.839999999997</v>
      </c>
      <c r="M1142">
        <v>3729326.0800000001</v>
      </c>
      <c r="N1142" s="711">
        <v>42867.742464583331</v>
      </c>
      <c r="O1142" s="711">
        <v>43232</v>
      </c>
      <c r="P1142" t="s">
        <v>3486</v>
      </c>
      <c r="Q1142" t="s">
        <v>1280</v>
      </c>
      <c r="R1142" t="s">
        <v>1280</v>
      </c>
      <c r="S1142" t="s">
        <v>1510</v>
      </c>
      <c r="T1142">
        <v>48</v>
      </c>
      <c r="U1142">
        <f>IF(Table__192.168.1.150_M_CONSOLIDATED_Delinquency_Compulsory_EOM[[#This Row],[Days in Arrears]] &lt; 8, Table__192.168.1.150_M_CONSOLIDATED_Delinquency_Compulsory_EOM[[#This Row],[Outstanding Balance]], 0 )</f>
        <v>3197659.85</v>
      </c>
      <c r="V11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2" s="105" t="str">
        <f>VLOOKUP(Table__192.168.1.150_M_CONSOLIDATED_Delinquency_Compulsory_EOM[[#This Row],[Client No]],'Global Portfolio'!$B$2:$N$2500,10,FALSE)</f>
        <v>Retail</v>
      </c>
      <c r="AA1142" s="105" t="str">
        <f>VLOOKUP(Table__192.168.1.150_M_CONSOLIDATED_Delinquency_Compulsory_EOM[[#This Row],[Client No]],'Global Portfolio'!$B$2:$N$2500,11,FALSE)</f>
        <v>Others</v>
      </c>
      <c r="AB1142" s="105" t="str">
        <f>VLOOKUP(Table__192.168.1.150_M_CONSOLIDATED_Delinquency_Compulsory_EOM[[#This Row],[Client No]],'Global Portfolio'!$B$2:$N$2500,12,FALSE)</f>
        <v>Others</v>
      </c>
    </row>
    <row r="1143" spans="1:28" x14ac:dyDescent="0.25">
      <c r="A1143">
        <v>201045</v>
      </c>
      <c r="B1143" t="s">
        <v>4755</v>
      </c>
      <c r="C1143" t="s">
        <v>4759</v>
      </c>
      <c r="D1143" t="s">
        <v>1279</v>
      </c>
      <c r="E1143">
        <v>-12</v>
      </c>
      <c r="F1143">
        <v>3000000</v>
      </c>
      <c r="G1143">
        <v>1664400.24</v>
      </c>
      <c r="H1143">
        <v>379136.47</v>
      </c>
      <c r="I1143" t="s">
        <v>963</v>
      </c>
      <c r="J1143">
        <v>211333.01</v>
      </c>
      <c r="K1143">
        <v>0</v>
      </c>
      <c r="L1143">
        <v>42442.21</v>
      </c>
      <c r="M1143">
        <v>1895682.3</v>
      </c>
      <c r="N1143" s="711">
        <v>42868.488424918978</v>
      </c>
      <c r="O1143" s="711">
        <v>43172</v>
      </c>
      <c r="P1143" t="s">
        <v>4760</v>
      </c>
      <c r="Q1143" t="s">
        <v>1280</v>
      </c>
      <c r="R1143" t="s">
        <v>1280</v>
      </c>
      <c r="S1143" t="s">
        <v>1510</v>
      </c>
      <c r="T1143">
        <v>54</v>
      </c>
      <c r="U1143">
        <f>IF(Table__192.168.1.150_M_CONSOLIDATED_Delinquency_Compulsory_EOM[[#This Row],[Days in Arrears]] &lt; 8, Table__192.168.1.150_M_CONSOLIDATED_Delinquency_Compulsory_EOM[[#This Row],[Outstanding Balance]], 0 )</f>
        <v>1664400.24</v>
      </c>
      <c r="V11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3" s="105" t="str">
        <f>VLOOKUP(Table__192.168.1.150_M_CONSOLIDATED_Delinquency_Compulsory_EOM[[#This Row],[Client No]],'Global Portfolio'!$B$2:$N$2500,10,FALSE)</f>
        <v>Retail</v>
      </c>
      <c r="AA1143" s="105" t="str">
        <f>VLOOKUP(Table__192.168.1.150_M_CONSOLIDATED_Delinquency_Compulsory_EOM[[#This Row],[Client No]],'Global Portfolio'!$B$2:$N$2500,11,FALSE)</f>
        <v>Others</v>
      </c>
      <c r="AB1143" s="105" t="str">
        <f>VLOOKUP(Table__192.168.1.150_M_CONSOLIDATED_Delinquency_Compulsory_EOM[[#This Row],[Client No]],'Global Portfolio'!$B$2:$N$2500,12,FALSE)</f>
        <v>Others</v>
      </c>
    </row>
    <row r="1144" spans="1:28" x14ac:dyDescent="0.25">
      <c r="A1144">
        <v>201046</v>
      </c>
      <c r="B1144" t="s">
        <v>4762</v>
      </c>
      <c r="C1144" t="s">
        <v>4765</v>
      </c>
      <c r="D1144" t="s">
        <v>1282</v>
      </c>
      <c r="E1144">
        <v>-14</v>
      </c>
      <c r="F1144">
        <v>6000000</v>
      </c>
      <c r="G1144">
        <v>3877380.33</v>
      </c>
      <c r="H1144">
        <v>657997.13</v>
      </c>
      <c r="I1144" t="s">
        <v>2861</v>
      </c>
      <c r="J1144">
        <v>0</v>
      </c>
      <c r="K1144">
        <v>600000</v>
      </c>
      <c r="L1144">
        <v>87241.06</v>
      </c>
      <c r="M1144">
        <v>4605979.9400000004</v>
      </c>
      <c r="N1144" s="711">
        <v>42870.560390196762</v>
      </c>
      <c r="O1144" s="711">
        <v>43235</v>
      </c>
      <c r="P1144" t="s">
        <v>4766</v>
      </c>
      <c r="Q1144" t="s">
        <v>1280</v>
      </c>
      <c r="R1144" t="s">
        <v>4767</v>
      </c>
      <c r="S1144" t="s">
        <v>1510</v>
      </c>
      <c r="T1144">
        <v>54</v>
      </c>
      <c r="U1144">
        <f>IF(Table__192.168.1.150_M_CONSOLIDATED_Delinquency_Compulsory_EOM[[#This Row],[Days in Arrears]] &lt; 8, Table__192.168.1.150_M_CONSOLIDATED_Delinquency_Compulsory_EOM[[#This Row],[Outstanding Balance]], 0 )</f>
        <v>3877380.33</v>
      </c>
      <c r="V11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4" s="105" t="str">
        <f>VLOOKUP(Table__192.168.1.150_M_CONSOLIDATED_Delinquency_Compulsory_EOM[[#This Row],[Client No]],'Global Portfolio'!$B$2:$N$2500,10,FALSE)</f>
        <v>Retail</v>
      </c>
      <c r="AA1144" s="105" t="str">
        <f>VLOOKUP(Table__192.168.1.150_M_CONSOLIDATED_Delinquency_Compulsory_EOM[[#This Row],[Client No]],'Global Portfolio'!$B$2:$N$2500,11,FALSE)</f>
        <v>Others</v>
      </c>
      <c r="AB1144" s="105" t="str">
        <f>VLOOKUP(Table__192.168.1.150_M_CONSOLIDATED_Delinquency_Compulsory_EOM[[#This Row],[Client No]],'Global Portfolio'!$B$2:$N$2500,12,FALSE)</f>
        <v>Others</v>
      </c>
    </row>
    <row r="1145" spans="1:28" x14ac:dyDescent="0.25">
      <c r="A1145">
        <v>201047</v>
      </c>
      <c r="B1145" t="s">
        <v>4768</v>
      </c>
      <c r="C1145" t="s">
        <v>4770</v>
      </c>
      <c r="D1145" t="s">
        <v>1866</v>
      </c>
      <c r="E1145">
        <v>-15</v>
      </c>
      <c r="F1145">
        <v>6000000</v>
      </c>
      <c r="G1145">
        <v>3305106.46</v>
      </c>
      <c r="H1145">
        <v>745896.01</v>
      </c>
      <c r="I1145" t="s">
        <v>4683</v>
      </c>
      <c r="J1145">
        <v>0</v>
      </c>
      <c r="K1145">
        <v>600000</v>
      </c>
      <c r="L1145">
        <v>64265.96</v>
      </c>
      <c r="M1145">
        <v>3729480.08</v>
      </c>
      <c r="N1145" s="711">
        <v>42871.481338460646</v>
      </c>
      <c r="O1145" s="711">
        <v>43175</v>
      </c>
      <c r="P1145" t="s">
        <v>4771</v>
      </c>
      <c r="Q1145" t="s">
        <v>1280</v>
      </c>
      <c r="R1145" t="s">
        <v>4772</v>
      </c>
      <c r="S1145" t="s">
        <v>1510</v>
      </c>
      <c r="T1145">
        <v>50</v>
      </c>
      <c r="U1145">
        <f>IF(Table__192.168.1.150_M_CONSOLIDATED_Delinquency_Compulsory_EOM[[#This Row],[Days in Arrears]] &lt; 8, Table__192.168.1.150_M_CONSOLIDATED_Delinquency_Compulsory_EOM[[#This Row],[Outstanding Balance]], 0 )</f>
        <v>3305106.46</v>
      </c>
      <c r="V11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5" s="105" t="str">
        <f>VLOOKUP(Table__192.168.1.150_M_CONSOLIDATED_Delinquency_Compulsory_EOM[[#This Row],[Client No]],'Global Portfolio'!$B$2:$N$2500,10,FALSE)</f>
        <v>Retail</v>
      </c>
      <c r="AA1145" s="105" t="str">
        <f>VLOOKUP(Table__192.168.1.150_M_CONSOLIDATED_Delinquency_Compulsory_EOM[[#This Row],[Client No]],'Global Portfolio'!$B$2:$N$2500,11,FALSE)</f>
        <v>Others</v>
      </c>
      <c r="AB1145" s="105" t="str">
        <f>VLOOKUP(Table__192.168.1.150_M_CONSOLIDATED_Delinquency_Compulsory_EOM[[#This Row],[Client No]],'Global Portfolio'!$B$2:$N$2500,12,FALSE)</f>
        <v>Others</v>
      </c>
    </row>
    <row r="1146" spans="1:28" x14ac:dyDescent="0.25">
      <c r="A1146">
        <v>201049</v>
      </c>
      <c r="B1146" t="s">
        <v>2386</v>
      </c>
      <c r="C1146" t="s">
        <v>2410</v>
      </c>
      <c r="D1146" t="s">
        <v>1281</v>
      </c>
      <c r="E1146">
        <v>-16</v>
      </c>
      <c r="F1146">
        <v>25000000</v>
      </c>
      <c r="G1146">
        <v>15818928.98</v>
      </c>
      <c r="H1146">
        <v>2587098.73</v>
      </c>
      <c r="I1146" t="s">
        <v>1448</v>
      </c>
      <c r="J1146">
        <v>0</v>
      </c>
      <c r="K1146">
        <v>1875000</v>
      </c>
      <c r="L1146">
        <v>239920.42</v>
      </c>
      <c r="M1146">
        <v>18109691.120000001</v>
      </c>
      <c r="N1146" s="711">
        <v>42872.40982734954</v>
      </c>
      <c r="O1146" s="711">
        <v>43237</v>
      </c>
      <c r="P1146" t="s">
        <v>2411</v>
      </c>
      <c r="Q1146" t="s">
        <v>2412</v>
      </c>
      <c r="R1146" t="s">
        <v>1280</v>
      </c>
      <c r="S1146" t="s">
        <v>1510</v>
      </c>
      <c r="T1146">
        <v>42</v>
      </c>
      <c r="U1146">
        <f>IF(Table__192.168.1.150_M_CONSOLIDATED_Delinquency_Compulsory_EOM[[#This Row],[Days in Arrears]] &lt; 8, Table__192.168.1.150_M_CONSOLIDATED_Delinquency_Compulsory_EOM[[#This Row],[Outstanding Balance]], 0 )</f>
        <v>15818928.98</v>
      </c>
      <c r="V11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6" s="105" t="str">
        <f>VLOOKUP(Table__192.168.1.150_M_CONSOLIDATED_Delinquency_Compulsory_EOM[[#This Row],[Client No]],'Global Portfolio'!$B$2:$N$2500,10,FALSE)</f>
        <v>Wholesale Trade</v>
      </c>
      <c r="AA1146" s="105" t="str">
        <f>VLOOKUP(Table__192.168.1.150_M_CONSOLIDATED_Delinquency_Compulsory_EOM[[#This Row],[Client No]],'Global Portfolio'!$B$2:$N$2500,11,FALSE)</f>
        <v>Others</v>
      </c>
      <c r="AB1146" s="105" t="str">
        <f>VLOOKUP(Table__192.168.1.150_M_CONSOLIDATED_Delinquency_Compulsory_EOM[[#This Row],[Client No]],'Global Portfolio'!$B$2:$N$2500,12,FALSE)</f>
        <v>Others</v>
      </c>
    </row>
    <row r="1147" spans="1:28" x14ac:dyDescent="0.25">
      <c r="A1147">
        <v>201052</v>
      </c>
      <c r="B1147" t="s">
        <v>4775</v>
      </c>
      <c r="C1147" t="s">
        <v>4789</v>
      </c>
      <c r="D1147" t="s">
        <v>1282</v>
      </c>
      <c r="E1147">
        <v>14</v>
      </c>
      <c r="F1147">
        <v>4000000</v>
      </c>
      <c r="G1147">
        <v>2175614.12</v>
      </c>
      <c r="H1147">
        <v>606438.61</v>
      </c>
      <c r="I1147" t="s">
        <v>1909</v>
      </c>
      <c r="J1147">
        <v>0</v>
      </c>
      <c r="K1147">
        <v>0</v>
      </c>
      <c r="L1147">
        <v>130410.66</v>
      </c>
      <c r="M1147">
        <v>2425754.4700000002</v>
      </c>
      <c r="N1147" s="711">
        <v>42872.71493371528</v>
      </c>
      <c r="O1147" s="711">
        <v>43117</v>
      </c>
      <c r="P1147" t="s">
        <v>4790</v>
      </c>
      <c r="Q1147" t="s">
        <v>1280</v>
      </c>
      <c r="R1147" t="s">
        <v>4791</v>
      </c>
      <c r="S1147" t="s">
        <v>1510</v>
      </c>
      <c r="T1147">
        <v>54</v>
      </c>
      <c r="U1147">
        <f>IF(Table__192.168.1.150_M_CONSOLIDATED_Delinquency_Compulsory_EOM[[#This Row],[Days in Arrears]] &lt; 8, Table__192.168.1.150_M_CONSOLIDATED_Delinquency_Compulsory_EOM[[#This Row],[Outstanding Balance]], 0 )</f>
        <v>0</v>
      </c>
      <c r="V11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2175614.12</v>
      </c>
      <c r="W11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7" s="105" t="str">
        <f>VLOOKUP(Table__192.168.1.150_M_CONSOLIDATED_Delinquency_Compulsory_EOM[[#This Row],[Client No]],'Global Portfolio'!$B$2:$N$2500,10,FALSE)</f>
        <v>Construction</v>
      </c>
      <c r="AA1147" s="105" t="str">
        <f>VLOOKUP(Table__192.168.1.150_M_CONSOLIDATED_Delinquency_Compulsory_EOM[[#This Row],[Client No]],'Global Portfolio'!$B$2:$N$2500,11,FALSE)</f>
        <v>Others</v>
      </c>
      <c r="AB1147" s="105" t="str">
        <f>VLOOKUP(Table__192.168.1.150_M_CONSOLIDATED_Delinquency_Compulsory_EOM[[#This Row],[Client No]],'Global Portfolio'!$B$2:$N$2500,12,FALSE)</f>
        <v>Others</v>
      </c>
    </row>
    <row r="1148" spans="1:28" x14ac:dyDescent="0.25">
      <c r="A1148">
        <v>201053</v>
      </c>
      <c r="B1148" t="s">
        <v>4779</v>
      </c>
      <c r="C1148" t="s">
        <v>4792</v>
      </c>
      <c r="D1148" t="s">
        <v>1279</v>
      </c>
      <c r="E1148">
        <v>-16</v>
      </c>
      <c r="F1148">
        <v>4000000</v>
      </c>
      <c r="G1148">
        <v>1667078.15</v>
      </c>
      <c r="H1148">
        <v>606438.61</v>
      </c>
      <c r="I1148" t="s">
        <v>1909</v>
      </c>
      <c r="J1148">
        <v>0</v>
      </c>
      <c r="K1148">
        <v>400000</v>
      </c>
      <c r="L1148">
        <v>32508.02</v>
      </c>
      <c r="M1148">
        <v>1819315.86</v>
      </c>
      <c r="N1148" s="711">
        <v>42872.72517017361</v>
      </c>
      <c r="O1148" s="711">
        <v>43117</v>
      </c>
      <c r="P1148" t="s">
        <v>4793</v>
      </c>
      <c r="Q1148" t="s">
        <v>1280</v>
      </c>
      <c r="R1148" t="s">
        <v>4794</v>
      </c>
      <c r="S1148" t="s">
        <v>1510</v>
      </c>
      <c r="T1148">
        <v>54</v>
      </c>
      <c r="U1148">
        <f>IF(Table__192.168.1.150_M_CONSOLIDATED_Delinquency_Compulsory_EOM[[#This Row],[Days in Arrears]] &lt; 8, Table__192.168.1.150_M_CONSOLIDATED_Delinquency_Compulsory_EOM[[#This Row],[Outstanding Balance]], 0 )</f>
        <v>1667078.15</v>
      </c>
      <c r="V11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8" s="105" t="str">
        <f>VLOOKUP(Table__192.168.1.150_M_CONSOLIDATED_Delinquency_Compulsory_EOM[[#This Row],[Client No]],'Global Portfolio'!$B$2:$N$2500,10,FALSE)</f>
        <v>Real Estate and Rental</v>
      </c>
      <c r="AA1148" s="105" t="str">
        <f>VLOOKUP(Table__192.168.1.150_M_CONSOLIDATED_Delinquency_Compulsory_EOM[[#This Row],[Client No]],'Global Portfolio'!$B$2:$N$2500,11,FALSE)</f>
        <v>Others</v>
      </c>
      <c r="AB1148" s="105" t="str">
        <f>VLOOKUP(Table__192.168.1.150_M_CONSOLIDATED_Delinquency_Compulsory_EOM[[#This Row],[Client No]],'Global Portfolio'!$B$2:$N$2500,12,FALSE)</f>
        <v>Others</v>
      </c>
    </row>
    <row r="1149" spans="1:28" x14ac:dyDescent="0.25">
      <c r="A1149">
        <v>201055</v>
      </c>
      <c r="B1149" t="s">
        <v>4182</v>
      </c>
      <c r="C1149" t="s">
        <v>4187</v>
      </c>
      <c r="D1149" t="s">
        <v>1282</v>
      </c>
      <c r="E1149">
        <v>-17</v>
      </c>
      <c r="F1149">
        <v>6000000</v>
      </c>
      <c r="G1149">
        <v>3837191.78</v>
      </c>
      <c r="H1149">
        <v>639313.04</v>
      </c>
      <c r="I1149" t="s">
        <v>1448</v>
      </c>
      <c r="J1149">
        <v>337982.84</v>
      </c>
      <c r="K1149">
        <v>600000</v>
      </c>
      <c r="L1149">
        <v>61395.07</v>
      </c>
      <c r="M1149">
        <v>4475191.22</v>
      </c>
      <c r="N1149" s="711">
        <v>42873.560921909724</v>
      </c>
      <c r="O1149" s="711">
        <v>43238</v>
      </c>
      <c r="P1149" t="s">
        <v>4188</v>
      </c>
      <c r="Q1149" t="s">
        <v>1280</v>
      </c>
      <c r="R1149" t="s">
        <v>1280</v>
      </c>
      <c r="S1149" t="s">
        <v>1510</v>
      </c>
      <c r="T1149">
        <v>48</v>
      </c>
      <c r="U1149">
        <f>IF(Table__192.168.1.150_M_CONSOLIDATED_Delinquency_Compulsory_EOM[[#This Row],[Days in Arrears]] &lt; 8, Table__192.168.1.150_M_CONSOLIDATED_Delinquency_Compulsory_EOM[[#This Row],[Outstanding Balance]], 0 )</f>
        <v>3837191.78</v>
      </c>
      <c r="V11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49" s="105" t="str">
        <f>VLOOKUP(Table__192.168.1.150_M_CONSOLIDATED_Delinquency_Compulsory_EOM[[#This Row],[Client No]],'Global Portfolio'!$B$2:$N$2500,10,FALSE)</f>
        <v>Retail</v>
      </c>
      <c r="AA1149" s="105" t="str">
        <f>VLOOKUP(Table__192.168.1.150_M_CONSOLIDATED_Delinquency_Compulsory_EOM[[#This Row],[Client No]],'Global Portfolio'!$B$2:$N$2500,11,FALSE)</f>
        <v>Others</v>
      </c>
      <c r="AB1149" s="105" t="str">
        <f>VLOOKUP(Table__192.168.1.150_M_CONSOLIDATED_Delinquency_Compulsory_EOM[[#This Row],[Client No]],'Global Portfolio'!$B$2:$N$2500,12,FALSE)</f>
        <v>Others</v>
      </c>
    </row>
    <row r="1150" spans="1:28" x14ac:dyDescent="0.25">
      <c r="A1150">
        <v>201056</v>
      </c>
      <c r="B1150" t="s">
        <v>4800</v>
      </c>
      <c r="C1150" t="s">
        <v>4805</v>
      </c>
      <c r="D1150" t="s">
        <v>1282</v>
      </c>
      <c r="E1150">
        <v>-17</v>
      </c>
      <c r="F1150">
        <v>3000000</v>
      </c>
      <c r="G1150">
        <v>1664400.24</v>
      </c>
      <c r="H1150">
        <v>379136.47</v>
      </c>
      <c r="I1150" t="s">
        <v>2538</v>
      </c>
      <c r="J1150">
        <v>0</v>
      </c>
      <c r="K1150">
        <v>300000</v>
      </c>
      <c r="L1150">
        <v>29959.200000000001</v>
      </c>
      <c r="M1150">
        <v>1895682.3</v>
      </c>
      <c r="N1150" s="711">
        <v>42873.614163310187</v>
      </c>
      <c r="O1150" s="711">
        <v>43177</v>
      </c>
      <c r="P1150" t="s">
        <v>4806</v>
      </c>
      <c r="Q1150" t="s">
        <v>1280</v>
      </c>
      <c r="R1150" t="s">
        <v>4807</v>
      </c>
      <c r="S1150" t="s">
        <v>1510</v>
      </c>
      <c r="T1150">
        <v>54</v>
      </c>
      <c r="U1150">
        <f>IF(Table__192.168.1.150_M_CONSOLIDATED_Delinquency_Compulsory_EOM[[#This Row],[Days in Arrears]] &lt; 8, Table__192.168.1.150_M_CONSOLIDATED_Delinquency_Compulsory_EOM[[#This Row],[Outstanding Balance]], 0 )</f>
        <v>1664400.24</v>
      </c>
      <c r="V11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0" s="105" t="str">
        <f>VLOOKUP(Table__192.168.1.150_M_CONSOLIDATED_Delinquency_Compulsory_EOM[[#This Row],[Client No]],'Global Portfolio'!$B$2:$N$2500,10,FALSE)</f>
        <v>Real Estate and Rental</v>
      </c>
      <c r="AA1150" s="105" t="str">
        <f>VLOOKUP(Table__192.168.1.150_M_CONSOLIDATED_Delinquency_Compulsory_EOM[[#This Row],[Client No]],'Global Portfolio'!$B$2:$N$2500,11,FALSE)</f>
        <v>Others</v>
      </c>
      <c r="AB1150" s="105" t="str">
        <f>VLOOKUP(Table__192.168.1.150_M_CONSOLIDATED_Delinquency_Compulsory_EOM[[#This Row],[Client No]],'Global Portfolio'!$B$2:$N$2500,12,FALSE)</f>
        <v>Others</v>
      </c>
    </row>
    <row r="1151" spans="1:28" x14ac:dyDescent="0.25">
      <c r="A1151">
        <v>201058</v>
      </c>
      <c r="B1151" t="s">
        <v>2101</v>
      </c>
      <c r="C1151" t="s">
        <v>2122</v>
      </c>
      <c r="D1151" t="s">
        <v>1283</v>
      </c>
      <c r="E1151">
        <v>-19</v>
      </c>
      <c r="F1151">
        <v>31000000</v>
      </c>
      <c r="G1151">
        <v>19440799.75</v>
      </c>
      <c r="H1151">
        <v>3120371.88</v>
      </c>
      <c r="I1151" t="s">
        <v>1447</v>
      </c>
      <c r="J1151">
        <v>0</v>
      </c>
      <c r="K1151">
        <v>1550000</v>
      </c>
      <c r="L1151">
        <v>194408</v>
      </c>
      <c r="M1151">
        <v>21842603.18</v>
      </c>
      <c r="N1151" s="711">
        <v>42873.480068206016</v>
      </c>
      <c r="O1151" s="711">
        <v>43240</v>
      </c>
      <c r="P1151" t="s">
        <v>2123</v>
      </c>
      <c r="Q1151" t="s">
        <v>1280</v>
      </c>
      <c r="R1151" t="s">
        <v>1280</v>
      </c>
      <c r="S1151" t="s">
        <v>1510</v>
      </c>
      <c r="T1151">
        <v>36</v>
      </c>
      <c r="U1151">
        <f>IF(Table__192.168.1.150_M_CONSOLIDATED_Delinquency_Compulsory_EOM[[#This Row],[Days in Arrears]] &lt; 8, Table__192.168.1.150_M_CONSOLIDATED_Delinquency_Compulsory_EOM[[#This Row],[Outstanding Balance]], 0 )</f>
        <v>19440799.75</v>
      </c>
      <c r="V11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1" s="105" t="str">
        <f>VLOOKUP(Table__192.168.1.150_M_CONSOLIDATED_Delinquency_Compulsory_EOM[[#This Row],[Client No]],'Global Portfolio'!$B$2:$N$2500,10,FALSE)</f>
        <v>Retail</v>
      </c>
      <c r="AA1151" s="105" t="str">
        <f>VLOOKUP(Table__192.168.1.150_M_CONSOLIDATED_Delinquency_Compulsory_EOM[[#This Row],[Client No]],'Global Portfolio'!$B$2:$N$2500,11,FALSE)</f>
        <v>Others</v>
      </c>
      <c r="AB1151" s="105" t="str">
        <f>VLOOKUP(Table__192.168.1.150_M_CONSOLIDATED_Delinquency_Compulsory_EOM[[#This Row],[Client No]],'Global Portfolio'!$B$2:$N$2500,12,FALSE)</f>
        <v>Others</v>
      </c>
    </row>
    <row r="1152" spans="1:28" x14ac:dyDescent="0.25">
      <c r="A1152">
        <v>201060</v>
      </c>
      <c r="B1152" t="s">
        <v>4797</v>
      </c>
      <c r="C1152" t="s">
        <v>4810</v>
      </c>
      <c r="D1152" t="s">
        <v>1282</v>
      </c>
      <c r="E1152">
        <v>-17</v>
      </c>
      <c r="F1152">
        <v>2500000</v>
      </c>
      <c r="G1152">
        <v>1041923.85</v>
      </c>
      <c r="H1152">
        <v>379024.13</v>
      </c>
      <c r="I1152" t="s">
        <v>2855</v>
      </c>
      <c r="J1152">
        <v>0</v>
      </c>
      <c r="K1152">
        <v>250000</v>
      </c>
      <c r="L1152">
        <v>18754.63</v>
      </c>
      <c r="M1152">
        <v>1137072.4099999999</v>
      </c>
      <c r="N1152" s="711">
        <v>42873.592386226854</v>
      </c>
      <c r="O1152" s="711">
        <v>43118</v>
      </c>
      <c r="P1152" t="s">
        <v>4811</v>
      </c>
      <c r="Q1152" t="s">
        <v>1280</v>
      </c>
      <c r="R1152" t="s">
        <v>1280</v>
      </c>
      <c r="S1152" t="s">
        <v>1510</v>
      </c>
      <c r="T1152">
        <v>54</v>
      </c>
      <c r="U1152">
        <f>IF(Table__192.168.1.150_M_CONSOLIDATED_Delinquency_Compulsory_EOM[[#This Row],[Days in Arrears]] &lt; 8, Table__192.168.1.150_M_CONSOLIDATED_Delinquency_Compulsory_EOM[[#This Row],[Outstanding Balance]], 0 )</f>
        <v>1041923.85</v>
      </c>
      <c r="V11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2" s="105" t="str">
        <f>VLOOKUP(Table__192.168.1.150_M_CONSOLIDATED_Delinquency_Compulsory_EOM[[#This Row],[Client No]],'Global Portfolio'!$B$2:$N$2500,10,FALSE)</f>
        <v>Retail</v>
      </c>
      <c r="AA1152" s="105" t="str">
        <f>VLOOKUP(Table__192.168.1.150_M_CONSOLIDATED_Delinquency_Compulsory_EOM[[#This Row],[Client No]],'Global Portfolio'!$B$2:$N$2500,11,FALSE)</f>
        <v>Others</v>
      </c>
      <c r="AB1152" s="105" t="str">
        <f>VLOOKUP(Table__192.168.1.150_M_CONSOLIDATED_Delinquency_Compulsory_EOM[[#This Row],[Client No]],'Global Portfolio'!$B$2:$N$2500,12,FALSE)</f>
        <v>Others</v>
      </c>
    </row>
    <row r="1153" spans="1:28" x14ac:dyDescent="0.25">
      <c r="A1153">
        <v>201062</v>
      </c>
      <c r="B1153" t="s">
        <v>3138</v>
      </c>
      <c r="C1153" t="s">
        <v>3139</v>
      </c>
      <c r="D1153" t="s">
        <v>1279</v>
      </c>
      <c r="E1153">
        <v>-18</v>
      </c>
      <c r="F1153">
        <v>3000000</v>
      </c>
      <c r="G1153">
        <v>1918595.89</v>
      </c>
      <c r="H1153">
        <v>319656.52</v>
      </c>
      <c r="I1153" t="s">
        <v>2034</v>
      </c>
      <c r="J1153">
        <v>0</v>
      </c>
      <c r="K1153">
        <v>300000</v>
      </c>
      <c r="L1153">
        <v>114226.04</v>
      </c>
      <c r="M1153">
        <v>2237595.63</v>
      </c>
      <c r="N1153" s="711">
        <v>42874.581016550925</v>
      </c>
      <c r="O1153" s="711">
        <v>43239</v>
      </c>
      <c r="P1153" t="s">
        <v>3140</v>
      </c>
      <c r="Q1153" t="s">
        <v>1280</v>
      </c>
      <c r="R1153" t="s">
        <v>1280</v>
      </c>
      <c r="S1153" t="s">
        <v>1510</v>
      </c>
      <c r="T1153">
        <v>48</v>
      </c>
      <c r="U1153">
        <f>IF(Table__192.168.1.150_M_CONSOLIDATED_Delinquency_Compulsory_EOM[[#This Row],[Days in Arrears]] &lt; 8, Table__192.168.1.150_M_CONSOLIDATED_Delinquency_Compulsory_EOM[[#This Row],[Outstanding Balance]], 0 )</f>
        <v>1918595.89</v>
      </c>
      <c r="V11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3" s="105" t="str">
        <f>VLOOKUP(Table__192.168.1.150_M_CONSOLIDATED_Delinquency_Compulsory_EOM[[#This Row],[Client No]],'Global Portfolio'!$B$2:$N$2500,10,FALSE)</f>
        <v>Real Estate and Rental</v>
      </c>
      <c r="AA1153" s="105" t="str">
        <f>VLOOKUP(Table__192.168.1.150_M_CONSOLIDATED_Delinquency_Compulsory_EOM[[#This Row],[Client No]],'Global Portfolio'!$B$2:$N$2500,11,FALSE)</f>
        <v>Rental</v>
      </c>
      <c r="AB1153" s="105" t="str">
        <f>VLOOKUP(Table__192.168.1.150_M_CONSOLIDATED_Delinquency_Compulsory_EOM[[#This Row],[Client No]],'Global Portfolio'!$B$2:$N$2500,12,FALSE)</f>
        <v>Others</v>
      </c>
    </row>
    <row r="1154" spans="1:28" x14ac:dyDescent="0.25">
      <c r="A1154">
        <v>201063</v>
      </c>
      <c r="B1154" t="s">
        <v>4567</v>
      </c>
      <c r="C1154" t="s">
        <v>1192</v>
      </c>
      <c r="D1154" t="s">
        <v>1285</v>
      </c>
      <c r="E1154">
        <v>-20</v>
      </c>
      <c r="F1154">
        <v>7781000</v>
      </c>
      <c r="G1154">
        <v>6772120.1699999999</v>
      </c>
      <c r="H1154">
        <v>340121.2</v>
      </c>
      <c r="I1154" t="s">
        <v>284</v>
      </c>
      <c r="J1154">
        <v>0</v>
      </c>
      <c r="K1154">
        <v>0</v>
      </c>
      <c r="L1154">
        <v>37246.660000000003</v>
      </c>
      <c r="M1154">
        <v>8503029.9299999997</v>
      </c>
      <c r="N1154" s="711">
        <v>42873.677149386574</v>
      </c>
      <c r="O1154" s="711">
        <v>43790</v>
      </c>
      <c r="P1154" t="s">
        <v>4573</v>
      </c>
      <c r="Q1154" t="s">
        <v>1280</v>
      </c>
      <c r="R1154" t="s">
        <v>1280</v>
      </c>
      <c r="S1154" t="s">
        <v>1510</v>
      </c>
      <c r="T1154">
        <v>22</v>
      </c>
      <c r="U1154">
        <f>IF(Table__192.168.1.150_M_CONSOLIDATED_Delinquency_Compulsory_EOM[[#This Row],[Days in Arrears]] &lt; 8, Table__192.168.1.150_M_CONSOLIDATED_Delinquency_Compulsory_EOM[[#This Row],[Outstanding Balance]], 0 )</f>
        <v>6772120.1699999999</v>
      </c>
      <c r="V11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4" s="105" t="str">
        <f>VLOOKUP(Table__192.168.1.150_M_CONSOLIDATED_Delinquency_Compulsory_EOM[[#This Row],[Client No]],'Global Portfolio'!$B$2:$N$2500,10,FALSE)</f>
        <v>Finance and Insurance</v>
      </c>
      <c r="AA1154" s="105" t="str">
        <f>VLOOKUP(Table__192.168.1.150_M_CONSOLIDATED_Delinquency_Compulsory_EOM[[#This Row],[Client No]],'Global Portfolio'!$B$2:$N$2500,11,FALSE)</f>
        <v>Finance</v>
      </c>
      <c r="AB1154" s="105" t="str">
        <f>VLOOKUP(Table__192.168.1.150_M_CONSOLIDATED_Delinquency_Compulsory_EOM[[#This Row],[Client No]],'Global Portfolio'!$B$2:$N$2500,12,FALSE)</f>
        <v>Microfinance Institutions</v>
      </c>
    </row>
    <row r="1155" spans="1:28" x14ac:dyDescent="0.25">
      <c r="A1155">
        <v>201064</v>
      </c>
      <c r="B1155" t="s">
        <v>4813</v>
      </c>
      <c r="C1155" t="s">
        <v>4818</v>
      </c>
      <c r="D1155" t="s">
        <v>1282</v>
      </c>
      <c r="E1155">
        <v>-18</v>
      </c>
      <c r="F1155">
        <v>10000000</v>
      </c>
      <c r="G1155">
        <v>4167695.35</v>
      </c>
      <c r="H1155">
        <v>1516096.53</v>
      </c>
      <c r="I1155" t="s">
        <v>1925</v>
      </c>
      <c r="J1155">
        <v>141064.45000000001</v>
      </c>
      <c r="K1155">
        <v>1000000</v>
      </c>
      <c r="L1155">
        <v>68766.97</v>
      </c>
      <c r="M1155">
        <v>4548289.62</v>
      </c>
      <c r="N1155" s="711">
        <v>42874.512373877318</v>
      </c>
      <c r="O1155" s="711">
        <v>43119</v>
      </c>
      <c r="P1155" t="s">
        <v>4819</v>
      </c>
      <c r="Q1155" t="s">
        <v>1280</v>
      </c>
      <c r="R1155" t="s">
        <v>4820</v>
      </c>
      <c r="S1155" t="s">
        <v>1510</v>
      </c>
      <c r="T1155">
        <v>54</v>
      </c>
      <c r="U1155">
        <f>IF(Table__192.168.1.150_M_CONSOLIDATED_Delinquency_Compulsory_EOM[[#This Row],[Days in Arrears]] &lt; 8, Table__192.168.1.150_M_CONSOLIDATED_Delinquency_Compulsory_EOM[[#This Row],[Outstanding Balance]], 0 )</f>
        <v>4167695.35</v>
      </c>
      <c r="V11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5" s="105" t="str">
        <f>VLOOKUP(Table__192.168.1.150_M_CONSOLIDATED_Delinquency_Compulsory_EOM[[#This Row],[Client No]],'Global Portfolio'!$B$2:$N$2500,10,FALSE)</f>
        <v>Retail</v>
      </c>
      <c r="AA1155" s="105" t="str">
        <f>VLOOKUP(Table__192.168.1.150_M_CONSOLIDATED_Delinquency_Compulsory_EOM[[#This Row],[Client No]],'Global Portfolio'!$B$2:$N$2500,11,FALSE)</f>
        <v>General Merchandise Stores</v>
      </c>
      <c r="AB1155" s="105" t="str">
        <f>VLOOKUP(Table__192.168.1.150_M_CONSOLIDATED_Delinquency_Compulsory_EOM[[#This Row],[Client No]],'Global Portfolio'!$B$2:$N$2500,12,FALSE)</f>
        <v>General Stores</v>
      </c>
    </row>
    <row r="1156" spans="1:28" x14ac:dyDescent="0.25">
      <c r="A1156">
        <v>201065</v>
      </c>
      <c r="B1156" t="s">
        <v>1992</v>
      </c>
      <c r="C1156" t="s">
        <v>1993</v>
      </c>
      <c r="D1156" t="s">
        <v>1285</v>
      </c>
      <c r="E1156">
        <v>-20</v>
      </c>
      <c r="F1156">
        <v>38364000</v>
      </c>
      <c r="G1156">
        <v>36560150.299999997</v>
      </c>
      <c r="H1156">
        <v>1060843.6599999999</v>
      </c>
      <c r="I1156" t="s">
        <v>284</v>
      </c>
      <c r="J1156">
        <v>0</v>
      </c>
      <c r="K1156">
        <v>0</v>
      </c>
      <c r="L1156">
        <v>201080.83</v>
      </c>
      <c r="M1156">
        <v>58346401.189999998</v>
      </c>
      <c r="N1156" s="711">
        <v>42874.697980671299</v>
      </c>
      <c r="O1156" s="711">
        <v>44702</v>
      </c>
      <c r="P1156" t="s">
        <v>1994</v>
      </c>
      <c r="Q1156" t="s">
        <v>1280</v>
      </c>
      <c r="R1156" t="s">
        <v>1280</v>
      </c>
      <c r="S1156" t="s">
        <v>1510</v>
      </c>
      <c r="T1156">
        <v>22</v>
      </c>
      <c r="U1156">
        <f>IF(Table__192.168.1.150_M_CONSOLIDATED_Delinquency_Compulsory_EOM[[#This Row],[Days in Arrears]] &lt; 8, Table__192.168.1.150_M_CONSOLIDATED_Delinquency_Compulsory_EOM[[#This Row],[Outstanding Balance]], 0 )</f>
        <v>36560150.299999997</v>
      </c>
      <c r="V11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6" s="105" t="str">
        <f>VLOOKUP(Table__192.168.1.150_M_CONSOLIDATED_Delinquency_Compulsory_EOM[[#This Row],[Client No]],'Global Portfolio'!$B$2:$N$2500,10,FALSE)</f>
        <v>Finance and Insurance</v>
      </c>
      <c r="AA1156" s="105" t="str">
        <f>VLOOKUP(Table__192.168.1.150_M_CONSOLIDATED_Delinquency_Compulsory_EOM[[#This Row],[Client No]],'Global Portfolio'!$B$2:$N$2500,11,FALSE)</f>
        <v>Finance</v>
      </c>
      <c r="AB1156" s="105" t="str">
        <f>VLOOKUP(Table__192.168.1.150_M_CONSOLIDATED_Delinquency_Compulsory_EOM[[#This Row],[Client No]],'Global Portfolio'!$B$2:$N$2500,12,FALSE)</f>
        <v>Microfinance Institutions</v>
      </c>
    </row>
    <row r="1157" spans="1:28" x14ac:dyDescent="0.25">
      <c r="A1157">
        <v>201066</v>
      </c>
      <c r="B1157" t="s">
        <v>4812</v>
      </c>
      <c r="C1157" t="s">
        <v>4821</v>
      </c>
      <c r="D1157" t="s">
        <v>1282</v>
      </c>
      <c r="E1157">
        <v>-18</v>
      </c>
      <c r="F1157">
        <v>3000000</v>
      </c>
      <c r="G1157">
        <v>1250308.6100000001</v>
      </c>
      <c r="H1157">
        <v>454828.96</v>
      </c>
      <c r="I1157" t="s">
        <v>1909</v>
      </c>
      <c r="J1157">
        <v>242871.03</v>
      </c>
      <c r="K1157">
        <v>0</v>
      </c>
      <c r="L1157">
        <v>20630.09</v>
      </c>
      <c r="M1157">
        <v>1364486.9</v>
      </c>
      <c r="N1157" s="711">
        <v>42874.708207175929</v>
      </c>
      <c r="O1157" s="711">
        <v>43119</v>
      </c>
      <c r="P1157" t="s">
        <v>4822</v>
      </c>
      <c r="Q1157" t="s">
        <v>1280</v>
      </c>
      <c r="R1157" t="s">
        <v>4823</v>
      </c>
      <c r="S1157" t="s">
        <v>1510</v>
      </c>
      <c r="T1157">
        <v>54</v>
      </c>
      <c r="U1157">
        <f>IF(Table__192.168.1.150_M_CONSOLIDATED_Delinquency_Compulsory_EOM[[#This Row],[Days in Arrears]] &lt; 8, Table__192.168.1.150_M_CONSOLIDATED_Delinquency_Compulsory_EOM[[#This Row],[Outstanding Balance]], 0 )</f>
        <v>1250308.6100000001</v>
      </c>
      <c r="V11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7" s="105" t="str">
        <f>VLOOKUP(Table__192.168.1.150_M_CONSOLIDATED_Delinquency_Compulsory_EOM[[#This Row],[Client No]],'Global Portfolio'!$B$2:$N$2500,10,FALSE)</f>
        <v>Retail</v>
      </c>
      <c r="AA1157" s="105" t="str">
        <f>VLOOKUP(Table__192.168.1.150_M_CONSOLIDATED_Delinquency_Compulsory_EOM[[#This Row],[Client No]],'Global Portfolio'!$B$2:$N$2500,11,FALSE)</f>
        <v>General Merchandise Stores</v>
      </c>
      <c r="AB1157" s="105" t="str">
        <f>VLOOKUP(Table__192.168.1.150_M_CONSOLIDATED_Delinquency_Compulsory_EOM[[#This Row],[Client No]],'Global Portfolio'!$B$2:$N$2500,12,FALSE)</f>
        <v>General Stores</v>
      </c>
    </row>
    <row r="1158" spans="1:28" x14ac:dyDescent="0.25">
      <c r="A1158">
        <v>201067</v>
      </c>
      <c r="B1158" t="s">
        <v>2293</v>
      </c>
      <c r="C1158" t="s">
        <v>2300</v>
      </c>
      <c r="D1158" t="s">
        <v>1281</v>
      </c>
      <c r="E1158">
        <v>-19</v>
      </c>
      <c r="F1158">
        <v>20000000</v>
      </c>
      <c r="G1158">
        <v>12655143.16</v>
      </c>
      <c r="H1158">
        <v>2069678.99</v>
      </c>
      <c r="I1158" t="s">
        <v>1909</v>
      </c>
      <c r="J1158">
        <v>0</v>
      </c>
      <c r="K1158">
        <v>0</v>
      </c>
      <c r="L1158">
        <v>147643.34</v>
      </c>
      <c r="M1158">
        <v>14487752.859999999</v>
      </c>
      <c r="N1158" s="711">
        <v>42875.612127777778</v>
      </c>
      <c r="O1158" s="711">
        <v>43240</v>
      </c>
      <c r="P1158" t="s">
        <v>2301</v>
      </c>
      <c r="Q1158" t="s">
        <v>1280</v>
      </c>
      <c r="R1158" t="s">
        <v>1280</v>
      </c>
      <c r="S1158" t="s">
        <v>1510</v>
      </c>
      <c r="T1158">
        <v>42</v>
      </c>
      <c r="U1158">
        <f>IF(Table__192.168.1.150_M_CONSOLIDATED_Delinquency_Compulsory_EOM[[#This Row],[Days in Arrears]] &lt; 8, Table__192.168.1.150_M_CONSOLIDATED_Delinquency_Compulsory_EOM[[#This Row],[Outstanding Balance]], 0 )</f>
        <v>12655143.16</v>
      </c>
      <c r="V11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8" s="105" t="str">
        <f>VLOOKUP(Table__192.168.1.150_M_CONSOLIDATED_Delinquency_Compulsory_EOM[[#This Row],[Client No]],'Global Portfolio'!$B$2:$N$2500,10,FALSE)</f>
        <v>Wholesale Trade</v>
      </c>
      <c r="AA1158" s="105" t="str">
        <f>VLOOKUP(Table__192.168.1.150_M_CONSOLIDATED_Delinquency_Compulsory_EOM[[#This Row],[Client No]],'Global Portfolio'!$B$2:$N$2500,11,FALSE)</f>
        <v>Nondurable Goods</v>
      </c>
      <c r="AB1158" s="105" t="str">
        <f>VLOOKUP(Table__192.168.1.150_M_CONSOLIDATED_Delinquency_Compulsory_EOM[[#This Row],[Client No]],'Global Portfolio'!$B$2:$N$2500,12,FALSE)</f>
        <v>Others</v>
      </c>
    </row>
    <row r="1159" spans="1:28" x14ac:dyDescent="0.25">
      <c r="A1159">
        <v>201069</v>
      </c>
      <c r="B1159" t="s">
        <v>3400</v>
      </c>
      <c r="C1159" t="s">
        <v>3414</v>
      </c>
      <c r="D1159" t="s">
        <v>1282</v>
      </c>
      <c r="E1159">
        <v>-23</v>
      </c>
      <c r="F1159">
        <v>6000000</v>
      </c>
      <c r="G1159">
        <v>3837191.78</v>
      </c>
      <c r="H1159">
        <v>639313.04</v>
      </c>
      <c r="I1159" t="s">
        <v>1447</v>
      </c>
      <c r="J1159">
        <v>0</v>
      </c>
      <c r="K1159">
        <v>600000</v>
      </c>
      <c r="L1159">
        <v>30697.53</v>
      </c>
      <c r="M1159">
        <v>4475191.22</v>
      </c>
      <c r="N1159" s="711">
        <v>42879.473704016207</v>
      </c>
      <c r="O1159" s="711">
        <v>43244</v>
      </c>
      <c r="P1159" t="s">
        <v>3415</v>
      </c>
      <c r="Q1159" t="s">
        <v>1280</v>
      </c>
      <c r="R1159" t="s">
        <v>3416</v>
      </c>
      <c r="S1159" t="s">
        <v>1510</v>
      </c>
      <c r="T1159">
        <v>48</v>
      </c>
      <c r="U1159">
        <f>IF(Table__192.168.1.150_M_CONSOLIDATED_Delinquency_Compulsory_EOM[[#This Row],[Days in Arrears]] &lt; 8, Table__192.168.1.150_M_CONSOLIDATED_Delinquency_Compulsory_EOM[[#This Row],[Outstanding Balance]], 0 )</f>
        <v>3837191.78</v>
      </c>
      <c r="V11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59" s="105" t="str">
        <f>VLOOKUP(Table__192.168.1.150_M_CONSOLIDATED_Delinquency_Compulsory_EOM[[#This Row],[Client No]],'Global Portfolio'!$B$2:$N$2500,10,FALSE)</f>
        <v>Retail</v>
      </c>
      <c r="AA1159" s="105" t="str">
        <f>VLOOKUP(Table__192.168.1.150_M_CONSOLIDATED_Delinquency_Compulsory_EOM[[#This Row],[Client No]],'Global Portfolio'!$B$2:$N$2500,11,FALSE)</f>
        <v>Others</v>
      </c>
      <c r="AB1159" s="105" t="str">
        <f>VLOOKUP(Table__192.168.1.150_M_CONSOLIDATED_Delinquency_Compulsory_EOM[[#This Row],[Client No]],'Global Portfolio'!$B$2:$N$2500,12,FALSE)</f>
        <v>Others</v>
      </c>
    </row>
    <row r="1160" spans="1:28" x14ac:dyDescent="0.25">
      <c r="A1160">
        <v>201070</v>
      </c>
      <c r="B1160" t="s">
        <v>3370</v>
      </c>
      <c r="C1160" t="s">
        <v>3381</v>
      </c>
      <c r="D1160" t="s">
        <v>1279</v>
      </c>
      <c r="E1160">
        <v>-21</v>
      </c>
      <c r="F1160">
        <v>5000000</v>
      </c>
      <c r="G1160">
        <v>3197659.85</v>
      </c>
      <c r="H1160">
        <v>532760.86</v>
      </c>
      <c r="I1160" t="s">
        <v>2855</v>
      </c>
      <c r="J1160">
        <v>0</v>
      </c>
      <c r="K1160">
        <v>500000</v>
      </c>
      <c r="L1160">
        <v>34108.370000000003</v>
      </c>
      <c r="M1160">
        <v>3729326.0800000001</v>
      </c>
      <c r="N1160" s="711">
        <v>42877.671345798612</v>
      </c>
      <c r="O1160" s="711">
        <v>43242</v>
      </c>
      <c r="P1160" t="s">
        <v>3382</v>
      </c>
      <c r="Q1160" t="s">
        <v>1280</v>
      </c>
      <c r="R1160" t="s">
        <v>1280</v>
      </c>
      <c r="S1160" t="s">
        <v>1510</v>
      </c>
      <c r="T1160">
        <v>48</v>
      </c>
      <c r="U1160">
        <f>IF(Table__192.168.1.150_M_CONSOLIDATED_Delinquency_Compulsory_EOM[[#This Row],[Days in Arrears]] &lt; 8, Table__192.168.1.150_M_CONSOLIDATED_Delinquency_Compulsory_EOM[[#This Row],[Outstanding Balance]], 0 )</f>
        <v>3197659.85</v>
      </c>
      <c r="V11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0" s="105" t="str">
        <f>VLOOKUP(Table__192.168.1.150_M_CONSOLIDATED_Delinquency_Compulsory_EOM[[#This Row],[Client No]],'Global Portfolio'!$B$2:$N$2500,10,FALSE)</f>
        <v>Real Estate and Rental</v>
      </c>
      <c r="AA1160" s="105" t="str">
        <f>VLOOKUP(Table__192.168.1.150_M_CONSOLIDATED_Delinquency_Compulsory_EOM[[#This Row],[Client No]],'Global Portfolio'!$B$2:$N$2500,11,FALSE)</f>
        <v>Rental</v>
      </c>
      <c r="AB1160" s="105" t="str">
        <f>VLOOKUP(Table__192.168.1.150_M_CONSOLIDATED_Delinquency_Compulsory_EOM[[#This Row],[Client No]],'Global Portfolio'!$B$2:$N$2500,12,FALSE)</f>
        <v>Others</v>
      </c>
    </row>
    <row r="1161" spans="1:28" x14ac:dyDescent="0.25">
      <c r="A1161">
        <v>201071</v>
      </c>
      <c r="B1161" t="s">
        <v>3371</v>
      </c>
      <c r="C1161" t="s">
        <v>3377</v>
      </c>
      <c r="D1161" t="s">
        <v>1866</v>
      </c>
      <c r="E1161">
        <v>-21</v>
      </c>
      <c r="F1161">
        <v>5500000</v>
      </c>
      <c r="G1161">
        <v>3492631.21</v>
      </c>
      <c r="H1161">
        <v>574758.62</v>
      </c>
      <c r="I1161" t="s">
        <v>2538</v>
      </c>
      <c r="J1161">
        <v>0</v>
      </c>
      <c r="K1161">
        <v>550000</v>
      </c>
      <c r="L1161">
        <v>34150.17</v>
      </c>
      <c r="M1161">
        <v>4023310.32</v>
      </c>
      <c r="N1161" s="711">
        <v>42877.671679942127</v>
      </c>
      <c r="O1161" s="711">
        <v>43242</v>
      </c>
      <c r="P1161" t="s">
        <v>3378</v>
      </c>
      <c r="Q1161" t="s">
        <v>1280</v>
      </c>
      <c r="R1161" t="s">
        <v>1280</v>
      </c>
      <c r="S1161" t="s">
        <v>1510</v>
      </c>
      <c r="T1161">
        <v>44</v>
      </c>
      <c r="U1161">
        <f>IF(Table__192.168.1.150_M_CONSOLIDATED_Delinquency_Compulsory_EOM[[#This Row],[Days in Arrears]] &lt; 8, Table__192.168.1.150_M_CONSOLIDATED_Delinquency_Compulsory_EOM[[#This Row],[Outstanding Balance]], 0 )</f>
        <v>3492631.21</v>
      </c>
      <c r="V11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1" s="105" t="str">
        <f>VLOOKUP(Table__192.168.1.150_M_CONSOLIDATED_Delinquency_Compulsory_EOM[[#This Row],[Client No]],'Global Portfolio'!$B$2:$N$2500,10,FALSE)</f>
        <v>Retail</v>
      </c>
      <c r="AA1161" s="105" t="str">
        <f>VLOOKUP(Table__192.168.1.150_M_CONSOLIDATED_Delinquency_Compulsory_EOM[[#This Row],[Client No]],'Global Portfolio'!$B$2:$N$2500,11,FALSE)</f>
        <v>Others</v>
      </c>
      <c r="AB1161" s="105" t="str">
        <f>VLOOKUP(Table__192.168.1.150_M_CONSOLIDATED_Delinquency_Compulsory_EOM[[#This Row],[Client No]],'Global Portfolio'!$B$2:$N$2500,12,FALSE)</f>
        <v>Others</v>
      </c>
    </row>
    <row r="1162" spans="1:28" x14ac:dyDescent="0.25">
      <c r="A1162">
        <v>201072</v>
      </c>
      <c r="B1162" t="s">
        <v>2771</v>
      </c>
      <c r="C1162" t="s">
        <v>2777</v>
      </c>
      <c r="D1162" t="s">
        <v>1282</v>
      </c>
      <c r="E1162">
        <v>-21</v>
      </c>
      <c r="F1162">
        <v>5000000</v>
      </c>
      <c r="G1162">
        <v>3197659.85</v>
      </c>
      <c r="H1162">
        <v>532760.86</v>
      </c>
      <c r="I1162" t="s">
        <v>3074</v>
      </c>
      <c r="J1162">
        <v>11073.48</v>
      </c>
      <c r="K1162">
        <v>500000</v>
      </c>
      <c r="L1162">
        <v>34108.370000000003</v>
      </c>
      <c r="M1162">
        <v>3729326.0800000001</v>
      </c>
      <c r="N1162" s="711">
        <v>42877.726153043979</v>
      </c>
      <c r="O1162" s="711">
        <v>43242</v>
      </c>
      <c r="P1162" t="s">
        <v>2778</v>
      </c>
      <c r="Q1162" t="s">
        <v>1280</v>
      </c>
      <c r="R1162" t="s">
        <v>1280</v>
      </c>
      <c r="S1162" t="s">
        <v>1510</v>
      </c>
      <c r="T1162">
        <v>48</v>
      </c>
      <c r="U1162">
        <f>IF(Table__192.168.1.150_M_CONSOLIDATED_Delinquency_Compulsory_EOM[[#This Row],[Days in Arrears]] &lt; 8, Table__192.168.1.150_M_CONSOLIDATED_Delinquency_Compulsory_EOM[[#This Row],[Outstanding Balance]], 0 )</f>
        <v>3197659.85</v>
      </c>
      <c r="V11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2" s="105" t="str">
        <f>VLOOKUP(Table__192.168.1.150_M_CONSOLIDATED_Delinquency_Compulsory_EOM[[#This Row],[Client No]],'Global Portfolio'!$B$2:$N$2500,10,FALSE)</f>
        <v>Retail</v>
      </c>
      <c r="AA1162" s="105" t="str">
        <f>VLOOKUP(Table__192.168.1.150_M_CONSOLIDATED_Delinquency_Compulsory_EOM[[#This Row],[Client No]],'Global Portfolio'!$B$2:$N$2500,11,FALSE)</f>
        <v>General Merchandise Stores</v>
      </c>
      <c r="AB1162" s="105" t="str">
        <f>VLOOKUP(Table__192.168.1.150_M_CONSOLIDATED_Delinquency_Compulsory_EOM[[#This Row],[Client No]],'Global Portfolio'!$B$2:$N$2500,12,FALSE)</f>
        <v>General Stores</v>
      </c>
    </row>
    <row r="1163" spans="1:28" x14ac:dyDescent="0.25">
      <c r="A1163">
        <v>201073</v>
      </c>
      <c r="B1163" t="s">
        <v>4826</v>
      </c>
      <c r="C1163" t="s">
        <v>4827</v>
      </c>
      <c r="D1163" t="s">
        <v>1282</v>
      </c>
      <c r="E1163">
        <v>-21</v>
      </c>
      <c r="F1163">
        <v>5000000</v>
      </c>
      <c r="G1163">
        <v>3231150.28</v>
      </c>
      <c r="H1163">
        <v>548330.93999999994</v>
      </c>
      <c r="I1163" t="s">
        <v>1467</v>
      </c>
      <c r="J1163">
        <v>3596.47</v>
      </c>
      <c r="K1163">
        <v>500000</v>
      </c>
      <c r="L1163">
        <v>38773.800000000003</v>
      </c>
      <c r="M1163">
        <v>3838316.62</v>
      </c>
      <c r="N1163" s="711">
        <v>42877.716931909723</v>
      </c>
      <c r="O1163" s="711">
        <v>43242</v>
      </c>
      <c r="P1163" t="s">
        <v>4828</v>
      </c>
      <c r="Q1163" t="s">
        <v>1280</v>
      </c>
      <c r="R1163" t="s">
        <v>4829</v>
      </c>
      <c r="S1163" t="s">
        <v>1510</v>
      </c>
      <c r="T1163">
        <v>54</v>
      </c>
      <c r="U1163">
        <f>IF(Table__192.168.1.150_M_CONSOLIDATED_Delinquency_Compulsory_EOM[[#This Row],[Days in Arrears]] &lt; 8, Table__192.168.1.150_M_CONSOLIDATED_Delinquency_Compulsory_EOM[[#This Row],[Outstanding Balance]], 0 )</f>
        <v>3231150.28</v>
      </c>
      <c r="V11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3" s="105" t="str">
        <f>VLOOKUP(Table__192.168.1.150_M_CONSOLIDATED_Delinquency_Compulsory_EOM[[#This Row],[Client No]],'Global Portfolio'!$B$2:$N$2500,10,FALSE)</f>
        <v>Retail</v>
      </c>
      <c r="AA1163" s="105" t="str">
        <f>VLOOKUP(Table__192.168.1.150_M_CONSOLIDATED_Delinquency_Compulsory_EOM[[#This Row],[Client No]],'Global Portfolio'!$B$2:$N$2500,11,FALSE)</f>
        <v>General Merchandise Stores</v>
      </c>
      <c r="AB1163" s="105" t="str">
        <f>VLOOKUP(Table__192.168.1.150_M_CONSOLIDATED_Delinquency_Compulsory_EOM[[#This Row],[Client No]],'Global Portfolio'!$B$2:$N$2500,12,FALSE)</f>
        <v>General Stores</v>
      </c>
    </row>
    <row r="1164" spans="1:28" x14ac:dyDescent="0.25">
      <c r="A1164">
        <v>201076</v>
      </c>
      <c r="B1164" t="s">
        <v>4833</v>
      </c>
      <c r="C1164" t="s">
        <v>4839</v>
      </c>
      <c r="D1164" t="s">
        <v>1284</v>
      </c>
      <c r="E1164">
        <v>-22</v>
      </c>
      <c r="F1164">
        <v>20000000</v>
      </c>
      <c r="G1164">
        <v>17022570.059999999</v>
      </c>
      <c r="H1164">
        <v>1223754.71</v>
      </c>
      <c r="I1164" t="s">
        <v>546</v>
      </c>
      <c r="J1164">
        <v>0</v>
      </c>
      <c r="K1164">
        <v>1000000</v>
      </c>
      <c r="L1164">
        <v>132397.76999999999</v>
      </c>
      <c r="M1164">
        <v>23251339.530000001</v>
      </c>
      <c r="N1164" s="711">
        <v>42878.662317974537</v>
      </c>
      <c r="O1164" s="711">
        <v>43608</v>
      </c>
      <c r="P1164" t="s">
        <v>4840</v>
      </c>
      <c r="Q1164" t="s">
        <v>1280</v>
      </c>
      <c r="R1164" t="s">
        <v>1280</v>
      </c>
      <c r="S1164" t="s">
        <v>1510</v>
      </c>
      <c r="T1164">
        <v>40</v>
      </c>
      <c r="U1164">
        <f>IF(Table__192.168.1.150_M_CONSOLIDATED_Delinquency_Compulsory_EOM[[#This Row],[Days in Arrears]] &lt; 8, Table__192.168.1.150_M_CONSOLIDATED_Delinquency_Compulsory_EOM[[#This Row],[Outstanding Balance]], 0 )</f>
        <v>17022570.059999999</v>
      </c>
      <c r="V11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4" s="105" t="str">
        <f>VLOOKUP(Table__192.168.1.150_M_CONSOLIDATED_Delinquency_Compulsory_EOM[[#This Row],[Client No]],'Global Portfolio'!$B$2:$N$2500,10,FALSE)</f>
        <v>Real Estate and Rental</v>
      </c>
      <c r="AA1164" s="105" t="str">
        <f>VLOOKUP(Table__192.168.1.150_M_CONSOLIDATED_Delinquency_Compulsory_EOM[[#This Row],[Client No]],'Global Portfolio'!$B$2:$N$2500,11,FALSE)</f>
        <v>Rental</v>
      </c>
      <c r="AB1164" s="105" t="str">
        <f>VLOOKUP(Table__192.168.1.150_M_CONSOLIDATED_Delinquency_Compulsory_EOM[[#This Row],[Client No]],'Global Portfolio'!$B$2:$N$2500,12,FALSE)</f>
        <v>Video Tape &amp; Disc Rental</v>
      </c>
    </row>
    <row r="1165" spans="1:28" x14ac:dyDescent="0.25">
      <c r="A1165">
        <v>201077</v>
      </c>
      <c r="B1165" t="s">
        <v>4830</v>
      </c>
      <c r="C1165" t="s">
        <v>4841</v>
      </c>
      <c r="D1165" t="s">
        <v>1283</v>
      </c>
      <c r="E1165">
        <v>-22</v>
      </c>
      <c r="F1165">
        <v>40000000</v>
      </c>
      <c r="G1165">
        <v>25036288.75</v>
      </c>
      <c r="H1165">
        <v>4018483.42</v>
      </c>
      <c r="I1165" t="s">
        <v>86</v>
      </c>
      <c r="J1165">
        <v>12128.71</v>
      </c>
      <c r="K1165">
        <v>0</v>
      </c>
      <c r="L1165">
        <v>175254.02</v>
      </c>
      <c r="M1165">
        <v>28129383.93</v>
      </c>
      <c r="N1165" s="711">
        <v>42878.594531747687</v>
      </c>
      <c r="O1165" s="711">
        <v>43243</v>
      </c>
      <c r="P1165" t="s">
        <v>4842</v>
      </c>
      <c r="Q1165" t="s">
        <v>4843</v>
      </c>
      <c r="R1165" t="s">
        <v>1280</v>
      </c>
      <c r="S1165" t="s">
        <v>1510</v>
      </c>
      <c r="T1165">
        <v>36</v>
      </c>
      <c r="U1165">
        <f>IF(Table__192.168.1.150_M_CONSOLIDATED_Delinquency_Compulsory_EOM[[#This Row],[Days in Arrears]] &lt; 8, Table__192.168.1.150_M_CONSOLIDATED_Delinquency_Compulsory_EOM[[#This Row],[Outstanding Balance]], 0 )</f>
        <v>25036288.75</v>
      </c>
      <c r="V11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5" s="105" t="str">
        <f>VLOOKUP(Table__192.168.1.150_M_CONSOLIDATED_Delinquency_Compulsory_EOM[[#This Row],[Client No]],'Global Portfolio'!$B$2:$N$2500,10,FALSE)</f>
        <v>Wholesale Trade</v>
      </c>
      <c r="AA1165" s="105" t="str">
        <f>VLOOKUP(Table__192.168.1.150_M_CONSOLIDATED_Delinquency_Compulsory_EOM[[#This Row],[Client No]],'Global Portfolio'!$B$2:$N$2500,11,FALSE)</f>
        <v>Nondurable Goods</v>
      </c>
      <c r="AB1165" s="105" t="str">
        <f>VLOOKUP(Table__192.168.1.150_M_CONSOLIDATED_Delinquency_Compulsory_EOM[[#This Row],[Client No]],'Global Portfolio'!$B$2:$N$2500,12,FALSE)</f>
        <v>Drugs &amp; Druggists' Sundries</v>
      </c>
    </row>
    <row r="1166" spans="1:28" x14ac:dyDescent="0.25">
      <c r="A1166">
        <v>201078</v>
      </c>
      <c r="B1166" t="s">
        <v>4846</v>
      </c>
      <c r="C1166" t="s">
        <v>4847</v>
      </c>
      <c r="D1166" t="s">
        <v>1284</v>
      </c>
      <c r="E1166">
        <v>0</v>
      </c>
      <c r="F1166">
        <v>25000000</v>
      </c>
      <c r="G1166">
        <v>22238301.640000001</v>
      </c>
      <c r="H1166">
        <v>1541207.21</v>
      </c>
      <c r="I1166" t="s">
        <v>1447</v>
      </c>
      <c r="J1166">
        <v>1664465.12</v>
      </c>
      <c r="K1166">
        <v>1250000</v>
      </c>
      <c r="L1166">
        <v>716567.5</v>
      </c>
      <c r="M1166">
        <v>30824144.190000001</v>
      </c>
      <c r="N1166" s="711">
        <v>42879.498819872686</v>
      </c>
      <c r="O1166" s="711">
        <v>43617</v>
      </c>
      <c r="P1166" t="s">
        <v>4848</v>
      </c>
      <c r="Q1166" t="s">
        <v>1280</v>
      </c>
      <c r="R1166" t="s">
        <v>1280</v>
      </c>
      <c r="S1166" t="s">
        <v>1510</v>
      </c>
      <c r="T1166">
        <v>40</v>
      </c>
      <c r="U1166">
        <f>IF(Table__192.168.1.150_M_CONSOLIDATED_Delinquency_Compulsory_EOM[[#This Row],[Days in Arrears]] &lt; 8, Table__192.168.1.150_M_CONSOLIDATED_Delinquency_Compulsory_EOM[[#This Row],[Outstanding Balance]], 0 )</f>
        <v>22238301.640000001</v>
      </c>
      <c r="V11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6" s="105" t="str">
        <f>VLOOKUP(Table__192.168.1.150_M_CONSOLIDATED_Delinquency_Compulsory_EOM[[#This Row],[Client No]],'Global Portfolio'!$B$2:$N$2500,10,FALSE)</f>
        <v>Other Services</v>
      </c>
      <c r="AA1166" s="105" t="str">
        <f>VLOOKUP(Table__192.168.1.150_M_CONSOLIDATED_Delinquency_Compulsory_EOM[[#This Row],[Client No]],'Global Portfolio'!$B$2:$N$2500,11,FALSE)</f>
        <v>Others</v>
      </c>
      <c r="AB1166" s="105" t="str">
        <f>VLOOKUP(Table__192.168.1.150_M_CONSOLIDATED_Delinquency_Compulsory_EOM[[#This Row],[Client No]],'Global Portfolio'!$B$2:$N$2500,12,FALSE)</f>
        <v>Others</v>
      </c>
    </row>
    <row r="1167" spans="1:28" x14ac:dyDescent="0.25">
      <c r="A1167">
        <v>201079</v>
      </c>
      <c r="B1167" t="s">
        <v>2385</v>
      </c>
      <c r="C1167" t="s">
        <v>2399</v>
      </c>
      <c r="D1167" t="s">
        <v>1866</v>
      </c>
      <c r="E1167">
        <v>-23</v>
      </c>
      <c r="F1167">
        <v>6000000</v>
      </c>
      <c r="G1167">
        <v>3810143.15</v>
      </c>
      <c r="H1167">
        <v>627009.4</v>
      </c>
      <c r="I1167" t="s">
        <v>1925</v>
      </c>
      <c r="J1167">
        <v>0</v>
      </c>
      <c r="K1167">
        <v>600000</v>
      </c>
      <c r="L1167">
        <v>182891.54</v>
      </c>
      <c r="M1167">
        <v>4389065.82</v>
      </c>
      <c r="N1167" s="711">
        <v>42879.701156284726</v>
      </c>
      <c r="O1167" s="711">
        <v>43244</v>
      </c>
      <c r="P1167" t="s">
        <v>2400</v>
      </c>
      <c r="Q1167" t="s">
        <v>1280</v>
      </c>
      <c r="R1167" t="s">
        <v>1280</v>
      </c>
      <c r="S1167" t="s">
        <v>1510</v>
      </c>
      <c r="T1167">
        <v>44</v>
      </c>
      <c r="U1167">
        <f>IF(Table__192.168.1.150_M_CONSOLIDATED_Delinquency_Compulsory_EOM[[#This Row],[Days in Arrears]] &lt; 8, Table__192.168.1.150_M_CONSOLIDATED_Delinquency_Compulsory_EOM[[#This Row],[Outstanding Balance]], 0 )</f>
        <v>3810143.15</v>
      </c>
      <c r="V11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7" s="105" t="str">
        <f>VLOOKUP(Table__192.168.1.150_M_CONSOLIDATED_Delinquency_Compulsory_EOM[[#This Row],[Client No]],'Global Portfolio'!$B$2:$N$2500,10,FALSE)</f>
        <v>Retail</v>
      </c>
      <c r="AA1167" s="105" t="str">
        <f>VLOOKUP(Table__192.168.1.150_M_CONSOLIDATED_Delinquency_Compulsory_EOM[[#This Row],[Client No]],'Global Portfolio'!$B$2:$N$2500,11,FALSE)</f>
        <v>General Merchandise Stores</v>
      </c>
      <c r="AB1167" s="105" t="str">
        <f>VLOOKUP(Table__192.168.1.150_M_CONSOLIDATED_Delinquency_Compulsory_EOM[[#This Row],[Client No]],'Global Portfolio'!$B$2:$N$2500,12,FALSE)</f>
        <v>Others</v>
      </c>
    </row>
    <row r="1168" spans="1:28" x14ac:dyDescent="0.25">
      <c r="A1168">
        <v>201080</v>
      </c>
      <c r="B1168" t="s">
        <v>2592</v>
      </c>
      <c r="C1168" t="s">
        <v>2605</v>
      </c>
      <c r="D1168" t="s">
        <v>1866</v>
      </c>
      <c r="E1168">
        <v>-23</v>
      </c>
      <c r="F1168">
        <v>7000000</v>
      </c>
      <c r="G1168">
        <v>4434685.3499999996</v>
      </c>
      <c r="H1168">
        <v>729786.08</v>
      </c>
      <c r="I1168" t="s">
        <v>963</v>
      </c>
      <c r="J1168">
        <v>0</v>
      </c>
      <c r="K1168">
        <v>700000</v>
      </c>
      <c r="L1168">
        <v>32521.03</v>
      </c>
      <c r="M1168">
        <v>5108502.53</v>
      </c>
      <c r="N1168" s="711">
        <v>42881.499312233798</v>
      </c>
      <c r="O1168" s="711">
        <v>43244</v>
      </c>
      <c r="P1168" t="s">
        <v>2606</v>
      </c>
      <c r="Q1168" t="s">
        <v>1280</v>
      </c>
      <c r="R1168" t="s">
        <v>1280</v>
      </c>
      <c r="S1168" t="s">
        <v>1510</v>
      </c>
      <c r="T1168">
        <v>44</v>
      </c>
      <c r="U1168">
        <f>IF(Table__192.168.1.150_M_CONSOLIDATED_Delinquency_Compulsory_EOM[[#This Row],[Days in Arrears]] &lt; 8, Table__192.168.1.150_M_CONSOLIDATED_Delinquency_Compulsory_EOM[[#This Row],[Outstanding Balance]], 0 )</f>
        <v>4434685.3499999996</v>
      </c>
      <c r="V11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8" s="105" t="str">
        <f>VLOOKUP(Table__192.168.1.150_M_CONSOLIDATED_Delinquency_Compulsory_EOM[[#This Row],[Client No]],'Global Portfolio'!$B$2:$N$2500,10,FALSE)</f>
        <v>Retail</v>
      </c>
      <c r="AA1168" s="105" t="str">
        <f>VLOOKUP(Table__192.168.1.150_M_CONSOLIDATED_Delinquency_Compulsory_EOM[[#This Row],[Client No]],'Global Portfolio'!$B$2:$N$2500,11,FALSE)</f>
        <v>Others</v>
      </c>
      <c r="AB1168" s="105" t="str">
        <f>VLOOKUP(Table__192.168.1.150_M_CONSOLIDATED_Delinquency_Compulsory_EOM[[#This Row],[Client No]],'Global Portfolio'!$B$2:$N$2500,12,FALSE)</f>
        <v>Others</v>
      </c>
    </row>
    <row r="1169" spans="1:28" x14ac:dyDescent="0.25">
      <c r="A1169">
        <v>201083</v>
      </c>
      <c r="B1169" t="s">
        <v>4849</v>
      </c>
      <c r="C1169" t="s">
        <v>4851</v>
      </c>
      <c r="D1169" t="s">
        <v>1282</v>
      </c>
      <c r="E1169">
        <v>0</v>
      </c>
      <c r="F1169">
        <v>5000000</v>
      </c>
      <c r="G1169">
        <v>3637494.35</v>
      </c>
      <c r="H1169">
        <v>551479.25</v>
      </c>
      <c r="I1169" t="s">
        <v>4685</v>
      </c>
      <c r="J1169">
        <v>431505.72</v>
      </c>
      <c r="K1169">
        <v>0</v>
      </c>
      <c r="L1169">
        <v>158231</v>
      </c>
      <c r="M1169">
        <v>4411834.08</v>
      </c>
      <c r="N1169" s="711">
        <v>42882.457788043983</v>
      </c>
      <c r="O1169" s="711">
        <v>43252</v>
      </c>
      <c r="P1169" t="s">
        <v>4852</v>
      </c>
      <c r="Q1169" t="s">
        <v>1280</v>
      </c>
      <c r="R1169" t="s">
        <v>4853</v>
      </c>
      <c r="S1169" t="s">
        <v>1510</v>
      </c>
      <c r="T1169">
        <v>54</v>
      </c>
      <c r="U1169">
        <f>IF(Table__192.168.1.150_M_CONSOLIDATED_Delinquency_Compulsory_EOM[[#This Row],[Days in Arrears]] &lt; 8, Table__192.168.1.150_M_CONSOLIDATED_Delinquency_Compulsory_EOM[[#This Row],[Outstanding Balance]], 0 )</f>
        <v>3637494.35</v>
      </c>
      <c r="V11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69" s="105" t="str">
        <f>VLOOKUP(Table__192.168.1.150_M_CONSOLIDATED_Delinquency_Compulsory_EOM[[#This Row],[Client No]],'Global Portfolio'!$B$2:$N$2500,10,FALSE)</f>
        <v>Retail</v>
      </c>
      <c r="AA1169" s="105" t="str">
        <f>VLOOKUP(Table__192.168.1.150_M_CONSOLIDATED_Delinquency_Compulsory_EOM[[#This Row],[Client No]],'Global Portfolio'!$B$2:$N$2500,11,FALSE)</f>
        <v>Others</v>
      </c>
      <c r="AB1169" s="105" t="str">
        <f>VLOOKUP(Table__192.168.1.150_M_CONSOLIDATED_Delinquency_Compulsory_EOM[[#This Row],[Client No]],'Global Portfolio'!$B$2:$N$2500,12,FALSE)</f>
        <v>Others</v>
      </c>
    </row>
    <row r="1170" spans="1:28" x14ac:dyDescent="0.25">
      <c r="A1170">
        <v>201084</v>
      </c>
      <c r="B1170" t="s">
        <v>4854</v>
      </c>
      <c r="C1170" t="s">
        <v>4855</v>
      </c>
      <c r="D1170" t="s">
        <v>1283</v>
      </c>
      <c r="E1170">
        <v>0</v>
      </c>
      <c r="F1170">
        <v>55000000</v>
      </c>
      <c r="G1170">
        <v>39095943.060000002</v>
      </c>
      <c r="H1170">
        <v>5648051.8399999999</v>
      </c>
      <c r="I1170" t="s">
        <v>491</v>
      </c>
      <c r="J1170">
        <v>0</v>
      </c>
      <c r="K1170">
        <v>0</v>
      </c>
      <c r="L1170">
        <v>1259758.17</v>
      </c>
      <c r="M1170">
        <v>45184414.719999999</v>
      </c>
      <c r="N1170" s="711">
        <v>42884.590975694446</v>
      </c>
      <c r="O1170" s="711">
        <v>43252</v>
      </c>
      <c r="P1170" t="s">
        <v>4856</v>
      </c>
      <c r="Q1170" t="s">
        <v>1280</v>
      </c>
      <c r="R1170" t="s">
        <v>1280</v>
      </c>
      <c r="S1170" t="s">
        <v>1510</v>
      </c>
      <c r="T1170">
        <v>40</v>
      </c>
      <c r="U1170">
        <f>IF(Table__192.168.1.150_M_CONSOLIDATED_Delinquency_Compulsory_EOM[[#This Row],[Days in Arrears]] &lt; 8, Table__192.168.1.150_M_CONSOLIDATED_Delinquency_Compulsory_EOM[[#This Row],[Outstanding Balance]], 0 )</f>
        <v>39095943.060000002</v>
      </c>
      <c r="V11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0" s="105" t="str">
        <f>VLOOKUP(Table__192.168.1.150_M_CONSOLIDATED_Delinquency_Compulsory_EOM[[#This Row],[Client No]],'Global Portfolio'!$B$2:$N$2500,10,FALSE)</f>
        <v>Wholesale Trade</v>
      </c>
      <c r="AA1170" s="105" t="str">
        <f>VLOOKUP(Table__192.168.1.150_M_CONSOLIDATED_Delinquency_Compulsory_EOM[[#This Row],[Client No]],'Global Portfolio'!$B$2:$N$2500,11,FALSE)</f>
        <v>Durable Goods</v>
      </c>
      <c r="AB1170" s="105" t="str">
        <f>VLOOKUP(Table__192.168.1.150_M_CONSOLIDATED_Delinquency_Compulsory_EOM[[#This Row],[Client No]],'Global Portfolio'!$B$2:$N$2500,12,FALSE)</f>
        <v>Machinery &amp; Equipment</v>
      </c>
    </row>
    <row r="1171" spans="1:28" x14ac:dyDescent="0.25">
      <c r="A1171">
        <v>201085</v>
      </c>
      <c r="B1171" t="s">
        <v>3256</v>
      </c>
      <c r="C1171" t="s">
        <v>3257</v>
      </c>
      <c r="D1171" t="s">
        <v>1866</v>
      </c>
      <c r="E1171">
        <v>0</v>
      </c>
      <c r="F1171">
        <v>10000000</v>
      </c>
      <c r="G1171">
        <v>7142096.3399999999</v>
      </c>
      <c r="H1171">
        <v>1046247.73</v>
      </c>
      <c r="I1171" t="s">
        <v>1925</v>
      </c>
      <c r="J1171">
        <v>0</v>
      </c>
      <c r="K1171">
        <v>0</v>
      </c>
      <c r="L1171">
        <v>253147.64</v>
      </c>
      <c r="M1171">
        <v>8369981.9100000001</v>
      </c>
      <c r="N1171" s="711">
        <v>42885.419893831022</v>
      </c>
      <c r="O1171" s="711">
        <v>43252</v>
      </c>
      <c r="P1171" t="s">
        <v>3258</v>
      </c>
      <c r="Q1171" t="s">
        <v>1280</v>
      </c>
      <c r="R1171" t="s">
        <v>1280</v>
      </c>
      <c r="S1171" t="s">
        <v>1510</v>
      </c>
      <c r="T1171">
        <v>44</v>
      </c>
      <c r="U1171">
        <f>IF(Table__192.168.1.150_M_CONSOLIDATED_Delinquency_Compulsory_EOM[[#This Row],[Days in Arrears]] &lt; 8, Table__192.168.1.150_M_CONSOLIDATED_Delinquency_Compulsory_EOM[[#This Row],[Outstanding Balance]], 0 )</f>
        <v>7142096.3399999999</v>
      </c>
      <c r="V11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1" s="105" t="str">
        <f>VLOOKUP(Table__192.168.1.150_M_CONSOLIDATED_Delinquency_Compulsory_EOM[[#This Row],[Client No]],'Global Portfolio'!$B$2:$N$2500,10,FALSE)</f>
        <v>Retail</v>
      </c>
      <c r="AA1171" s="105" t="str">
        <f>VLOOKUP(Table__192.168.1.150_M_CONSOLIDATED_Delinquency_Compulsory_EOM[[#This Row],[Client No]],'Global Portfolio'!$B$2:$N$2500,11,FALSE)</f>
        <v>New-Clothing and  Accessories</v>
      </c>
      <c r="AB1171" s="105" t="str">
        <f>VLOOKUP(Table__192.168.1.150_M_CONSOLIDATED_Delinquency_Compulsory_EOM[[#This Row],[Client No]],'Global Portfolio'!$B$2:$N$2500,12,FALSE)</f>
        <v>Clothing Stores</v>
      </c>
    </row>
    <row r="1172" spans="1:28" x14ac:dyDescent="0.25">
      <c r="A1172">
        <v>201087</v>
      </c>
      <c r="B1172" t="s">
        <v>4857</v>
      </c>
      <c r="C1172" t="s">
        <v>4858</v>
      </c>
      <c r="D1172" t="s">
        <v>1282</v>
      </c>
      <c r="E1172">
        <v>90</v>
      </c>
      <c r="F1172">
        <v>3000000</v>
      </c>
      <c r="G1172">
        <v>2557029.9500000002</v>
      </c>
      <c r="H1172">
        <v>582470.05000000005</v>
      </c>
      <c r="I1172" t="s">
        <v>2538</v>
      </c>
      <c r="J1172">
        <v>0</v>
      </c>
      <c r="K1172">
        <v>300000</v>
      </c>
      <c r="L1172">
        <v>203042.12</v>
      </c>
      <c r="M1172">
        <v>2909427.25</v>
      </c>
      <c r="N1172" s="711">
        <v>42885.641928391204</v>
      </c>
      <c r="O1172" s="711">
        <v>43070</v>
      </c>
      <c r="P1172" t="s">
        <v>4859</v>
      </c>
      <c r="Q1172" t="s">
        <v>1280</v>
      </c>
      <c r="R1172" t="s">
        <v>4860</v>
      </c>
      <c r="S1172" t="s">
        <v>1510</v>
      </c>
      <c r="T1172">
        <v>54</v>
      </c>
      <c r="U1172">
        <f>IF(Table__192.168.1.150_M_CONSOLIDATED_Delinquency_Compulsory_EOM[[#This Row],[Days in Arrears]] &lt; 8, Table__192.168.1.150_M_CONSOLIDATED_Delinquency_Compulsory_EOM[[#This Row],[Outstanding Balance]], 0 )</f>
        <v>0</v>
      </c>
      <c r="V11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2557029.9500000002</v>
      </c>
      <c r="Z1172" s="105" t="str">
        <f>VLOOKUP(Table__192.168.1.150_M_CONSOLIDATED_Delinquency_Compulsory_EOM[[#This Row],[Client No]],'Global Portfolio'!$B$2:$N$2500,10,FALSE)</f>
        <v>Retail</v>
      </c>
      <c r="AA1172" s="105" t="str">
        <f>VLOOKUP(Table__192.168.1.150_M_CONSOLIDATED_Delinquency_Compulsory_EOM[[#This Row],[Client No]],'Global Portfolio'!$B$2:$N$2500,11,FALSE)</f>
        <v>Others</v>
      </c>
      <c r="AB1172" s="105" t="str">
        <f>VLOOKUP(Table__192.168.1.150_M_CONSOLIDATED_Delinquency_Compulsory_EOM[[#This Row],[Client No]],'Global Portfolio'!$B$2:$N$2500,12,FALSE)</f>
        <v>Others</v>
      </c>
    </row>
    <row r="1173" spans="1:28" x14ac:dyDescent="0.25">
      <c r="A1173">
        <v>201088</v>
      </c>
      <c r="B1173" t="s">
        <v>2383</v>
      </c>
      <c r="C1173" t="s">
        <v>2397</v>
      </c>
      <c r="D1173" t="s">
        <v>1282</v>
      </c>
      <c r="E1173">
        <v>0</v>
      </c>
      <c r="F1173">
        <v>8000000</v>
      </c>
      <c r="G1173">
        <v>4318653.4000000004</v>
      </c>
      <c r="H1173">
        <v>1189746.02</v>
      </c>
      <c r="I1173" t="s">
        <v>2855</v>
      </c>
      <c r="J1173">
        <v>56409.58</v>
      </c>
      <c r="K1173">
        <v>800000</v>
      </c>
      <c r="L1173">
        <v>166987.93</v>
      </c>
      <c r="M1173">
        <v>4758984.09</v>
      </c>
      <c r="N1173" s="711">
        <v>42885.676829479169</v>
      </c>
      <c r="O1173" s="711">
        <v>43132</v>
      </c>
      <c r="P1173" t="s">
        <v>2398</v>
      </c>
      <c r="Q1173" t="s">
        <v>1280</v>
      </c>
      <c r="R1173" t="s">
        <v>1280</v>
      </c>
      <c r="S1173" t="s">
        <v>1510</v>
      </c>
      <c r="T1173">
        <v>48</v>
      </c>
      <c r="U1173">
        <f>IF(Table__192.168.1.150_M_CONSOLIDATED_Delinquency_Compulsory_EOM[[#This Row],[Days in Arrears]] &lt; 8, Table__192.168.1.150_M_CONSOLIDATED_Delinquency_Compulsory_EOM[[#This Row],[Outstanding Balance]], 0 )</f>
        <v>4318653.4000000004</v>
      </c>
      <c r="V11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3" s="105" t="str">
        <f>VLOOKUP(Table__192.168.1.150_M_CONSOLIDATED_Delinquency_Compulsory_EOM[[#This Row],[Client No]],'Global Portfolio'!$B$2:$N$2500,10,FALSE)</f>
        <v>Health Care</v>
      </c>
      <c r="AA1173" s="105" t="str">
        <f>VLOOKUP(Table__192.168.1.150_M_CONSOLIDATED_Delinquency_Compulsory_EOM[[#This Row],[Client No]],'Global Portfolio'!$B$2:$N$2500,11,FALSE)</f>
        <v>Health Care</v>
      </c>
      <c r="AB1173" s="105" t="str">
        <f>VLOOKUP(Table__192.168.1.150_M_CONSOLIDATED_Delinquency_Compulsory_EOM[[#This Row],[Client No]],'Global Portfolio'!$B$2:$N$2500,12,FALSE)</f>
        <v xml:space="preserve"> Medical &amp; Diagnostic Laboratories</v>
      </c>
    </row>
    <row r="1174" spans="1:28" x14ac:dyDescent="0.25">
      <c r="A1174">
        <v>201089</v>
      </c>
      <c r="B1174" t="s">
        <v>2980</v>
      </c>
      <c r="C1174" t="s">
        <v>2981</v>
      </c>
      <c r="D1174" t="s">
        <v>1284</v>
      </c>
      <c r="E1174">
        <v>0</v>
      </c>
      <c r="F1174">
        <v>13000000</v>
      </c>
      <c r="G1174">
        <v>9178027.9700000007</v>
      </c>
      <c r="H1174">
        <v>1307275.08</v>
      </c>
      <c r="I1174" t="s">
        <v>1667</v>
      </c>
      <c r="J1174">
        <v>1447174.81</v>
      </c>
      <c r="K1174">
        <v>650000</v>
      </c>
      <c r="L1174">
        <v>266162.81</v>
      </c>
      <c r="M1174">
        <v>10459922.560000001</v>
      </c>
      <c r="N1174" s="711">
        <v>42886.48187596065</v>
      </c>
      <c r="O1174" s="711">
        <v>43252</v>
      </c>
      <c r="P1174" t="s">
        <v>2982</v>
      </c>
      <c r="Q1174" t="s">
        <v>1280</v>
      </c>
      <c r="R1174" t="s">
        <v>1280</v>
      </c>
      <c r="S1174" t="s">
        <v>1510</v>
      </c>
      <c r="T1174">
        <v>36</v>
      </c>
      <c r="U1174">
        <f>IF(Table__192.168.1.150_M_CONSOLIDATED_Delinquency_Compulsory_EOM[[#This Row],[Days in Arrears]] &lt; 8, Table__192.168.1.150_M_CONSOLIDATED_Delinquency_Compulsory_EOM[[#This Row],[Outstanding Balance]], 0 )</f>
        <v>9178027.9700000007</v>
      </c>
      <c r="V11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4" s="105" t="str">
        <f>VLOOKUP(Table__192.168.1.150_M_CONSOLIDATED_Delinquency_Compulsory_EOM[[#This Row],[Client No]],'Global Portfolio'!$B$2:$N$2500,10,FALSE)</f>
        <v>Real Estate and Rental</v>
      </c>
      <c r="AA1174" s="105" t="str">
        <f>VLOOKUP(Table__192.168.1.150_M_CONSOLIDATED_Delinquency_Compulsory_EOM[[#This Row],[Client No]],'Global Portfolio'!$B$2:$N$2500,11,FALSE)</f>
        <v>Rental</v>
      </c>
      <c r="AB1174" s="105" t="str">
        <f>VLOOKUP(Table__192.168.1.150_M_CONSOLIDATED_Delinquency_Compulsory_EOM[[#This Row],[Client No]],'Global Portfolio'!$B$2:$N$2500,12,FALSE)</f>
        <v>General Rental Centers</v>
      </c>
    </row>
    <row r="1175" spans="1:28" x14ac:dyDescent="0.25">
      <c r="A1175">
        <v>201090</v>
      </c>
      <c r="B1175" t="s">
        <v>4861</v>
      </c>
      <c r="C1175" t="s">
        <v>4865</v>
      </c>
      <c r="D1175" t="s">
        <v>1282</v>
      </c>
      <c r="E1175">
        <v>0</v>
      </c>
      <c r="F1175">
        <v>7000000</v>
      </c>
      <c r="G1175">
        <v>3812789.77</v>
      </c>
      <c r="H1175">
        <v>1062790.92</v>
      </c>
      <c r="I1175" t="s">
        <v>2861</v>
      </c>
      <c r="J1175">
        <v>401873.56</v>
      </c>
      <c r="K1175">
        <v>700000</v>
      </c>
      <c r="L1175">
        <v>165856.35</v>
      </c>
      <c r="M1175">
        <v>4251163.72</v>
      </c>
      <c r="N1175" s="711">
        <v>42886.548206481479</v>
      </c>
      <c r="O1175" s="711">
        <v>43132</v>
      </c>
      <c r="P1175" t="s">
        <v>4866</v>
      </c>
      <c r="Q1175" t="s">
        <v>1280</v>
      </c>
      <c r="R1175" t="s">
        <v>4867</v>
      </c>
      <c r="S1175" t="s">
        <v>1510</v>
      </c>
      <c r="T1175">
        <v>54</v>
      </c>
      <c r="U1175">
        <f>IF(Table__192.168.1.150_M_CONSOLIDATED_Delinquency_Compulsory_EOM[[#This Row],[Days in Arrears]] &lt; 8, Table__192.168.1.150_M_CONSOLIDATED_Delinquency_Compulsory_EOM[[#This Row],[Outstanding Balance]], 0 )</f>
        <v>3812789.77</v>
      </c>
      <c r="V11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5" s="105" t="str">
        <f>VLOOKUP(Table__192.168.1.150_M_CONSOLIDATED_Delinquency_Compulsory_EOM[[#This Row],[Client No]],'Global Portfolio'!$B$2:$N$2500,10,FALSE)</f>
        <v>Health Care</v>
      </c>
      <c r="AA1175" s="105" t="str">
        <f>VLOOKUP(Table__192.168.1.150_M_CONSOLIDATED_Delinquency_Compulsory_EOM[[#This Row],[Client No]],'Global Portfolio'!$B$2:$N$2500,11,FALSE)</f>
        <v>Health Care</v>
      </c>
      <c r="AB1175" s="105" t="str">
        <f>VLOOKUP(Table__192.168.1.150_M_CONSOLIDATED_Delinquency_Compulsory_EOM[[#This Row],[Client No]],'Global Portfolio'!$B$2:$N$2500,12,FALSE)</f>
        <v xml:space="preserve"> Medical &amp; Diagnostic Laboratories</v>
      </c>
    </row>
    <row r="1176" spans="1:28" x14ac:dyDescent="0.25">
      <c r="A1176">
        <v>201091</v>
      </c>
      <c r="B1176" t="s">
        <v>1731</v>
      </c>
      <c r="C1176" t="s">
        <v>1732</v>
      </c>
      <c r="D1176" t="s">
        <v>1284</v>
      </c>
      <c r="E1176">
        <v>0</v>
      </c>
      <c r="F1176">
        <v>40000000</v>
      </c>
      <c r="G1176">
        <v>35173173.450000003</v>
      </c>
      <c r="H1176">
        <v>2364189.7400000002</v>
      </c>
      <c r="I1176" t="s">
        <v>1925</v>
      </c>
      <c r="J1176">
        <v>7515852.29</v>
      </c>
      <c r="K1176">
        <v>0</v>
      </c>
      <c r="L1176">
        <v>1020022.03</v>
      </c>
      <c r="M1176">
        <v>47283794.850000001</v>
      </c>
      <c r="N1176" s="711">
        <v>42886.557222766205</v>
      </c>
      <c r="O1176" s="711">
        <v>43617</v>
      </c>
      <c r="P1176" t="s">
        <v>1734</v>
      </c>
      <c r="Q1176" t="s">
        <v>1280</v>
      </c>
      <c r="R1176" t="s">
        <v>1280</v>
      </c>
      <c r="S1176" t="s">
        <v>1510</v>
      </c>
      <c r="T1176">
        <v>36</v>
      </c>
      <c r="U1176">
        <f>IF(Table__192.168.1.150_M_CONSOLIDATED_Delinquency_Compulsory_EOM[[#This Row],[Days in Arrears]] &lt; 8, Table__192.168.1.150_M_CONSOLIDATED_Delinquency_Compulsory_EOM[[#This Row],[Outstanding Balance]], 0 )</f>
        <v>35173173.450000003</v>
      </c>
      <c r="V11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6" s="105" t="str">
        <f>VLOOKUP(Table__192.168.1.150_M_CONSOLIDATED_Delinquency_Compulsory_EOM[[#This Row],[Client No]],'Global Portfolio'!$B$2:$N$2500,10,FALSE)</f>
        <v>Real Estate and Rental</v>
      </c>
      <c r="AA1176" s="105" t="str">
        <f>VLOOKUP(Table__192.168.1.150_M_CONSOLIDATED_Delinquency_Compulsory_EOM[[#This Row],[Client No]],'Global Portfolio'!$B$2:$N$2500,11,FALSE)</f>
        <v>Rental</v>
      </c>
      <c r="AB1176" s="105" t="str">
        <f>VLOOKUP(Table__192.168.1.150_M_CONSOLIDATED_Delinquency_Compulsory_EOM[[#This Row],[Client No]],'Global Portfolio'!$B$2:$N$2500,12,FALSE)</f>
        <v>General Rental Centers</v>
      </c>
    </row>
    <row r="1177" spans="1:28" x14ac:dyDescent="0.25">
      <c r="A1177">
        <v>201092</v>
      </c>
      <c r="B1177" t="s">
        <v>2732</v>
      </c>
      <c r="C1177" t="s">
        <v>2734</v>
      </c>
      <c r="D1177" t="s">
        <v>1282</v>
      </c>
      <c r="E1177">
        <v>-1</v>
      </c>
      <c r="F1177">
        <v>4000000</v>
      </c>
      <c r="G1177">
        <v>2869554.38</v>
      </c>
      <c r="H1177">
        <v>426208.69</v>
      </c>
      <c r="I1177" t="s">
        <v>1448</v>
      </c>
      <c r="J1177">
        <v>201136.23</v>
      </c>
      <c r="K1177">
        <v>400000</v>
      </c>
      <c r="L1177">
        <v>107130.03</v>
      </c>
      <c r="M1177">
        <v>3409669.53</v>
      </c>
      <c r="N1177" s="711">
        <v>42888.62445142361</v>
      </c>
      <c r="O1177" s="711">
        <v>43253</v>
      </c>
      <c r="P1177" t="s">
        <v>2735</v>
      </c>
      <c r="Q1177" t="s">
        <v>1280</v>
      </c>
      <c r="R1177" t="s">
        <v>1280</v>
      </c>
      <c r="S1177" t="s">
        <v>1510</v>
      </c>
      <c r="T1177">
        <v>48</v>
      </c>
      <c r="U1177">
        <f>IF(Table__192.168.1.150_M_CONSOLIDATED_Delinquency_Compulsory_EOM[[#This Row],[Days in Arrears]] &lt; 8, Table__192.168.1.150_M_CONSOLIDATED_Delinquency_Compulsory_EOM[[#This Row],[Outstanding Balance]], 0 )</f>
        <v>2869554.38</v>
      </c>
      <c r="V11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7" s="105" t="str">
        <f>VLOOKUP(Table__192.168.1.150_M_CONSOLIDATED_Delinquency_Compulsory_EOM[[#This Row],[Client No]],'Global Portfolio'!$B$2:$N$2500,10,FALSE)</f>
        <v>Wholesale Trade</v>
      </c>
      <c r="AA1177" s="105" t="str">
        <f>VLOOKUP(Table__192.168.1.150_M_CONSOLIDATED_Delinquency_Compulsory_EOM[[#This Row],[Client No]],'Global Portfolio'!$B$2:$N$2500,11,FALSE)</f>
        <v>Durable Goods</v>
      </c>
      <c r="AB1177" s="105" t="str">
        <f>VLOOKUP(Table__192.168.1.150_M_CONSOLIDATED_Delinquency_Compulsory_EOM[[#This Row],[Client No]],'Global Portfolio'!$B$2:$N$2500,12,FALSE)</f>
        <v>Others</v>
      </c>
    </row>
    <row r="1178" spans="1:28" x14ac:dyDescent="0.25">
      <c r="A1178">
        <v>201093</v>
      </c>
      <c r="B1178" t="s">
        <v>4869</v>
      </c>
      <c r="C1178" t="s">
        <v>4870</v>
      </c>
      <c r="D1178" t="s">
        <v>1283</v>
      </c>
      <c r="E1178">
        <v>0</v>
      </c>
      <c r="F1178">
        <v>40000000</v>
      </c>
      <c r="G1178">
        <v>28372397.239999998</v>
      </c>
      <c r="H1178">
        <v>4098859.31</v>
      </c>
      <c r="I1178" t="s">
        <v>2538</v>
      </c>
      <c r="J1178">
        <v>5551068.46</v>
      </c>
      <c r="K1178">
        <v>2000000</v>
      </c>
      <c r="L1178">
        <v>914221.69</v>
      </c>
      <c r="M1178">
        <v>32790874.539999999</v>
      </c>
      <c r="N1178" s="711">
        <v>42887.598011423608</v>
      </c>
      <c r="O1178" s="711">
        <v>43252</v>
      </c>
      <c r="P1178" t="s">
        <v>4871</v>
      </c>
      <c r="Q1178" t="s">
        <v>1280</v>
      </c>
      <c r="R1178" t="s">
        <v>4872</v>
      </c>
      <c r="S1178" t="s">
        <v>1510</v>
      </c>
      <c r="T1178">
        <v>40</v>
      </c>
      <c r="U1178">
        <f>IF(Table__192.168.1.150_M_CONSOLIDATED_Delinquency_Compulsory_EOM[[#This Row],[Days in Arrears]] &lt; 8, Table__192.168.1.150_M_CONSOLIDATED_Delinquency_Compulsory_EOM[[#This Row],[Outstanding Balance]], 0 )</f>
        <v>28372397.239999998</v>
      </c>
      <c r="V11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8" s="105" t="str">
        <f>VLOOKUP(Table__192.168.1.150_M_CONSOLIDATED_Delinquency_Compulsory_EOM[[#This Row],[Client No]],'Global Portfolio'!$B$2:$N$2500,10,FALSE)</f>
        <v>Health Care</v>
      </c>
      <c r="AA1178" s="105" t="str">
        <f>VLOOKUP(Table__192.168.1.150_M_CONSOLIDATED_Delinquency_Compulsory_EOM[[#This Row],[Client No]],'Global Portfolio'!$B$2:$N$2500,11,FALSE)</f>
        <v>Health Care</v>
      </c>
      <c r="AB1178" s="105" t="str">
        <f>VLOOKUP(Table__192.168.1.150_M_CONSOLIDATED_Delinquency_Compulsory_EOM[[#This Row],[Client No]],'Global Portfolio'!$B$2:$N$2500,12,FALSE)</f>
        <v xml:space="preserve"> Medical &amp; Diagnostic Laboratories</v>
      </c>
    </row>
    <row r="1179" spans="1:28" x14ac:dyDescent="0.25">
      <c r="A1179">
        <v>201094</v>
      </c>
      <c r="B1179" t="s">
        <v>3488</v>
      </c>
      <c r="C1179" t="s">
        <v>3496</v>
      </c>
      <c r="D1179" t="s">
        <v>1282</v>
      </c>
      <c r="E1179">
        <v>0</v>
      </c>
      <c r="F1179">
        <v>15000000</v>
      </c>
      <c r="G1179">
        <v>10774624.859999999</v>
      </c>
      <c r="H1179">
        <v>1600331.67</v>
      </c>
      <c r="I1179" t="s">
        <v>2861</v>
      </c>
      <c r="J1179">
        <v>0</v>
      </c>
      <c r="K1179">
        <v>0</v>
      </c>
      <c r="L1179">
        <v>416618.83</v>
      </c>
      <c r="M1179">
        <v>12802653.369999999</v>
      </c>
      <c r="N1179" s="711">
        <v>42886.772906446757</v>
      </c>
      <c r="O1179" s="711">
        <v>43252</v>
      </c>
      <c r="P1179" t="s">
        <v>3497</v>
      </c>
      <c r="Q1179" t="s">
        <v>1280</v>
      </c>
      <c r="R1179" t="s">
        <v>3498</v>
      </c>
      <c r="S1179" t="s">
        <v>1510</v>
      </c>
      <c r="T1179">
        <v>48</v>
      </c>
      <c r="U1179">
        <f>IF(Table__192.168.1.150_M_CONSOLIDATED_Delinquency_Compulsory_EOM[[#This Row],[Days in Arrears]] &lt; 8, Table__192.168.1.150_M_CONSOLIDATED_Delinquency_Compulsory_EOM[[#This Row],[Outstanding Balance]], 0 )</f>
        <v>10774624.859999999</v>
      </c>
      <c r="V11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79" s="105" t="str">
        <f>VLOOKUP(Table__192.168.1.150_M_CONSOLIDATED_Delinquency_Compulsory_EOM[[#This Row],[Client No]],'Global Portfolio'!$B$2:$N$2500,10,FALSE)</f>
        <v>Retail</v>
      </c>
      <c r="AA1179" s="105" t="str">
        <f>VLOOKUP(Table__192.168.1.150_M_CONSOLIDATED_Delinquency_Compulsory_EOM[[#This Row],[Client No]],'Global Portfolio'!$B$2:$N$2500,11,FALSE)</f>
        <v>Others</v>
      </c>
      <c r="AB1179" s="105" t="str">
        <f>VLOOKUP(Table__192.168.1.150_M_CONSOLIDATED_Delinquency_Compulsory_EOM[[#This Row],[Client No]],'Global Portfolio'!$B$2:$N$2500,12,FALSE)</f>
        <v>Others</v>
      </c>
    </row>
    <row r="1180" spans="1:28" x14ac:dyDescent="0.25">
      <c r="A1180">
        <v>201095</v>
      </c>
      <c r="B1180" t="s">
        <v>4868</v>
      </c>
      <c r="C1180" t="s">
        <v>4873</v>
      </c>
      <c r="D1180" t="s">
        <v>1282</v>
      </c>
      <c r="E1180">
        <v>0</v>
      </c>
      <c r="F1180">
        <v>12000000</v>
      </c>
      <c r="G1180">
        <v>8608663.1400000006</v>
      </c>
      <c r="H1180">
        <v>1278626.07</v>
      </c>
      <c r="I1180" t="s">
        <v>2175</v>
      </c>
      <c r="J1180">
        <v>0</v>
      </c>
      <c r="K1180">
        <v>1200000</v>
      </c>
      <c r="L1180">
        <v>332868.31</v>
      </c>
      <c r="M1180">
        <v>10229008.58</v>
      </c>
      <c r="N1180" s="711">
        <v>42887.411708645835</v>
      </c>
      <c r="O1180" s="711">
        <v>43252</v>
      </c>
      <c r="P1180" t="s">
        <v>4874</v>
      </c>
      <c r="Q1180" t="s">
        <v>4875</v>
      </c>
      <c r="R1180" t="s">
        <v>1280</v>
      </c>
      <c r="S1180" t="s">
        <v>1510</v>
      </c>
      <c r="T1180">
        <v>48</v>
      </c>
      <c r="U1180">
        <f>IF(Table__192.168.1.150_M_CONSOLIDATED_Delinquency_Compulsory_EOM[[#This Row],[Days in Arrears]] &lt; 8, Table__192.168.1.150_M_CONSOLIDATED_Delinquency_Compulsory_EOM[[#This Row],[Outstanding Balance]], 0 )</f>
        <v>8608663.1400000006</v>
      </c>
      <c r="V11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0" s="105" t="str">
        <f>VLOOKUP(Table__192.168.1.150_M_CONSOLIDATED_Delinquency_Compulsory_EOM[[#This Row],[Client No]],'Global Portfolio'!$B$2:$N$2500,10,FALSE)</f>
        <v>Wholesale Trade</v>
      </c>
      <c r="AA1180" s="105" t="str">
        <f>VLOOKUP(Table__192.168.1.150_M_CONSOLIDATED_Delinquency_Compulsory_EOM[[#This Row],[Client No]],'Global Portfolio'!$B$2:$N$2500,11,FALSE)</f>
        <v>Nondurable Goods</v>
      </c>
      <c r="AB1180" s="105" t="str">
        <f>VLOOKUP(Table__192.168.1.150_M_CONSOLIDATED_Delinquency_Compulsory_EOM[[#This Row],[Client No]],'Global Portfolio'!$B$2:$N$2500,12,FALSE)</f>
        <v>Others</v>
      </c>
    </row>
    <row r="1181" spans="1:28" x14ac:dyDescent="0.25">
      <c r="A1181">
        <v>201096</v>
      </c>
      <c r="B1181" t="s">
        <v>4850</v>
      </c>
      <c r="C1181" t="s">
        <v>340</v>
      </c>
      <c r="D1181" t="s">
        <v>1285</v>
      </c>
      <c r="E1181">
        <v>-20</v>
      </c>
      <c r="F1181">
        <v>4233000</v>
      </c>
      <c r="G1181">
        <v>3587082.84</v>
      </c>
      <c r="H1181">
        <v>244677.39</v>
      </c>
      <c r="I1181" t="s">
        <v>284</v>
      </c>
      <c r="J1181">
        <v>0</v>
      </c>
      <c r="K1181">
        <v>0</v>
      </c>
      <c r="L1181">
        <v>19728.96</v>
      </c>
      <c r="M1181">
        <v>4215318.72</v>
      </c>
      <c r="N1181" s="711">
        <v>42892.617003935185</v>
      </c>
      <c r="O1181" s="711">
        <v>43545</v>
      </c>
      <c r="P1181" t="s">
        <v>341</v>
      </c>
      <c r="Q1181" t="s">
        <v>1280</v>
      </c>
      <c r="R1181" t="s">
        <v>1280</v>
      </c>
      <c r="S1181" t="s">
        <v>1510</v>
      </c>
      <c r="T1181">
        <v>22</v>
      </c>
      <c r="U1181">
        <f>IF(Table__192.168.1.150_M_CONSOLIDATED_Delinquency_Compulsory_EOM[[#This Row],[Days in Arrears]] &lt; 8, Table__192.168.1.150_M_CONSOLIDATED_Delinquency_Compulsory_EOM[[#This Row],[Outstanding Balance]], 0 )</f>
        <v>3587082.84</v>
      </c>
      <c r="V11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1" s="105" t="str">
        <f>VLOOKUP(Table__192.168.1.150_M_CONSOLIDATED_Delinquency_Compulsory_EOM[[#This Row],[Client No]],'Global Portfolio'!$B$2:$N$2500,10,FALSE)</f>
        <v>Finance and Insurance</v>
      </c>
      <c r="AA1181" s="105" t="str">
        <f>VLOOKUP(Table__192.168.1.150_M_CONSOLIDATED_Delinquency_Compulsory_EOM[[#This Row],[Client No]],'Global Portfolio'!$B$2:$N$2500,11,FALSE)</f>
        <v>Finance</v>
      </c>
      <c r="AB1181" s="105" t="str">
        <f>VLOOKUP(Table__192.168.1.150_M_CONSOLIDATED_Delinquency_Compulsory_EOM[[#This Row],[Client No]],'Global Portfolio'!$B$2:$N$2500,12,FALSE)</f>
        <v>Microfinance Institutions</v>
      </c>
    </row>
    <row r="1182" spans="1:28" x14ac:dyDescent="0.25">
      <c r="A1182">
        <v>201099</v>
      </c>
      <c r="B1182" t="s">
        <v>4882</v>
      </c>
      <c r="C1182" t="s">
        <v>4883</v>
      </c>
      <c r="D1182" t="s">
        <v>1286</v>
      </c>
      <c r="E1182">
        <v>-20</v>
      </c>
      <c r="F1182">
        <v>2000000</v>
      </c>
      <c r="G1182">
        <v>346692.84</v>
      </c>
      <c r="H1182">
        <v>353915.63</v>
      </c>
      <c r="I1182" t="s">
        <v>284</v>
      </c>
      <c r="J1182">
        <v>1189461.79</v>
      </c>
      <c r="K1182">
        <v>0</v>
      </c>
      <c r="L1182">
        <v>2166.83</v>
      </c>
      <c r="M1182">
        <v>353915.61</v>
      </c>
      <c r="N1182" s="711">
        <v>42894.501712812496</v>
      </c>
      <c r="O1182" s="711">
        <v>43060</v>
      </c>
      <c r="P1182" t="s">
        <v>4884</v>
      </c>
      <c r="Q1182" t="s">
        <v>1280</v>
      </c>
      <c r="R1182" t="s">
        <v>1280</v>
      </c>
      <c r="S1182" t="s">
        <v>1510</v>
      </c>
      <c r="T1182">
        <v>25</v>
      </c>
      <c r="U1182">
        <f>IF(Table__192.168.1.150_M_CONSOLIDATED_Delinquency_Compulsory_EOM[[#This Row],[Days in Arrears]] &lt; 8, Table__192.168.1.150_M_CONSOLIDATED_Delinquency_Compulsory_EOM[[#This Row],[Outstanding Balance]], 0 )</f>
        <v>346692.84</v>
      </c>
      <c r="V11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2" s="105" t="e">
        <f>VLOOKUP(Table__192.168.1.150_M_CONSOLIDATED_Delinquency_Compulsory_EOM[[#This Row],[Client No]],'Global Portfolio'!$B$2:$N$2500,10,FALSE)</f>
        <v>#N/A</v>
      </c>
      <c r="AA1182" s="105" t="e">
        <f>VLOOKUP(Table__192.168.1.150_M_CONSOLIDATED_Delinquency_Compulsory_EOM[[#This Row],[Client No]],'Global Portfolio'!$B$2:$N$2500,11,FALSE)</f>
        <v>#N/A</v>
      </c>
      <c r="AB1182" s="105" t="e">
        <f>VLOOKUP(Table__192.168.1.150_M_CONSOLIDATED_Delinquency_Compulsory_EOM[[#This Row],[Client No]],'Global Portfolio'!$B$2:$N$2500,12,FALSE)</f>
        <v>#N/A</v>
      </c>
    </row>
    <row r="1183" spans="1:28" x14ac:dyDescent="0.25">
      <c r="A1183">
        <v>201100</v>
      </c>
      <c r="B1183" t="s">
        <v>3401</v>
      </c>
      <c r="C1183" t="s">
        <v>3417</v>
      </c>
      <c r="D1183" t="s">
        <v>1284</v>
      </c>
      <c r="E1183">
        <v>-7</v>
      </c>
      <c r="F1183">
        <v>25000000</v>
      </c>
      <c r="G1183">
        <v>20533068.66</v>
      </c>
      <c r="H1183">
        <v>1817717.4</v>
      </c>
      <c r="I1183" t="s">
        <v>546</v>
      </c>
      <c r="J1183">
        <v>15062749.25</v>
      </c>
      <c r="K1183">
        <v>1250000</v>
      </c>
      <c r="L1183">
        <v>451727.51</v>
      </c>
      <c r="M1183">
        <v>25448043.530000001</v>
      </c>
      <c r="N1183" s="711">
        <v>42894.757028159722</v>
      </c>
      <c r="O1183" s="711">
        <v>43442</v>
      </c>
      <c r="P1183" t="s">
        <v>3418</v>
      </c>
      <c r="Q1183" t="s">
        <v>1280</v>
      </c>
      <c r="R1183" t="s">
        <v>1280</v>
      </c>
      <c r="S1183" t="s">
        <v>1510</v>
      </c>
      <c r="T1183">
        <v>36</v>
      </c>
      <c r="U1183">
        <f>IF(Table__192.168.1.150_M_CONSOLIDATED_Delinquency_Compulsory_EOM[[#This Row],[Days in Arrears]] &lt; 8, Table__192.168.1.150_M_CONSOLIDATED_Delinquency_Compulsory_EOM[[#This Row],[Outstanding Balance]], 0 )</f>
        <v>20533068.66</v>
      </c>
      <c r="V11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3" s="105" t="str">
        <f>VLOOKUP(Table__192.168.1.150_M_CONSOLIDATED_Delinquency_Compulsory_EOM[[#This Row],[Client No]],'Global Portfolio'!$B$2:$N$2500,10,FALSE)</f>
        <v>Real Estate and Rental</v>
      </c>
      <c r="AA1183" s="105" t="str">
        <f>VLOOKUP(Table__192.168.1.150_M_CONSOLIDATED_Delinquency_Compulsory_EOM[[#This Row],[Client No]],'Global Portfolio'!$B$2:$N$2500,11,FALSE)</f>
        <v>Rental</v>
      </c>
      <c r="AB1183" s="105" t="str">
        <f>VLOOKUP(Table__192.168.1.150_M_CONSOLIDATED_Delinquency_Compulsory_EOM[[#This Row],[Client No]],'Global Portfolio'!$B$2:$N$2500,12,FALSE)</f>
        <v>General Rental Centers</v>
      </c>
    </row>
    <row r="1184" spans="1:28" x14ac:dyDescent="0.25">
      <c r="A1184">
        <v>201101</v>
      </c>
      <c r="B1184" t="s">
        <v>4885</v>
      </c>
      <c r="C1184" t="s">
        <v>4891</v>
      </c>
      <c r="D1184" t="s">
        <v>1282</v>
      </c>
      <c r="E1184">
        <v>-11</v>
      </c>
      <c r="F1184">
        <v>2500000</v>
      </c>
      <c r="G1184">
        <v>1629614.64</v>
      </c>
      <c r="H1184">
        <v>315947.05</v>
      </c>
      <c r="I1184" t="s">
        <v>3074</v>
      </c>
      <c r="J1184">
        <v>0</v>
      </c>
      <c r="K1184">
        <v>250000</v>
      </c>
      <c r="L1184">
        <v>43999.6</v>
      </c>
      <c r="M1184">
        <v>1895682.37</v>
      </c>
      <c r="N1184" s="711">
        <v>42898.485473263892</v>
      </c>
      <c r="O1184" s="711">
        <v>43202</v>
      </c>
      <c r="P1184" t="s">
        <v>4892</v>
      </c>
      <c r="Q1184" t="s">
        <v>1280</v>
      </c>
      <c r="R1184" t="s">
        <v>4893</v>
      </c>
      <c r="S1184" t="s">
        <v>1510</v>
      </c>
      <c r="T1184">
        <v>54</v>
      </c>
      <c r="U1184">
        <f>IF(Table__192.168.1.150_M_CONSOLIDATED_Delinquency_Compulsory_EOM[[#This Row],[Days in Arrears]] &lt; 8, Table__192.168.1.150_M_CONSOLIDATED_Delinquency_Compulsory_EOM[[#This Row],[Outstanding Balance]], 0 )</f>
        <v>1629614.64</v>
      </c>
      <c r="V11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4" s="105" t="str">
        <f>VLOOKUP(Table__192.168.1.150_M_CONSOLIDATED_Delinquency_Compulsory_EOM[[#This Row],[Client No]],'Global Portfolio'!$B$2:$N$2500,10,FALSE)</f>
        <v>Retail</v>
      </c>
      <c r="AA1184" s="105" t="str">
        <f>VLOOKUP(Table__192.168.1.150_M_CONSOLIDATED_Delinquency_Compulsory_EOM[[#This Row],[Client No]],'Global Portfolio'!$B$2:$N$2500,11,FALSE)</f>
        <v>Others</v>
      </c>
      <c r="AB1184" s="105" t="str">
        <f>VLOOKUP(Table__192.168.1.150_M_CONSOLIDATED_Delinquency_Compulsory_EOM[[#This Row],[Client No]],'Global Portfolio'!$B$2:$N$2500,12,FALSE)</f>
        <v>Others</v>
      </c>
    </row>
    <row r="1185" spans="1:28" x14ac:dyDescent="0.25">
      <c r="A1185">
        <v>201104</v>
      </c>
      <c r="B1185" t="s">
        <v>4886</v>
      </c>
      <c r="C1185" t="s">
        <v>4894</v>
      </c>
      <c r="D1185" t="s">
        <v>1282</v>
      </c>
      <c r="E1185">
        <v>-11</v>
      </c>
      <c r="F1185">
        <v>15000000</v>
      </c>
      <c r="G1185">
        <v>10850185.279999999</v>
      </c>
      <c r="H1185">
        <v>1644992.83</v>
      </c>
      <c r="I1185" t="s">
        <v>1667</v>
      </c>
      <c r="J1185">
        <v>336897.59</v>
      </c>
      <c r="K1185">
        <v>0</v>
      </c>
      <c r="L1185">
        <v>394399.33</v>
      </c>
      <c r="M1185">
        <v>13159942.640000001</v>
      </c>
      <c r="N1185" s="711">
        <v>42898.722324340277</v>
      </c>
      <c r="O1185" s="711">
        <v>43263</v>
      </c>
      <c r="P1185" t="s">
        <v>4895</v>
      </c>
      <c r="Q1185" t="s">
        <v>1280</v>
      </c>
      <c r="R1185" t="s">
        <v>4896</v>
      </c>
      <c r="S1185" t="s">
        <v>1510</v>
      </c>
      <c r="T1185">
        <v>54</v>
      </c>
      <c r="U1185">
        <f>IF(Table__192.168.1.150_M_CONSOLIDATED_Delinquency_Compulsory_EOM[[#This Row],[Days in Arrears]] &lt; 8, Table__192.168.1.150_M_CONSOLIDATED_Delinquency_Compulsory_EOM[[#This Row],[Outstanding Balance]], 0 )</f>
        <v>10850185.279999999</v>
      </c>
      <c r="V11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5" s="105" t="str">
        <f>VLOOKUP(Table__192.168.1.150_M_CONSOLIDATED_Delinquency_Compulsory_EOM[[#This Row],[Client No]],'Global Portfolio'!$B$2:$N$2500,10,FALSE)</f>
        <v>Transportation and Warehousing</v>
      </c>
      <c r="AA1185" s="105" t="str">
        <f>VLOOKUP(Table__192.168.1.150_M_CONSOLIDATED_Delinquency_Compulsory_EOM[[#This Row],[Client No]],'Global Portfolio'!$B$2:$N$2500,11,FALSE)</f>
        <v xml:space="preserve"> Passenger Transportation</v>
      </c>
      <c r="AB1185" s="105" t="str">
        <f>VLOOKUP(Table__192.168.1.150_M_CONSOLIDATED_Delinquency_Compulsory_EOM[[#This Row],[Client No]],'Global Portfolio'!$B$2:$N$2500,12,FALSE)</f>
        <v>Taxi service</v>
      </c>
    </row>
    <row r="1186" spans="1:28" x14ac:dyDescent="0.25">
      <c r="A1186">
        <v>201106</v>
      </c>
      <c r="B1186" t="s">
        <v>3350</v>
      </c>
      <c r="C1186" t="s">
        <v>3366</v>
      </c>
      <c r="D1186" t="s">
        <v>1279</v>
      </c>
      <c r="E1186">
        <v>-12</v>
      </c>
      <c r="F1186">
        <v>4000000</v>
      </c>
      <c r="G1186">
        <v>2869554.38</v>
      </c>
      <c r="H1186">
        <v>426208.69</v>
      </c>
      <c r="I1186" t="s">
        <v>2861</v>
      </c>
      <c r="J1186">
        <v>0</v>
      </c>
      <c r="K1186">
        <v>400000</v>
      </c>
      <c r="L1186">
        <v>65043.23</v>
      </c>
      <c r="M1186">
        <v>3409669.53</v>
      </c>
      <c r="N1186" s="711">
        <v>42899.468766782411</v>
      </c>
      <c r="O1186" s="711">
        <v>43264</v>
      </c>
      <c r="P1186" t="s">
        <v>3367</v>
      </c>
      <c r="Q1186" t="s">
        <v>1280</v>
      </c>
      <c r="R1186" t="s">
        <v>3368</v>
      </c>
      <c r="S1186" t="s">
        <v>1510</v>
      </c>
      <c r="T1186">
        <v>48</v>
      </c>
      <c r="U1186">
        <f>IF(Table__192.168.1.150_M_CONSOLIDATED_Delinquency_Compulsory_EOM[[#This Row],[Days in Arrears]] &lt; 8, Table__192.168.1.150_M_CONSOLIDATED_Delinquency_Compulsory_EOM[[#This Row],[Outstanding Balance]], 0 )</f>
        <v>2869554.38</v>
      </c>
      <c r="V11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6" s="105" t="str">
        <f>VLOOKUP(Table__192.168.1.150_M_CONSOLIDATED_Delinquency_Compulsory_EOM[[#This Row],[Client No]],'Global Portfolio'!$B$2:$N$2500,10,FALSE)</f>
        <v>Real Estate and Rental</v>
      </c>
      <c r="AA1186" s="105" t="str">
        <f>VLOOKUP(Table__192.168.1.150_M_CONSOLIDATED_Delinquency_Compulsory_EOM[[#This Row],[Client No]],'Global Portfolio'!$B$2:$N$2500,11,FALSE)</f>
        <v>Rental</v>
      </c>
      <c r="AB1186" s="105" t="str">
        <f>VLOOKUP(Table__192.168.1.150_M_CONSOLIDATED_Delinquency_Compulsory_EOM[[#This Row],[Client No]],'Global Portfolio'!$B$2:$N$2500,12,FALSE)</f>
        <v>General Rental Centers</v>
      </c>
    </row>
    <row r="1187" spans="1:28" x14ac:dyDescent="0.25">
      <c r="A1187">
        <v>201107</v>
      </c>
      <c r="B1187" t="s">
        <v>2679</v>
      </c>
      <c r="C1187" t="s">
        <v>2693</v>
      </c>
      <c r="D1187" t="s">
        <v>1284</v>
      </c>
      <c r="E1187">
        <v>-13</v>
      </c>
      <c r="F1187">
        <v>32000000</v>
      </c>
      <c r="G1187">
        <v>22566813.32</v>
      </c>
      <c r="H1187">
        <v>3214786.74</v>
      </c>
      <c r="I1187" t="s">
        <v>491</v>
      </c>
      <c r="J1187">
        <v>0</v>
      </c>
      <c r="K1187">
        <v>0</v>
      </c>
      <c r="L1187">
        <v>361069.01</v>
      </c>
      <c r="M1187">
        <v>25718293.870000001</v>
      </c>
      <c r="N1187" s="711">
        <v>42900.564021377315</v>
      </c>
      <c r="O1187" s="711">
        <v>43265</v>
      </c>
      <c r="P1187" t="s">
        <v>2694</v>
      </c>
      <c r="Q1187" t="s">
        <v>1280</v>
      </c>
      <c r="R1187" t="s">
        <v>1280</v>
      </c>
      <c r="S1187" t="s">
        <v>1510</v>
      </c>
      <c r="T1187">
        <v>36</v>
      </c>
      <c r="U1187">
        <f>IF(Table__192.168.1.150_M_CONSOLIDATED_Delinquency_Compulsory_EOM[[#This Row],[Days in Arrears]] &lt; 8, Table__192.168.1.150_M_CONSOLIDATED_Delinquency_Compulsory_EOM[[#This Row],[Outstanding Balance]], 0 )</f>
        <v>22566813.32</v>
      </c>
      <c r="V11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7" s="105" t="str">
        <f>VLOOKUP(Table__192.168.1.150_M_CONSOLIDATED_Delinquency_Compulsory_EOM[[#This Row],[Client No]],'Global Portfolio'!$B$2:$N$2500,10,FALSE)</f>
        <v>Educational Services</v>
      </c>
      <c r="AA1187" s="105" t="str">
        <f>VLOOKUP(Table__192.168.1.150_M_CONSOLIDATED_Delinquency_Compulsory_EOM[[#This Row],[Client No]],'Global Portfolio'!$B$2:$N$2500,11,FALSE)</f>
        <v>Educational Services</v>
      </c>
      <c r="AB1187" s="105" t="str">
        <f>VLOOKUP(Table__192.168.1.150_M_CONSOLIDATED_Delinquency_Compulsory_EOM[[#This Row],[Client No]],'Global Portfolio'!$B$2:$N$2500,12,FALSE)</f>
        <v>Schools</v>
      </c>
    </row>
    <row r="1188" spans="1:28" x14ac:dyDescent="0.25">
      <c r="A1188">
        <v>201108</v>
      </c>
      <c r="B1188" t="s">
        <v>3490</v>
      </c>
      <c r="C1188" t="s">
        <v>3493</v>
      </c>
      <c r="D1188" t="s">
        <v>1279</v>
      </c>
      <c r="E1188">
        <v>-14</v>
      </c>
      <c r="F1188">
        <v>5000000</v>
      </c>
      <c r="G1188">
        <v>3586942.99</v>
      </c>
      <c r="H1188">
        <v>532760.86</v>
      </c>
      <c r="I1188" t="s">
        <v>2175</v>
      </c>
      <c r="J1188">
        <v>0</v>
      </c>
      <c r="K1188">
        <v>500000</v>
      </c>
      <c r="L1188">
        <v>71738.86</v>
      </c>
      <c r="M1188">
        <v>4262086.9400000004</v>
      </c>
      <c r="N1188" s="711">
        <v>42901.675884756944</v>
      </c>
      <c r="O1188" s="711">
        <v>43266</v>
      </c>
      <c r="P1188" t="s">
        <v>3494</v>
      </c>
      <c r="Q1188" t="s">
        <v>1280</v>
      </c>
      <c r="R1188" t="s">
        <v>3495</v>
      </c>
      <c r="S1188" t="s">
        <v>1510</v>
      </c>
      <c r="T1188">
        <v>48</v>
      </c>
      <c r="U1188">
        <f>IF(Table__192.168.1.150_M_CONSOLIDATED_Delinquency_Compulsory_EOM[[#This Row],[Days in Arrears]] &lt; 8, Table__192.168.1.150_M_CONSOLIDATED_Delinquency_Compulsory_EOM[[#This Row],[Outstanding Balance]], 0 )</f>
        <v>3586942.99</v>
      </c>
      <c r="V11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8" s="105" t="str">
        <f>VLOOKUP(Table__192.168.1.150_M_CONSOLIDATED_Delinquency_Compulsory_EOM[[#This Row],[Client No]],'Global Portfolio'!$B$2:$N$2500,10,FALSE)</f>
        <v>Retail</v>
      </c>
      <c r="AA1188" s="105" t="str">
        <f>VLOOKUP(Table__192.168.1.150_M_CONSOLIDATED_Delinquency_Compulsory_EOM[[#This Row],[Client No]],'Global Portfolio'!$B$2:$N$2500,11,FALSE)</f>
        <v>Others</v>
      </c>
      <c r="AB1188" s="105" t="str">
        <f>VLOOKUP(Table__192.168.1.150_M_CONSOLIDATED_Delinquency_Compulsory_EOM[[#This Row],[Client No]],'Global Portfolio'!$B$2:$N$2500,12,FALSE)</f>
        <v>Others</v>
      </c>
    </row>
    <row r="1189" spans="1:28" x14ac:dyDescent="0.25">
      <c r="A1189">
        <v>201109</v>
      </c>
      <c r="B1189" t="s">
        <v>4898</v>
      </c>
      <c r="C1189" t="s">
        <v>4899</v>
      </c>
      <c r="D1189" t="s">
        <v>1866</v>
      </c>
      <c r="E1189">
        <v>-14</v>
      </c>
      <c r="F1189">
        <v>7000000</v>
      </c>
      <c r="G1189">
        <v>4993580.03</v>
      </c>
      <c r="H1189">
        <v>731510.97</v>
      </c>
      <c r="I1189" t="s">
        <v>1909</v>
      </c>
      <c r="J1189">
        <v>0</v>
      </c>
      <c r="K1189">
        <v>700000</v>
      </c>
      <c r="L1189">
        <v>91548.97</v>
      </c>
      <c r="M1189">
        <v>5852087.75</v>
      </c>
      <c r="N1189" s="711">
        <v>42901.669926817129</v>
      </c>
      <c r="O1189" s="711">
        <v>43266</v>
      </c>
      <c r="P1189" t="s">
        <v>4900</v>
      </c>
      <c r="Q1189" t="s">
        <v>1280</v>
      </c>
      <c r="R1189" t="s">
        <v>1280</v>
      </c>
      <c r="S1189" t="s">
        <v>1510</v>
      </c>
      <c r="T1189">
        <v>44</v>
      </c>
      <c r="U1189">
        <f>IF(Table__192.168.1.150_M_CONSOLIDATED_Delinquency_Compulsory_EOM[[#This Row],[Days in Arrears]] &lt; 8, Table__192.168.1.150_M_CONSOLIDATED_Delinquency_Compulsory_EOM[[#This Row],[Outstanding Balance]], 0 )</f>
        <v>4993580.03</v>
      </c>
      <c r="V11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89" s="105" t="str">
        <f>VLOOKUP(Table__192.168.1.150_M_CONSOLIDATED_Delinquency_Compulsory_EOM[[#This Row],[Client No]],'Global Portfolio'!$B$2:$N$2500,10,FALSE)</f>
        <v>Real Estate and Rental</v>
      </c>
      <c r="AA1189" s="105" t="str">
        <f>VLOOKUP(Table__192.168.1.150_M_CONSOLIDATED_Delinquency_Compulsory_EOM[[#This Row],[Client No]],'Global Portfolio'!$B$2:$N$2500,11,FALSE)</f>
        <v>Rental</v>
      </c>
      <c r="AB1189" s="105" t="str">
        <f>VLOOKUP(Table__192.168.1.150_M_CONSOLIDATED_Delinquency_Compulsory_EOM[[#This Row],[Client No]],'Global Portfolio'!$B$2:$N$2500,12,FALSE)</f>
        <v>Others</v>
      </c>
    </row>
    <row r="1190" spans="1:28" x14ac:dyDescent="0.25">
      <c r="A1190">
        <v>201110</v>
      </c>
      <c r="B1190" t="s">
        <v>4897</v>
      </c>
      <c r="C1190" t="s">
        <v>4901</v>
      </c>
      <c r="D1190" t="s">
        <v>1282</v>
      </c>
      <c r="E1190">
        <v>-14</v>
      </c>
      <c r="F1190">
        <v>2500000</v>
      </c>
      <c r="G1190">
        <v>1629614.64</v>
      </c>
      <c r="H1190">
        <v>315947.05</v>
      </c>
      <c r="I1190" t="s">
        <v>1448</v>
      </c>
      <c r="J1190">
        <v>0</v>
      </c>
      <c r="K1190">
        <v>250000</v>
      </c>
      <c r="L1190">
        <v>36666.33</v>
      </c>
      <c r="M1190">
        <v>1895682.37</v>
      </c>
      <c r="N1190" s="711">
        <v>42901.681031863423</v>
      </c>
      <c r="O1190" s="711">
        <v>43205</v>
      </c>
      <c r="P1190" t="s">
        <v>4902</v>
      </c>
      <c r="Q1190" t="s">
        <v>1280</v>
      </c>
      <c r="R1190" t="s">
        <v>1280</v>
      </c>
      <c r="S1190" t="s">
        <v>1510</v>
      </c>
      <c r="T1190">
        <v>54</v>
      </c>
      <c r="U1190">
        <f>IF(Table__192.168.1.150_M_CONSOLIDATED_Delinquency_Compulsory_EOM[[#This Row],[Days in Arrears]] &lt; 8, Table__192.168.1.150_M_CONSOLIDATED_Delinquency_Compulsory_EOM[[#This Row],[Outstanding Balance]], 0 )</f>
        <v>1629614.64</v>
      </c>
      <c r="V11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0" s="105" t="str">
        <f>VLOOKUP(Table__192.168.1.150_M_CONSOLIDATED_Delinquency_Compulsory_EOM[[#This Row],[Client No]],'Global Portfolio'!$B$2:$N$2500,10,FALSE)</f>
        <v>Retail</v>
      </c>
      <c r="AA1190" s="105" t="str">
        <f>VLOOKUP(Table__192.168.1.150_M_CONSOLIDATED_Delinquency_Compulsory_EOM[[#This Row],[Client No]],'Global Portfolio'!$B$2:$N$2500,11,FALSE)</f>
        <v>Others</v>
      </c>
      <c r="AB1190" s="105" t="str">
        <f>VLOOKUP(Table__192.168.1.150_M_CONSOLIDATED_Delinquency_Compulsory_EOM[[#This Row],[Client No]],'Global Portfolio'!$B$2:$N$2500,12,FALSE)</f>
        <v>Others</v>
      </c>
    </row>
    <row r="1191" spans="1:28" x14ac:dyDescent="0.25">
      <c r="A1191">
        <v>201111</v>
      </c>
      <c r="B1191" t="s">
        <v>4929</v>
      </c>
      <c r="C1191" t="s">
        <v>4935</v>
      </c>
      <c r="D1191" t="s">
        <v>1281</v>
      </c>
      <c r="E1191">
        <v>-20</v>
      </c>
      <c r="F1191">
        <v>25000000</v>
      </c>
      <c r="G1191">
        <v>20860405.91</v>
      </c>
      <c r="H1191">
        <v>1974833.2</v>
      </c>
      <c r="I1191" t="s">
        <v>4685</v>
      </c>
      <c r="J1191">
        <v>0</v>
      </c>
      <c r="K1191">
        <v>1275000</v>
      </c>
      <c r="L1191">
        <v>250324.87</v>
      </c>
      <c r="M1191">
        <v>27647664.899999999</v>
      </c>
      <c r="N1191" s="711">
        <v>42907.509451238424</v>
      </c>
      <c r="O1191" s="711">
        <v>43455</v>
      </c>
      <c r="P1191" t="s">
        <v>4936</v>
      </c>
      <c r="Q1191" t="s">
        <v>1280</v>
      </c>
      <c r="R1191" t="s">
        <v>4937</v>
      </c>
      <c r="S1191" t="s">
        <v>1510</v>
      </c>
      <c r="T1191">
        <v>48</v>
      </c>
      <c r="U1191">
        <f>IF(Table__192.168.1.150_M_CONSOLIDATED_Delinquency_Compulsory_EOM[[#This Row],[Days in Arrears]] &lt; 8, Table__192.168.1.150_M_CONSOLIDATED_Delinquency_Compulsory_EOM[[#This Row],[Outstanding Balance]], 0 )</f>
        <v>20860405.91</v>
      </c>
      <c r="V11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1" s="105" t="str">
        <f>VLOOKUP(Table__192.168.1.150_M_CONSOLIDATED_Delinquency_Compulsory_EOM[[#This Row],[Client No]],'Global Portfolio'!$B$2:$N$2500,10,FALSE)</f>
        <v>Real Estate and Rental</v>
      </c>
      <c r="AA1191" s="105" t="str">
        <f>VLOOKUP(Table__192.168.1.150_M_CONSOLIDATED_Delinquency_Compulsory_EOM[[#This Row],[Client No]],'Global Portfolio'!$B$2:$N$2500,11,FALSE)</f>
        <v>Others</v>
      </c>
      <c r="AB1191" s="105" t="str">
        <f>VLOOKUP(Table__192.168.1.150_M_CONSOLIDATED_Delinquency_Compulsory_EOM[[#This Row],[Client No]],'Global Portfolio'!$B$2:$N$2500,12,FALSE)</f>
        <v>Others</v>
      </c>
    </row>
    <row r="1192" spans="1:28" x14ac:dyDescent="0.25">
      <c r="A1192">
        <v>201112</v>
      </c>
      <c r="B1192" t="s">
        <v>3561</v>
      </c>
      <c r="C1192" t="s">
        <v>3589</v>
      </c>
      <c r="D1192" t="s">
        <v>1284</v>
      </c>
      <c r="E1192">
        <v>-14</v>
      </c>
      <c r="F1192">
        <v>30000000</v>
      </c>
      <c r="G1192">
        <v>26354293.390000001</v>
      </c>
      <c r="H1192">
        <v>1771422.48</v>
      </c>
      <c r="I1192" t="s">
        <v>546</v>
      </c>
      <c r="J1192">
        <v>0</v>
      </c>
      <c r="K1192">
        <v>1500000</v>
      </c>
      <c r="L1192">
        <v>395314.4</v>
      </c>
      <c r="M1192">
        <v>35428449.579999998</v>
      </c>
      <c r="N1192" s="711">
        <v>42901.750078159719</v>
      </c>
      <c r="O1192" s="711">
        <v>43631</v>
      </c>
      <c r="P1192" t="s">
        <v>3590</v>
      </c>
      <c r="Q1192" t="s">
        <v>1280</v>
      </c>
      <c r="R1192" t="s">
        <v>3591</v>
      </c>
      <c r="S1192" t="s">
        <v>1510</v>
      </c>
      <c r="T1192">
        <v>36</v>
      </c>
      <c r="U1192">
        <f>IF(Table__192.168.1.150_M_CONSOLIDATED_Delinquency_Compulsory_EOM[[#This Row],[Days in Arrears]] &lt; 8, Table__192.168.1.150_M_CONSOLIDATED_Delinquency_Compulsory_EOM[[#This Row],[Outstanding Balance]], 0 )</f>
        <v>26354293.390000001</v>
      </c>
      <c r="V11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2" s="105" t="str">
        <f>VLOOKUP(Table__192.168.1.150_M_CONSOLIDATED_Delinquency_Compulsory_EOM[[#This Row],[Client No]],'Global Portfolio'!$B$2:$N$2500,10,FALSE)</f>
        <v>Real Estate and Rental</v>
      </c>
      <c r="AA1192" s="105" t="str">
        <f>VLOOKUP(Table__192.168.1.150_M_CONSOLIDATED_Delinquency_Compulsory_EOM[[#This Row],[Client No]],'Global Portfolio'!$B$2:$N$2500,11,FALSE)</f>
        <v>Rental</v>
      </c>
      <c r="AB1192" s="105" t="str">
        <f>VLOOKUP(Table__192.168.1.150_M_CONSOLIDATED_Delinquency_Compulsory_EOM[[#This Row],[Client No]],'Global Portfolio'!$B$2:$N$2500,12,FALSE)</f>
        <v>Others</v>
      </c>
    </row>
    <row r="1193" spans="1:28" x14ac:dyDescent="0.25">
      <c r="A1193">
        <v>201113</v>
      </c>
      <c r="B1193" t="s">
        <v>4084</v>
      </c>
      <c r="C1193" t="s">
        <v>4091</v>
      </c>
      <c r="D1193" t="s">
        <v>1284</v>
      </c>
      <c r="E1193">
        <v>-15</v>
      </c>
      <c r="F1193">
        <v>35000000</v>
      </c>
      <c r="G1193">
        <v>28746296.120000001</v>
      </c>
      <c r="H1193">
        <v>2544804.36</v>
      </c>
      <c r="I1193" t="s">
        <v>546</v>
      </c>
      <c r="J1193">
        <v>0</v>
      </c>
      <c r="K1193">
        <v>1750000</v>
      </c>
      <c r="L1193">
        <v>402448.15</v>
      </c>
      <c r="M1193">
        <v>35627260.939999998</v>
      </c>
      <c r="N1193" s="711">
        <v>42902.50178298611</v>
      </c>
      <c r="O1193" s="711">
        <v>43450</v>
      </c>
      <c r="P1193" t="s">
        <v>4092</v>
      </c>
      <c r="Q1193" t="s">
        <v>1280</v>
      </c>
      <c r="R1193" t="s">
        <v>1280</v>
      </c>
      <c r="S1193" t="s">
        <v>1510</v>
      </c>
      <c r="T1193">
        <v>36</v>
      </c>
      <c r="U1193">
        <f>IF(Table__192.168.1.150_M_CONSOLIDATED_Delinquency_Compulsory_EOM[[#This Row],[Days in Arrears]] &lt; 8, Table__192.168.1.150_M_CONSOLIDATED_Delinquency_Compulsory_EOM[[#This Row],[Outstanding Balance]], 0 )</f>
        <v>28746296.120000001</v>
      </c>
      <c r="V11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3" s="105" t="str">
        <f>VLOOKUP(Table__192.168.1.150_M_CONSOLIDATED_Delinquency_Compulsory_EOM[[#This Row],[Client No]],'Global Portfolio'!$B$2:$N$2500,10,FALSE)</f>
        <v>Real Estate and Rental</v>
      </c>
      <c r="AA1193" s="105" t="str">
        <f>VLOOKUP(Table__192.168.1.150_M_CONSOLIDATED_Delinquency_Compulsory_EOM[[#This Row],[Client No]],'Global Portfolio'!$B$2:$N$2500,11,FALSE)</f>
        <v>Rental</v>
      </c>
      <c r="AB1193" s="105" t="str">
        <f>VLOOKUP(Table__192.168.1.150_M_CONSOLIDATED_Delinquency_Compulsory_EOM[[#This Row],[Client No]],'Global Portfolio'!$B$2:$N$2500,12,FALSE)</f>
        <v>Others</v>
      </c>
    </row>
    <row r="1194" spans="1:28" x14ac:dyDescent="0.25">
      <c r="A1194">
        <v>201114</v>
      </c>
      <c r="B1194" t="s">
        <v>4904</v>
      </c>
      <c r="C1194" t="s">
        <v>4907</v>
      </c>
      <c r="D1194" t="s">
        <v>1284</v>
      </c>
      <c r="E1194">
        <v>-15</v>
      </c>
      <c r="F1194">
        <v>30000000</v>
      </c>
      <c r="G1194">
        <v>24773013.170000002</v>
      </c>
      <c r="H1194">
        <v>2243194.16</v>
      </c>
      <c r="I1194" t="s">
        <v>1909</v>
      </c>
      <c r="J1194">
        <v>255862.43</v>
      </c>
      <c r="K1194">
        <v>1500000</v>
      </c>
      <c r="L1194">
        <v>385357.98</v>
      </c>
      <c r="M1194">
        <v>31404718.280000001</v>
      </c>
      <c r="N1194" s="711">
        <v>42902.57308318287</v>
      </c>
      <c r="O1194" s="711">
        <v>43450</v>
      </c>
      <c r="P1194" t="s">
        <v>4908</v>
      </c>
      <c r="Q1194" t="s">
        <v>1280</v>
      </c>
      <c r="R1194" t="s">
        <v>4909</v>
      </c>
      <c r="S1194" t="s">
        <v>1510</v>
      </c>
      <c r="T1194">
        <v>40</v>
      </c>
      <c r="U1194">
        <f>IF(Table__192.168.1.150_M_CONSOLIDATED_Delinquency_Compulsory_EOM[[#This Row],[Days in Arrears]] &lt; 8, Table__192.168.1.150_M_CONSOLIDATED_Delinquency_Compulsory_EOM[[#This Row],[Outstanding Balance]], 0 )</f>
        <v>24773013.170000002</v>
      </c>
      <c r="V11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4" s="105" t="str">
        <f>VLOOKUP(Table__192.168.1.150_M_CONSOLIDATED_Delinquency_Compulsory_EOM[[#This Row],[Client No]],'Global Portfolio'!$B$2:$N$2500,10,FALSE)</f>
        <v>Real Estate and Rental</v>
      </c>
      <c r="AA1194" s="105" t="str">
        <f>VLOOKUP(Table__192.168.1.150_M_CONSOLIDATED_Delinquency_Compulsory_EOM[[#This Row],[Client No]],'Global Portfolio'!$B$2:$N$2500,11,FALSE)</f>
        <v>Real Estate</v>
      </c>
      <c r="AB1194" s="105" t="str">
        <f>VLOOKUP(Table__192.168.1.150_M_CONSOLIDATED_Delinquency_Compulsory_EOM[[#This Row],[Client No]],'Global Portfolio'!$B$2:$N$2500,12,FALSE)</f>
        <v>Others</v>
      </c>
    </row>
    <row r="1195" spans="1:28" x14ac:dyDescent="0.25">
      <c r="A1195">
        <v>201115</v>
      </c>
      <c r="B1195" t="s">
        <v>3179</v>
      </c>
      <c r="C1195" t="s">
        <v>3183</v>
      </c>
      <c r="D1195" t="s">
        <v>1282</v>
      </c>
      <c r="E1195">
        <v>-16</v>
      </c>
      <c r="F1195">
        <v>2500000</v>
      </c>
      <c r="G1195">
        <v>1793471.49</v>
      </c>
      <c r="H1195">
        <v>266380.43</v>
      </c>
      <c r="I1195" t="s">
        <v>2557</v>
      </c>
      <c r="J1195">
        <v>0</v>
      </c>
      <c r="K1195">
        <v>250000</v>
      </c>
      <c r="L1195">
        <v>31086.84</v>
      </c>
      <c r="M1195">
        <v>2131043.46</v>
      </c>
      <c r="N1195" s="711">
        <v>42903.522571180554</v>
      </c>
      <c r="O1195" s="711">
        <v>43268</v>
      </c>
      <c r="P1195" t="s">
        <v>3184</v>
      </c>
      <c r="Q1195" t="s">
        <v>1280</v>
      </c>
      <c r="R1195" t="s">
        <v>1280</v>
      </c>
      <c r="S1195" t="s">
        <v>1510</v>
      </c>
      <c r="T1195">
        <v>48</v>
      </c>
      <c r="U1195">
        <f>IF(Table__192.168.1.150_M_CONSOLIDATED_Delinquency_Compulsory_EOM[[#This Row],[Days in Arrears]] &lt; 8, Table__192.168.1.150_M_CONSOLIDATED_Delinquency_Compulsory_EOM[[#This Row],[Outstanding Balance]], 0 )</f>
        <v>1793471.49</v>
      </c>
      <c r="V11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5" s="105" t="str">
        <f>VLOOKUP(Table__192.168.1.150_M_CONSOLIDATED_Delinquency_Compulsory_EOM[[#This Row],[Client No]],'Global Portfolio'!$B$2:$N$2500,10,FALSE)</f>
        <v>Real Estate and Rental</v>
      </c>
      <c r="AA1195" s="105" t="str">
        <f>VLOOKUP(Table__192.168.1.150_M_CONSOLIDATED_Delinquency_Compulsory_EOM[[#This Row],[Client No]],'Global Portfolio'!$B$2:$N$2500,11,FALSE)</f>
        <v>Rental</v>
      </c>
      <c r="AB1195" s="105" t="str">
        <f>VLOOKUP(Table__192.168.1.150_M_CONSOLIDATED_Delinquency_Compulsory_EOM[[#This Row],[Client No]],'Global Portfolio'!$B$2:$N$2500,12,FALSE)</f>
        <v>General Rental Centers</v>
      </c>
    </row>
    <row r="1196" spans="1:28" x14ac:dyDescent="0.25">
      <c r="A1196">
        <v>201116</v>
      </c>
      <c r="B1196" t="s">
        <v>4910</v>
      </c>
      <c r="C1196" t="s">
        <v>4912</v>
      </c>
      <c r="D1196" t="s">
        <v>1866</v>
      </c>
      <c r="E1196">
        <v>-18</v>
      </c>
      <c r="F1196">
        <v>6000000</v>
      </c>
      <c r="G1196">
        <v>3602882.27</v>
      </c>
      <c r="H1196">
        <v>813098.02</v>
      </c>
      <c r="I1196" t="s">
        <v>2538</v>
      </c>
      <c r="J1196">
        <v>0</v>
      </c>
      <c r="K1196">
        <v>600000</v>
      </c>
      <c r="L1196">
        <v>55044.03</v>
      </c>
      <c r="M1196">
        <v>4065490.11</v>
      </c>
      <c r="N1196" s="711">
        <v>42905.652842939817</v>
      </c>
      <c r="O1196" s="711">
        <v>43178</v>
      </c>
      <c r="P1196" t="s">
        <v>4913</v>
      </c>
      <c r="Q1196" t="s">
        <v>1280</v>
      </c>
      <c r="R1196" t="s">
        <v>1280</v>
      </c>
      <c r="S1196" t="s">
        <v>1510</v>
      </c>
      <c r="T1196">
        <v>50</v>
      </c>
      <c r="U1196">
        <f>IF(Table__192.168.1.150_M_CONSOLIDATED_Delinquency_Compulsory_EOM[[#This Row],[Days in Arrears]] &lt; 8, Table__192.168.1.150_M_CONSOLIDATED_Delinquency_Compulsory_EOM[[#This Row],[Outstanding Balance]], 0 )</f>
        <v>3602882.27</v>
      </c>
      <c r="V11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6" s="105" t="str">
        <f>VLOOKUP(Table__192.168.1.150_M_CONSOLIDATED_Delinquency_Compulsory_EOM[[#This Row],[Client No]],'Global Portfolio'!$B$2:$N$2500,10,FALSE)</f>
        <v>Retail</v>
      </c>
      <c r="AA1196" s="105" t="str">
        <f>VLOOKUP(Table__192.168.1.150_M_CONSOLIDATED_Delinquency_Compulsory_EOM[[#This Row],[Client No]],'Global Portfolio'!$B$2:$N$2500,11,FALSE)</f>
        <v>General Merchandise Stores</v>
      </c>
      <c r="AB1196" s="105" t="str">
        <f>VLOOKUP(Table__192.168.1.150_M_CONSOLIDATED_Delinquency_Compulsory_EOM[[#This Row],[Client No]],'Global Portfolio'!$B$2:$N$2500,12,FALSE)</f>
        <v>Others</v>
      </c>
    </row>
    <row r="1197" spans="1:28" x14ac:dyDescent="0.25">
      <c r="A1197">
        <v>201117</v>
      </c>
      <c r="B1197" t="s">
        <v>4911</v>
      </c>
      <c r="C1197" t="s">
        <v>4914</v>
      </c>
      <c r="D1197" t="s">
        <v>1279</v>
      </c>
      <c r="E1197">
        <v>-18</v>
      </c>
      <c r="F1197">
        <v>5000000</v>
      </c>
      <c r="G1197">
        <v>3616728.44</v>
      </c>
      <c r="H1197">
        <v>548330.93999999994</v>
      </c>
      <c r="I1197" t="s">
        <v>4844</v>
      </c>
      <c r="J1197">
        <v>0</v>
      </c>
      <c r="K1197">
        <v>500000</v>
      </c>
      <c r="L1197">
        <v>59676.02</v>
      </c>
      <c r="M1197">
        <v>4386647.5599999996</v>
      </c>
      <c r="N1197" s="711">
        <v>42905.707433530093</v>
      </c>
      <c r="O1197" s="711">
        <v>43270</v>
      </c>
      <c r="P1197" t="s">
        <v>4915</v>
      </c>
      <c r="Q1197" t="s">
        <v>1280</v>
      </c>
      <c r="R1197" t="s">
        <v>1280</v>
      </c>
      <c r="S1197" t="s">
        <v>1510</v>
      </c>
      <c r="T1197">
        <v>54</v>
      </c>
      <c r="U1197">
        <f>IF(Table__192.168.1.150_M_CONSOLIDATED_Delinquency_Compulsory_EOM[[#This Row],[Days in Arrears]] &lt; 8, Table__192.168.1.150_M_CONSOLIDATED_Delinquency_Compulsory_EOM[[#This Row],[Outstanding Balance]], 0 )</f>
        <v>3616728.44</v>
      </c>
      <c r="V11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7" s="105" t="str">
        <f>VLOOKUP(Table__192.168.1.150_M_CONSOLIDATED_Delinquency_Compulsory_EOM[[#This Row],[Client No]],'Global Portfolio'!$B$2:$N$2500,10,FALSE)</f>
        <v>Retail</v>
      </c>
      <c r="AA1197" s="105" t="str">
        <f>VLOOKUP(Table__192.168.1.150_M_CONSOLIDATED_Delinquency_Compulsory_EOM[[#This Row],[Client No]],'Global Portfolio'!$B$2:$N$2500,11,FALSE)</f>
        <v>Others</v>
      </c>
      <c r="AB1197" s="105" t="str">
        <f>VLOOKUP(Table__192.168.1.150_M_CONSOLIDATED_Delinquency_Compulsory_EOM[[#This Row],[Client No]],'Global Portfolio'!$B$2:$N$2500,12,FALSE)</f>
        <v>Others</v>
      </c>
    </row>
    <row r="1198" spans="1:28" x14ac:dyDescent="0.25">
      <c r="A1198">
        <v>201118</v>
      </c>
      <c r="B1198" t="s">
        <v>3547</v>
      </c>
      <c r="C1198" t="s">
        <v>3595</v>
      </c>
      <c r="D1198" t="s">
        <v>1282</v>
      </c>
      <c r="E1198">
        <v>-19</v>
      </c>
      <c r="F1198">
        <v>5000000</v>
      </c>
      <c r="G1198">
        <v>3231540.02</v>
      </c>
      <c r="H1198">
        <v>616454.72</v>
      </c>
      <c r="I1198" t="s">
        <v>4683</v>
      </c>
      <c r="J1198">
        <v>0</v>
      </c>
      <c r="K1198">
        <v>500000</v>
      </c>
      <c r="L1198">
        <v>43087.199999999997</v>
      </c>
      <c r="M1198">
        <v>3698728.34</v>
      </c>
      <c r="N1198" s="711">
        <v>42906.382008136577</v>
      </c>
      <c r="O1198" s="711">
        <v>43210</v>
      </c>
      <c r="P1198" t="s">
        <v>3596</v>
      </c>
      <c r="Q1198" t="s">
        <v>1280</v>
      </c>
      <c r="R1198" t="s">
        <v>1280</v>
      </c>
      <c r="S1198" t="s">
        <v>1510</v>
      </c>
      <c r="T1198">
        <v>48</v>
      </c>
      <c r="U1198">
        <f>IF(Table__192.168.1.150_M_CONSOLIDATED_Delinquency_Compulsory_EOM[[#This Row],[Days in Arrears]] &lt; 8, Table__192.168.1.150_M_CONSOLIDATED_Delinquency_Compulsory_EOM[[#This Row],[Outstanding Balance]], 0 )</f>
        <v>3231540.02</v>
      </c>
      <c r="V11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8" s="105" t="str">
        <f>VLOOKUP(Table__192.168.1.150_M_CONSOLIDATED_Delinquency_Compulsory_EOM[[#This Row],[Client No]],'Global Portfolio'!$B$2:$N$2500,10,FALSE)</f>
        <v>Retail</v>
      </c>
      <c r="AA1198" s="105" t="str">
        <f>VLOOKUP(Table__192.168.1.150_M_CONSOLIDATED_Delinquency_Compulsory_EOM[[#This Row],[Client No]],'Global Portfolio'!$B$2:$N$2500,11,FALSE)</f>
        <v>Others</v>
      </c>
      <c r="AB1198" s="105" t="str">
        <f>VLOOKUP(Table__192.168.1.150_M_CONSOLIDATED_Delinquency_Compulsory_EOM[[#This Row],[Client No]],'Global Portfolio'!$B$2:$N$2500,12,FALSE)</f>
        <v>Others</v>
      </c>
    </row>
    <row r="1199" spans="1:28" x14ac:dyDescent="0.25">
      <c r="A1199">
        <v>201119</v>
      </c>
      <c r="B1199" t="s">
        <v>4918</v>
      </c>
      <c r="C1199" t="s">
        <v>4920</v>
      </c>
      <c r="D1199" t="s">
        <v>1282</v>
      </c>
      <c r="E1199">
        <v>-19</v>
      </c>
      <c r="F1199">
        <v>2500000</v>
      </c>
      <c r="G1199">
        <v>907674.51</v>
      </c>
      <c r="H1199">
        <v>484695.97</v>
      </c>
      <c r="I1199" t="s">
        <v>4919</v>
      </c>
      <c r="J1199">
        <v>0</v>
      </c>
      <c r="K1199">
        <v>250000</v>
      </c>
      <c r="L1199">
        <v>13615.12</v>
      </c>
      <c r="M1199">
        <v>969391.94</v>
      </c>
      <c r="N1199" s="711">
        <v>42906.535172800926</v>
      </c>
      <c r="O1199" s="711">
        <v>43089</v>
      </c>
      <c r="P1199" t="s">
        <v>4921</v>
      </c>
      <c r="Q1199" t="s">
        <v>1280</v>
      </c>
      <c r="R1199" t="s">
        <v>4922</v>
      </c>
      <c r="S1199" t="s">
        <v>1510</v>
      </c>
      <c r="T1199">
        <v>54</v>
      </c>
      <c r="U1199">
        <f>IF(Table__192.168.1.150_M_CONSOLIDATED_Delinquency_Compulsory_EOM[[#This Row],[Days in Arrears]] &lt; 8, Table__192.168.1.150_M_CONSOLIDATED_Delinquency_Compulsory_EOM[[#This Row],[Outstanding Balance]], 0 )</f>
        <v>907674.51</v>
      </c>
      <c r="V11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1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1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1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199" s="105" t="str">
        <f>VLOOKUP(Table__192.168.1.150_M_CONSOLIDATED_Delinquency_Compulsory_EOM[[#This Row],[Client No]],'Global Portfolio'!$B$2:$N$2500,10,FALSE)</f>
        <v>Retail</v>
      </c>
      <c r="AA1199" s="105" t="str">
        <f>VLOOKUP(Table__192.168.1.150_M_CONSOLIDATED_Delinquency_Compulsory_EOM[[#This Row],[Client No]],'Global Portfolio'!$B$2:$N$2500,11,FALSE)</f>
        <v>Others</v>
      </c>
      <c r="AB1199" s="105" t="str">
        <f>VLOOKUP(Table__192.168.1.150_M_CONSOLIDATED_Delinquency_Compulsory_EOM[[#This Row],[Client No]],'Global Portfolio'!$B$2:$N$2500,12,FALSE)</f>
        <v>Others</v>
      </c>
    </row>
    <row r="1200" spans="1:28" x14ac:dyDescent="0.25">
      <c r="A1200">
        <v>201120</v>
      </c>
      <c r="B1200" t="s">
        <v>4917</v>
      </c>
      <c r="C1200" t="s">
        <v>4923</v>
      </c>
      <c r="D1200" t="s">
        <v>1282</v>
      </c>
      <c r="E1200">
        <v>-19</v>
      </c>
      <c r="F1200">
        <v>2500000</v>
      </c>
      <c r="G1200">
        <v>1808364.21</v>
      </c>
      <c r="H1200">
        <v>274165.46999999997</v>
      </c>
      <c r="I1200" t="s">
        <v>2538</v>
      </c>
      <c r="J1200">
        <v>0</v>
      </c>
      <c r="K1200">
        <v>250000</v>
      </c>
      <c r="L1200">
        <v>27125.46</v>
      </c>
      <c r="M1200">
        <v>2193323.77</v>
      </c>
      <c r="N1200" s="711">
        <v>42906.51932230324</v>
      </c>
      <c r="O1200" s="711">
        <v>43271</v>
      </c>
      <c r="P1200" t="s">
        <v>4924</v>
      </c>
      <c r="Q1200" t="s">
        <v>1280</v>
      </c>
      <c r="R1200" t="s">
        <v>1280</v>
      </c>
      <c r="S1200" t="s">
        <v>1510</v>
      </c>
      <c r="T1200">
        <v>54</v>
      </c>
      <c r="U1200">
        <f>IF(Table__192.168.1.150_M_CONSOLIDATED_Delinquency_Compulsory_EOM[[#This Row],[Days in Arrears]] &lt; 8, Table__192.168.1.150_M_CONSOLIDATED_Delinquency_Compulsory_EOM[[#This Row],[Outstanding Balance]], 0 )</f>
        <v>1808364.21</v>
      </c>
      <c r="V12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0" s="105" t="str">
        <f>VLOOKUP(Table__192.168.1.150_M_CONSOLIDATED_Delinquency_Compulsory_EOM[[#This Row],[Client No]],'Global Portfolio'!$B$2:$N$2500,10,FALSE)</f>
        <v>Retail</v>
      </c>
      <c r="AA1200" s="105" t="str">
        <f>VLOOKUP(Table__192.168.1.150_M_CONSOLIDATED_Delinquency_Compulsory_EOM[[#This Row],[Client No]],'Global Portfolio'!$B$2:$N$2500,11,FALSE)</f>
        <v>Others</v>
      </c>
      <c r="AB1200" s="105" t="str">
        <f>VLOOKUP(Table__192.168.1.150_M_CONSOLIDATED_Delinquency_Compulsory_EOM[[#This Row],[Client No]],'Global Portfolio'!$B$2:$N$2500,12,FALSE)</f>
        <v>Others</v>
      </c>
    </row>
    <row r="1201" spans="1:28" x14ac:dyDescent="0.25">
      <c r="A1201">
        <v>201121</v>
      </c>
      <c r="B1201" t="s">
        <v>2236</v>
      </c>
      <c r="C1201" t="s">
        <v>2245</v>
      </c>
      <c r="D1201" t="s">
        <v>1866</v>
      </c>
      <c r="E1201">
        <v>-19</v>
      </c>
      <c r="F1201">
        <v>6000000</v>
      </c>
      <c r="G1201">
        <v>4280211.46</v>
      </c>
      <c r="H1201">
        <v>627009.4</v>
      </c>
      <c r="I1201" t="s">
        <v>1448</v>
      </c>
      <c r="J1201">
        <v>0</v>
      </c>
      <c r="K1201">
        <v>600000</v>
      </c>
      <c r="L1201">
        <v>52313.7</v>
      </c>
      <c r="M1201">
        <v>5016075.22</v>
      </c>
      <c r="N1201" s="711">
        <v>42906.706998182868</v>
      </c>
      <c r="O1201" s="711">
        <v>43271</v>
      </c>
      <c r="P1201" t="s">
        <v>2246</v>
      </c>
      <c r="Q1201" t="s">
        <v>1280</v>
      </c>
      <c r="R1201" t="s">
        <v>1280</v>
      </c>
      <c r="S1201" t="s">
        <v>1510</v>
      </c>
      <c r="T1201">
        <v>44</v>
      </c>
      <c r="U1201">
        <f>IF(Table__192.168.1.150_M_CONSOLIDATED_Delinquency_Compulsory_EOM[[#This Row],[Days in Arrears]] &lt; 8, Table__192.168.1.150_M_CONSOLIDATED_Delinquency_Compulsory_EOM[[#This Row],[Outstanding Balance]], 0 )</f>
        <v>4280211.46</v>
      </c>
      <c r="V12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1" s="105" t="str">
        <f>VLOOKUP(Table__192.168.1.150_M_CONSOLIDATED_Delinquency_Compulsory_EOM[[#This Row],[Client No]],'Global Portfolio'!$B$2:$N$2500,10,FALSE)</f>
        <v>Retail</v>
      </c>
      <c r="AA1201" s="105" t="str">
        <f>VLOOKUP(Table__192.168.1.150_M_CONSOLIDATED_Delinquency_Compulsory_EOM[[#This Row],[Client No]],'Global Portfolio'!$B$2:$N$2500,11,FALSE)</f>
        <v>General Merchandise Stores</v>
      </c>
      <c r="AB1201" s="105" t="str">
        <f>VLOOKUP(Table__192.168.1.150_M_CONSOLIDATED_Delinquency_Compulsory_EOM[[#This Row],[Client No]],'Global Portfolio'!$B$2:$N$2500,12,FALSE)</f>
        <v>General Stores</v>
      </c>
    </row>
    <row r="1202" spans="1:28" x14ac:dyDescent="0.25">
      <c r="A1202">
        <v>201123</v>
      </c>
      <c r="B1202" t="s">
        <v>4916</v>
      </c>
      <c r="C1202" t="s">
        <v>4925</v>
      </c>
      <c r="D1202" t="s">
        <v>1283</v>
      </c>
      <c r="E1202">
        <v>-19</v>
      </c>
      <c r="F1202">
        <v>40000000</v>
      </c>
      <c r="G1202">
        <v>28372397.239999998</v>
      </c>
      <c r="H1202">
        <v>4098859.31</v>
      </c>
      <c r="I1202" t="s">
        <v>1909</v>
      </c>
      <c r="J1202">
        <v>251734.16</v>
      </c>
      <c r="K1202">
        <v>2000000</v>
      </c>
      <c r="L1202">
        <v>315248.86</v>
      </c>
      <c r="M1202">
        <v>32790874.539999999</v>
      </c>
      <c r="N1202" s="711">
        <v>42906.581479479166</v>
      </c>
      <c r="O1202" s="711">
        <v>43271</v>
      </c>
      <c r="P1202" t="s">
        <v>4926</v>
      </c>
      <c r="Q1202" t="s">
        <v>1280</v>
      </c>
      <c r="R1202" t="s">
        <v>1280</v>
      </c>
      <c r="S1202" t="s">
        <v>1510</v>
      </c>
      <c r="T1202">
        <v>40</v>
      </c>
      <c r="U1202">
        <f>IF(Table__192.168.1.150_M_CONSOLIDATED_Delinquency_Compulsory_EOM[[#This Row],[Days in Arrears]] &lt; 8, Table__192.168.1.150_M_CONSOLIDATED_Delinquency_Compulsory_EOM[[#This Row],[Outstanding Balance]], 0 )</f>
        <v>28372397.239999998</v>
      </c>
      <c r="V12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2" s="105" t="str">
        <f>VLOOKUP(Table__192.168.1.150_M_CONSOLIDATED_Delinquency_Compulsory_EOM[[#This Row],[Client No]],'Global Portfolio'!$B$2:$N$2500,10,FALSE)</f>
        <v>Wholesale Trade</v>
      </c>
      <c r="AA1202" s="105" t="str">
        <f>VLOOKUP(Table__192.168.1.150_M_CONSOLIDATED_Delinquency_Compulsory_EOM[[#This Row],[Client No]],'Global Portfolio'!$B$2:$N$2500,11,FALSE)</f>
        <v>Nondurable Goods</v>
      </c>
      <c r="AB1202" s="105" t="str">
        <f>VLOOKUP(Table__192.168.1.150_M_CONSOLIDATED_Delinquency_Compulsory_EOM[[#This Row],[Client No]],'Global Portfolio'!$B$2:$N$2500,12,FALSE)</f>
        <v>Others</v>
      </c>
    </row>
    <row r="1203" spans="1:28" x14ac:dyDescent="0.25">
      <c r="A1203">
        <v>201124</v>
      </c>
      <c r="B1203" t="s">
        <v>2593</v>
      </c>
      <c r="C1203" t="s">
        <v>2599</v>
      </c>
      <c r="D1203" t="s">
        <v>1285</v>
      </c>
      <c r="E1203">
        <v>-20</v>
      </c>
      <c r="F1203">
        <v>11090000</v>
      </c>
      <c r="G1203">
        <v>10190728.93</v>
      </c>
      <c r="H1203">
        <v>423786.29</v>
      </c>
      <c r="I1203" t="s">
        <v>284</v>
      </c>
      <c r="J1203">
        <v>0</v>
      </c>
      <c r="K1203">
        <v>0</v>
      </c>
      <c r="L1203">
        <v>56049.01</v>
      </c>
      <c r="M1203">
        <v>13561161.390000001</v>
      </c>
      <c r="N1203" s="711">
        <v>42906.719259953701</v>
      </c>
      <c r="O1203" s="711">
        <v>44003</v>
      </c>
      <c r="P1203" t="s">
        <v>2600</v>
      </c>
      <c r="Q1203" t="s">
        <v>1280</v>
      </c>
      <c r="R1203" t="s">
        <v>1280</v>
      </c>
      <c r="S1203" t="s">
        <v>1510</v>
      </c>
      <c r="T1203">
        <v>22</v>
      </c>
      <c r="U1203">
        <f>IF(Table__192.168.1.150_M_CONSOLIDATED_Delinquency_Compulsory_EOM[[#This Row],[Days in Arrears]] &lt; 8, Table__192.168.1.150_M_CONSOLIDATED_Delinquency_Compulsory_EOM[[#This Row],[Outstanding Balance]], 0 )</f>
        <v>10190728.93</v>
      </c>
      <c r="V12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3" s="105" t="str">
        <f>VLOOKUP(Table__192.168.1.150_M_CONSOLIDATED_Delinquency_Compulsory_EOM[[#This Row],[Client No]],'Global Portfolio'!$B$2:$N$2500,10,FALSE)</f>
        <v>Finance and Insurance</v>
      </c>
      <c r="AA1203" s="105" t="str">
        <f>VLOOKUP(Table__192.168.1.150_M_CONSOLIDATED_Delinquency_Compulsory_EOM[[#This Row],[Client No]],'Global Portfolio'!$B$2:$N$2500,11,FALSE)</f>
        <v>Finance</v>
      </c>
      <c r="AB1203" s="105" t="str">
        <f>VLOOKUP(Table__192.168.1.150_M_CONSOLIDATED_Delinquency_Compulsory_EOM[[#This Row],[Client No]],'Global Portfolio'!$B$2:$N$2500,12,FALSE)</f>
        <v>Microfinance Institutions</v>
      </c>
    </row>
    <row r="1204" spans="1:28" x14ac:dyDescent="0.25">
      <c r="A1204">
        <v>201125</v>
      </c>
      <c r="B1204" t="s">
        <v>4938</v>
      </c>
      <c r="C1204" t="s">
        <v>4940</v>
      </c>
      <c r="D1204" t="s">
        <v>1284</v>
      </c>
      <c r="E1204">
        <v>-21</v>
      </c>
      <c r="F1204">
        <v>15000000</v>
      </c>
      <c r="G1204">
        <v>10639648.98</v>
      </c>
      <c r="H1204">
        <v>1537072.24</v>
      </c>
      <c r="I1204" t="s">
        <v>2538</v>
      </c>
      <c r="J1204">
        <v>0</v>
      </c>
      <c r="K1204">
        <v>750000</v>
      </c>
      <c r="L1204">
        <v>94574.66</v>
      </c>
      <c r="M1204">
        <v>12296577.98</v>
      </c>
      <c r="N1204" s="711">
        <v>42908.44984548611</v>
      </c>
      <c r="O1204" s="711">
        <v>43273</v>
      </c>
      <c r="P1204" t="s">
        <v>4941</v>
      </c>
      <c r="Q1204" t="s">
        <v>1280</v>
      </c>
      <c r="R1204" t="s">
        <v>4942</v>
      </c>
      <c r="S1204" t="s">
        <v>1510</v>
      </c>
      <c r="T1204">
        <v>40</v>
      </c>
      <c r="U1204">
        <f>IF(Table__192.168.1.150_M_CONSOLIDATED_Delinquency_Compulsory_EOM[[#This Row],[Days in Arrears]] &lt; 8, Table__192.168.1.150_M_CONSOLIDATED_Delinquency_Compulsory_EOM[[#This Row],[Outstanding Balance]], 0 )</f>
        <v>10639648.98</v>
      </c>
      <c r="V12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4" s="105" t="str">
        <f>VLOOKUP(Table__192.168.1.150_M_CONSOLIDATED_Delinquency_Compulsory_EOM[[#This Row],[Client No]],'Global Portfolio'!$B$2:$N$2500,10,FALSE)</f>
        <v>Real Estate and Rental</v>
      </c>
      <c r="AA1204" s="105" t="str">
        <f>VLOOKUP(Table__192.168.1.150_M_CONSOLIDATED_Delinquency_Compulsory_EOM[[#This Row],[Client No]],'Global Portfolio'!$B$2:$N$2500,11,FALSE)</f>
        <v>Others</v>
      </c>
      <c r="AB1204" s="105" t="str">
        <f>VLOOKUP(Table__192.168.1.150_M_CONSOLIDATED_Delinquency_Compulsory_EOM[[#This Row],[Client No]],'Global Portfolio'!$B$2:$N$2500,12,FALSE)</f>
        <v>Others</v>
      </c>
    </row>
    <row r="1205" spans="1:28" x14ac:dyDescent="0.25">
      <c r="A1205">
        <v>201126</v>
      </c>
      <c r="B1205" t="s">
        <v>4949</v>
      </c>
      <c r="C1205" t="s">
        <v>4950</v>
      </c>
      <c r="D1205" t="s">
        <v>1283</v>
      </c>
      <c r="E1205">
        <v>7</v>
      </c>
      <c r="F1205">
        <v>40000000</v>
      </c>
      <c r="G1205">
        <v>31423796.66</v>
      </c>
      <c r="H1205">
        <v>4098859.31</v>
      </c>
      <c r="I1205" t="s">
        <v>491</v>
      </c>
      <c r="J1205">
        <v>0</v>
      </c>
      <c r="K1205">
        <v>0</v>
      </c>
      <c r="L1205">
        <v>1236609.2</v>
      </c>
      <c r="M1205">
        <v>36889733.850000001</v>
      </c>
      <c r="N1205" s="711">
        <v>42910.50086177083</v>
      </c>
      <c r="O1205" s="711">
        <v>43275</v>
      </c>
      <c r="P1205" t="s">
        <v>4951</v>
      </c>
      <c r="Q1205" t="s">
        <v>1280</v>
      </c>
      <c r="R1205" t="s">
        <v>1280</v>
      </c>
      <c r="S1205" t="s">
        <v>1510</v>
      </c>
      <c r="T1205">
        <v>40</v>
      </c>
      <c r="U1205">
        <f>IF(Table__192.168.1.150_M_CONSOLIDATED_Delinquency_Compulsory_EOM[[#This Row],[Days in Arrears]] &lt; 8, Table__192.168.1.150_M_CONSOLIDATED_Delinquency_Compulsory_EOM[[#This Row],[Outstanding Balance]], 0 )</f>
        <v>31423796.66</v>
      </c>
      <c r="V12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5" s="105" t="str">
        <f>VLOOKUP(Table__192.168.1.150_M_CONSOLIDATED_Delinquency_Compulsory_EOM[[#This Row],[Client No]],'Global Portfolio'!$B$2:$N$2500,10,FALSE)</f>
        <v>Retail</v>
      </c>
      <c r="AA1205" s="105" t="str">
        <f>VLOOKUP(Table__192.168.1.150_M_CONSOLIDATED_Delinquency_Compulsory_EOM[[#This Row],[Client No]],'Global Portfolio'!$B$2:$N$2500,11,FALSE)</f>
        <v>Others</v>
      </c>
      <c r="AB1205" s="105" t="str">
        <f>VLOOKUP(Table__192.168.1.150_M_CONSOLIDATED_Delinquency_Compulsory_EOM[[#This Row],[Client No]],'Global Portfolio'!$B$2:$N$2500,12,FALSE)</f>
        <v>Others</v>
      </c>
    </row>
    <row r="1206" spans="1:28" x14ac:dyDescent="0.25">
      <c r="A1206">
        <v>201127</v>
      </c>
      <c r="B1206" t="s">
        <v>2875</v>
      </c>
      <c r="C1206" t="s">
        <v>2878</v>
      </c>
      <c r="D1206" t="s">
        <v>1282</v>
      </c>
      <c r="E1206">
        <v>-20</v>
      </c>
      <c r="F1206">
        <v>3000000</v>
      </c>
      <c r="G1206">
        <v>2152165.7799999998</v>
      </c>
      <c r="H1206">
        <v>319656.52</v>
      </c>
      <c r="I1206" t="s">
        <v>4684</v>
      </c>
      <c r="J1206">
        <v>0</v>
      </c>
      <c r="K1206">
        <v>300000</v>
      </c>
      <c r="L1206">
        <v>25825.99</v>
      </c>
      <c r="M1206">
        <v>2557252.15</v>
      </c>
      <c r="N1206" s="711">
        <v>42907.513442013886</v>
      </c>
      <c r="O1206" s="711">
        <v>43272</v>
      </c>
      <c r="P1206" t="s">
        <v>2879</v>
      </c>
      <c r="Q1206" t="s">
        <v>2880</v>
      </c>
      <c r="R1206" t="s">
        <v>1280</v>
      </c>
      <c r="S1206" t="s">
        <v>1510</v>
      </c>
      <c r="T1206">
        <v>48</v>
      </c>
      <c r="U1206">
        <f>IF(Table__192.168.1.150_M_CONSOLIDATED_Delinquency_Compulsory_EOM[[#This Row],[Days in Arrears]] &lt; 8, Table__192.168.1.150_M_CONSOLIDATED_Delinquency_Compulsory_EOM[[#This Row],[Outstanding Balance]], 0 )</f>
        <v>2152165.7799999998</v>
      </c>
      <c r="V12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6" s="105" t="str">
        <f>VLOOKUP(Table__192.168.1.150_M_CONSOLIDATED_Delinquency_Compulsory_EOM[[#This Row],[Client No]],'Global Portfolio'!$B$2:$N$2500,10,FALSE)</f>
        <v>Retail</v>
      </c>
      <c r="AA1206" s="105" t="str">
        <f>VLOOKUP(Table__192.168.1.150_M_CONSOLIDATED_Delinquency_Compulsory_EOM[[#This Row],[Client No]],'Global Portfolio'!$B$2:$N$2500,11,FALSE)</f>
        <v>General Merchandise Stores</v>
      </c>
      <c r="AB1206" s="105" t="str">
        <f>VLOOKUP(Table__192.168.1.150_M_CONSOLIDATED_Delinquency_Compulsory_EOM[[#This Row],[Client No]],'Global Portfolio'!$B$2:$N$2500,12,FALSE)</f>
        <v>General Stores</v>
      </c>
    </row>
    <row r="1207" spans="1:28" x14ac:dyDescent="0.25">
      <c r="A1207">
        <v>201131</v>
      </c>
      <c r="B1207" t="s">
        <v>4943</v>
      </c>
      <c r="C1207" t="s">
        <v>4945</v>
      </c>
      <c r="D1207" t="s">
        <v>1284</v>
      </c>
      <c r="E1207">
        <v>-22</v>
      </c>
      <c r="F1207">
        <v>35000000</v>
      </c>
      <c r="G1207">
        <v>30901033.879999999</v>
      </c>
      <c r="H1207">
        <v>2141570.7400000002</v>
      </c>
      <c r="I1207" t="s">
        <v>1925</v>
      </c>
      <c r="J1207">
        <v>9565.6299999999992</v>
      </c>
      <c r="K1207">
        <v>1750000</v>
      </c>
      <c r="L1207">
        <v>240341.37</v>
      </c>
      <c r="M1207">
        <v>42831414.939999998</v>
      </c>
      <c r="N1207" s="711">
        <v>42909.555756562499</v>
      </c>
      <c r="O1207" s="711">
        <v>43639</v>
      </c>
      <c r="P1207" t="s">
        <v>4946</v>
      </c>
      <c r="Q1207" t="s">
        <v>1280</v>
      </c>
      <c r="R1207" t="s">
        <v>1280</v>
      </c>
      <c r="S1207" t="s">
        <v>1510</v>
      </c>
      <c r="T1207">
        <v>40</v>
      </c>
      <c r="U1207">
        <f>IF(Table__192.168.1.150_M_CONSOLIDATED_Delinquency_Compulsory_EOM[[#This Row],[Days in Arrears]] &lt; 8, Table__192.168.1.150_M_CONSOLIDATED_Delinquency_Compulsory_EOM[[#This Row],[Outstanding Balance]], 0 )</f>
        <v>30901033.879999999</v>
      </c>
      <c r="V12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7" s="105" t="str">
        <f>VLOOKUP(Table__192.168.1.150_M_CONSOLIDATED_Delinquency_Compulsory_EOM[[#This Row],[Client No]],'Global Portfolio'!$B$2:$N$2500,10,FALSE)</f>
        <v>Wholesale Trade</v>
      </c>
      <c r="AA1207" s="105" t="str">
        <f>VLOOKUP(Table__192.168.1.150_M_CONSOLIDATED_Delinquency_Compulsory_EOM[[#This Row],[Client No]],'Global Portfolio'!$B$2:$N$2500,11,FALSE)</f>
        <v>Nondurable Goods</v>
      </c>
      <c r="AB1207" s="105" t="str">
        <f>VLOOKUP(Table__192.168.1.150_M_CONSOLIDATED_Delinquency_Compulsory_EOM[[#This Row],[Client No]],'Global Portfolio'!$B$2:$N$2500,12,FALSE)</f>
        <v>Apparel, Piece Goods, &amp; Notions</v>
      </c>
    </row>
    <row r="1208" spans="1:28" x14ac:dyDescent="0.25">
      <c r="A1208">
        <v>201132</v>
      </c>
      <c r="B1208" t="s">
        <v>3668</v>
      </c>
      <c r="C1208" t="s">
        <v>3674</v>
      </c>
      <c r="D1208" t="s">
        <v>1279</v>
      </c>
      <c r="E1208">
        <v>-22</v>
      </c>
      <c r="F1208">
        <v>3000000</v>
      </c>
      <c r="G1208">
        <v>2152165.7799999998</v>
      </c>
      <c r="H1208">
        <v>319656.52</v>
      </c>
      <c r="I1208" t="s">
        <v>2034</v>
      </c>
      <c r="J1208">
        <v>17907.439999999999</v>
      </c>
      <c r="K1208">
        <v>300000</v>
      </c>
      <c r="L1208">
        <v>20086.88</v>
      </c>
      <c r="M1208">
        <v>2557252.15</v>
      </c>
      <c r="N1208" s="711">
        <v>42909.715059178241</v>
      </c>
      <c r="O1208" s="711">
        <v>43274</v>
      </c>
      <c r="P1208" t="s">
        <v>3675</v>
      </c>
      <c r="Q1208" t="s">
        <v>1280</v>
      </c>
      <c r="R1208" t="s">
        <v>1280</v>
      </c>
      <c r="S1208" t="s">
        <v>1510</v>
      </c>
      <c r="T1208">
        <v>48</v>
      </c>
      <c r="U1208">
        <f>IF(Table__192.168.1.150_M_CONSOLIDATED_Delinquency_Compulsory_EOM[[#This Row],[Days in Arrears]] &lt; 8, Table__192.168.1.150_M_CONSOLIDATED_Delinquency_Compulsory_EOM[[#This Row],[Outstanding Balance]], 0 )</f>
        <v>2152165.7799999998</v>
      </c>
      <c r="V12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8" s="105" t="str">
        <f>VLOOKUP(Table__192.168.1.150_M_CONSOLIDATED_Delinquency_Compulsory_EOM[[#This Row],[Client No]],'Global Portfolio'!$B$2:$N$2500,10,FALSE)</f>
        <v>Retail</v>
      </c>
      <c r="AA1208" s="105" t="str">
        <f>VLOOKUP(Table__192.168.1.150_M_CONSOLIDATED_Delinquency_Compulsory_EOM[[#This Row],[Client No]],'Global Portfolio'!$B$2:$N$2500,11,FALSE)</f>
        <v>General Merchandise Stores</v>
      </c>
      <c r="AB1208" s="105" t="str">
        <f>VLOOKUP(Table__192.168.1.150_M_CONSOLIDATED_Delinquency_Compulsory_EOM[[#This Row],[Client No]],'Global Portfolio'!$B$2:$N$2500,12,FALSE)</f>
        <v>General Stores</v>
      </c>
    </row>
    <row r="1209" spans="1:28" x14ac:dyDescent="0.25">
      <c r="A1209">
        <v>201134</v>
      </c>
      <c r="B1209" t="s">
        <v>4944</v>
      </c>
      <c r="C1209" t="s">
        <v>4947</v>
      </c>
      <c r="D1209" t="s">
        <v>1281</v>
      </c>
      <c r="E1209">
        <v>8</v>
      </c>
      <c r="F1209">
        <v>20000000</v>
      </c>
      <c r="G1209">
        <v>15745468.880000001</v>
      </c>
      <c r="H1209">
        <v>2069678.99</v>
      </c>
      <c r="I1209" t="s">
        <v>2175</v>
      </c>
      <c r="J1209">
        <v>0</v>
      </c>
      <c r="K1209">
        <v>1560407</v>
      </c>
      <c r="L1209">
        <v>545956.6</v>
      </c>
      <c r="M1209">
        <v>18505789.829999998</v>
      </c>
      <c r="N1209" s="711">
        <v>42909.698539201388</v>
      </c>
      <c r="O1209" s="711">
        <v>43274</v>
      </c>
      <c r="P1209" t="s">
        <v>4948</v>
      </c>
      <c r="Q1209" t="s">
        <v>1280</v>
      </c>
      <c r="R1209" t="s">
        <v>1280</v>
      </c>
      <c r="S1209" t="s">
        <v>1510</v>
      </c>
      <c r="T1209">
        <v>42</v>
      </c>
      <c r="U1209">
        <f>IF(Table__192.168.1.150_M_CONSOLIDATED_Delinquency_Compulsory_EOM[[#This Row],[Days in Arrears]] &lt; 8, Table__192.168.1.150_M_CONSOLIDATED_Delinquency_Compulsory_EOM[[#This Row],[Outstanding Balance]], 0 )</f>
        <v>0</v>
      </c>
      <c r="V12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15745468.880000001</v>
      </c>
      <c r="W12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09" s="105" t="str">
        <f>VLOOKUP(Table__192.168.1.150_M_CONSOLIDATED_Delinquency_Compulsory_EOM[[#This Row],[Client No]],'Global Portfolio'!$B$2:$N$2500,10,FALSE)</f>
        <v>Real Estate and Rental</v>
      </c>
      <c r="AA1209" s="105" t="str">
        <f>VLOOKUP(Table__192.168.1.150_M_CONSOLIDATED_Delinquency_Compulsory_EOM[[#This Row],[Client No]],'Global Portfolio'!$B$2:$N$2500,11,FALSE)</f>
        <v>Rental</v>
      </c>
      <c r="AB1209" s="105" t="str">
        <f>VLOOKUP(Table__192.168.1.150_M_CONSOLIDATED_Delinquency_Compulsory_EOM[[#This Row],[Client No]],'Global Portfolio'!$B$2:$N$2500,12,FALSE)</f>
        <v>General Rental Centers</v>
      </c>
    </row>
    <row r="1210" spans="1:28" x14ac:dyDescent="0.25">
      <c r="A1210">
        <v>201136</v>
      </c>
      <c r="B1210" t="s">
        <v>4952</v>
      </c>
      <c r="C1210" t="s">
        <v>4959</v>
      </c>
      <c r="D1210" t="s">
        <v>1283</v>
      </c>
      <c r="E1210">
        <v>0</v>
      </c>
      <c r="F1210">
        <v>40000000</v>
      </c>
      <c r="G1210">
        <v>31592741.809999999</v>
      </c>
      <c r="H1210">
        <v>4120896.19</v>
      </c>
      <c r="I1210" t="s">
        <v>1925</v>
      </c>
      <c r="J1210">
        <v>662322.47</v>
      </c>
      <c r="K1210">
        <v>2000000</v>
      </c>
      <c r="L1210">
        <v>1017988.35</v>
      </c>
      <c r="M1210">
        <v>37088065.759999998</v>
      </c>
      <c r="N1210" s="711">
        <v>42912.623562002314</v>
      </c>
      <c r="O1210" s="711">
        <v>43282</v>
      </c>
      <c r="P1210" t="s">
        <v>4960</v>
      </c>
      <c r="Q1210" t="s">
        <v>5078</v>
      </c>
      <c r="R1210" t="s">
        <v>4961</v>
      </c>
      <c r="S1210" t="s">
        <v>1510</v>
      </c>
      <c r="T1210">
        <v>40</v>
      </c>
      <c r="U1210">
        <f>IF(Table__192.168.1.150_M_CONSOLIDATED_Delinquency_Compulsory_EOM[[#This Row],[Days in Arrears]] &lt; 8, Table__192.168.1.150_M_CONSOLIDATED_Delinquency_Compulsory_EOM[[#This Row],[Outstanding Balance]], 0 )</f>
        <v>31592741.809999999</v>
      </c>
      <c r="V12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0" s="105" t="str">
        <f>VLOOKUP(Table__192.168.1.150_M_CONSOLIDATED_Delinquency_Compulsory_EOM[[#This Row],[Client No]],'Global Portfolio'!$B$2:$N$2500,10,FALSE)</f>
        <v>Wholesale Trade</v>
      </c>
      <c r="AA1210" s="105" t="str">
        <f>VLOOKUP(Table__192.168.1.150_M_CONSOLIDATED_Delinquency_Compulsory_EOM[[#This Row],[Client No]],'Global Portfolio'!$B$2:$N$2500,11,FALSE)</f>
        <v>Others</v>
      </c>
      <c r="AB1210" s="105" t="str">
        <f>VLOOKUP(Table__192.168.1.150_M_CONSOLIDATED_Delinquency_Compulsory_EOM[[#This Row],[Client No]],'Global Portfolio'!$B$2:$N$2500,12,FALSE)</f>
        <v>Others</v>
      </c>
    </row>
    <row r="1211" spans="1:28" x14ac:dyDescent="0.25">
      <c r="A1211">
        <v>201137</v>
      </c>
      <c r="B1211" t="s">
        <v>4955</v>
      </c>
      <c r="C1211" t="s">
        <v>4962</v>
      </c>
      <c r="D1211" t="s">
        <v>1279</v>
      </c>
      <c r="E1211">
        <v>0</v>
      </c>
      <c r="F1211">
        <v>4000000</v>
      </c>
      <c r="G1211">
        <v>2147159.52</v>
      </c>
      <c r="H1211">
        <v>781079.44</v>
      </c>
      <c r="I1211" t="s">
        <v>4919</v>
      </c>
      <c r="J1211">
        <v>2227.65</v>
      </c>
      <c r="K1211">
        <v>400000</v>
      </c>
      <c r="L1211">
        <v>93401.44</v>
      </c>
      <c r="M1211">
        <v>2343238.2999999998</v>
      </c>
      <c r="N1211" s="711">
        <v>42912.715486307869</v>
      </c>
      <c r="O1211" s="711">
        <v>43101</v>
      </c>
      <c r="P1211" t="s">
        <v>4963</v>
      </c>
      <c r="Q1211" t="s">
        <v>4964</v>
      </c>
      <c r="R1211" t="s">
        <v>1280</v>
      </c>
      <c r="S1211" t="s">
        <v>1510</v>
      </c>
      <c r="T1211">
        <v>54</v>
      </c>
      <c r="U1211">
        <f>IF(Table__192.168.1.150_M_CONSOLIDATED_Delinquency_Compulsory_EOM[[#This Row],[Days in Arrears]] &lt; 8, Table__192.168.1.150_M_CONSOLIDATED_Delinquency_Compulsory_EOM[[#This Row],[Outstanding Balance]], 0 )</f>
        <v>2147159.52</v>
      </c>
      <c r="V12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1" s="105" t="str">
        <f>VLOOKUP(Table__192.168.1.150_M_CONSOLIDATED_Delinquency_Compulsory_EOM[[#This Row],[Client No]],'Global Portfolio'!$B$2:$N$2500,10,FALSE)</f>
        <v>Retail</v>
      </c>
      <c r="AA1211" s="105" t="str">
        <f>VLOOKUP(Table__192.168.1.150_M_CONSOLIDATED_Delinquency_Compulsory_EOM[[#This Row],[Client No]],'Global Portfolio'!$B$2:$N$2500,11,FALSE)</f>
        <v>Others</v>
      </c>
      <c r="AB1211" s="105" t="str">
        <f>VLOOKUP(Table__192.168.1.150_M_CONSOLIDATED_Delinquency_Compulsory_EOM[[#This Row],[Client No]],'Global Portfolio'!$B$2:$N$2500,12,FALSE)</f>
        <v>Others</v>
      </c>
    </row>
    <row r="1212" spans="1:28" x14ac:dyDescent="0.25">
      <c r="A1212">
        <v>201138</v>
      </c>
      <c r="B1212" t="s">
        <v>4953</v>
      </c>
      <c r="C1212" t="s">
        <v>4965</v>
      </c>
      <c r="D1212" t="s">
        <v>1279</v>
      </c>
      <c r="E1212">
        <v>-24</v>
      </c>
      <c r="F1212">
        <v>2500000</v>
      </c>
      <c r="G1212">
        <v>1627275.47</v>
      </c>
      <c r="H1212">
        <v>315493.53999999998</v>
      </c>
      <c r="I1212" t="s">
        <v>2855</v>
      </c>
      <c r="J1212">
        <v>0</v>
      </c>
      <c r="K1212">
        <v>250000</v>
      </c>
      <c r="L1212">
        <v>12204.57</v>
      </c>
      <c r="M1212">
        <v>1892961.27</v>
      </c>
      <c r="N1212" s="711">
        <v>42912.698358368056</v>
      </c>
      <c r="O1212" s="711">
        <v>43215</v>
      </c>
      <c r="P1212" t="s">
        <v>4966</v>
      </c>
      <c r="Q1212" t="s">
        <v>4967</v>
      </c>
      <c r="R1212" t="s">
        <v>1280</v>
      </c>
      <c r="S1212" t="s">
        <v>1510</v>
      </c>
      <c r="T1212">
        <v>54</v>
      </c>
      <c r="U1212">
        <f>IF(Table__192.168.1.150_M_CONSOLIDATED_Delinquency_Compulsory_EOM[[#This Row],[Days in Arrears]] &lt; 8, Table__192.168.1.150_M_CONSOLIDATED_Delinquency_Compulsory_EOM[[#This Row],[Outstanding Balance]], 0 )</f>
        <v>1627275.47</v>
      </c>
      <c r="V12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2" s="105" t="str">
        <f>VLOOKUP(Table__192.168.1.150_M_CONSOLIDATED_Delinquency_Compulsory_EOM[[#This Row],[Client No]],'Global Portfolio'!$B$2:$N$2500,10,FALSE)</f>
        <v>Retail</v>
      </c>
      <c r="AA1212" s="105" t="str">
        <f>VLOOKUP(Table__192.168.1.150_M_CONSOLIDATED_Delinquency_Compulsory_EOM[[#This Row],[Client No]],'Global Portfolio'!$B$2:$N$2500,11,FALSE)</f>
        <v>General Merchandise Stores</v>
      </c>
      <c r="AB1212" s="105" t="str">
        <f>VLOOKUP(Table__192.168.1.150_M_CONSOLIDATED_Delinquency_Compulsory_EOM[[#This Row],[Client No]],'Global Portfolio'!$B$2:$N$2500,12,FALSE)</f>
        <v>General Stores</v>
      </c>
    </row>
    <row r="1213" spans="1:28" x14ac:dyDescent="0.25">
      <c r="A1213">
        <v>201139</v>
      </c>
      <c r="B1213" t="s">
        <v>4968</v>
      </c>
      <c r="C1213" t="s">
        <v>4970</v>
      </c>
      <c r="D1213" t="s">
        <v>1279</v>
      </c>
      <c r="E1213">
        <v>30</v>
      </c>
      <c r="F1213">
        <v>2000000</v>
      </c>
      <c r="G1213">
        <v>1572946.23</v>
      </c>
      <c r="H1213">
        <v>304960.28000000003</v>
      </c>
      <c r="I1213" t="s">
        <v>4683</v>
      </c>
      <c r="J1213">
        <v>0</v>
      </c>
      <c r="K1213">
        <v>200000</v>
      </c>
      <c r="L1213">
        <v>129019.01</v>
      </c>
      <c r="M1213">
        <v>1829761.67</v>
      </c>
      <c r="N1213" s="711">
        <v>42913.683103437499</v>
      </c>
      <c r="O1213" s="711">
        <v>43160</v>
      </c>
      <c r="P1213" t="s">
        <v>4971</v>
      </c>
      <c r="Q1213" t="s">
        <v>1280</v>
      </c>
      <c r="R1213" t="s">
        <v>1280</v>
      </c>
      <c r="S1213" t="s">
        <v>1510</v>
      </c>
      <c r="T1213">
        <v>54</v>
      </c>
      <c r="U1213">
        <f>IF(Table__192.168.1.150_M_CONSOLIDATED_Delinquency_Compulsory_EOM[[#This Row],[Days in Arrears]] &lt; 8, Table__192.168.1.150_M_CONSOLIDATED_Delinquency_Compulsory_EOM[[#This Row],[Outstanding Balance]], 0 )</f>
        <v>0</v>
      </c>
      <c r="V12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1572946.23</v>
      </c>
      <c r="X12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3" s="105" t="str">
        <f>VLOOKUP(Table__192.168.1.150_M_CONSOLIDATED_Delinquency_Compulsory_EOM[[#This Row],[Client No]],'Global Portfolio'!$B$2:$N$2500,10,FALSE)</f>
        <v>Retail</v>
      </c>
      <c r="AA1213" s="105" t="str">
        <f>VLOOKUP(Table__192.168.1.150_M_CONSOLIDATED_Delinquency_Compulsory_EOM[[#This Row],[Client No]],'Global Portfolio'!$B$2:$N$2500,11,FALSE)</f>
        <v>General Merchandise Stores</v>
      </c>
      <c r="AB1213" s="105" t="str">
        <f>VLOOKUP(Table__192.168.1.150_M_CONSOLIDATED_Delinquency_Compulsory_EOM[[#This Row],[Client No]],'Global Portfolio'!$B$2:$N$2500,12,FALSE)</f>
        <v>General Stores</v>
      </c>
    </row>
    <row r="1214" spans="1:28" x14ac:dyDescent="0.25">
      <c r="A1214">
        <v>201140</v>
      </c>
      <c r="B1214" t="s">
        <v>4969</v>
      </c>
      <c r="C1214" t="s">
        <v>4972</v>
      </c>
      <c r="D1214" t="s">
        <v>1286</v>
      </c>
      <c r="E1214">
        <v>-20</v>
      </c>
      <c r="F1214">
        <v>4500000</v>
      </c>
      <c r="G1214">
        <v>933665.52</v>
      </c>
      <c r="H1214">
        <v>953116.86</v>
      </c>
      <c r="I1214" t="s">
        <v>284</v>
      </c>
      <c r="J1214">
        <v>0</v>
      </c>
      <c r="K1214">
        <v>0</v>
      </c>
      <c r="L1214">
        <v>5835.41</v>
      </c>
      <c r="M1214">
        <v>953116.89</v>
      </c>
      <c r="N1214" s="711">
        <v>42913.550699918982</v>
      </c>
      <c r="O1214" s="711">
        <v>43060</v>
      </c>
      <c r="P1214" t="s">
        <v>4973</v>
      </c>
      <c r="Q1214" t="s">
        <v>1280</v>
      </c>
      <c r="R1214" t="s">
        <v>1280</v>
      </c>
      <c r="S1214" t="s">
        <v>1510</v>
      </c>
      <c r="T1214">
        <v>25</v>
      </c>
      <c r="U1214">
        <f>IF(Table__192.168.1.150_M_CONSOLIDATED_Delinquency_Compulsory_EOM[[#This Row],[Days in Arrears]] &lt; 8, Table__192.168.1.150_M_CONSOLIDATED_Delinquency_Compulsory_EOM[[#This Row],[Outstanding Balance]], 0 )</f>
        <v>933665.52</v>
      </c>
      <c r="V12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4" s="105" t="e">
        <f>VLOOKUP(Table__192.168.1.150_M_CONSOLIDATED_Delinquency_Compulsory_EOM[[#This Row],[Client No]],'Global Portfolio'!$B$2:$N$2500,10,FALSE)</f>
        <v>#N/A</v>
      </c>
      <c r="AA1214" s="105" t="e">
        <f>VLOOKUP(Table__192.168.1.150_M_CONSOLIDATED_Delinquency_Compulsory_EOM[[#This Row],[Client No]],'Global Portfolio'!$B$2:$N$2500,11,FALSE)</f>
        <v>#N/A</v>
      </c>
      <c r="AB1214" s="105" t="e">
        <f>VLOOKUP(Table__192.168.1.150_M_CONSOLIDATED_Delinquency_Compulsory_EOM[[#This Row],[Client No]],'Global Portfolio'!$B$2:$N$2500,12,FALSE)</f>
        <v>#N/A</v>
      </c>
    </row>
    <row r="1215" spans="1:28" x14ac:dyDescent="0.25">
      <c r="A1215">
        <v>201141</v>
      </c>
      <c r="B1215" t="s">
        <v>4061</v>
      </c>
      <c r="C1215" t="s">
        <v>4065</v>
      </c>
      <c r="D1215" t="s">
        <v>1286</v>
      </c>
      <c r="E1215">
        <v>-20</v>
      </c>
      <c r="F1215">
        <v>800000</v>
      </c>
      <c r="G1215">
        <v>165984.97</v>
      </c>
      <c r="H1215">
        <v>169443</v>
      </c>
      <c r="I1215" t="s">
        <v>284</v>
      </c>
      <c r="J1215">
        <v>478251.12</v>
      </c>
      <c r="K1215">
        <v>0</v>
      </c>
      <c r="L1215">
        <v>1037.4100000000001</v>
      </c>
      <c r="M1215">
        <v>169442.99</v>
      </c>
      <c r="N1215" s="711">
        <v>42913.683876388888</v>
      </c>
      <c r="O1215" s="711">
        <v>43060</v>
      </c>
      <c r="P1215" t="s">
        <v>4066</v>
      </c>
      <c r="Q1215" t="s">
        <v>1280</v>
      </c>
      <c r="R1215" t="s">
        <v>1280</v>
      </c>
      <c r="S1215" t="s">
        <v>1510</v>
      </c>
      <c r="T1215">
        <v>25</v>
      </c>
      <c r="U1215">
        <f>IF(Table__192.168.1.150_M_CONSOLIDATED_Delinquency_Compulsory_EOM[[#This Row],[Days in Arrears]] &lt; 8, Table__192.168.1.150_M_CONSOLIDATED_Delinquency_Compulsory_EOM[[#This Row],[Outstanding Balance]], 0 )</f>
        <v>165984.97</v>
      </c>
      <c r="V12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5" s="105" t="e">
        <f>VLOOKUP(Table__192.168.1.150_M_CONSOLIDATED_Delinquency_Compulsory_EOM[[#This Row],[Client No]],'Global Portfolio'!$B$2:$N$2500,10,FALSE)</f>
        <v>#N/A</v>
      </c>
      <c r="AA1215" s="105" t="e">
        <f>VLOOKUP(Table__192.168.1.150_M_CONSOLIDATED_Delinquency_Compulsory_EOM[[#This Row],[Client No]],'Global Portfolio'!$B$2:$N$2500,11,FALSE)</f>
        <v>#N/A</v>
      </c>
      <c r="AB1215" s="105" t="e">
        <f>VLOOKUP(Table__192.168.1.150_M_CONSOLIDATED_Delinquency_Compulsory_EOM[[#This Row],[Client No]],'Global Portfolio'!$B$2:$N$2500,12,FALSE)</f>
        <v>#N/A</v>
      </c>
    </row>
    <row r="1216" spans="1:28" x14ac:dyDescent="0.25">
      <c r="A1216">
        <v>201142</v>
      </c>
      <c r="B1216" t="s">
        <v>4974</v>
      </c>
      <c r="C1216" t="s">
        <v>4975</v>
      </c>
      <c r="D1216" t="s">
        <v>1282</v>
      </c>
      <c r="E1216">
        <v>0</v>
      </c>
      <c r="F1216">
        <v>5000000</v>
      </c>
      <c r="G1216">
        <v>3342144.56</v>
      </c>
      <c r="H1216">
        <v>761312.59</v>
      </c>
      <c r="I1216" t="s">
        <v>4686</v>
      </c>
      <c r="J1216">
        <v>0</v>
      </c>
      <c r="K1216">
        <v>500000</v>
      </c>
      <c r="L1216">
        <v>145383.29</v>
      </c>
      <c r="M1216">
        <v>3806562.95</v>
      </c>
      <c r="N1216" s="711">
        <v>42914.675568865743</v>
      </c>
      <c r="O1216" s="711">
        <v>43160</v>
      </c>
      <c r="P1216" t="s">
        <v>4976</v>
      </c>
      <c r="Q1216" t="s">
        <v>1280</v>
      </c>
      <c r="R1216" t="s">
        <v>1280</v>
      </c>
      <c r="S1216" t="s">
        <v>1510</v>
      </c>
      <c r="T1216">
        <v>54</v>
      </c>
      <c r="U1216">
        <f>IF(Table__192.168.1.150_M_CONSOLIDATED_Delinquency_Compulsory_EOM[[#This Row],[Days in Arrears]] &lt; 8, Table__192.168.1.150_M_CONSOLIDATED_Delinquency_Compulsory_EOM[[#This Row],[Outstanding Balance]], 0 )</f>
        <v>3342144.56</v>
      </c>
      <c r="V12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6" s="105" t="str">
        <f>VLOOKUP(Table__192.168.1.150_M_CONSOLIDATED_Delinquency_Compulsory_EOM[[#This Row],[Client No]],'Global Portfolio'!$B$2:$N$2500,10,FALSE)</f>
        <v>Retail</v>
      </c>
      <c r="AA1216" s="105" t="str">
        <f>VLOOKUP(Table__192.168.1.150_M_CONSOLIDATED_Delinquency_Compulsory_EOM[[#This Row],[Client No]],'Global Portfolio'!$B$2:$N$2500,11,FALSE)</f>
        <v>Others</v>
      </c>
      <c r="AB1216" s="105" t="str">
        <f>VLOOKUP(Table__192.168.1.150_M_CONSOLIDATED_Delinquency_Compulsory_EOM[[#This Row],[Client No]],'Global Portfolio'!$B$2:$N$2500,12,FALSE)</f>
        <v>Others</v>
      </c>
    </row>
    <row r="1217" spans="1:28" x14ac:dyDescent="0.25">
      <c r="A1217">
        <v>201144</v>
      </c>
      <c r="B1217" t="s">
        <v>4977</v>
      </c>
      <c r="C1217" t="s">
        <v>4978</v>
      </c>
      <c r="D1217" t="s">
        <v>1282</v>
      </c>
      <c r="E1217">
        <v>0</v>
      </c>
      <c r="F1217">
        <v>6000000</v>
      </c>
      <c r="G1217">
        <v>4004841.35</v>
      </c>
      <c r="H1217">
        <v>912269.38</v>
      </c>
      <c r="I1217" t="s">
        <v>2855</v>
      </c>
      <c r="J1217">
        <v>0</v>
      </c>
      <c r="K1217">
        <v>600000</v>
      </c>
      <c r="L1217">
        <v>174210.6</v>
      </c>
      <c r="M1217">
        <v>4561346.88</v>
      </c>
      <c r="N1217" s="711">
        <v>42915.478969247684</v>
      </c>
      <c r="O1217" s="711">
        <v>43160</v>
      </c>
      <c r="P1217" t="s">
        <v>4979</v>
      </c>
      <c r="Q1217" t="s">
        <v>1280</v>
      </c>
      <c r="R1217" t="s">
        <v>1280</v>
      </c>
      <c r="S1217" t="s">
        <v>1510</v>
      </c>
      <c r="T1217">
        <v>54</v>
      </c>
      <c r="U1217">
        <f>IF(Table__192.168.1.150_M_CONSOLIDATED_Delinquency_Compulsory_EOM[[#This Row],[Days in Arrears]] &lt; 8, Table__192.168.1.150_M_CONSOLIDATED_Delinquency_Compulsory_EOM[[#This Row],[Outstanding Balance]], 0 )</f>
        <v>4004841.35</v>
      </c>
      <c r="V12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7" s="105" t="str">
        <f>VLOOKUP(Table__192.168.1.150_M_CONSOLIDATED_Delinquency_Compulsory_EOM[[#This Row],[Client No]],'Global Portfolio'!$B$2:$N$2500,10,FALSE)</f>
        <v>Retail</v>
      </c>
      <c r="AA1217" s="105" t="str">
        <f>VLOOKUP(Table__192.168.1.150_M_CONSOLIDATED_Delinquency_Compulsory_EOM[[#This Row],[Client No]],'Global Portfolio'!$B$2:$N$2500,11,FALSE)</f>
        <v>Others</v>
      </c>
      <c r="AB1217" s="105" t="str">
        <f>VLOOKUP(Table__192.168.1.150_M_CONSOLIDATED_Delinquency_Compulsory_EOM[[#This Row],[Client No]],'Global Portfolio'!$B$2:$N$2500,12,FALSE)</f>
        <v>Others</v>
      </c>
    </row>
    <row r="1218" spans="1:28" x14ac:dyDescent="0.25">
      <c r="A1218">
        <v>201145</v>
      </c>
      <c r="B1218" t="s">
        <v>1931</v>
      </c>
      <c r="C1218" t="s">
        <v>1932</v>
      </c>
      <c r="D1218" t="s">
        <v>1284</v>
      </c>
      <c r="E1218">
        <v>-23</v>
      </c>
      <c r="F1218">
        <v>18500000</v>
      </c>
      <c r="G1218">
        <v>12995773.16</v>
      </c>
      <c r="H1218">
        <v>1851330.92</v>
      </c>
      <c r="I1218" t="s">
        <v>1467</v>
      </c>
      <c r="J1218">
        <v>0</v>
      </c>
      <c r="K1218">
        <v>0</v>
      </c>
      <c r="L1218">
        <v>77974.64</v>
      </c>
      <c r="M1218">
        <v>14810647.300000001</v>
      </c>
      <c r="N1218" s="711">
        <v>42914.672504629627</v>
      </c>
      <c r="O1218" s="711">
        <v>43275</v>
      </c>
      <c r="P1218" t="s">
        <v>1933</v>
      </c>
      <c r="Q1218" t="s">
        <v>1280</v>
      </c>
      <c r="R1218" t="s">
        <v>1280</v>
      </c>
      <c r="S1218" t="s">
        <v>1510</v>
      </c>
      <c r="T1218">
        <v>36</v>
      </c>
      <c r="U1218">
        <f>IF(Table__192.168.1.150_M_CONSOLIDATED_Delinquency_Compulsory_EOM[[#This Row],[Days in Arrears]] &lt; 8, Table__192.168.1.150_M_CONSOLIDATED_Delinquency_Compulsory_EOM[[#This Row],[Outstanding Balance]], 0 )</f>
        <v>12995773.16</v>
      </c>
      <c r="V12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8" s="105" t="str">
        <f>VLOOKUP(Table__192.168.1.150_M_CONSOLIDATED_Delinquency_Compulsory_EOM[[#This Row],[Client No]],'Global Portfolio'!$B$2:$N$2500,10,FALSE)</f>
        <v>Retail</v>
      </c>
      <c r="AA1218" s="105" t="str">
        <f>VLOOKUP(Table__192.168.1.150_M_CONSOLIDATED_Delinquency_Compulsory_EOM[[#This Row],[Client No]],'Global Portfolio'!$B$2:$N$2500,11,FALSE)</f>
        <v>General Merchandise Stores</v>
      </c>
      <c r="AB1218" s="105" t="str">
        <f>VLOOKUP(Table__192.168.1.150_M_CONSOLIDATED_Delinquency_Compulsory_EOM[[#This Row],[Client No]],'Global Portfolio'!$B$2:$N$2500,12,FALSE)</f>
        <v>General Stores</v>
      </c>
    </row>
    <row r="1219" spans="1:28" x14ac:dyDescent="0.25">
      <c r="A1219">
        <v>201147</v>
      </c>
      <c r="B1219" t="s">
        <v>4980</v>
      </c>
      <c r="C1219" t="s">
        <v>4985</v>
      </c>
      <c r="D1219" t="s">
        <v>1282</v>
      </c>
      <c r="E1219">
        <v>-23</v>
      </c>
      <c r="F1219">
        <v>5000000</v>
      </c>
      <c r="G1219">
        <v>2696095.97</v>
      </c>
      <c r="H1219">
        <v>751519.62</v>
      </c>
      <c r="I1219" t="s">
        <v>1909</v>
      </c>
      <c r="J1219">
        <v>0</v>
      </c>
      <c r="K1219">
        <v>500000</v>
      </c>
      <c r="L1219">
        <v>24264.86</v>
      </c>
      <c r="M1219">
        <v>3006078.51</v>
      </c>
      <c r="N1219" s="711">
        <v>42916.451436493058</v>
      </c>
      <c r="O1219" s="711">
        <v>43155</v>
      </c>
      <c r="P1219" t="s">
        <v>4986</v>
      </c>
      <c r="Q1219" t="s">
        <v>1280</v>
      </c>
      <c r="R1219" t="s">
        <v>4987</v>
      </c>
      <c r="S1219" t="s">
        <v>1510</v>
      </c>
      <c r="T1219">
        <v>54</v>
      </c>
      <c r="U1219">
        <f>IF(Table__192.168.1.150_M_CONSOLIDATED_Delinquency_Compulsory_EOM[[#This Row],[Days in Arrears]] &lt; 8, Table__192.168.1.150_M_CONSOLIDATED_Delinquency_Compulsory_EOM[[#This Row],[Outstanding Balance]], 0 )</f>
        <v>2696095.97</v>
      </c>
      <c r="V12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19" s="105" t="str">
        <f>VLOOKUP(Table__192.168.1.150_M_CONSOLIDATED_Delinquency_Compulsory_EOM[[#This Row],[Client No]],'Global Portfolio'!$B$2:$N$2500,10,FALSE)</f>
        <v>Retail</v>
      </c>
      <c r="AA1219" s="105" t="str">
        <f>VLOOKUP(Table__192.168.1.150_M_CONSOLIDATED_Delinquency_Compulsory_EOM[[#This Row],[Client No]],'Global Portfolio'!$B$2:$N$2500,11,FALSE)</f>
        <v>General Merchandise Stores</v>
      </c>
      <c r="AB1219" s="105" t="str">
        <f>VLOOKUP(Table__192.168.1.150_M_CONSOLIDATED_Delinquency_Compulsory_EOM[[#This Row],[Client No]],'Global Portfolio'!$B$2:$N$2500,12,FALSE)</f>
        <v>General Stores</v>
      </c>
    </row>
    <row r="1220" spans="1:28" x14ac:dyDescent="0.25">
      <c r="A1220">
        <v>201148</v>
      </c>
      <c r="B1220" t="s">
        <v>4981</v>
      </c>
      <c r="C1220" t="s">
        <v>4988</v>
      </c>
      <c r="D1220" t="s">
        <v>1282</v>
      </c>
      <c r="E1220">
        <v>0</v>
      </c>
      <c r="F1220">
        <v>2500000</v>
      </c>
      <c r="G1220">
        <v>1666295.5</v>
      </c>
      <c r="H1220">
        <v>379568.19</v>
      </c>
      <c r="I1220" t="s">
        <v>4844</v>
      </c>
      <c r="J1220">
        <v>369431.81</v>
      </c>
      <c r="K1220">
        <v>250000</v>
      </c>
      <c r="L1220">
        <v>72483.850000000006</v>
      </c>
      <c r="M1220">
        <v>1897840.92</v>
      </c>
      <c r="N1220" s="711">
        <v>42916.555747106482</v>
      </c>
      <c r="O1220" s="711">
        <v>43160</v>
      </c>
      <c r="P1220" t="s">
        <v>4989</v>
      </c>
      <c r="Q1220" t="s">
        <v>1280</v>
      </c>
      <c r="R1220" t="s">
        <v>1280</v>
      </c>
      <c r="S1220" t="s">
        <v>1510</v>
      </c>
      <c r="T1220">
        <v>54</v>
      </c>
      <c r="U1220">
        <f>IF(Table__192.168.1.150_M_CONSOLIDATED_Delinquency_Compulsory_EOM[[#This Row],[Days in Arrears]] &lt; 8, Table__192.168.1.150_M_CONSOLIDATED_Delinquency_Compulsory_EOM[[#This Row],[Outstanding Balance]], 0 )</f>
        <v>1666295.5</v>
      </c>
      <c r="V12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0" s="105" t="str">
        <f>VLOOKUP(Table__192.168.1.150_M_CONSOLIDATED_Delinquency_Compulsory_EOM[[#This Row],[Client No]],'Global Portfolio'!$B$2:$N$2500,10,FALSE)</f>
        <v>Retail</v>
      </c>
      <c r="AA1220" s="105" t="str">
        <f>VLOOKUP(Table__192.168.1.150_M_CONSOLIDATED_Delinquency_Compulsory_EOM[[#This Row],[Client No]],'Global Portfolio'!$B$2:$N$2500,11,FALSE)</f>
        <v>Others</v>
      </c>
      <c r="AB1220" s="105" t="str">
        <f>VLOOKUP(Table__192.168.1.150_M_CONSOLIDATED_Delinquency_Compulsory_EOM[[#This Row],[Client No]],'Global Portfolio'!$B$2:$N$2500,12,FALSE)</f>
        <v>Others</v>
      </c>
    </row>
    <row r="1221" spans="1:28" x14ac:dyDescent="0.25">
      <c r="A1221">
        <v>201151</v>
      </c>
      <c r="B1221" t="s">
        <v>4990</v>
      </c>
      <c r="C1221" t="s">
        <v>4991</v>
      </c>
      <c r="D1221" t="s">
        <v>1284</v>
      </c>
      <c r="E1221">
        <v>-3</v>
      </c>
      <c r="F1221">
        <v>12000000</v>
      </c>
      <c r="G1221">
        <v>9427139.0099999998</v>
      </c>
      <c r="H1221">
        <v>1229657.79</v>
      </c>
      <c r="I1221" t="s">
        <v>2855</v>
      </c>
      <c r="J1221">
        <v>1284026.6299999999</v>
      </c>
      <c r="K1221">
        <v>600000</v>
      </c>
      <c r="L1221">
        <v>272339.57</v>
      </c>
      <c r="M1221">
        <v>11066920.17</v>
      </c>
      <c r="N1221" s="711">
        <v>42920.705316631946</v>
      </c>
      <c r="O1221" s="711">
        <v>43285</v>
      </c>
      <c r="P1221" t="s">
        <v>4992</v>
      </c>
      <c r="Q1221" t="s">
        <v>4993</v>
      </c>
      <c r="R1221" t="s">
        <v>1280</v>
      </c>
      <c r="S1221" t="s">
        <v>1510</v>
      </c>
      <c r="T1221">
        <v>40</v>
      </c>
      <c r="U1221">
        <f>IF(Table__192.168.1.150_M_CONSOLIDATED_Delinquency_Compulsory_EOM[[#This Row],[Days in Arrears]] &lt; 8, Table__192.168.1.150_M_CONSOLIDATED_Delinquency_Compulsory_EOM[[#This Row],[Outstanding Balance]], 0 )</f>
        <v>9427139.0099999998</v>
      </c>
      <c r="V12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1" s="105" t="str">
        <f>VLOOKUP(Table__192.168.1.150_M_CONSOLIDATED_Delinquency_Compulsory_EOM[[#This Row],[Client No]],'Global Portfolio'!$B$2:$N$2500,10,FALSE)</f>
        <v>Real Estate and Rental</v>
      </c>
      <c r="AA1221" s="105" t="str">
        <f>VLOOKUP(Table__192.168.1.150_M_CONSOLIDATED_Delinquency_Compulsory_EOM[[#This Row],[Client No]],'Global Portfolio'!$B$2:$N$2500,11,FALSE)</f>
        <v>Others</v>
      </c>
      <c r="AB1221" s="105" t="str">
        <f>VLOOKUP(Table__192.168.1.150_M_CONSOLIDATED_Delinquency_Compulsory_EOM[[#This Row],[Client No]],'Global Portfolio'!$B$2:$N$2500,12,FALSE)</f>
        <v>Others</v>
      </c>
    </row>
    <row r="1222" spans="1:28" x14ac:dyDescent="0.25">
      <c r="A1222">
        <v>201155</v>
      </c>
      <c r="B1222" t="s">
        <v>5000</v>
      </c>
      <c r="C1222" t="s">
        <v>5001</v>
      </c>
      <c r="D1222" t="s">
        <v>1279</v>
      </c>
      <c r="E1222">
        <v>-7</v>
      </c>
      <c r="F1222">
        <v>5000000</v>
      </c>
      <c r="G1222">
        <v>3985702.76</v>
      </c>
      <c r="H1222">
        <v>548330.93999999994</v>
      </c>
      <c r="I1222" t="s">
        <v>2861</v>
      </c>
      <c r="J1222">
        <v>119523.87</v>
      </c>
      <c r="K1222">
        <v>500000</v>
      </c>
      <c r="L1222">
        <v>131528.19</v>
      </c>
      <c r="M1222">
        <v>4934978.5</v>
      </c>
      <c r="N1222" s="711">
        <v>42924.449294756945</v>
      </c>
      <c r="O1222" s="711">
        <v>43289</v>
      </c>
      <c r="P1222" t="s">
        <v>5002</v>
      </c>
      <c r="Q1222" t="s">
        <v>5003</v>
      </c>
      <c r="R1222" t="s">
        <v>1280</v>
      </c>
      <c r="S1222" t="s">
        <v>1510</v>
      </c>
      <c r="T1222">
        <v>54</v>
      </c>
      <c r="U1222">
        <f>IF(Table__192.168.1.150_M_CONSOLIDATED_Delinquency_Compulsory_EOM[[#This Row],[Days in Arrears]] &lt; 8, Table__192.168.1.150_M_CONSOLIDATED_Delinquency_Compulsory_EOM[[#This Row],[Outstanding Balance]], 0 )</f>
        <v>3985702.76</v>
      </c>
      <c r="V12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2" s="105" t="str">
        <f>VLOOKUP(Table__192.168.1.150_M_CONSOLIDATED_Delinquency_Compulsory_EOM[[#This Row],[Client No]],'Global Portfolio'!$B$2:$N$2500,10,FALSE)</f>
        <v>Retail</v>
      </c>
      <c r="AA1222" s="105" t="str">
        <f>VLOOKUP(Table__192.168.1.150_M_CONSOLIDATED_Delinquency_Compulsory_EOM[[#This Row],[Client No]],'Global Portfolio'!$B$2:$N$2500,11,FALSE)</f>
        <v>General Merchandise Stores</v>
      </c>
      <c r="AB1222" s="105" t="str">
        <f>VLOOKUP(Table__192.168.1.150_M_CONSOLIDATED_Delinquency_Compulsory_EOM[[#This Row],[Client No]],'Global Portfolio'!$B$2:$N$2500,12,FALSE)</f>
        <v>General Stores</v>
      </c>
    </row>
    <row r="1223" spans="1:28" x14ac:dyDescent="0.25">
      <c r="A1223">
        <v>201156</v>
      </c>
      <c r="B1223" t="s">
        <v>2556</v>
      </c>
      <c r="C1223" t="s">
        <v>2570</v>
      </c>
      <c r="D1223" t="s">
        <v>1284</v>
      </c>
      <c r="E1223">
        <v>-23</v>
      </c>
      <c r="F1223">
        <v>40000000</v>
      </c>
      <c r="G1223">
        <v>27852486.829999998</v>
      </c>
      <c r="H1223">
        <v>3967764.7</v>
      </c>
      <c r="I1223" t="s">
        <v>2557</v>
      </c>
      <c r="J1223">
        <v>134462.35</v>
      </c>
      <c r="K1223">
        <v>0</v>
      </c>
      <c r="L1223">
        <v>167114.92000000001</v>
      </c>
      <c r="M1223">
        <v>31742117.530000001</v>
      </c>
      <c r="N1223" s="711">
        <v>42923.554305983795</v>
      </c>
      <c r="O1223" s="711">
        <v>43275</v>
      </c>
      <c r="P1223" t="s">
        <v>2571</v>
      </c>
      <c r="Q1223" t="s">
        <v>1280</v>
      </c>
      <c r="R1223" t="s">
        <v>1280</v>
      </c>
      <c r="S1223" t="s">
        <v>1510</v>
      </c>
      <c r="T1223">
        <v>36</v>
      </c>
      <c r="U1223">
        <f>IF(Table__192.168.1.150_M_CONSOLIDATED_Delinquency_Compulsory_EOM[[#This Row],[Days in Arrears]] &lt; 8, Table__192.168.1.150_M_CONSOLIDATED_Delinquency_Compulsory_EOM[[#This Row],[Outstanding Balance]], 0 )</f>
        <v>27852486.829999998</v>
      </c>
      <c r="V12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3" s="105" t="str">
        <f>VLOOKUP(Table__192.168.1.150_M_CONSOLIDATED_Delinquency_Compulsory_EOM[[#This Row],[Client No]],'Global Portfolio'!$B$2:$N$2500,10,FALSE)</f>
        <v>Retail</v>
      </c>
      <c r="AA1223" s="105" t="str">
        <f>VLOOKUP(Table__192.168.1.150_M_CONSOLIDATED_Delinquency_Compulsory_EOM[[#This Row],[Client No]],'Global Portfolio'!$B$2:$N$2500,11,FALSE)</f>
        <v>General Merchandise Stores</v>
      </c>
      <c r="AB1223" s="105" t="str">
        <f>VLOOKUP(Table__192.168.1.150_M_CONSOLIDATED_Delinquency_Compulsory_EOM[[#This Row],[Client No]],'Global Portfolio'!$B$2:$N$2500,12,FALSE)</f>
        <v>Others</v>
      </c>
    </row>
    <row r="1224" spans="1:28" x14ac:dyDescent="0.25">
      <c r="A1224">
        <v>201157</v>
      </c>
      <c r="B1224" t="s">
        <v>4998</v>
      </c>
      <c r="C1224" t="s">
        <v>5004</v>
      </c>
      <c r="D1224" t="s">
        <v>1284</v>
      </c>
      <c r="E1224">
        <v>-6</v>
      </c>
      <c r="F1224">
        <v>8000000</v>
      </c>
      <c r="G1224">
        <v>5868914.1500000004</v>
      </c>
      <c r="H1224">
        <v>953867.41</v>
      </c>
      <c r="I1224" t="s">
        <v>2538</v>
      </c>
      <c r="J1224">
        <v>0</v>
      </c>
      <c r="K1224">
        <v>400000</v>
      </c>
      <c r="L1224">
        <v>149983.35999999999</v>
      </c>
      <c r="M1224">
        <v>6677071.8300000001</v>
      </c>
      <c r="N1224" s="711">
        <v>42923.538885798611</v>
      </c>
      <c r="O1224" s="711">
        <v>43227</v>
      </c>
      <c r="P1224" t="s">
        <v>5005</v>
      </c>
      <c r="Q1224" t="s">
        <v>1280</v>
      </c>
      <c r="R1224" t="s">
        <v>5006</v>
      </c>
      <c r="S1224" t="s">
        <v>1510</v>
      </c>
      <c r="T1224">
        <v>40</v>
      </c>
      <c r="U1224">
        <f>IF(Table__192.168.1.150_M_CONSOLIDATED_Delinquency_Compulsory_EOM[[#This Row],[Days in Arrears]] &lt; 8, Table__192.168.1.150_M_CONSOLIDATED_Delinquency_Compulsory_EOM[[#This Row],[Outstanding Balance]], 0 )</f>
        <v>5868914.1500000004</v>
      </c>
      <c r="V12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4" s="105" t="str">
        <f>VLOOKUP(Table__192.168.1.150_M_CONSOLIDATED_Delinquency_Compulsory_EOM[[#This Row],[Client No]],'Global Portfolio'!$B$2:$N$2500,10,FALSE)</f>
        <v>Retail</v>
      </c>
      <c r="AA1224" s="105" t="str">
        <f>VLOOKUP(Table__192.168.1.150_M_CONSOLIDATED_Delinquency_Compulsory_EOM[[#This Row],[Client No]],'Global Portfolio'!$B$2:$N$2500,11,FALSE)</f>
        <v>General Merchandise Stores</v>
      </c>
      <c r="AB1224" s="105" t="str">
        <f>VLOOKUP(Table__192.168.1.150_M_CONSOLIDATED_Delinquency_Compulsory_EOM[[#This Row],[Client No]],'Global Portfolio'!$B$2:$N$2500,12,FALSE)</f>
        <v>General Stores</v>
      </c>
    </row>
    <row r="1225" spans="1:28" x14ac:dyDescent="0.25">
      <c r="A1225">
        <v>201158</v>
      </c>
      <c r="B1225" t="s">
        <v>4997</v>
      </c>
      <c r="C1225" t="s">
        <v>5007</v>
      </c>
      <c r="D1225" t="s">
        <v>1282</v>
      </c>
      <c r="E1225">
        <v>-6</v>
      </c>
      <c r="F1225">
        <v>5000000</v>
      </c>
      <c r="G1225">
        <v>3985702.76</v>
      </c>
      <c r="H1225">
        <v>548330.93999999994</v>
      </c>
      <c r="I1225" t="s">
        <v>1909</v>
      </c>
      <c r="J1225">
        <v>0</v>
      </c>
      <c r="K1225">
        <v>500000</v>
      </c>
      <c r="L1225">
        <v>137506.75</v>
      </c>
      <c r="M1225">
        <v>4934978.5</v>
      </c>
      <c r="N1225" s="711">
        <v>42923.680977777774</v>
      </c>
      <c r="O1225" s="711">
        <v>43288</v>
      </c>
      <c r="P1225" t="s">
        <v>5008</v>
      </c>
      <c r="Q1225" t="s">
        <v>1280</v>
      </c>
      <c r="R1225" t="s">
        <v>1280</v>
      </c>
      <c r="S1225" t="s">
        <v>1510</v>
      </c>
      <c r="T1225">
        <v>54</v>
      </c>
      <c r="U1225">
        <f>IF(Table__192.168.1.150_M_CONSOLIDATED_Delinquency_Compulsory_EOM[[#This Row],[Days in Arrears]] &lt; 8, Table__192.168.1.150_M_CONSOLIDATED_Delinquency_Compulsory_EOM[[#This Row],[Outstanding Balance]], 0 )</f>
        <v>3985702.76</v>
      </c>
      <c r="V12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5" s="105" t="str">
        <f>VLOOKUP(Table__192.168.1.150_M_CONSOLIDATED_Delinquency_Compulsory_EOM[[#This Row],[Client No]],'Global Portfolio'!$B$2:$N$2500,10,FALSE)</f>
        <v>Retail</v>
      </c>
      <c r="AA1225" s="105" t="str">
        <f>VLOOKUP(Table__192.168.1.150_M_CONSOLIDATED_Delinquency_Compulsory_EOM[[#This Row],[Client No]],'Global Portfolio'!$B$2:$N$2500,11,FALSE)</f>
        <v>General Merchandise Stores</v>
      </c>
      <c r="AB1225" s="105" t="str">
        <f>VLOOKUP(Table__192.168.1.150_M_CONSOLIDATED_Delinquency_Compulsory_EOM[[#This Row],[Client No]],'Global Portfolio'!$B$2:$N$2500,12,FALSE)</f>
        <v>General Stores</v>
      </c>
    </row>
    <row r="1226" spans="1:28" x14ac:dyDescent="0.25">
      <c r="A1226">
        <v>201159</v>
      </c>
      <c r="B1226" t="s">
        <v>4999</v>
      </c>
      <c r="C1226" t="s">
        <v>5009</v>
      </c>
      <c r="D1226" t="s">
        <v>1279</v>
      </c>
      <c r="E1226">
        <v>-7</v>
      </c>
      <c r="F1226">
        <v>3000000</v>
      </c>
      <c r="G1226">
        <v>1598894.34</v>
      </c>
      <c r="H1226">
        <v>581635.16</v>
      </c>
      <c r="I1226" t="s">
        <v>4919</v>
      </c>
      <c r="J1226">
        <v>0</v>
      </c>
      <c r="K1226">
        <v>300000</v>
      </c>
      <c r="L1226">
        <v>52763.51</v>
      </c>
      <c r="M1226">
        <v>1744905.5</v>
      </c>
      <c r="N1226" s="711">
        <v>42924.539199652776</v>
      </c>
      <c r="O1226" s="711">
        <v>43108</v>
      </c>
      <c r="P1226" t="s">
        <v>5010</v>
      </c>
      <c r="Q1226" t="s">
        <v>1280</v>
      </c>
      <c r="R1226" t="s">
        <v>1280</v>
      </c>
      <c r="S1226" t="s">
        <v>1510</v>
      </c>
      <c r="T1226">
        <v>54</v>
      </c>
      <c r="U1226">
        <f>IF(Table__192.168.1.150_M_CONSOLIDATED_Delinquency_Compulsory_EOM[[#This Row],[Days in Arrears]] &lt; 8, Table__192.168.1.150_M_CONSOLIDATED_Delinquency_Compulsory_EOM[[#This Row],[Outstanding Balance]], 0 )</f>
        <v>1598894.34</v>
      </c>
      <c r="V12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6" s="105" t="str">
        <f>VLOOKUP(Table__192.168.1.150_M_CONSOLIDATED_Delinquency_Compulsory_EOM[[#This Row],[Client No]],'Global Portfolio'!$B$2:$N$2500,10,FALSE)</f>
        <v>Retail</v>
      </c>
      <c r="AA1226" s="105" t="str">
        <f>VLOOKUP(Table__192.168.1.150_M_CONSOLIDATED_Delinquency_Compulsory_EOM[[#This Row],[Client No]],'Global Portfolio'!$B$2:$N$2500,11,FALSE)</f>
        <v>General Merchandise Stores</v>
      </c>
      <c r="AB1226" s="105" t="str">
        <f>VLOOKUP(Table__192.168.1.150_M_CONSOLIDATED_Delinquency_Compulsory_EOM[[#This Row],[Client No]],'Global Portfolio'!$B$2:$N$2500,12,FALSE)</f>
        <v>General Stores</v>
      </c>
    </row>
    <row r="1227" spans="1:28" x14ac:dyDescent="0.25">
      <c r="A1227">
        <v>201160</v>
      </c>
      <c r="B1227" t="s">
        <v>5011</v>
      </c>
      <c r="C1227" t="s">
        <v>5013</v>
      </c>
      <c r="D1227" t="s">
        <v>1282</v>
      </c>
      <c r="E1227">
        <v>-9</v>
      </c>
      <c r="F1227">
        <v>2500000</v>
      </c>
      <c r="G1227">
        <v>1861781.52</v>
      </c>
      <c r="H1227">
        <v>315947.05</v>
      </c>
      <c r="I1227" t="s">
        <v>4919</v>
      </c>
      <c r="J1227">
        <v>0</v>
      </c>
      <c r="K1227">
        <v>250000</v>
      </c>
      <c r="L1227">
        <v>55853.45</v>
      </c>
      <c r="M1227">
        <v>2211629.42</v>
      </c>
      <c r="N1227" s="711">
        <v>42926.598520057873</v>
      </c>
      <c r="O1227" s="711">
        <v>43230</v>
      </c>
      <c r="P1227" t="s">
        <v>5014</v>
      </c>
      <c r="Q1227" t="s">
        <v>1280</v>
      </c>
      <c r="R1227" t="s">
        <v>1280</v>
      </c>
      <c r="S1227" t="s">
        <v>1510</v>
      </c>
      <c r="T1227">
        <v>54</v>
      </c>
      <c r="U1227">
        <f>IF(Table__192.168.1.150_M_CONSOLIDATED_Delinquency_Compulsory_EOM[[#This Row],[Days in Arrears]] &lt; 8, Table__192.168.1.150_M_CONSOLIDATED_Delinquency_Compulsory_EOM[[#This Row],[Outstanding Balance]], 0 )</f>
        <v>1861781.52</v>
      </c>
      <c r="V12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7" s="105" t="str">
        <f>VLOOKUP(Table__192.168.1.150_M_CONSOLIDATED_Delinquency_Compulsory_EOM[[#This Row],[Client No]],'Global Portfolio'!$B$2:$N$2500,10,FALSE)</f>
        <v>Retail</v>
      </c>
      <c r="AA1227" s="105" t="str">
        <f>VLOOKUP(Table__192.168.1.150_M_CONSOLIDATED_Delinquency_Compulsory_EOM[[#This Row],[Client No]],'Global Portfolio'!$B$2:$N$2500,11,FALSE)</f>
        <v>Others</v>
      </c>
      <c r="AB1227" s="105" t="str">
        <f>VLOOKUP(Table__192.168.1.150_M_CONSOLIDATED_Delinquency_Compulsory_EOM[[#This Row],[Client No]],'Global Portfolio'!$B$2:$N$2500,12,FALSE)</f>
        <v>Others</v>
      </c>
    </row>
    <row r="1228" spans="1:28" x14ac:dyDescent="0.25">
      <c r="A1228">
        <v>201161</v>
      </c>
      <c r="B1228" t="s">
        <v>5012</v>
      </c>
      <c r="C1228" t="s">
        <v>5015</v>
      </c>
      <c r="D1228" t="s">
        <v>1282</v>
      </c>
      <c r="E1228">
        <v>-9</v>
      </c>
      <c r="F1228">
        <v>3000000</v>
      </c>
      <c r="G1228">
        <v>2391421.63</v>
      </c>
      <c r="H1228">
        <v>328998.57</v>
      </c>
      <c r="I1228" t="s">
        <v>1448</v>
      </c>
      <c r="J1228">
        <v>0</v>
      </c>
      <c r="K1228">
        <v>300000</v>
      </c>
      <c r="L1228">
        <v>71742.649999999994</v>
      </c>
      <c r="M1228">
        <v>2960987.06</v>
      </c>
      <c r="N1228" s="711">
        <v>42926.725995335648</v>
      </c>
      <c r="O1228" s="711">
        <v>43291</v>
      </c>
      <c r="P1228" t="s">
        <v>5016</v>
      </c>
      <c r="Q1228" t="s">
        <v>1280</v>
      </c>
      <c r="R1228" t="s">
        <v>1280</v>
      </c>
      <c r="S1228" t="s">
        <v>1510</v>
      </c>
      <c r="T1228">
        <v>54</v>
      </c>
      <c r="U1228">
        <f>IF(Table__192.168.1.150_M_CONSOLIDATED_Delinquency_Compulsory_EOM[[#This Row],[Days in Arrears]] &lt; 8, Table__192.168.1.150_M_CONSOLIDATED_Delinquency_Compulsory_EOM[[#This Row],[Outstanding Balance]], 0 )</f>
        <v>2391421.63</v>
      </c>
      <c r="V12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8" s="105" t="str">
        <f>VLOOKUP(Table__192.168.1.150_M_CONSOLIDATED_Delinquency_Compulsory_EOM[[#This Row],[Client No]],'Global Portfolio'!$B$2:$N$2500,10,FALSE)</f>
        <v>Retail</v>
      </c>
      <c r="AA1228" s="105" t="str">
        <f>VLOOKUP(Table__192.168.1.150_M_CONSOLIDATED_Delinquency_Compulsory_EOM[[#This Row],[Client No]],'Global Portfolio'!$B$2:$N$2500,11,FALSE)</f>
        <v>General Merchandise Stores</v>
      </c>
      <c r="AB1228" s="105" t="str">
        <f>VLOOKUP(Table__192.168.1.150_M_CONSOLIDATED_Delinquency_Compulsory_EOM[[#This Row],[Client No]],'Global Portfolio'!$B$2:$N$2500,12,FALSE)</f>
        <v>General Stores</v>
      </c>
    </row>
    <row r="1229" spans="1:28" x14ac:dyDescent="0.25">
      <c r="A1229">
        <v>201162</v>
      </c>
      <c r="B1229" t="s">
        <v>5017</v>
      </c>
      <c r="C1229" t="s">
        <v>5019</v>
      </c>
      <c r="D1229" t="s">
        <v>1282</v>
      </c>
      <c r="E1229">
        <v>20</v>
      </c>
      <c r="F1229">
        <v>2500000</v>
      </c>
      <c r="G1229">
        <v>1954958.15</v>
      </c>
      <c r="H1229">
        <v>379024.13</v>
      </c>
      <c r="I1229" t="s">
        <v>4685</v>
      </c>
      <c r="J1229">
        <v>0</v>
      </c>
      <c r="K1229">
        <v>250000</v>
      </c>
      <c r="L1229">
        <v>115118.94</v>
      </c>
      <c r="M1229">
        <v>2253869.27</v>
      </c>
      <c r="N1229" s="711">
        <v>42927.502609293981</v>
      </c>
      <c r="O1229" s="711">
        <v>43170</v>
      </c>
      <c r="P1229" t="s">
        <v>5020</v>
      </c>
      <c r="Q1229" t="s">
        <v>5021</v>
      </c>
      <c r="R1229" t="s">
        <v>1280</v>
      </c>
      <c r="S1229" t="s">
        <v>1510</v>
      </c>
      <c r="T1229">
        <v>54</v>
      </c>
      <c r="U1229">
        <f>IF(Table__192.168.1.150_M_CONSOLIDATED_Delinquency_Compulsory_EOM[[#This Row],[Days in Arrears]] &lt; 8, Table__192.168.1.150_M_CONSOLIDATED_Delinquency_Compulsory_EOM[[#This Row],[Outstanding Balance]], 0 )</f>
        <v>0</v>
      </c>
      <c r="V12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1954958.15</v>
      </c>
      <c r="W12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29" s="105" t="str">
        <f>VLOOKUP(Table__192.168.1.150_M_CONSOLIDATED_Delinquency_Compulsory_EOM[[#This Row],[Client No]],'Global Portfolio'!$B$2:$N$2500,10,FALSE)</f>
        <v>Retail</v>
      </c>
      <c r="AA1229" s="105" t="str">
        <f>VLOOKUP(Table__192.168.1.150_M_CONSOLIDATED_Delinquency_Compulsory_EOM[[#This Row],[Client No]],'Global Portfolio'!$B$2:$N$2500,11,FALSE)</f>
        <v>Others</v>
      </c>
      <c r="AB1229" s="105" t="str">
        <f>VLOOKUP(Table__192.168.1.150_M_CONSOLIDATED_Delinquency_Compulsory_EOM[[#This Row],[Client No]],'Global Portfolio'!$B$2:$N$2500,12,FALSE)</f>
        <v>Others</v>
      </c>
    </row>
    <row r="1230" spans="1:28" x14ac:dyDescent="0.25">
      <c r="A1230">
        <v>201164</v>
      </c>
      <c r="B1230" t="s">
        <v>1851</v>
      </c>
      <c r="C1230" t="s">
        <v>1852</v>
      </c>
      <c r="D1230" t="s">
        <v>1281</v>
      </c>
      <c r="E1230">
        <v>-18</v>
      </c>
      <c r="F1230">
        <v>30000000</v>
      </c>
      <c r="G1230">
        <v>26196411.280000001</v>
      </c>
      <c r="H1230">
        <v>2274505.2200000002</v>
      </c>
      <c r="I1230" t="s">
        <v>2861</v>
      </c>
      <c r="J1230">
        <v>104239.92</v>
      </c>
      <c r="K1230">
        <v>2250000</v>
      </c>
      <c r="L1230">
        <v>336187.28</v>
      </c>
      <c r="M1230">
        <v>34117578.420000002</v>
      </c>
      <c r="N1230" s="711">
        <v>42935.483286226852</v>
      </c>
      <c r="O1230" s="711">
        <v>43484</v>
      </c>
      <c r="P1230" t="s">
        <v>1853</v>
      </c>
      <c r="Q1230" t="s">
        <v>1280</v>
      </c>
      <c r="R1230" t="s">
        <v>1280</v>
      </c>
      <c r="S1230" t="s">
        <v>1510</v>
      </c>
      <c r="T1230">
        <v>42</v>
      </c>
      <c r="U1230">
        <f>IF(Table__192.168.1.150_M_CONSOLIDATED_Delinquency_Compulsory_EOM[[#This Row],[Days in Arrears]] &lt; 8, Table__192.168.1.150_M_CONSOLIDATED_Delinquency_Compulsory_EOM[[#This Row],[Outstanding Balance]], 0 )</f>
        <v>26196411.280000001</v>
      </c>
      <c r="V12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0" s="105" t="str">
        <f>VLOOKUP(Table__192.168.1.150_M_CONSOLIDATED_Delinquency_Compulsory_EOM[[#This Row],[Client No]],'Global Portfolio'!$B$2:$N$2500,10,FALSE)</f>
        <v>Wholesale Trade</v>
      </c>
      <c r="AA1230" s="105" t="str">
        <f>VLOOKUP(Table__192.168.1.150_M_CONSOLIDATED_Delinquency_Compulsory_EOM[[#This Row],[Client No]],'Global Portfolio'!$B$2:$N$2500,11,FALSE)</f>
        <v>Others</v>
      </c>
      <c r="AB1230" s="105" t="str">
        <f>VLOOKUP(Table__192.168.1.150_M_CONSOLIDATED_Delinquency_Compulsory_EOM[[#This Row],[Client No]],'Global Portfolio'!$B$2:$N$2500,12,FALSE)</f>
        <v>Others</v>
      </c>
    </row>
    <row r="1231" spans="1:28" x14ac:dyDescent="0.25">
      <c r="A1231">
        <v>201165</v>
      </c>
      <c r="B1231" t="s">
        <v>2188</v>
      </c>
      <c r="C1231" t="s">
        <v>2210</v>
      </c>
      <c r="D1231" t="s">
        <v>1282</v>
      </c>
      <c r="E1231">
        <v>-10</v>
      </c>
      <c r="F1231">
        <v>10000000</v>
      </c>
      <c r="G1231">
        <v>8782784.2699999996</v>
      </c>
      <c r="H1231">
        <v>789933.28</v>
      </c>
      <c r="I1231" t="s">
        <v>1447</v>
      </c>
      <c r="J1231">
        <v>662266.43999999994</v>
      </c>
      <c r="K1231">
        <v>1000000</v>
      </c>
      <c r="L1231">
        <v>222497.2</v>
      </c>
      <c r="M1231">
        <v>11848999.199999999</v>
      </c>
      <c r="N1231" s="711">
        <v>42927.663265393516</v>
      </c>
      <c r="O1231" s="711">
        <v>43476</v>
      </c>
      <c r="P1231" t="s">
        <v>2211</v>
      </c>
      <c r="Q1231" t="s">
        <v>1280</v>
      </c>
      <c r="R1231" t="s">
        <v>1280</v>
      </c>
      <c r="S1231" t="s">
        <v>1510</v>
      </c>
      <c r="T1231">
        <v>48</v>
      </c>
      <c r="U1231">
        <f>IF(Table__192.168.1.150_M_CONSOLIDATED_Delinquency_Compulsory_EOM[[#This Row],[Days in Arrears]] &lt; 8, Table__192.168.1.150_M_CONSOLIDATED_Delinquency_Compulsory_EOM[[#This Row],[Outstanding Balance]], 0 )</f>
        <v>8782784.2699999996</v>
      </c>
      <c r="V12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1" s="105" t="str">
        <f>VLOOKUP(Table__192.168.1.150_M_CONSOLIDATED_Delinquency_Compulsory_EOM[[#This Row],[Client No]],'Global Portfolio'!$B$2:$N$2500,10,FALSE)</f>
        <v>Wholesale Trade</v>
      </c>
      <c r="AA1231" s="105" t="str">
        <f>VLOOKUP(Table__192.168.1.150_M_CONSOLIDATED_Delinquency_Compulsory_EOM[[#This Row],[Client No]],'Global Portfolio'!$B$2:$N$2500,11,FALSE)</f>
        <v>Others</v>
      </c>
      <c r="AB1231" s="105" t="str">
        <f>VLOOKUP(Table__192.168.1.150_M_CONSOLIDATED_Delinquency_Compulsory_EOM[[#This Row],[Client No]],'Global Portfolio'!$B$2:$N$2500,12,FALSE)</f>
        <v>Others</v>
      </c>
    </row>
    <row r="1232" spans="1:28" x14ac:dyDescent="0.25">
      <c r="A1232">
        <v>201166</v>
      </c>
      <c r="B1232" t="s">
        <v>5025</v>
      </c>
      <c r="C1232" t="s">
        <v>5032</v>
      </c>
      <c r="D1232" t="s">
        <v>1282</v>
      </c>
      <c r="E1232">
        <v>-11</v>
      </c>
      <c r="F1232">
        <v>7000000</v>
      </c>
      <c r="G1232">
        <v>4658939.9800000004</v>
      </c>
      <c r="H1232">
        <v>1061267.57</v>
      </c>
      <c r="I1232" t="s">
        <v>2861</v>
      </c>
      <c r="J1232">
        <v>60532.43</v>
      </c>
      <c r="K1232">
        <v>700000</v>
      </c>
      <c r="L1232">
        <v>125791.38</v>
      </c>
      <c r="M1232">
        <v>5306337.88</v>
      </c>
      <c r="N1232" s="711">
        <v>42928.603102893518</v>
      </c>
      <c r="O1232" s="711">
        <v>43171</v>
      </c>
      <c r="P1232" t="s">
        <v>5033</v>
      </c>
      <c r="Q1232" t="s">
        <v>5034</v>
      </c>
      <c r="R1232" t="s">
        <v>1280</v>
      </c>
      <c r="S1232" t="s">
        <v>1510</v>
      </c>
      <c r="T1232">
        <v>54</v>
      </c>
      <c r="U1232">
        <f>IF(Table__192.168.1.150_M_CONSOLIDATED_Delinquency_Compulsory_EOM[[#This Row],[Days in Arrears]] &lt; 8, Table__192.168.1.150_M_CONSOLIDATED_Delinquency_Compulsory_EOM[[#This Row],[Outstanding Balance]], 0 )</f>
        <v>4658939.9800000004</v>
      </c>
      <c r="V12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2" s="105" t="str">
        <f>VLOOKUP(Table__192.168.1.150_M_CONSOLIDATED_Delinquency_Compulsory_EOM[[#This Row],[Client No]],'Global Portfolio'!$B$2:$N$2500,10,FALSE)</f>
        <v>Retail</v>
      </c>
      <c r="AA1232" s="105" t="str">
        <f>VLOOKUP(Table__192.168.1.150_M_CONSOLIDATED_Delinquency_Compulsory_EOM[[#This Row],[Client No]],'Global Portfolio'!$B$2:$N$2500,11,FALSE)</f>
        <v>General Merchandise Stores</v>
      </c>
      <c r="AB1232" s="105" t="str">
        <f>VLOOKUP(Table__192.168.1.150_M_CONSOLIDATED_Delinquency_Compulsory_EOM[[#This Row],[Client No]],'Global Portfolio'!$B$2:$N$2500,12,FALSE)</f>
        <v>General Stores</v>
      </c>
    </row>
    <row r="1233" spans="1:28" x14ac:dyDescent="0.25">
      <c r="A1233">
        <v>201167</v>
      </c>
      <c r="B1233" t="s">
        <v>5035</v>
      </c>
      <c r="C1233" t="s">
        <v>5036</v>
      </c>
      <c r="D1233" t="s">
        <v>1281</v>
      </c>
      <c r="E1233">
        <v>-13</v>
      </c>
      <c r="F1233">
        <v>15100000</v>
      </c>
      <c r="G1233">
        <v>12745968.289999999</v>
      </c>
      <c r="H1233">
        <v>1358110.62</v>
      </c>
      <c r="I1233" t="s">
        <v>2855</v>
      </c>
      <c r="J1233">
        <v>50000</v>
      </c>
      <c r="K1233">
        <v>0</v>
      </c>
      <c r="L1233">
        <v>271913.99</v>
      </c>
      <c r="M1233">
        <v>16297327.380000001</v>
      </c>
      <c r="N1233" s="711">
        <v>42930.559912303244</v>
      </c>
      <c r="O1233" s="711">
        <v>43387</v>
      </c>
      <c r="P1233" t="s">
        <v>5037</v>
      </c>
      <c r="Q1233" t="s">
        <v>1280</v>
      </c>
      <c r="R1233" t="s">
        <v>1280</v>
      </c>
      <c r="S1233" t="s">
        <v>1510</v>
      </c>
      <c r="T1233">
        <v>48</v>
      </c>
      <c r="U1233">
        <f>IF(Table__192.168.1.150_M_CONSOLIDATED_Delinquency_Compulsory_EOM[[#This Row],[Days in Arrears]] &lt; 8, Table__192.168.1.150_M_CONSOLIDATED_Delinquency_Compulsory_EOM[[#This Row],[Outstanding Balance]], 0 )</f>
        <v>12745968.289999999</v>
      </c>
      <c r="V12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3" s="105" t="str">
        <f>VLOOKUP(Table__192.168.1.150_M_CONSOLIDATED_Delinquency_Compulsory_EOM[[#This Row],[Client No]],'Global Portfolio'!$B$2:$N$2500,10,FALSE)</f>
        <v>Wholesale Trade</v>
      </c>
      <c r="AA1233" s="105" t="str">
        <f>VLOOKUP(Table__192.168.1.150_M_CONSOLIDATED_Delinquency_Compulsory_EOM[[#This Row],[Client No]],'Global Portfolio'!$B$2:$N$2500,11,FALSE)</f>
        <v>Others</v>
      </c>
      <c r="AB1233" s="105" t="str">
        <f>VLOOKUP(Table__192.168.1.150_M_CONSOLIDATED_Delinquency_Compulsory_EOM[[#This Row],[Client No]],'Global Portfolio'!$B$2:$N$2500,12,FALSE)</f>
        <v>Others</v>
      </c>
    </row>
    <row r="1234" spans="1:28" x14ac:dyDescent="0.25">
      <c r="A1234">
        <v>201168</v>
      </c>
      <c r="B1234" t="s">
        <v>5038</v>
      </c>
      <c r="C1234" t="s">
        <v>5039</v>
      </c>
      <c r="D1234" t="s">
        <v>1866</v>
      </c>
      <c r="E1234">
        <v>-14</v>
      </c>
      <c r="F1234">
        <v>6000000</v>
      </c>
      <c r="G1234">
        <v>4449464.04</v>
      </c>
      <c r="H1234">
        <v>745896.01</v>
      </c>
      <c r="I1234" t="s">
        <v>1909</v>
      </c>
      <c r="J1234">
        <v>0</v>
      </c>
      <c r="K1234">
        <v>600000</v>
      </c>
      <c r="L1234">
        <v>92697.17</v>
      </c>
      <c r="M1234">
        <v>5221272.0999999996</v>
      </c>
      <c r="N1234" s="711">
        <v>42931.531305092591</v>
      </c>
      <c r="O1234" s="711">
        <v>43235</v>
      </c>
      <c r="P1234" t="s">
        <v>5040</v>
      </c>
      <c r="Q1234" t="s">
        <v>5041</v>
      </c>
      <c r="R1234" t="s">
        <v>1280</v>
      </c>
      <c r="S1234" t="s">
        <v>1510</v>
      </c>
      <c r="T1234">
        <v>50</v>
      </c>
      <c r="U1234">
        <f>IF(Table__192.168.1.150_M_CONSOLIDATED_Delinquency_Compulsory_EOM[[#This Row],[Days in Arrears]] &lt; 8, Table__192.168.1.150_M_CONSOLIDATED_Delinquency_Compulsory_EOM[[#This Row],[Outstanding Balance]], 0 )</f>
        <v>4449464.04</v>
      </c>
      <c r="V12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4" s="105" t="str">
        <f>VLOOKUP(Table__192.168.1.150_M_CONSOLIDATED_Delinquency_Compulsory_EOM[[#This Row],[Client No]],'Global Portfolio'!$B$2:$N$2500,10,FALSE)</f>
        <v>Retail</v>
      </c>
      <c r="AA1234" s="105" t="str">
        <f>VLOOKUP(Table__192.168.1.150_M_CONSOLIDATED_Delinquency_Compulsory_EOM[[#This Row],[Client No]],'Global Portfolio'!$B$2:$N$2500,11,FALSE)</f>
        <v>General Merchandise Stores</v>
      </c>
      <c r="AB1234" s="105" t="str">
        <f>VLOOKUP(Table__192.168.1.150_M_CONSOLIDATED_Delinquency_Compulsory_EOM[[#This Row],[Client No]],'Global Portfolio'!$B$2:$N$2500,12,FALSE)</f>
        <v>General Stores</v>
      </c>
    </row>
    <row r="1235" spans="1:28" x14ac:dyDescent="0.25">
      <c r="A1235">
        <v>201171</v>
      </c>
      <c r="B1235" t="s">
        <v>5046</v>
      </c>
      <c r="C1235" t="s">
        <v>5048</v>
      </c>
      <c r="D1235" t="s">
        <v>1279</v>
      </c>
      <c r="E1235">
        <v>-18</v>
      </c>
      <c r="F1235">
        <v>2000000</v>
      </c>
      <c r="G1235">
        <v>1331125.69</v>
      </c>
      <c r="H1235">
        <v>303219.31</v>
      </c>
      <c r="I1235" t="s">
        <v>5047</v>
      </c>
      <c r="J1235">
        <v>0</v>
      </c>
      <c r="K1235">
        <v>200000</v>
      </c>
      <c r="L1235">
        <v>21963.57</v>
      </c>
      <c r="M1235">
        <v>1516096.53</v>
      </c>
      <c r="N1235" s="711">
        <v>42935.6580846875</v>
      </c>
      <c r="O1235" s="711">
        <v>43178</v>
      </c>
      <c r="P1235" t="s">
        <v>5049</v>
      </c>
      <c r="Q1235" t="s">
        <v>1280</v>
      </c>
      <c r="R1235" t="s">
        <v>5050</v>
      </c>
      <c r="S1235" t="s">
        <v>1510</v>
      </c>
      <c r="T1235">
        <v>54</v>
      </c>
      <c r="U1235">
        <f>IF(Table__192.168.1.150_M_CONSOLIDATED_Delinquency_Compulsory_EOM[[#This Row],[Days in Arrears]] &lt; 8, Table__192.168.1.150_M_CONSOLIDATED_Delinquency_Compulsory_EOM[[#This Row],[Outstanding Balance]], 0 )</f>
        <v>1331125.69</v>
      </c>
      <c r="V12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5" s="105" t="str">
        <f>VLOOKUP(Table__192.168.1.150_M_CONSOLIDATED_Delinquency_Compulsory_EOM[[#This Row],[Client No]],'Global Portfolio'!$B$2:$N$2500,10,FALSE)</f>
        <v>Retail</v>
      </c>
      <c r="AA1235" s="105" t="str">
        <f>VLOOKUP(Table__192.168.1.150_M_CONSOLIDATED_Delinquency_Compulsory_EOM[[#This Row],[Client No]],'Global Portfolio'!$B$2:$N$2500,11,FALSE)</f>
        <v>General Merchandise Stores</v>
      </c>
      <c r="AB1235" s="105" t="str">
        <f>VLOOKUP(Table__192.168.1.150_M_CONSOLIDATED_Delinquency_Compulsory_EOM[[#This Row],[Client No]],'Global Portfolio'!$B$2:$N$2500,12,FALSE)</f>
        <v>General Stores</v>
      </c>
    </row>
    <row r="1236" spans="1:28" x14ac:dyDescent="0.25">
      <c r="A1236">
        <v>201172</v>
      </c>
      <c r="B1236" t="s">
        <v>5053</v>
      </c>
      <c r="C1236" t="s">
        <v>5060</v>
      </c>
      <c r="D1236" t="s">
        <v>1279</v>
      </c>
      <c r="E1236">
        <v>-19</v>
      </c>
      <c r="F1236">
        <v>2500000</v>
      </c>
      <c r="G1236">
        <v>1332411.94</v>
      </c>
      <c r="H1236">
        <v>484695.97</v>
      </c>
      <c r="I1236" t="s">
        <v>4683</v>
      </c>
      <c r="J1236">
        <v>0</v>
      </c>
      <c r="K1236">
        <v>250000</v>
      </c>
      <c r="L1236">
        <v>19986.18</v>
      </c>
      <c r="M1236">
        <v>1454087.91</v>
      </c>
      <c r="N1236" s="711">
        <v>42936.758932986108</v>
      </c>
      <c r="O1236" s="711">
        <v>43120</v>
      </c>
      <c r="P1236" t="s">
        <v>5061</v>
      </c>
      <c r="Q1236" t="s">
        <v>1280</v>
      </c>
      <c r="R1236" t="s">
        <v>5062</v>
      </c>
      <c r="S1236" t="s">
        <v>1510</v>
      </c>
      <c r="T1236">
        <v>54</v>
      </c>
      <c r="U1236">
        <f>IF(Table__192.168.1.150_M_CONSOLIDATED_Delinquency_Compulsory_EOM[[#This Row],[Days in Arrears]] &lt; 8, Table__192.168.1.150_M_CONSOLIDATED_Delinquency_Compulsory_EOM[[#This Row],[Outstanding Balance]], 0 )</f>
        <v>1332411.94</v>
      </c>
      <c r="V12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6" s="105" t="str">
        <f>VLOOKUP(Table__192.168.1.150_M_CONSOLIDATED_Delinquency_Compulsory_EOM[[#This Row],[Client No]],'Global Portfolio'!$B$2:$N$2500,10,FALSE)</f>
        <v>Retail</v>
      </c>
      <c r="AA1236" s="105" t="str">
        <f>VLOOKUP(Table__192.168.1.150_M_CONSOLIDATED_Delinquency_Compulsory_EOM[[#This Row],[Client No]],'Global Portfolio'!$B$2:$N$2500,11,FALSE)</f>
        <v>General Merchandise Stores</v>
      </c>
      <c r="AB1236" s="105" t="str">
        <f>VLOOKUP(Table__192.168.1.150_M_CONSOLIDATED_Delinquency_Compulsory_EOM[[#This Row],[Client No]],'Global Portfolio'!$B$2:$N$2500,12,FALSE)</f>
        <v>General Stores</v>
      </c>
    </row>
    <row r="1237" spans="1:28" x14ac:dyDescent="0.25">
      <c r="A1237">
        <v>201173</v>
      </c>
      <c r="B1237" t="s">
        <v>3051</v>
      </c>
      <c r="C1237" t="s">
        <v>3072</v>
      </c>
      <c r="D1237" t="s">
        <v>1279</v>
      </c>
      <c r="E1237">
        <v>-20</v>
      </c>
      <c r="F1237">
        <v>4500000</v>
      </c>
      <c r="G1237">
        <v>3565128.31</v>
      </c>
      <c r="H1237">
        <v>479484.78</v>
      </c>
      <c r="I1237" t="s">
        <v>2034</v>
      </c>
      <c r="J1237">
        <v>45801.07</v>
      </c>
      <c r="K1237">
        <v>450000</v>
      </c>
      <c r="L1237">
        <v>42781.54</v>
      </c>
      <c r="M1237">
        <v>4315362.97</v>
      </c>
      <c r="N1237" s="711">
        <v>42937.380779629631</v>
      </c>
      <c r="O1237" s="711">
        <v>43302</v>
      </c>
      <c r="P1237" t="s">
        <v>3073</v>
      </c>
      <c r="Q1237" t="s">
        <v>1280</v>
      </c>
      <c r="R1237" t="s">
        <v>1280</v>
      </c>
      <c r="S1237" t="s">
        <v>1510</v>
      </c>
      <c r="T1237">
        <v>48</v>
      </c>
      <c r="U1237">
        <f>IF(Table__192.168.1.150_M_CONSOLIDATED_Delinquency_Compulsory_EOM[[#This Row],[Days in Arrears]] &lt; 8, Table__192.168.1.150_M_CONSOLIDATED_Delinquency_Compulsory_EOM[[#This Row],[Outstanding Balance]], 0 )</f>
        <v>3565128.31</v>
      </c>
      <c r="V12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7" s="105" t="str">
        <f>VLOOKUP(Table__192.168.1.150_M_CONSOLIDATED_Delinquency_Compulsory_EOM[[#This Row],[Client No]],'Global Portfolio'!$B$2:$N$2500,10,FALSE)</f>
        <v>Retail</v>
      </c>
      <c r="AA1237" s="105" t="str">
        <f>VLOOKUP(Table__192.168.1.150_M_CONSOLIDATED_Delinquency_Compulsory_EOM[[#This Row],[Client No]],'Global Portfolio'!$B$2:$N$2500,11,FALSE)</f>
        <v>Others</v>
      </c>
      <c r="AB1237" s="105" t="str">
        <f>VLOOKUP(Table__192.168.1.150_M_CONSOLIDATED_Delinquency_Compulsory_EOM[[#This Row],[Client No]],'Global Portfolio'!$B$2:$N$2500,12,FALSE)</f>
        <v>Others</v>
      </c>
    </row>
    <row r="1238" spans="1:28" x14ac:dyDescent="0.25">
      <c r="A1238">
        <v>201174</v>
      </c>
      <c r="B1238" t="s">
        <v>2986</v>
      </c>
      <c r="C1238" t="s">
        <v>2987</v>
      </c>
      <c r="D1238" t="s">
        <v>1282</v>
      </c>
      <c r="E1238">
        <v>-19</v>
      </c>
      <c r="F1238">
        <v>5000000</v>
      </c>
      <c r="G1238">
        <v>3961253.7</v>
      </c>
      <c r="H1238">
        <v>532760.86</v>
      </c>
      <c r="I1238" t="s">
        <v>1667</v>
      </c>
      <c r="J1238">
        <v>22753.67</v>
      </c>
      <c r="K1238">
        <v>500000</v>
      </c>
      <c r="L1238">
        <v>52816.72</v>
      </c>
      <c r="M1238">
        <v>4794847.8</v>
      </c>
      <c r="N1238" s="711">
        <v>42936.760741006947</v>
      </c>
      <c r="O1238" s="711">
        <v>43301</v>
      </c>
      <c r="P1238" t="s">
        <v>2988</v>
      </c>
      <c r="Q1238" t="s">
        <v>1280</v>
      </c>
      <c r="R1238" t="s">
        <v>1280</v>
      </c>
      <c r="S1238" t="s">
        <v>1510</v>
      </c>
      <c r="T1238">
        <v>48</v>
      </c>
      <c r="U1238">
        <f>IF(Table__192.168.1.150_M_CONSOLIDATED_Delinquency_Compulsory_EOM[[#This Row],[Days in Arrears]] &lt; 8, Table__192.168.1.150_M_CONSOLIDATED_Delinquency_Compulsory_EOM[[#This Row],[Outstanding Balance]], 0 )</f>
        <v>3961253.7</v>
      </c>
      <c r="V12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8" s="105" t="str">
        <f>VLOOKUP(Table__192.168.1.150_M_CONSOLIDATED_Delinquency_Compulsory_EOM[[#This Row],[Client No]],'Global Portfolio'!$B$2:$N$2500,10,FALSE)</f>
        <v>Retail</v>
      </c>
      <c r="AA1238" s="105" t="str">
        <f>VLOOKUP(Table__192.168.1.150_M_CONSOLIDATED_Delinquency_Compulsory_EOM[[#This Row],[Client No]],'Global Portfolio'!$B$2:$N$2500,11,FALSE)</f>
        <v>Others</v>
      </c>
      <c r="AB1238" s="105" t="str">
        <f>VLOOKUP(Table__192.168.1.150_M_CONSOLIDATED_Delinquency_Compulsory_EOM[[#This Row],[Client No]],'Global Portfolio'!$B$2:$N$2500,12,FALSE)</f>
        <v>Others</v>
      </c>
    </row>
    <row r="1239" spans="1:28" x14ac:dyDescent="0.25">
      <c r="A1239">
        <v>201175</v>
      </c>
      <c r="B1239" t="s">
        <v>5066</v>
      </c>
      <c r="C1239" t="s">
        <v>5072</v>
      </c>
      <c r="D1239" t="s">
        <v>1279</v>
      </c>
      <c r="E1239">
        <v>-20</v>
      </c>
      <c r="F1239">
        <v>1000000</v>
      </c>
      <c r="G1239">
        <v>744712.6</v>
      </c>
      <c r="H1239">
        <v>126378.82</v>
      </c>
      <c r="I1239" t="s">
        <v>4844</v>
      </c>
      <c r="J1239">
        <v>0</v>
      </c>
      <c r="K1239">
        <v>100000</v>
      </c>
      <c r="L1239">
        <v>10053.620000000001</v>
      </c>
      <c r="M1239">
        <v>884651.75</v>
      </c>
      <c r="N1239" s="711">
        <v>42937.681770717594</v>
      </c>
      <c r="O1239" s="711">
        <v>43241</v>
      </c>
      <c r="P1239" t="s">
        <v>5073</v>
      </c>
      <c r="Q1239" t="s">
        <v>5074</v>
      </c>
      <c r="R1239" t="s">
        <v>1280</v>
      </c>
      <c r="S1239" t="s">
        <v>1510</v>
      </c>
      <c r="T1239">
        <v>54</v>
      </c>
      <c r="U1239">
        <f>IF(Table__192.168.1.150_M_CONSOLIDATED_Delinquency_Compulsory_EOM[[#This Row],[Days in Arrears]] &lt; 8, Table__192.168.1.150_M_CONSOLIDATED_Delinquency_Compulsory_EOM[[#This Row],[Outstanding Balance]], 0 )</f>
        <v>744712.6</v>
      </c>
      <c r="V12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39" s="105" t="str">
        <f>VLOOKUP(Table__192.168.1.150_M_CONSOLIDATED_Delinquency_Compulsory_EOM[[#This Row],[Client No]],'Global Portfolio'!$B$2:$N$2500,10,FALSE)</f>
        <v>Retail</v>
      </c>
      <c r="AA1239" s="105" t="str">
        <f>VLOOKUP(Table__192.168.1.150_M_CONSOLIDATED_Delinquency_Compulsory_EOM[[#This Row],[Client No]],'Global Portfolio'!$B$2:$N$2500,11,FALSE)</f>
        <v>Others</v>
      </c>
      <c r="AB1239" s="105" t="str">
        <f>VLOOKUP(Table__192.168.1.150_M_CONSOLIDATED_Delinquency_Compulsory_EOM[[#This Row],[Client No]],'Global Portfolio'!$B$2:$N$2500,12,FALSE)</f>
        <v>Others</v>
      </c>
    </row>
    <row r="1240" spans="1:28" x14ac:dyDescent="0.25">
      <c r="A1240">
        <v>201176</v>
      </c>
      <c r="B1240" t="s">
        <v>3967</v>
      </c>
      <c r="C1240" t="s">
        <v>3976</v>
      </c>
      <c r="D1240" t="s">
        <v>1279</v>
      </c>
      <c r="E1240">
        <v>10</v>
      </c>
      <c r="F1240">
        <v>1500000</v>
      </c>
      <c r="G1240">
        <v>1038668.59</v>
      </c>
      <c r="H1240">
        <v>286142.84999999998</v>
      </c>
      <c r="I1240" t="s">
        <v>2538</v>
      </c>
      <c r="J1240">
        <v>0</v>
      </c>
      <c r="K1240">
        <v>150000</v>
      </c>
      <c r="L1240">
        <v>19608.189999999999</v>
      </c>
      <c r="M1240">
        <v>1113104.01</v>
      </c>
      <c r="N1240" s="711">
        <v>42937.707024965275</v>
      </c>
      <c r="O1240" s="711">
        <v>43121</v>
      </c>
      <c r="P1240" t="s">
        <v>3977</v>
      </c>
      <c r="Q1240" t="s">
        <v>1280</v>
      </c>
      <c r="R1240" t="s">
        <v>1280</v>
      </c>
      <c r="S1240" t="s">
        <v>1510</v>
      </c>
      <c r="T1240">
        <v>48</v>
      </c>
      <c r="U1240">
        <f>IF(Table__192.168.1.150_M_CONSOLIDATED_Delinquency_Compulsory_EOM[[#This Row],[Days in Arrears]] &lt; 8, Table__192.168.1.150_M_CONSOLIDATED_Delinquency_Compulsory_EOM[[#This Row],[Outstanding Balance]], 0 )</f>
        <v>0</v>
      </c>
      <c r="V12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1038668.59</v>
      </c>
      <c r="W12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0" s="105" t="str">
        <f>VLOOKUP(Table__192.168.1.150_M_CONSOLIDATED_Delinquency_Compulsory_EOM[[#This Row],[Client No]],'Global Portfolio'!$B$2:$N$2500,10,FALSE)</f>
        <v>Retail</v>
      </c>
      <c r="AA1240" s="105" t="str">
        <f>VLOOKUP(Table__192.168.1.150_M_CONSOLIDATED_Delinquency_Compulsory_EOM[[#This Row],[Client No]],'Global Portfolio'!$B$2:$N$2500,11,FALSE)</f>
        <v>General Merchandise Stores</v>
      </c>
      <c r="AB1240" s="105" t="str">
        <f>VLOOKUP(Table__192.168.1.150_M_CONSOLIDATED_Delinquency_Compulsory_EOM[[#This Row],[Client No]],'Global Portfolio'!$B$2:$N$2500,12,FALSE)</f>
        <v>General Stores</v>
      </c>
    </row>
    <row r="1241" spans="1:28" x14ac:dyDescent="0.25">
      <c r="A1241">
        <v>201177</v>
      </c>
      <c r="B1241" t="s">
        <v>4095</v>
      </c>
      <c r="C1241" t="s">
        <v>4096</v>
      </c>
      <c r="D1241" t="s">
        <v>1281</v>
      </c>
      <c r="E1241">
        <v>-21</v>
      </c>
      <c r="F1241">
        <v>20000000</v>
      </c>
      <c r="G1241">
        <v>15745468.880000001</v>
      </c>
      <c r="H1241">
        <v>2069678.99</v>
      </c>
      <c r="I1241" t="s">
        <v>2175</v>
      </c>
      <c r="J1241">
        <v>0</v>
      </c>
      <c r="K1241">
        <v>1500000</v>
      </c>
      <c r="L1241">
        <v>146957.71</v>
      </c>
      <c r="M1241">
        <v>18627110.84</v>
      </c>
      <c r="N1241" s="711">
        <v>42938.440721874998</v>
      </c>
      <c r="O1241" s="711">
        <v>43303</v>
      </c>
      <c r="P1241" t="s">
        <v>4097</v>
      </c>
      <c r="Q1241" t="s">
        <v>1280</v>
      </c>
      <c r="R1241" t="s">
        <v>4098</v>
      </c>
      <c r="S1241" t="s">
        <v>1510</v>
      </c>
      <c r="T1241">
        <v>42</v>
      </c>
      <c r="U1241">
        <f>IF(Table__192.168.1.150_M_CONSOLIDATED_Delinquency_Compulsory_EOM[[#This Row],[Days in Arrears]] &lt; 8, Table__192.168.1.150_M_CONSOLIDATED_Delinquency_Compulsory_EOM[[#This Row],[Outstanding Balance]], 0 )</f>
        <v>15745468.880000001</v>
      </c>
      <c r="V12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1" s="105" t="str">
        <f>VLOOKUP(Table__192.168.1.150_M_CONSOLIDATED_Delinquency_Compulsory_EOM[[#This Row],[Client No]],'Global Portfolio'!$B$2:$N$2500,10,FALSE)</f>
        <v>Retail</v>
      </c>
      <c r="AA1241" s="105" t="str">
        <f>VLOOKUP(Table__192.168.1.150_M_CONSOLIDATED_Delinquency_Compulsory_EOM[[#This Row],[Client No]],'Global Portfolio'!$B$2:$N$2500,11,FALSE)</f>
        <v>General Merchandise Stores</v>
      </c>
      <c r="AB1241" s="105" t="str">
        <f>VLOOKUP(Table__192.168.1.150_M_CONSOLIDATED_Delinquency_Compulsory_EOM[[#This Row],[Client No]],'Global Portfolio'!$B$2:$N$2500,12,FALSE)</f>
        <v>General Stores</v>
      </c>
    </row>
    <row r="1242" spans="1:28" x14ac:dyDescent="0.25">
      <c r="A1242">
        <v>201178</v>
      </c>
      <c r="B1242" t="s">
        <v>5065</v>
      </c>
      <c r="C1242" t="s">
        <v>5075</v>
      </c>
      <c r="D1242" t="s">
        <v>1284</v>
      </c>
      <c r="E1242">
        <v>-20</v>
      </c>
      <c r="F1242">
        <v>10000000</v>
      </c>
      <c r="G1242">
        <v>7336142.6799999997</v>
      </c>
      <c r="H1242">
        <v>1192334.26</v>
      </c>
      <c r="I1242" t="s">
        <v>1447</v>
      </c>
      <c r="J1242">
        <v>0</v>
      </c>
      <c r="K1242">
        <v>500000</v>
      </c>
      <c r="L1242">
        <v>73361.429999999993</v>
      </c>
      <c r="M1242">
        <v>8346339.7699999996</v>
      </c>
      <c r="N1242" s="711">
        <v>42937.723631365741</v>
      </c>
      <c r="O1242" s="711">
        <v>43241</v>
      </c>
      <c r="P1242" t="s">
        <v>5076</v>
      </c>
      <c r="Q1242" t="s">
        <v>1280</v>
      </c>
      <c r="R1242" t="s">
        <v>1280</v>
      </c>
      <c r="S1242" t="s">
        <v>1510</v>
      </c>
      <c r="T1242">
        <v>40</v>
      </c>
      <c r="U1242">
        <f>IF(Table__192.168.1.150_M_CONSOLIDATED_Delinquency_Compulsory_EOM[[#This Row],[Days in Arrears]] &lt; 8, Table__192.168.1.150_M_CONSOLIDATED_Delinquency_Compulsory_EOM[[#This Row],[Outstanding Balance]], 0 )</f>
        <v>7336142.6799999997</v>
      </c>
      <c r="V12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2" s="105" t="str">
        <f>VLOOKUP(Table__192.168.1.150_M_CONSOLIDATED_Delinquency_Compulsory_EOM[[#This Row],[Client No]],'Global Portfolio'!$B$2:$N$2500,10,FALSE)</f>
        <v>Retail</v>
      </c>
      <c r="AA1242" s="105" t="str">
        <f>VLOOKUP(Table__192.168.1.150_M_CONSOLIDATED_Delinquency_Compulsory_EOM[[#This Row],[Client No]],'Global Portfolio'!$B$2:$N$2500,11,FALSE)</f>
        <v>Others</v>
      </c>
      <c r="AB1242" s="105" t="str">
        <f>VLOOKUP(Table__192.168.1.150_M_CONSOLIDATED_Delinquency_Compulsory_EOM[[#This Row],[Client No]],'Global Portfolio'!$B$2:$N$2500,12,FALSE)</f>
        <v>Others</v>
      </c>
    </row>
    <row r="1243" spans="1:28" x14ac:dyDescent="0.25">
      <c r="A1243">
        <v>201179</v>
      </c>
      <c r="B1243" t="s">
        <v>5077</v>
      </c>
      <c r="C1243" t="s">
        <v>5079</v>
      </c>
      <c r="D1243" t="s">
        <v>1282</v>
      </c>
      <c r="E1243">
        <v>7</v>
      </c>
      <c r="F1243">
        <v>6000000</v>
      </c>
      <c r="G1243">
        <v>5001481.8600000003</v>
      </c>
      <c r="H1243">
        <v>758272.93</v>
      </c>
      <c r="I1243" t="s">
        <v>491</v>
      </c>
      <c r="J1243">
        <v>0</v>
      </c>
      <c r="K1243">
        <v>600000</v>
      </c>
      <c r="L1243">
        <v>265281.15999999997</v>
      </c>
      <c r="M1243">
        <v>6066183.4400000004</v>
      </c>
      <c r="N1243" s="711">
        <v>42940.681572187503</v>
      </c>
      <c r="O1243" s="711">
        <v>43244</v>
      </c>
      <c r="P1243" t="s">
        <v>5080</v>
      </c>
      <c r="Q1243" t="s">
        <v>5081</v>
      </c>
      <c r="R1243" t="s">
        <v>1280</v>
      </c>
      <c r="S1243" t="s">
        <v>1510</v>
      </c>
      <c r="T1243">
        <v>54</v>
      </c>
      <c r="U1243">
        <f>IF(Table__192.168.1.150_M_CONSOLIDATED_Delinquency_Compulsory_EOM[[#This Row],[Days in Arrears]] &lt; 8, Table__192.168.1.150_M_CONSOLIDATED_Delinquency_Compulsory_EOM[[#This Row],[Outstanding Balance]], 0 )</f>
        <v>5001481.8600000003</v>
      </c>
      <c r="V12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3" s="105" t="str">
        <f>VLOOKUP(Table__192.168.1.150_M_CONSOLIDATED_Delinquency_Compulsory_EOM[[#This Row],[Client No]],'Global Portfolio'!$B$2:$N$2500,10,FALSE)</f>
        <v>Retail</v>
      </c>
      <c r="AA1243" s="105" t="str">
        <f>VLOOKUP(Table__192.168.1.150_M_CONSOLIDATED_Delinquency_Compulsory_EOM[[#This Row],[Client No]],'Global Portfolio'!$B$2:$N$2500,11,FALSE)</f>
        <v>General Merchandise Stores</v>
      </c>
      <c r="AB1243" s="105" t="str">
        <f>VLOOKUP(Table__192.168.1.150_M_CONSOLIDATED_Delinquency_Compulsory_EOM[[#This Row],[Client No]],'Global Portfolio'!$B$2:$N$2500,12,FALSE)</f>
        <v>General Stores</v>
      </c>
    </row>
    <row r="1244" spans="1:28" x14ac:dyDescent="0.25">
      <c r="A1244">
        <v>201180</v>
      </c>
      <c r="B1244" t="s">
        <v>5083</v>
      </c>
      <c r="C1244" t="s">
        <v>5087</v>
      </c>
      <c r="D1244" t="s">
        <v>1279</v>
      </c>
      <c r="E1244">
        <v>-24</v>
      </c>
      <c r="F1244">
        <v>2500000</v>
      </c>
      <c r="G1244">
        <v>1332411.94</v>
      </c>
      <c r="H1244">
        <v>484695.97</v>
      </c>
      <c r="I1244" t="s">
        <v>5047</v>
      </c>
      <c r="J1244">
        <v>0</v>
      </c>
      <c r="K1244">
        <v>250000</v>
      </c>
      <c r="L1244">
        <v>9993.09</v>
      </c>
      <c r="M1244">
        <v>1454087.91</v>
      </c>
      <c r="N1244" s="711">
        <v>42941.502594178244</v>
      </c>
      <c r="O1244" s="711">
        <v>43125</v>
      </c>
      <c r="P1244" t="s">
        <v>5088</v>
      </c>
      <c r="Q1244" t="s">
        <v>1280</v>
      </c>
      <c r="R1244" t="s">
        <v>1280</v>
      </c>
      <c r="S1244" t="s">
        <v>1510</v>
      </c>
      <c r="T1244">
        <v>54</v>
      </c>
      <c r="U1244">
        <f>IF(Table__192.168.1.150_M_CONSOLIDATED_Delinquency_Compulsory_EOM[[#This Row],[Days in Arrears]] &lt; 8, Table__192.168.1.150_M_CONSOLIDATED_Delinquency_Compulsory_EOM[[#This Row],[Outstanding Balance]], 0 )</f>
        <v>1332411.94</v>
      </c>
      <c r="V12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4" s="105" t="str">
        <f>VLOOKUP(Table__192.168.1.150_M_CONSOLIDATED_Delinquency_Compulsory_EOM[[#This Row],[Client No]],'Global Portfolio'!$B$2:$N$2500,10,FALSE)</f>
        <v>Retail</v>
      </c>
      <c r="AA1244" s="105" t="str">
        <f>VLOOKUP(Table__192.168.1.150_M_CONSOLIDATED_Delinquency_Compulsory_EOM[[#This Row],[Client No]],'Global Portfolio'!$B$2:$N$2500,11,FALSE)</f>
        <v>General Merchandise Stores</v>
      </c>
      <c r="AB1244" s="105" t="str">
        <f>VLOOKUP(Table__192.168.1.150_M_CONSOLIDATED_Delinquency_Compulsory_EOM[[#This Row],[Client No]],'Global Portfolio'!$B$2:$N$2500,12,FALSE)</f>
        <v>General Stores</v>
      </c>
    </row>
    <row r="1245" spans="1:28" x14ac:dyDescent="0.25">
      <c r="A1245">
        <v>201181</v>
      </c>
      <c r="B1245" t="s">
        <v>4247</v>
      </c>
      <c r="C1245" t="s">
        <v>4252</v>
      </c>
      <c r="D1245" t="s">
        <v>1282</v>
      </c>
      <c r="E1245">
        <v>-24</v>
      </c>
      <c r="F1245">
        <v>5000000</v>
      </c>
      <c r="G1245">
        <v>3699994.94</v>
      </c>
      <c r="H1245">
        <v>616454.72</v>
      </c>
      <c r="I1245" t="s">
        <v>1925</v>
      </c>
      <c r="J1245">
        <v>0</v>
      </c>
      <c r="K1245">
        <v>500000</v>
      </c>
      <c r="L1245">
        <v>24666.63</v>
      </c>
      <c r="M1245">
        <v>4315183.0599999996</v>
      </c>
      <c r="N1245" s="711">
        <v>42941.527658298612</v>
      </c>
      <c r="O1245" s="711">
        <v>43245</v>
      </c>
      <c r="P1245" t="s">
        <v>4253</v>
      </c>
      <c r="Q1245" t="s">
        <v>1280</v>
      </c>
      <c r="R1245" t="s">
        <v>4254</v>
      </c>
      <c r="S1245" t="s">
        <v>1510</v>
      </c>
      <c r="T1245">
        <v>48</v>
      </c>
      <c r="U1245">
        <f>IF(Table__192.168.1.150_M_CONSOLIDATED_Delinquency_Compulsory_EOM[[#This Row],[Days in Arrears]] &lt; 8, Table__192.168.1.150_M_CONSOLIDATED_Delinquency_Compulsory_EOM[[#This Row],[Outstanding Balance]], 0 )</f>
        <v>3699994.94</v>
      </c>
      <c r="V12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5" s="105" t="str">
        <f>VLOOKUP(Table__192.168.1.150_M_CONSOLIDATED_Delinquency_Compulsory_EOM[[#This Row],[Client No]],'Global Portfolio'!$B$2:$N$2500,10,FALSE)</f>
        <v>Real Estate and Rental</v>
      </c>
      <c r="AA1245" s="105" t="str">
        <f>VLOOKUP(Table__192.168.1.150_M_CONSOLIDATED_Delinquency_Compulsory_EOM[[#This Row],[Client No]],'Global Portfolio'!$B$2:$N$2500,11,FALSE)</f>
        <v>Rental</v>
      </c>
      <c r="AB1245" s="105" t="str">
        <f>VLOOKUP(Table__192.168.1.150_M_CONSOLIDATED_Delinquency_Compulsory_EOM[[#This Row],[Client No]],'Global Portfolio'!$B$2:$N$2500,12,FALSE)</f>
        <v>Others</v>
      </c>
    </row>
    <row r="1246" spans="1:28" x14ac:dyDescent="0.25">
      <c r="A1246">
        <v>201182</v>
      </c>
      <c r="B1246" t="s">
        <v>5082</v>
      </c>
      <c r="C1246" t="s">
        <v>5089</v>
      </c>
      <c r="D1246" t="s">
        <v>1866</v>
      </c>
      <c r="E1246">
        <v>-24</v>
      </c>
      <c r="F1246">
        <v>7000000</v>
      </c>
      <c r="G1246">
        <v>4638703.45</v>
      </c>
      <c r="H1246">
        <v>1046862.01</v>
      </c>
      <c r="I1246" t="s">
        <v>90</v>
      </c>
      <c r="J1246">
        <v>5278.11</v>
      </c>
      <c r="K1246">
        <v>700000</v>
      </c>
      <c r="L1246">
        <v>32213.22</v>
      </c>
      <c r="M1246">
        <v>5234310.08</v>
      </c>
      <c r="N1246" s="711">
        <v>42941.591631828705</v>
      </c>
      <c r="O1246" s="711">
        <v>43184</v>
      </c>
      <c r="P1246" t="s">
        <v>5090</v>
      </c>
      <c r="Q1246" t="s">
        <v>5091</v>
      </c>
      <c r="R1246" t="s">
        <v>1280</v>
      </c>
      <c r="S1246" t="s">
        <v>1510</v>
      </c>
      <c r="T1246">
        <v>50</v>
      </c>
      <c r="U1246">
        <f>IF(Table__192.168.1.150_M_CONSOLIDATED_Delinquency_Compulsory_EOM[[#This Row],[Days in Arrears]] &lt; 8, Table__192.168.1.150_M_CONSOLIDATED_Delinquency_Compulsory_EOM[[#This Row],[Outstanding Balance]], 0 )</f>
        <v>4638703.45</v>
      </c>
      <c r="V12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6" s="105" t="str">
        <f>VLOOKUP(Table__192.168.1.150_M_CONSOLIDATED_Delinquency_Compulsory_EOM[[#This Row],[Client No]],'Global Portfolio'!$B$2:$N$2500,10,FALSE)</f>
        <v>Retail</v>
      </c>
      <c r="AA1246" s="105" t="str">
        <f>VLOOKUP(Table__192.168.1.150_M_CONSOLIDATED_Delinquency_Compulsory_EOM[[#This Row],[Client No]],'Global Portfolio'!$B$2:$N$2500,11,FALSE)</f>
        <v>Second Hand -Clothing and  Accessories</v>
      </c>
      <c r="AB1246" s="105" t="str">
        <f>VLOOKUP(Table__192.168.1.150_M_CONSOLIDATED_Delinquency_Compulsory_EOM[[#This Row],[Client No]],'Global Portfolio'!$B$2:$N$2500,12,FALSE)</f>
        <v>Others</v>
      </c>
    </row>
    <row r="1247" spans="1:28" x14ac:dyDescent="0.25">
      <c r="A1247">
        <v>201183</v>
      </c>
      <c r="B1247" t="s">
        <v>2857</v>
      </c>
      <c r="C1247" t="s">
        <v>2858</v>
      </c>
      <c r="D1247" t="s">
        <v>1282</v>
      </c>
      <c r="E1247">
        <v>-24</v>
      </c>
      <c r="F1247">
        <v>6000000</v>
      </c>
      <c r="G1247">
        <v>4439993.91</v>
      </c>
      <c r="H1247">
        <v>739745.67</v>
      </c>
      <c r="I1247" t="s">
        <v>1925</v>
      </c>
      <c r="J1247">
        <v>0</v>
      </c>
      <c r="K1247">
        <v>600000</v>
      </c>
      <c r="L1247">
        <v>29599.96</v>
      </c>
      <c r="M1247">
        <v>5178219.63</v>
      </c>
      <c r="N1247" s="711">
        <v>42941.584913854167</v>
      </c>
      <c r="O1247" s="711">
        <v>43245</v>
      </c>
      <c r="P1247" t="s">
        <v>2859</v>
      </c>
      <c r="Q1247" t="s">
        <v>2860</v>
      </c>
      <c r="R1247" t="s">
        <v>1280</v>
      </c>
      <c r="S1247" t="s">
        <v>1510</v>
      </c>
      <c r="T1247">
        <v>48</v>
      </c>
      <c r="U1247">
        <f>IF(Table__192.168.1.150_M_CONSOLIDATED_Delinquency_Compulsory_EOM[[#This Row],[Days in Arrears]] &lt; 8, Table__192.168.1.150_M_CONSOLIDATED_Delinquency_Compulsory_EOM[[#This Row],[Outstanding Balance]], 0 )</f>
        <v>4439993.91</v>
      </c>
      <c r="V12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7" s="105" t="str">
        <f>VLOOKUP(Table__192.168.1.150_M_CONSOLIDATED_Delinquency_Compulsory_EOM[[#This Row],[Client No]],'Global Portfolio'!$B$2:$N$2500,10,FALSE)</f>
        <v>Retail</v>
      </c>
      <c r="AA1247" s="105" t="str">
        <f>VLOOKUP(Table__192.168.1.150_M_CONSOLIDATED_Delinquency_Compulsory_EOM[[#This Row],[Client No]],'Global Portfolio'!$B$2:$N$2500,11,FALSE)</f>
        <v>General Merchandise Stores</v>
      </c>
      <c r="AB1247" s="105" t="str">
        <f>VLOOKUP(Table__192.168.1.150_M_CONSOLIDATED_Delinquency_Compulsory_EOM[[#This Row],[Client No]],'Global Portfolio'!$B$2:$N$2500,12,FALSE)</f>
        <v>General Stores</v>
      </c>
    </row>
    <row r="1248" spans="1:28" x14ac:dyDescent="0.25">
      <c r="A1248">
        <v>201184</v>
      </c>
      <c r="B1248" t="s">
        <v>2787</v>
      </c>
      <c r="C1248" t="s">
        <v>2799</v>
      </c>
      <c r="D1248" t="s">
        <v>1282</v>
      </c>
      <c r="E1248">
        <v>-24</v>
      </c>
      <c r="F1248">
        <v>6000000</v>
      </c>
      <c r="G1248">
        <v>4753504.42</v>
      </c>
      <c r="H1248">
        <v>639313.04</v>
      </c>
      <c r="I1248" t="s">
        <v>2034</v>
      </c>
      <c r="J1248">
        <v>0</v>
      </c>
      <c r="K1248">
        <v>600000</v>
      </c>
      <c r="L1248">
        <v>31690.03</v>
      </c>
      <c r="M1248">
        <v>5753817.2999999998</v>
      </c>
      <c r="N1248" s="711">
        <v>42941.695466435187</v>
      </c>
      <c r="O1248" s="711">
        <v>43306</v>
      </c>
      <c r="P1248" t="s">
        <v>2800</v>
      </c>
      <c r="Q1248" t="s">
        <v>2801</v>
      </c>
      <c r="R1248" t="s">
        <v>1280</v>
      </c>
      <c r="S1248" t="s">
        <v>1510</v>
      </c>
      <c r="T1248">
        <v>48</v>
      </c>
      <c r="U1248">
        <f>IF(Table__192.168.1.150_M_CONSOLIDATED_Delinquency_Compulsory_EOM[[#This Row],[Days in Arrears]] &lt; 8, Table__192.168.1.150_M_CONSOLIDATED_Delinquency_Compulsory_EOM[[#This Row],[Outstanding Balance]], 0 )</f>
        <v>4753504.42</v>
      </c>
      <c r="V12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8" s="105" t="str">
        <f>VLOOKUP(Table__192.168.1.150_M_CONSOLIDATED_Delinquency_Compulsory_EOM[[#This Row],[Client No]],'Global Portfolio'!$B$2:$N$2500,10,FALSE)</f>
        <v>Real Estate and Rental</v>
      </c>
      <c r="AA1248" s="105" t="str">
        <f>VLOOKUP(Table__192.168.1.150_M_CONSOLIDATED_Delinquency_Compulsory_EOM[[#This Row],[Client No]],'Global Portfolio'!$B$2:$N$2500,11,FALSE)</f>
        <v>Rental</v>
      </c>
      <c r="AB1248" s="105" t="str">
        <f>VLOOKUP(Table__192.168.1.150_M_CONSOLIDATED_Delinquency_Compulsory_EOM[[#This Row],[Client No]],'Global Portfolio'!$B$2:$N$2500,12,FALSE)</f>
        <v>Video Tape &amp; Disc Rental</v>
      </c>
    </row>
    <row r="1249" spans="1:28" x14ac:dyDescent="0.25">
      <c r="A1249">
        <v>201185</v>
      </c>
      <c r="B1249" t="s">
        <v>5085</v>
      </c>
      <c r="C1249" t="s">
        <v>5092</v>
      </c>
      <c r="D1249" t="s">
        <v>1282</v>
      </c>
      <c r="E1249">
        <v>-24</v>
      </c>
      <c r="F1249">
        <v>13000000</v>
      </c>
      <c r="G1249">
        <v>9681263.8300000001</v>
      </c>
      <c r="H1249">
        <v>1642924.68</v>
      </c>
      <c r="I1249" t="s">
        <v>1467</v>
      </c>
      <c r="J1249">
        <v>3311629.96</v>
      </c>
      <c r="K1249">
        <v>1300000</v>
      </c>
      <c r="L1249">
        <v>72609.48</v>
      </c>
      <c r="M1249">
        <v>11500472.77</v>
      </c>
      <c r="N1249" s="711">
        <v>42941.62990177083</v>
      </c>
      <c r="O1249" s="711">
        <v>43245</v>
      </c>
      <c r="P1249" t="s">
        <v>5093</v>
      </c>
      <c r="Q1249" t="s">
        <v>5094</v>
      </c>
      <c r="R1249" t="s">
        <v>1280</v>
      </c>
      <c r="S1249" t="s">
        <v>1510</v>
      </c>
      <c r="T1249">
        <v>54</v>
      </c>
      <c r="U1249">
        <f>IF(Table__192.168.1.150_M_CONSOLIDATED_Delinquency_Compulsory_EOM[[#This Row],[Days in Arrears]] &lt; 8, Table__192.168.1.150_M_CONSOLIDATED_Delinquency_Compulsory_EOM[[#This Row],[Outstanding Balance]], 0 )</f>
        <v>9681263.8300000001</v>
      </c>
      <c r="V12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49" s="105" t="str">
        <f>VLOOKUP(Table__192.168.1.150_M_CONSOLIDATED_Delinquency_Compulsory_EOM[[#This Row],[Client No]],'Global Portfolio'!$B$2:$N$2500,10,FALSE)</f>
        <v>Retail</v>
      </c>
      <c r="AA1249" s="105" t="str">
        <f>VLOOKUP(Table__192.168.1.150_M_CONSOLIDATED_Delinquency_Compulsory_EOM[[#This Row],[Client No]],'Global Portfolio'!$B$2:$N$2500,11,FALSE)</f>
        <v>General Merchandise Stores</v>
      </c>
      <c r="AB1249" s="105" t="str">
        <f>VLOOKUP(Table__192.168.1.150_M_CONSOLIDATED_Delinquency_Compulsory_EOM[[#This Row],[Client No]],'Global Portfolio'!$B$2:$N$2500,12,FALSE)</f>
        <v>General Stores</v>
      </c>
    </row>
    <row r="1250" spans="1:28" x14ac:dyDescent="0.25">
      <c r="A1250">
        <v>201186</v>
      </c>
      <c r="B1250" t="s">
        <v>5084</v>
      </c>
      <c r="C1250" t="s">
        <v>5095</v>
      </c>
      <c r="D1250" t="s">
        <v>1282</v>
      </c>
      <c r="E1250">
        <v>-24</v>
      </c>
      <c r="F1250">
        <v>4000000</v>
      </c>
      <c r="G1250">
        <v>2131859.11</v>
      </c>
      <c r="H1250">
        <v>775513.55</v>
      </c>
      <c r="I1250" t="s">
        <v>4919</v>
      </c>
      <c r="J1250">
        <v>57286.45</v>
      </c>
      <c r="K1250">
        <v>400000</v>
      </c>
      <c r="L1250">
        <v>15988.94</v>
      </c>
      <c r="M1250">
        <v>2326540.65</v>
      </c>
      <c r="N1250" s="711">
        <v>42941.65516574074</v>
      </c>
      <c r="O1250" s="711">
        <v>43125</v>
      </c>
      <c r="P1250" t="s">
        <v>5096</v>
      </c>
      <c r="Q1250" t="s">
        <v>5097</v>
      </c>
      <c r="R1250" t="s">
        <v>1280</v>
      </c>
      <c r="S1250" t="s">
        <v>1510</v>
      </c>
      <c r="T1250">
        <v>54</v>
      </c>
      <c r="U1250">
        <f>IF(Table__192.168.1.150_M_CONSOLIDATED_Delinquency_Compulsory_EOM[[#This Row],[Days in Arrears]] &lt; 8, Table__192.168.1.150_M_CONSOLIDATED_Delinquency_Compulsory_EOM[[#This Row],[Outstanding Balance]], 0 )</f>
        <v>2131859.11</v>
      </c>
      <c r="V12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0" s="105" t="str">
        <f>VLOOKUP(Table__192.168.1.150_M_CONSOLIDATED_Delinquency_Compulsory_EOM[[#This Row],[Client No]],'Global Portfolio'!$B$2:$N$2500,10,FALSE)</f>
        <v>Retail</v>
      </c>
      <c r="AA1250" s="105" t="str">
        <f>VLOOKUP(Table__192.168.1.150_M_CONSOLIDATED_Delinquency_Compulsory_EOM[[#This Row],[Client No]],'Global Portfolio'!$B$2:$N$2500,11,FALSE)</f>
        <v>General Merchandise Stores</v>
      </c>
      <c r="AB1250" s="105" t="str">
        <f>VLOOKUP(Table__192.168.1.150_M_CONSOLIDATED_Delinquency_Compulsory_EOM[[#This Row],[Client No]],'Global Portfolio'!$B$2:$N$2500,12,FALSE)</f>
        <v>General Stores</v>
      </c>
    </row>
    <row r="1251" spans="1:28" x14ac:dyDescent="0.25">
      <c r="A1251">
        <v>201188</v>
      </c>
      <c r="B1251" t="s">
        <v>5086</v>
      </c>
      <c r="C1251" t="s">
        <v>5098</v>
      </c>
      <c r="D1251" t="s">
        <v>1279</v>
      </c>
      <c r="E1251">
        <v>-24</v>
      </c>
      <c r="F1251">
        <v>2000000</v>
      </c>
      <c r="G1251">
        <v>1331125.69</v>
      </c>
      <c r="H1251">
        <v>303219.31</v>
      </c>
      <c r="I1251" t="s">
        <v>963</v>
      </c>
      <c r="J1251">
        <v>0</v>
      </c>
      <c r="K1251">
        <v>200000</v>
      </c>
      <c r="L1251">
        <v>9983.44</v>
      </c>
      <c r="M1251">
        <v>1516096.53</v>
      </c>
      <c r="N1251" s="711">
        <v>42941.688671261574</v>
      </c>
      <c r="O1251" s="711">
        <v>43184</v>
      </c>
      <c r="P1251" t="s">
        <v>5099</v>
      </c>
      <c r="Q1251" t="s">
        <v>1280</v>
      </c>
      <c r="R1251" t="s">
        <v>5100</v>
      </c>
      <c r="S1251" t="s">
        <v>1510</v>
      </c>
      <c r="T1251">
        <v>54</v>
      </c>
      <c r="U1251">
        <f>IF(Table__192.168.1.150_M_CONSOLIDATED_Delinquency_Compulsory_EOM[[#This Row],[Days in Arrears]] &lt; 8, Table__192.168.1.150_M_CONSOLIDATED_Delinquency_Compulsory_EOM[[#This Row],[Outstanding Balance]], 0 )</f>
        <v>1331125.69</v>
      </c>
      <c r="V12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1" s="105" t="str">
        <f>VLOOKUP(Table__192.168.1.150_M_CONSOLIDATED_Delinquency_Compulsory_EOM[[#This Row],[Client No]],'Global Portfolio'!$B$2:$N$2500,10,FALSE)</f>
        <v>Real Estate and Rental</v>
      </c>
      <c r="AA1251" s="105" t="str">
        <f>VLOOKUP(Table__192.168.1.150_M_CONSOLIDATED_Delinquency_Compulsory_EOM[[#This Row],[Client No]],'Global Portfolio'!$B$2:$N$2500,11,FALSE)</f>
        <v>Rental</v>
      </c>
      <c r="AB1251" s="105" t="str">
        <f>VLOOKUP(Table__192.168.1.150_M_CONSOLIDATED_Delinquency_Compulsory_EOM[[#This Row],[Client No]],'Global Portfolio'!$B$2:$N$2500,12,FALSE)</f>
        <v>Others</v>
      </c>
    </row>
    <row r="1252" spans="1:28" x14ac:dyDescent="0.25">
      <c r="A1252">
        <v>201189</v>
      </c>
      <c r="B1252" t="s">
        <v>2812</v>
      </c>
      <c r="C1252" t="s">
        <v>2820</v>
      </c>
      <c r="D1252" t="s">
        <v>1279</v>
      </c>
      <c r="E1252">
        <v>0</v>
      </c>
      <c r="F1252">
        <v>2500000</v>
      </c>
      <c r="G1252">
        <v>2077876.72</v>
      </c>
      <c r="H1252">
        <v>308622.52</v>
      </c>
      <c r="I1252" t="s">
        <v>2034</v>
      </c>
      <c r="J1252">
        <v>300377.48</v>
      </c>
      <c r="K1252">
        <v>250000</v>
      </c>
      <c r="L1252">
        <v>80344.570000000007</v>
      </c>
      <c r="M1252">
        <v>2468980.21</v>
      </c>
      <c r="N1252" s="711">
        <v>42947.505184803238</v>
      </c>
      <c r="O1252" s="711">
        <v>43252</v>
      </c>
      <c r="P1252" t="s">
        <v>2821</v>
      </c>
      <c r="Q1252" t="s">
        <v>2822</v>
      </c>
      <c r="R1252" t="s">
        <v>1280</v>
      </c>
      <c r="S1252" t="s">
        <v>1510</v>
      </c>
      <c r="T1252">
        <v>48</v>
      </c>
      <c r="U1252">
        <f>IF(Table__192.168.1.150_M_CONSOLIDATED_Delinquency_Compulsory_EOM[[#This Row],[Days in Arrears]] &lt; 8, Table__192.168.1.150_M_CONSOLIDATED_Delinquency_Compulsory_EOM[[#This Row],[Outstanding Balance]], 0 )</f>
        <v>2077876.72</v>
      </c>
      <c r="V12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2" s="105" t="str">
        <f>VLOOKUP(Table__192.168.1.150_M_CONSOLIDATED_Delinquency_Compulsory_EOM[[#This Row],[Client No]],'Global Portfolio'!$B$2:$N$2500,10,FALSE)</f>
        <v>Retail</v>
      </c>
      <c r="AA1252" s="105" t="str">
        <f>VLOOKUP(Table__192.168.1.150_M_CONSOLIDATED_Delinquency_Compulsory_EOM[[#This Row],[Client No]],'Global Portfolio'!$B$2:$N$2500,11,FALSE)</f>
        <v>General Merchandise Stores</v>
      </c>
      <c r="AB1252" s="105" t="str">
        <f>VLOOKUP(Table__192.168.1.150_M_CONSOLIDATED_Delinquency_Compulsory_EOM[[#This Row],[Client No]],'Global Portfolio'!$B$2:$N$2500,12,FALSE)</f>
        <v>Others</v>
      </c>
    </row>
    <row r="1253" spans="1:28" x14ac:dyDescent="0.25">
      <c r="A1253">
        <v>201190</v>
      </c>
      <c r="B1253" t="s">
        <v>5101</v>
      </c>
      <c r="C1253" t="s">
        <v>5106</v>
      </c>
      <c r="D1253" t="s">
        <v>1282</v>
      </c>
      <c r="E1253">
        <v>0</v>
      </c>
      <c r="F1253">
        <v>2500000</v>
      </c>
      <c r="G1253">
        <v>1968988.95</v>
      </c>
      <c r="H1253">
        <v>381744.4</v>
      </c>
      <c r="I1253" t="s">
        <v>4686</v>
      </c>
      <c r="J1253">
        <v>411102.48</v>
      </c>
      <c r="K1253">
        <v>250000</v>
      </c>
      <c r="L1253">
        <v>85651.02</v>
      </c>
      <c r="M1253">
        <v>2290466.41</v>
      </c>
      <c r="N1253" s="711">
        <v>42942.522085567129</v>
      </c>
      <c r="O1253" s="711">
        <v>43191</v>
      </c>
      <c r="P1253" t="s">
        <v>5107</v>
      </c>
      <c r="Q1253" t="s">
        <v>5108</v>
      </c>
      <c r="R1253" t="s">
        <v>1280</v>
      </c>
      <c r="S1253" t="s">
        <v>1510</v>
      </c>
      <c r="T1253">
        <v>54</v>
      </c>
      <c r="U1253">
        <f>IF(Table__192.168.1.150_M_CONSOLIDATED_Delinquency_Compulsory_EOM[[#This Row],[Days in Arrears]] &lt; 8, Table__192.168.1.150_M_CONSOLIDATED_Delinquency_Compulsory_EOM[[#This Row],[Outstanding Balance]], 0 )</f>
        <v>1968988.95</v>
      </c>
      <c r="V12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3" s="105" t="str">
        <f>VLOOKUP(Table__192.168.1.150_M_CONSOLIDATED_Delinquency_Compulsory_EOM[[#This Row],[Client No]],'Global Portfolio'!$B$2:$N$2500,10,FALSE)</f>
        <v>Agriculture, Forestry, Fishing and Hunting</v>
      </c>
      <c r="AA1253" s="105" t="str">
        <f>VLOOKUP(Table__192.168.1.150_M_CONSOLIDATED_Delinquency_Compulsory_EOM[[#This Row],[Client No]],'Global Portfolio'!$B$2:$N$2500,11,FALSE)</f>
        <v>Forestry</v>
      </c>
      <c r="AB1253" s="105" t="str">
        <f>VLOOKUP(Table__192.168.1.150_M_CONSOLIDATED_Delinquency_Compulsory_EOM[[#This Row],[Client No]],'Global Portfolio'!$B$2:$N$2500,12,FALSE)</f>
        <v>Timber Tract Operations</v>
      </c>
    </row>
    <row r="1254" spans="1:28" x14ac:dyDescent="0.25">
      <c r="A1254">
        <v>201191</v>
      </c>
      <c r="B1254" t="s">
        <v>2826</v>
      </c>
      <c r="C1254" t="s">
        <v>2847</v>
      </c>
      <c r="D1254" t="s">
        <v>1282</v>
      </c>
      <c r="E1254">
        <v>0</v>
      </c>
      <c r="F1254">
        <v>13000000</v>
      </c>
      <c r="G1254">
        <v>11750405.359999999</v>
      </c>
      <c r="H1254">
        <v>1176729.3999999999</v>
      </c>
      <c r="I1254" t="s">
        <v>1447</v>
      </c>
      <c r="J1254">
        <v>406792.91</v>
      </c>
      <c r="K1254">
        <v>0</v>
      </c>
      <c r="L1254">
        <v>686517.58</v>
      </c>
      <c r="M1254">
        <v>15297482.15</v>
      </c>
      <c r="N1254" s="711">
        <v>42942.476226620369</v>
      </c>
      <c r="O1254" s="711">
        <v>43405</v>
      </c>
      <c r="P1254" t="s">
        <v>2848</v>
      </c>
      <c r="Q1254" t="s">
        <v>2849</v>
      </c>
      <c r="R1254" t="s">
        <v>1280</v>
      </c>
      <c r="S1254" t="s">
        <v>1510</v>
      </c>
      <c r="T1254">
        <v>48</v>
      </c>
      <c r="U1254">
        <f>IF(Table__192.168.1.150_M_CONSOLIDATED_Delinquency_Compulsory_EOM[[#This Row],[Days in Arrears]] &lt; 8, Table__192.168.1.150_M_CONSOLIDATED_Delinquency_Compulsory_EOM[[#This Row],[Outstanding Balance]], 0 )</f>
        <v>11750405.359999999</v>
      </c>
      <c r="V12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4" s="105" t="str">
        <f>VLOOKUP(Table__192.168.1.150_M_CONSOLIDATED_Delinquency_Compulsory_EOM[[#This Row],[Client No]],'Global Portfolio'!$B$2:$N$2500,10,FALSE)</f>
        <v>Retail</v>
      </c>
      <c r="AA1254" s="105" t="str">
        <f>VLOOKUP(Table__192.168.1.150_M_CONSOLIDATED_Delinquency_Compulsory_EOM[[#This Row],[Client No]],'Global Portfolio'!$B$2:$N$2500,11,FALSE)</f>
        <v>General Merchandise Stores</v>
      </c>
      <c r="AB1254" s="105" t="str">
        <f>VLOOKUP(Table__192.168.1.150_M_CONSOLIDATED_Delinquency_Compulsory_EOM[[#This Row],[Client No]],'Global Portfolio'!$B$2:$N$2500,12,FALSE)</f>
        <v>General Stores</v>
      </c>
    </row>
    <row r="1255" spans="1:28" x14ac:dyDescent="0.25">
      <c r="A1255">
        <v>201193</v>
      </c>
      <c r="B1255" t="s">
        <v>5109</v>
      </c>
      <c r="C1255" t="s">
        <v>5113</v>
      </c>
      <c r="D1255" t="s">
        <v>1282</v>
      </c>
      <c r="E1255">
        <v>0</v>
      </c>
      <c r="F1255">
        <v>6500000</v>
      </c>
      <c r="G1255">
        <v>5449381.71</v>
      </c>
      <c r="H1255">
        <v>826178.87</v>
      </c>
      <c r="I1255" t="s">
        <v>1909</v>
      </c>
      <c r="J1255">
        <v>819277.85</v>
      </c>
      <c r="K1255">
        <v>650000</v>
      </c>
      <c r="L1255">
        <v>237048.1</v>
      </c>
      <c r="M1255">
        <v>6609430.9800000004</v>
      </c>
      <c r="N1255" s="711">
        <v>42943.562869444446</v>
      </c>
      <c r="O1255" s="711">
        <v>43252</v>
      </c>
      <c r="P1255" t="s">
        <v>5114</v>
      </c>
      <c r="Q1255" t="s">
        <v>1280</v>
      </c>
      <c r="R1255" t="s">
        <v>1280</v>
      </c>
      <c r="S1255" t="s">
        <v>1510</v>
      </c>
      <c r="T1255">
        <v>54</v>
      </c>
      <c r="U1255">
        <f>IF(Table__192.168.1.150_M_CONSOLIDATED_Delinquency_Compulsory_EOM[[#This Row],[Days in Arrears]] &lt; 8, Table__192.168.1.150_M_CONSOLIDATED_Delinquency_Compulsory_EOM[[#This Row],[Outstanding Balance]], 0 )</f>
        <v>5449381.71</v>
      </c>
      <c r="V12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5" s="105" t="str">
        <f>VLOOKUP(Table__192.168.1.150_M_CONSOLIDATED_Delinquency_Compulsory_EOM[[#This Row],[Client No]],'Global Portfolio'!$B$2:$N$2500,10,FALSE)</f>
        <v>Retail</v>
      </c>
      <c r="AA1255" s="105" t="str">
        <f>VLOOKUP(Table__192.168.1.150_M_CONSOLIDATED_Delinquency_Compulsory_EOM[[#This Row],[Client No]],'Global Portfolio'!$B$2:$N$2500,11,FALSE)</f>
        <v>Food and Beverage Stores</v>
      </c>
      <c r="AB1255" s="105" t="str">
        <f>VLOOKUP(Table__192.168.1.150_M_CONSOLIDATED_Delinquency_Compulsory_EOM[[#This Row],[Client No]],'Global Portfolio'!$B$2:$N$2500,12,FALSE)</f>
        <v>Beverage Stores</v>
      </c>
    </row>
    <row r="1256" spans="1:28" x14ac:dyDescent="0.25">
      <c r="A1256">
        <v>201194</v>
      </c>
      <c r="B1256" t="s">
        <v>3526</v>
      </c>
      <c r="C1256" t="s">
        <v>3540</v>
      </c>
      <c r="D1256" t="s">
        <v>1282</v>
      </c>
      <c r="E1256">
        <v>0</v>
      </c>
      <c r="F1256">
        <v>7500000</v>
      </c>
      <c r="G1256">
        <v>6506681.5599999996</v>
      </c>
      <c r="H1256">
        <v>802214.92</v>
      </c>
      <c r="I1256" t="s">
        <v>2034</v>
      </c>
      <c r="J1256">
        <v>795992.13</v>
      </c>
      <c r="K1256">
        <v>0</v>
      </c>
      <c r="L1256">
        <v>251591.69</v>
      </c>
      <c r="M1256">
        <v>8022149.1200000001</v>
      </c>
      <c r="N1256" s="711">
        <v>42944.660376157408</v>
      </c>
      <c r="O1256" s="711">
        <v>43313</v>
      </c>
      <c r="P1256" t="s">
        <v>3541</v>
      </c>
      <c r="Q1256" t="s">
        <v>1280</v>
      </c>
      <c r="R1256" t="s">
        <v>3542</v>
      </c>
      <c r="S1256" t="s">
        <v>1510</v>
      </c>
      <c r="T1256">
        <v>48</v>
      </c>
      <c r="U1256">
        <f>IF(Table__192.168.1.150_M_CONSOLIDATED_Delinquency_Compulsory_EOM[[#This Row],[Days in Arrears]] &lt; 8, Table__192.168.1.150_M_CONSOLIDATED_Delinquency_Compulsory_EOM[[#This Row],[Outstanding Balance]], 0 )</f>
        <v>6506681.5599999996</v>
      </c>
      <c r="V12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6" s="105" t="str">
        <f>VLOOKUP(Table__192.168.1.150_M_CONSOLIDATED_Delinquency_Compulsory_EOM[[#This Row],[Client No]],'Global Portfolio'!$B$2:$N$2500,10,FALSE)</f>
        <v>Retail</v>
      </c>
      <c r="AA1256" s="105" t="str">
        <f>VLOOKUP(Table__192.168.1.150_M_CONSOLIDATED_Delinquency_Compulsory_EOM[[#This Row],[Client No]],'Global Portfolio'!$B$2:$N$2500,11,FALSE)</f>
        <v>General Merchandise Stores</v>
      </c>
      <c r="AB1256" s="105" t="str">
        <f>VLOOKUP(Table__192.168.1.150_M_CONSOLIDATED_Delinquency_Compulsory_EOM[[#This Row],[Client No]],'Global Portfolio'!$B$2:$N$2500,12,FALSE)</f>
        <v>General Stores</v>
      </c>
    </row>
    <row r="1257" spans="1:28" x14ac:dyDescent="0.25">
      <c r="A1257">
        <v>201195</v>
      </c>
      <c r="B1257" t="s">
        <v>1857</v>
      </c>
      <c r="C1257" t="s">
        <v>1860</v>
      </c>
      <c r="D1257" t="s">
        <v>1284</v>
      </c>
      <c r="E1257">
        <v>0</v>
      </c>
      <c r="F1257">
        <v>16000000</v>
      </c>
      <c r="G1257">
        <v>14655383.18</v>
      </c>
      <c r="H1257">
        <v>1166727.5</v>
      </c>
      <c r="I1257" t="s">
        <v>963</v>
      </c>
      <c r="J1257">
        <v>10345.44</v>
      </c>
      <c r="K1257">
        <v>800000</v>
      </c>
      <c r="L1257">
        <v>425006.11</v>
      </c>
      <c r="M1257">
        <v>18667640.059999999</v>
      </c>
      <c r="N1257" s="711">
        <v>42944.574526932869</v>
      </c>
      <c r="O1257" s="711">
        <v>43497</v>
      </c>
      <c r="P1257" t="s">
        <v>1861</v>
      </c>
      <c r="Q1257" t="s">
        <v>1862</v>
      </c>
      <c r="R1257" t="s">
        <v>1280</v>
      </c>
      <c r="S1257" t="s">
        <v>1510</v>
      </c>
      <c r="T1257">
        <v>36</v>
      </c>
      <c r="U1257">
        <f>IF(Table__192.168.1.150_M_CONSOLIDATED_Delinquency_Compulsory_EOM[[#This Row],[Days in Arrears]] &lt; 8, Table__192.168.1.150_M_CONSOLIDATED_Delinquency_Compulsory_EOM[[#This Row],[Outstanding Balance]], 0 )</f>
        <v>14655383.18</v>
      </c>
      <c r="V12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7" s="105" t="str">
        <f>VLOOKUP(Table__192.168.1.150_M_CONSOLIDATED_Delinquency_Compulsory_EOM[[#This Row],[Client No]],'Global Portfolio'!$B$2:$N$2500,10,FALSE)</f>
        <v>Agriculture, Forestry, Fishing and Hunting</v>
      </c>
      <c r="AA1257" s="105" t="str">
        <f>VLOOKUP(Table__192.168.1.150_M_CONSOLIDATED_Delinquency_Compulsory_EOM[[#This Row],[Client No]],'Global Portfolio'!$B$2:$N$2500,11,FALSE)</f>
        <v>Animal Production</v>
      </c>
      <c r="AB1257" s="105" t="str">
        <f>VLOOKUP(Table__192.168.1.150_M_CONSOLIDATED_Delinquency_Compulsory_EOM[[#This Row],[Client No]],'Global Portfolio'!$B$2:$N$2500,12,FALSE)</f>
        <v>Poultry &amp; Egg Production</v>
      </c>
    </row>
    <row r="1258" spans="1:28" x14ac:dyDescent="0.25">
      <c r="A1258">
        <v>201196</v>
      </c>
      <c r="B1258" t="s">
        <v>5126</v>
      </c>
      <c r="C1258" t="s">
        <v>5135</v>
      </c>
      <c r="D1258" t="s">
        <v>1282</v>
      </c>
      <c r="E1258">
        <v>0</v>
      </c>
      <c r="F1258">
        <v>7000000</v>
      </c>
      <c r="G1258">
        <v>5860189.2199999997</v>
      </c>
      <c r="H1258">
        <v>888461.26</v>
      </c>
      <c r="I1258" t="s">
        <v>5047</v>
      </c>
      <c r="J1258">
        <v>25000</v>
      </c>
      <c r="K1258">
        <v>700000</v>
      </c>
      <c r="L1258">
        <v>254918.23</v>
      </c>
      <c r="M1258">
        <v>7107690.0199999996</v>
      </c>
      <c r="N1258" s="711">
        <v>42944.532806249998</v>
      </c>
      <c r="O1258" s="711">
        <v>43252</v>
      </c>
      <c r="P1258" t="s">
        <v>5136</v>
      </c>
      <c r="Q1258" t="s">
        <v>1280</v>
      </c>
      <c r="R1258" t="s">
        <v>5137</v>
      </c>
      <c r="S1258" t="s">
        <v>1510</v>
      </c>
      <c r="T1258">
        <v>54</v>
      </c>
      <c r="U1258">
        <f>IF(Table__192.168.1.150_M_CONSOLIDATED_Delinquency_Compulsory_EOM[[#This Row],[Days in Arrears]] &lt; 8, Table__192.168.1.150_M_CONSOLIDATED_Delinquency_Compulsory_EOM[[#This Row],[Outstanding Balance]], 0 )</f>
        <v>5860189.2199999997</v>
      </c>
      <c r="V12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8" s="105" t="str">
        <f>VLOOKUP(Table__192.168.1.150_M_CONSOLIDATED_Delinquency_Compulsory_EOM[[#This Row],[Client No]],'Global Portfolio'!$B$2:$N$2500,10,FALSE)</f>
        <v>Real Estate and Rental</v>
      </c>
      <c r="AA1258" s="105" t="str">
        <f>VLOOKUP(Table__192.168.1.150_M_CONSOLIDATED_Delinquency_Compulsory_EOM[[#This Row],[Client No]],'Global Portfolio'!$B$2:$N$2500,11,FALSE)</f>
        <v>Real Estate</v>
      </c>
      <c r="AB1258" s="105" t="str">
        <f>VLOOKUP(Table__192.168.1.150_M_CONSOLIDATED_Delinquency_Compulsory_EOM[[#This Row],[Client No]],'Global Portfolio'!$B$2:$N$2500,12,FALSE)</f>
        <v>Real Estate</v>
      </c>
    </row>
    <row r="1259" spans="1:28" x14ac:dyDescent="0.25">
      <c r="A1259">
        <v>201197</v>
      </c>
      <c r="B1259" t="s">
        <v>3512</v>
      </c>
      <c r="C1259" t="s">
        <v>3521</v>
      </c>
      <c r="D1259" t="s">
        <v>1279</v>
      </c>
      <c r="E1259">
        <v>0</v>
      </c>
      <c r="F1259">
        <v>4800000</v>
      </c>
      <c r="G1259">
        <v>4164276.2</v>
      </c>
      <c r="H1259">
        <v>513417.55</v>
      </c>
      <c r="I1259" t="s">
        <v>2034</v>
      </c>
      <c r="J1259">
        <v>501833.47</v>
      </c>
      <c r="K1259">
        <v>480000</v>
      </c>
      <c r="L1259">
        <v>161018.68</v>
      </c>
      <c r="M1259">
        <v>5134175.45</v>
      </c>
      <c r="N1259" s="711">
        <v>42944.557641516207</v>
      </c>
      <c r="O1259" s="711">
        <v>43313</v>
      </c>
      <c r="P1259" t="s">
        <v>3522</v>
      </c>
      <c r="Q1259" t="s">
        <v>1280</v>
      </c>
      <c r="R1259" t="s">
        <v>3523</v>
      </c>
      <c r="S1259" t="s">
        <v>1510</v>
      </c>
      <c r="T1259">
        <v>48</v>
      </c>
      <c r="U1259">
        <f>IF(Table__192.168.1.150_M_CONSOLIDATED_Delinquency_Compulsory_EOM[[#This Row],[Days in Arrears]] &lt; 8, Table__192.168.1.150_M_CONSOLIDATED_Delinquency_Compulsory_EOM[[#This Row],[Outstanding Balance]], 0 )</f>
        <v>4164276.2</v>
      </c>
      <c r="V12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59" s="105" t="str">
        <f>VLOOKUP(Table__192.168.1.150_M_CONSOLIDATED_Delinquency_Compulsory_EOM[[#This Row],[Client No]],'Global Portfolio'!$B$2:$N$2500,10,FALSE)</f>
        <v>Retail</v>
      </c>
      <c r="AA1259" s="105" t="str">
        <f>VLOOKUP(Table__192.168.1.150_M_CONSOLIDATED_Delinquency_Compulsory_EOM[[#This Row],[Client No]],'Global Portfolio'!$B$2:$N$2500,11,FALSE)</f>
        <v>General Merchandise Stores</v>
      </c>
      <c r="AB1259" s="105" t="str">
        <f>VLOOKUP(Table__192.168.1.150_M_CONSOLIDATED_Delinquency_Compulsory_EOM[[#This Row],[Client No]],'Global Portfolio'!$B$2:$N$2500,12,FALSE)</f>
        <v>General Stores</v>
      </c>
    </row>
    <row r="1260" spans="1:28" x14ac:dyDescent="0.25">
      <c r="A1260">
        <v>201198</v>
      </c>
      <c r="B1260" t="s">
        <v>3878</v>
      </c>
      <c r="C1260" t="s">
        <v>3883</v>
      </c>
      <c r="D1260" t="s">
        <v>1282</v>
      </c>
      <c r="E1260">
        <v>0</v>
      </c>
      <c r="F1260">
        <v>6000000</v>
      </c>
      <c r="G1260">
        <v>4170653.84</v>
      </c>
      <c r="H1260">
        <v>1148973.6100000001</v>
      </c>
      <c r="I1260" t="s">
        <v>2175</v>
      </c>
      <c r="J1260">
        <v>0</v>
      </c>
      <c r="K1260">
        <v>600000</v>
      </c>
      <c r="L1260">
        <v>161265.28</v>
      </c>
      <c r="M1260">
        <v>4595894.46</v>
      </c>
      <c r="N1260" s="711">
        <v>42944.547210682867</v>
      </c>
      <c r="O1260" s="711">
        <v>43132</v>
      </c>
      <c r="P1260" t="s">
        <v>3884</v>
      </c>
      <c r="Q1260" t="s">
        <v>1280</v>
      </c>
      <c r="R1260" t="s">
        <v>3885</v>
      </c>
      <c r="S1260" t="s">
        <v>1510</v>
      </c>
      <c r="T1260">
        <v>48</v>
      </c>
      <c r="U1260">
        <f>IF(Table__192.168.1.150_M_CONSOLIDATED_Delinquency_Compulsory_EOM[[#This Row],[Days in Arrears]] &lt; 8, Table__192.168.1.150_M_CONSOLIDATED_Delinquency_Compulsory_EOM[[#This Row],[Outstanding Balance]], 0 )</f>
        <v>4170653.84</v>
      </c>
      <c r="V12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0" s="105" t="str">
        <f>VLOOKUP(Table__192.168.1.150_M_CONSOLIDATED_Delinquency_Compulsory_EOM[[#This Row],[Client No]],'Global Portfolio'!$B$2:$N$2500,10,FALSE)</f>
        <v>Retail</v>
      </c>
      <c r="AA1260" s="105" t="str">
        <f>VLOOKUP(Table__192.168.1.150_M_CONSOLIDATED_Delinquency_Compulsory_EOM[[#This Row],[Client No]],'Global Portfolio'!$B$2:$N$2500,11,FALSE)</f>
        <v>Miscellaneous Store Retailers</v>
      </c>
      <c r="AB1260" s="105" t="str">
        <f>VLOOKUP(Table__192.168.1.150_M_CONSOLIDATED_Delinquency_Compulsory_EOM[[#This Row],[Client No]],'Global Portfolio'!$B$2:$N$2500,12,FALSE)</f>
        <v>Printing Stores</v>
      </c>
    </row>
    <row r="1261" spans="1:28" x14ac:dyDescent="0.25">
      <c r="A1261">
        <v>201199</v>
      </c>
      <c r="B1261" t="s">
        <v>5115</v>
      </c>
      <c r="C1261" t="s">
        <v>5120</v>
      </c>
      <c r="D1261" t="s">
        <v>1282</v>
      </c>
      <c r="E1261">
        <v>30</v>
      </c>
      <c r="F1261">
        <v>6000000</v>
      </c>
      <c r="G1261">
        <v>5113650.09</v>
      </c>
      <c r="H1261">
        <v>894594.56000000006</v>
      </c>
      <c r="I1261" t="s">
        <v>2034</v>
      </c>
      <c r="J1261">
        <v>0</v>
      </c>
      <c r="K1261">
        <v>600000</v>
      </c>
      <c r="L1261">
        <v>181330.7</v>
      </c>
      <c r="M1261">
        <v>5791630.3200000003</v>
      </c>
      <c r="N1261" s="711">
        <v>42944.669319907407</v>
      </c>
      <c r="O1261" s="711">
        <v>43191</v>
      </c>
      <c r="P1261" t="s">
        <v>5121</v>
      </c>
      <c r="Q1261" t="s">
        <v>1280</v>
      </c>
      <c r="R1261" t="s">
        <v>1280</v>
      </c>
      <c r="S1261" t="s">
        <v>1510</v>
      </c>
      <c r="T1261">
        <v>48</v>
      </c>
      <c r="U1261">
        <f>IF(Table__192.168.1.150_M_CONSOLIDATED_Delinquency_Compulsory_EOM[[#This Row],[Days in Arrears]] &lt; 8, Table__192.168.1.150_M_CONSOLIDATED_Delinquency_Compulsory_EOM[[#This Row],[Outstanding Balance]], 0 )</f>
        <v>0</v>
      </c>
      <c r="V12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5113650.09</v>
      </c>
      <c r="X12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1" s="105" t="str">
        <f>VLOOKUP(Table__192.168.1.150_M_CONSOLIDATED_Delinquency_Compulsory_EOM[[#This Row],[Client No]],'Global Portfolio'!$B$2:$N$2500,10,FALSE)</f>
        <v>Manufacturing</v>
      </c>
      <c r="AA1261" s="105" t="str">
        <f>VLOOKUP(Table__192.168.1.150_M_CONSOLIDATED_Delinquency_Compulsory_EOM[[#This Row],[Client No]],'Global Portfolio'!$B$2:$N$2500,11,FALSE)</f>
        <v>Wood Product Manufacturing</v>
      </c>
      <c r="AB1261" s="105" t="str">
        <f>VLOOKUP(Table__192.168.1.150_M_CONSOLIDATED_Delinquency_Compulsory_EOM[[#This Row],[Client No]],'Global Portfolio'!$B$2:$N$2500,12,FALSE)</f>
        <v>Sawmills &amp; Wood Preservation</v>
      </c>
    </row>
    <row r="1262" spans="1:28" x14ac:dyDescent="0.25">
      <c r="A1262">
        <v>201200</v>
      </c>
      <c r="B1262" t="s">
        <v>2480</v>
      </c>
      <c r="C1262" t="s">
        <v>2481</v>
      </c>
      <c r="D1262" t="s">
        <v>1279</v>
      </c>
      <c r="E1262">
        <v>0</v>
      </c>
      <c r="F1262">
        <v>2500000</v>
      </c>
      <c r="G1262">
        <v>2083197.79</v>
      </c>
      <c r="H1262">
        <v>309412.84999999998</v>
      </c>
      <c r="I1262" t="s">
        <v>2034</v>
      </c>
      <c r="J1262">
        <v>298755.28999999998</v>
      </c>
      <c r="K1262">
        <v>250000</v>
      </c>
      <c r="L1262">
        <v>80550.31</v>
      </c>
      <c r="M1262">
        <v>2475302.7999999998</v>
      </c>
      <c r="N1262" s="711">
        <v>42944.714830324076</v>
      </c>
      <c r="O1262" s="711">
        <v>43252</v>
      </c>
      <c r="P1262" t="s">
        <v>2482</v>
      </c>
      <c r="Q1262" t="s">
        <v>1280</v>
      </c>
      <c r="R1262" t="s">
        <v>1280</v>
      </c>
      <c r="S1262" t="s">
        <v>1510</v>
      </c>
      <c r="T1262">
        <v>48</v>
      </c>
      <c r="U1262">
        <f>IF(Table__192.168.1.150_M_CONSOLIDATED_Delinquency_Compulsory_EOM[[#This Row],[Days in Arrears]] &lt; 8, Table__192.168.1.150_M_CONSOLIDATED_Delinquency_Compulsory_EOM[[#This Row],[Outstanding Balance]], 0 )</f>
        <v>2083197.79</v>
      </c>
      <c r="V12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2" s="105" t="str">
        <f>VLOOKUP(Table__192.168.1.150_M_CONSOLIDATED_Delinquency_Compulsory_EOM[[#This Row],[Client No]],'Global Portfolio'!$B$2:$N$2500,10,FALSE)</f>
        <v>Real Estate and Rental</v>
      </c>
      <c r="AA1262" s="105" t="str">
        <f>VLOOKUP(Table__192.168.1.150_M_CONSOLIDATED_Delinquency_Compulsory_EOM[[#This Row],[Client No]],'Global Portfolio'!$B$2:$N$2500,11,FALSE)</f>
        <v>Real Estate</v>
      </c>
      <c r="AB1262" s="105" t="str">
        <f>VLOOKUP(Table__192.168.1.150_M_CONSOLIDATED_Delinquency_Compulsory_EOM[[#This Row],[Client No]],'Global Portfolio'!$B$2:$N$2500,12,FALSE)</f>
        <v>Real Estate</v>
      </c>
    </row>
    <row r="1263" spans="1:28" x14ac:dyDescent="0.25">
      <c r="A1263">
        <v>201201</v>
      </c>
      <c r="B1263" t="s">
        <v>2971</v>
      </c>
      <c r="C1263" t="s">
        <v>2972</v>
      </c>
      <c r="D1263" t="s">
        <v>1285</v>
      </c>
      <c r="E1263">
        <v>-20</v>
      </c>
      <c r="F1263">
        <v>5500000</v>
      </c>
      <c r="G1263">
        <v>4217495.72</v>
      </c>
      <c r="H1263">
        <v>512606.66</v>
      </c>
      <c r="I1263" t="s">
        <v>284</v>
      </c>
      <c r="J1263">
        <v>0</v>
      </c>
      <c r="K1263">
        <v>0</v>
      </c>
      <c r="L1263">
        <v>23196.23</v>
      </c>
      <c r="M1263">
        <v>4613459.99</v>
      </c>
      <c r="N1263" s="711">
        <v>42944.700933368054</v>
      </c>
      <c r="O1263" s="711">
        <v>43302</v>
      </c>
      <c r="P1263" t="s">
        <v>2973</v>
      </c>
      <c r="Q1263" t="s">
        <v>1280</v>
      </c>
      <c r="R1263" t="s">
        <v>1280</v>
      </c>
      <c r="S1263" t="s">
        <v>1510</v>
      </c>
      <c r="T1263">
        <v>22</v>
      </c>
      <c r="U1263">
        <f>IF(Table__192.168.1.150_M_CONSOLIDATED_Delinquency_Compulsory_EOM[[#This Row],[Days in Arrears]] &lt; 8, Table__192.168.1.150_M_CONSOLIDATED_Delinquency_Compulsory_EOM[[#This Row],[Outstanding Balance]], 0 )</f>
        <v>4217495.72</v>
      </c>
      <c r="V12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3" s="105" t="str">
        <f>VLOOKUP(Table__192.168.1.150_M_CONSOLIDATED_Delinquency_Compulsory_EOM[[#This Row],[Client No]],'Global Portfolio'!$B$2:$N$2500,10,FALSE)</f>
        <v>Finance and Insurance</v>
      </c>
      <c r="AA1263" s="105" t="str">
        <f>VLOOKUP(Table__192.168.1.150_M_CONSOLIDATED_Delinquency_Compulsory_EOM[[#This Row],[Client No]],'Global Portfolio'!$B$2:$N$2500,11,FALSE)</f>
        <v>Finance</v>
      </c>
      <c r="AB1263" s="105" t="str">
        <f>VLOOKUP(Table__192.168.1.150_M_CONSOLIDATED_Delinquency_Compulsory_EOM[[#This Row],[Client No]],'Global Portfolio'!$B$2:$N$2500,12,FALSE)</f>
        <v>Microfinance Institutions</v>
      </c>
    </row>
    <row r="1264" spans="1:28" x14ac:dyDescent="0.25">
      <c r="A1264">
        <v>201202</v>
      </c>
      <c r="B1264" t="s">
        <v>3525</v>
      </c>
      <c r="C1264" t="s">
        <v>3533</v>
      </c>
      <c r="D1264" t="s">
        <v>1866</v>
      </c>
      <c r="E1264">
        <v>0</v>
      </c>
      <c r="F1264">
        <v>6000000</v>
      </c>
      <c r="G1264">
        <v>5183250.8</v>
      </c>
      <c r="H1264">
        <v>628487.88</v>
      </c>
      <c r="I1264" t="s">
        <v>2034</v>
      </c>
      <c r="J1264">
        <v>7396.05</v>
      </c>
      <c r="K1264">
        <v>600000</v>
      </c>
      <c r="L1264">
        <v>183717.45</v>
      </c>
      <c r="M1264">
        <v>6284878.8200000003</v>
      </c>
      <c r="N1264" s="711">
        <v>42945.442615706015</v>
      </c>
      <c r="O1264" s="711">
        <v>43313</v>
      </c>
      <c r="P1264" t="s">
        <v>3534</v>
      </c>
      <c r="Q1264" t="s">
        <v>1280</v>
      </c>
      <c r="R1264" t="s">
        <v>1280</v>
      </c>
      <c r="S1264" t="s">
        <v>1510</v>
      </c>
      <c r="T1264">
        <v>44</v>
      </c>
      <c r="U1264">
        <f>IF(Table__192.168.1.150_M_CONSOLIDATED_Delinquency_Compulsory_EOM[[#This Row],[Days in Arrears]] &lt; 8, Table__192.168.1.150_M_CONSOLIDATED_Delinquency_Compulsory_EOM[[#This Row],[Outstanding Balance]], 0 )</f>
        <v>5183250.8</v>
      </c>
      <c r="V12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4" s="105" t="str">
        <f>VLOOKUP(Table__192.168.1.150_M_CONSOLIDATED_Delinquency_Compulsory_EOM[[#This Row],[Client No]],'Global Portfolio'!$B$2:$N$2500,10,FALSE)</f>
        <v>Agriculture, Forestry, Fishing and Hunting</v>
      </c>
      <c r="AA1264" s="105" t="str">
        <f>VLOOKUP(Table__192.168.1.150_M_CONSOLIDATED_Delinquency_Compulsory_EOM[[#This Row],[Client No]],'Global Portfolio'!$B$2:$N$2500,11,FALSE)</f>
        <v>Animal Production</v>
      </c>
      <c r="AB1264" s="105" t="str">
        <f>VLOOKUP(Table__192.168.1.150_M_CONSOLIDATED_Delinquency_Compulsory_EOM[[#This Row],[Client No]],'Global Portfolio'!$B$2:$N$2500,12,FALSE)</f>
        <v>Poultry &amp; Egg Production</v>
      </c>
    </row>
    <row r="1265" spans="1:28" x14ac:dyDescent="0.25">
      <c r="A1265">
        <v>201203</v>
      </c>
      <c r="B1265" t="s">
        <v>5127</v>
      </c>
      <c r="C1265" t="s">
        <v>5138</v>
      </c>
      <c r="D1265" t="s">
        <v>1866</v>
      </c>
      <c r="E1265">
        <v>0</v>
      </c>
      <c r="F1265">
        <v>6000000</v>
      </c>
      <c r="G1265">
        <v>4994195.7</v>
      </c>
      <c r="H1265">
        <v>746890.54</v>
      </c>
      <c r="I1265" t="s">
        <v>4686</v>
      </c>
      <c r="J1265">
        <v>57595.16</v>
      </c>
      <c r="K1265">
        <v>600000</v>
      </c>
      <c r="L1265">
        <v>201155.1</v>
      </c>
      <c r="M1265">
        <v>5975124.3200000003</v>
      </c>
      <c r="N1265" s="711">
        <v>42947.74363730324</v>
      </c>
      <c r="O1265" s="711">
        <v>43252</v>
      </c>
      <c r="P1265" t="s">
        <v>5139</v>
      </c>
      <c r="Q1265" t="s">
        <v>5140</v>
      </c>
      <c r="R1265" t="s">
        <v>1280</v>
      </c>
      <c r="S1265" t="s">
        <v>1510</v>
      </c>
      <c r="T1265">
        <v>50</v>
      </c>
      <c r="U1265">
        <f>IF(Table__192.168.1.150_M_CONSOLIDATED_Delinquency_Compulsory_EOM[[#This Row],[Days in Arrears]] &lt; 8, Table__192.168.1.150_M_CONSOLIDATED_Delinquency_Compulsory_EOM[[#This Row],[Outstanding Balance]], 0 )</f>
        <v>4994195.7</v>
      </c>
      <c r="V12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5" s="105" t="str">
        <f>VLOOKUP(Table__192.168.1.150_M_CONSOLIDATED_Delinquency_Compulsory_EOM[[#This Row],[Client No]],'Global Portfolio'!$B$2:$N$2500,10,FALSE)</f>
        <v>Educational Services</v>
      </c>
      <c r="AA1265" s="105" t="str">
        <f>VLOOKUP(Table__192.168.1.150_M_CONSOLIDATED_Delinquency_Compulsory_EOM[[#This Row],[Client No]],'Global Portfolio'!$B$2:$N$2500,11,FALSE)</f>
        <v>Educational Services</v>
      </c>
      <c r="AB1265" s="105" t="str">
        <f>VLOOKUP(Table__192.168.1.150_M_CONSOLIDATED_Delinquency_Compulsory_EOM[[#This Row],[Client No]],'Global Portfolio'!$B$2:$N$2500,12,FALSE)</f>
        <v>Schools</v>
      </c>
    </row>
    <row r="1266" spans="1:28" x14ac:dyDescent="0.25">
      <c r="A1266">
        <v>201204</v>
      </c>
      <c r="B1266" t="s">
        <v>3023</v>
      </c>
      <c r="C1266" t="s">
        <v>3027</v>
      </c>
      <c r="D1266" t="s">
        <v>1284</v>
      </c>
      <c r="E1266">
        <v>-5</v>
      </c>
      <c r="F1266">
        <v>6000000</v>
      </c>
      <c r="G1266">
        <v>4951913.59</v>
      </c>
      <c r="H1266">
        <v>705431.73</v>
      </c>
      <c r="I1266" t="s">
        <v>491</v>
      </c>
      <c r="J1266">
        <v>0</v>
      </c>
      <c r="K1266">
        <v>300000</v>
      </c>
      <c r="L1266">
        <v>118845.93</v>
      </c>
      <c r="M1266">
        <v>5643453.8200000003</v>
      </c>
      <c r="N1266" s="711">
        <v>42950.72107133102</v>
      </c>
      <c r="O1266" s="711">
        <v>43257</v>
      </c>
      <c r="P1266" t="s">
        <v>3028</v>
      </c>
      <c r="Q1266" t="s">
        <v>1280</v>
      </c>
      <c r="R1266" t="s">
        <v>1280</v>
      </c>
      <c r="S1266" t="s">
        <v>1510</v>
      </c>
      <c r="T1266">
        <v>36</v>
      </c>
      <c r="U1266">
        <f>IF(Table__192.168.1.150_M_CONSOLIDATED_Delinquency_Compulsory_EOM[[#This Row],[Days in Arrears]] &lt; 8, Table__192.168.1.150_M_CONSOLIDATED_Delinquency_Compulsory_EOM[[#This Row],[Outstanding Balance]], 0 )</f>
        <v>4951913.59</v>
      </c>
      <c r="V12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6" s="105" t="str">
        <f>VLOOKUP(Table__192.168.1.150_M_CONSOLIDATED_Delinquency_Compulsory_EOM[[#This Row],[Client No]],'Global Portfolio'!$B$2:$N$2500,10,FALSE)</f>
        <v>Retail</v>
      </c>
      <c r="AA1266" s="105" t="str">
        <f>VLOOKUP(Table__192.168.1.150_M_CONSOLIDATED_Delinquency_Compulsory_EOM[[#This Row],[Client No]],'Global Portfolio'!$B$2:$N$2500,11,FALSE)</f>
        <v>General Merchandise Stores</v>
      </c>
      <c r="AB1266" s="105" t="str">
        <f>VLOOKUP(Table__192.168.1.150_M_CONSOLIDATED_Delinquency_Compulsory_EOM[[#This Row],[Client No]],'Global Portfolio'!$B$2:$N$2500,12,FALSE)</f>
        <v>General Stores</v>
      </c>
    </row>
    <row r="1267" spans="1:28" x14ac:dyDescent="0.25">
      <c r="A1267">
        <v>201205</v>
      </c>
      <c r="B1267" t="s">
        <v>2968</v>
      </c>
      <c r="C1267" t="s">
        <v>2969</v>
      </c>
      <c r="D1267" t="s">
        <v>1282</v>
      </c>
      <c r="E1267">
        <v>-1</v>
      </c>
      <c r="F1267">
        <v>8000000</v>
      </c>
      <c r="G1267">
        <v>6640691.7999999998</v>
      </c>
      <c r="H1267">
        <v>986327.55</v>
      </c>
      <c r="I1267" t="s">
        <v>1447</v>
      </c>
      <c r="J1267">
        <v>0</v>
      </c>
      <c r="K1267">
        <v>800000</v>
      </c>
      <c r="L1267">
        <v>247919.16</v>
      </c>
      <c r="M1267">
        <v>7890620.46</v>
      </c>
      <c r="N1267" s="711">
        <v>42949.654072453704</v>
      </c>
      <c r="O1267" s="711">
        <v>43253</v>
      </c>
      <c r="P1267" t="s">
        <v>2970</v>
      </c>
      <c r="Q1267" t="s">
        <v>1280</v>
      </c>
      <c r="R1267" t="s">
        <v>1280</v>
      </c>
      <c r="S1267" t="s">
        <v>1510</v>
      </c>
      <c r="T1267">
        <v>48</v>
      </c>
      <c r="U1267">
        <f>IF(Table__192.168.1.150_M_CONSOLIDATED_Delinquency_Compulsory_EOM[[#This Row],[Days in Arrears]] &lt; 8, Table__192.168.1.150_M_CONSOLIDATED_Delinquency_Compulsory_EOM[[#This Row],[Outstanding Balance]], 0 )</f>
        <v>6640691.7999999998</v>
      </c>
      <c r="V12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7" s="105" t="str">
        <f>VLOOKUP(Table__192.168.1.150_M_CONSOLIDATED_Delinquency_Compulsory_EOM[[#This Row],[Client No]],'Global Portfolio'!$B$2:$N$2500,10,FALSE)</f>
        <v>Agriculture, Forestry, Fishing and Hunting</v>
      </c>
      <c r="AA1267" s="105" t="str">
        <f>VLOOKUP(Table__192.168.1.150_M_CONSOLIDATED_Delinquency_Compulsory_EOM[[#This Row],[Client No]],'Global Portfolio'!$B$2:$N$2500,11,FALSE)</f>
        <v>Crop Production</v>
      </c>
      <c r="AB1267" s="105" t="str">
        <f>VLOOKUP(Table__192.168.1.150_M_CONSOLIDATED_Delinquency_Compulsory_EOM[[#This Row],[Client No]],'Global Portfolio'!$B$2:$N$2500,12,FALSE)</f>
        <v>Maize</v>
      </c>
    </row>
    <row r="1268" spans="1:28" x14ac:dyDescent="0.25">
      <c r="A1268">
        <v>201206</v>
      </c>
      <c r="B1268" t="s">
        <v>1886</v>
      </c>
      <c r="C1268" t="s">
        <v>1889</v>
      </c>
      <c r="D1268" t="s">
        <v>1286</v>
      </c>
      <c r="E1268">
        <v>-20</v>
      </c>
      <c r="F1268">
        <v>6300000</v>
      </c>
      <c r="G1268">
        <v>3220885.74</v>
      </c>
      <c r="H1268">
        <v>1118670.54</v>
      </c>
      <c r="I1268" t="s">
        <v>284</v>
      </c>
      <c r="J1268">
        <v>3231749.22</v>
      </c>
      <c r="K1268">
        <v>0</v>
      </c>
      <c r="L1268">
        <v>20130.54</v>
      </c>
      <c r="M1268">
        <v>3356011.64</v>
      </c>
      <c r="N1268" s="711">
        <v>42950.545220138891</v>
      </c>
      <c r="O1268" s="711">
        <v>43121</v>
      </c>
      <c r="P1268" t="s">
        <v>1890</v>
      </c>
      <c r="Q1268" t="s">
        <v>1280</v>
      </c>
      <c r="R1268" t="s">
        <v>1280</v>
      </c>
      <c r="S1268" t="s">
        <v>1510</v>
      </c>
      <c r="T1268">
        <v>25</v>
      </c>
      <c r="U1268">
        <f>IF(Table__192.168.1.150_M_CONSOLIDATED_Delinquency_Compulsory_EOM[[#This Row],[Days in Arrears]] &lt; 8, Table__192.168.1.150_M_CONSOLIDATED_Delinquency_Compulsory_EOM[[#This Row],[Outstanding Balance]], 0 )</f>
        <v>3220885.74</v>
      </c>
      <c r="V12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8" s="105" t="str">
        <f>VLOOKUP(Table__192.168.1.150_M_CONSOLIDATED_Delinquency_Compulsory_EOM[[#This Row],[Client No]],'Global Portfolio'!$B$2:$N$2500,10,FALSE)</f>
        <v>Other Services</v>
      </c>
      <c r="AA1268" s="105" t="str">
        <f>VLOOKUP(Table__192.168.1.150_M_CONSOLIDATED_Delinquency_Compulsory_EOM[[#This Row],[Client No]],'Global Portfolio'!$B$2:$N$2500,11,FALSE)</f>
        <v>Others</v>
      </c>
      <c r="AB1268" s="105" t="str">
        <f>VLOOKUP(Table__192.168.1.150_M_CONSOLIDATED_Delinquency_Compulsory_EOM[[#This Row],[Client No]],'Global Portfolio'!$B$2:$N$2500,12,FALSE)</f>
        <v>Others</v>
      </c>
    </row>
    <row r="1269" spans="1:28" x14ac:dyDescent="0.25">
      <c r="A1269">
        <v>201208</v>
      </c>
      <c r="B1269" t="s">
        <v>4198</v>
      </c>
      <c r="C1269" t="s">
        <v>4200</v>
      </c>
      <c r="D1269" t="s">
        <v>1282</v>
      </c>
      <c r="E1269">
        <v>-6</v>
      </c>
      <c r="F1269">
        <v>5000000</v>
      </c>
      <c r="G1269">
        <v>4321167.8499999996</v>
      </c>
      <c r="H1269">
        <v>532760.86</v>
      </c>
      <c r="I1269" t="s">
        <v>1909</v>
      </c>
      <c r="J1269">
        <v>101418.27</v>
      </c>
      <c r="K1269">
        <v>500000</v>
      </c>
      <c r="L1269">
        <v>132515.81</v>
      </c>
      <c r="M1269">
        <v>5327608.66</v>
      </c>
      <c r="N1269" s="711">
        <v>42954.512467442131</v>
      </c>
      <c r="O1269" s="711">
        <v>43319</v>
      </c>
      <c r="P1269" t="s">
        <v>4201</v>
      </c>
      <c r="Q1269" t="s">
        <v>1280</v>
      </c>
      <c r="R1269" t="s">
        <v>4202</v>
      </c>
      <c r="S1269" t="s">
        <v>1510</v>
      </c>
      <c r="T1269">
        <v>48</v>
      </c>
      <c r="U1269">
        <f>IF(Table__192.168.1.150_M_CONSOLIDATED_Delinquency_Compulsory_EOM[[#This Row],[Days in Arrears]] &lt; 8, Table__192.168.1.150_M_CONSOLIDATED_Delinquency_Compulsory_EOM[[#This Row],[Outstanding Balance]], 0 )</f>
        <v>4321167.8499999996</v>
      </c>
      <c r="V12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69" s="105" t="str">
        <f>VLOOKUP(Table__192.168.1.150_M_CONSOLIDATED_Delinquency_Compulsory_EOM[[#This Row],[Client No]],'Global Portfolio'!$B$2:$N$2500,10,FALSE)</f>
        <v>Retail</v>
      </c>
      <c r="AA1269" s="105" t="str">
        <f>VLOOKUP(Table__192.168.1.150_M_CONSOLIDATED_Delinquency_Compulsory_EOM[[#This Row],[Client No]],'Global Portfolio'!$B$2:$N$2500,11,FALSE)</f>
        <v>General Merchandise Stores</v>
      </c>
      <c r="AB1269" s="105" t="str">
        <f>VLOOKUP(Table__192.168.1.150_M_CONSOLIDATED_Delinquency_Compulsory_EOM[[#This Row],[Client No]],'Global Portfolio'!$B$2:$N$2500,12,FALSE)</f>
        <v>General Stores</v>
      </c>
    </row>
    <row r="1270" spans="1:28" x14ac:dyDescent="0.25">
      <c r="A1270">
        <v>201210</v>
      </c>
      <c r="B1270" t="s">
        <v>5150</v>
      </c>
      <c r="C1270" t="s">
        <v>5158</v>
      </c>
      <c r="D1270" t="s">
        <v>1282</v>
      </c>
      <c r="E1270">
        <v>-6</v>
      </c>
      <c r="F1270">
        <v>4000000</v>
      </c>
      <c r="G1270">
        <v>3334321.23</v>
      </c>
      <c r="H1270">
        <v>505515.29</v>
      </c>
      <c r="I1270" t="s">
        <v>4686</v>
      </c>
      <c r="J1270">
        <v>57772.1</v>
      </c>
      <c r="K1270">
        <v>400000</v>
      </c>
      <c r="L1270">
        <v>115034.08</v>
      </c>
      <c r="M1270">
        <v>4044122.3</v>
      </c>
      <c r="N1270" s="711">
        <v>42954.678449039355</v>
      </c>
      <c r="O1270" s="711">
        <v>43258</v>
      </c>
      <c r="P1270" t="s">
        <v>5159</v>
      </c>
      <c r="Q1270" t="s">
        <v>1280</v>
      </c>
      <c r="R1270" t="s">
        <v>5160</v>
      </c>
      <c r="S1270" t="s">
        <v>1510</v>
      </c>
      <c r="T1270">
        <v>54</v>
      </c>
      <c r="U1270">
        <f>IF(Table__192.168.1.150_M_CONSOLIDATED_Delinquency_Compulsory_EOM[[#This Row],[Days in Arrears]] &lt; 8, Table__192.168.1.150_M_CONSOLIDATED_Delinquency_Compulsory_EOM[[#This Row],[Outstanding Balance]], 0 )</f>
        <v>3334321.23</v>
      </c>
      <c r="V12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0" s="105" t="str">
        <f>VLOOKUP(Table__192.168.1.150_M_CONSOLIDATED_Delinquency_Compulsory_EOM[[#This Row],[Client No]],'Global Portfolio'!$B$2:$N$2500,10,FALSE)</f>
        <v>Agriculture, Forestry, Fishing and Hunting</v>
      </c>
      <c r="AA1270" s="105" t="str">
        <f>VLOOKUP(Table__192.168.1.150_M_CONSOLIDATED_Delinquency_Compulsory_EOM[[#This Row],[Client No]],'Global Portfolio'!$B$2:$N$2500,11,FALSE)</f>
        <v>Crop Production</v>
      </c>
      <c r="AB1270" s="105" t="str">
        <f>VLOOKUP(Table__192.168.1.150_M_CONSOLIDATED_Delinquency_Compulsory_EOM[[#This Row],[Client No]],'Global Portfolio'!$B$2:$N$2500,12,FALSE)</f>
        <v>Market Gardening</v>
      </c>
    </row>
    <row r="1271" spans="1:28" x14ac:dyDescent="0.25">
      <c r="A1271">
        <v>201211</v>
      </c>
      <c r="B1271" t="s">
        <v>3708</v>
      </c>
      <c r="C1271" t="s">
        <v>3722</v>
      </c>
      <c r="D1271" t="s">
        <v>1279</v>
      </c>
      <c r="E1271">
        <v>-6</v>
      </c>
      <c r="F1271">
        <v>4000000</v>
      </c>
      <c r="G1271">
        <v>3320345.89</v>
      </c>
      <c r="H1271">
        <v>493163.78</v>
      </c>
      <c r="I1271" t="s">
        <v>491</v>
      </c>
      <c r="J1271">
        <v>56800</v>
      </c>
      <c r="K1271">
        <v>400000</v>
      </c>
      <c r="L1271">
        <v>101823.94</v>
      </c>
      <c r="M1271">
        <v>3945310.21</v>
      </c>
      <c r="N1271" s="711">
        <v>42954.705635497688</v>
      </c>
      <c r="O1271" s="711">
        <v>43258</v>
      </c>
      <c r="P1271" t="s">
        <v>3723</v>
      </c>
      <c r="Q1271" t="s">
        <v>1280</v>
      </c>
      <c r="R1271" t="s">
        <v>3724</v>
      </c>
      <c r="S1271" t="s">
        <v>1510</v>
      </c>
      <c r="T1271">
        <v>48</v>
      </c>
      <c r="U1271">
        <f>IF(Table__192.168.1.150_M_CONSOLIDATED_Delinquency_Compulsory_EOM[[#This Row],[Days in Arrears]] &lt; 8, Table__192.168.1.150_M_CONSOLIDATED_Delinquency_Compulsory_EOM[[#This Row],[Outstanding Balance]], 0 )</f>
        <v>3320345.89</v>
      </c>
      <c r="V12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1" s="105" t="str">
        <f>VLOOKUP(Table__192.168.1.150_M_CONSOLIDATED_Delinquency_Compulsory_EOM[[#This Row],[Client No]],'Global Portfolio'!$B$2:$N$2500,10,FALSE)</f>
        <v>Educational Services</v>
      </c>
      <c r="AA1271" s="105" t="str">
        <f>VLOOKUP(Table__192.168.1.150_M_CONSOLIDATED_Delinquency_Compulsory_EOM[[#This Row],[Client No]],'Global Portfolio'!$B$2:$N$2500,11,FALSE)</f>
        <v>Educational Services</v>
      </c>
      <c r="AB1271" s="105" t="str">
        <f>VLOOKUP(Table__192.168.1.150_M_CONSOLIDATED_Delinquency_Compulsory_EOM[[#This Row],[Client No]],'Global Portfolio'!$B$2:$N$2500,12,FALSE)</f>
        <v>Schools</v>
      </c>
    </row>
    <row r="1272" spans="1:28" x14ac:dyDescent="0.25">
      <c r="A1272">
        <v>201212</v>
      </c>
      <c r="B1272" t="s">
        <v>2790</v>
      </c>
      <c r="C1272" t="s">
        <v>2797</v>
      </c>
      <c r="D1272" t="s">
        <v>1866</v>
      </c>
      <c r="E1272">
        <v>-9</v>
      </c>
      <c r="F1272">
        <v>6000000</v>
      </c>
      <c r="G1272">
        <v>4978058.0999999996</v>
      </c>
      <c r="H1272">
        <v>729237.16</v>
      </c>
      <c r="I1272" t="s">
        <v>2175</v>
      </c>
      <c r="J1272">
        <v>0</v>
      </c>
      <c r="K1272">
        <v>600000</v>
      </c>
      <c r="L1272">
        <v>121685.86</v>
      </c>
      <c r="M1272">
        <v>5833897.25</v>
      </c>
      <c r="N1272" s="711">
        <v>42955.442869444443</v>
      </c>
      <c r="O1272" s="711">
        <v>43261</v>
      </c>
      <c r="P1272" t="s">
        <v>2798</v>
      </c>
      <c r="Q1272" t="s">
        <v>1280</v>
      </c>
      <c r="R1272" t="s">
        <v>1280</v>
      </c>
      <c r="S1272" t="s">
        <v>1510</v>
      </c>
      <c r="T1272">
        <v>44</v>
      </c>
      <c r="U1272">
        <f>IF(Table__192.168.1.150_M_CONSOLIDATED_Delinquency_Compulsory_EOM[[#This Row],[Days in Arrears]] &lt; 8, Table__192.168.1.150_M_CONSOLIDATED_Delinquency_Compulsory_EOM[[#This Row],[Outstanding Balance]], 0 )</f>
        <v>4978058.0999999996</v>
      </c>
      <c r="V12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2" s="105" t="str">
        <f>VLOOKUP(Table__192.168.1.150_M_CONSOLIDATED_Delinquency_Compulsory_EOM[[#This Row],[Client No]],'Global Portfolio'!$B$2:$N$2500,10,FALSE)</f>
        <v>Retail</v>
      </c>
      <c r="AA1272" s="105" t="str">
        <f>VLOOKUP(Table__192.168.1.150_M_CONSOLIDATED_Delinquency_Compulsory_EOM[[#This Row],[Client No]],'Global Portfolio'!$B$2:$N$2500,11,FALSE)</f>
        <v>General Merchandise Stores</v>
      </c>
      <c r="AB1272" s="105" t="str">
        <f>VLOOKUP(Table__192.168.1.150_M_CONSOLIDATED_Delinquency_Compulsory_EOM[[#This Row],[Client No]],'Global Portfolio'!$B$2:$N$2500,12,FALSE)</f>
        <v>General Stores</v>
      </c>
    </row>
    <row r="1273" spans="1:28" x14ac:dyDescent="0.25">
      <c r="A1273">
        <v>201213</v>
      </c>
      <c r="B1273" t="s">
        <v>2983</v>
      </c>
      <c r="C1273" t="s">
        <v>2984</v>
      </c>
      <c r="D1273" t="s">
        <v>1282</v>
      </c>
      <c r="E1273">
        <v>-8</v>
      </c>
      <c r="F1273">
        <v>4000000</v>
      </c>
      <c r="G1273">
        <v>3456934.27</v>
      </c>
      <c r="H1273">
        <v>426208.69</v>
      </c>
      <c r="I1273" t="s">
        <v>1467</v>
      </c>
      <c r="J1273">
        <v>0</v>
      </c>
      <c r="K1273">
        <v>400000</v>
      </c>
      <c r="L1273">
        <v>96794.16</v>
      </c>
      <c r="M1273">
        <v>4262086.91</v>
      </c>
      <c r="N1273" s="711">
        <v>42956.50059826389</v>
      </c>
      <c r="O1273" s="711">
        <v>43321</v>
      </c>
      <c r="P1273" t="s">
        <v>2985</v>
      </c>
      <c r="Q1273" t="s">
        <v>1280</v>
      </c>
      <c r="R1273" t="s">
        <v>1280</v>
      </c>
      <c r="S1273" t="s">
        <v>1510</v>
      </c>
      <c r="T1273">
        <v>48</v>
      </c>
      <c r="U1273">
        <f>IF(Table__192.168.1.150_M_CONSOLIDATED_Delinquency_Compulsory_EOM[[#This Row],[Days in Arrears]] &lt; 8, Table__192.168.1.150_M_CONSOLIDATED_Delinquency_Compulsory_EOM[[#This Row],[Outstanding Balance]], 0 )</f>
        <v>3456934.27</v>
      </c>
      <c r="V12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3" s="105" t="str">
        <f>VLOOKUP(Table__192.168.1.150_M_CONSOLIDATED_Delinquency_Compulsory_EOM[[#This Row],[Client No]],'Global Portfolio'!$B$2:$N$2500,10,FALSE)</f>
        <v>Retail</v>
      </c>
      <c r="AA1273" s="105" t="str">
        <f>VLOOKUP(Table__192.168.1.150_M_CONSOLIDATED_Delinquency_Compulsory_EOM[[#This Row],[Client No]],'Global Portfolio'!$B$2:$N$2500,11,FALSE)</f>
        <v>Motor Vehicle and Parts Dealers</v>
      </c>
      <c r="AB1273" s="105" t="str">
        <f>VLOOKUP(Table__192.168.1.150_M_CONSOLIDATED_Delinquency_Compulsory_EOM[[#This Row],[Client No]],'Global Portfolio'!$B$2:$N$2500,12,FALSE)</f>
        <v>Automotive Parts, Accessories, &amp; Tire Stores</v>
      </c>
    </row>
    <row r="1274" spans="1:28" x14ac:dyDescent="0.25">
      <c r="A1274">
        <v>201214</v>
      </c>
      <c r="B1274" t="s">
        <v>3511</v>
      </c>
      <c r="C1274" t="s">
        <v>3514</v>
      </c>
      <c r="D1274" t="s">
        <v>1282</v>
      </c>
      <c r="E1274">
        <v>-8</v>
      </c>
      <c r="F1274">
        <v>10000000</v>
      </c>
      <c r="G1274">
        <v>8642335.6699999999</v>
      </c>
      <c r="H1274">
        <v>1065521.73</v>
      </c>
      <c r="I1274" t="s">
        <v>4684</v>
      </c>
      <c r="J1274">
        <v>43859.11</v>
      </c>
      <c r="K1274">
        <v>1000000</v>
      </c>
      <c r="L1274">
        <v>241985.4</v>
      </c>
      <c r="M1274">
        <v>10655217.26</v>
      </c>
      <c r="N1274" s="711">
        <v>42956.558485729169</v>
      </c>
      <c r="O1274" s="711">
        <v>43321</v>
      </c>
      <c r="P1274" t="s">
        <v>3515</v>
      </c>
      <c r="Q1274" t="s">
        <v>1280</v>
      </c>
      <c r="R1274" t="s">
        <v>1280</v>
      </c>
      <c r="S1274" t="s">
        <v>1510</v>
      </c>
      <c r="T1274">
        <v>48</v>
      </c>
      <c r="U1274">
        <f>IF(Table__192.168.1.150_M_CONSOLIDATED_Delinquency_Compulsory_EOM[[#This Row],[Days in Arrears]] &lt; 8, Table__192.168.1.150_M_CONSOLIDATED_Delinquency_Compulsory_EOM[[#This Row],[Outstanding Balance]], 0 )</f>
        <v>8642335.6699999999</v>
      </c>
      <c r="V12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4" s="105" t="str">
        <f>VLOOKUP(Table__192.168.1.150_M_CONSOLIDATED_Delinquency_Compulsory_EOM[[#This Row],[Client No]],'Global Portfolio'!$B$2:$N$2500,10,FALSE)</f>
        <v>Wholesale Trade</v>
      </c>
      <c r="AA1274" s="105" t="str">
        <f>VLOOKUP(Table__192.168.1.150_M_CONSOLIDATED_Delinquency_Compulsory_EOM[[#This Row],[Client No]],'Global Portfolio'!$B$2:$N$2500,11,FALSE)</f>
        <v>Durable Goods</v>
      </c>
      <c r="AB1274" s="105" t="str">
        <f>VLOOKUP(Table__192.168.1.150_M_CONSOLIDATED_Delinquency_Compulsory_EOM[[#This Row],[Client No]],'Global Portfolio'!$B$2:$N$2500,12,FALSE)</f>
        <v>Jewelry, Watch, Precious Stone, &amp; Precious Metals</v>
      </c>
    </row>
    <row r="1275" spans="1:28" x14ac:dyDescent="0.25">
      <c r="A1275">
        <v>201215</v>
      </c>
      <c r="B1275" t="s">
        <v>5166</v>
      </c>
      <c r="C1275" t="s">
        <v>5171</v>
      </c>
      <c r="D1275" t="s">
        <v>1279</v>
      </c>
      <c r="E1275">
        <v>-8</v>
      </c>
      <c r="F1275">
        <v>4000000</v>
      </c>
      <c r="G1275">
        <v>3334321.23</v>
      </c>
      <c r="H1275">
        <v>505515.29</v>
      </c>
      <c r="I1275" t="s">
        <v>5167</v>
      </c>
      <c r="J1275">
        <v>56800</v>
      </c>
      <c r="K1275">
        <v>400000</v>
      </c>
      <c r="L1275">
        <v>105031.12</v>
      </c>
      <c r="M1275">
        <v>4044122.3</v>
      </c>
      <c r="N1275" s="711">
        <v>42956.583530902775</v>
      </c>
      <c r="O1275" s="711">
        <v>43260</v>
      </c>
      <c r="P1275" t="s">
        <v>5172</v>
      </c>
      <c r="Q1275" t="s">
        <v>1280</v>
      </c>
      <c r="R1275" t="s">
        <v>1280</v>
      </c>
      <c r="S1275" t="s">
        <v>1510</v>
      </c>
      <c r="T1275">
        <v>54</v>
      </c>
      <c r="U1275">
        <f>IF(Table__192.168.1.150_M_CONSOLIDATED_Delinquency_Compulsory_EOM[[#This Row],[Days in Arrears]] &lt; 8, Table__192.168.1.150_M_CONSOLIDATED_Delinquency_Compulsory_EOM[[#This Row],[Outstanding Balance]], 0 )</f>
        <v>3334321.23</v>
      </c>
      <c r="V12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5" s="105" t="str">
        <f>VLOOKUP(Table__192.168.1.150_M_CONSOLIDATED_Delinquency_Compulsory_EOM[[#This Row],[Client No]],'Global Portfolio'!$B$2:$N$2500,10,FALSE)</f>
        <v>Retail</v>
      </c>
      <c r="AA1275" s="105" t="str">
        <f>VLOOKUP(Table__192.168.1.150_M_CONSOLIDATED_Delinquency_Compulsory_EOM[[#This Row],[Client No]],'Global Portfolio'!$B$2:$N$2500,11,FALSE)</f>
        <v>General Merchandise Stores</v>
      </c>
      <c r="AB1275" s="105" t="str">
        <f>VLOOKUP(Table__192.168.1.150_M_CONSOLIDATED_Delinquency_Compulsory_EOM[[#This Row],[Client No]],'Global Portfolio'!$B$2:$N$2500,12,FALSE)</f>
        <v>General Stores</v>
      </c>
    </row>
    <row r="1276" spans="1:28" x14ac:dyDescent="0.25">
      <c r="A1276">
        <v>201216</v>
      </c>
      <c r="B1276" t="s">
        <v>3374</v>
      </c>
      <c r="C1276" t="s">
        <v>3379</v>
      </c>
      <c r="D1276" t="s">
        <v>1282</v>
      </c>
      <c r="E1276">
        <v>-8</v>
      </c>
      <c r="F1276">
        <v>2500000</v>
      </c>
      <c r="G1276">
        <v>2075216.19</v>
      </c>
      <c r="H1276">
        <v>308227.36</v>
      </c>
      <c r="I1276" t="s">
        <v>3074</v>
      </c>
      <c r="J1276">
        <v>0</v>
      </c>
      <c r="K1276">
        <v>250000</v>
      </c>
      <c r="L1276">
        <v>58106.05</v>
      </c>
      <c r="M1276">
        <v>2465818.9</v>
      </c>
      <c r="N1276" s="711">
        <v>42956.591755821762</v>
      </c>
      <c r="O1276" s="711">
        <v>43260</v>
      </c>
      <c r="P1276" t="s">
        <v>3380</v>
      </c>
      <c r="Q1276" t="s">
        <v>1280</v>
      </c>
      <c r="R1276" t="s">
        <v>1280</v>
      </c>
      <c r="S1276" t="s">
        <v>1510</v>
      </c>
      <c r="T1276">
        <v>48</v>
      </c>
      <c r="U1276">
        <f>IF(Table__192.168.1.150_M_CONSOLIDATED_Delinquency_Compulsory_EOM[[#This Row],[Days in Arrears]] &lt; 8, Table__192.168.1.150_M_CONSOLIDATED_Delinquency_Compulsory_EOM[[#This Row],[Outstanding Balance]], 0 )</f>
        <v>2075216.19</v>
      </c>
      <c r="V12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6" s="105" t="str">
        <f>VLOOKUP(Table__192.168.1.150_M_CONSOLIDATED_Delinquency_Compulsory_EOM[[#This Row],[Client No]],'Global Portfolio'!$B$2:$N$2500,10,FALSE)</f>
        <v>Real Estate and Rental</v>
      </c>
      <c r="AA1276" s="105" t="str">
        <f>VLOOKUP(Table__192.168.1.150_M_CONSOLIDATED_Delinquency_Compulsory_EOM[[#This Row],[Client No]],'Global Portfolio'!$B$2:$N$2500,11,FALSE)</f>
        <v>Real Estate</v>
      </c>
      <c r="AB1276" s="105" t="str">
        <f>VLOOKUP(Table__192.168.1.150_M_CONSOLIDATED_Delinquency_Compulsory_EOM[[#This Row],[Client No]],'Global Portfolio'!$B$2:$N$2500,12,FALSE)</f>
        <v>Real Estate</v>
      </c>
    </row>
    <row r="1277" spans="1:28" x14ac:dyDescent="0.25">
      <c r="A1277">
        <v>201217</v>
      </c>
      <c r="B1277" t="s">
        <v>5174</v>
      </c>
      <c r="C1277" t="s">
        <v>5175</v>
      </c>
      <c r="D1277" t="s">
        <v>1279</v>
      </c>
      <c r="E1277">
        <v>-9</v>
      </c>
      <c r="F1277">
        <v>4000000</v>
      </c>
      <c r="G1277">
        <v>2782174.79</v>
      </c>
      <c r="H1277">
        <v>775513.55</v>
      </c>
      <c r="I1277" t="s">
        <v>5167</v>
      </c>
      <c r="J1277">
        <v>63021.04</v>
      </c>
      <c r="K1277">
        <v>400000</v>
      </c>
      <c r="L1277">
        <v>83465.240000000005</v>
      </c>
      <c r="M1277">
        <v>3102054.2</v>
      </c>
      <c r="N1277" s="711">
        <v>42957.52770309028</v>
      </c>
      <c r="O1277" s="711">
        <v>43141</v>
      </c>
      <c r="P1277" t="s">
        <v>5176</v>
      </c>
      <c r="Q1277" t="s">
        <v>1280</v>
      </c>
      <c r="R1277" t="s">
        <v>5177</v>
      </c>
      <c r="S1277" t="s">
        <v>1510</v>
      </c>
      <c r="T1277">
        <v>54</v>
      </c>
      <c r="U1277">
        <f>IF(Table__192.168.1.150_M_CONSOLIDATED_Delinquency_Compulsory_EOM[[#This Row],[Days in Arrears]] &lt; 8, Table__192.168.1.150_M_CONSOLIDATED_Delinquency_Compulsory_EOM[[#This Row],[Outstanding Balance]], 0 )</f>
        <v>2782174.79</v>
      </c>
      <c r="V12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7" s="105" t="str">
        <f>VLOOKUP(Table__192.168.1.150_M_CONSOLIDATED_Delinquency_Compulsory_EOM[[#This Row],[Client No]],'Global Portfolio'!$B$2:$N$2500,10,FALSE)</f>
        <v>Retail</v>
      </c>
      <c r="AA1277" s="105" t="str">
        <f>VLOOKUP(Table__192.168.1.150_M_CONSOLIDATED_Delinquency_Compulsory_EOM[[#This Row],[Client No]],'Global Portfolio'!$B$2:$N$2500,11,FALSE)</f>
        <v>General Merchandise Stores</v>
      </c>
      <c r="AB1277" s="105" t="str">
        <f>VLOOKUP(Table__192.168.1.150_M_CONSOLIDATED_Delinquency_Compulsory_EOM[[#This Row],[Client No]],'Global Portfolio'!$B$2:$N$2500,12,FALSE)</f>
        <v>General Stores</v>
      </c>
    </row>
    <row r="1278" spans="1:28" x14ac:dyDescent="0.25">
      <c r="A1278">
        <v>201218</v>
      </c>
      <c r="B1278" t="s">
        <v>2010</v>
      </c>
      <c r="C1278" t="s">
        <v>2011</v>
      </c>
      <c r="D1278" t="s">
        <v>1866</v>
      </c>
      <c r="E1278">
        <v>-17</v>
      </c>
      <c r="F1278">
        <v>10000000</v>
      </c>
      <c r="G1278">
        <v>7836481.5300000003</v>
      </c>
      <c r="H1278">
        <v>1478719.74</v>
      </c>
      <c r="I1278" t="s">
        <v>2861</v>
      </c>
      <c r="J1278">
        <v>530349.98</v>
      </c>
      <c r="K1278">
        <v>1000000</v>
      </c>
      <c r="L1278">
        <v>114935.06</v>
      </c>
      <c r="M1278">
        <v>8872318.4299999997</v>
      </c>
      <c r="N1278" s="711">
        <v>42957.643901041665</v>
      </c>
      <c r="O1278" s="711">
        <v>43208</v>
      </c>
      <c r="P1278" t="s">
        <v>2012</v>
      </c>
      <c r="Q1278" t="s">
        <v>1280</v>
      </c>
      <c r="R1278" t="s">
        <v>2013</v>
      </c>
      <c r="S1278" t="s">
        <v>1510</v>
      </c>
      <c r="T1278">
        <v>44</v>
      </c>
      <c r="U1278">
        <f>IF(Table__192.168.1.150_M_CONSOLIDATED_Delinquency_Compulsory_EOM[[#This Row],[Days in Arrears]] &lt; 8, Table__192.168.1.150_M_CONSOLIDATED_Delinquency_Compulsory_EOM[[#This Row],[Outstanding Balance]], 0 )</f>
        <v>7836481.5300000003</v>
      </c>
      <c r="V12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8" s="105" t="str">
        <f>VLOOKUP(Table__192.168.1.150_M_CONSOLIDATED_Delinquency_Compulsory_EOM[[#This Row],[Client No]],'Global Portfolio'!$B$2:$N$2500,10,FALSE)</f>
        <v>Retail</v>
      </c>
      <c r="AA1278" s="105" t="str">
        <f>VLOOKUP(Table__192.168.1.150_M_CONSOLIDATED_Delinquency_Compulsory_EOM[[#This Row],[Client No]],'Global Portfolio'!$B$2:$N$2500,11,FALSE)</f>
        <v>General Merchandise Stores</v>
      </c>
      <c r="AB1278" s="105" t="str">
        <f>VLOOKUP(Table__192.168.1.150_M_CONSOLIDATED_Delinquency_Compulsory_EOM[[#This Row],[Client No]],'Global Portfolio'!$B$2:$N$2500,12,FALSE)</f>
        <v>General Stores</v>
      </c>
    </row>
    <row r="1279" spans="1:28" x14ac:dyDescent="0.25">
      <c r="A1279">
        <v>201219</v>
      </c>
      <c r="B1279" t="s">
        <v>2291</v>
      </c>
      <c r="C1279" t="s">
        <v>2302</v>
      </c>
      <c r="D1279" t="s">
        <v>1281</v>
      </c>
      <c r="E1279">
        <v>-9</v>
      </c>
      <c r="F1279">
        <v>25000000</v>
      </c>
      <c r="G1279">
        <v>21515879.079999998</v>
      </c>
      <c r="H1279">
        <v>2587098.73</v>
      </c>
      <c r="I1279" t="s">
        <v>2861</v>
      </c>
      <c r="J1279">
        <v>111979.77</v>
      </c>
      <c r="K1279">
        <v>0</v>
      </c>
      <c r="L1279">
        <v>502037.18</v>
      </c>
      <c r="M1279">
        <v>25870987.309999999</v>
      </c>
      <c r="N1279" s="711">
        <v>42957.611355821762</v>
      </c>
      <c r="O1279" s="711">
        <v>43322</v>
      </c>
      <c r="P1279" t="s">
        <v>2303</v>
      </c>
      <c r="Q1279" t="s">
        <v>1280</v>
      </c>
      <c r="R1279" t="s">
        <v>1280</v>
      </c>
      <c r="S1279" t="s">
        <v>1510</v>
      </c>
      <c r="T1279">
        <v>42</v>
      </c>
      <c r="U1279">
        <f>IF(Table__192.168.1.150_M_CONSOLIDATED_Delinquency_Compulsory_EOM[[#This Row],[Days in Arrears]] &lt; 8, Table__192.168.1.150_M_CONSOLIDATED_Delinquency_Compulsory_EOM[[#This Row],[Outstanding Balance]], 0 )</f>
        <v>21515879.079999998</v>
      </c>
      <c r="V12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79" s="105" t="str">
        <f>VLOOKUP(Table__192.168.1.150_M_CONSOLIDATED_Delinquency_Compulsory_EOM[[#This Row],[Client No]],'Global Portfolio'!$B$2:$N$2500,10,FALSE)</f>
        <v>Retail</v>
      </c>
      <c r="AA1279" s="105" t="str">
        <f>VLOOKUP(Table__192.168.1.150_M_CONSOLIDATED_Delinquency_Compulsory_EOM[[#This Row],[Client No]],'Global Portfolio'!$B$2:$N$2500,11,FALSE)</f>
        <v>General Merchandise Stores</v>
      </c>
      <c r="AB1279" s="105" t="str">
        <f>VLOOKUP(Table__192.168.1.150_M_CONSOLIDATED_Delinquency_Compulsory_EOM[[#This Row],[Client No]],'Global Portfolio'!$B$2:$N$2500,12,FALSE)</f>
        <v>General Stores</v>
      </c>
    </row>
    <row r="1280" spans="1:28" x14ac:dyDescent="0.25">
      <c r="A1280">
        <v>201220</v>
      </c>
      <c r="B1280" t="s">
        <v>5173</v>
      </c>
      <c r="C1280" t="s">
        <v>5178</v>
      </c>
      <c r="D1280" t="s">
        <v>1279</v>
      </c>
      <c r="E1280">
        <v>-9</v>
      </c>
      <c r="F1280">
        <v>2000000</v>
      </c>
      <c r="G1280">
        <v>1391087.38</v>
      </c>
      <c r="H1280">
        <v>387756.78</v>
      </c>
      <c r="I1280" t="s">
        <v>5167</v>
      </c>
      <c r="J1280">
        <v>57405.32</v>
      </c>
      <c r="K1280">
        <v>200000</v>
      </c>
      <c r="L1280">
        <v>41732.620000000003</v>
      </c>
      <c r="M1280">
        <v>1551027.08</v>
      </c>
      <c r="N1280" s="711">
        <v>42957.655313888892</v>
      </c>
      <c r="O1280" s="711">
        <v>43141</v>
      </c>
      <c r="P1280" t="s">
        <v>5179</v>
      </c>
      <c r="Q1280" t="s">
        <v>1280</v>
      </c>
      <c r="R1280" t="s">
        <v>1280</v>
      </c>
      <c r="S1280" t="s">
        <v>1510</v>
      </c>
      <c r="T1280">
        <v>54</v>
      </c>
      <c r="U1280">
        <f>IF(Table__192.168.1.150_M_CONSOLIDATED_Delinquency_Compulsory_EOM[[#This Row],[Days in Arrears]] &lt; 8, Table__192.168.1.150_M_CONSOLIDATED_Delinquency_Compulsory_EOM[[#This Row],[Outstanding Balance]], 0 )</f>
        <v>1391087.38</v>
      </c>
      <c r="V12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0" s="105" t="str">
        <f>VLOOKUP(Table__192.168.1.150_M_CONSOLIDATED_Delinquency_Compulsory_EOM[[#This Row],[Client No]],'Global Portfolio'!$B$2:$N$2500,10,FALSE)</f>
        <v>Agriculture, Forestry, Fishing and Hunting</v>
      </c>
      <c r="AA1280" s="105" t="str">
        <f>VLOOKUP(Table__192.168.1.150_M_CONSOLIDATED_Delinquency_Compulsory_EOM[[#This Row],[Client No]],'Global Portfolio'!$B$2:$N$2500,11,FALSE)</f>
        <v>Forestry</v>
      </c>
      <c r="AB1280" s="105" t="str">
        <f>VLOOKUP(Table__192.168.1.150_M_CONSOLIDATED_Delinquency_Compulsory_EOM[[#This Row],[Client No]],'Global Portfolio'!$B$2:$N$2500,12,FALSE)</f>
        <v>Timber Tract Operations</v>
      </c>
    </row>
    <row r="1281" spans="1:28" x14ac:dyDescent="0.25">
      <c r="A1281">
        <v>201222</v>
      </c>
      <c r="B1281" t="s">
        <v>2733</v>
      </c>
      <c r="C1281" t="s">
        <v>2736</v>
      </c>
      <c r="D1281" t="s">
        <v>1279</v>
      </c>
      <c r="E1281">
        <v>-10</v>
      </c>
      <c r="F1281">
        <v>3000000</v>
      </c>
      <c r="G1281">
        <v>2490259.4300000002</v>
      </c>
      <c r="H1281">
        <v>369872.83</v>
      </c>
      <c r="I1281" t="s">
        <v>1667</v>
      </c>
      <c r="J1281">
        <v>56927.17</v>
      </c>
      <c r="K1281">
        <v>300000</v>
      </c>
      <c r="L1281">
        <v>63086.57</v>
      </c>
      <c r="M1281">
        <v>2958982.69</v>
      </c>
      <c r="N1281" s="711">
        <v>42958.64839278935</v>
      </c>
      <c r="O1281" s="711">
        <v>43262</v>
      </c>
      <c r="P1281" t="s">
        <v>2737</v>
      </c>
      <c r="Q1281" t="s">
        <v>2738</v>
      </c>
      <c r="R1281" t="s">
        <v>1280</v>
      </c>
      <c r="S1281" t="s">
        <v>1510</v>
      </c>
      <c r="T1281">
        <v>48</v>
      </c>
      <c r="U1281">
        <f>IF(Table__192.168.1.150_M_CONSOLIDATED_Delinquency_Compulsory_EOM[[#This Row],[Days in Arrears]] &lt; 8, Table__192.168.1.150_M_CONSOLIDATED_Delinquency_Compulsory_EOM[[#This Row],[Outstanding Balance]], 0 )</f>
        <v>2490259.4300000002</v>
      </c>
      <c r="V12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1" s="105" t="str">
        <f>VLOOKUP(Table__192.168.1.150_M_CONSOLIDATED_Delinquency_Compulsory_EOM[[#This Row],[Client No]],'Global Portfolio'!$B$2:$N$2500,10,FALSE)</f>
        <v>Real Estate and Rental</v>
      </c>
      <c r="AA1281" s="105" t="str">
        <f>VLOOKUP(Table__192.168.1.150_M_CONSOLIDATED_Delinquency_Compulsory_EOM[[#This Row],[Client No]],'Global Portfolio'!$B$2:$N$2500,11,FALSE)</f>
        <v>Real Estate</v>
      </c>
      <c r="AB1281" s="105" t="str">
        <f>VLOOKUP(Table__192.168.1.150_M_CONSOLIDATED_Delinquency_Compulsory_EOM[[#This Row],[Client No]],'Global Portfolio'!$B$2:$N$2500,12,FALSE)</f>
        <v>Real Estate</v>
      </c>
    </row>
    <row r="1282" spans="1:28" x14ac:dyDescent="0.25">
      <c r="A1282">
        <v>201223</v>
      </c>
      <c r="B1282" t="s">
        <v>3228</v>
      </c>
      <c r="C1282" t="s">
        <v>3248</v>
      </c>
      <c r="D1282" t="s">
        <v>1279</v>
      </c>
      <c r="E1282">
        <v>-10</v>
      </c>
      <c r="F1282">
        <v>3500000</v>
      </c>
      <c r="G1282">
        <v>3024817.5</v>
      </c>
      <c r="H1282">
        <v>372932.6</v>
      </c>
      <c r="I1282" t="s">
        <v>468</v>
      </c>
      <c r="J1282">
        <v>32920.400000000001</v>
      </c>
      <c r="K1282">
        <v>350000</v>
      </c>
      <c r="L1282">
        <v>76628.710000000006</v>
      </c>
      <c r="M1282">
        <v>3729326.06</v>
      </c>
      <c r="N1282" s="711">
        <v>42958.615538113423</v>
      </c>
      <c r="O1282" s="711">
        <v>43323</v>
      </c>
      <c r="P1282" t="s">
        <v>3249</v>
      </c>
      <c r="Q1282" t="s">
        <v>1280</v>
      </c>
      <c r="R1282" t="s">
        <v>3250</v>
      </c>
      <c r="S1282" t="s">
        <v>1510</v>
      </c>
      <c r="T1282">
        <v>48</v>
      </c>
      <c r="U1282">
        <f>IF(Table__192.168.1.150_M_CONSOLIDATED_Delinquency_Compulsory_EOM[[#This Row],[Days in Arrears]] &lt; 8, Table__192.168.1.150_M_CONSOLIDATED_Delinquency_Compulsory_EOM[[#This Row],[Outstanding Balance]], 0 )</f>
        <v>3024817.5</v>
      </c>
      <c r="V12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2" s="105" t="str">
        <f>VLOOKUP(Table__192.168.1.150_M_CONSOLIDATED_Delinquency_Compulsory_EOM[[#This Row],[Client No]],'Global Portfolio'!$B$2:$N$2500,10,FALSE)</f>
        <v>Real Estate and Rental</v>
      </c>
      <c r="AA1282" s="105" t="str">
        <f>VLOOKUP(Table__192.168.1.150_M_CONSOLIDATED_Delinquency_Compulsory_EOM[[#This Row],[Client No]],'Global Portfolio'!$B$2:$N$2500,11,FALSE)</f>
        <v>Real Estate</v>
      </c>
      <c r="AB1282" s="105" t="str">
        <f>VLOOKUP(Table__192.168.1.150_M_CONSOLIDATED_Delinquency_Compulsory_EOM[[#This Row],[Client No]],'Global Portfolio'!$B$2:$N$2500,12,FALSE)</f>
        <v>Real Estate</v>
      </c>
    </row>
    <row r="1283" spans="1:28" x14ac:dyDescent="0.25">
      <c r="A1283">
        <v>201224</v>
      </c>
      <c r="B1283" t="s">
        <v>5180</v>
      </c>
      <c r="C1283" t="s">
        <v>5181</v>
      </c>
      <c r="D1283" t="s">
        <v>1286</v>
      </c>
      <c r="E1283">
        <v>-20</v>
      </c>
      <c r="F1283">
        <v>1300000</v>
      </c>
      <c r="G1283">
        <v>660980.43999999994</v>
      </c>
      <c r="H1283">
        <v>229570.18</v>
      </c>
      <c r="I1283" t="s">
        <v>284</v>
      </c>
      <c r="J1283">
        <v>22157.37</v>
      </c>
      <c r="K1283">
        <v>0</v>
      </c>
      <c r="L1283">
        <v>4131.13</v>
      </c>
      <c r="M1283">
        <v>688710.58</v>
      </c>
      <c r="N1283" s="711">
        <v>42958.620713113429</v>
      </c>
      <c r="O1283" s="711">
        <v>43121</v>
      </c>
      <c r="P1283" t="s">
        <v>5182</v>
      </c>
      <c r="Q1283" t="s">
        <v>1280</v>
      </c>
      <c r="R1283" t="s">
        <v>1280</v>
      </c>
      <c r="S1283" t="s">
        <v>1510</v>
      </c>
      <c r="T1283">
        <v>25</v>
      </c>
      <c r="U1283">
        <f>IF(Table__192.168.1.150_M_CONSOLIDATED_Delinquency_Compulsory_EOM[[#This Row],[Days in Arrears]] &lt; 8, Table__192.168.1.150_M_CONSOLIDATED_Delinquency_Compulsory_EOM[[#This Row],[Outstanding Balance]], 0 )</f>
        <v>660980.43999999994</v>
      </c>
      <c r="V12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3" s="105" t="str">
        <f>VLOOKUP(Table__192.168.1.150_M_CONSOLIDATED_Delinquency_Compulsory_EOM[[#This Row],[Client No]],'Global Portfolio'!$B$2:$N$2500,10,FALSE)</f>
        <v>Other Services</v>
      </c>
      <c r="AA1283" s="105" t="str">
        <f>VLOOKUP(Table__192.168.1.150_M_CONSOLIDATED_Delinquency_Compulsory_EOM[[#This Row],[Client No]],'Global Portfolio'!$B$2:$N$2500,11,FALSE)</f>
        <v>Personal Services</v>
      </c>
      <c r="AB1283" s="105" t="str">
        <f>VLOOKUP(Table__192.168.1.150_M_CONSOLIDATED_Delinquency_Compulsory_EOM[[#This Row],[Client No]],'Global Portfolio'!$B$2:$N$2500,12,FALSE)</f>
        <v>Others</v>
      </c>
    </row>
    <row r="1284" spans="1:28" x14ac:dyDescent="0.25">
      <c r="A1284">
        <v>201225</v>
      </c>
      <c r="B1284" t="s">
        <v>3990</v>
      </c>
      <c r="C1284" t="s">
        <v>3997</v>
      </c>
      <c r="D1284" t="s">
        <v>1282</v>
      </c>
      <c r="E1284">
        <v>-13</v>
      </c>
      <c r="F1284">
        <v>5000000</v>
      </c>
      <c r="G1284">
        <v>4150432.37</v>
      </c>
      <c r="H1284">
        <v>616454.72</v>
      </c>
      <c r="I1284" t="s">
        <v>1447</v>
      </c>
      <c r="J1284">
        <v>65318.17</v>
      </c>
      <c r="K1284">
        <v>500000</v>
      </c>
      <c r="L1284">
        <v>88542.56</v>
      </c>
      <c r="M1284">
        <v>4931637.78</v>
      </c>
      <c r="N1284" s="711">
        <v>42961.715052430554</v>
      </c>
      <c r="O1284" s="711">
        <v>43265</v>
      </c>
      <c r="P1284" t="s">
        <v>3998</v>
      </c>
      <c r="Q1284" t="s">
        <v>1280</v>
      </c>
      <c r="R1284" t="s">
        <v>1280</v>
      </c>
      <c r="S1284" t="s">
        <v>1510</v>
      </c>
      <c r="T1284">
        <v>48</v>
      </c>
      <c r="U1284">
        <f>IF(Table__192.168.1.150_M_CONSOLIDATED_Delinquency_Compulsory_EOM[[#This Row],[Days in Arrears]] &lt; 8, Table__192.168.1.150_M_CONSOLIDATED_Delinquency_Compulsory_EOM[[#This Row],[Outstanding Balance]], 0 )</f>
        <v>4150432.37</v>
      </c>
      <c r="V12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4" s="105" t="str">
        <f>VLOOKUP(Table__192.168.1.150_M_CONSOLIDATED_Delinquency_Compulsory_EOM[[#This Row],[Client No]],'Global Portfolio'!$B$2:$N$2500,10,FALSE)</f>
        <v>Real Estate and Rental</v>
      </c>
      <c r="AA1284" s="105" t="str">
        <f>VLOOKUP(Table__192.168.1.150_M_CONSOLIDATED_Delinquency_Compulsory_EOM[[#This Row],[Client No]],'Global Portfolio'!$B$2:$N$2500,11,FALSE)</f>
        <v>Rental</v>
      </c>
      <c r="AB1284" s="105" t="str">
        <f>VLOOKUP(Table__192.168.1.150_M_CONSOLIDATED_Delinquency_Compulsory_EOM[[#This Row],[Client No]],'Global Portfolio'!$B$2:$N$2500,12,FALSE)</f>
        <v>General Rental Centers</v>
      </c>
    </row>
    <row r="1285" spans="1:28" x14ac:dyDescent="0.25">
      <c r="A1285">
        <v>201226</v>
      </c>
      <c r="B1285" t="s">
        <v>2709</v>
      </c>
      <c r="C1285" t="s">
        <v>2710</v>
      </c>
      <c r="D1285" t="s">
        <v>1279</v>
      </c>
      <c r="E1285">
        <v>-10</v>
      </c>
      <c r="F1285">
        <v>4000000</v>
      </c>
      <c r="G1285">
        <v>3114412.89</v>
      </c>
      <c r="H1285">
        <v>594111.32999999996</v>
      </c>
      <c r="I1285" t="s">
        <v>3074</v>
      </c>
      <c r="J1285">
        <v>4222.1400000000003</v>
      </c>
      <c r="K1285">
        <v>400000</v>
      </c>
      <c r="L1285">
        <v>78898.460000000006</v>
      </c>
      <c r="M1285">
        <v>3564667.97</v>
      </c>
      <c r="N1285" s="711">
        <v>42958.69990482639</v>
      </c>
      <c r="O1285" s="711">
        <v>43201</v>
      </c>
      <c r="P1285" t="s">
        <v>2711</v>
      </c>
      <c r="Q1285" t="s">
        <v>1280</v>
      </c>
      <c r="R1285" t="s">
        <v>2712</v>
      </c>
      <c r="S1285" t="s">
        <v>1510</v>
      </c>
      <c r="T1285">
        <v>48</v>
      </c>
      <c r="U1285">
        <f>IF(Table__192.168.1.150_M_CONSOLIDATED_Delinquency_Compulsory_EOM[[#This Row],[Days in Arrears]] &lt; 8, Table__192.168.1.150_M_CONSOLIDATED_Delinquency_Compulsory_EOM[[#This Row],[Outstanding Balance]], 0 )</f>
        <v>3114412.89</v>
      </c>
      <c r="V12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5" s="105" t="str">
        <f>VLOOKUP(Table__192.168.1.150_M_CONSOLIDATED_Delinquency_Compulsory_EOM[[#This Row],[Client No]],'Global Portfolio'!$B$2:$N$2500,10,FALSE)</f>
        <v>Retail</v>
      </c>
      <c r="AA1285" s="105" t="str">
        <f>VLOOKUP(Table__192.168.1.150_M_CONSOLIDATED_Delinquency_Compulsory_EOM[[#This Row],[Client No]],'Global Portfolio'!$B$2:$N$2500,11,FALSE)</f>
        <v>Building Material and Garden Equipment</v>
      </c>
      <c r="AB1285" s="105" t="str">
        <f>VLOOKUP(Table__192.168.1.150_M_CONSOLIDATED_Delinquency_Compulsory_EOM[[#This Row],[Client No]],'Global Portfolio'!$B$2:$N$2500,12,FALSE)</f>
        <v>Hardware Stores</v>
      </c>
    </row>
    <row r="1286" spans="1:28" x14ac:dyDescent="0.25">
      <c r="A1286">
        <v>201227</v>
      </c>
      <c r="B1286" t="s">
        <v>5192</v>
      </c>
      <c r="C1286" t="s">
        <v>5207</v>
      </c>
      <c r="D1286" t="s">
        <v>1282</v>
      </c>
      <c r="E1286">
        <v>-13</v>
      </c>
      <c r="F1286">
        <v>4000000</v>
      </c>
      <c r="G1286">
        <v>2782174.79</v>
      </c>
      <c r="H1286">
        <v>775513.55</v>
      </c>
      <c r="I1286" t="s">
        <v>491</v>
      </c>
      <c r="J1286">
        <v>65772.899999999994</v>
      </c>
      <c r="K1286">
        <v>400000</v>
      </c>
      <c r="L1286">
        <v>66772.19</v>
      </c>
      <c r="M1286">
        <v>3102054.2</v>
      </c>
      <c r="N1286" s="711">
        <v>42961.691763275463</v>
      </c>
      <c r="O1286" s="711">
        <v>43145</v>
      </c>
      <c r="P1286" t="s">
        <v>5208</v>
      </c>
      <c r="Q1286" t="s">
        <v>1280</v>
      </c>
      <c r="R1286" t="s">
        <v>1280</v>
      </c>
      <c r="S1286" t="s">
        <v>1510</v>
      </c>
      <c r="T1286">
        <v>54</v>
      </c>
      <c r="U1286">
        <f>IF(Table__192.168.1.150_M_CONSOLIDATED_Delinquency_Compulsory_EOM[[#This Row],[Days in Arrears]] &lt; 8, Table__192.168.1.150_M_CONSOLIDATED_Delinquency_Compulsory_EOM[[#This Row],[Outstanding Balance]], 0 )</f>
        <v>2782174.79</v>
      </c>
      <c r="V12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6" s="105" t="str">
        <f>VLOOKUP(Table__192.168.1.150_M_CONSOLIDATED_Delinquency_Compulsory_EOM[[#This Row],[Client No]],'Global Portfolio'!$B$2:$N$2500,10,FALSE)</f>
        <v>Retail</v>
      </c>
      <c r="AA1286" s="105" t="str">
        <f>VLOOKUP(Table__192.168.1.150_M_CONSOLIDATED_Delinquency_Compulsory_EOM[[#This Row],[Client No]],'Global Portfolio'!$B$2:$N$2500,11,FALSE)</f>
        <v>General Merchandise Stores</v>
      </c>
      <c r="AB1286" s="105" t="str">
        <f>VLOOKUP(Table__192.168.1.150_M_CONSOLIDATED_Delinquency_Compulsory_EOM[[#This Row],[Client No]],'Global Portfolio'!$B$2:$N$2500,12,FALSE)</f>
        <v>General Stores</v>
      </c>
    </row>
    <row r="1287" spans="1:28" x14ac:dyDescent="0.25">
      <c r="A1287">
        <v>201228</v>
      </c>
      <c r="B1287" t="s">
        <v>3372</v>
      </c>
      <c r="C1287" t="s">
        <v>3383</v>
      </c>
      <c r="D1287" t="s">
        <v>1866</v>
      </c>
      <c r="E1287">
        <v>-13</v>
      </c>
      <c r="F1287">
        <v>7000000</v>
      </c>
      <c r="G1287">
        <v>6032900.4400000004</v>
      </c>
      <c r="H1287">
        <v>731510.97</v>
      </c>
      <c r="I1287" t="s">
        <v>2557</v>
      </c>
      <c r="J1287">
        <v>83180.27</v>
      </c>
      <c r="K1287">
        <v>700000</v>
      </c>
      <c r="L1287">
        <v>117976.72</v>
      </c>
      <c r="M1287">
        <v>7315109.6900000004</v>
      </c>
      <c r="N1287" s="711">
        <v>42961.758969826391</v>
      </c>
      <c r="O1287" s="711">
        <v>43326</v>
      </c>
      <c r="P1287" t="s">
        <v>3384</v>
      </c>
      <c r="Q1287" t="s">
        <v>1280</v>
      </c>
      <c r="R1287" t="s">
        <v>1280</v>
      </c>
      <c r="S1287" t="s">
        <v>1510</v>
      </c>
      <c r="T1287">
        <v>44</v>
      </c>
      <c r="U1287">
        <f>IF(Table__192.168.1.150_M_CONSOLIDATED_Delinquency_Compulsory_EOM[[#This Row],[Days in Arrears]] &lt; 8, Table__192.168.1.150_M_CONSOLIDATED_Delinquency_Compulsory_EOM[[#This Row],[Outstanding Balance]], 0 )</f>
        <v>6032900.4400000004</v>
      </c>
      <c r="V12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7" s="105" t="str">
        <f>VLOOKUP(Table__192.168.1.150_M_CONSOLIDATED_Delinquency_Compulsory_EOM[[#This Row],[Client No]],'Global Portfolio'!$B$2:$N$2500,10,FALSE)</f>
        <v>Retail</v>
      </c>
      <c r="AA1287" s="105" t="str">
        <f>VLOOKUP(Table__192.168.1.150_M_CONSOLIDATED_Delinquency_Compulsory_EOM[[#This Row],[Client No]],'Global Portfolio'!$B$2:$N$2500,11,FALSE)</f>
        <v>General Merchandise Stores</v>
      </c>
      <c r="AB1287" s="105" t="str">
        <f>VLOOKUP(Table__192.168.1.150_M_CONSOLIDATED_Delinquency_Compulsory_EOM[[#This Row],[Client No]],'Global Portfolio'!$B$2:$N$2500,12,FALSE)</f>
        <v>General Stores</v>
      </c>
    </row>
    <row r="1288" spans="1:28" x14ac:dyDescent="0.25">
      <c r="A1288">
        <v>201229</v>
      </c>
      <c r="B1288" t="s">
        <v>3940</v>
      </c>
      <c r="C1288" t="s">
        <v>3958</v>
      </c>
      <c r="D1288" t="s">
        <v>1282</v>
      </c>
      <c r="E1288">
        <v>-13</v>
      </c>
      <c r="F1288">
        <v>7000000</v>
      </c>
      <c r="G1288">
        <v>5810605.3200000003</v>
      </c>
      <c r="H1288">
        <v>863036.61</v>
      </c>
      <c r="I1288" t="s">
        <v>2538</v>
      </c>
      <c r="J1288">
        <v>860127.77</v>
      </c>
      <c r="K1288">
        <v>0</v>
      </c>
      <c r="L1288">
        <v>123959.58</v>
      </c>
      <c r="M1288">
        <v>6904292.9000000004</v>
      </c>
      <c r="N1288" s="711">
        <v>42961.635382291664</v>
      </c>
      <c r="O1288" s="711">
        <v>43265</v>
      </c>
      <c r="P1288" t="s">
        <v>3959</v>
      </c>
      <c r="Q1288" t="s">
        <v>1280</v>
      </c>
      <c r="R1288" t="s">
        <v>1280</v>
      </c>
      <c r="S1288" t="s">
        <v>1510</v>
      </c>
      <c r="T1288">
        <v>48</v>
      </c>
      <c r="U1288">
        <f>IF(Table__192.168.1.150_M_CONSOLIDATED_Delinquency_Compulsory_EOM[[#This Row],[Days in Arrears]] &lt; 8, Table__192.168.1.150_M_CONSOLIDATED_Delinquency_Compulsory_EOM[[#This Row],[Outstanding Balance]], 0 )</f>
        <v>5810605.3200000003</v>
      </c>
      <c r="V12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8" s="105" t="str">
        <f>VLOOKUP(Table__192.168.1.150_M_CONSOLIDATED_Delinquency_Compulsory_EOM[[#This Row],[Client No]],'Global Portfolio'!$B$2:$N$2500,10,FALSE)</f>
        <v>Manufacturing</v>
      </c>
      <c r="AA1288" s="105" t="str">
        <f>VLOOKUP(Table__192.168.1.150_M_CONSOLIDATED_Delinquency_Compulsory_EOM[[#This Row],[Client No]],'Global Portfolio'!$B$2:$N$2500,11,FALSE)</f>
        <v>Primary Metal Manufacturing</v>
      </c>
      <c r="AB1288" s="105" t="str">
        <f>VLOOKUP(Table__192.168.1.150_M_CONSOLIDATED_Delinquency_Compulsory_EOM[[#This Row],[Client No]],'Global Portfolio'!$B$2:$N$2500,12,FALSE)</f>
        <v>Alumina &amp; Aluminum</v>
      </c>
    </row>
    <row r="1289" spans="1:28" x14ac:dyDescent="0.25">
      <c r="A1289">
        <v>201230</v>
      </c>
      <c r="B1289" t="s">
        <v>3707</v>
      </c>
      <c r="C1289" t="s">
        <v>3717</v>
      </c>
      <c r="D1289" t="s">
        <v>1279</v>
      </c>
      <c r="E1289">
        <v>-13</v>
      </c>
      <c r="F1289">
        <v>3000000</v>
      </c>
      <c r="G1289">
        <v>2592700.7000000002</v>
      </c>
      <c r="H1289">
        <v>319656.52</v>
      </c>
      <c r="I1289" t="s">
        <v>4684</v>
      </c>
      <c r="J1289">
        <v>49377.97</v>
      </c>
      <c r="K1289">
        <v>300000</v>
      </c>
      <c r="L1289">
        <v>55310.95</v>
      </c>
      <c r="M1289">
        <v>3196565.19</v>
      </c>
      <c r="N1289" s="711">
        <v>42961.692666817129</v>
      </c>
      <c r="O1289" s="711">
        <v>43326</v>
      </c>
      <c r="P1289" t="s">
        <v>3718</v>
      </c>
      <c r="Q1289" t="s">
        <v>1280</v>
      </c>
      <c r="R1289" t="s">
        <v>1280</v>
      </c>
      <c r="S1289" t="s">
        <v>1510</v>
      </c>
      <c r="T1289">
        <v>48</v>
      </c>
      <c r="U1289">
        <f>IF(Table__192.168.1.150_M_CONSOLIDATED_Delinquency_Compulsory_EOM[[#This Row],[Days in Arrears]] &lt; 8, Table__192.168.1.150_M_CONSOLIDATED_Delinquency_Compulsory_EOM[[#This Row],[Outstanding Balance]], 0 )</f>
        <v>2592700.7000000002</v>
      </c>
      <c r="V12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89" s="105" t="str">
        <f>VLOOKUP(Table__192.168.1.150_M_CONSOLIDATED_Delinquency_Compulsory_EOM[[#This Row],[Client No]],'Global Portfolio'!$B$2:$N$2500,10,FALSE)</f>
        <v>Real Estate and Rental</v>
      </c>
      <c r="AA1289" s="105" t="str">
        <f>VLOOKUP(Table__192.168.1.150_M_CONSOLIDATED_Delinquency_Compulsory_EOM[[#This Row],[Client No]],'Global Portfolio'!$B$2:$N$2500,11,FALSE)</f>
        <v>Rental</v>
      </c>
      <c r="AB1289" s="105" t="str">
        <f>VLOOKUP(Table__192.168.1.150_M_CONSOLIDATED_Delinquency_Compulsory_EOM[[#This Row],[Client No]],'Global Portfolio'!$B$2:$N$2500,12,FALSE)</f>
        <v>Others</v>
      </c>
    </row>
    <row r="1290" spans="1:28" x14ac:dyDescent="0.25">
      <c r="A1290">
        <v>201231</v>
      </c>
      <c r="B1290" t="s">
        <v>5210</v>
      </c>
      <c r="C1290" t="s">
        <v>5218</v>
      </c>
      <c r="D1290" t="s">
        <v>1282</v>
      </c>
      <c r="E1290">
        <v>-14</v>
      </c>
      <c r="F1290">
        <v>3000000</v>
      </c>
      <c r="G1290">
        <v>2086631.1</v>
      </c>
      <c r="H1290">
        <v>581635.16</v>
      </c>
      <c r="I1290" t="s">
        <v>4685</v>
      </c>
      <c r="J1290">
        <v>60321.5</v>
      </c>
      <c r="K1290">
        <v>300000</v>
      </c>
      <c r="L1290">
        <v>46949.2</v>
      </c>
      <c r="M1290">
        <v>2326540.66</v>
      </c>
      <c r="N1290" s="711">
        <v>42962.699635960649</v>
      </c>
      <c r="O1290" s="711">
        <v>43146</v>
      </c>
      <c r="P1290" t="s">
        <v>5219</v>
      </c>
      <c r="Q1290" t="s">
        <v>1280</v>
      </c>
      <c r="R1290" t="s">
        <v>5220</v>
      </c>
      <c r="S1290" t="s">
        <v>1510</v>
      </c>
      <c r="T1290">
        <v>54</v>
      </c>
      <c r="U1290">
        <f>IF(Table__192.168.1.150_M_CONSOLIDATED_Delinquency_Compulsory_EOM[[#This Row],[Days in Arrears]] &lt; 8, Table__192.168.1.150_M_CONSOLIDATED_Delinquency_Compulsory_EOM[[#This Row],[Outstanding Balance]], 0 )</f>
        <v>2086631.1</v>
      </c>
      <c r="V12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0" s="105" t="str">
        <f>VLOOKUP(Table__192.168.1.150_M_CONSOLIDATED_Delinquency_Compulsory_EOM[[#This Row],[Client No]],'Global Portfolio'!$B$2:$N$2500,10,FALSE)</f>
        <v>Retail</v>
      </c>
      <c r="AA1290" s="105" t="str">
        <f>VLOOKUP(Table__192.168.1.150_M_CONSOLIDATED_Delinquency_Compulsory_EOM[[#This Row],[Client No]],'Global Portfolio'!$B$2:$N$2500,11,FALSE)</f>
        <v>General Merchandise Stores</v>
      </c>
      <c r="AB1290" s="105" t="str">
        <f>VLOOKUP(Table__192.168.1.150_M_CONSOLIDATED_Delinquency_Compulsory_EOM[[#This Row],[Client No]],'Global Portfolio'!$B$2:$N$2500,12,FALSE)</f>
        <v>General Stores</v>
      </c>
    </row>
    <row r="1291" spans="1:28" x14ac:dyDescent="0.25">
      <c r="A1291">
        <v>201232</v>
      </c>
      <c r="B1291" t="s">
        <v>5221</v>
      </c>
      <c r="C1291" t="s">
        <v>5224</v>
      </c>
      <c r="D1291" t="s">
        <v>1282</v>
      </c>
      <c r="E1291">
        <v>-15</v>
      </c>
      <c r="F1291">
        <v>2500000</v>
      </c>
      <c r="G1291">
        <v>1738859.24</v>
      </c>
      <c r="H1291">
        <v>484695.97</v>
      </c>
      <c r="I1291" t="s">
        <v>4685</v>
      </c>
      <c r="J1291">
        <v>64104.03</v>
      </c>
      <c r="K1291">
        <v>250000</v>
      </c>
      <c r="L1291">
        <v>36516.04</v>
      </c>
      <c r="M1291">
        <v>1938783.88</v>
      </c>
      <c r="N1291" s="711">
        <v>42963.693098923613</v>
      </c>
      <c r="O1291" s="711">
        <v>43147</v>
      </c>
      <c r="P1291" t="s">
        <v>5225</v>
      </c>
      <c r="Q1291" t="s">
        <v>1280</v>
      </c>
      <c r="R1291" t="s">
        <v>5226</v>
      </c>
      <c r="S1291" t="s">
        <v>1510</v>
      </c>
      <c r="T1291">
        <v>54</v>
      </c>
      <c r="U1291">
        <f>IF(Table__192.168.1.150_M_CONSOLIDATED_Delinquency_Compulsory_EOM[[#This Row],[Days in Arrears]] &lt; 8, Table__192.168.1.150_M_CONSOLIDATED_Delinquency_Compulsory_EOM[[#This Row],[Outstanding Balance]], 0 )</f>
        <v>1738859.24</v>
      </c>
      <c r="V12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1" s="105" t="str">
        <f>VLOOKUP(Table__192.168.1.150_M_CONSOLIDATED_Delinquency_Compulsory_EOM[[#This Row],[Client No]],'Global Portfolio'!$B$2:$N$2500,10,FALSE)</f>
        <v>Retail</v>
      </c>
      <c r="AA1291" s="105" t="str">
        <f>VLOOKUP(Table__192.168.1.150_M_CONSOLIDATED_Delinquency_Compulsory_EOM[[#This Row],[Client No]],'Global Portfolio'!$B$2:$N$2500,11,FALSE)</f>
        <v>Building Material and Garden Equipment</v>
      </c>
      <c r="AB1291" s="105" t="str">
        <f>VLOOKUP(Table__192.168.1.150_M_CONSOLIDATED_Delinquency_Compulsory_EOM[[#This Row],[Client No]],'Global Portfolio'!$B$2:$N$2500,12,FALSE)</f>
        <v>Hardware Stores</v>
      </c>
    </row>
    <row r="1292" spans="1:28" x14ac:dyDescent="0.25">
      <c r="A1292">
        <v>201233</v>
      </c>
      <c r="B1292" t="s">
        <v>5222</v>
      </c>
      <c r="C1292" t="s">
        <v>5227</v>
      </c>
      <c r="D1292" t="s">
        <v>1282</v>
      </c>
      <c r="E1292">
        <v>-15</v>
      </c>
      <c r="F1292">
        <v>4000000</v>
      </c>
      <c r="G1292">
        <v>2782174.79</v>
      </c>
      <c r="H1292">
        <v>775513.55</v>
      </c>
      <c r="I1292" t="s">
        <v>4686</v>
      </c>
      <c r="J1292">
        <v>56886.45</v>
      </c>
      <c r="K1292">
        <v>400000</v>
      </c>
      <c r="L1292">
        <v>58425.67</v>
      </c>
      <c r="M1292">
        <v>3102054.2</v>
      </c>
      <c r="N1292" s="711">
        <v>42963.67516875</v>
      </c>
      <c r="O1292" s="711">
        <v>43147</v>
      </c>
      <c r="P1292" t="s">
        <v>5228</v>
      </c>
      <c r="Q1292" t="s">
        <v>1280</v>
      </c>
      <c r="R1292" t="s">
        <v>5229</v>
      </c>
      <c r="S1292" t="s">
        <v>1510</v>
      </c>
      <c r="T1292">
        <v>54</v>
      </c>
      <c r="U1292">
        <f>IF(Table__192.168.1.150_M_CONSOLIDATED_Delinquency_Compulsory_EOM[[#This Row],[Days in Arrears]] &lt; 8, Table__192.168.1.150_M_CONSOLIDATED_Delinquency_Compulsory_EOM[[#This Row],[Outstanding Balance]], 0 )</f>
        <v>2782174.79</v>
      </c>
      <c r="V12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2" s="105" t="str">
        <f>VLOOKUP(Table__192.168.1.150_M_CONSOLIDATED_Delinquency_Compulsory_EOM[[#This Row],[Client No]],'Global Portfolio'!$B$2:$N$2500,10,FALSE)</f>
        <v>Retail</v>
      </c>
      <c r="AA1292" s="105" t="str">
        <f>VLOOKUP(Table__192.168.1.150_M_CONSOLIDATED_Delinquency_Compulsory_EOM[[#This Row],[Client No]],'Global Portfolio'!$B$2:$N$2500,11,FALSE)</f>
        <v>Building Material and Garden Equipment</v>
      </c>
      <c r="AB1292" s="105" t="str">
        <f>VLOOKUP(Table__192.168.1.150_M_CONSOLIDATED_Delinquency_Compulsory_EOM[[#This Row],[Client No]],'Global Portfolio'!$B$2:$N$2500,12,FALSE)</f>
        <v>Hardware Stores</v>
      </c>
    </row>
    <row r="1293" spans="1:28" x14ac:dyDescent="0.25">
      <c r="A1293">
        <v>201234</v>
      </c>
      <c r="B1293" t="s">
        <v>3826</v>
      </c>
      <c r="C1293" t="s">
        <v>3827</v>
      </c>
      <c r="D1293" t="s">
        <v>1282</v>
      </c>
      <c r="E1293">
        <v>-15</v>
      </c>
      <c r="F1293">
        <v>6000000</v>
      </c>
      <c r="G1293">
        <v>4980518.83</v>
      </c>
      <c r="H1293">
        <v>739745.67</v>
      </c>
      <c r="I1293" t="s">
        <v>5167</v>
      </c>
      <c r="J1293">
        <v>0</v>
      </c>
      <c r="K1293">
        <v>600000</v>
      </c>
      <c r="L1293">
        <v>92969.68</v>
      </c>
      <c r="M1293">
        <v>5917965.2999999998</v>
      </c>
      <c r="N1293" s="711">
        <v>42963.518841203702</v>
      </c>
      <c r="O1293" s="711">
        <v>43267</v>
      </c>
      <c r="P1293" t="s">
        <v>3828</v>
      </c>
      <c r="Q1293" t="s">
        <v>1280</v>
      </c>
      <c r="R1293" t="s">
        <v>1280</v>
      </c>
      <c r="S1293" t="s">
        <v>1510</v>
      </c>
      <c r="T1293">
        <v>48</v>
      </c>
      <c r="U1293">
        <f>IF(Table__192.168.1.150_M_CONSOLIDATED_Delinquency_Compulsory_EOM[[#This Row],[Days in Arrears]] &lt; 8, Table__192.168.1.150_M_CONSOLIDATED_Delinquency_Compulsory_EOM[[#This Row],[Outstanding Balance]], 0 )</f>
        <v>4980518.83</v>
      </c>
      <c r="V12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3" s="105" t="str">
        <f>VLOOKUP(Table__192.168.1.150_M_CONSOLIDATED_Delinquency_Compulsory_EOM[[#This Row],[Client No]],'Global Portfolio'!$B$2:$N$2500,10,FALSE)</f>
        <v>Retail</v>
      </c>
      <c r="AA1293" s="105" t="str">
        <f>VLOOKUP(Table__192.168.1.150_M_CONSOLIDATED_Delinquency_Compulsory_EOM[[#This Row],[Client No]],'Global Portfolio'!$B$2:$N$2500,11,FALSE)</f>
        <v>General Merchandise Stores</v>
      </c>
      <c r="AB1293" s="105" t="str">
        <f>VLOOKUP(Table__192.168.1.150_M_CONSOLIDATED_Delinquency_Compulsory_EOM[[#This Row],[Client No]],'Global Portfolio'!$B$2:$N$2500,12,FALSE)</f>
        <v>General Stores</v>
      </c>
    </row>
    <row r="1294" spans="1:28" x14ac:dyDescent="0.25">
      <c r="A1294">
        <v>201235</v>
      </c>
      <c r="B1294" t="s">
        <v>3900</v>
      </c>
      <c r="C1294" t="s">
        <v>3906</v>
      </c>
      <c r="D1294" t="s">
        <v>1282</v>
      </c>
      <c r="E1294">
        <v>-15</v>
      </c>
      <c r="F1294">
        <v>8000000</v>
      </c>
      <c r="G1294">
        <v>6913868.54</v>
      </c>
      <c r="H1294">
        <v>852417.38</v>
      </c>
      <c r="I1294" t="s">
        <v>1448</v>
      </c>
      <c r="J1294">
        <v>0</v>
      </c>
      <c r="K1294">
        <v>800000</v>
      </c>
      <c r="L1294">
        <v>129058.88</v>
      </c>
      <c r="M1294">
        <v>8524173.8100000005</v>
      </c>
      <c r="N1294" s="711">
        <v>42963.690912118058</v>
      </c>
      <c r="O1294" s="711">
        <v>43328</v>
      </c>
      <c r="P1294" t="s">
        <v>3907</v>
      </c>
      <c r="Q1294" t="s">
        <v>1280</v>
      </c>
      <c r="R1294" t="s">
        <v>3908</v>
      </c>
      <c r="S1294" t="s">
        <v>1510</v>
      </c>
      <c r="T1294">
        <v>48</v>
      </c>
      <c r="U1294">
        <f>IF(Table__192.168.1.150_M_CONSOLIDATED_Delinquency_Compulsory_EOM[[#This Row],[Days in Arrears]] &lt; 8, Table__192.168.1.150_M_CONSOLIDATED_Delinquency_Compulsory_EOM[[#This Row],[Outstanding Balance]], 0 )</f>
        <v>6913868.54</v>
      </c>
      <c r="V12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4" s="105" t="str">
        <f>VLOOKUP(Table__192.168.1.150_M_CONSOLIDATED_Delinquency_Compulsory_EOM[[#This Row],[Client No]],'Global Portfolio'!$B$2:$N$2500,10,FALSE)</f>
        <v>Retail</v>
      </c>
      <c r="AA1294" s="105" t="str">
        <f>VLOOKUP(Table__192.168.1.150_M_CONSOLIDATED_Delinquency_Compulsory_EOM[[#This Row],[Client No]],'Global Portfolio'!$B$2:$N$2500,11,FALSE)</f>
        <v>General Merchandise Stores</v>
      </c>
      <c r="AB1294" s="105" t="str">
        <f>VLOOKUP(Table__192.168.1.150_M_CONSOLIDATED_Delinquency_Compulsory_EOM[[#This Row],[Client No]],'Global Portfolio'!$B$2:$N$2500,12,FALSE)</f>
        <v>General Stores</v>
      </c>
    </row>
    <row r="1295" spans="1:28" x14ac:dyDescent="0.25">
      <c r="A1295">
        <v>201236</v>
      </c>
      <c r="B1295" t="s">
        <v>5223</v>
      </c>
      <c r="C1295" t="s">
        <v>5230</v>
      </c>
      <c r="D1295" t="s">
        <v>1279</v>
      </c>
      <c r="E1295">
        <v>-15</v>
      </c>
      <c r="F1295">
        <v>3000000</v>
      </c>
      <c r="G1295">
        <v>2490259.4300000002</v>
      </c>
      <c r="H1295">
        <v>369872.83</v>
      </c>
      <c r="I1295" t="s">
        <v>2175</v>
      </c>
      <c r="J1295">
        <v>0</v>
      </c>
      <c r="K1295">
        <v>300000</v>
      </c>
      <c r="L1295">
        <v>46484.84</v>
      </c>
      <c r="M1295">
        <v>2958982.69</v>
      </c>
      <c r="N1295" s="711">
        <v>42963.677953668979</v>
      </c>
      <c r="O1295" s="711">
        <v>43267</v>
      </c>
      <c r="P1295" t="s">
        <v>5231</v>
      </c>
      <c r="Q1295" t="s">
        <v>1280</v>
      </c>
      <c r="R1295" t="s">
        <v>5232</v>
      </c>
      <c r="S1295" t="s">
        <v>1510</v>
      </c>
      <c r="T1295">
        <v>48</v>
      </c>
      <c r="U1295">
        <f>IF(Table__192.168.1.150_M_CONSOLIDATED_Delinquency_Compulsory_EOM[[#This Row],[Days in Arrears]] &lt; 8, Table__192.168.1.150_M_CONSOLIDATED_Delinquency_Compulsory_EOM[[#This Row],[Outstanding Balance]], 0 )</f>
        <v>2490259.4300000002</v>
      </c>
      <c r="V12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5" s="105" t="str">
        <f>VLOOKUP(Table__192.168.1.150_M_CONSOLIDATED_Delinquency_Compulsory_EOM[[#This Row],[Client No]],'Global Portfolio'!$B$2:$N$2500,10,FALSE)</f>
        <v>Retail</v>
      </c>
      <c r="AA1295" s="105" t="str">
        <f>VLOOKUP(Table__192.168.1.150_M_CONSOLIDATED_Delinquency_Compulsory_EOM[[#This Row],[Client No]],'Global Portfolio'!$B$2:$N$2500,11,FALSE)</f>
        <v>General Merchandise Stores</v>
      </c>
      <c r="AB1295" s="105" t="str">
        <f>VLOOKUP(Table__192.168.1.150_M_CONSOLIDATED_Delinquency_Compulsory_EOM[[#This Row],[Client No]],'Global Portfolio'!$B$2:$N$2500,12,FALSE)</f>
        <v>General Stores</v>
      </c>
    </row>
    <row r="1296" spans="1:28" x14ac:dyDescent="0.25">
      <c r="A1296">
        <v>201237</v>
      </c>
      <c r="B1296" t="s">
        <v>4323</v>
      </c>
      <c r="C1296" t="s">
        <v>4324</v>
      </c>
      <c r="D1296" t="s">
        <v>1282</v>
      </c>
      <c r="E1296">
        <v>-15</v>
      </c>
      <c r="F1296">
        <v>5000000</v>
      </c>
      <c r="G1296">
        <v>4150432.37</v>
      </c>
      <c r="H1296">
        <v>616454.72</v>
      </c>
      <c r="I1296" t="s">
        <v>491</v>
      </c>
      <c r="J1296">
        <v>130590.42</v>
      </c>
      <c r="K1296">
        <v>500000</v>
      </c>
      <c r="L1296">
        <v>77474.740000000005</v>
      </c>
      <c r="M1296">
        <v>4931637.78</v>
      </c>
      <c r="N1296" s="711">
        <v>42963.714644409723</v>
      </c>
      <c r="O1296" s="711">
        <v>43267</v>
      </c>
      <c r="P1296" t="s">
        <v>4325</v>
      </c>
      <c r="Q1296" t="s">
        <v>1280</v>
      </c>
      <c r="R1296" t="s">
        <v>1280</v>
      </c>
      <c r="S1296" t="s">
        <v>1510</v>
      </c>
      <c r="T1296">
        <v>48</v>
      </c>
      <c r="U1296">
        <f>IF(Table__192.168.1.150_M_CONSOLIDATED_Delinquency_Compulsory_EOM[[#This Row],[Days in Arrears]] &lt; 8, Table__192.168.1.150_M_CONSOLIDATED_Delinquency_Compulsory_EOM[[#This Row],[Outstanding Balance]], 0 )</f>
        <v>4150432.37</v>
      </c>
      <c r="V12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6" s="105" t="str">
        <f>VLOOKUP(Table__192.168.1.150_M_CONSOLIDATED_Delinquency_Compulsory_EOM[[#This Row],[Client No]],'Global Portfolio'!$B$2:$N$2500,10,FALSE)</f>
        <v>Retail</v>
      </c>
      <c r="AA1296" s="105" t="str">
        <f>VLOOKUP(Table__192.168.1.150_M_CONSOLIDATED_Delinquency_Compulsory_EOM[[#This Row],[Client No]],'Global Portfolio'!$B$2:$N$2500,11,FALSE)</f>
        <v>General Merchandise Stores</v>
      </c>
      <c r="AB1296" s="105" t="str">
        <f>VLOOKUP(Table__192.168.1.150_M_CONSOLIDATED_Delinquency_Compulsory_EOM[[#This Row],[Client No]],'Global Portfolio'!$B$2:$N$2500,12,FALSE)</f>
        <v>Others</v>
      </c>
    </row>
    <row r="1297" spans="1:28" x14ac:dyDescent="0.25">
      <c r="A1297">
        <v>201238</v>
      </c>
      <c r="B1297" t="s">
        <v>1784</v>
      </c>
      <c r="C1297" t="s">
        <v>1785</v>
      </c>
      <c r="D1297" t="s">
        <v>1284</v>
      </c>
      <c r="E1297">
        <v>-16</v>
      </c>
      <c r="F1297">
        <v>30000000</v>
      </c>
      <c r="G1297">
        <v>24687662.140000001</v>
      </c>
      <c r="H1297">
        <v>3516915.2</v>
      </c>
      <c r="I1297" t="s">
        <v>1447</v>
      </c>
      <c r="J1297">
        <v>0</v>
      </c>
      <c r="K1297">
        <v>1500000</v>
      </c>
      <c r="L1297">
        <v>320939.61</v>
      </c>
      <c r="M1297">
        <v>28135321.57</v>
      </c>
      <c r="N1297" s="711">
        <v>42964.682263773146</v>
      </c>
      <c r="O1297" s="711">
        <v>43268</v>
      </c>
      <c r="P1297" t="s">
        <v>1786</v>
      </c>
      <c r="Q1297" t="s">
        <v>1280</v>
      </c>
      <c r="R1297" t="s">
        <v>1280</v>
      </c>
      <c r="S1297" t="s">
        <v>1510</v>
      </c>
      <c r="T1297">
        <v>36</v>
      </c>
      <c r="U1297">
        <f>IF(Table__192.168.1.150_M_CONSOLIDATED_Delinquency_Compulsory_EOM[[#This Row],[Days in Arrears]] &lt; 8, Table__192.168.1.150_M_CONSOLIDATED_Delinquency_Compulsory_EOM[[#This Row],[Outstanding Balance]], 0 )</f>
        <v>24687662.140000001</v>
      </c>
      <c r="V12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7" s="105" t="str">
        <f>VLOOKUP(Table__192.168.1.150_M_CONSOLIDATED_Delinquency_Compulsory_EOM[[#This Row],[Client No]],'Global Portfolio'!$B$2:$N$2500,10,FALSE)</f>
        <v>Wholesale Trade</v>
      </c>
      <c r="AA1297" s="105" t="str">
        <f>VLOOKUP(Table__192.168.1.150_M_CONSOLIDATED_Delinquency_Compulsory_EOM[[#This Row],[Client No]],'Global Portfolio'!$B$2:$N$2500,11,FALSE)</f>
        <v>Durable Goods</v>
      </c>
      <c r="AB1297" s="105" t="str">
        <f>VLOOKUP(Table__192.168.1.150_M_CONSOLIDATED_Delinquency_Compulsory_EOM[[#This Row],[Client No]],'Global Portfolio'!$B$2:$N$2500,12,FALSE)</f>
        <v>Hardware, &amp; Plumbing &amp; Heating Equipment</v>
      </c>
    </row>
    <row r="1298" spans="1:28" x14ac:dyDescent="0.25">
      <c r="A1298">
        <v>201240</v>
      </c>
      <c r="B1298" t="s">
        <v>4769</v>
      </c>
      <c r="C1298" t="s">
        <v>4773</v>
      </c>
      <c r="D1298" t="s">
        <v>1281</v>
      </c>
      <c r="E1298">
        <v>-16</v>
      </c>
      <c r="F1298">
        <v>30000000</v>
      </c>
      <c r="G1298">
        <v>27508131.879999999</v>
      </c>
      <c r="H1298">
        <v>2274505.2200000002</v>
      </c>
      <c r="I1298" t="s">
        <v>468</v>
      </c>
      <c r="J1298">
        <v>897003.8</v>
      </c>
      <c r="K1298">
        <v>2250000</v>
      </c>
      <c r="L1298">
        <v>417206.67</v>
      </c>
      <c r="M1298">
        <v>36392083.640000001</v>
      </c>
      <c r="N1298" s="711">
        <v>42964.550383182868</v>
      </c>
      <c r="O1298" s="711">
        <v>43513</v>
      </c>
      <c r="P1298" t="s">
        <v>4774</v>
      </c>
      <c r="Q1298" t="s">
        <v>1280</v>
      </c>
      <c r="R1298" t="s">
        <v>1280</v>
      </c>
      <c r="S1298" t="s">
        <v>1510</v>
      </c>
      <c r="T1298">
        <v>42</v>
      </c>
      <c r="U1298">
        <f>IF(Table__192.168.1.150_M_CONSOLIDATED_Delinquency_Compulsory_EOM[[#This Row],[Days in Arrears]] &lt; 8, Table__192.168.1.150_M_CONSOLIDATED_Delinquency_Compulsory_EOM[[#This Row],[Outstanding Balance]], 0 )</f>
        <v>27508131.879999999</v>
      </c>
      <c r="V12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8" s="105" t="str">
        <f>VLOOKUP(Table__192.168.1.150_M_CONSOLIDATED_Delinquency_Compulsory_EOM[[#This Row],[Client No]],'Global Portfolio'!$B$2:$N$2500,10,FALSE)</f>
        <v>Transportation and Warehousing</v>
      </c>
      <c r="AA1298" s="105" t="str">
        <f>VLOOKUP(Table__192.168.1.150_M_CONSOLIDATED_Delinquency_Compulsory_EOM[[#This Row],[Client No]],'Global Portfolio'!$B$2:$N$2500,11,FALSE)</f>
        <v>Truck Transportation</v>
      </c>
      <c r="AB1298" s="105" t="str">
        <f>VLOOKUP(Table__192.168.1.150_M_CONSOLIDATED_Delinquency_Compulsory_EOM[[#This Row],[Client No]],'Global Portfolio'!$B$2:$N$2500,12,FALSE)</f>
        <v>General Freight Trucking, Long-distance</v>
      </c>
    </row>
    <row r="1299" spans="1:28" x14ac:dyDescent="0.25">
      <c r="A1299">
        <v>201241</v>
      </c>
      <c r="B1299" t="s">
        <v>2452</v>
      </c>
      <c r="C1299" t="s">
        <v>2453</v>
      </c>
      <c r="D1299" t="s">
        <v>1282</v>
      </c>
      <c r="E1299">
        <v>-18</v>
      </c>
      <c r="F1299">
        <v>13000000</v>
      </c>
      <c r="G1299">
        <v>11235036.390000001</v>
      </c>
      <c r="H1299">
        <v>1385178.24</v>
      </c>
      <c r="I1299" t="s">
        <v>1447</v>
      </c>
      <c r="J1299">
        <v>1636384.07</v>
      </c>
      <c r="K1299">
        <v>1300000</v>
      </c>
      <c r="L1299">
        <v>164780.53</v>
      </c>
      <c r="M1299">
        <v>13851782.470000001</v>
      </c>
      <c r="N1299" s="711">
        <v>42966.509046874999</v>
      </c>
      <c r="O1299" s="711">
        <v>43331</v>
      </c>
      <c r="P1299" t="s">
        <v>2454</v>
      </c>
      <c r="Q1299" t="s">
        <v>2455</v>
      </c>
      <c r="R1299" t="s">
        <v>1280</v>
      </c>
      <c r="S1299" t="s">
        <v>1510</v>
      </c>
      <c r="T1299">
        <v>48</v>
      </c>
      <c r="U1299">
        <f>IF(Table__192.168.1.150_M_CONSOLIDATED_Delinquency_Compulsory_EOM[[#This Row],[Days in Arrears]] &lt; 8, Table__192.168.1.150_M_CONSOLIDATED_Delinquency_Compulsory_EOM[[#This Row],[Outstanding Balance]], 0 )</f>
        <v>11235036.390000001</v>
      </c>
      <c r="V12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2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2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2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299" s="105" t="str">
        <f>VLOOKUP(Table__192.168.1.150_M_CONSOLIDATED_Delinquency_Compulsory_EOM[[#This Row],[Client No]],'Global Portfolio'!$B$2:$N$2500,10,FALSE)</f>
        <v>Educational Services</v>
      </c>
      <c r="AA1299" s="105" t="str">
        <f>VLOOKUP(Table__192.168.1.150_M_CONSOLIDATED_Delinquency_Compulsory_EOM[[#This Row],[Client No]],'Global Portfolio'!$B$2:$N$2500,11,FALSE)</f>
        <v>Educational Services</v>
      </c>
      <c r="AB1299" s="105" t="str">
        <f>VLOOKUP(Table__192.168.1.150_M_CONSOLIDATED_Delinquency_Compulsory_EOM[[#This Row],[Client No]],'Global Portfolio'!$B$2:$N$2500,12,FALSE)</f>
        <v>Schools</v>
      </c>
    </row>
    <row r="1300" spans="1:28" x14ac:dyDescent="0.25">
      <c r="A1300">
        <v>201243</v>
      </c>
      <c r="B1300" t="s">
        <v>5235</v>
      </c>
      <c r="C1300" t="s">
        <v>5236</v>
      </c>
      <c r="D1300" t="s">
        <v>1282</v>
      </c>
      <c r="E1300">
        <v>-17</v>
      </c>
      <c r="F1300">
        <v>5000000</v>
      </c>
      <c r="G1300">
        <v>3909916.29</v>
      </c>
      <c r="H1300">
        <v>758048.27</v>
      </c>
      <c r="I1300" t="s">
        <v>5047</v>
      </c>
      <c r="J1300">
        <v>56851.73</v>
      </c>
      <c r="K1300">
        <v>500000</v>
      </c>
      <c r="L1300">
        <v>70378.490000000005</v>
      </c>
      <c r="M1300">
        <v>4548289.58</v>
      </c>
      <c r="N1300" s="711">
        <v>42965.661909722221</v>
      </c>
      <c r="O1300" s="711">
        <v>43208</v>
      </c>
      <c r="P1300" t="s">
        <v>5237</v>
      </c>
      <c r="Q1300" t="s">
        <v>5238</v>
      </c>
      <c r="R1300" t="s">
        <v>1280</v>
      </c>
      <c r="S1300" t="s">
        <v>1510</v>
      </c>
      <c r="T1300">
        <v>54</v>
      </c>
      <c r="U1300">
        <f>IF(Table__192.168.1.150_M_CONSOLIDATED_Delinquency_Compulsory_EOM[[#This Row],[Days in Arrears]] &lt; 8, Table__192.168.1.150_M_CONSOLIDATED_Delinquency_Compulsory_EOM[[#This Row],[Outstanding Balance]], 0 )</f>
        <v>3909916.29</v>
      </c>
      <c r="V13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0" s="105" t="str">
        <f>VLOOKUP(Table__192.168.1.150_M_CONSOLIDATED_Delinquency_Compulsory_EOM[[#This Row],[Client No]],'Global Portfolio'!$B$2:$N$2500,10,FALSE)</f>
        <v>Retail</v>
      </c>
      <c r="AA1300" s="105" t="str">
        <f>VLOOKUP(Table__192.168.1.150_M_CONSOLIDATED_Delinquency_Compulsory_EOM[[#This Row],[Client No]],'Global Portfolio'!$B$2:$N$2500,11,FALSE)</f>
        <v>General Merchandise Stores</v>
      </c>
      <c r="AB1300" s="105" t="str">
        <f>VLOOKUP(Table__192.168.1.150_M_CONSOLIDATED_Delinquency_Compulsory_EOM[[#This Row],[Client No]],'Global Portfolio'!$B$2:$N$2500,12,FALSE)</f>
        <v>General Stores</v>
      </c>
    </row>
    <row r="1301" spans="1:28" x14ac:dyDescent="0.25">
      <c r="A1301">
        <v>201244</v>
      </c>
      <c r="B1301" t="s">
        <v>5241</v>
      </c>
      <c r="C1301" t="s">
        <v>5247</v>
      </c>
      <c r="D1301" t="s">
        <v>1282</v>
      </c>
      <c r="E1301">
        <v>-18</v>
      </c>
      <c r="F1301">
        <v>3000000</v>
      </c>
      <c r="G1301">
        <v>2500740.92</v>
      </c>
      <c r="H1301">
        <v>379136.47</v>
      </c>
      <c r="I1301" t="s">
        <v>5410</v>
      </c>
      <c r="J1301">
        <v>0</v>
      </c>
      <c r="K1301">
        <v>300000</v>
      </c>
      <c r="L1301">
        <v>41262.230000000003</v>
      </c>
      <c r="M1301">
        <v>3033091.71</v>
      </c>
      <c r="N1301" s="711">
        <v>42966.490009641202</v>
      </c>
      <c r="O1301" s="711">
        <v>43270</v>
      </c>
      <c r="P1301" t="s">
        <v>5248</v>
      </c>
      <c r="Q1301" t="s">
        <v>1280</v>
      </c>
      <c r="R1301" t="s">
        <v>5249</v>
      </c>
      <c r="S1301" t="s">
        <v>1510</v>
      </c>
      <c r="T1301">
        <v>54</v>
      </c>
      <c r="U1301">
        <f>IF(Table__192.168.1.150_M_CONSOLIDATED_Delinquency_Compulsory_EOM[[#This Row],[Days in Arrears]] &lt; 8, Table__192.168.1.150_M_CONSOLIDATED_Delinquency_Compulsory_EOM[[#This Row],[Outstanding Balance]], 0 )</f>
        <v>2500740.92</v>
      </c>
      <c r="V13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1" s="105" t="str">
        <f>VLOOKUP(Table__192.168.1.150_M_CONSOLIDATED_Delinquency_Compulsory_EOM[[#This Row],[Client No]],'Global Portfolio'!$B$2:$N$2500,10,FALSE)</f>
        <v>Agriculture, Forestry, Fishing and Hunting</v>
      </c>
      <c r="AA1301" s="105" t="str">
        <f>VLOOKUP(Table__192.168.1.150_M_CONSOLIDATED_Delinquency_Compulsory_EOM[[#This Row],[Client No]],'Global Portfolio'!$B$2:$N$2500,11,FALSE)</f>
        <v>Animal Production</v>
      </c>
      <c r="AB1301" s="105" t="str">
        <f>VLOOKUP(Table__192.168.1.150_M_CONSOLIDATED_Delinquency_Compulsory_EOM[[#This Row],[Client No]],'Global Portfolio'!$B$2:$N$2500,12,FALSE)</f>
        <v>Poultry &amp; Egg Production</v>
      </c>
    </row>
    <row r="1302" spans="1:28" x14ac:dyDescent="0.25">
      <c r="A1302">
        <v>201245</v>
      </c>
      <c r="B1302" t="s">
        <v>5285</v>
      </c>
      <c r="C1302" t="s">
        <v>5288</v>
      </c>
      <c r="D1302" t="s">
        <v>1282</v>
      </c>
      <c r="E1302">
        <v>-22</v>
      </c>
      <c r="F1302">
        <v>3500000</v>
      </c>
      <c r="G1302">
        <v>2917531.08</v>
      </c>
      <c r="H1302">
        <v>442325.88</v>
      </c>
      <c r="I1302" t="s">
        <v>5047</v>
      </c>
      <c r="J1302">
        <v>56959.98</v>
      </c>
      <c r="K1302">
        <v>350000</v>
      </c>
      <c r="L1302">
        <v>30634.080000000002</v>
      </c>
      <c r="M1302">
        <v>3538606.98</v>
      </c>
      <c r="N1302" s="711">
        <v>42970.619665081016</v>
      </c>
      <c r="O1302" s="711">
        <v>43274</v>
      </c>
      <c r="P1302" t="s">
        <v>5289</v>
      </c>
      <c r="Q1302" t="s">
        <v>1280</v>
      </c>
      <c r="R1302" t="s">
        <v>1280</v>
      </c>
      <c r="S1302" t="s">
        <v>1510</v>
      </c>
      <c r="T1302">
        <v>54</v>
      </c>
      <c r="U1302">
        <f>IF(Table__192.168.1.150_M_CONSOLIDATED_Delinquency_Compulsory_EOM[[#This Row],[Days in Arrears]] &lt; 8, Table__192.168.1.150_M_CONSOLIDATED_Delinquency_Compulsory_EOM[[#This Row],[Outstanding Balance]], 0 )</f>
        <v>2917531.08</v>
      </c>
      <c r="V13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2" s="105" t="str">
        <f>VLOOKUP(Table__192.168.1.150_M_CONSOLIDATED_Delinquency_Compulsory_EOM[[#This Row],[Client No]],'Global Portfolio'!$B$2:$N$2500,10,FALSE)</f>
        <v>Retail</v>
      </c>
      <c r="AA1302" s="105" t="str">
        <f>VLOOKUP(Table__192.168.1.150_M_CONSOLIDATED_Delinquency_Compulsory_EOM[[#This Row],[Client No]],'Global Portfolio'!$B$2:$N$2500,11,FALSE)</f>
        <v>General Merchandise Stores</v>
      </c>
      <c r="AB1302" s="105" t="str">
        <f>VLOOKUP(Table__192.168.1.150_M_CONSOLIDATED_Delinquency_Compulsory_EOM[[#This Row],[Client No]],'Global Portfolio'!$B$2:$N$2500,12,FALSE)</f>
        <v>General Stores</v>
      </c>
    </row>
    <row r="1303" spans="1:28" x14ac:dyDescent="0.25">
      <c r="A1303">
        <v>201246</v>
      </c>
      <c r="B1303" t="s">
        <v>5233</v>
      </c>
      <c r="C1303" t="s">
        <v>5239</v>
      </c>
      <c r="D1303" t="s">
        <v>1282</v>
      </c>
      <c r="E1303">
        <v>-17</v>
      </c>
      <c r="F1303">
        <v>2500000</v>
      </c>
      <c r="G1303">
        <v>2169394.11</v>
      </c>
      <c r="H1303">
        <v>274165.46999999997</v>
      </c>
      <c r="I1303" t="s">
        <v>4919</v>
      </c>
      <c r="J1303">
        <v>71469.06</v>
      </c>
      <c r="K1303">
        <v>250000</v>
      </c>
      <c r="L1303">
        <v>39049.089999999997</v>
      </c>
      <c r="M1303">
        <v>2741654.71</v>
      </c>
      <c r="N1303" s="711">
        <v>42965.688243171295</v>
      </c>
      <c r="O1303" s="711">
        <v>43330</v>
      </c>
      <c r="P1303" t="s">
        <v>5240</v>
      </c>
      <c r="Q1303" t="s">
        <v>1280</v>
      </c>
      <c r="R1303" t="s">
        <v>1280</v>
      </c>
      <c r="S1303" t="s">
        <v>1510</v>
      </c>
      <c r="T1303">
        <v>54</v>
      </c>
      <c r="U1303">
        <f>IF(Table__192.168.1.150_M_CONSOLIDATED_Delinquency_Compulsory_EOM[[#This Row],[Days in Arrears]] &lt; 8, Table__192.168.1.150_M_CONSOLIDATED_Delinquency_Compulsory_EOM[[#This Row],[Outstanding Balance]], 0 )</f>
        <v>2169394.11</v>
      </c>
      <c r="V13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3" s="105" t="str">
        <f>VLOOKUP(Table__192.168.1.150_M_CONSOLIDATED_Delinquency_Compulsory_EOM[[#This Row],[Client No]],'Global Portfolio'!$B$2:$N$2500,10,FALSE)</f>
        <v>Agriculture, Forestry, Fishing and Hunting</v>
      </c>
      <c r="AA1303" s="105" t="str">
        <f>VLOOKUP(Table__192.168.1.150_M_CONSOLIDATED_Delinquency_Compulsory_EOM[[#This Row],[Client No]],'Global Portfolio'!$B$2:$N$2500,11,FALSE)</f>
        <v>Animal Production</v>
      </c>
      <c r="AB1303" s="105" t="str">
        <f>VLOOKUP(Table__192.168.1.150_M_CONSOLIDATED_Delinquency_Compulsory_EOM[[#This Row],[Client No]],'Global Portfolio'!$B$2:$N$2500,12,FALSE)</f>
        <v>Dairy Cattle &amp; Milk Production</v>
      </c>
    </row>
    <row r="1304" spans="1:28" x14ac:dyDescent="0.25">
      <c r="A1304">
        <v>201247</v>
      </c>
      <c r="B1304" t="s">
        <v>1956</v>
      </c>
      <c r="C1304" t="s">
        <v>2030</v>
      </c>
      <c r="D1304" t="s">
        <v>1284</v>
      </c>
      <c r="E1304">
        <v>-18</v>
      </c>
      <c r="F1304">
        <v>20000000</v>
      </c>
      <c r="G1304">
        <v>17817076.829999998</v>
      </c>
      <c r="H1304">
        <v>1675331.61</v>
      </c>
      <c r="I1304" t="s">
        <v>1467</v>
      </c>
      <c r="J1304">
        <v>1221455.92</v>
      </c>
      <c r="K1304">
        <v>1000000</v>
      </c>
      <c r="L1304">
        <v>195987.85</v>
      </c>
      <c r="M1304">
        <v>21779310.920000002</v>
      </c>
      <c r="N1304" s="711">
        <v>42966.509947650462</v>
      </c>
      <c r="O1304" s="711">
        <v>43423</v>
      </c>
      <c r="P1304" t="s">
        <v>2031</v>
      </c>
      <c r="Q1304" t="s">
        <v>1280</v>
      </c>
      <c r="R1304" t="s">
        <v>1280</v>
      </c>
      <c r="S1304" t="s">
        <v>1510</v>
      </c>
      <c r="T1304">
        <v>36</v>
      </c>
      <c r="U1304">
        <f>IF(Table__192.168.1.150_M_CONSOLIDATED_Delinquency_Compulsory_EOM[[#This Row],[Days in Arrears]] &lt; 8, Table__192.168.1.150_M_CONSOLIDATED_Delinquency_Compulsory_EOM[[#This Row],[Outstanding Balance]], 0 )</f>
        <v>17817076.829999998</v>
      </c>
      <c r="V13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4" s="105" t="str">
        <f>VLOOKUP(Table__192.168.1.150_M_CONSOLIDATED_Delinquency_Compulsory_EOM[[#This Row],[Client No]],'Global Portfolio'!$B$2:$N$2500,10,FALSE)</f>
        <v>Real Estate and Rental</v>
      </c>
      <c r="AA1304" s="105" t="str">
        <f>VLOOKUP(Table__192.168.1.150_M_CONSOLIDATED_Delinquency_Compulsory_EOM[[#This Row],[Client No]],'Global Portfolio'!$B$2:$N$2500,11,FALSE)</f>
        <v>Rental</v>
      </c>
      <c r="AB1304" s="105" t="str">
        <f>VLOOKUP(Table__192.168.1.150_M_CONSOLIDATED_Delinquency_Compulsory_EOM[[#This Row],[Client No]],'Global Portfolio'!$B$2:$N$2500,12,FALSE)</f>
        <v>General Rental Centers</v>
      </c>
    </row>
    <row r="1305" spans="1:28" x14ac:dyDescent="0.25">
      <c r="A1305">
        <v>201248</v>
      </c>
      <c r="B1305" t="s">
        <v>5244</v>
      </c>
      <c r="C1305" t="s">
        <v>5250</v>
      </c>
      <c r="D1305" t="s">
        <v>1279</v>
      </c>
      <c r="E1305">
        <v>-18</v>
      </c>
      <c r="F1305">
        <v>2000000</v>
      </c>
      <c r="G1305">
        <v>1728467.13</v>
      </c>
      <c r="H1305">
        <v>213104.35</v>
      </c>
      <c r="I1305" t="s">
        <v>963</v>
      </c>
      <c r="J1305">
        <v>40157.370000000003</v>
      </c>
      <c r="K1305">
        <v>0</v>
      </c>
      <c r="L1305">
        <v>37485.33</v>
      </c>
      <c r="M1305">
        <v>2131043.4700000002</v>
      </c>
      <c r="N1305" s="711">
        <v>42966.524724884257</v>
      </c>
      <c r="O1305" s="711">
        <v>43331</v>
      </c>
      <c r="P1305" t="s">
        <v>5251</v>
      </c>
      <c r="Q1305" t="s">
        <v>1280</v>
      </c>
      <c r="R1305" t="s">
        <v>1280</v>
      </c>
      <c r="S1305" t="s">
        <v>1510</v>
      </c>
      <c r="T1305">
        <v>48</v>
      </c>
      <c r="U1305">
        <f>IF(Table__192.168.1.150_M_CONSOLIDATED_Delinquency_Compulsory_EOM[[#This Row],[Days in Arrears]] &lt; 8, Table__192.168.1.150_M_CONSOLIDATED_Delinquency_Compulsory_EOM[[#This Row],[Outstanding Balance]], 0 )</f>
        <v>1728467.13</v>
      </c>
      <c r="V13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5" s="105" t="str">
        <f>VLOOKUP(Table__192.168.1.150_M_CONSOLIDATED_Delinquency_Compulsory_EOM[[#This Row],[Client No]],'Global Portfolio'!$B$2:$N$2500,10,FALSE)</f>
        <v>Retail</v>
      </c>
      <c r="AA1305" s="105" t="str">
        <f>VLOOKUP(Table__192.168.1.150_M_CONSOLIDATED_Delinquency_Compulsory_EOM[[#This Row],[Client No]],'Global Portfolio'!$B$2:$N$2500,11,FALSE)</f>
        <v>General Merchandise Stores</v>
      </c>
      <c r="AB1305" s="105" t="str">
        <f>VLOOKUP(Table__192.168.1.150_M_CONSOLIDATED_Delinquency_Compulsory_EOM[[#This Row],[Client No]],'Global Portfolio'!$B$2:$N$2500,12,FALSE)</f>
        <v>General Stores</v>
      </c>
    </row>
    <row r="1306" spans="1:28" x14ac:dyDescent="0.25">
      <c r="A1306">
        <v>201249</v>
      </c>
      <c r="B1306" t="s">
        <v>5253</v>
      </c>
      <c r="C1306" t="s">
        <v>5265</v>
      </c>
      <c r="D1306" t="s">
        <v>1279</v>
      </c>
      <c r="E1306">
        <v>-20</v>
      </c>
      <c r="F1306">
        <v>3500000</v>
      </c>
      <c r="G1306">
        <v>2736941.4</v>
      </c>
      <c r="H1306">
        <v>530633.79</v>
      </c>
      <c r="I1306" t="s">
        <v>3074</v>
      </c>
      <c r="J1306">
        <v>0</v>
      </c>
      <c r="K1306">
        <v>350000</v>
      </c>
      <c r="L1306">
        <v>177291.48</v>
      </c>
      <c r="M1306">
        <v>3183802.7</v>
      </c>
      <c r="N1306" s="711">
        <v>42968.663438692129</v>
      </c>
      <c r="O1306" s="711">
        <v>43211</v>
      </c>
      <c r="P1306" t="s">
        <v>5266</v>
      </c>
      <c r="Q1306" t="s">
        <v>1280</v>
      </c>
      <c r="R1306" t="s">
        <v>1280</v>
      </c>
      <c r="S1306" t="s">
        <v>1510</v>
      </c>
      <c r="T1306">
        <v>54</v>
      </c>
      <c r="U1306">
        <f>IF(Table__192.168.1.150_M_CONSOLIDATED_Delinquency_Compulsory_EOM[[#This Row],[Days in Arrears]] &lt; 8, Table__192.168.1.150_M_CONSOLIDATED_Delinquency_Compulsory_EOM[[#This Row],[Outstanding Balance]], 0 )</f>
        <v>2736941.4</v>
      </c>
      <c r="V13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6" s="105" t="str">
        <f>VLOOKUP(Table__192.168.1.150_M_CONSOLIDATED_Delinquency_Compulsory_EOM[[#This Row],[Client No]],'Global Portfolio'!$B$2:$N$2500,10,FALSE)</f>
        <v>Retail</v>
      </c>
      <c r="AA1306" s="105" t="str">
        <f>VLOOKUP(Table__192.168.1.150_M_CONSOLIDATED_Delinquency_Compulsory_EOM[[#This Row],[Client No]],'Global Portfolio'!$B$2:$N$2500,11,FALSE)</f>
        <v>General Merchandise Stores</v>
      </c>
      <c r="AB1306" s="105" t="str">
        <f>VLOOKUP(Table__192.168.1.150_M_CONSOLIDATED_Delinquency_Compulsory_EOM[[#This Row],[Client No]],'Global Portfolio'!$B$2:$N$2500,12,FALSE)</f>
        <v>General Stores</v>
      </c>
    </row>
    <row r="1307" spans="1:28" x14ac:dyDescent="0.25">
      <c r="A1307">
        <v>201250</v>
      </c>
      <c r="B1307" t="s">
        <v>2134</v>
      </c>
      <c r="C1307" t="s">
        <v>2162</v>
      </c>
      <c r="D1307" t="s">
        <v>1282</v>
      </c>
      <c r="E1307">
        <v>-20</v>
      </c>
      <c r="F1307">
        <v>10000000</v>
      </c>
      <c r="G1307">
        <v>8642335.6699999999</v>
      </c>
      <c r="H1307">
        <v>1065521.73</v>
      </c>
      <c r="I1307" t="s">
        <v>1448</v>
      </c>
      <c r="J1307">
        <v>14866.34</v>
      </c>
      <c r="K1307">
        <v>1000000</v>
      </c>
      <c r="L1307">
        <v>103708.03</v>
      </c>
      <c r="M1307">
        <v>10655217.26</v>
      </c>
      <c r="N1307" s="711">
        <v>42968.696249189816</v>
      </c>
      <c r="O1307" s="711">
        <v>43333</v>
      </c>
      <c r="P1307" t="s">
        <v>2163</v>
      </c>
      <c r="Q1307" t="s">
        <v>1280</v>
      </c>
      <c r="R1307" t="s">
        <v>1280</v>
      </c>
      <c r="S1307" t="s">
        <v>1510</v>
      </c>
      <c r="T1307">
        <v>48</v>
      </c>
      <c r="U1307">
        <f>IF(Table__192.168.1.150_M_CONSOLIDATED_Delinquency_Compulsory_EOM[[#This Row],[Days in Arrears]] &lt; 8, Table__192.168.1.150_M_CONSOLIDATED_Delinquency_Compulsory_EOM[[#This Row],[Outstanding Balance]], 0 )</f>
        <v>8642335.6699999999</v>
      </c>
      <c r="V13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7" s="105" t="str">
        <f>VLOOKUP(Table__192.168.1.150_M_CONSOLIDATED_Delinquency_Compulsory_EOM[[#This Row],[Client No]],'Global Portfolio'!$B$2:$N$2500,10,FALSE)</f>
        <v>Retail</v>
      </c>
      <c r="AA1307" s="105" t="str">
        <f>VLOOKUP(Table__192.168.1.150_M_CONSOLIDATED_Delinquency_Compulsory_EOM[[#This Row],[Client No]],'Global Portfolio'!$B$2:$N$2500,11,FALSE)</f>
        <v>General Merchandise Stores</v>
      </c>
      <c r="AB1307" s="105" t="str">
        <f>VLOOKUP(Table__192.168.1.150_M_CONSOLIDATED_Delinquency_Compulsory_EOM[[#This Row],[Client No]],'Global Portfolio'!$B$2:$N$2500,12,FALSE)</f>
        <v>General Stores</v>
      </c>
    </row>
    <row r="1308" spans="1:28" x14ac:dyDescent="0.25">
      <c r="A1308">
        <v>201251</v>
      </c>
      <c r="B1308" t="s">
        <v>5255</v>
      </c>
      <c r="C1308" t="s">
        <v>5267</v>
      </c>
      <c r="D1308" t="s">
        <v>1279</v>
      </c>
      <c r="E1308">
        <v>-20</v>
      </c>
      <c r="F1308">
        <v>2000000</v>
      </c>
      <c r="G1308">
        <v>1563966.51</v>
      </c>
      <c r="H1308">
        <v>303219.31</v>
      </c>
      <c r="I1308" t="s">
        <v>4683</v>
      </c>
      <c r="J1308">
        <v>0</v>
      </c>
      <c r="K1308">
        <v>200000</v>
      </c>
      <c r="L1308">
        <v>21113.55</v>
      </c>
      <c r="M1308">
        <v>1819315.84</v>
      </c>
      <c r="N1308" s="711">
        <v>42968.715607141203</v>
      </c>
      <c r="O1308" s="711">
        <v>43211</v>
      </c>
      <c r="P1308" t="s">
        <v>5268</v>
      </c>
      <c r="Q1308" t="s">
        <v>1280</v>
      </c>
      <c r="R1308" t="s">
        <v>5269</v>
      </c>
      <c r="S1308" t="s">
        <v>1510</v>
      </c>
      <c r="T1308">
        <v>54</v>
      </c>
      <c r="U1308">
        <f>IF(Table__192.168.1.150_M_CONSOLIDATED_Delinquency_Compulsory_EOM[[#This Row],[Days in Arrears]] &lt; 8, Table__192.168.1.150_M_CONSOLIDATED_Delinquency_Compulsory_EOM[[#This Row],[Outstanding Balance]], 0 )</f>
        <v>1563966.51</v>
      </c>
      <c r="V13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8" s="105" t="str">
        <f>VLOOKUP(Table__192.168.1.150_M_CONSOLIDATED_Delinquency_Compulsory_EOM[[#This Row],[Client No]],'Global Portfolio'!$B$2:$N$2500,10,FALSE)</f>
        <v>Real Estate and Rental</v>
      </c>
      <c r="AA1308" s="105" t="str">
        <f>VLOOKUP(Table__192.168.1.150_M_CONSOLIDATED_Delinquency_Compulsory_EOM[[#This Row],[Client No]],'Global Portfolio'!$B$2:$N$2500,11,FALSE)</f>
        <v>Rental</v>
      </c>
      <c r="AB1308" s="105" t="str">
        <f>VLOOKUP(Table__192.168.1.150_M_CONSOLIDATED_Delinquency_Compulsory_EOM[[#This Row],[Client No]],'Global Portfolio'!$B$2:$N$2500,12,FALSE)</f>
        <v>Others</v>
      </c>
    </row>
    <row r="1309" spans="1:28" x14ac:dyDescent="0.25">
      <c r="A1309">
        <v>201252</v>
      </c>
      <c r="B1309" t="s">
        <v>5274</v>
      </c>
      <c r="C1309" t="s">
        <v>5275</v>
      </c>
      <c r="D1309" t="s">
        <v>1279</v>
      </c>
      <c r="E1309">
        <v>-21</v>
      </c>
      <c r="F1309">
        <v>1500000</v>
      </c>
      <c r="G1309">
        <v>1250370.47</v>
      </c>
      <c r="H1309">
        <v>189568.23</v>
      </c>
      <c r="I1309" t="s">
        <v>4683</v>
      </c>
      <c r="J1309">
        <v>0</v>
      </c>
      <c r="K1309">
        <v>150000</v>
      </c>
      <c r="L1309">
        <v>15004.45</v>
      </c>
      <c r="M1309">
        <v>1516545.89</v>
      </c>
      <c r="N1309" s="711">
        <v>42969.395477627317</v>
      </c>
      <c r="O1309" s="711">
        <v>43273</v>
      </c>
      <c r="P1309" t="s">
        <v>5276</v>
      </c>
      <c r="Q1309" t="s">
        <v>1280</v>
      </c>
      <c r="R1309" t="s">
        <v>5277</v>
      </c>
      <c r="S1309" t="s">
        <v>1510</v>
      </c>
      <c r="T1309">
        <v>54</v>
      </c>
      <c r="U1309">
        <f>IF(Table__192.168.1.150_M_CONSOLIDATED_Delinquency_Compulsory_EOM[[#This Row],[Days in Arrears]] &lt; 8, Table__192.168.1.150_M_CONSOLIDATED_Delinquency_Compulsory_EOM[[#This Row],[Outstanding Balance]], 0 )</f>
        <v>1250370.47</v>
      </c>
      <c r="V13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09" s="105" t="str">
        <f>VLOOKUP(Table__192.168.1.150_M_CONSOLIDATED_Delinquency_Compulsory_EOM[[#This Row],[Client No]],'Global Portfolio'!$B$2:$N$2500,10,FALSE)</f>
        <v>Real Estate and Rental</v>
      </c>
      <c r="AA1309" s="105" t="str">
        <f>VLOOKUP(Table__192.168.1.150_M_CONSOLIDATED_Delinquency_Compulsory_EOM[[#This Row],[Client No]],'Global Portfolio'!$B$2:$N$2500,11,FALSE)</f>
        <v>Real Estate</v>
      </c>
      <c r="AB1309" s="105" t="str">
        <f>VLOOKUP(Table__192.168.1.150_M_CONSOLIDATED_Delinquency_Compulsory_EOM[[#This Row],[Client No]],'Global Portfolio'!$B$2:$N$2500,12,FALSE)</f>
        <v>Real Estate</v>
      </c>
    </row>
    <row r="1310" spans="1:28" x14ac:dyDescent="0.25">
      <c r="A1310">
        <v>201253</v>
      </c>
      <c r="B1310" t="s">
        <v>5257</v>
      </c>
      <c r="C1310" t="s">
        <v>5270</v>
      </c>
      <c r="D1310" t="s">
        <v>1286</v>
      </c>
      <c r="E1310">
        <v>-20</v>
      </c>
      <c r="F1310">
        <v>4000000</v>
      </c>
      <c r="G1310">
        <v>1360918.23</v>
      </c>
      <c r="H1310">
        <v>1389270.7</v>
      </c>
      <c r="I1310" t="s">
        <v>284</v>
      </c>
      <c r="J1310">
        <v>320931.78000000003</v>
      </c>
      <c r="K1310">
        <v>0</v>
      </c>
      <c r="L1310">
        <v>8505.74</v>
      </c>
      <c r="M1310">
        <v>1389270.69</v>
      </c>
      <c r="N1310" s="711">
        <v>42968.723197916668</v>
      </c>
      <c r="O1310" s="711">
        <v>43060</v>
      </c>
      <c r="P1310" t="s">
        <v>5271</v>
      </c>
      <c r="Q1310" t="s">
        <v>1280</v>
      </c>
      <c r="R1310" t="s">
        <v>1280</v>
      </c>
      <c r="S1310" t="s">
        <v>1510</v>
      </c>
      <c r="T1310">
        <v>25</v>
      </c>
      <c r="U1310">
        <f>IF(Table__192.168.1.150_M_CONSOLIDATED_Delinquency_Compulsory_EOM[[#This Row],[Days in Arrears]] &lt; 8, Table__192.168.1.150_M_CONSOLIDATED_Delinquency_Compulsory_EOM[[#This Row],[Outstanding Balance]], 0 )</f>
        <v>1360918.23</v>
      </c>
      <c r="V13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0" s="105" t="e">
        <f>VLOOKUP(Table__192.168.1.150_M_CONSOLIDATED_Delinquency_Compulsory_EOM[[#This Row],[Client No]],'Global Portfolio'!$B$2:$N$2500,10,FALSE)</f>
        <v>#N/A</v>
      </c>
      <c r="AA1310" s="105" t="e">
        <f>VLOOKUP(Table__192.168.1.150_M_CONSOLIDATED_Delinquency_Compulsory_EOM[[#This Row],[Client No]],'Global Portfolio'!$B$2:$N$2500,11,FALSE)</f>
        <v>#N/A</v>
      </c>
      <c r="AB1310" s="105" t="e">
        <f>VLOOKUP(Table__192.168.1.150_M_CONSOLIDATED_Delinquency_Compulsory_EOM[[#This Row],[Client No]],'Global Portfolio'!$B$2:$N$2500,12,FALSE)</f>
        <v>#N/A</v>
      </c>
    </row>
    <row r="1311" spans="1:28" x14ac:dyDescent="0.25">
      <c r="A1311">
        <v>201254</v>
      </c>
      <c r="B1311" t="s">
        <v>4158</v>
      </c>
      <c r="C1311" t="s">
        <v>4167</v>
      </c>
      <c r="D1311" t="s">
        <v>1866</v>
      </c>
      <c r="E1311">
        <v>-21</v>
      </c>
      <c r="F1311">
        <v>9000000</v>
      </c>
      <c r="G1311">
        <v>7756586.2800000003</v>
      </c>
      <c r="H1311">
        <v>940514.1</v>
      </c>
      <c r="I1311" t="s">
        <v>2557</v>
      </c>
      <c r="J1311">
        <v>68747.92</v>
      </c>
      <c r="K1311">
        <v>900000</v>
      </c>
      <c r="L1311">
        <v>75842.179999999993</v>
      </c>
      <c r="M1311">
        <v>9405141.0099999998</v>
      </c>
      <c r="N1311" s="711">
        <v>42969.544407141206</v>
      </c>
      <c r="O1311" s="711">
        <v>43334</v>
      </c>
      <c r="P1311" t="s">
        <v>4168</v>
      </c>
      <c r="Q1311" t="s">
        <v>1280</v>
      </c>
      <c r="R1311" t="s">
        <v>1280</v>
      </c>
      <c r="S1311" t="s">
        <v>1510</v>
      </c>
      <c r="T1311">
        <v>44</v>
      </c>
      <c r="U1311">
        <f>IF(Table__192.168.1.150_M_CONSOLIDATED_Delinquency_Compulsory_EOM[[#This Row],[Days in Arrears]] &lt; 8, Table__192.168.1.150_M_CONSOLIDATED_Delinquency_Compulsory_EOM[[#This Row],[Outstanding Balance]], 0 )</f>
        <v>7756586.2800000003</v>
      </c>
      <c r="V13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1" s="105" t="str">
        <f>VLOOKUP(Table__192.168.1.150_M_CONSOLIDATED_Delinquency_Compulsory_EOM[[#This Row],[Client No]],'Global Portfolio'!$B$2:$N$2500,10,FALSE)</f>
        <v>Retail</v>
      </c>
      <c r="AA1311" s="105" t="str">
        <f>VLOOKUP(Table__192.168.1.150_M_CONSOLIDATED_Delinquency_Compulsory_EOM[[#This Row],[Client No]],'Global Portfolio'!$B$2:$N$2500,11,FALSE)</f>
        <v>General Merchandise Stores</v>
      </c>
      <c r="AB1311" s="105" t="str">
        <f>VLOOKUP(Table__192.168.1.150_M_CONSOLIDATED_Delinquency_Compulsory_EOM[[#This Row],[Client No]],'Global Portfolio'!$B$2:$N$2500,12,FALSE)</f>
        <v>General Stores</v>
      </c>
    </row>
    <row r="1312" spans="1:28" x14ac:dyDescent="0.25">
      <c r="A1312">
        <v>201255</v>
      </c>
      <c r="B1312" t="s">
        <v>4094</v>
      </c>
      <c r="C1312" t="s">
        <v>4102</v>
      </c>
      <c r="D1312" t="s">
        <v>1281</v>
      </c>
      <c r="E1312">
        <v>-21</v>
      </c>
      <c r="F1312">
        <v>17000000</v>
      </c>
      <c r="G1312">
        <v>14630797.77</v>
      </c>
      <c r="H1312">
        <v>1759227.14</v>
      </c>
      <c r="I1312" t="s">
        <v>2557</v>
      </c>
      <c r="J1312">
        <v>106730.32</v>
      </c>
      <c r="K1312">
        <v>0</v>
      </c>
      <c r="L1312">
        <v>136554.10999999999</v>
      </c>
      <c r="M1312">
        <v>17592271.359999999</v>
      </c>
      <c r="N1312" s="711">
        <v>42969.638759259258</v>
      </c>
      <c r="O1312" s="711">
        <v>43334</v>
      </c>
      <c r="P1312" t="s">
        <v>4103</v>
      </c>
      <c r="Q1312" t="s">
        <v>1280</v>
      </c>
      <c r="R1312" t="s">
        <v>1280</v>
      </c>
      <c r="S1312" t="s">
        <v>1510</v>
      </c>
      <c r="T1312">
        <v>42</v>
      </c>
      <c r="U1312">
        <f>IF(Table__192.168.1.150_M_CONSOLIDATED_Delinquency_Compulsory_EOM[[#This Row],[Days in Arrears]] &lt; 8, Table__192.168.1.150_M_CONSOLIDATED_Delinquency_Compulsory_EOM[[#This Row],[Outstanding Balance]], 0 )</f>
        <v>14630797.77</v>
      </c>
      <c r="V13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2" s="105" t="str">
        <f>VLOOKUP(Table__192.168.1.150_M_CONSOLIDATED_Delinquency_Compulsory_EOM[[#This Row],[Client No]],'Global Portfolio'!$B$2:$N$2500,10,FALSE)</f>
        <v>Retail</v>
      </c>
      <c r="AA1312" s="105" t="str">
        <f>VLOOKUP(Table__192.168.1.150_M_CONSOLIDATED_Delinquency_Compulsory_EOM[[#This Row],[Client No]],'Global Portfolio'!$B$2:$N$2500,11,FALSE)</f>
        <v>General Merchandise Stores</v>
      </c>
      <c r="AB1312" s="105" t="str">
        <f>VLOOKUP(Table__192.168.1.150_M_CONSOLIDATED_Delinquency_Compulsory_EOM[[#This Row],[Client No]],'Global Portfolio'!$B$2:$N$2500,12,FALSE)</f>
        <v>General Stores</v>
      </c>
    </row>
    <row r="1313" spans="1:28" x14ac:dyDescent="0.25">
      <c r="A1313">
        <v>201256</v>
      </c>
      <c r="B1313" t="s">
        <v>5273</v>
      </c>
      <c r="C1313" t="s">
        <v>5278</v>
      </c>
      <c r="D1313" t="s">
        <v>1282</v>
      </c>
      <c r="E1313">
        <v>-21</v>
      </c>
      <c r="F1313">
        <v>3000000</v>
      </c>
      <c r="G1313">
        <v>2500740.92</v>
      </c>
      <c r="H1313">
        <v>379136.47</v>
      </c>
      <c r="I1313" t="s">
        <v>4686</v>
      </c>
      <c r="J1313">
        <v>56800</v>
      </c>
      <c r="K1313">
        <v>300000</v>
      </c>
      <c r="L1313">
        <v>30008.89</v>
      </c>
      <c r="M1313">
        <v>3033091.71</v>
      </c>
      <c r="N1313" s="711">
        <v>42969.602546678238</v>
      </c>
      <c r="O1313" s="711">
        <v>43273</v>
      </c>
      <c r="P1313" t="s">
        <v>5279</v>
      </c>
      <c r="Q1313" t="s">
        <v>1280</v>
      </c>
      <c r="R1313" t="s">
        <v>1280</v>
      </c>
      <c r="S1313" t="s">
        <v>1510</v>
      </c>
      <c r="T1313">
        <v>54</v>
      </c>
      <c r="U1313">
        <f>IF(Table__192.168.1.150_M_CONSOLIDATED_Delinquency_Compulsory_EOM[[#This Row],[Days in Arrears]] &lt; 8, Table__192.168.1.150_M_CONSOLIDATED_Delinquency_Compulsory_EOM[[#This Row],[Outstanding Balance]], 0 )</f>
        <v>2500740.92</v>
      </c>
      <c r="V13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3" s="105" t="str">
        <f>VLOOKUP(Table__192.168.1.150_M_CONSOLIDATED_Delinquency_Compulsory_EOM[[#This Row],[Client No]],'Global Portfolio'!$B$2:$N$2500,10,FALSE)</f>
        <v>Retail</v>
      </c>
      <c r="AA1313" s="105" t="str">
        <f>VLOOKUP(Table__192.168.1.150_M_CONSOLIDATED_Delinquency_Compulsory_EOM[[#This Row],[Client No]],'Global Portfolio'!$B$2:$N$2500,11,FALSE)</f>
        <v>General Merchandise Stores</v>
      </c>
      <c r="AB1313" s="105" t="str">
        <f>VLOOKUP(Table__192.168.1.150_M_CONSOLIDATED_Delinquency_Compulsory_EOM[[#This Row],[Client No]],'Global Portfolio'!$B$2:$N$2500,12,FALSE)</f>
        <v>General Stores</v>
      </c>
    </row>
    <row r="1314" spans="1:28" x14ac:dyDescent="0.25">
      <c r="A1314">
        <v>201257</v>
      </c>
      <c r="B1314" t="s">
        <v>3169</v>
      </c>
      <c r="C1314" t="s">
        <v>3173</v>
      </c>
      <c r="D1314" t="s">
        <v>1286</v>
      </c>
      <c r="E1314">
        <v>-20</v>
      </c>
      <c r="F1314">
        <v>1470000</v>
      </c>
      <c r="G1314">
        <v>999382.03</v>
      </c>
      <c r="H1314">
        <v>262992.44</v>
      </c>
      <c r="I1314" t="s">
        <v>284</v>
      </c>
      <c r="J1314">
        <v>0</v>
      </c>
      <c r="K1314">
        <v>0</v>
      </c>
      <c r="L1314">
        <v>6246.14</v>
      </c>
      <c r="M1314">
        <v>1051969.74</v>
      </c>
      <c r="N1314" s="711">
        <v>42969.632656018519</v>
      </c>
      <c r="O1314" s="711">
        <v>43152</v>
      </c>
      <c r="P1314" t="s">
        <v>3174</v>
      </c>
      <c r="Q1314" t="s">
        <v>1280</v>
      </c>
      <c r="R1314" t="s">
        <v>1280</v>
      </c>
      <c r="S1314" t="s">
        <v>1510</v>
      </c>
      <c r="T1314">
        <v>25</v>
      </c>
      <c r="U1314">
        <f>IF(Table__192.168.1.150_M_CONSOLIDATED_Delinquency_Compulsory_EOM[[#This Row],[Days in Arrears]] &lt; 8, Table__192.168.1.150_M_CONSOLIDATED_Delinquency_Compulsory_EOM[[#This Row],[Outstanding Balance]], 0 )</f>
        <v>999382.03</v>
      </c>
      <c r="V13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4" s="105" t="str">
        <f>VLOOKUP(Table__192.168.1.150_M_CONSOLIDATED_Delinquency_Compulsory_EOM[[#This Row],[Client No]],'Global Portfolio'!$B$2:$N$2500,10,FALSE)</f>
        <v>Other Services</v>
      </c>
      <c r="AA1314" s="105" t="str">
        <f>VLOOKUP(Table__192.168.1.150_M_CONSOLIDATED_Delinquency_Compulsory_EOM[[#This Row],[Client No]],'Global Portfolio'!$B$2:$N$2500,11,FALSE)</f>
        <v>Others</v>
      </c>
      <c r="AB1314" s="105" t="str">
        <f>VLOOKUP(Table__192.168.1.150_M_CONSOLIDATED_Delinquency_Compulsory_EOM[[#This Row],[Client No]],'Global Portfolio'!$B$2:$N$2500,12,FALSE)</f>
        <v>Others</v>
      </c>
    </row>
    <row r="1315" spans="1:28" x14ac:dyDescent="0.25">
      <c r="A1315">
        <v>201258</v>
      </c>
      <c r="B1315" t="s">
        <v>5272</v>
      </c>
      <c r="C1315" t="s">
        <v>5280</v>
      </c>
      <c r="D1315" t="s">
        <v>1279</v>
      </c>
      <c r="E1315">
        <v>-21</v>
      </c>
      <c r="F1315">
        <v>3500000</v>
      </c>
      <c r="G1315">
        <v>2736941.4</v>
      </c>
      <c r="H1315">
        <v>530633.79</v>
      </c>
      <c r="I1315" t="s">
        <v>4686</v>
      </c>
      <c r="J1315">
        <v>131449.4</v>
      </c>
      <c r="K1315">
        <v>0</v>
      </c>
      <c r="L1315">
        <v>171134.91</v>
      </c>
      <c r="M1315">
        <v>3183802.7</v>
      </c>
      <c r="N1315" s="711">
        <v>42969.730253240741</v>
      </c>
      <c r="O1315" s="711">
        <v>43212</v>
      </c>
      <c r="P1315" t="s">
        <v>5281</v>
      </c>
      <c r="Q1315" t="s">
        <v>1280</v>
      </c>
      <c r="R1315" t="s">
        <v>5282</v>
      </c>
      <c r="S1315" t="s">
        <v>1510</v>
      </c>
      <c r="T1315">
        <v>54</v>
      </c>
      <c r="U1315">
        <f>IF(Table__192.168.1.150_M_CONSOLIDATED_Delinquency_Compulsory_EOM[[#This Row],[Days in Arrears]] &lt; 8, Table__192.168.1.150_M_CONSOLIDATED_Delinquency_Compulsory_EOM[[#This Row],[Outstanding Balance]], 0 )</f>
        <v>2736941.4</v>
      </c>
      <c r="V13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5" s="105" t="str">
        <f>VLOOKUP(Table__192.168.1.150_M_CONSOLIDATED_Delinquency_Compulsory_EOM[[#This Row],[Client No]],'Global Portfolio'!$B$2:$N$2500,10,FALSE)</f>
        <v>Retail</v>
      </c>
      <c r="AA1315" s="105" t="str">
        <f>VLOOKUP(Table__192.168.1.150_M_CONSOLIDATED_Delinquency_Compulsory_EOM[[#This Row],[Client No]],'Global Portfolio'!$B$2:$N$2500,11,FALSE)</f>
        <v>General Merchandise Stores</v>
      </c>
      <c r="AB1315" s="105" t="str">
        <f>VLOOKUP(Table__192.168.1.150_M_CONSOLIDATED_Delinquency_Compulsory_EOM[[#This Row],[Client No]],'Global Portfolio'!$B$2:$N$2500,12,FALSE)</f>
        <v>General Stores</v>
      </c>
    </row>
    <row r="1316" spans="1:28" x14ac:dyDescent="0.25">
      <c r="A1316">
        <v>201259</v>
      </c>
      <c r="B1316" t="s">
        <v>4401</v>
      </c>
      <c r="C1316" t="s">
        <v>4410</v>
      </c>
      <c r="D1316" t="s">
        <v>1286</v>
      </c>
      <c r="E1316">
        <v>-20</v>
      </c>
      <c r="F1316">
        <v>3463900</v>
      </c>
      <c r="G1316">
        <v>2353335.2999999998</v>
      </c>
      <c r="H1316">
        <v>619292.09</v>
      </c>
      <c r="I1316" t="s">
        <v>284</v>
      </c>
      <c r="J1316">
        <v>0</v>
      </c>
      <c r="K1316">
        <v>0</v>
      </c>
      <c r="L1316">
        <v>14708.35</v>
      </c>
      <c r="M1316">
        <v>2477168.34</v>
      </c>
      <c r="N1316" s="711">
        <v>42970.614022453701</v>
      </c>
      <c r="O1316" s="711">
        <v>43152</v>
      </c>
      <c r="P1316" t="s">
        <v>4411</v>
      </c>
      <c r="Q1316" t="s">
        <v>1280</v>
      </c>
      <c r="R1316" t="s">
        <v>1280</v>
      </c>
      <c r="S1316" t="s">
        <v>1510</v>
      </c>
      <c r="T1316">
        <v>25</v>
      </c>
      <c r="U1316">
        <f>IF(Table__192.168.1.150_M_CONSOLIDATED_Delinquency_Compulsory_EOM[[#This Row],[Days in Arrears]] &lt; 8, Table__192.168.1.150_M_CONSOLIDATED_Delinquency_Compulsory_EOM[[#This Row],[Outstanding Balance]], 0 )</f>
        <v>2353335.2999999998</v>
      </c>
      <c r="V13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6" s="105" t="str">
        <f>VLOOKUP(Table__192.168.1.150_M_CONSOLIDATED_Delinquency_Compulsory_EOM[[#This Row],[Client No]],'Global Portfolio'!$B$2:$N$2500,10,FALSE)</f>
        <v>Other Services</v>
      </c>
      <c r="AA1316" s="105" t="str">
        <f>VLOOKUP(Table__192.168.1.150_M_CONSOLIDATED_Delinquency_Compulsory_EOM[[#This Row],[Client No]],'Global Portfolio'!$B$2:$N$2500,11,FALSE)</f>
        <v>Others</v>
      </c>
      <c r="AB1316" s="105" t="str">
        <f>VLOOKUP(Table__192.168.1.150_M_CONSOLIDATED_Delinquency_Compulsory_EOM[[#This Row],[Client No]],'Global Portfolio'!$B$2:$N$2500,12,FALSE)</f>
        <v>Others</v>
      </c>
    </row>
    <row r="1317" spans="1:28" x14ac:dyDescent="0.25">
      <c r="A1317">
        <v>201260</v>
      </c>
      <c r="B1317" t="s">
        <v>5284</v>
      </c>
      <c r="C1317" t="s">
        <v>5290</v>
      </c>
      <c r="D1317" t="s">
        <v>1867</v>
      </c>
      <c r="E1317">
        <v>-22</v>
      </c>
      <c r="F1317">
        <v>12000000</v>
      </c>
      <c r="G1317">
        <v>9343238.6799999997</v>
      </c>
      <c r="H1317">
        <v>1782333.98</v>
      </c>
      <c r="I1317" t="s">
        <v>491</v>
      </c>
      <c r="J1317">
        <v>229172.04</v>
      </c>
      <c r="K1317">
        <v>1200000</v>
      </c>
      <c r="L1317">
        <v>87203.56</v>
      </c>
      <c r="M1317">
        <v>10694003.93</v>
      </c>
      <c r="N1317" s="711">
        <v>42970.691239664353</v>
      </c>
      <c r="O1317" s="711">
        <v>43213</v>
      </c>
      <c r="P1317" t="s">
        <v>5291</v>
      </c>
      <c r="Q1317" t="s">
        <v>5292</v>
      </c>
      <c r="R1317" t="s">
        <v>1280</v>
      </c>
      <c r="S1317" t="s">
        <v>1510</v>
      </c>
      <c r="T1317">
        <v>48</v>
      </c>
      <c r="U1317">
        <f>IF(Table__192.168.1.150_M_CONSOLIDATED_Delinquency_Compulsory_EOM[[#This Row],[Days in Arrears]] &lt; 8, Table__192.168.1.150_M_CONSOLIDATED_Delinquency_Compulsory_EOM[[#This Row],[Outstanding Balance]], 0 )</f>
        <v>9343238.6799999997</v>
      </c>
      <c r="V13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7" s="105" t="str">
        <f>VLOOKUP(Table__192.168.1.150_M_CONSOLIDATED_Delinquency_Compulsory_EOM[[#This Row],[Client No]],'Global Portfolio'!$B$2:$N$2500,10,FALSE)</f>
        <v>Retail</v>
      </c>
      <c r="AA1317" s="105" t="str">
        <f>VLOOKUP(Table__192.168.1.150_M_CONSOLIDATED_Delinquency_Compulsory_EOM[[#This Row],[Client No]],'Global Portfolio'!$B$2:$N$2500,11,FALSE)</f>
        <v>General Merchandise Stores</v>
      </c>
      <c r="AB1317" s="105" t="str">
        <f>VLOOKUP(Table__192.168.1.150_M_CONSOLIDATED_Delinquency_Compulsory_EOM[[#This Row],[Client No]],'Global Portfolio'!$B$2:$N$2500,12,FALSE)</f>
        <v>General Stores</v>
      </c>
    </row>
    <row r="1318" spans="1:28" x14ac:dyDescent="0.25">
      <c r="A1318">
        <v>201261</v>
      </c>
      <c r="B1318" t="s">
        <v>5295</v>
      </c>
      <c r="C1318" t="s">
        <v>5299</v>
      </c>
      <c r="D1318" t="s">
        <v>1282</v>
      </c>
      <c r="E1318">
        <v>-23</v>
      </c>
      <c r="F1318">
        <v>2500000</v>
      </c>
      <c r="G1318">
        <v>1954958.15</v>
      </c>
      <c r="H1318">
        <v>379024.13</v>
      </c>
      <c r="I1318" t="s">
        <v>1447</v>
      </c>
      <c r="J1318">
        <v>29451.74</v>
      </c>
      <c r="K1318">
        <v>250000</v>
      </c>
      <c r="L1318">
        <v>17594.62</v>
      </c>
      <c r="M1318">
        <v>2274144.7999999998</v>
      </c>
      <c r="N1318" s="711">
        <v>42971.563569942133</v>
      </c>
      <c r="O1318" s="711">
        <v>43214</v>
      </c>
      <c r="P1318" t="s">
        <v>5300</v>
      </c>
      <c r="Q1318" t="s">
        <v>1280</v>
      </c>
      <c r="R1318" t="s">
        <v>1280</v>
      </c>
      <c r="S1318" t="s">
        <v>1510</v>
      </c>
      <c r="T1318">
        <v>54</v>
      </c>
      <c r="U1318">
        <f>IF(Table__192.168.1.150_M_CONSOLIDATED_Delinquency_Compulsory_EOM[[#This Row],[Days in Arrears]] &lt; 8, Table__192.168.1.150_M_CONSOLIDATED_Delinquency_Compulsory_EOM[[#This Row],[Outstanding Balance]], 0 )</f>
        <v>1954958.15</v>
      </c>
      <c r="V13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8" s="105" t="str">
        <f>VLOOKUP(Table__192.168.1.150_M_CONSOLIDATED_Delinquency_Compulsory_EOM[[#This Row],[Client No]],'Global Portfolio'!$B$2:$N$2500,10,FALSE)</f>
        <v>Real Estate and Rental</v>
      </c>
      <c r="AA1318" s="105" t="str">
        <f>VLOOKUP(Table__192.168.1.150_M_CONSOLIDATED_Delinquency_Compulsory_EOM[[#This Row],[Client No]],'Global Portfolio'!$B$2:$N$2500,11,FALSE)</f>
        <v>Rental</v>
      </c>
      <c r="AB1318" s="105" t="str">
        <f>VLOOKUP(Table__192.168.1.150_M_CONSOLIDATED_Delinquency_Compulsory_EOM[[#This Row],[Client No]],'Global Portfolio'!$B$2:$N$2500,12,FALSE)</f>
        <v>Others</v>
      </c>
    </row>
    <row r="1319" spans="1:28" x14ac:dyDescent="0.25">
      <c r="A1319">
        <v>201262</v>
      </c>
      <c r="B1319" t="s">
        <v>5294</v>
      </c>
      <c r="C1319" t="s">
        <v>5301</v>
      </c>
      <c r="D1319" t="s">
        <v>1282</v>
      </c>
      <c r="E1319">
        <v>-23</v>
      </c>
      <c r="F1319">
        <v>4000000</v>
      </c>
      <c r="G1319">
        <v>3334321.23</v>
      </c>
      <c r="H1319">
        <v>505515.29</v>
      </c>
      <c r="I1319" t="s">
        <v>5167</v>
      </c>
      <c r="J1319">
        <v>58741.919999999998</v>
      </c>
      <c r="K1319">
        <v>400000</v>
      </c>
      <c r="L1319">
        <v>30008.89</v>
      </c>
      <c r="M1319">
        <v>4044122.3</v>
      </c>
      <c r="N1319" s="711">
        <v>42971.655487349541</v>
      </c>
      <c r="O1319" s="711">
        <v>43275</v>
      </c>
      <c r="P1319" t="s">
        <v>5302</v>
      </c>
      <c r="Q1319" t="s">
        <v>5303</v>
      </c>
      <c r="R1319" t="s">
        <v>1280</v>
      </c>
      <c r="S1319" t="s">
        <v>1510</v>
      </c>
      <c r="T1319">
        <v>54</v>
      </c>
      <c r="U1319">
        <f>IF(Table__192.168.1.150_M_CONSOLIDATED_Delinquency_Compulsory_EOM[[#This Row],[Days in Arrears]] &lt; 8, Table__192.168.1.150_M_CONSOLIDATED_Delinquency_Compulsory_EOM[[#This Row],[Outstanding Balance]], 0 )</f>
        <v>3334321.23</v>
      </c>
      <c r="V13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19" s="105" t="str">
        <f>VLOOKUP(Table__192.168.1.150_M_CONSOLIDATED_Delinquency_Compulsory_EOM[[#This Row],[Client No]],'Global Portfolio'!$B$2:$N$2500,10,FALSE)</f>
        <v>Retail</v>
      </c>
      <c r="AA1319" s="105" t="str">
        <f>VLOOKUP(Table__192.168.1.150_M_CONSOLIDATED_Delinquency_Compulsory_EOM[[#This Row],[Client No]],'Global Portfolio'!$B$2:$N$2500,11,FALSE)</f>
        <v>General Merchandise Stores</v>
      </c>
      <c r="AB1319" s="105" t="str">
        <f>VLOOKUP(Table__192.168.1.150_M_CONSOLIDATED_Delinquency_Compulsory_EOM[[#This Row],[Client No]],'Global Portfolio'!$B$2:$N$2500,12,FALSE)</f>
        <v>General Stores</v>
      </c>
    </row>
    <row r="1320" spans="1:28" x14ac:dyDescent="0.25">
      <c r="A1320">
        <v>201263</v>
      </c>
      <c r="B1320" t="s">
        <v>5305</v>
      </c>
      <c r="C1320" t="s">
        <v>5317</v>
      </c>
      <c r="D1320" t="s">
        <v>1282</v>
      </c>
      <c r="E1320">
        <v>-24</v>
      </c>
      <c r="F1320">
        <v>6000000</v>
      </c>
      <c r="G1320">
        <v>5001481.8600000003</v>
      </c>
      <c r="H1320">
        <v>758272.93</v>
      </c>
      <c r="I1320" t="s">
        <v>4844</v>
      </c>
      <c r="J1320">
        <v>0</v>
      </c>
      <c r="K1320">
        <v>600000</v>
      </c>
      <c r="L1320">
        <v>37511.11</v>
      </c>
      <c r="M1320">
        <v>6066183.4400000004</v>
      </c>
      <c r="N1320" s="711">
        <v>42972.661190196763</v>
      </c>
      <c r="O1320" s="711">
        <v>43276</v>
      </c>
      <c r="P1320" t="s">
        <v>5318</v>
      </c>
      <c r="Q1320" t="s">
        <v>1280</v>
      </c>
      <c r="R1320" t="s">
        <v>1280</v>
      </c>
      <c r="S1320" t="s">
        <v>1510</v>
      </c>
      <c r="T1320">
        <v>54</v>
      </c>
      <c r="U1320">
        <f>IF(Table__192.168.1.150_M_CONSOLIDATED_Delinquency_Compulsory_EOM[[#This Row],[Days in Arrears]] &lt; 8, Table__192.168.1.150_M_CONSOLIDATED_Delinquency_Compulsory_EOM[[#This Row],[Outstanding Balance]], 0 )</f>
        <v>5001481.8600000003</v>
      </c>
      <c r="V13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0" s="105" t="str">
        <f>VLOOKUP(Table__192.168.1.150_M_CONSOLIDATED_Delinquency_Compulsory_EOM[[#This Row],[Client No]],'Global Portfolio'!$B$2:$N$2500,10,FALSE)</f>
        <v>Retail</v>
      </c>
      <c r="AA1320" s="105" t="str">
        <f>VLOOKUP(Table__192.168.1.150_M_CONSOLIDATED_Delinquency_Compulsory_EOM[[#This Row],[Client No]],'Global Portfolio'!$B$2:$N$2500,11,FALSE)</f>
        <v>General Merchandise Stores</v>
      </c>
      <c r="AB1320" s="105" t="str">
        <f>VLOOKUP(Table__192.168.1.150_M_CONSOLIDATED_Delinquency_Compulsory_EOM[[#This Row],[Client No]],'Global Portfolio'!$B$2:$N$2500,12,FALSE)</f>
        <v>General Stores</v>
      </c>
    </row>
    <row r="1321" spans="1:28" x14ac:dyDescent="0.25">
      <c r="A1321">
        <v>201265</v>
      </c>
      <c r="B1321" t="s">
        <v>4207</v>
      </c>
      <c r="C1321" t="s">
        <v>4226</v>
      </c>
      <c r="D1321" t="s">
        <v>1282</v>
      </c>
      <c r="E1321">
        <v>-24</v>
      </c>
      <c r="F1321">
        <v>10000000</v>
      </c>
      <c r="G1321">
        <v>8642335.6699999999</v>
      </c>
      <c r="H1321">
        <v>1065521.73</v>
      </c>
      <c r="I1321" t="s">
        <v>2034</v>
      </c>
      <c r="J1321">
        <v>2997847.35</v>
      </c>
      <c r="K1321">
        <v>1000000</v>
      </c>
      <c r="L1321">
        <v>57615.57</v>
      </c>
      <c r="M1321">
        <v>10655217.26</v>
      </c>
      <c r="N1321" s="711">
        <v>42972.503821840277</v>
      </c>
      <c r="O1321" s="711">
        <v>43337</v>
      </c>
      <c r="P1321" t="s">
        <v>4227</v>
      </c>
      <c r="Q1321" t="s">
        <v>1280</v>
      </c>
      <c r="R1321" t="s">
        <v>4228</v>
      </c>
      <c r="S1321" t="s">
        <v>1510</v>
      </c>
      <c r="T1321">
        <v>48</v>
      </c>
      <c r="U1321">
        <f>IF(Table__192.168.1.150_M_CONSOLIDATED_Delinquency_Compulsory_EOM[[#This Row],[Days in Arrears]] &lt; 8, Table__192.168.1.150_M_CONSOLIDATED_Delinquency_Compulsory_EOM[[#This Row],[Outstanding Balance]], 0 )</f>
        <v>8642335.6699999999</v>
      </c>
      <c r="V13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1" s="105" t="str">
        <f>VLOOKUP(Table__192.168.1.150_M_CONSOLIDATED_Delinquency_Compulsory_EOM[[#This Row],[Client No]],'Global Portfolio'!$B$2:$N$2500,10,FALSE)</f>
        <v>Agriculture, Forestry, Fishing and Hunting</v>
      </c>
      <c r="AA1321" s="105" t="str">
        <f>VLOOKUP(Table__192.168.1.150_M_CONSOLIDATED_Delinquency_Compulsory_EOM[[#This Row],[Client No]],'Global Portfolio'!$B$2:$N$2500,11,FALSE)</f>
        <v>Crop Production</v>
      </c>
      <c r="AB1321" s="105" t="str">
        <f>VLOOKUP(Table__192.168.1.150_M_CONSOLIDATED_Delinquency_Compulsory_EOM[[#This Row],[Client No]],'Global Portfolio'!$B$2:$N$2500,12,FALSE)</f>
        <v>Others</v>
      </c>
    </row>
    <row r="1322" spans="1:28" x14ac:dyDescent="0.25">
      <c r="A1322">
        <v>201266</v>
      </c>
      <c r="B1322" t="s">
        <v>2748</v>
      </c>
      <c r="C1322" t="s">
        <v>2752</v>
      </c>
      <c r="D1322" t="s">
        <v>1286</v>
      </c>
      <c r="E1322">
        <v>-20</v>
      </c>
      <c r="F1322">
        <v>4000000</v>
      </c>
      <c r="G1322">
        <v>2712002.12</v>
      </c>
      <c r="H1322">
        <v>713677.07</v>
      </c>
      <c r="I1322" t="s">
        <v>284</v>
      </c>
      <c r="J1322">
        <v>20689.330000000002</v>
      </c>
      <c r="K1322">
        <v>0</v>
      </c>
      <c r="L1322">
        <v>16950.009999999998</v>
      </c>
      <c r="M1322">
        <v>2854708.3</v>
      </c>
      <c r="N1322" s="711">
        <v>42973.361905127313</v>
      </c>
      <c r="O1322" s="711">
        <v>43152</v>
      </c>
      <c r="P1322" t="s">
        <v>2753</v>
      </c>
      <c r="Q1322" t="s">
        <v>1280</v>
      </c>
      <c r="R1322" t="s">
        <v>1280</v>
      </c>
      <c r="S1322" t="s">
        <v>1510</v>
      </c>
      <c r="T1322">
        <v>25</v>
      </c>
      <c r="U1322">
        <f>IF(Table__192.168.1.150_M_CONSOLIDATED_Delinquency_Compulsory_EOM[[#This Row],[Days in Arrears]] &lt; 8, Table__192.168.1.150_M_CONSOLIDATED_Delinquency_Compulsory_EOM[[#This Row],[Outstanding Balance]], 0 )</f>
        <v>2712002.12</v>
      </c>
      <c r="V13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2" s="105" t="str">
        <f>VLOOKUP(Table__192.168.1.150_M_CONSOLIDATED_Delinquency_Compulsory_EOM[[#This Row],[Client No]],'Global Portfolio'!$B$2:$N$2500,10,FALSE)</f>
        <v>Other Services</v>
      </c>
      <c r="AA1322" s="105" t="str">
        <f>VLOOKUP(Table__192.168.1.150_M_CONSOLIDATED_Delinquency_Compulsory_EOM[[#This Row],[Client No]],'Global Portfolio'!$B$2:$N$2500,11,FALSE)</f>
        <v>Personal Services</v>
      </c>
      <c r="AB1322" s="105" t="str">
        <f>VLOOKUP(Table__192.168.1.150_M_CONSOLIDATED_Delinquency_Compulsory_EOM[[#This Row],[Client No]],'Global Portfolio'!$B$2:$N$2500,12,FALSE)</f>
        <v>Others</v>
      </c>
    </row>
    <row r="1323" spans="1:28" x14ac:dyDescent="0.25">
      <c r="A1323">
        <v>201267</v>
      </c>
      <c r="B1323" t="s">
        <v>5321</v>
      </c>
      <c r="C1323" t="s">
        <v>5322</v>
      </c>
      <c r="D1323" t="s">
        <v>1284</v>
      </c>
      <c r="E1323">
        <v>0</v>
      </c>
      <c r="F1323">
        <v>10000000</v>
      </c>
      <c r="G1323">
        <v>9358664.8399999999</v>
      </c>
      <c r="H1323">
        <v>1030224.05</v>
      </c>
      <c r="I1323" t="s">
        <v>2538</v>
      </c>
      <c r="J1323">
        <v>0</v>
      </c>
      <c r="K1323">
        <v>500000</v>
      </c>
      <c r="L1323">
        <v>301556.98</v>
      </c>
      <c r="M1323">
        <v>11332464.52</v>
      </c>
      <c r="N1323" s="711">
        <v>42973.472984178239</v>
      </c>
      <c r="O1323" s="711">
        <v>43344</v>
      </c>
      <c r="P1323" t="s">
        <v>5323</v>
      </c>
      <c r="Q1323" t="s">
        <v>1280</v>
      </c>
      <c r="R1323" t="s">
        <v>1280</v>
      </c>
      <c r="S1323" t="s">
        <v>1510</v>
      </c>
      <c r="T1323">
        <v>40</v>
      </c>
      <c r="U1323">
        <f>IF(Table__192.168.1.150_M_CONSOLIDATED_Delinquency_Compulsory_EOM[[#This Row],[Days in Arrears]] &lt; 8, Table__192.168.1.150_M_CONSOLIDATED_Delinquency_Compulsory_EOM[[#This Row],[Outstanding Balance]], 0 )</f>
        <v>9358664.8399999999</v>
      </c>
      <c r="V13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3" s="105" t="str">
        <f>VLOOKUP(Table__192.168.1.150_M_CONSOLIDATED_Delinquency_Compulsory_EOM[[#This Row],[Client No]],'Global Portfolio'!$B$2:$N$2500,10,FALSE)</f>
        <v>Real Estate and Rental</v>
      </c>
      <c r="AA1323" s="105" t="str">
        <f>VLOOKUP(Table__192.168.1.150_M_CONSOLIDATED_Delinquency_Compulsory_EOM[[#This Row],[Client No]],'Global Portfolio'!$B$2:$N$2500,11,FALSE)</f>
        <v>Rental</v>
      </c>
      <c r="AB1323" s="105" t="str">
        <f>VLOOKUP(Table__192.168.1.150_M_CONSOLIDATED_Delinquency_Compulsory_EOM[[#This Row],[Client No]],'Global Portfolio'!$B$2:$N$2500,12,FALSE)</f>
        <v>Others</v>
      </c>
    </row>
    <row r="1324" spans="1:28" x14ac:dyDescent="0.25">
      <c r="A1324">
        <v>201268</v>
      </c>
      <c r="B1324" t="s">
        <v>5320</v>
      </c>
      <c r="C1324" t="s">
        <v>5324</v>
      </c>
      <c r="D1324" t="s">
        <v>1281</v>
      </c>
      <c r="E1324">
        <v>0</v>
      </c>
      <c r="F1324">
        <v>25000000</v>
      </c>
      <c r="G1324">
        <v>24179174.280000001</v>
      </c>
      <c r="H1324">
        <v>1987492.39</v>
      </c>
      <c r="I1324" t="s">
        <v>1909</v>
      </c>
      <c r="J1324">
        <v>101.14</v>
      </c>
      <c r="K1324">
        <v>1875000</v>
      </c>
      <c r="L1324">
        <v>934928.07</v>
      </c>
      <c r="M1324">
        <v>33787370.659999996</v>
      </c>
      <c r="N1324" s="711">
        <v>42973.504926585651</v>
      </c>
      <c r="O1324" s="711">
        <v>43525</v>
      </c>
      <c r="P1324" t="s">
        <v>5325</v>
      </c>
      <c r="Q1324" t="s">
        <v>5326</v>
      </c>
      <c r="R1324" t="s">
        <v>1280</v>
      </c>
      <c r="S1324" t="s">
        <v>1510</v>
      </c>
      <c r="T1324">
        <v>48</v>
      </c>
      <c r="U1324">
        <f>IF(Table__192.168.1.150_M_CONSOLIDATED_Delinquency_Compulsory_EOM[[#This Row],[Days in Arrears]] &lt; 8, Table__192.168.1.150_M_CONSOLIDATED_Delinquency_Compulsory_EOM[[#This Row],[Outstanding Balance]], 0 )</f>
        <v>24179174.280000001</v>
      </c>
      <c r="V13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4" s="105" t="str">
        <f>VLOOKUP(Table__192.168.1.150_M_CONSOLIDATED_Delinquency_Compulsory_EOM[[#This Row],[Client No]],'Global Portfolio'!$B$2:$N$2500,10,FALSE)</f>
        <v>Retail</v>
      </c>
      <c r="AA1324" s="105" t="str">
        <f>VLOOKUP(Table__192.168.1.150_M_CONSOLIDATED_Delinquency_Compulsory_EOM[[#This Row],[Client No]],'Global Portfolio'!$B$2:$N$2500,11,FALSE)</f>
        <v>General Merchandise Stores</v>
      </c>
      <c r="AB1324" s="105" t="str">
        <f>VLOOKUP(Table__192.168.1.150_M_CONSOLIDATED_Delinquency_Compulsory_EOM[[#This Row],[Client No]],'Global Portfolio'!$B$2:$N$2500,12,FALSE)</f>
        <v>General Stores</v>
      </c>
    </row>
    <row r="1325" spans="1:28" x14ac:dyDescent="0.25">
      <c r="A1325">
        <v>201269</v>
      </c>
      <c r="B1325" t="s">
        <v>5319</v>
      </c>
      <c r="C1325" t="s">
        <v>5327</v>
      </c>
      <c r="D1325" t="s">
        <v>1282</v>
      </c>
      <c r="E1325">
        <v>0</v>
      </c>
      <c r="F1325">
        <v>15000000</v>
      </c>
      <c r="G1325">
        <v>14130701</v>
      </c>
      <c r="H1325">
        <v>1656799</v>
      </c>
      <c r="I1325" t="s">
        <v>2538</v>
      </c>
      <c r="J1325">
        <v>523917</v>
      </c>
      <c r="K1325">
        <v>1500000</v>
      </c>
      <c r="L1325">
        <v>614685.49</v>
      </c>
      <c r="M1325">
        <v>18224788.98</v>
      </c>
      <c r="N1325" s="711">
        <v>42973.525386608795</v>
      </c>
      <c r="O1325" s="711">
        <v>43344</v>
      </c>
      <c r="P1325" t="s">
        <v>5328</v>
      </c>
      <c r="Q1325" t="s">
        <v>1280</v>
      </c>
      <c r="R1325" t="s">
        <v>1280</v>
      </c>
      <c r="S1325" t="s">
        <v>1510</v>
      </c>
      <c r="T1325">
        <v>54</v>
      </c>
      <c r="U1325">
        <f>IF(Table__192.168.1.150_M_CONSOLIDATED_Delinquency_Compulsory_EOM[[#This Row],[Days in Arrears]] &lt; 8, Table__192.168.1.150_M_CONSOLIDATED_Delinquency_Compulsory_EOM[[#This Row],[Outstanding Balance]], 0 )</f>
        <v>14130701</v>
      </c>
      <c r="V13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5" s="105" t="str">
        <f>VLOOKUP(Table__192.168.1.150_M_CONSOLIDATED_Delinquency_Compulsory_EOM[[#This Row],[Client No]],'Global Portfolio'!$B$2:$N$2500,10,FALSE)</f>
        <v>Retail</v>
      </c>
      <c r="AA1325" s="105" t="str">
        <f>VLOOKUP(Table__192.168.1.150_M_CONSOLIDATED_Delinquency_Compulsory_EOM[[#This Row],[Client No]],'Global Portfolio'!$B$2:$N$2500,11,FALSE)</f>
        <v>Building Material and Garden Equipment</v>
      </c>
      <c r="AB1325" s="105" t="str">
        <f>VLOOKUP(Table__192.168.1.150_M_CONSOLIDATED_Delinquency_Compulsory_EOM[[#This Row],[Client No]],'Global Portfolio'!$B$2:$N$2500,12,FALSE)</f>
        <v>Hardware Stores</v>
      </c>
    </row>
    <row r="1326" spans="1:28" x14ac:dyDescent="0.25">
      <c r="A1326">
        <v>201270</v>
      </c>
      <c r="B1326" t="s">
        <v>5334</v>
      </c>
      <c r="C1326" t="s">
        <v>5347</v>
      </c>
      <c r="D1326" t="s">
        <v>1284</v>
      </c>
      <c r="E1326">
        <v>0</v>
      </c>
      <c r="F1326">
        <v>18000000</v>
      </c>
      <c r="G1326">
        <v>16809563.350000001</v>
      </c>
      <c r="H1326">
        <v>1850436.65</v>
      </c>
      <c r="I1326" t="s">
        <v>5335</v>
      </c>
      <c r="J1326">
        <v>0</v>
      </c>
      <c r="K1326">
        <v>900000</v>
      </c>
      <c r="L1326">
        <v>541641.49</v>
      </c>
      <c r="M1326">
        <v>20354803.16</v>
      </c>
      <c r="N1326" s="711">
        <v>42975.484989317127</v>
      </c>
      <c r="O1326" s="711">
        <v>43344</v>
      </c>
      <c r="P1326" t="s">
        <v>5348</v>
      </c>
      <c r="Q1326" t="s">
        <v>1280</v>
      </c>
      <c r="R1326" t="s">
        <v>1280</v>
      </c>
      <c r="S1326" t="s">
        <v>1510</v>
      </c>
      <c r="T1326">
        <v>40</v>
      </c>
      <c r="U1326">
        <f>IF(Table__192.168.1.150_M_CONSOLIDATED_Delinquency_Compulsory_EOM[[#This Row],[Days in Arrears]] &lt; 8, Table__192.168.1.150_M_CONSOLIDATED_Delinquency_Compulsory_EOM[[#This Row],[Outstanding Balance]], 0 )</f>
        <v>16809563.350000001</v>
      </c>
      <c r="V13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6" s="105" t="str">
        <f>VLOOKUP(Table__192.168.1.150_M_CONSOLIDATED_Delinquency_Compulsory_EOM[[#This Row],[Client No]],'Global Portfolio'!$B$2:$N$2500,10,FALSE)</f>
        <v>Real Estate and Rental</v>
      </c>
      <c r="AA1326" s="105" t="str">
        <f>VLOOKUP(Table__192.168.1.150_M_CONSOLIDATED_Delinquency_Compulsory_EOM[[#This Row],[Client No]],'Global Portfolio'!$B$2:$N$2500,11,FALSE)</f>
        <v>Rental</v>
      </c>
      <c r="AB1326" s="105" t="str">
        <f>VLOOKUP(Table__192.168.1.150_M_CONSOLIDATED_Delinquency_Compulsory_EOM[[#This Row],[Client No]],'Global Portfolio'!$B$2:$N$2500,12,FALSE)</f>
        <v>Others</v>
      </c>
    </row>
    <row r="1327" spans="1:28" x14ac:dyDescent="0.25">
      <c r="A1327">
        <v>201271</v>
      </c>
      <c r="B1327" t="s">
        <v>4777</v>
      </c>
      <c r="C1327" t="s">
        <v>4787</v>
      </c>
      <c r="D1327" t="s">
        <v>1866</v>
      </c>
      <c r="E1327">
        <v>0</v>
      </c>
      <c r="F1327">
        <v>7000000</v>
      </c>
      <c r="G1327">
        <v>6351849.1299999999</v>
      </c>
      <c r="H1327">
        <v>930484.2</v>
      </c>
      <c r="I1327" t="s">
        <v>90</v>
      </c>
      <c r="J1327">
        <v>56800</v>
      </c>
      <c r="K1327">
        <v>700000</v>
      </c>
      <c r="L1327">
        <v>225137.76</v>
      </c>
      <c r="M1327">
        <v>7443873.5800000001</v>
      </c>
      <c r="N1327" s="711">
        <v>42975.711182557869</v>
      </c>
      <c r="O1327" s="711">
        <v>43252</v>
      </c>
      <c r="P1327" t="s">
        <v>4788</v>
      </c>
      <c r="Q1327" t="s">
        <v>1280</v>
      </c>
      <c r="R1327" t="s">
        <v>1280</v>
      </c>
      <c r="S1327" t="s">
        <v>1510</v>
      </c>
      <c r="T1327">
        <v>44</v>
      </c>
      <c r="U1327">
        <f>IF(Table__192.168.1.150_M_CONSOLIDATED_Delinquency_Compulsory_EOM[[#This Row],[Days in Arrears]] &lt; 8, Table__192.168.1.150_M_CONSOLIDATED_Delinquency_Compulsory_EOM[[#This Row],[Outstanding Balance]], 0 )</f>
        <v>6351849.1299999999</v>
      </c>
      <c r="V13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7" s="105" t="str">
        <f>VLOOKUP(Table__192.168.1.150_M_CONSOLIDATED_Delinquency_Compulsory_EOM[[#This Row],[Client No]],'Global Portfolio'!$B$2:$N$2500,10,FALSE)</f>
        <v>Retail</v>
      </c>
      <c r="AA1327" s="105" t="str">
        <f>VLOOKUP(Table__192.168.1.150_M_CONSOLIDATED_Delinquency_Compulsory_EOM[[#This Row],[Client No]],'Global Portfolio'!$B$2:$N$2500,11,FALSE)</f>
        <v>General Merchandise Stores</v>
      </c>
      <c r="AB1327" s="105" t="str">
        <f>VLOOKUP(Table__192.168.1.150_M_CONSOLIDATED_Delinquency_Compulsory_EOM[[#This Row],[Client No]],'Global Portfolio'!$B$2:$N$2500,12,FALSE)</f>
        <v>General Stores</v>
      </c>
    </row>
    <row r="1328" spans="1:28" x14ac:dyDescent="0.25">
      <c r="A1328">
        <v>201272</v>
      </c>
      <c r="B1328" t="s">
        <v>5329</v>
      </c>
      <c r="C1328" t="s">
        <v>5349</v>
      </c>
      <c r="D1328" t="s">
        <v>1279</v>
      </c>
      <c r="E1328">
        <v>0</v>
      </c>
      <c r="F1328">
        <v>4000000</v>
      </c>
      <c r="G1328">
        <v>3690307.85</v>
      </c>
      <c r="H1328">
        <v>507692.15</v>
      </c>
      <c r="I1328" t="s">
        <v>2855</v>
      </c>
      <c r="J1328">
        <v>566800</v>
      </c>
      <c r="K1328">
        <v>400000</v>
      </c>
      <c r="L1328">
        <v>160528.39000000001</v>
      </c>
      <c r="M1328">
        <v>4569229.3099999996</v>
      </c>
      <c r="N1328" s="711">
        <v>42975.699042048611</v>
      </c>
      <c r="O1328" s="711">
        <v>43282</v>
      </c>
      <c r="P1328" t="s">
        <v>5350</v>
      </c>
      <c r="Q1328" t="s">
        <v>1280</v>
      </c>
      <c r="R1328" t="s">
        <v>1280</v>
      </c>
      <c r="S1328" t="s">
        <v>1510</v>
      </c>
      <c r="T1328">
        <v>54</v>
      </c>
      <c r="U1328">
        <f>IF(Table__192.168.1.150_M_CONSOLIDATED_Delinquency_Compulsory_EOM[[#This Row],[Days in Arrears]] &lt; 8, Table__192.168.1.150_M_CONSOLIDATED_Delinquency_Compulsory_EOM[[#This Row],[Outstanding Balance]], 0 )</f>
        <v>3690307.85</v>
      </c>
      <c r="V13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8" s="105" t="str">
        <f>VLOOKUP(Table__192.168.1.150_M_CONSOLIDATED_Delinquency_Compulsory_EOM[[#This Row],[Client No]],'Global Portfolio'!$B$2:$N$2500,10,FALSE)</f>
        <v>Retail</v>
      </c>
      <c r="AA1328" s="105" t="str">
        <f>VLOOKUP(Table__192.168.1.150_M_CONSOLIDATED_Delinquency_Compulsory_EOM[[#This Row],[Client No]],'Global Portfolio'!$B$2:$N$2500,11,FALSE)</f>
        <v>Food and Beverage Stores</v>
      </c>
      <c r="AB1328" s="105" t="str">
        <f>VLOOKUP(Table__192.168.1.150_M_CONSOLIDATED_Delinquency_Compulsory_EOM[[#This Row],[Client No]],'Global Portfolio'!$B$2:$N$2500,12,FALSE)</f>
        <v>Fruit &amp; Vegetable Markets</v>
      </c>
    </row>
    <row r="1329" spans="1:28" x14ac:dyDescent="0.25">
      <c r="A1329">
        <v>201273</v>
      </c>
      <c r="B1329" t="s">
        <v>4281</v>
      </c>
      <c r="C1329" t="s">
        <v>4295</v>
      </c>
      <c r="D1329" t="s">
        <v>1281</v>
      </c>
      <c r="E1329">
        <v>-27</v>
      </c>
      <c r="F1329">
        <v>25000000</v>
      </c>
      <c r="G1329">
        <v>21515879.079999998</v>
      </c>
      <c r="H1329">
        <v>2587098.73</v>
      </c>
      <c r="I1329" t="s">
        <v>1467</v>
      </c>
      <c r="J1329">
        <v>69701.27</v>
      </c>
      <c r="K1329">
        <v>1875000</v>
      </c>
      <c r="L1329">
        <v>865280.26</v>
      </c>
      <c r="M1329">
        <v>25870987.309999999</v>
      </c>
      <c r="N1329" s="711">
        <v>42975.677240046294</v>
      </c>
      <c r="O1329" s="711">
        <v>43340</v>
      </c>
      <c r="P1329" t="s">
        <v>4296</v>
      </c>
      <c r="Q1329" t="s">
        <v>1280</v>
      </c>
      <c r="R1329" t="s">
        <v>4297</v>
      </c>
      <c r="S1329" t="s">
        <v>1510</v>
      </c>
      <c r="T1329">
        <v>42</v>
      </c>
      <c r="U1329">
        <f>IF(Table__192.168.1.150_M_CONSOLIDATED_Delinquency_Compulsory_EOM[[#This Row],[Days in Arrears]] &lt; 8, Table__192.168.1.150_M_CONSOLIDATED_Delinquency_Compulsory_EOM[[#This Row],[Outstanding Balance]], 0 )</f>
        <v>21515879.079999998</v>
      </c>
      <c r="V13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29" s="105" t="str">
        <f>VLOOKUP(Table__192.168.1.150_M_CONSOLIDATED_Delinquency_Compulsory_EOM[[#This Row],[Client No]],'Global Portfolio'!$B$2:$N$2500,10,FALSE)</f>
        <v>Real Estate and Rental</v>
      </c>
      <c r="AA1329" s="105" t="str">
        <f>VLOOKUP(Table__192.168.1.150_M_CONSOLIDATED_Delinquency_Compulsory_EOM[[#This Row],[Client No]],'Global Portfolio'!$B$2:$N$2500,11,FALSE)</f>
        <v>Rental</v>
      </c>
      <c r="AB1329" s="105" t="str">
        <f>VLOOKUP(Table__192.168.1.150_M_CONSOLIDATED_Delinquency_Compulsory_EOM[[#This Row],[Client No]],'Global Portfolio'!$B$2:$N$2500,12,FALSE)</f>
        <v>Others</v>
      </c>
    </row>
    <row r="1330" spans="1:28" x14ac:dyDescent="0.25">
      <c r="A1330">
        <v>201274</v>
      </c>
      <c r="B1330" t="s">
        <v>5152</v>
      </c>
      <c r="C1330" t="s">
        <v>5155</v>
      </c>
      <c r="D1330" t="s">
        <v>1285</v>
      </c>
      <c r="E1330">
        <v>-20</v>
      </c>
      <c r="F1330">
        <v>11000000</v>
      </c>
      <c r="G1330">
        <v>10212169.189999999</v>
      </c>
      <c r="H1330">
        <v>568262.49</v>
      </c>
      <c r="I1330" t="s">
        <v>284</v>
      </c>
      <c r="J1330">
        <v>454731.58</v>
      </c>
      <c r="K1330">
        <v>0</v>
      </c>
      <c r="L1330">
        <v>56166.93</v>
      </c>
      <c r="M1330">
        <v>12501774.92</v>
      </c>
      <c r="N1330" s="711">
        <v>42975.734928206017</v>
      </c>
      <c r="O1330" s="711">
        <v>43698</v>
      </c>
      <c r="P1330" t="s">
        <v>5156</v>
      </c>
      <c r="Q1330" t="s">
        <v>1280</v>
      </c>
      <c r="R1330" t="s">
        <v>5157</v>
      </c>
      <c r="S1330" t="s">
        <v>1510</v>
      </c>
      <c r="T1330">
        <v>22</v>
      </c>
      <c r="U1330">
        <f>IF(Table__192.168.1.150_M_CONSOLIDATED_Delinquency_Compulsory_EOM[[#This Row],[Days in Arrears]] &lt; 8, Table__192.168.1.150_M_CONSOLIDATED_Delinquency_Compulsory_EOM[[#This Row],[Outstanding Balance]], 0 )</f>
        <v>10212169.189999999</v>
      </c>
      <c r="V13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0" s="105" t="str">
        <f>VLOOKUP(Table__192.168.1.150_M_CONSOLIDATED_Delinquency_Compulsory_EOM[[#This Row],[Client No]],'Global Portfolio'!$B$2:$N$2500,10,FALSE)</f>
        <v>Retail</v>
      </c>
      <c r="AA1330" s="105" t="str">
        <f>VLOOKUP(Table__192.168.1.150_M_CONSOLIDATED_Delinquency_Compulsory_EOM[[#This Row],[Client No]],'Global Portfolio'!$B$2:$N$2500,11,FALSE)</f>
        <v>General Merchandise Stores</v>
      </c>
      <c r="AB1330" s="105" t="str">
        <f>VLOOKUP(Table__192.168.1.150_M_CONSOLIDATED_Delinquency_Compulsory_EOM[[#This Row],[Client No]],'Global Portfolio'!$B$2:$N$2500,12,FALSE)</f>
        <v>General Stores</v>
      </c>
    </row>
    <row r="1331" spans="1:28" x14ac:dyDescent="0.25">
      <c r="A1331">
        <v>201275</v>
      </c>
      <c r="B1331" t="s">
        <v>5355</v>
      </c>
      <c r="C1331" t="s">
        <v>5361</v>
      </c>
      <c r="D1331" t="s">
        <v>1282</v>
      </c>
      <c r="E1331">
        <v>0</v>
      </c>
      <c r="F1331">
        <v>3500000</v>
      </c>
      <c r="G1331">
        <v>3224404.29</v>
      </c>
      <c r="H1331">
        <v>443595.71</v>
      </c>
      <c r="I1331" t="s">
        <v>4919</v>
      </c>
      <c r="J1331">
        <v>505704.29</v>
      </c>
      <c r="K1331">
        <v>350000</v>
      </c>
      <c r="L1331">
        <v>140261.59</v>
      </c>
      <c r="M1331">
        <v>3992361.4</v>
      </c>
      <c r="N1331" s="711">
        <v>42976.713202511572</v>
      </c>
      <c r="O1331" s="711">
        <v>43282</v>
      </c>
      <c r="P1331" t="s">
        <v>5362</v>
      </c>
      <c r="Q1331" t="s">
        <v>1280</v>
      </c>
      <c r="R1331" t="s">
        <v>5363</v>
      </c>
      <c r="S1331" t="s">
        <v>1510</v>
      </c>
      <c r="T1331">
        <v>54</v>
      </c>
      <c r="U1331">
        <f>IF(Table__192.168.1.150_M_CONSOLIDATED_Delinquency_Compulsory_EOM[[#This Row],[Days in Arrears]] &lt; 8, Table__192.168.1.150_M_CONSOLIDATED_Delinquency_Compulsory_EOM[[#This Row],[Outstanding Balance]], 0 )</f>
        <v>3224404.29</v>
      </c>
      <c r="V13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1" s="105" t="str">
        <f>VLOOKUP(Table__192.168.1.150_M_CONSOLIDATED_Delinquency_Compulsory_EOM[[#This Row],[Client No]],'Global Portfolio'!$B$2:$N$2500,10,FALSE)</f>
        <v>Transportation and Warehousing</v>
      </c>
      <c r="AA1331" s="105" t="str">
        <f>VLOOKUP(Table__192.168.1.150_M_CONSOLIDATED_Delinquency_Compulsory_EOM[[#This Row],[Client No]],'Global Portfolio'!$B$2:$N$2500,11,FALSE)</f>
        <v xml:space="preserve"> Passenger Transportation</v>
      </c>
      <c r="AB1331" s="105" t="str">
        <f>VLOOKUP(Table__192.168.1.150_M_CONSOLIDATED_Delinquency_Compulsory_EOM[[#This Row],[Client No]],'Global Portfolio'!$B$2:$N$2500,12,FALSE)</f>
        <v>Taxi service</v>
      </c>
    </row>
    <row r="1332" spans="1:28" x14ac:dyDescent="0.25">
      <c r="A1332">
        <v>201276</v>
      </c>
      <c r="B1332" t="s">
        <v>5354</v>
      </c>
      <c r="C1332" t="s">
        <v>5364</v>
      </c>
      <c r="D1332" t="s">
        <v>1282</v>
      </c>
      <c r="E1332">
        <v>0</v>
      </c>
      <c r="F1332">
        <v>3000000</v>
      </c>
      <c r="G1332">
        <v>2763775.1</v>
      </c>
      <c r="H1332">
        <v>380224.9</v>
      </c>
      <c r="I1332" t="s">
        <v>4686</v>
      </c>
      <c r="J1332">
        <v>59575.1</v>
      </c>
      <c r="K1332">
        <v>300000</v>
      </c>
      <c r="L1332">
        <v>120224.22</v>
      </c>
      <c r="M1332">
        <v>3422024.04</v>
      </c>
      <c r="N1332" s="711">
        <v>42976.704078506948</v>
      </c>
      <c r="O1332" s="711">
        <v>43282</v>
      </c>
      <c r="P1332" t="s">
        <v>5365</v>
      </c>
      <c r="Q1332" t="s">
        <v>1280</v>
      </c>
      <c r="R1332" t="s">
        <v>5366</v>
      </c>
      <c r="S1332" t="s">
        <v>1510</v>
      </c>
      <c r="T1332">
        <v>54</v>
      </c>
      <c r="U1332">
        <f>IF(Table__192.168.1.150_M_CONSOLIDATED_Delinquency_Compulsory_EOM[[#This Row],[Days in Arrears]] &lt; 8, Table__192.168.1.150_M_CONSOLIDATED_Delinquency_Compulsory_EOM[[#This Row],[Outstanding Balance]], 0 )</f>
        <v>2763775.1</v>
      </c>
      <c r="V13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2" s="105" t="str">
        <f>VLOOKUP(Table__192.168.1.150_M_CONSOLIDATED_Delinquency_Compulsory_EOM[[#This Row],[Client No]],'Global Portfolio'!$B$2:$N$2500,10,FALSE)</f>
        <v>Retail</v>
      </c>
      <c r="AA1332" s="105" t="str">
        <f>VLOOKUP(Table__192.168.1.150_M_CONSOLIDATED_Delinquency_Compulsory_EOM[[#This Row],[Client No]],'Global Portfolio'!$B$2:$N$2500,11,FALSE)</f>
        <v>General Merchandise Stores</v>
      </c>
      <c r="AB1332" s="105" t="str">
        <f>VLOOKUP(Table__192.168.1.150_M_CONSOLIDATED_Delinquency_Compulsory_EOM[[#This Row],[Client No]],'Global Portfolio'!$B$2:$N$2500,12,FALSE)</f>
        <v>Others</v>
      </c>
    </row>
    <row r="1333" spans="1:28" x14ac:dyDescent="0.25">
      <c r="A1333">
        <v>201277</v>
      </c>
      <c r="B1333" t="s">
        <v>2747</v>
      </c>
      <c r="C1333" t="s">
        <v>2754</v>
      </c>
      <c r="D1333" t="s">
        <v>1281</v>
      </c>
      <c r="E1333">
        <v>0</v>
      </c>
      <c r="F1333">
        <v>20000000</v>
      </c>
      <c r="G1333">
        <v>19006250.460000001</v>
      </c>
      <c r="H1333">
        <v>1740416.21</v>
      </c>
      <c r="I1333" t="s">
        <v>2557</v>
      </c>
      <c r="J1333">
        <v>50342.38</v>
      </c>
      <c r="K1333">
        <v>0</v>
      </c>
      <c r="L1333">
        <v>643044.81000000006</v>
      </c>
      <c r="M1333">
        <v>24365826.870000001</v>
      </c>
      <c r="N1333" s="711">
        <v>42976.705124189815</v>
      </c>
      <c r="O1333" s="711">
        <v>43435</v>
      </c>
      <c r="P1333" t="s">
        <v>2755</v>
      </c>
      <c r="Q1333" t="s">
        <v>1280</v>
      </c>
      <c r="R1333" t="s">
        <v>1280</v>
      </c>
      <c r="S1333" t="s">
        <v>1510</v>
      </c>
      <c r="T1333">
        <v>42</v>
      </c>
      <c r="U1333">
        <f>IF(Table__192.168.1.150_M_CONSOLIDATED_Delinquency_Compulsory_EOM[[#This Row],[Days in Arrears]] &lt; 8, Table__192.168.1.150_M_CONSOLIDATED_Delinquency_Compulsory_EOM[[#This Row],[Outstanding Balance]], 0 )</f>
        <v>19006250.460000001</v>
      </c>
      <c r="V13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3" s="105" t="str">
        <f>VLOOKUP(Table__192.168.1.150_M_CONSOLIDATED_Delinquency_Compulsory_EOM[[#This Row],[Client No]],'Global Portfolio'!$B$2:$N$2500,10,FALSE)</f>
        <v>Retail</v>
      </c>
      <c r="AA1333" s="105" t="str">
        <f>VLOOKUP(Table__192.168.1.150_M_CONSOLIDATED_Delinquency_Compulsory_EOM[[#This Row],[Client No]],'Global Portfolio'!$B$2:$N$2500,11,FALSE)</f>
        <v>General Merchandise Stores</v>
      </c>
      <c r="AB1333" s="105" t="str">
        <f>VLOOKUP(Table__192.168.1.150_M_CONSOLIDATED_Delinquency_Compulsory_EOM[[#This Row],[Client No]],'Global Portfolio'!$B$2:$N$2500,12,FALSE)</f>
        <v>General Stores</v>
      </c>
    </row>
    <row r="1334" spans="1:28" x14ac:dyDescent="0.25">
      <c r="A1334">
        <v>201278</v>
      </c>
      <c r="B1334" t="s">
        <v>2872</v>
      </c>
      <c r="C1334" t="s">
        <v>2873</v>
      </c>
      <c r="D1334" t="s">
        <v>1284</v>
      </c>
      <c r="E1334">
        <v>0</v>
      </c>
      <c r="F1334">
        <v>15000000</v>
      </c>
      <c r="G1334">
        <v>14207281.390000001</v>
      </c>
      <c r="H1334">
        <v>1257718.6100000001</v>
      </c>
      <c r="I1334" t="s">
        <v>2557</v>
      </c>
      <c r="J1334">
        <v>57081.39</v>
      </c>
      <c r="K1334">
        <v>750000</v>
      </c>
      <c r="L1334">
        <v>412011.16</v>
      </c>
      <c r="M1334">
        <v>17608060.5</v>
      </c>
      <c r="N1334" s="711">
        <v>42977.507034722221</v>
      </c>
      <c r="O1334" s="711">
        <v>43435</v>
      </c>
      <c r="P1334" t="s">
        <v>2874</v>
      </c>
      <c r="Q1334" t="s">
        <v>1280</v>
      </c>
      <c r="R1334" t="s">
        <v>1280</v>
      </c>
      <c r="S1334" t="s">
        <v>1510</v>
      </c>
      <c r="T1334">
        <v>36</v>
      </c>
      <c r="U1334">
        <f>IF(Table__192.168.1.150_M_CONSOLIDATED_Delinquency_Compulsory_EOM[[#This Row],[Days in Arrears]] &lt; 8, Table__192.168.1.150_M_CONSOLIDATED_Delinquency_Compulsory_EOM[[#This Row],[Outstanding Balance]], 0 )</f>
        <v>14207281.390000001</v>
      </c>
      <c r="V13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4" s="105" t="str">
        <f>VLOOKUP(Table__192.168.1.150_M_CONSOLIDATED_Delinquency_Compulsory_EOM[[#This Row],[Client No]],'Global Portfolio'!$B$2:$N$2500,10,FALSE)</f>
        <v>Retail</v>
      </c>
      <c r="AA1334" s="105" t="str">
        <f>VLOOKUP(Table__192.168.1.150_M_CONSOLIDATED_Delinquency_Compulsory_EOM[[#This Row],[Client No]],'Global Portfolio'!$B$2:$N$2500,11,FALSE)</f>
        <v>General Merchandise Stores</v>
      </c>
      <c r="AB1334" s="105" t="str">
        <f>VLOOKUP(Table__192.168.1.150_M_CONSOLIDATED_Delinquency_Compulsory_EOM[[#This Row],[Client No]],'Global Portfolio'!$B$2:$N$2500,12,FALSE)</f>
        <v>General Stores</v>
      </c>
    </row>
    <row r="1335" spans="1:28" x14ac:dyDescent="0.25">
      <c r="A1335">
        <v>201279</v>
      </c>
      <c r="B1335" t="s">
        <v>3147</v>
      </c>
      <c r="C1335" t="s">
        <v>3148</v>
      </c>
      <c r="D1335" t="s">
        <v>1284</v>
      </c>
      <c r="E1335">
        <v>0</v>
      </c>
      <c r="F1335">
        <v>25000000</v>
      </c>
      <c r="G1335">
        <v>23261009.460000001</v>
      </c>
      <c r="H1335">
        <v>2513990.54</v>
      </c>
      <c r="I1335" t="s">
        <v>491</v>
      </c>
      <c r="J1335">
        <v>0</v>
      </c>
      <c r="K1335">
        <v>1250000</v>
      </c>
      <c r="L1335">
        <v>674569.27</v>
      </c>
      <c r="M1335">
        <v>27653895.890000001</v>
      </c>
      <c r="N1335" s="711">
        <v>42978.501097372682</v>
      </c>
      <c r="O1335" s="711">
        <v>43344</v>
      </c>
      <c r="P1335" t="s">
        <v>3149</v>
      </c>
      <c r="Q1335" t="s">
        <v>1280</v>
      </c>
      <c r="R1335" t="s">
        <v>3150</v>
      </c>
      <c r="S1335" t="s">
        <v>1510</v>
      </c>
      <c r="T1335">
        <v>36</v>
      </c>
      <c r="U1335">
        <f>IF(Table__192.168.1.150_M_CONSOLIDATED_Delinquency_Compulsory_EOM[[#This Row],[Days in Arrears]] &lt; 8, Table__192.168.1.150_M_CONSOLIDATED_Delinquency_Compulsory_EOM[[#This Row],[Outstanding Balance]], 0 )</f>
        <v>23261009.460000001</v>
      </c>
      <c r="V13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5" s="105" t="str">
        <f>VLOOKUP(Table__192.168.1.150_M_CONSOLIDATED_Delinquency_Compulsory_EOM[[#This Row],[Client No]],'Global Portfolio'!$B$2:$N$2500,10,FALSE)</f>
        <v>Real Estate and Rental</v>
      </c>
      <c r="AA1335" s="105" t="str">
        <f>VLOOKUP(Table__192.168.1.150_M_CONSOLIDATED_Delinquency_Compulsory_EOM[[#This Row],[Client No]],'Global Portfolio'!$B$2:$N$2500,11,FALSE)</f>
        <v>Real Estate</v>
      </c>
      <c r="AB1335" s="105" t="str">
        <f>VLOOKUP(Table__192.168.1.150_M_CONSOLIDATED_Delinquency_Compulsory_EOM[[#This Row],[Client No]],'Global Portfolio'!$B$2:$N$2500,12,FALSE)</f>
        <v>Real Estate</v>
      </c>
    </row>
    <row r="1336" spans="1:28" x14ac:dyDescent="0.25">
      <c r="A1336">
        <v>201280</v>
      </c>
      <c r="B1336" t="s">
        <v>3347</v>
      </c>
      <c r="C1336" t="s">
        <v>3364</v>
      </c>
      <c r="D1336" t="s">
        <v>1867</v>
      </c>
      <c r="E1336">
        <v>0</v>
      </c>
      <c r="F1336">
        <v>12000000</v>
      </c>
      <c r="G1336">
        <v>11190792.83</v>
      </c>
      <c r="H1336">
        <v>1243207.17</v>
      </c>
      <c r="I1336" t="s">
        <v>4684</v>
      </c>
      <c r="J1336">
        <v>132355.35999999999</v>
      </c>
      <c r="K1336">
        <v>1200000</v>
      </c>
      <c r="L1336">
        <v>378621.82</v>
      </c>
      <c r="M1336">
        <v>13675278.93</v>
      </c>
      <c r="N1336" s="711">
        <v>42978.713211226852</v>
      </c>
      <c r="O1336" s="711">
        <v>43344</v>
      </c>
      <c r="P1336" t="s">
        <v>3365</v>
      </c>
      <c r="Q1336" t="s">
        <v>1280</v>
      </c>
      <c r="R1336" t="s">
        <v>1280</v>
      </c>
      <c r="S1336" t="s">
        <v>1510</v>
      </c>
      <c r="T1336">
        <v>42</v>
      </c>
      <c r="U1336">
        <f>IF(Table__192.168.1.150_M_CONSOLIDATED_Delinquency_Compulsory_EOM[[#This Row],[Days in Arrears]] &lt; 8, Table__192.168.1.150_M_CONSOLIDATED_Delinquency_Compulsory_EOM[[#This Row],[Outstanding Balance]], 0 )</f>
        <v>11190792.83</v>
      </c>
      <c r="V13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6" s="105" t="str">
        <f>VLOOKUP(Table__192.168.1.150_M_CONSOLIDATED_Delinquency_Compulsory_EOM[[#This Row],[Client No]],'Global Portfolio'!$B$2:$N$2500,10,FALSE)</f>
        <v>Retail</v>
      </c>
      <c r="AA1336" s="105" t="str">
        <f>VLOOKUP(Table__192.168.1.150_M_CONSOLIDATED_Delinquency_Compulsory_EOM[[#This Row],[Client No]],'Global Portfolio'!$B$2:$N$2500,11,FALSE)</f>
        <v>General Merchandise Stores</v>
      </c>
      <c r="AB1336" s="105" t="str">
        <f>VLOOKUP(Table__192.168.1.150_M_CONSOLIDATED_Delinquency_Compulsory_EOM[[#This Row],[Client No]],'Global Portfolio'!$B$2:$N$2500,12,FALSE)</f>
        <v>General Stores</v>
      </c>
    </row>
    <row r="1337" spans="1:28" x14ac:dyDescent="0.25">
      <c r="A1337">
        <v>201281</v>
      </c>
      <c r="B1337" t="s">
        <v>3225</v>
      </c>
      <c r="C1337" t="s">
        <v>3245</v>
      </c>
      <c r="D1337" t="s">
        <v>1282</v>
      </c>
      <c r="E1337">
        <v>0</v>
      </c>
      <c r="F1337">
        <v>9000000</v>
      </c>
      <c r="G1337">
        <v>8411801</v>
      </c>
      <c r="H1337">
        <v>960199</v>
      </c>
      <c r="I1337" t="s">
        <v>2557</v>
      </c>
      <c r="J1337">
        <v>851791.05</v>
      </c>
      <c r="K1337">
        <v>900000</v>
      </c>
      <c r="L1337">
        <v>325256.31</v>
      </c>
      <c r="M1337">
        <v>10562189.039999999</v>
      </c>
      <c r="N1337" s="711">
        <v>42978.639178622689</v>
      </c>
      <c r="O1337" s="711">
        <v>43344</v>
      </c>
      <c r="P1337" t="s">
        <v>3246</v>
      </c>
      <c r="Q1337" t="s">
        <v>1280</v>
      </c>
      <c r="R1337" t="s">
        <v>1280</v>
      </c>
      <c r="S1337" t="s">
        <v>1510</v>
      </c>
      <c r="T1337">
        <v>48</v>
      </c>
      <c r="U1337">
        <f>IF(Table__192.168.1.150_M_CONSOLIDATED_Delinquency_Compulsory_EOM[[#This Row],[Days in Arrears]] &lt; 8, Table__192.168.1.150_M_CONSOLIDATED_Delinquency_Compulsory_EOM[[#This Row],[Outstanding Balance]], 0 )</f>
        <v>8411801</v>
      </c>
      <c r="V13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7" s="105" t="str">
        <f>VLOOKUP(Table__192.168.1.150_M_CONSOLIDATED_Delinquency_Compulsory_EOM[[#This Row],[Client No]],'Global Portfolio'!$B$2:$N$2500,10,FALSE)</f>
        <v>Retail</v>
      </c>
      <c r="AA1337" s="105" t="str">
        <f>VLOOKUP(Table__192.168.1.150_M_CONSOLIDATED_Delinquency_Compulsory_EOM[[#This Row],[Client No]],'Global Portfolio'!$B$2:$N$2500,11,FALSE)</f>
        <v>General Merchandise Stores</v>
      </c>
      <c r="AB1337" s="105" t="str">
        <f>VLOOKUP(Table__192.168.1.150_M_CONSOLIDATED_Delinquency_Compulsory_EOM[[#This Row],[Client No]],'Global Portfolio'!$B$2:$N$2500,12,FALSE)</f>
        <v>General Stores</v>
      </c>
    </row>
    <row r="1338" spans="1:28" x14ac:dyDescent="0.25">
      <c r="A1338">
        <v>201282</v>
      </c>
      <c r="B1338" t="s">
        <v>4474</v>
      </c>
      <c r="C1338" t="s">
        <v>4482</v>
      </c>
      <c r="D1338" t="s">
        <v>1282</v>
      </c>
      <c r="E1338">
        <v>-3</v>
      </c>
      <c r="F1338">
        <v>4000000</v>
      </c>
      <c r="G1338">
        <v>3666836.22</v>
      </c>
      <c r="H1338">
        <v>493163.78</v>
      </c>
      <c r="I1338" t="s">
        <v>2538</v>
      </c>
      <c r="J1338">
        <v>0</v>
      </c>
      <c r="K1338">
        <v>400000</v>
      </c>
      <c r="L1338">
        <v>127116.99</v>
      </c>
      <c r="M1338">
        <v>4438473.99</v>
      </c>
      <c r="N1338" s="711">
        <v>42982.557688460649</v>
      </c>
      <c r="O1338" s="711">
        <v>43285</v>
      </c>
      <c r="P1338" t="s">
        <v>4483</v>
      </c>
      <c r="Q1338" t="s">
        <v>1280</v>
      </c>
      <c r="R1338" t="s">
        <v>4484</v>
      </c>
      <c r="S1338" t="s">
        <v>1510</v>
      </c>
      <c r="T1338">
        <v>48</v>
      </c>
      <c r="U1338">
        <f>IF(Table__192.168.1.150_M_CONSOLIDATED_Delinquency_Compulsory_EOM[[#This Row],[Days in Arrears]] &lt; 8, Table__192.168.1.150_M_CONSOLIDATED_Delinquency_Compulsory_EOM[[#This Row],[Outstanding Balance]], 0 )</f>
        <v>3666836.22</v>
      </c>
      <c r="V13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8" s="105" t="str">
        <f>VLOOKUP(Table__192.168.1.150_M_CONSOLIDATED_Delinquency_Compulsory_EOM[[#This Row],[Client No]],'Global Portfolio'!$B$2:$N$2500,10,FALSE)</f>
        <v>Retail</v>
      </c>
      <c r="AA1338" s="105" t="str">
        <f>VLOOKUP(Table__192.168.1.150_M_CONSOLIDATED_Delinquency_Compulsory_EOM[[#This Row],[Client No]],'Global Portfolio'!$B$2:$N$2500,11,FALSE)</f>
        <v>General Merchandise Stores</v>
      </c>
      <c r="AB1338" s="105" t="str">
        <f>VLOOKUP(Table__192.168.1.150_M_CONSOLIDATED_Delinquency_Compulsory_EOM[[#This Row],[Client No]],'Global Portfolio'!$B$2:$N$2500,12,FALSE)</f>
        <v>Others</v>
      </c>
    </row>
    <row r="1339" spans="1:28" x14ac:dyDescent="0.25">
      <c r="A1339">
        <v>201283</v>
      </c>
      <c r="B1339" t="s">
        <v>3702</v>
      </c>
      <c r="C1339" t="s">
        <v>3719</v>
      </c>
      <c r="D1339" t="s">
        <v>1279</v>
      </c>
      <c r="E1339">
        <v>-4</v>
      </c>
      <c r="F1339">
        <v>5000000</v>
      </c>
      <c r="G1339">
        <v>4667239.1399999997</v>
      </c>
      <c r="H1339">
        <v>532760.86</v>
      </c>
      <c r="I1339" t="s">
        <v>4684</v>
      </c>
      <c r="J1339">
        <v>233767.26</v>
      </c>
      <c r="K1339">
        <v>500000</v>
      </c>
      <c r="L1339">
        <v>155574.64000000001</v>
      </c>
      <c r="M1339">
        <v>5860369.5199999996</v>
      </c>
      <c r="N1339" s="711">
        <v>42983.470955324075</v>
      </c>
      <c r="O1339" s="711">
        <v>43348</v>
      </c>
      <c r="P1339" t="s">
        <v>3720</v>
      </c>
      <c r="Q1339" t="s">
        <v>1280</v>
      </c>
      <c r="R1339" t="s">
        <v>3721</v>
      </c>
      <c r="S1339" t="s">
        <v>1510</v>
      </c>
      <c r="T1339">
        <v>48</v>
      </c>
      <c r="U1339">
        <f>IF(Table__192.168.1.150_M_CONSOLIDATED_Delinquency_Compulsory_EOM[[#This Row],[Days in Arrears]] &lt; 8, Table__192.168.1.150_M_CONSOLIDATED_Delinquency_Compulsory_EOM[[#This Row],[Outstanding Balance]], 0 )</f>
        <v>4667239.1399999997</v>
      </c>
      <c r="V13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39" s="105" t="str">
        <f>VLOOKUP(Table__192.168.1.150_M_CONSOLIDATED_Delinquency_Compulsory_EOM[[#This Row],[Client No]],'Global Portfolio'!$B$2:$N$2500,10,FALSE)</f>
        <v>Retail</v>
      </c>
      <c r="AA1339" s="105" t="str">
        <f>VLOOKUP(Table__192.168.1.150_M_CONSOLIDATED_Delinquency_Compulsory_EOM[[#This Row],[Client No]],'Global Portfolio'!$B$2:$N$2500,11,FALSE)</f>
        <v>General Merchandise Stores</v>
      </c>
      <c r="AB1339" s="105" t="str">
        <f>VLOOKUP(Table__192.168.1.150_M_CONSOLIDATED_Delinquency_Compulsory_EOM[[#This Row],[Client No]],'Global Portfolio'!$B$2:$N$2500,12,FALSE)</f>
        <v>General Stores</v>
      </c>
    </row>
    <row r="1340" spans="1:28" x14ac:dyDescent="0.25">
      <c r="A1340">
        <v>201284</v>
      </c>
      <c r="B1340" t="s">
        <v>5389</v>
      </c>
      <c r="C1340" t="s">
        <v>5395</v>
      </c>
      <c r="D1340" t="s">
        <v>1279</v>
      </c>
      <c r="E1340">
        <v>-3</v>
      </c>
      <c r="F1340">
        <v>1000000</v>
      </c>
      <c r="G1340">
        <v>893390.35</v>
      </c>
      <c r="H1340">
        <v>151609.65</v>
      </c>
      <c r="I1340" t="s">
        <v>2538</v>
      </c>
      <c r="J1340">
        <v>0</v>
      </c>
      <c r="K1340">
        <v>100000</v>
      </c>
      <c r="L1340">
        <v>34842.22</v>
      </c>
      <c r="M1340">
        <v>1061267.5900000001</v>
      </c>
      <c r="N1340" s="711">
        <v>42982.631709027781</v>
      </c>
      <c r="O1340" s="711">
        <v>43224</v>
      </c>
      <c r="P1340" t="s">
        <v>5396</v>
      </c>
      <c r="Q1340" t="s">
        <v>1280</v>
      </c>
      <c r="R1340" t="s">
        <v>1280</v>
      </c>
      <c r="S1340" t="s">
        <v>1510</v>
      </c>
      <c r="T1340">
        <v>54</v>
      </c>
      <c r="U1340">
        <f>IF(Table__192.168.1.150_M_CONSOLIDATED_Delinquency_Compulsory_EOM[[#This Row],[Days in Arrears]] &lt; 8, Table__192.168.1.150_M_CONSOLIDATED_Delinquency_Compulsory_EOM[[#This Row],[Outstanding Balance]], 0 )</f>
        <v>893390.35</v>
      </c>
      <c r="V13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0" s="105" t="str">
        <f>VLOOKUP(Table__192.168.1.150_M_CONSOLIDATED_Delinquency_Compulsory_EOM[[#This Row],[Client No]],'Global Portfolio'!$B$2:$N$2500,10,FALSE)</f>
        <v>Manufacturing</v>
      </c>
      <c r="AA1340" s="105" t="str">
        <f>VLOOKUP(Table__192.168.1.150_M_CONSOLIDATED_Delinquency_Compulsory_EOM[[#This Row],[Client No]],'Global Portfolio'!$B$2:$N$2500,11,FALSE)</f>
        <v>Leather and Allied Product Manufacturing</v>
      </c>
      <c r="AB1340" s="105" t="str">
        <f>VLOOKUP(Table__192.168.1.150_M_CONSOLIDATED_Delinquency_Compulsory_EOM[[#This Row],[Client No]],'Global Portfolio'!$B$2:$N$2500,12,FALSE)</f>
        <v>Footwear</v>
      </c>
    </row>
    <row r="1341" spans="1:28" x14ac:dyDescent="0.25">
      <c r="A1341">
        <v>201285</v>
      </c>
      <c r="B1341" t="s">
        <v>5401</v>
      </c>
      <c r="C1341" t="s">
        <v>5405</v>
      </c>
      <c r="D1341" t="s">
        <v>1279</v>
      </c>
      <c r="E1341">
        <v>-5</v>
      </c>
      <c r="F1341">
        <v>1000000</v>
      </c>
      <c r="G1341">
        <v>893390.35</v>
      </c>
      <c r="H1341">
        <v>151609.65</v>
      </c>
      <c r="I1341" t="s">
        <v>1447</v>
      </c>
      <c r="J1341">
        <v>0</v>
      </c>
      <c r="K1341">
        <v>100000</v>
      </c>
      <c r="L1341">
        <v>32162.05</v>
      </c>
      <c r="M1341">
        <v>1061267.5900000001</v>
      </c>
      <c r="N1341" s="711">
        <v>42984.537024421297</v>
      </c>
      <c r="O1341" s="711">
        <v>43226</v>
      </c>
      <c r="P1341" t="s">
        <v>5406</v>
      </c>
      <c r="Q1341" t="s">
        <v>1280</v>
      </c>
      <c r="R1341" t="s">
        <v>5407</v>
      </c>
      <c r="S1341" t="s">
        <v>1510</v>
      </c>
      <c r="T1341">
        <v>54</v>
      </c>
      <c r="U1341">
        <f>IF(Table__192.168.1.150_M_CONSOLIDATED_Delinquency_Compulsory_EOM[[#This Row],[Days in Arrears]] &lt; 8, Table__192.168.1.150_M_CONSOLIDATED_Delinquency_Compulsory_EOM[[#This Row],[Outstanding Balance]], 0 )</f>
        <v>893390.35</v>
      </c>
      <c r="V13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1" s="105" t="str">
        <f>VLOOKUP(Table__192.168.1.150_M_CONSOLIDATED_Delinquency_Compulsory_EOM[[#This Row],[Client No]],'Global Portfolio'!$B$2:$N$2500,10,FALSE)</f>
        <v>Retail</v>
      </c>
      <c r="AA1341" s="105" t="str">
        <f>VLOOKUP(Table__192.168.1.150_M_CONSOLIDATED_Delinquency_Compulsory_EOM[[#This Row],[Client No]],'Global Portfolio'!$B$2:$N$2500,11,FALSE)</f>
        <v>General Merchandise Stores</v>
      </c>
      <c r="AB1341" s="105" t="str">
        <f>VLOOKUP(Table__192.168.1.150_M_CONSOLIDATED_Delinquency_Compulsory_EOM[[#This Row],[Client No]],'Global Portfolio'!$B$2:$N$2500,12,FALSE)</f>
        <v>General Stores</v>
      </c>
    </row>
    <row r="1342" spans="1:28" x14ac:dyDescent="0.25">
      <c r="A1342">
        <v>201286</v>
      </c>
      <c r="B1342" t="s">
        <v>5408</v>
      </c>
      <c r="C1342" t="s">
        <v>5411</v>
      </c>
      <c r="D1342" t="s">
        <v>1282</v>
      </c>
      <c r="E1342">
        <v>-6</v>
      </c>
      <c r="F1342">
        <v>3000000</v>
      </c>
      <c r="G1342">
        <v>2680171.04</v>
      </c>
      <c r="H1342">
        <v>454828.96</v>
      </c>
      <c r="I1342" t="s">
        <v>2855</v>
      </c>
      <c r="J1342">
        <v>68971.039999999994</v>
      </c>
      <c r="K1342">
        <v>300000</v>
      </c>
      <c r="L1342">
        <v>92465.9</v>
      </c>
      <c r="M1342">
        <v>3183802.74</v>
      </c>
      <c r="N1342" s="711">
        <v>42985.593266550924</v>
      </c>
      <c r="O1342" s="711">
        <v>43227</v>
      </c>
      <c r="P1342" t="s">
        <v>5412</v>
      </c>
      <c r="Q1342" t="s">
        <v>5413</v>
      </c>
      <c r="R1342" t="s">
        <v>1280</v>
      </c>
      <c r="S1342" t="s">
        <v>1510</v>
      </c>
      <c r="T1342">
        <v>54</v>
      </c>
      <c r="U1342">
        <f>IF(Table__192.168.1.150_M_CONSOLIDATED_Delinquency_Compulsory_EOM[[#This Row],[Days in Arrears]] &lt; 8, Table__192.168.1.150_M_CONSOLIDATED_Delinquency_Compulsory_EOM[[#This Row],[Outstanding Balance]], 0 )</f>
        <v>2680171.04</v>
      </c>
      <c r="V13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2" s="105" t="str">
        <f>VLOOKUP(Table__192.168.1.150_M_CONSOLIDATED_Delinquency_Compulsory_EOM[[#This Row],[Client No]],'Global Portfolio'!$B$2:$N$2500,10,FALSE)</f>
        <v>Manufacturing</v>
      </c>
      <c r="AA1342" s="105" t="str">
        <f>VLOOKUP(Table__192.168.1.150_M_CONSOLIDATED_Delinquency_Compulsory_EOM[[#This Row],[Client No]],'Global Portfolio'!$B$2:$N$2500,11,FALSE)</f>
        <v>Wood Product Manufacturing</v>
      </c>
      <c r="AB1342" s="105" t="str">
        <f>VLOOKUP(Table__192.168.1.150_M_CONSOLIDATED_Delinquency_Compulsory_EOM[[#This Row],[Client No]],'Global Portfolio'!$B$2:$N$2500,12,FALSE)</f>
        <v>Sawmills &amp; Wood Preservation</v>
      </c>
    </row>
    <row r="1343" spans="1:28" x14ac:dyDescent="0.25">
      <c r="A1343">
        <v>201288</v>
      </c>
      <c r="B1343" t="s">
        <v>5409</v>
      </c>
      <c r="C1343" t="s">
        <v>5414</v>
      </c>
      <c r="D1343" t="s">
        <v>1281</v>
      </c>
      <c r="E1343">
        <v>-6</v>
      </c>
      <c r="F1343">
        <v>20000000</v>
      </c>
      <c r="G1343">
        <v>19001177.989999998</v>
      </c>
      <c r="H1343">
        <v>1798822.01</v>
      </c>
      <c r="I1343" t="s">
        <v>90</v>
      </c>
      <c r="J1343">
        <v>182709.71</v>
      </c>
      <c r="K1343">
        <v>0</v>
      </c>
      <c r="L1343">
        <v>582702.79</v>
      </c>
      <c r="M1343">
        <v>25183508.059999999</v>
      </c>
      <c r="N1343" s="711">
        <v>42985.602457442132</v>
      </c>
      <c r="O1343" s="711">
        <v>43441</v>
      </c>
      <c r="P1343" t="s">
        <v>5415</v>
      </c>
      <c r="Q1343" t="s">
        <v>5416</v>
      </c>
      <c r="R1343" t="s">
        <v>1280</v>
      </c>
      <c r="S1343" t="s">
        <v>1510</v>
      </c>
      <c r="T1343">
        <v>48</v>
      </c>
      <c r="U1343">
        <f>IF(Table__192.168.1.150_M_CONSOLIDATED_Delinquency_Compulsory_EOM[[#This Row],[Days in Arrears]] &lt; 8, Table__192.168.1.150_M_CONSOLIDATED_Delinquency_Compulsory_EOM[[#This Row],[Outstanding Balance]], 0 )</f>
        <v>19001177.989999998</v>
      </c>
      <c r="V13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3" s="105" t="str">
        <f>VLOOKUP(Table__192.168.1.150_M_CONSOLIDATED_Delinquency_Compulsory_EOM[[#This Row],[Client No]],'Global Portfolio'!$B$2:$N$2500,10,FALSE)</f>
        <v>Transportation and Warehousing</v>
      </c>
      <c r="AA1343" s="105" t="str">
        <f>VLOOKUP(Table__192.168.1.150_M_CONSOLIDATED_Delinquency_Compulsory_EOM[[#This Row],[Client No]],'Global Portfolio'!$B$2:$N$2500,11,FALSE)</f>
        <v>Truck Transportation</v>
      </c>
      <c r="AB1343" s="105" t="str">
        <f>VLOOKUP(Table__192.168.1.150_M_CONSOLIDATED_Delinquency_Compulsory_EOM[[#This Row],[Client No]],'Global Portfolio'!$B$2:$N$2500,12,FALSE)</f>
        <v>Others</v>
      </c>
    </row>
    <row r="1344" spans="1:28" x14ac:dyDescent="0.25">
      <c r="A1344">
        <v>201289</v>
      </c>
      <c r="B1344" t="s">
        <v>5418</v>
      </c>
      <c r="C1344" t="s">
        <v>5419</v>
      </c>
      <c r="D1344" t="s">
        <v>1866</v>
      </c>
      <c r="E1344">
        <v>-7</v>
      </c>
      <c r="F1344">
        <v>6000000</v>
      </c>
      <c r="G1344">
        <v>5504103.9900000002</v>
      </c>
      <c r="H1344">
        <v>745896.01</v>
      </c>
      <c r="I1344" t="s">
        <v>1925</v>
      </c>
      <c r="J1344">
        <v>0</v>
      </c>
      <c r="K1344">
        <v>600000</v>
      </c>
      <c r="L1344">
        <v>168180.96</v>
      </c>
      <c r="M1344">
        <v>6713064.1200000001</v>
      </c>
      <c r="N1344" s="711">
        <v>42986.699585995368</v>
      </c>
      <c r="O1344" s="711">
        <v>43289</v>
      </c>
      <c r="P1344" t="s">
        <v>5420</v>
      </c>
      <c r="Q1344" t="s">
        <v>1280</v>
      </c>
      <c r="R1344" t="s">
        <v>1280</v>
      </c>
      <c r="S1344" t="s">
        <v>1510</v>
      </c>
      <c r="T1344">
        <v>50</v>
      </c>
      <c r="U1344">
        <f>IF(Table__192.168.1.150_M_CONSOLIDATED_Delinquency_Compulsory_EOM[[#This Row],[Days in Arrears]] &lt; 8, Table__192.168.1.150_M_CONSOLIDATED_Delinquency_Compulsory_EOM[[#This Row],[Outstanding Balance]], 0 )</f>
        <v>5504103.9900000002</v>
      </c>
      <c r="V13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4" s="105" t="str">
        <f>VLOOKUP(Table__192.168.1.150_M_CONSOLIDATED_Delinquency_Compulsory_EOM[[#This Row],[Client No]],'Global Portfolio'!$B$2:$N$2500,10,FALSE)</f>
        <v>Retail</v>
      </c>
      <c r="AA1344" s="105" t="str">
        <f>VLOOKUP(Table__192.168.1.150_M_CONSOLIDATED_Delinquency_Compulsory_EOM[[#This Row],[Client No]],'Global Portfolio'!$B$2:$N$2500,11,FALSE)</f>
        <v>General Merchandise Stores</v>
      </c>
      <c r="AB1344" s="105" t="str">
        <f>VLOOKUP(Table__192.168.1.150_M_CONSOLIDATED_Delinquency_Compulsory_EOM[[#This Row],[Client No]],'Global Portfolio'!$B$2:$N$2500,12,FALSE)</f>
        <v>General Stores</v>
      </c>
    </row>
    <row r="1345" spans="1:28" x14ac:dyDescent="0.25">
      <c r="A1345">
        <v>201290</v>
      </c>
      <c r="B1345" t="s">
        <v>4490</v>
      </c>
      <c r="C1345" t="s">
        <v>4492</v>
      </c>
      <c r="D1345" t="s">
        <v>1282</v>
      </c>
      <c r="E1345">
        <v>-7</v>
      </c>
      <c r="F1345">
        <v>13000000</v>
      </c>
      <c r="G1345">
        <v>12134821.76</v>
      </c>
      <c r="H1345">
        <v>1385178.24</v>
      </c>
      <c r="I1345" t="s">
        <v>2538</v>
      </c>
      <c r="J1345">
        <v>576601.27</v>
      </c>
      <c r="K1345">
        <v>1300000</v>
      </c>
      <c r="L1345">
        <v>355954.77</v>
      </c>
      <c r="M1345">
        <v>15236960.710000001</v>
      </c>
      <c r="N1345" s="711">
        <v>42986.699592280092</v>
      </c>
      <c r="O1345" s="711">
        <v>43351</v>
      </c>
      <c r="P1345" t="s">
        <v>4493</v>
      </c>
      <c r="Q1345" t="s">
        <v>1280</v>
      </c>
      <c r="R1345" t="s">
        <v>4494</v>
      </c>
      <c r="S1345" t="s">
        <v>1510</v>
      </c>
      <c r="T1345">
        <v>48</v>
      </c>
      <c r="U1345">
        <f>IF(Table__192.168.1.150_M_CONSOLIDATED_Delinquency_Compulsory_EOM[[#This Row],[Days in Arrears]] &lt; 8, Table__192.168.1.150_M_CONSOLIDATED_Delinquency_Compulsory_EOM[[#This Row],[Outstanding Balance]], 0 )</f>
        <v>12134821.76</v>
      </c>
      <c r="V13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5" s="105" t="str">
        <f>VLOOKUP(Table__192.168.1.150_M_CONSOLIDATED_Delinquency_Compulsory_EOM[[#This Row],[Client No]],'Global Portfolio'!$B$2:$N$2500,10,FALSE)</f>
        <v>Retail</v>
      </c>
      <c r="AA1345" s="105" t="str">
        <f>VLOOKUP(Table__192.168.1.150_M_CONSOLIDATED_Delinquency_Compulsory_EOM[[#This Row],[Client No]],'Global Portfolio'!$B$2:$N$2500,11,FALSE)</f>
        <v>General Merchandise Stores</v>
      </c>
      <c r="AB1345" s="105" t="str">
        <f>VLOOKUP(Table__192.168.1.150_M_CONSOLIDATED_Delinquency_Compulsory_EOM[[#This Row],[Client No]],'Global Portfolio'!$B$2:$N$2500,12,FALSE)</f>
        <v>General Stores</v>
      </c>
    </row>
    <row r="1346" spans="1:28" x14ac:dyDescent="0.25">
      <c r="A1346">
        <v>201291</v>
      </c>
      <c r="B1346" t="s">
        <v>5423</v>
      </c>
      <c r="C1346" t="s">
        <v>5424</v>
      </c>
      <c r="D1346" t="s">
        <v>1279</v>
      </c>
      <c r="E1346">
        <v>-10</v>
      </c>
      <c r="F1346">
        <v>2000000</v>
      </c>
      <c r="G1346">
        <v>1837242.36</v>
      </c>
      <c r="H1346">
        <v>252757.64</v>
      </c>
      <c r="I1346" t="s">
        <v>4919</v>
      </c>
      <c r="J1346">
        <v>0</v>
      </c>
      <c r="K1346">
        <v>200000</v>
      </c>
      <c r="L1346">
        <v>52361.41</v>
      </c>
      <c r="M1346">
        <v>2274818.81</v>
      </c>
      <c r="N1346" s="711">
        <v>42989.645120370369</v>
      </c>
      <c r="O1346" s="711">
        <v>43292</v>
      </c>
      <c r="P1346" t="s">
        <v>5425</v>
      </c>
      <c r="Q1346" t="s">
        <v>1280</v>
      </c>
      <c r="R1346" t="s">
        <v>1280</v>
      </c>
      <c r="S1346" t="s">
        <v>1510</v>
      </c>
      <c r="T1346">
        <v>54</v>
      </c>
      <c r="U1346">
        <f>IF(Table__192.168.1.150_M_CONSOLIDATED_Delinquency_Compulsory_EOM[[#This Row],[Days in Arrears]] &lt; 8, Table__192.168.1.150_M_CONSOLIDATED_Delinquency_Compulsory_EOM[[#This Row],[Outstanding Balance]], 0 )</f>
        <v>1837242.36</v>
      </c>
      <c r="V13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6" s="105" t="str">
        <f>VLOOKUP(Table__192.168.1.150_M_CONSOLIDATED_Delinquency_Compulsory_EOM[[#This Row],[Client No]],'Global Portfolio'!$B$2:$N$2500,10,FALSE)</f>
        <v>Retail</v>
      </c>
      <c r="AA1346" s="105" t="str">
        <f>VLOOKUP(Table__192.168.1.150_M_CONSOLIDATED_Delinquency_Compulsory_EOM[[#This Row],[Client No]],'Global Portfolio'!$B$2:$N$2500,11,FALSE)</f>
        <v>Food and Beverage Stores</v>
      </c>
      <c r="AB1346" s="105" t="str">
        <f>VLOOKUP(Table__192.168.1.150_M_CONSOLIDATED_Delinquency_Compulsory_EOM[[#This Row],[Client No]],'Global Portfolio'!$B$2:$N$2500,12,FALSE)</f>
        <v>Beverage Stores</v>
      </c>
    </row>
    <row r="1347" spans="1:28" x14ac:dyDescent="0.25">
      <c r="A1347">
        <v>201292</v>
      </c>
      <c r="B1347" t="s">
        <v>3777</v>
      </c>
      <c r="C1347" t="s">
        <v>3789</v>
      </c>
      <c r="D1347" t="s">
        <v>1279</v>
      </c>
      <c r="E1347">
        <v>-10</v>
      </c>
      <c r="F1347">
        <v>2500000</v>
      </c>
      <c r="G1347">
        <v>2333619.5699999998</v>
      </c>
      <c r="H1347">
        <v>266380.43</v>
      </c>
      <c r="I1347" t="s">
        <v>4684</v>
      </c>
      <c r="J1347">
        <v>64697.05</v>
      </c>
      <c r="K1347">
        <v>250000</v>
      </c>
      <c r="L1347">
        <v>59118.36</v>
      </c>
      <c r="M1347">
        <v>2930184.75</v>
      </c>
      <c r="N1347" s="711">
        <v>42989.662398229164</v>
      </c>
      <c r="O1347" s="711">
        <v>43354</v>
      </c>
      <c r="P1347" t="s">
        <v>3790</v>
      </c>
      <c r="Q1347" t="s">
        <v>1280</v>
      </c>
      <c r="R1347" t="s">
        <v>3791</v>
      </c>
      <c r="S1347" t="s">
        <v>1510</v>
      </c>
      <c r="T1347">
        <v>48</v>
      </c>
      <c r="U1347">
        <f>IF(Table__192.168.1.150_M_CONSOLIDATED_Delinquency_Compulsory_EOM[[#This Row],[Days in Arrears]] &lt; 8, Table__192.168.1.150_M_CONSOLIDATED_Delinquency_Compulsory_EOM[[#This Row],[Outstanding Balance]], 0 )</f>
        <v>2333619.5699999998</v>
      </c>
      <c r="V13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7" s="105" t="str">
        <f>VLOOKUP(Table__192.168.1.150_M_CONSOLIDATED_Delinquency_Compulsory_EOM[[#This Row],[Client No]],'Global Portfolio'!$B$2:$N$2500,10,FALSE)</f>
        <v>Retail</v>
      </c>
      <c r="AA1347" s="105" t="str">
        <f>VLOOKUP(Table__192.168.1.150_M_CONSOLIDATED_Delinquency_Compulsory_EOM[[#This Row],[Client No]],'Global Portfolio'!$B$2:$N$2500,11,FALSE)</f>
        <v>Electronics Stores</v>
      </c>
      <c r="AB1347" s="105" t="str">
        <f>VLOOKUP(Table__192.168.1.150_M_CONSOLIDATED_Delinquency_Compulsory_EOM[[#This Row],[Client No]],'Global Portfolio'!$B$2:$N$2500,12,FALSE)</f>
        <v>Computer &amp; Software</v>
      </c>
    </row>
    <row r="1348" spans="1:28" x14ac:dyDescent="0.25">
      <c r="A1348">
        <v>201293</v>
      </c>
      <c r="B1348" t="s">
        <v>5422</v>
      </c>
      <c r="C1348" t="s">
        <v>5426</v>
      </c>
      <c r="D1348" t="s">
        <v>1286</v>
      </c>
      <c r="E1348">
        <v>-20</v>
      </c>
      <c r="F1348">
        <v>300000</v>
      </c>
      <c r="G1348">
        <v>100680.17</v>
      </c>
      <c r="H1348">
        <v>102777.68</v>
      </c>
      <c r="I1348" t="s">
        <v>284</v>
      </c>
      <c r="J1348">
        <v>181626</v>
      </c>
      <c r="K1348">
        <v>0</v>
      </c>
      <c r="L1348">
        <v>629.25</v>
      </c>
      <c r="M1348">
        <v>102777.67</v>
      </c>
      <c r="N1348" s="711">
        <v>42989.608146145831</v>
      </c>
      <c r="O1348" s="711">
        <v>43060</v>
      </c>
      <c r="P1348" t="s">
        <v>5427</v>
      </c>
      <c r="Q1348" t="s">
        <v>5428</v>
      </c>
      <c r="R1348" t="s">
        <v>1280</v>
      </c>
      <c r="S1348" t="s">
        <v>1510</v>
      </c>
      <c r="T1348">
        <v>25</v>
      </c>
      <c r="U1348">
        <f>IF(Table__192.168.1.150_M_CONSOLIDATED_Delinquency_Compulsory_EOM[[#This Row],[Days in Arrears]] &lt; 8, Table__192.168.1.150_M_CONSOLIDATED_Delinquency_Compulsory_EOM[[#This Row],[Outstanding Balance]], 0 )</f>
        <v>100680.17</v>
      </c>
      <c r="V13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8" s="105" t="e">
        <f>VLOOKUP(Table__192.168.1.150_M_CONSOLIDATED_Delinquency_Compulsory_EOM[[#This Row],[Client No]],'Global Portfolio'!$B$2:$N$2500,10,FALSE)</f>
        <v>#N/A</v>
      </c>
      <c r="AA1348" s="105" t="e">
        <f>VLOOKUP(Table__192.168.1.150_M_CONSOLIDATED_Delinquency_Compulsory_EOM[[#This Row],[Client No]],'Global Portfolio'!$B$2:$N$2500,11,FALSE)</f>
        <v>#N/A</v>
      </c>
      <c r="AB1348" s="105" t="e">
        <f>VLOOKUP(Table__192.168.1.150_M_CONSOLIDATED_Delinquency_Compulsory_EOM[[#This Row],[Client No]],'Global Portfolio'!$B$2:$N$2500,12,FALSE)</f>
        <v>#N/A</v>
      </c>
    </row>
    <row r="1349" spans="1:28" x14ac:dyDescent="0.25">
      <c r="A1349">
        <v>201294</v>
      </c>
      <c r="B1349" t="s">
        <v>5421</v>
      </c>
      <c r="C1349" t="s">
        <v>5429</v>
      </c>
      <c r="D1349" t="s">
        <v>1282</v>
      </c>
      <c r="E1349">
        <v>-10</v>
      </c>
      <c r="F1349">
        <v>2500000</v>
      </c>
      <c r="G1349">
        <v>2233475.87</v>
      </c>
      <c r="H1349">
        <v>379024.13</v>
      </c>
      <c r="I1349" t="s">
        <v>4683</v>
      </c>
      <c r="J1349">
        <v>72275.87</v>
      </c>
      <c r="K1349">
        <v>250000</v>
      </c>
      <c r="L1349">
        <v>63654.06</v>
      </c>
      <c r="M1349">
        <v>2653168.9300000002</v>
      </c>
      <c r="N1349" s="711">
        <v>42989.684774305555</v>
      </c>
      <c r="O1349" s="711">
        <v>43231</v>
      </c>
      <c r="P1349" t="s">
        <v>5430</v>
      </c>
      <c r="Q1349" t="s">
        <v>1280</v>
      </c>
      <c r="R1349" t="s">
        <v>1280</v>
      </c>
      <c r="S1349" t="s">
        <v>1510</v>
      </c>
      <c r="T1349">
        <v>54</v>
      </c>
      <c r="U1349">
        <f>IF(Table__192.168.1.150_M_CONSOLIDATED_Delinquency_Compulsory_EOM[[#This Row],[Days in Arrears]] &lt; 8, Table__192.168.1.150_M_CONSOLIDATED_Delinquency_Compulsory_EOM[[#This Row],[Outstanding Balance]], 0 )</f>
        <v>2233475.87</v>
      </c>
      <c r="V13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49" s="105" t="str">
        <f>VLOOKUP(Table__192.168.1.150_M_CONSOLIDATED_Delinquency_Compulsory_EOM[[#This Row],[Client No]],'Global Portfolio'!$B$2:$N$2500,10,FALSE)</f>
        <v>Retail</v>
      </c>
      <c r="AA1349" s="105" t="str">
        <f>VLOOKUP(Table__192.168.1.150_M_CONSOLIDATED_Delinquency_Compulsory_EOM[[#This Row],[Client No]],'Global Portfolio'!$B$2:$N$2500,11,FALSE)</f>
        <v>Building Material and Garden Equipment</v>
      </c>
      <c r="AB1349" s="105" t="str">
        <f>VLOOKUP(Table__192.168.1.150_M_CONSOLIDATED_Delinquency_Compulsory_EOM[[#This Row],[Client No]],'Global Portfolio'!$B$2:$N$2500,12,FALSE)</f>
        <v>Hardware Stores</v>
      </c>
    </row>
    <row r="1350" spans="1:28" x14ac:dyDescent="0.25">
      <c r="A1350">
        <v>201295</v>
      </c>
      <c r="B1350" t="s">
        <v>5433</v>
      </c>
      <c r="C1350" t="s">
        <v>5440</v>
      </c>
      <c r="D1350" t="s">
        <v>1279</v>
      </c>
      <c r="E1350">
        <v>-11</v>
      </c>
      <c r="F1350">
        <v>4000000</v>
      </c>
      <c r="G1350">
        <v>3741335.25</v>
      </c>
      <c r="H1350">
        <v>438664.75</v>
      </c>
      <c r="I1350" t="s">
        <v>4686</v>
      </c>
      <c r="J1350">
        <v>0</v>
      </c>
      <c r="K1350">
        <v>400000</v>
      </c>
      <c r="L1350">
        <v>101016.05</v>
      </c>
      <c r="M1350">
        <v>4825312.3099999996</v>
      </c>
      <c r="N1350" s="711">
        <v>42990.691062731479</v>
      </c>
      <c r="O1350" s="711">
        <v>43355</v>
      </c>
      <c r="P1350" t="s">
        <v>5441</v>
      </c>
      <c r="Q1350" t="s">
        <v>1280</v>
      </c>
      <c r="R1350" t="s">
        <v>5442</v>
      </c>
      <c r="S1350" t="s">
        <v>1510</v>
      </c>
      <c r="T1350">
        <v>54</v>
      </c>
      <c r="U1350">
        <f>IF(Table__192.168.1.150_M_CONSOLIDATED_Delinquency_Compulsory_EOM[[#This Row],[Days in Arrears]] &lt; 8, Table__192.168.1.150_M_CONSOLIDATED_Delinquency_Compulsory_EOM[[#This Row],[Outstanding Balance]], 0 )</f>
        <v>3741335.25</v>
      </c>
      <c r="V13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0" s="105" t="str">
        <f>VLOOKUP(Table__192.168.1.150_M_CONSOLIDATED_Delinquency_Compulsory_EOM[[#This Row],[Client No]],'Global Portfolio'!$B$2:$N$2500,10,FALSE)</f>
        <v>Retail</v>
      </c>
      <c r="AA1350" s="105" t="str">
        <f>VLOOKUP(Table__192.168.1.150_M_CONSOLIDATED_Delinquency_Compulsory_EOM[[#This Row],[Client No]],'Global Portfolio'!$B$2:$N$2500,11,FALSE)</f>
        <v>General Merchandise Stores</v>
      </c>
      <c r="AB1350" s="105" t="str">
        <f>VLOOKUP(Table__192.168.1.150_M_CONSOLIDATED_Delinquency_Compulsory_EOM[[#This Row],[Client No]],'Global Portfolio'!$B$2:$N$2500,12,FALSE)</f>
        <v>General Stores</v>
      </c>
    </row>
    <row r="1351" spans="1:28" x14ac:dyDescent="0.25">
      <c r="A1351">
        <v>201296</v>
      </c>
      <c r="B1351" t="s">
        <v>5444</v>
      </c>
      <c r="C1351" t="s">
        <v>5451</v>
      </c>
      <c r="D1351" t="s">
        <v>1279</v>
      </c>
      <c r="E1351">
        <v>-12</v>
      </c>
      <c r="F1351">
        <v>5000000</v>
      </c>
      <c r="G1351">
        <v>4676669.0599999996</v>
      </c>
      <c r="H1351">
        <v>548330.93999999994</v>
      </c>
      <c r="I1351" t="s">
        <v>4919</v>
      </c>
      <c r="J1351">
        <v>54920.1</v>
      </c>
      <c r="K1351">
        <v>500000</v>
      </c>
      <c r="L1351">
        <v>119255.06</v>
      </c>
      <c r="M1351">
        <v>6031640.3799999999</v>
      </c>
      <c r="N1351" s="711">
        <v>42991.551782291666</v>
      </c>
      <c r="O1351" s="711">
        <v>43356</v>
      </c>
      <c r="P1351" t="s">
        <v>5452</v>
      </c>
      <c r="Q1351" t="s">
        <v>1280</v>
      </c>
      <c r="R1351" t="s">
        <v>1280</v>
      </c>
      <c r="S1351" t="s">
        <v>1510</v>
      </c>
      <c r="T1351">
        <v>54</v>
      </c>
      <c r="U1351">
        <f>IF(Table__192.168.1.150_M_CONSOLIDATED_Delinquency_Compulsory_EOM[[#This Row],[Days in Arrears]] &lt; 8, Table__192.168.1.150_M_CONSOLIDATED_Delinquency_Compulsory_EOM[[#This Row],[Outstanding Balance]], 0 )</f>
        <v>4676669.0599999996</v>
      </c>
      <c r="V13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1" s="105" t="str">
        <f>VLOOKUP(Table__192.168.1.150_M_CONSOLIDATED_Delinquency_Compulsory_EOM[[#This Row],[Client No]],'Global Portfolio'!$B$2:$N$2500,10,FALSE)</f>
        <v>Restaurants and Hotels</v>
      </c>
      <c r="AA1351" s="105" t="str">
        <f>VLOOKUP(Table__192.168.1.150_M_CONSOLIDATED_Delinquency_Compulsory_EOM[[#This Row],[Client No]],'Global Portfolio'!$B$2:$N$2500,11,FALSE)</f>
        <v>Restaurant</v>
      </c>
      <c r="AB1351" s="105" t="str">
        <f>VLOOKUP(Table__192.168.1.150_M_CONSOLIDATED_Delinquency_Compulsory_EOM[[#This Row],[Client No]],'Global Portfolio'!$B$2:$N$2500,12,FALSE)</f>
        <v>Bar</v>
      </c>
    </row>
    <row r="1352" spans="1:28" x14ac:dyDescent="0.25">
      <c r="A1352">
        <v>201297</v>
      </c>
      <c r="B1352" t="s">
        <v>3756</v>
      </c>
      <c r="C1352" t="s">
        <v>3769</v>
      </c>
      <c r="D1352" t="s">
        <v>1282</v>
      </c>
      <c r="E1352">
        <v>-12</v>
      </c>
      <c r="F1352">
        <v>3000000</v>
      </c>
      <c r="G1352">
        <v>2800343.48</v>
      </c>
      <c r="H1352">
        <v>319656.52</v>
      </c>
      <c r="I1352" t="s">
        <v>491</v>
      </c>
      <c r="J1352">
        <v>0</v>
      </c>
      <c r="K1352">
        <v>300000</v>
      </c>
      <c r="L1352">
        <v>63474.45</v>
      </c>
      <c r="M1352">
        <v>3516221.71</v>
      </c>
      <c r="N1352" s="711">
        <v>42991.706475196763</v>
      </c>
      <c r="O1352" s="711">
        <v>43356</v>
      </c>
      <c r="P1352" t="s">
        <v>3770</v>
      </c>
      <c r="Q1352" t="s">
        <v>1280</v>
      </c>
      <c r="R1352" t="s">
        <v>3771</v>
      </c>
      <c r="S1352" t="s">
        <v>1510</v>
      </c>
      <c r="T1352">
        <v>48</v>
      </c>
      <c r="U1352">
        <f>IF(Table__192.168.1.150_M_CONSOLIDATED_Delinquency_Compulsory_EOM[[#This Row],[Days in Arrears]] &lt; 8, Table__192.168.1.150_M_CONSOLIDATED_Delinquency_Compulsory_EOM[[#This Row],[Outstanding Balance]], 0 )</f>
        <v>2800343.48</v>
      </c>
      <c r="V13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2" s="105" t="str">
        <f>VLOOKUP(Table__192.168.1.150_M_CONSOLIDATED_Delinquency_Compulsory_EOM[[#This Row],[Client No]],'Global Portfolio'!$B$2:$N$2500,10,FALSE)</f>
        <v>Retail</v>
      </c>
      <c r="AA1352" s="105" t="str">
        <f>VLOOKUP(Table__192.168.1.150_M_CONSOLIDATED_Delinquency_Compulsory_EOM[[#This Row],[Client No]],'Global Portfolio'!$B$2:$N$2500,11,FALSE)</f>
        <v>General Merchandise Stores</v>
      </c>
      <c r="AB1352" s="105" t="str">
        <f>VLOOKUP(Table__192.168.1.150_M_CONSOLIDATED_Delinquency_Compulsory_EOM[[#This Row],[Client No]],'Global Portfolio'!$B$2:$N$2500,12,FALSE)</f>
        <v>General Stores</v>
      </c>
    </row>
    <row r="1353" spans="1:28" x14ac:dyDescent="0.25">
      <c r="A1353">
        <v>201298</v>
      </c>
      <c r="B1353" t="s">
        <v>5455</v>
      </c>
      <c r="C1353" t="s">
        <v>5464</v>
      </c>
      <c r="D1353" t="s">
        <v>1282</v>
      </c>
      <c r="E1353">
        <v>-13</v>
      </c>
      <c r="F1353">
        <v>6000000</v>
      </c>
      <c r="G1353">
        <v>5600686.96</v>
      </c>
      <c r="H1353">
        <v>639313.04</v>
      </c>
      <c r="I1353" t="s">
        <v>3074</v>
      </c>
      <c r="J1353">
        <v>32365.19</v>
      </c>
      <c r="K1353">
        <v>600000</v>
      </c>
      <c r="L1353">
        <v>119481.32</v>
      </c>
      <c r="M1353">
        <v>7032443.3799999999</v>
      </c>
      <c r="N1353" s="711">
        <v>42992.633950115742</v>
      </c>
      <c r="O1353" s="711">
        <v>43357</v>
      </c>
      <c r="P1353" t="s">
        <v>5465</v>
      </c>
      <c r="Q1353" t="s">
        <v>1280</v>
      </c>
      <c r="R1353" t="s">
        <v>5466</v>
      </c>
      <c r="S1353" t="s">
        <v>1510</v>
      </c>
      <c r="T1353">
        <v>48</v>
      </c>
      <c r="U1353">
        <f>IF(Table__192.168.1.150_M_CONSOLIDATED_Delinquency_Compulsory_EOM[[#This Row],[Days in Arrears]] &lt; 8, Table__192.168.1.150_M_CONSOLIDATED_Delinquency_Compulsory_EOM[[#This Row],[Outstanding Balance]], 0 )</f>
        <v>5600686.96</v>
      </c>
      <c r="V13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3" s="105" t="str">
        <f>VLOOKUP(Table__192.168.1.150_M_CONSOLIDATED_Delinquency_Compulsory_EOM[[#This Row],[Client No]],'Global Portfolio'!$B$2:$N$2500,10,FALSE)</f>
        <v>Retail</v>
      </c>
      <c r="AA1353" s="105" t="str">
        <f>VLOOKUP(Table__192.168.1.150_M_CONSOLIDATED_Delinquency_Compulsory_EOM[[#This Row],[Client No]],'Global Portfolio'!$B$2:$N$2500,11,FALSE)</f>
        <v>General Merchandise Stores</v>
      </c>
      <c r="AB1353" s="105" t="str">
        <f>VLOOKUP(Table__192.168.1.150_M_CONSOLIDATED_Delinquency_Compulsory_EOM[[#This Row],[Client No]],'Global Portfolio'!$B$2:$N$2500,12,FALSE)</f>
        <v>General Stores</v>
      </c>
    </row>
    <row r="1354" spans="1:28" x14ac:dyDescent="0.25">
      <c r="A1354">
        <v>201299</v>
      </c>
      <c r="B1354" t="s">
        <v>5454</v>
      </c>
      <c r="C1354" t="s">
        <v>5467</v>
      </c>
      <c r="D1354" t="s">
        <v>1282</v>
      </c>
      <c r="E1354">
        <v>-13</v>
      </c>
      <c r="F1354">
        <v>2500000</v>
      </c>
      <c r="G1354">
        <v>2296552.9500000002</v>
      </c>
      <c r="H1354">
        <v>315947.05</v>
      </c>
      <c r="I1354" t="s">
        <v>5335</v>
      </c>
      <c r="J1354">
        <v>8352.9500000000007</v>
      </c>
      <c r="K1354">
        <v>250000</v>
      </c>
      <c r="L1354">
        <v>55117.27</v>
      </c>
      <c r="M1354">
        <v>2843523.52</v>
      </c>
      <c r="N1354" s="711">
        <v>42992.702857488424</v>
      </c>
      <c r="O1354" s="711">
        <v>43295</v>
      </c>
      <c r="P1354" t="s">
        <v>5468</v>
      </c>
      <c r="Q1354" t="s">
        <v>1280</v>
      </c>
      <c r="R1354" t="s">
        <v>1280</v>
      </c>
      <c r="S1354" t="s">
        <v>1510</v>
      </c>
      <c r="T1354">
        <v>54</v>
      </c>
      <c r="U1354">
        <f>IF(Table__192.168.1.150_M_CONSOLIDATED_Delinquency_Compulsory_EOM[[#This Row],[Days in Arrears]] &lt; 8, Table__192.168.1.150_M_CONSOLIDATED_Delinquency_Compulsory_EOM[[#This Row],[Outstanding Balance]], 0 )</f>
        <v>2296552.9500000002</v>
      </c>
      <c r="V13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4" s="105" t="str">
        <f>VLOOKUP(Table__192.168.1.150_M_CONSOLIDATED_Delinquency_Compulsory_EOM[[#This Row],[Client No]],'Global Portfolio'!$B$2:$N$2500,10,FALSE)</f>
        <v>Retail</v>
      </c>
      <c r="AA1354" s="105" t="str">
        <f>VLOOKUP(Table__192.168.1.150_M_CONSOLIDATED_Delinquency_Compulsory_EOM[[#This Row],[Client No]],'Global Portfolio'!$B$2:$N$2500,11,FALSE)</f>
        <v>General Merchandise Stores</v>
      </c>
      <c r="AB1354" s="105" t="str">
        <f>VLOOKUP(Table__192.168.1.150_M_CONSOLIDATED_Delinquency_Compulsory_EOM[[#This Row],[Client No]],'Global Portfolio'!$B$2:$N$2500,12,FALSE)</f>
        <v>General Stores</v>
      </c>
    </row>
    <row r="1355" spans="1:28" x14ac:dyDescent="0.25">
      <c r="A1355">
        <v>201300</v>
      </c>
      <c r="B1355" t="s">
        <v>5457</v>
      </c>
      <c r="C1355" t="s">
        <v>5469</v>
      </c>
      <c r="D1355" t="s">
        <v>1282</v>
      </c>
      <c r="E1355">
        <v>-13</v>
      </c>
      <c r="F1355">
        <v>6000000</v>
      </c>
      <c r="G1355">
        <v>5612002.8700000001</v>
      </c>
      <c r="H1355">
        <v>657997.13</v>
      </c>
      <c r="I1355" t="s">
        <v>3074</v>
      </c>
      <c r="J1355">
        <v>532.96</v>
      </c>
      <c r="K1355">
        <v>600000</v>
      </c>
      <c r="L1355">
        <v>134688.07</v>
      </c>
      <c r="M1355">
        <v>7237968.46</v>
      </c>
      <c r="N1355" s="711">
        <v>42992.703987037035</v>
      </c>
      <c r="O1355" s="711">
        <v>43357</v>
      </c>
      <c r="P1355" t="s">
        <v>5470</v>
      </c>
      <c r="Q1355" t="s">
        <v>1280</v>
      </c>
      <c r="R1355" t="s">
        <v>1280</v>
      </c>
      <c r="S1355" t="s">
        <v>1510</v>
      </c>
      <c r="T1355">
        <v>54</v>
      </c>
      <c r="U1355">
        <f>IF(Table__192.168.1.150_M_CONSOLIDATED_Delinquency_Compulsory_EOM[[#This Row],[Days in Arrears]] &lt; 8, Table__192.168.1.150_M_CONSOLIDATED_Delinquency_Compulsory_EOM[[#This Row],[Outstanding Balance]], 0 )</f>
        <v>5612002.8700000001</v>
      </c>
      <c r="V13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5" s="105" t="str">
        <f>VLOOKUP(Table__192.168.1.150_M_CONSOLIDATED_Delinquency_Compulsory_EOM[[#This Row],[Client No]],'Global Portfolio'!$B$2:$N$2500,10,FALSE)</f>
        <v>Real Estate and Rental</v>
      </c>
      <c r="AA1355" s="105" t="str">
        <f>VLOOKUP(Table__192.168.1.150_M_CONSOLIDATED_Delinquency_Compulsory_EOM[[#This Row],[Client No]],'Global Portfolio'!$B$2:$N$2500,11,FALSE)</f>
        <v>Real Estate</v>
      </c>
      <c r="AB1355" s="105" t="str">
        <f>VLOOKUP(Table__192.168.1.150_M_CONSOLIDATED_Delinquency_Compulsory_EOM[[#This Row],[Client No]],'Global Portfolio'!$B$2:$N$2500,12,FALSE)</f>
        <v>Real Estate</v>
      </c>
    </row>
    <row r="1356" spans="1:28" x14ac:dyDescent="0.25">
      <c r="A1356">
        <v>201301</v>
      </c>
      <c r="B1356" t="s">
        <v>5456</v>
      </c>
      <c r="C1356" t="s">
        <v>5471</v>
      </c>
      <c r="D1356" t="s">
        <v>1282</v>
      </c>
      <c r="E1356">
        <v>-13</v>
      </c>
      <c r="F1356">
        <v>6000000</v>
      </c>
      <c r="G1356">
        <v>5612002.8700000001</v>
      </c>
      <c r="H1356">
        <v>657997.13</v>
      </c>
      <c r="I1356" t="s">
        <v>4683</v>
      </c>
      <c r="J1356">
        <v>0</v>
      </c>
      <c r="K1356">
        <v>600000</v>
      </c>
      <c r="L1356">
        <v>134688.07</v>
      </c>
      <c r="M1356">
        <v>7237968.46</v>
      </c>
      <c r="N1356" s="711">
        <v>42992.742704710647</v>
      </c>
      <c r="O1356" s="711">
        <v>43357</v>
      </c>
      <c r="P1356" t="s">
        <v>5472</v>
      </c>
      <c r="Q1356" t="s">
        <v>1280</v>
      </c>
      <c r="R1356" t="s">
        <v>1280</v>
      </c>
      <c r="S1356" t="s">
        <v>1510</v>
      </c>
      <c r="T1356">
        <v>54</v>
      </c>
      <c r="U1356">
        <f>IF(Table__192.168.1.150_M_CONSOLIDATED_Delinquency_Compulsory_EOM[[#This Row],[Days in Arrears]] &lt; 8, Table__192.168.1.150_M_CONSOLIDATED_Delinquency_Compulsory_EOM[[#This Row],[Outstanding Balance]], 0 )</f>
        <v>5612002.8700000001</v>
      </c>
      <c r="V13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6" s="105" t="str">
        <f>VLOOKUP(Table__192.168.1.150_M_CONSOLIDATED_Delinquency_Compulsory_EOM[[#This Row],[Client No]],'Global Portfolio'!$B$2:$N$2500,10,FALSE)</f>
        <v>Retail</v>
      </c>
      <c r="AA1356" s="105" t="str">
        <f>VLOOKUP(Table__192.168.1.150_M_CONSOLIDATED_Delinquency_Compulsory_EOM[[#This Row],[Client No]],'Global Portfolio'!$B$2:$N$2500,11,FALSE)</f>
        <v>General Merchandise Stores</v>
      </c>
      <c r="AB1356" s="105" t="str">
        <f>VLOOKUP(Table__192.168.1.150_M_CONSOLIDATED_Delinquency_Compulsory_EOM[[#This Row],[Client No]],'Global Portfolio'!$B$2:$N$2500,12,FALSE)</f>
        <v>General Stores</v>
      </c>
    </row>
    <row r="1357" spans="1:28" x14ac:dyDescent="0.25">
      <c r="A1357">
        <v>201302</v>
      </c>
      <c r="B1357" t="s">
        <v>5475</v>
      </c>
      <c r="C1357" t="s">
        <v>5481</v>
      </c>
      <c r="D1357" t="s">
        <v>1284</v>
      </c>
      <c r="E1357">
        <v>-14</v>
      </c>
      <c r="F1357">
        <v>17000000</v>
      </c>
      <c r="G1357">
        <v>15824651.460000001</v>
      </c>
      <c r="H1357">
        <v>1742015.21</v>
      </c>
      <c r="I1357" t="s">
        <v>1467</v>
      </c>
      <c r="J1357">
        <v>0</v>
      </c>
      <c r="K1357">
        <v>850000</v>
      </c>
      <c r="L1357">
        <v>263744.19</v>
      </c>
      <c r="M1357">
        <v>19162167.289999999</v>
      </c>
      <c r="N1357" s="711">
        <v>42993.652268865742</v>
      </c>
      <c r="O1357" s="711">
        <v>43358</v>
      </c>
      <c r="P1357" t="s">
        <v>5482</v>
      </c>
      <c r="Q1357" t="s">
        <v>1280</v>
      </c>
      <c r="R1357" t="s">
        <v>5483</v>
      </c>
      <c r="S1357" t="s">
        <v>1510</v>
      </c>
      <c r="T1357">
        <v>40</v>
      </c>
      <c r="U1357">
        <f>IF(Table__192.168.1.150_M_CONSOLIDATED_Delinquency_Compulsory_EOM[[#This Row],[Days in Arrears]] &lt; 8, Table__192.168.1.150_M_CONSOLIDATED_Delinquency_Compulsory_EOM[[#This Row],[Outstanding Balance]], 0 )</f>
        <v>15824651.460000001</v>
      </c>
      <c r="V13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7" s="105" t="str">
        <f>VLOOKUP(Table__192.168.1.150_M_CONSOLIDATED_Delinquency_Compulsory_EOM[[#This Row],[Client No]],'Global Portfolio'!$B$2:$N$2500,10,FALSE)</f>
        <v>Real Estate and Rental</v>
      </c>
      <c r="AA1357" s="105" t="str">
        <f>VLOOKUP(Table__192.168.1.150_M_CONSOLIDATED_Delinquency_Compulsory_EOM[[#This Row],[Client No]],'Global Portfolio'!$B$2:$N$2500,11,FALSE)</f>
        <v>Rental</v>
      </c>
      <c r="AB1357" s="105" t="str">
        <f>VLOOKUP(Table__192.168.1.150_M_CONSOLIDATED_Delinquency_Compulsory_EOM[[#This Row],[Client No]],'Global Portfolio'!$B$2:$N$2500,12,FALSE)</f>
        <v>General Rental Centers</v>
      </c>
    </row>
    <row r="1358" spans="1:28" x14ac:dyDescent="0.25">
      <c r="A1358">
        <v>201303</v>
      </c>
      <c r="B1358" t="s">
        <v>3395</v>
      </c>
      <c r="C1358" t="s">
        <v>3419</v>
      </c>
      <c r="D1358" t="s">
        <v>1281</v>
      </c>
      <c r="E1358">
        <v>-14</v>
      </c>
      <c r="F1358">
        <v>30000000</v>
      </c>
      <c r="G1358">
        <v>27945481.52</v>
      </c>
      <c r="H1358">
        <v>3104518.48</v>
      </c>
      <c r="I1358" t="s">
        <v>2034</v>
      </c>
      <c r="J1358">
        <v>0</v>
      </c>
      <c r="K1358">
        <v>2250000</v>
      </c>
      <c r="L1358">
        <v>489045.93</v>
      </c>
      <c r="M1358">
        <v>34149703.259999998</v>
      </c>
      <c r="N1358" s="711">
        <v>42993.746074733797</v>
      </c>
      <c r="O1358" s="711">
        <v>43358</v>
      </c>
      <c r="P1358" t="s">
        <v>3420</v>
      </c>
      <c r="Q1358" t="s">
        <v>1280</v>
      </c>
      <c r="R1358" t="s">
        <v>1280</v>
      </c>
      <c r="S1358" t="s">
        <v>1510</v>
      </c>
      <c r="T1358">
        <v>42</v>
      </c>
      <c r="U1358">
        <f>IF(Table__192.168.1.150_M_CONSOLIDATED_Delinquency_Compulsory_EOM[[#This Row],[Days in Arrears]] &lt; 8, Table__192.168.1.150_M_CONSOLIDATED_Delinquency_Compulsory_EOM[[#This Row],[Outstanding Balance]], 0 )</f>
        <v>27945481.52</v>
      </c>
      <c r="V13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8" s="105" t="str">
        <f>VLOOKUP(Table__192.168.1.150_M_CONSOLIDATED_Delinquency_Compulsory_EOM[[#This Row],[Client No]],'Global Portfolio'!$B$2:$N$2500,10,FALSE)</f>
        <v>Retail</v>
      </c>
      <c r="AA1358" s="105" t="str">
        <f>VLOOKUP(Table__192.168.1.150_M_CONSOLIDATED_Delinquency_Compulsory_EOM[[#This Row],[Client No]],'Global Portfolio'!$B$2:$N$2500,11,FALSE)</f>
        <v>General Merchandise Stores</v>
      </c>
      <c r="AB1358" s="105" t="str">
        <f>VLOOKUP(Table__192.168.1.150_M_CONSOLIDATED_Delinquency_Compulsory_EOM[[#This Row],[Client No]],'Global Portfolio'!$B$2:$N$2500,12,FALSE)</f>
        <v>General Stores</v>
      </c>
    </row>
    <row r="1359" spans="1:28" x14ac:dyDescent="0.25">
      <c r="A1359">
        <v>201304</v>
      </c>
      <c r="B1359" t="s">
        <v>5496</v>
      </c>
      <c r="C1359" t="s">
        <v>5504</v>
      </c>
      <c r="D1359" t="s">
        <v>1282</v>
      </c>
      <c r="E1359">
        <v>-17</v>
      </c>
      <c r="F1359">
        <v>5000000</v>
      </c>
      <c r="G1359">
        <v>4593105.8899999997</v>
      </c>
      <c r="H1359">
        <v>631894.11</v>
      </c>
      <c r="I1359" t="s">
        <v>4683</v>
      </c>
      <c r="J1359">
        <v>0</v>
      </c>
      <c r="K1359">
        <v>500000</v>
      </c>
      <c r="L1359">
        <v>82675.91</v>
      </c>
      <c r="M1359">
        <v>5687047</v>
      </c>
      <c r="N1359" s="711">
        <v>42996.538668321758</v>
      </c>
      <c r="O1359" s="711">
        <v>43299</v>
      </c>
      <c r="P1359" t="s">
        <v>5505</v>
      </c>
      <c r="Q1359" t="s">
        <v>1280</v>
      </c>
      <c r="R1359" t="s">
        <v>1280</v>
      </c>
      <c r="S1359" t="s">
        <v>1510</v>
      </c>
      <c r="T1359">
        <v>54</v>
      </c>
      <c r="U1359">
        <f>IF(Table__192.168.1.150_M_CONSOLIDATED_Delinquency_Compulsory_EOM[[#This Row],[Days in Arrears]] &lt; 8, Table__192.168.1.150_M_CONSOLIDATED_Delinquency_Compulsory_EOM[[#This Row],[Outstanding Balance]], 0 )</f>
        <v>4593105.8899999997</v>
      </c>
      <c r="V13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59" s="105" t="str">
        <f>VLOOKUP(Table__192.168.1.150_M_CONSOLIDATED_Delinquency_Compulsory_EOM[[#This Row],[Client No]],'Global Portfolio'!$B$2:$N$2500,10,FALSE)</f>
        <v>Retail</v>
      </c>
      <c r="AA1359" s="105" t="str">
        <f>VLOOKUP(Table__192.168.1.150_M_CONSOLIDATED_Delinquency_Compulsory_EOM[[#This Row],[Client No]],'Global Portfolio'!$B$2:$N$2500,11,FALSE)</f>
        <v>General Merchandise Stores</v>
      </c>
      <c r="AB1359" s="105" t="str">
        <f>VLOOKUP(Table__192.168.1.150_M_CONSOLIDATED_Delinquency_Compulsory_EOM[[#This Row],[Client No]],'Global Portfolio'!$B$2:$N$2500,12,FALSE)</f>
        <v>General Stores</v>
      </c>
    </row>
    <row r="1360" spans="1:28" x14ac:dyDescent="0.25">
      <c r="A1360">
        <v>201305</v>
      </c>
      <c r="B1360" t="s">
        <v>2715</v>
      </c>
      <c r="C1360" t="s">
        <v>2723</v>
      </c>
      <c r="D1360" t="s">
        <v>1282</v>
      </c>
      <c r="E1360">
        <v>-17</v>
      </c>
      <c r="F1360">
        <v>7200000</v>
      </c>
      <c r="G1360">
        <v>6711588.7199999997</v>
      </c>
      <c r="H1360">
        <v>752411.28</v>
      </c>
      <c r="I1360" t="s">
        <v>2557</v>
      </c>
      <c r="J1360">
        <v>0</v>
      </c>
      <c r="K1360">
        <v>720000</v>
      </c>
      <c r="L1360">
        <v>98436.63</v>
      </c>
      <c r="M1360">
        <v>8276524.1100000003</v>
      </c>
      <c r="N1360" s="711">
        <v>42996.611837037039</v>
      </c>
      <c r="O1360" s="711">
        <v>43361</v>
      </c>
      <c r="P1360" t="s">
        <v>2724</v>
      </c>
      <c r="Q1360" t="s">
        <v>2725</v>
      </c>
      <c r="R1360" t="s">
        <v>1280</v>
      </c>
      <c r="S1360" t="s">
        <v>1510</v>
      </c>
      <c r="T1360">
        <v>44</v>
      </c>
      <c r="U1360">
        <f>IF(Table__192.168.1.150_M_CONSOLIDATED_Delinquency_Compulsory_EOM[[#This Row],[Days in Arrears]] &lt; 8, Table__192.168.1.150_M_CONSOLIDATED_Delinquency_Compulsory_EOM[[#This Row],[Outstanding Balance]], 0 )</f>
        <v>6711588.7199999997</v>
      </c>
      <c r="V13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0" s="105" t="str">
        <f>VLOOKUP(Table__192.168.1.150_M_CONSOLIDATED_Delinquency_Compulsory_EOM[[#This Row],[Client No]],'Global Portfolio'!$B$2:$N$2500,10,FALSE)</f>
        <v>Retail</v>
      </c>
      <c r="AA1360" s="105" t="str">
        <f>VLOOKUP(Table__192.168.1.150_M_CONSOLIDATED_Delinquency_Compulsory_EOM[[#This Row],[Client No]],'Global Portfolio'!$B$2:$N$2500,11,FALSE)</f>
        <v>General Merchandise Stores</v>
      </c>
      <c r="AB1360" s="105" t="str">
        <f>VLOOKUP(Table__192.168.1.150_M_CONSOLIDATED_Delinquency_Compulsory_EOM[[#This Row],[Client No]],'Global Portfolio'!$B$2:$N$2500,12,FALSE)</f>
        <v>General Stores</v>
      </c>
    </row>
    <row r="1361" spans="1:28" x14ac:dyDescent="0.25">
      <c r="A1361">
        <v>201306</v>
      </c>
      <c r="B1361" t="s">
        <v>3204</v>
      </c>
      <c r="C1361" t="s">
        <v>3213</v>
      </c>
      <c r="D1361" t="s">
        <v>1284</v>
      </c>
      <c r="E1361">
        <v>-17</v>
      </c>
      <c r="F1361">
        <v>18000000</v>
      </c>
      <c r="G1361">
        <v>17032201.550000001</v>
      </c>
      <c r="H1361">
        <v>1507798.45</v>
      </c>
      <c r="I1361" t="s">
        <v>546</v>
      </c>
      <c r="J1361">
        <v>0</v>
      </c>
      <c r="K1361">
        <v>900000</v>
      </c>
      <c r="L1361">
        <v>204386.42</v>
      </c>
      <c r="M1361">
        <v>21109178.280000001</v>
      </c>
      <c r="N1361" s="711">
        <v>42996.697323379631</v>
      </c>
      <c r="O1361" s="711">
        <v>43452</v>
      </c>
      <c r="P1361" t="s">
        <v>3214</v>
      </c>
      <c r="Q1361" t="s">
        <v>1280</v>
      </c>
      <c r="R1361" t="s">
        <v>1280</v>
      </c>
      <c r="S1361" t="s">
        <v>1510</v>
      </c>
      <c r="T1361">
        <v>36</v>
      </c>
      <c r="U1361">
        <f>IF(Table__192.168.1.150_M_CONSOLIDATED_Delinquency_Compulsory_EOM[[#This Row],[Days in Arrears]] &lt; 8, Table__192.168.1.150_M_CONSOLIDATED_Delinquency_Compulsory_EOM[[#This Row],[Outstanding Balance]], 0 )</f>
        <v>17032201.550000001</v>
      </c>
      <c r="V13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1" s="105" t="str">
        <f>VLOOKUP(Table__192.168.1.150_M_CONSOLIDATED_Delinquency_Compulsory_EOM[[#This Row],[Client No]],'Global Portfolio'!$B$2:$N$2500,10,FALSE)</f>
        <v>Real Estate and Rental</v>
      </c>
      <c r="AA1361" s="105" t="str">
        <f>VLOOKUP(Table__192.168.1.150_M_CONSOLIDATED_Delinquency_Compulsory_EOM[[#This Row],[Client No]],'Global Portfolio'!$B$2:$N$2500,11,FALSE)</f>
        <v>Real Estate</v>
      </c>
      <c r="AB1361" s="105" t="str">
        <f>VLOOKUP(Table__192.168.1.150_M_CONSOLIDATED_Delinquency_Compulsory_EOM[[#This Row],[Client No]],'Global Portfolio'!$B$2:$N$2500,12,FALSE)</f>
        <v>Real Estate</v>
      </c>
    </row>
    <row r="1362" spans="1:28" x14ac:dyDescent="0.25">
      <c r="A1362">
        <v>201307</v>
      </c>
      <c r="B1362" t="s">
        <v>4328</v>
      </c>
      <c r="C1362" t="s">
        <v>4343</v>
      </c>
      <c r="D1362" t="s">
        <v>1279</v>
      </c>
      <c r="E1362">
        <v>12</v>
      </c>
      <c r="F1362">
        <v>3000000</v>
      </c>
      <c r="G1362">
        <v>2914306.39</v>
      </c>
      <c r="H1362">
        <v>369872.83</v>
      </c>
      <c r="I1362" t="s">
        <v>1667</v>
      </c>
      <c r="J1362">
        <v>0</v>
      </c>
      <c r="K1362">
        <v>300000</v>
      </c>
      <c r="L1362">
        <v>40335.199999999997</v>
      </c>
      <c r="M1362">
        <v>3493034.74</v>
      </c>
      <c r="N1362" s="711">
        <v>42997.60321828704</v>
      </c>
      <c r="O1362" s="711">
        <v>43300</v>
      </c>
      <c r="P1362" t="s">
        <v>4344</v>
      </c>
      <c r="Q1362" t="s">
        <v>1280</v>
      </c>
      <c r="R1362" t="s">
        <v>4345</v>
      </c>
      <c r="S1362" t="s">
        <v>1510</v>
      </c>
      <c r="T1362">
        <v>48</v>
      </c>
      <c r="U1362">
        <f>IF(Table__192.168.1.150_M_CONSOLIDATED_Delinquency_Compulsory_EOM[[#This Row],[Days in Arrears]] &lt; 8, Table__192.168.1.150_M_CONSOLIDATED_Delinquency_Compulsory_EOM[[#This Row],[Outstanding Balance]], 0 )</f>
        <v>0</v>
      </c>
      <c r="V13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2914306.39</v>
      </c>
      <c r="W13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2" s="105" t="str">
        <f>VLOOKUP(Table__192.168.1.150_M_CONSOLIDATED_Delinquency_Compulsory_EOM[[#This Row],[Client No]],'Global Portfolio'!$B$2:$N$2500,10,FALSE)</f>
        <v>Retail</v>
      </c>
      <c r="AA1362" s="105" t="str">
        <f>VLOOKUP(Table__192.168.1.150_M_CONSOLIDATED_Delinquency_Compulsory_EOM[[#This Row],[Client No]],'Global Portfolio'!$B$2:$N$2500,11,FALSE)</f>
        <v>General Merchandise Stores</v>
      </c>
      <c r="AB1362" s="105" t="str">
        <f>VLOOKUP(Table__192.168.1.150_M_CONSOLIDATED_Delinquency_Compulsory_EOM[[#This Row],[Client No]],'Global Portfolio'!$B$2:$N$2500,12,FALSE)</f>
        <v>General Stores</v>
      </c>
    </row>
    <row r="1363" spans="1:28" x14ac:dyDescent="0.25">
      <c r="A1363">
        <v>201308</v>
      </c>
      <c r="B1363" t="s">
        <v>3022</v>
      </c>
      <c r="C1363" t="s">
        <v>3031</v>
      </c>
      <c r="D1363" t="s">
        <v>1282</v>
      </c>
      <c r="E1363">
        <v>-18</v>
      </c>
      <c r="F1363">
        <v>4000000</v>
      </c>
      <c r="G1363">
        <v>3733791.31</v>
      </c>
      <c r="H1363">
        <v>426208.69</v>
      </c>
      <c r="I1363" t="s">
        <v>1448</v>
      </c>
      <c r="J1363">
        <v>653504.78</v>
      </c>
      <c r="K1363">
        <v>400000</v>
      </c>
      <c r="L1363">
        <v>54762.27</v>
      </c>
      <c r="M1363">
        <v>4688295.5999999996</v>
      </c>
      <c r="N1363" s="711">
        <v>42997.695235104169</v>
      </c>
      <c r="O1363" s="711">
        <v>43362</v>
      </c>
      <c r="P1363" t="s">
        <v>3032</v>
      </c>
      <c r="Q1363" t="s">
        <v>1280</v>
      </c>
      <c r="R1363" t="s">
        <v>1280</v>
      </c>
      <c r="S1363" t="s">
        <v>1510</v>
      </c>
      <c r="T1363">
        <v>48</v>
      </c>
      <c r="U1363">
        <f>IF(Table__192.168.1.150_M_CONSOLIDATED_Delinquency_Compulsory_EOM[[#This Row],[Days in Arrears]] &lt; 8, Table__192.168.1.150_M_CONSOLIDATED_Delinquency_Compulsory_EOM[[#This Row],[Outstanding Balance]], 0 )</f>
        <v>3733791.31</v>
      </c>
      <c r="V13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3" s="105" t="str">
        <f>VLOOKUP(Table__192.168.1.150_M_CONSOLIDATED_Delinquency_Compulsory_EOM[[#This Row],[Client No]],'Global Portfolio'!$B$2:$N$2500,10,FALSE)</f>
        <v>Real Estate and Rental</v>
      </c>
      <c r="AA1363" s="105" t="str">
        <f>VLOOKUP(Table__192.168.1.150_M_CONSOLIDATED_Delinquency_Compulsory_EOM[[#This Row],[Client No]],'Global Portfolio'!$B$2:$N$2500,11,FALSE)</f>
        <v>Real Estate</v>
      </c>
      <c r="AB1363" s="105" t="str">
        <f>VLOOKUP(Table__192.168.1.150_M_CONSOLIDATED_Delinquency_Compulsory_EOM[[#This Row],[Client No]],'Global Portfolio'!$B$2:$N$2500,12,FALSE)</f>
        <v>Real Estate</v>
      </c>
    </row>
    <row r="1364" spans="1:28" x14ac:dyDescent="0.25">
      <c r="A1364">
        <v>201309</v>
      </c>
      <c r="B1364" t="s">
        <v>5509</v>
      </c>
      <c r="C1364" t="s">
        <v>5514</v>
      </c>
      <c r="D1364" t="s">
        <v>1282</v>
      </c>
      <c r="E1364">
        <v>-18</v>
      </c>
      <c r="F1364">
        <v>6000000</v>
      </c>
      <c r="G1364">
        <v>5612002.8700000001</v>
      </c>
      <c r="H1364">
        <v>657997.13</v>
      </c>
      <c r="I1364" t="s">
        <v>5386</v>
      </c>
      <c r="J1364">
        <v>3802.87</v>
      </c>
      <c r="K1364">
        <v>600000</v>
      </c>
      <c r="L1364">
        <v>92598.05</v>
      </c>
      <c r="M1364">
        <v>7237968.46</v>
      </c>
      <c r="N1364" s="711">
        <v>42997.706073807873</v>
      </c>
      <c r="O1364" s="711">
        <v>43362</v>
      </c>
      <c r="P1364" t="s">
        <v>5515</v>
      </c>
      <c r="Q1364" t="s">
        <v>1280</v>
      </c>
      <c r="R1364" t="s">
        <v>1280</v>
      </c>
      <c r="S1364" t="s">
        <v>1510</v>
      </c>
      <c r="T1364">
        <v>54</v>
      </c>
      <c r="U1364">
        <f>IF(Table__192.168.1.150_M_CONSOLIDATED_Delinquency_Compulsory_EOM[[#This Row],[Days in Arrears]] &lt; 8, Table__192.168.1.150_M_CONSOLIDATED_Delinquency_Compulsory_EOM[[#This Row],[Outstanding Balance]], 0 )</f>
        <v>5612002.8700000001</v>
      </c>
      <c r="V13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4" s="105" t="str">
        <f>VLOOKUP(Table__192.168.1.150_M_CONSOLIDATED_Delinquency_Compulsory_EOM[[#This Row],[Client No]],'Global Portfolio'!$B$2:$N$2500,10,FALSE)</f>
        <v>Real Estate and Rental</v>
      </c>
      <c r="AA1364" s="105" t="str">
        <f>VLOOKUP(Table__192.168.1.150_M_CONSOLIDATED_Delinquency_Compulsory_EOM[[#This Row],[Client No]],'Global Portfolio'!$B$2:$N$2500,11,FALSE)</f>
        <v>Real Estate</v>
      </c>
      <c r="AB1364" s="105" t="str">
        <f>VLOOKUP(Table__192.168.1.150_M_CONSOLIDATED_Delinquency_Compulsory_EOM[[#This Row],[Client No]],'Global Portfolio'!$B$2:$N$2500,12,FALSE)</f>
        <v>Real Estate</v>
      </c>
    </row>
    <row r="1365" spans="1:28" x14ac:dyDescent="0.25">
      <c r="A1365">
        <v>201310</v>
      </c>
      <c r="B1365" t="s">
        <v>5518</v>
      </c>
      <c r="C1365" t="s">
        <v>5522</v>
      </c>
      <c r="D1365" t="s">
        <v>1282</v>
      </c>
      <c r="E1365">
        <v>-19</v>
      </c>
      <c r="F1365">
        <v>5000000</v>
      </c>
      <c r="G1365">
        <v>4593105.8899999997</v>
      </c>
      <c r="H1365">
        <v>631894.11</v>
      </c>
      <c r="I1365" t="s">
        <v>2034</v>
      </c>
      <c r="J1365">
        <v>0</v>
      </c>
      <c r="K1365">
        <v>500000</v>
      </c>
      <c r="L1365">
        <v>68896.59</v>
      </c>
      <c r="M1365">
        <v>5687047</v>
      </c>
      <c r="N1365" s="711">
        <v>42998.652610381941</v>
      </c>
      <c r="O1365" s="711">
        <v>43301</v>
      </c>
      <c r="P1365" t="s">
        <v>5523</v>
      </c>
      <c r="Q1365" t="s">
        <v>5524</v>
      </c>
      <c r="R1365" t="s">
        <v>1280</v>
      </c>
      <c r="S1365" t="s">
        <v>1510</v>
      </c>
      <c r="T1365">
        <v>54</v>
      </c>
      <c r="U1365">
        <f>IF(Table__192.168.1.150_M_CONSOLIDATED_Delinquency_Compulsory_EOM[[#This Row],[Days in Arrears]] &lt; 8, Table__192.168.1.150_M_CONSOLIDATED_Delinquency_Compulsory_EOM[[#This Row],[Outstanding Balance]], 0 )</f>
        <v>4593105.8899999997</v>
      </c>
      <c r="V13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5" s="105" t="str">
        <f>VLOOKUP(Table__192.168.1.150_M_CONSOLIDATED_Delinquency_Compulsory_EOM[[#This Row],[Client No]],'Global Portfolio'!$B$2:$N$2500,10,FALSE)</f>
        <v>Retail</v>
      </c>
      <c r="AA1365" s="105" t="str">
        <f>VLOOKUP(Table__192.168.1.150_M_CONSOLIDATED_Delinquency_Compulsory_EOM[[#This Row],[Client No]],'Global Portfolio'!$B$2:$N$2500,11,FALSE)</f>
        <v>General Merchandise Stores</v>
      </c>
      <c r="AB1365" s="105" t="str">
        <f>VLOOKUP(Table__192.168.1.150_M_CONSOLIDATED_Delinquency_Compulsory_EOM[[#This Row],[Client No]],'Global Portfolio'!$B$2:$N$2500,12,FALSE)</f>
        <v>General Stores</v>
      </c>
    </row>
    <row r="1366" spans="1:28" x14ac:dyDescent="0.25">
      <c r="A1366">
        <v>201311</v>
      </c>
      <c r="B1366" t="s">
        <v>5531</v>
      </c>
      <c r="C1366" t="s">
        <v>5535</v>
      </c>
      <c r="D1366" t="s">
        <v>1279</v>
      </c>
      <c r="E1366">
        <v>-20</v>
      </c>
      <c r="F1366">
        <v>2500000</v>
      </c>
      <c r="G1366">
        <v>2123095.2400000002</v>
      </c>
      <c r="H1366">
        <v>476904.76</v>
      </c>
      <c r="I1366" t="s">
        <v>2557</v>
      </c>
      <c r="J1366">
        <v>3326.19</v>
      </c>
      <c r="K1366">
        <v>250000</v>
      </c>
      <c r="L1366">
        <v>25477.14</v>
      </c>
      <c r="M1366">
        <v>2384523.77</v>
      </c>
      <c r="N1366" s="711">
        <v>42999.561557488429</v>
      </c>
      <c r="O1366" s="711">
        <v>43180</v>
      </c>
      <c r="P1366" t="s">
        <v>5536</v>
      </c>
      <c r="Q1366" t="s">
        <v>1280</v>
      </c>
      <c r="R1366" t="s">
        <v>1280</v>
      </c>
      <c r="S1366" t="s">
        <v>1510</v>
      </c>
      <c r="T1366">
        <v>48</v>
      </c>
      <c r="U1366">
        <f>IF(Table__192.168.1.150_M_CONSOLIDATED_Delinquency_Compulsory_EOM[[#This Row],[Days in Arrears]] &lt; 8, Table__192.168.1.150_M_CONSOLIDATED_Delinquency_Compulsory_EOM[[#This Row],[Outstanding Balance]], 0 )</f>
        <v>2123095.2400000002</v>
      </c>
      <c r="V13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6" s="105" t="str">
        <f>VLOOKUP(Table__192.168.1.150_M_CONSOLIDATED_Delinquency_Compulsory_EOM[[#This Row],[Client No]],'Global Portfolio'!$B$2:$N$2500,10,FALSE)</f>
        <v>Retail</v>
      </c>
      <c r="AA1366" s="105" t="str">
        <f>VLOOKUP(Table__192.168.1.150_M_CONSOLIDATED_Delinquency_Compulsory_EOM[[#This Row],[Client No]],'Global Portfolio'!$B$2:$N$2500,11,FALSE)</f>
        <v>General Merchandise Stores</v>
      </c>
      <c r="AB1366" s="105" t="str">
        <f>VLOOKUP(Table__192.168.1.150_M_CONSOLIDATED_Delinquency_Compulsory_EOM[[#This Row],[Client No]],'Global Portfolio'!$B$2:$N$2500,12,FALSE)</f>
        <v>General Stores</v>
      </c>
    </row>
    <row r="1367" spans="1:28" x14ac:dyDescent="0.25">
      <c r="A1367">
        <v>201312</v>
      </c>
      <c r="B1367" t="s">
        <v>5517</v>
      </c>
      <c r="C1367" t="s">
        <v>5525</v>
      </c>
      <c r="D1367" t="s">
        <v>1279</v>
      </c>
      <c r="E1367">
        <v>-19</v>
      </c>
      <c r="F1367">
        <v>2500000</v>
      </c>
      <c r="G1367">
        <v>2338334.5299999998</v>
      </c>
      <c r="H1367">
        <v>274165.46999999997</v>
      </c>
      <c r="I1367" t="s">
        <v>1447</v>
      </c>
      <c r="J1367">
        <v>21.2</v>
      </c>
      <c r="K1367">
        <v>250000</v>
      </c>
      <c r="L1367">
        <v>35075.019999999997</v>
      </c>
      <c r="M1367">
        <v>3015820.18</v>
      </c>
      <c r="N1367" s="711">
        <v>42998.651798263891</v>
      </c>
      <c r="O1367" s="711">
        <v>43363</v>
      </c>
      <c r="P1367" t="s">
        <v>5526</v>
      </c>
      <c r="Q1367" t="s">
        <v>1280</v>
      </c>
      <c r="R1367" t="s">
        <v>1280</v>
      </c>
      <c r="S1367" t="s">
        <v>1510</v>
      </c>
      <c r="T1367">
        <v>54</v>
      </c>
      <c r="U1367">
        <f>IF(Table__192.168.1.150_M_CONSOLIDATED_Delinquency_Compulsory_EOM[[#This Row],[Days in Arrears]] &lt; 8, Table__192.168.1.150_M_CONSOLIDATED_Delinquency_Compulsory_EOM[[#This Row],[Outstanding Balance]], 0 )</f>
        <v>2338334.5299999998</v>
      </c>
      <c r="V13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7" s="105" t="str">
        <f>VLOOKUP(Table__192.168.1.150_M_CONSOLIDATED_Delinquency_Compulsory_EOM[[#This Row],[Client No]],'Global Portfolio'!$B$2:$N$2500,10,FALSE)</f>
        <v>Retail</v>
      </c>
      <c r="AA1367" s="105" t="str">
        <f>VLOOKUP(Table__192.168.1.150_M_CONSOLIDATED_Delinquency_Compulsory_EOM[[#This Row],[Client No]],'Global Portfolio'!$B$2:$N$2500,11,FALSE)</f>
        <v>Food and Beverage Stores</v>
      </c>
      <c r="AB1367" s="105" t="str">
        <f>VLOOKUP(Table__192.168.1.150_M_CONSOLIDATED_Delinquency_Compulsory_EOM[[#This Row],[Client No]],'Global Portfolio'!$B$2:$N$2500,12,FALSE)</f>
        <v>Confectionery &amp; Nut Stores</v>
      </c>
    </row>
    <row r="1368" spans="1:28" x14ac:dyDescent="0.25">
      <c r="A1368">
        <v>201313</v>
      </c>
      <c r="B1368" t="s">
        <v>5516</v>
      </c>
      <c r="C1368" t="s">
        <v>5527</v>
      </c>
      <c r="D1368" t="s">
        <v>1279</v>
      </c>
      <c r="E1368">
        <v>-19</v>
      </c>
      <c r="F1368">
        <v>1000000</v>
      </c>
      <c r="G1368">
        <v>893390.35</v>
      </c>
      <c r="H1368">
        <v>151609.65</v>
      </c>
      <c r="I1368" t="s">
        <v>4684</v>
      </c>
      <c r="J1368">
        <v>4190.3500000000004</v>
      </c>
      <c r="K1368">
        <v>100000</v>
      </c>
      <c r="L1368">
        <v>13400.86</v>
      </c>
      <c r="M1368">
        <v>1061267.5900000001</v>
      </c>
      <c r="N1368" s="711">
        <v>42998.715631562503</v>
      </c>
      <c r="O1368" s="711">
        <v>43240</v>
      </c>
      <c r="P1368" t="s">
        <v>5528</v>
      </c>
      <c r="Q1368" t="s">
        <v>5529</v>
      </c>
      <c r="R1368" t="s">
        <v>1280</v>
      </c>
      <c r="S1368" t="s">
        <v>1510</v>
      </c>
      <c r="T1368">
        <v>54</v>
      </c>
      <c r="U1368">
        <f>IF(Table__192.168.1.150_M_CONSOLIDATED_Delinquency_Compulsory_EOM[[#This Row],[Days in Arrears]] &lt; 8, Table__192.168.1.150_M_CONSOLIDATED_Delinquency_Compulsory_EOM[[#This Row],[Outstanding Balance]], 0 )</f>
        <v>893390.35</v>
      </c>
      <c r="V13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8" s="105" t="str">
        <f>VLOOKUP(Table__192.168.1.150_M_CONSOLIDATED_Delinquency_Compulsory_EOM[[#This Row],[Client No]],'Global Portfolio'!$B$2:$N$2500,10,FALSE)</f>
        <v>Retail</v>
      </c>
      <c r="AA1368" s="105" t="str">
        <f>VLOOKUP(Table__192.168.1.150_M_CONSOLIDATED_Delinquency_Compulsory_EOM[[#This Row],[Client No]],'Global Portfolio'!$B$2:$N$2500,11,FALSE)</f>
        <v>Food and Beverage Stores</v>
      </c>
      <c r="AB1368" s="105" t="str">
        <f>VLOOKUP(Table__192.168.1.150_M_CONSOLIDATED_Delinquency_Compulsory_EOM[[#This Row],[Client No]],'Global Portfolio'!$B$2:$N$2500,12,FALSE)</f>
        <v>Beverage Stores</v>
      </c>
    </row>
    <row r="1369" spans="1:28" x14ac:dyDescent="0.25">
      <c r="A1369">
        <v>201314</v>
      </c>
      <c r="B1369" t="s">
        <v>5532</v>
      </c>
      <c r="C1369" t="s">
        <v>5537</v>
      </c>
      <c r="D1369" t="s">
        <v>1286</v>
      </c>
      <c r="E1369">
        <v>-20</v>
      </c>
      <c r="F1369">
        <v>500000</v>
      </c>
      <c r="G1369">
        <v>252577.32</v>
      </c>
      <c r="H1369">
        <v>257839.35</v>
      </c>
      <c r="I1369" t="s">
        <v>284</v>
      </c>
      <c r="J1369">
        <v>0</v>
      </c>
      <c r="K1369">
        <v>0</v>
      </c>
      <c r="L1369">
        <v>1578.61</v>
      </c>
      <c r="M1369">
        <v>257839.35</v>
      </c>
      <c r="N1369" s="711">
        <v>42999.545608368055</v>
      </c>
      <c r="O1369" s="711">
        <v>43060</v>
      </c>
      <c r="P1369" t="s">
        <v>5538</v>
      </c>
      <c r="Q1369" t="s">
        <v>1280</v>
      </c>
      <c r="R1369" t="s">
        <v>1280</v>
      </c>
      <c r="S1369" t="s">
        <v>1510</v>
      </c>
      <c r="T1369">
        <v>25</v>
      </c>
      <c r="U1369">
        <f>IF(Table__192.168.1.150_M_CONSOLIDATED_Delinquency_Compulsory_EOM[[#This Row],[Days in Arrears]] &lt; 8, Table__192.168.1.150_M_CONSOLIDATED_Delinquency_Compulsory_EOM[[#This Row],[Outstanding Balance]], 0 )</f>
        <v>252577.32</v>
      </c>
      <c r="V13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69" s="105" t="e">
        <f>VLOOKUP(Table__192.168.1.150_M_CONSOLIDATED_Delinquency_Compulsory_EOM[[#This Row],[Client No]],'Global Portfolio'!$B$2:$N$2500,10,FALSE)</f>
        <v>#N/A</v>
      </c>
      <c r="AA1369" s="105" t="e">
        <f>VLOOKUP(Table__192.168.1.150_M_CONSOLIDATED_Delinquency_Compulsory_EOM[[#This Row],[Client No]],'Global Portfolio'!$B$2:$N$2500,11,FALSE)</f>
        <v>#N/A</v>
      </c>
      <c r="AB1369" s="105" t="e">
        <f>VLOOKUP(Table__192.168.1.150_M_CONSOLIDATED_Delinquency_Compulsory_EOM[[#This Row],[Client No]],'Global Portfolio'!$B$2:$N$2500,12,FALSE)</f>
        <v>#N/A</v>
      </c>
    </row>
    <row r="1370" spans="1:28" x14ac:dyDescent="0.25">
      <c r="A1370">
        <v>201315</v>
      </c>
      <c r="B1370" t="s">
        <v>5541</v>
      </c>
      <c r="C1370" t="s">
        <v>5551</v>
      </c>
      <c r="D1370" t="s">
        <v>1282</v>
      </c>
      <c r="E1370">
        <v>9</v>
      </c>
      <c r="F1370">
        <v>4000000</v>
      </c>
      <c r="G1370">
        <v>4000000</v>
      </c>
      <c r="H1370">
        <v>775513.55</v>
      </c>
      <c r="I1370" t="s">
        <v>2557</v>
      </c>
      <c r="J1370">
        <v>0</v>
      </c>
      <c r="K1370">
        <v>400000</v>
      </c>
      <c r="L1370">
        <v>215731.41</v>
      </c>
      <c r="M1370">
        <v>4647958.87</v>
      </c>
      <c r="N1370" s="711">
        <v>43000.477500810186</v>
      </c>
      <c r="O1370" s="711">
        <v>43181</v>
      </c>
      <c r="P1370" t="s">
        <v>5552</v>
      </c>
      <c r="Q1370" t="s">
        <v>5553</v>
      </c>
      <c r="R1370" t="s">
        <v>1280</v>
      </c>
      <c r="S1370" t="s">
        <v>1510</v>
      </c>
      <c r="T1370">
        <v>54</v>
      </c>
      <c r="U1370">
        <f>IF(Table__192.168.1.150_M_CONSOLIDATED_Delinquency_Compulsory_EOM[[#This Row],[Days in Arrears]] &lt; 8, Table__192.168.1.150_M_CONSOLIDATED_Delinquency_Compulsory_EOM[[#This Row],[Outstanding Balance]], 0 )</f>
        <v>0</v>
      </c>
      <c r="V13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4000000</v>
      </c>
      <c r="W13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0" s="105" t="str">
        <f>VLOOKUP(Table__192.168.1.150_M_CONSOLIDATED_Delinquency_Compulsory_EOM[[#This Row],[Client No]],'Global Portfolio'!$B$2:$N$2500,10,FALSE)</f>
        <v>Real Estate and Rental</v>
      </c>
      <c r="AA1370" s="105" t="str">
        <f>VLOOKUP(Table__192.168.1.150_M_CONSOLIDATED_Delinquency_Compulsory_EOM[[#This Row],[Client No]],'Global Portfolio'!$B$2:$N$2500,11,FALSE)</f>
        <v>Real Estate</v>
      </c>
      <c r="AB1370" s="105" t="str">
        <f>VLOOKUP(Table__192.168.1.150_M_CONSOLIDATED_Delinquency_Compulsory_EOM[[#This Row],[Client No]],'Global Portfolio'!$B$2:$N$2500,12,FALSE)</f>
        <v>Real Estate</v>
      </c>
    </row>
    <row r="1371" spans="1:28" x14ac:dyDescent="0.25">
      <c r="A1371">
        <v>201316</v>
      </c>
      <c r="B1371" t="s">
        <v>3038</v>
      </c>
      <c r="C1371" t="s">
        <v>3039</v>
      </c>
      <c r="D1371" t="s">
        <v>1281</v>
      </c>
      <c r="E1371">
        <v>-21</v>
      </c>
      <c r="F1371">
        <v>25000000</v>
      </c>
      <c r="G1371">
        <v>23287901.27</v>
      </c>
      <c r="H1371">
        <v>2587098.73</v>
      </c>
      <c r="I1371" t="s">
        <v>2538</v>
      </c>
      <c r="J1371">
        <v>61352.81</v>
      </c>
      <c r="K1371">
        <v>1875000</v>
      </c>
      <c r="L1371">
        <v>1092353.75</v>
      </c>
      <c r="M1371">
        <v>28458086.039999999</v>
      </c>
      <c r="N1371" s="711">
        <v>43000.607355011576</v>
      </c>
      <c r="O1371" s="711">
        <v>43365</v>
      </c>
      <c r="P1371" t="s">
        <v>3040</v>
      </c>
      <c r="Q1371" t="s">
        <v>1280</v>
      </c>
      <c r="R1371" t="s">
        <v>1280</v>
      </c>
      <c r="S1371" t="s">
        <v>1510</v>
      </c>
      <c r="T1371">
        <v>42</v>
      </c>
      <c r="U1371">
        <f>IF(Table__192.168.1.150_M_CONSOLIDATED_Delinquency_Compulsory_EOM[[#This Row],[Days in Arrears]] &lt; 8, Table__192.168.1.150_M_CONSOLIDATED_Delinquency_Compulsory_EOM[[#This Row],[Outstanding Balance]], 0 )</f>
        <v>23287901.27</v>
      </c>
      <c r="V13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1" s="105" t="str">
        <f>VLOOKUP(Table__192.168.1.150_M_CONSOLIDATED_Delinquency_Compulsory_EOM[[#This Row],[Client No]],'Global Portfolio'!$B$2:$N$2500,10,FALSE)</f>
        <v>Restaurants and Hotels</v>
      </c>
      <c r="AA1371" s="105" t="str">
        <f>VLOOKUP(Table__192.168.1.150_M_CONSOLIDATED_Delinquency_Compulsory_EOM[[#This Row],[Client No]],'Global Portfolio'!$B$2:$N$2500,11,FALSE)</f>
        <v>Hotel</v>
      </c>
      <c r="AB1371" s="105" t="str">
        <f>VLOOKUP(Table__192.168.1.150_M_CONSOLIDATED_Delinquency_Compulsory_EOM[[#This Row],[Client No]],'Global Portfolio'!$B$2:$N$2500,12,FALSE)</f>
        <v>Hotel</v>
      </c>
    </row>
    <row r="1372" spans="1:28" x14ac:dyDescent="0.25">
      <c r="A1372">
        <v>201317</v>
      </c>
      <c r="B1372" t="s">
        <v>4016</v>
      </c>
      <c r="C1372" t="s">
        <v>4034</v>
      </c>
      <c r="D1372" t="s">
        <v>1284</v>
      </c>
      <c r="E1372">
        <v>-21</v>
      </c>
      <c r="F1372">
        <v>20000000</v>
      </c>
      <c r="G1372">
        <v>19145826.079999998</v>
      </c>
      <c r="H1372">
        <v>1454173.92</v>
      </c>
      <c r="I1372" t="s">
        <v>2557</v>
      </c>
      <c r="J1372">
        <v>37552.699999999997</v>
      </c>
      <c r="K1372">
        <v>1000000</v>
      </c>
      <c r="L1372">
        <v>153166.60999999999</v>
      </c>
      <c r="M1372">
        <v>24720956.579999998</v>
      </c>
      <c r="N1372" s="711">
        <v>43000.692347881944</v>
      </c>
      <c r="O1372" s="711">
        <v>43546</v>
      </c>
      <c r="P1372" t="s">
        <v>4035</v>
      </c>
      <c r="Q1372" t="s">
        <v>1280</v>
      </c>
      <c r="R1372" t="s">
        <v>1280</v>
      </c>
      <c r="S1372" t="s">
        <v>1510</v>
      </c>
      <c r="T1372">
        <v>36</v>
      </c>
      <c r="U1372">
        <f>IF(Table__192.168.1.150_M_CONSOLIDATED_Delinquency_Compulsory_EOM[[#This Row],[Days in Arrears]] &lt; 8, Table__192.168.1.150_M_CONSOLIDATED_Delinquency_Compulsory_EOM[[#This Row],[Outstanding Balance]], 0 )</f>
        <v>19145826.079999998</v>
      </c>
      <c r="V13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2" s="105" t="str">
        <f>VLOOKUP(Table__192.168.1.150_M_CONSOLIDATED_Delinquency_Compulsory_EOM[[#This Row],[Client No]],'Global Portfolio'!$B$2:$N$2500,10,FALSE)</f>
        <v>Educational Services</v>
      </c>
      <c r="AA1372" s="105" t="str">
        <f>VLOOKUP(Table__192.168.1.150_M_CONSOLIDATED_Delinquency_Compulsory_EOM[[#This Row],[Client No]],'Global Portfolio'!$B$2:$N$2500,11,FALSE)</f>
        <v>Educational Services</v>
      </c>
      <c r="AB1372" s="105" t="str">
        <f>VLOOKUP(Table__192.168.1.150_M_CONSOLIDATED_Delinquency_Compulsory_EOM[[#This Row],[Client No]],'Global Portfolio'!$B$2:$N$2500,12,FALSE)</f>
        <v>Colleges</v>
      </c>
    </row>
    <row r="1373" spans="1:28" x14ac:dyDescent="0.25">
      <c r="A1373">
        <v>201320</v>
      </c>
      <c r="B1373" t="s">
        <v>1948</v>
      </c>
      <c r="C1373" t="s">
        <v>917</v>
      </c>
      <c r="D1373" t="s">
        <v>1286</v>
      </c>
      <c r="E1373">
        <v>-20</v>
      </c>
      <c r="F1373">
        <v>8780000</v>
      </c>
      <c r="G1373">
        <v>7386021.0700000003</v>
      </c>
      <c r="H1373">
        <v>1570798.37</v>
      </c>
      <c r="I1373" t="s">
        <v>284</v>
      </c>
      <c r="J1373">
        <v>0</v>
      </c>
      <c r="K1373">
        <v>0</v>
      </c>
      <c r="L1373">
        <v>46162.63</v>
      </c>
      <c r="M1373">
        <v>7853991.8200000003</v>
      </c>
      <c r="N1373" s="711">
        <v>43000.754174571761</v>
      </c>
      <c r="O1373" s="711">
        <v>43180</v>
      </c>
      <c r="P1373" t="s">
        <v>1952</v>
      </c>
      <c r="Q1373" t="s">
        <v>1280</v>
      </c>
      <c r="R1373" t="s">
        <v>1280</v>
      </c>
      <c r="S1373" t="s">
        <v>1510</v>
      </c>
      <c r="T1373">
        <v>25</v>
      </c>
      <c r="U1373">
        <f>IF(Table__192.168.1.150_M_CONSOLIDATED_Delinquency_Compulsory_EOM[[#This Row],[Days in Arrears]] &lt; 8, Table__192.168.1.150_M_CONSOLIDATED_Delinquency_Compulsory_EOM[[#This Row],[Outstanding Balance]], 0 )</f>
        <v>7386021.0700000003</v>
      </c>
      <c r="V13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3" s="105" t="str">
        <f>VLOOKUP(Table__192.168.1.150_M_CONSOLIDATED_Delinquency_Compulsory_EOM[[#This Row],[Client No]],'Global Portfolio'!$B$2:$N$2500,10,FALSE)</f>
        <v>Other Services</v>
      </c>
      <c r="AA1373" s="105" t="str">
        <f>VLOOKUP(Table__192.168.1.150_M_CONSOLIDATED_Delinquency_Compulsory_EOM[[#This Row],[Client No]],'Global Portfolio'!$B$2:$N$2500,11,FALSE)</f>
        <v>Personal Services</v>
      </c>
      <c r="AB1373" s="105" t="str">
        <f>VLOOKUP(Table__192.168.1.150_M_CONSOLIDATED_Delinquency_Compulsory_EOM[[#This Row],[Client No]],'Global Portfolio'!$B$2:$N$2500,12,FALSE)</f>
        <v>Others</v>
      </c>
    </row>
    <row r="1374" spans="1:28" x14ac:dyDescent="0.25">
      <c r="A1374">
        <v>201321</v>
      </c>
      <c r="B1374" t="s">
        <v>5555</v>
      </c>
      <c r="C1374" t="s">
        <v>5560</v>
      </c>
      <c r="D1374" t="s">
        <v>1282</v>
      </c>
      <c r="E1374">
        <v>-22</v>
      </c>
      <c r="F1374">
        <v>1800000</v>
      </c>
      <c r="G1374">
        <v>1532018.9</v>
      </c>
      <c r="H1374">
        <v>348981.1</v>
      </c>
      <c r="I1374" t="s">
        <v>4685</v>
      </c>
      <c r="J1374">
        <v>0</v>
      </c>
      <c r="K1374">
        <v>180000</v>
      </c>
      <c r="L1374">
        <v>16086.2</v>
      </c>
      <c r="M1374">
        <v>1744905.48</v>
      </c>
      <c r="N1374" s="711">
        <v>43001.471149502315</v>
      </c>
      <c r="O1374" s="711">
        <v>43182</v>
      </c>
      <c r="P1374" t="s">
        <v>5561</v>
      </c>
      <c r="Q1374" t="s">
        <v>1280</v>
      </c>
      <c r="R1374" t="s">
        <v>1280</v>
      </c>
      <c r="S1374" t="s">
        <v>1510</v>
      </c>
      <c r="T1374">
        <v>54</v>
      </c>
      <c r="U1374">
        <f>IF(Table__192.168.1.150_M_CONSOLIDATED_Delinquency_Compulsory_EOM[[#This Row],[Days in Arrears]] &lt; 8, Table__192.168.1.150_M_CONSOLIDATED_Delinquency_Compulsory_EOM[[#This Row],[Outstanding Balance]], 0 )</f>
        <v>1532018.9</v>
      </c>
      <c r="V13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4" s="105" t="str">
        <f>VLOOKUP(Table__192.168.1.150_M_CONSOLIDATED_Delinquency_Compulsory_EOM[[#This Row],[Client No]],'Global Portfolio'!$B$2:$N$2500,10,FALSE)</f>
        <v>Real Estate and Rental</v>
      </c>
      <c r="AA1374" s="105" t="str">
        <f>VLOOKUP(Table__192.168.1.150_M_CONSOLIDATED_Delinquency_Compulsory_EOM[[#This Row],[Client No]],'Global Portfolio'!$B$2:$N$2500,11,FALSE)</f>
        <v>Rental</v>
      </c>
      <c r="AB1374" s="105" t="str">
        <f>VLOOKUP(Table__192.168.1.150_M_CONSOLIDATED_Delinquency_Compulsory_EOM[[#This Row],[Client No]],'Global Portfolio'!$B$2:$N$2500,12,FALSE)</f>
        <v>Others</v>
      </c>
    </row>
    <row r="1375" spans="1:28" x14ac:dyDescent="0.25">
      <c r="A1375">
        <v>201322</v>
      </c>
      <c r="B1375" t="s">
        <v>5554</v>
      </c>
      <c r="C1375" t="s">
        <v>5562</v>
      </c>
      <c r="D1375" t="s">
        <v>1282</v>
      </c>
      <c r="E1375">
        <v>-22</v>
      </c>
      <c r="F1375">
        <v>3000000</v>
      </c>
      <c r="G1375">
        <v>2755863.53</v>
      </c>
      <c r="H1375">
        <v>379136.47</v>
      </c>
      <c r="I1375" t="s">
        <v>4686</v>
      </c>
      <c r="J1375">
        <v>2452.91</v>
      </c>
      <c r="K1375">
        <v>300000</v>
      </c>
      <c r="L1375">
        <v>28936.57</v>
      </c>
      <c r="M1375">
        <v>3412228.18</v>
      </c>
      <c r="N1375" s="711">
        <v>43001.50625864583</v>
      </c>
      <c r="O1375" s="711">
        <v>43304</v>
      </c>
      <c r="P1375" t="s">
        <v>5563</v>
      </c>
      <c r="Q1375" t="s">
        <v>1280</v>
      </c>
      <c r="R1375" t="s">
        <v>1280</v>
      </c>
      <c r="S1375" t="s">
        <v>1510</v>
      </c>
      <c r="T1375">
        <v>54</v>
      </c>
      <c r="U1375">
        <f>IF(Table__192.168.1.150_M_CONSOLIDATED_Delinquency_Compulsory_EOM[[#This Row],[Days in Arrears]] &lt; 8, Table__192.168.1.150_M_CONSOLIDATED_Delinquency_Compulsory_EOM[[#This Row],[Outstanding Balance]], 0 )</f>
        <v>2755863.53</v>
      </c>
      <c r="V13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5" s="105" t="str">
        <f>VLOOKUP(Table__192.168.1.150_M_CONSOLIDATED_Delinquency_Compulsory_EOM[[#This Row],[Client No]],'Global Portfolio'!$B$2:$N$2500,10,FALSE)</f>
        <v>Retail</v>
      </c>
      <c r="AA1375" s="105" t="str">
        <f>VLOOKUP(Table__192.168.1.150_M_CONSOLIDATED_Delinquency_Compulsory_EOM[[#This Row],[Client No]],'Global Portfolio'!$B$2:$N$2500,11,FALSE)</f>
        <v>General Merchandise Stores</v>
      </c>
      <c r="AB1375" s="105" t="str">
        <f>VLOOKUP(Table__192.168.1.150_M_CONSOLIDATED_Delinquency_Compulsory_EOM[[#This Row],[Client No]],'Global Portfolio'!$B$2:$N$2500,12,FALSE)</f>
        <v>General Stores</v>
      </c>
    </row>
    <row r="1376" spans="1:28" x14ac:dyDescent="0.25">
      <c r="A1376">
        <v>201323</v>
      </c>
      <c r="B1376" t="s">
        <v>3110</v>
      </c>
      <c r="C1376" t="s">
        <v>3111</v>
      </c>
      <c r="D1376" t="s">
        <v>1866</v>
      </c>
      <c r="E1376">
        <v>-24</v>
      </c>
      <c r="F1376">
        <v>6000000</v>
      </c>
      <c r="G1376">
        <v>5592990.5999999996</v>
      </c>
      <c r="H1376">
        <v>627009.4</v>
      </c>
      <c r="I1376" t="s">
        <v>1447</v>
      </c>
      <c r="J1376">
        <v>6739.28</v>
      </c>
      <c r="K1376">
        <v>600000</v>
      </c>
      <c r="L1376">
        <v>34179.39</v>
      </c>
      <c r="M1376">
        <v>6897103.4199999999</v>
      </c>
      <c r="N1376" s="711">
        <v>43003.48632384259</v>
      </c>
      <c r="O1376" s="711">
        <v>43368</v>
      </c>
      <c r="P1376" t="s">
        <v>3112</v>
      </c>
      <c r="Q1376" t="s">
        <v>1280</v>
      </c>
      <c r="R1376" t="s">
        <v>1280</v>
      </c>
      <c r="S1376" t="s">
        <v>1510</v>
      </c>
      <c r="T1376">
        <v>44</v>
      </c>
      <c r="U1376">
        <f>IF(Table__192.168.1.150_M_CONSOLIDATED_Delinquency_Compulsory_EOM[[#This Row],[Days in Arrears]] &lt; 8, Table__192.168.1.150_M_CONSOLIDATED_Delinquency_Compulsory_EOM[[#This Row],[Outstanding Balance]], 0 )</f>
        <v>5592990.5999999996</v>
      </c>
      <c r="V13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6" s="105" t="str">
        <f>VLOOKUP(Table__192.168.1.150_M_CONSOLIDATED_Delinquency_Compulsory_EOM[[#This Row],[Client No]],'Global Portfolio'!$B$2:$N$2500,10,FALSE)</f>
        <v>Real Estate and Rental</v>
      </c>
      <c r="AA1376" s="105" t="str">
        <f>VLOOKUP(Table__192.168.1.150_M_CONSOLIDATED_Delinquency_Compulsory_EOM[[#This Row],[Client No]],'Global Portfolio'!$B$2:$N$2500,11,FALSE)</f>
        <v>Rental</v>
      </c>
      <c r="AB1376" s="105" t="str">
        <f>VLOOKUP(Table__192.168.1.150_M_CONSOLIDATED_Delinquency_Compulsory_EOM[[#This Row],[Client No]],'Global Portfolio'!$B$2:$N$2500,12,FALSE)</f>
        <v>Others</v>
      </c>
    </row>
    <row r="1377" spans="1:28" x14ac:dyDescent="0.25">
      <c r="A1377">
        <v>201324</v>
      </c>
      <c r="B1377" t="s">
        <v>4284</v>
      </c>
      <c r="C1377" t="s">
        <v>4301</v>
      </c>
      <c r="D1377" t="s">
        <v>1286</v>
      </c>
      <c r="E1377">
        <v>-20</v>
      </c>
      <c r="F1377">
        <v>2365322</v>
      </c>
      <c r="G1377">
        <v>1985722.11</v>
      </c>
      <c r="H1377">
        <v>422307.09</v>
      </c>
      <c r="I1377" t="s">
        <v>284</v>
      </c>
      <c r="J1377">
        <v>22420.7</v>
      </c>
      <c r="K1377">
        <v>0</v>
      </c>
      <c r="L1377">
        <v>12410.76</v>
      </c>
      <c r="M1377">
        <v>2111535.4300000002</v>
      </c>
      <c r="N1377" s="711">
        <v>43003.492693749999</v>
      </c>
      <c r="O1377" s="711">
        <v>43180</v>
      </c>
      <c r="P1377" t="s">
        <v>4302</v>
      </c>
      <c r="Q1377" t="s">
        <v>1280</v>
      </c>
      <c r="R1377" t="s">
        <v>1280</v>
      </c>
      <c r="S1377" t="s">
        <v>1510</v>
      </c>
      <c r="T1377">
        <v>25</v>
      </c>
      <c r="U1377">
        <f>IF(Table__192.168.1.150_M_CONSOLIDATED_Delinquency_Compulsory_EOM[[#This Row],[Days in Arrears]] &lt; 8, Table__192.168.1.150_M_CONSOLIDATED_Delinquency_Compulsory_EOM[[#This Row],[Outstanding Balance]], 0 )</f>
        <v>1985722.11</v>
      </c>
      <c r="V13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7" s="105" t="str">
        <f>VLOOKUP(Table__192.168.1.150_M_CONSOLIDATED_Delinquency_Compulsory_EOM[[#This Row],[Client No]],'Global Portfolio'!$B$2:$N$2500,10,FALSE)</f>
        <v>Other Services</v>
      </c>
      <c r="AA1377" s="105" t="str">
        <f>VLOOKUP(Table__192.168.1.150_M_CONSOLIDATED_Delinquency_Compulsory_EOM[[#This Row],[Client No]],'Global Portfolio'!$B$2:$N$2500,11,FALSE)</f>
        <v>Personal Services</v>
      </c>
      <c r="AB1377" s="105" t="str">
        <f>VLOOKUP(Table__192.168.1.150_M_CONSOLIDATED_Delinquency_Compulsory_EOM[[#This Row],[Client No]],'Global Portfolio'!$B$2:$N$2500,12,FALSE)</f>
        <v>Others</v>
      </c>
    </row>
    <row r="1378" spans="1:28" x14ac:dyDescent="0.25">
      <c r="A1378">
        <v>201325</v>
      </c>
      <c r="B1378" t="s">
        <v>5566</v>
      </c>
      <c r="C1378" t="s">
        <v>5574</v>
      </c>
      <c r="D1378" t="s">
        <v>1284</v>
      </c>
      <c r="E1378">
        <v>-24</v>
      </c>
      <c r="F1378">
        <v>10000000</v>
      </c>
      <c r="G1378">
        <v>9308618.5</v>
      </c>
      <c r="H1378">
        <v>1024714.83</v>
      </c>
      <c r="I1378" t="s">
        <v>1909</v>
      </c>
      <c r="J1378">
        <v>61285.17</v>
      </c>
      <c r="K1378">
        <v>600000</v>
      </c>
      <c r="L1378">
        <v>51714.55</v>
      </c>
      <c r="M1378">
        <v>11271863.09</v>
      </c>
      <c r="N1378" s="711">
        <v>43003.53083171296</v>
      </c>
      <c r="O1378" s="711">
        <v>43368</v>
      </c>
      <c r="P1378" t="s">
        <v>5575</v>
      </c>
      <c r="Q1378" t="s">
        <v>5576</v>
      </c>
      <c r="R1378" t="s">
        <v>1280</v>
      </c>
      <c r="S1378" t="s">
        <v>1510</v>
      </c>
      <c r="T1378">
        <v>40</v>
      </c>
      <c r="U1378">
        <f>IF(Table__192.168.1.150_M_CONSOLIDATED_Delinquency_Compulsory_EOM[[#This Row],[Days in Arrears]] &lt; 8, Table__192.168.1.150_M_CONSOLIDATED_Delinquency_Compulsory_EOM[[#This Row],[Outstanding Balance]], 0 )</f>
        <v>9308618.5</v>
      </c>
      <c r="V13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8" s="105" t="str">
        <f>VLOOKUP(Table__192.168.1.150_M_CONSOLIDATED_Delinquency_Compulsory_EOM[[#This Row],[Client No]],'Global Portfolio'!$B$2:$N$2500,10,FALSE)</f>
        <v>Real Estate and Rental</v>
      </c>
      <c r="AA1378" s="105" t="str">
        <f>VLOOKUP(Table__192.168.1.150_M_CONSOLIDATED_Delinquency_Compulsory_EOM[[#This Row],[Client No]],'Global Portfolio'!$B$2:$N$2500,11,FALSE)</f>
        <v>Rental</v>
      </c>
      <c r="AB1378" s="105" t="str">
        <f>VLOOKUP(Table__192.168.1.150_M_CONSOLIDATED_Delinquency_Compulsory_EOM[[#This Row],[Client No]],'Global Portfolio'!$B$2:$N$2500,12,FALSE)</f>
        <v>Others</v>
      </c>
    </row>
    <row r="1379" spans="1:28" x14ac:dyDescent="0.25">
      <c r="A1379">
        <v>201326</v>
      </c>
      <c r="B1379" t="s">
        <v>4192</v>
      </c>
      <c r="C1379" t="s">
        <v>4193</v>
      </c>
      <c r="D1379" t="s">
        <v>1282</v>
      </c>
      <c r="E1379">
        <v>-24</v>
      </c>
      <c r="F1379">
        <v>6000000</v>
      </c>
      <c r="G1379">
        <v>5500254.3300000001</v>
      </c>
      <c r="H1379">
        <v>739745.67</v>
      </c>
      <c r="I1379" t="s">
        <v>2861</v>
      </c>
      <c r="J1379">
        <v>4994.18</v>
      </c>
      <c r="K1379">
        <v>600000</v>
      </c>
      <c r="L1379">
        <v>36668.36</v>
      </c>
      <c r="M1379">
        <v>6657710.9699999997</v>
      </c>
      <c r="N1379" s="711">
        <v>43003.575624108795</v>
      </c>
      <c r="O1379" s="711">
        <v>43306</v>
      </c>
      <c r="P1379" t="s">
        <v>4194</v>
      </c>
      <c r="Q1379" t="s">
        <v>1280</v>
      </c>
      <c r="R1379" t="s">
        <v>1280</v>
      </c>
      <c r="S1379" t="s">
        <v>1510</v>
      </c>
      <c r="T1379">
        <v>48</v>
      </c>
      <c r="U1379">
        <f>IF(Table__192.168.1.150_M_CONSOLIDATED_Delinquency_Compulsory_EOM[[#This Row],[Days in Arrears]] &lt; 8, Table__192.168.1.150_M_CONSOLIDATED_Delinquency_Compulsory_EOM[[#This Row],[Outstanding Balance]], 0 )</f>
        <v>5500254.3300000001</v>
      </c>
      <c r="V13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79" s="105" t="str">
        <f>VLOOKUP(Table__192.168.1.150_M_CONSOLIDATED_Delinquency_Compulsory_EOM[[#This Row],[Client No]],'Global Portfolio'!$B$2:$N$2500,10,FALSE)</f>
        <v>Retail</v>
      </c>
      <c r="AA1379" s="105" t="str">
        <f>VLOOKUP(Table__192.168.1.150_M_CONSOLIDATED_Delinquency_Compulsory_EOM[[#This Row],[Client No]],'Global Portfolio'!$B$2:$N$2500,11,FALSE)</f>
        <v>General Merchandise Stores</v>
      </c>
      <c r="AB1379" s="105" t="str">
        <f>VLOOKUP(Table__192.168.1.150_M_CONSOLIDATED_Delinquency_Compulsory_EOM[[#This Row],[Client No]],'Global Portfolio'!$B$2:$N$2500,12,FALSE)</f>
        <v>General Stores</v>
      </c>
    </row>
    <row r="1380" spans="1:28" x14ac:dyDescent="0.25">
      <c r="A1380">
        <v>201327</v>
      </c>
      <c r="B1380" t="s">
        <v>3441</v>
      </c>
      <c r="C1380" t="s">
        <v>2160</v>
      </c>
      <c r="D1380" t="s">
        <v>1282</v>
      </c>
      <c r="E1380">
        <v>-24</v>
      </c>
      <c r="F1380">
        <v>6000000</v>
      </c>
      <c r="G1380">
        <v>5600686.96</v>
      </c>
      <c r="H1380">
        <v>639313.04</v>
      </c>
      <c r="I1380" t="s">
        <v>2557</v>
      </c>
      <c r="J1380">
        <v>4854.46</v>
      </c>
      <c r="K1380">
        <v>600000</v>
      </c>
      <c r="L1380">
        <v>37337.910000000003</v>
      </c>
      <c r="M1380">
        <v>7032443.3799999999</v>
      </c>
      <c r="N1380" s="711">
        <v>43003.602945335646</v>
      </c>
      <c r="O1380" s="711">
        <v>43368</v>
      </c>
      <c r="P1380" t="s">
        <v>3443</v>
      </c>
      <c r="Q1380" t="s">
        <v>1280</v>
      </c>
      <c r="R1380" t="s">
        <v>1280</v>
      </c>
      <c r="S1380" t="s">
        <v>1510</v>
      </c>
      <c r="T1380">
        <v>48</v>
      </c>
      <c r="U1380">
        <f>IF(Table__192.168.1.150_M_CONSOLIDATED_Delinquency_Compulsory_EOM[[#This Row],[Days in Arrears]] &lt; 8, Table__192.168.1.150_M_CONSOLIDATED_Delinquency_Compulsory_EOM[[#This Row],[Outstanding Balance]], 0 )</f>
        <v>5600686.96</v>
      </c>
      <c r="V13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0" s="105" t="str">
        <f>VLOOKUP(Table__192.168.1.150_M_CONSOLIDATED_Delinquency_Compulsory_EOM[[#This Row],[Client No]],'Global Portfolio'!$B$2:$N$2500,10,FALSE)</f>
        <v>Real Estate and Rental</v>
      </c>
      <c r="AA1380" s="105" t="str">
        <f>VLOOKUP(Table__192.168.1.150_M_CONSOLIDATED_Delinquency_Compulsory_EOM[[#This Row],[Client No]],'Global Portfolio'!$B$2:$N$2500,11,FALSE)</f>
        <v>Real Estate</v>
      </c>
      <c r="AB1380" s="105" t="str">
        <f>VLOOKUP(Table__192.168.1.150_M_CONSOLIDATED_Delinquency_Compulsory_EOM[[#This Row],[Client No]],'Global Portfolio'!$B$2:$N$2500,12,FALSE)</f>
        <v>Real Estate</v>
      </c>
    </row>
    <row r="1381" spans="1:28" x14ac:dyDescent="0.25">
      <c r="A1381">
        <v>201328</v>
      </c>
      <c r="B1381" t="s">
        <v>5567</v>
      </c>
      <c r="C1381" t="s">
        <v>5577</v>
      </c>
      <c r="D1381" t="s">
        <v>1286</v>
      </c>
      <c r="E1381">
        <v>-20</v>
      </c>
      <c r="F1381">
        <v>3500000</v>
      </c>
      <c r="G1381">
        <v>2938300.74</v>
      </c>
      <c r="H1381">
        <v>624893.69999999995</v>
      </c>
      <c r="I1381" t="s">
        <v>284</v>
      </c>
      <c r="J1381">
        <v>83617.490000000005</v>
      </c>
      <c r="K1381">
        <v>0</v>
      </c>
      <c r="L1381">
        <v>18364.38</v>
      </c>
      <c r="M1381">
        <v>3124468.47</v>
      </c>
      <c r="N1381" s="711">
        <v>43003.691176932873</v>
      </c>
      <c r="O1381" s="711">
        <v>43180</v>
      </c>
      <c r="P1381" t="s">
        <v>5578</v>
      </c>
      <c r="Q1381" t="s">
        <v>1280</v>
      </c>
      <c r="R1381" t="s">
        <v>1280</v>
      </c>
      <c r="S1381" t="s">
        <v>1510</v>
      </c>
      <c r="T1381">
        <v>25</v>
      </c>
      <c r="U1381">
        <f>IF(Table__192.168.1.150_M_CONSOLIDATED_Delinquency_Compulsory_EOM[[#This Row],[Days in Arrears]] &lt; 8, Table__192.168.1.150_M_CONSOLIDATED_Delinquency_Compulsory_EOM[[#This Row],[Outstanding Balance]], 0 )</f>
        <v>2938300.74</v>
      </c>
      <c r="V13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1" s="105" t="str">
        <f>VLOOKUP(Table__192.168.1.150_M_CONSOLIDATED_Delinquency_Compulsory_EOM[[#This Row],[Client No]],'Global Portfolio'!$B$2:$N$2500,10,FALSE)</f>
        <v>Other Services</v>
      </c>
      <c r="AA1381" s="105" t="str">
        <f>VLOOKUP(Table__192.168.1.150_M_CONSOLIDATED_Delinquency_Compulsory_EOM[[#This Row],[Client No]],'Global Portfolio'!$B$2:$N$2500,11,FALSE)</f>
        <v>Personal Services</v>
      </c>
      <c r="AB1381" s="105" t="str">
        <f>VLOOKUP(Table__192.168.1.150_M_CONSOLIDATED_Delinquency_Compulsory_EOM[[#This Row],[Client No]],'Global Portfolio'!$B$2:$N$2500,12,FALSE)</f>
        <v>Others</v>
      </c>
    </row>
    <row r="1382" spans="1:28" x14ac:dyDescent="0.25">
      <c r="A1382">
        <v>201329</v>
      </c>
      <c r="B1382" t="s">
        <v>5580</v>
      </c>
      <c r="C1382" t="s">
        <v>5586</v>
      </c>
      <c r="D1382" t="s">
        <v>1282</v>
      </c>
      <c r="E1382">
        <v>-1</v>
      </c>
      <c r="F1382">
        <v>5000000</v>
      </c>
      <c r="G1382">
        <v>5000000</v>
      </c>
      <c r="H1382">
        <v>977740.77</v>
      </c>
      <c r="I1382" t="s">
        <v>3074</v>
      </c>
      <c r="J1382">
        <v>3800</v>
      </c>
      <c r="K1382">
        <v>500000</v>
      </c>
      <c r="L1382">
        <v>255000</v>
      </c>
      <c r="M1382">
        <v>977740.77</v>
      </c>
      <c r="N1382" s="711">
        <v>43004.478649571756</v>
      </c>
      <c r="O1382" s="711">
        <v>43192</v>
      </c>
      <c r="P1382" t="s">
        <v>5587</v>
      </c>
      <c r="Q1382" t="s">
        <v>1280</v>
      </c>
      <c r="R1382" t="s">
        <v>1280</v>
      </c>
      <c r="S1382" t="s">
        <v>1510</v>
      </c>
      <c r="T1382">
        <v>54</v>
      </c>
      <c r="U1382">
        <f>IF(Table__192.168.1.150_M_CONSOLIDATED_Delinquency_Compulsory_EOM[[#This Row],[Days in Arrears]] &lt; 8, Table__192.168.1.150_M_CONSOLIDATED_Delinquency_Compulsory_EOM[[#This Row],[Outstanding Balance]], 0 )</f>
        <v>5000000</v>
      </c>
      <c r="V13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2" s="105" t="str">
        <f>VLOOKUP(Table__192.168.1.150_M_CONSOLIDATED_Delinquency_Compulsory_EOM[[#This Row],[Client No]],'Global Portfolio'!$B$2:$N$2500,10,FALSE)</f>
        <v>Transportation and Warehousing</v>
      </c>
      <c r="AA1382" s="105" t="str">
        <f>VLOOKUP(Table__192.168.1.150_M_CONSOLIDATED_Delinquency_Compulsory_EOM[[#This Row],[Client No]],'Global Portfolio'!$B$2:$N$2500,11,FALSE)</f>
        <v>Warehousing and Storage</v>
      </c>
      <c r="AB1382" s="105" t="str">
        <f>VLOOKUP(Table__192.168.1.150_M_CONSOLIDATED_Delinquency_Compulsory_EOM[[#This Row],[Client No]],'Global Portfolio'!$B$2:$N$2500,12,FALSE)</f>
        <v>Warehousing and Storage</v>
      </c>
    </row>
    <row r="1383" spans="1:28" x14ac:dyDescent="0.25">
      <c r="A1383">
        <v>201330</v>
      </c>
      <c r="B1383" t="s">
        <v>5581</v>
      </c>
      <c r="C1383" t="s">
        <v>5588</v>
      </c>
      <c r="D1383" t="s">
        <v>1281</v>
      </c>
      <c r="E1383">
        <v>-1</v>
      </c>
      <c r="F1383">
        <v>18000000</v>
      </c>
      <c r="G1383">
        <v>18000000</v>
      </c>
      <c r="H1383">
        <v>1932692.49</v>
      </c>
      <c r="I1383" t="s">
        <v>1667</v>
      </c>
      <c r="J1383">
        <v>1515400</v>
      </c>
      <c r="K1383">
        <v>1350000</v>
      </c>
      <c r="L1383">
        <v>816000</v>
      </c>
      <c r="M1383">
        <v>1932692.49</v>
      </c>
      <c r="N1383" s="711">
        <v>43004.653141122682</v>
      </c>
      <c r="O1383" s="711">
        <v>43375</v>
      </c>
      <c r="P1383" t="s">
        <v>5589</v>
      </c>
      <c r="Q1383" t="s">
        <v>1280</v>
      </c>
      <c r="R1383" t="s">
        <v>1280</v>
      </c>
      <c r="S1383" t="s">
        <v>1510</v>
      </c>
      <c r="T1383">
        <v>48</v>
      </c>
      <c r="U1383">
        <f>IF(Table__192.168.1.150_M_CONSOLIDATED_Delinquency_Compulsory_EOM[[#This Row],[Days in Arrears]] &lt; 8, Table__192.168.1.150_M_CONSOLIDATED_Delinquency_Compulsory_EOM[[#This Row],[Outstanding Balance]], 0 )</f>
        <v>18000000</v>
      </c>
      <c r="V13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3" s="105" t="str">
        <f>VLOOKUP(Table__192.168.1.150_M_CONSOLIDATED_Delinquency_Compulsory_EOM[[#This Row],[Client No]],'Global Portfolio'!$B$2:$N$2500,10,FALSE)</f>
        <v>Transportation and Warehousing</v>
      </c>
      <c r="AA1383" s="105" t="str">
        <f>VLOOKUP(Table__192.168.1.150_M_CONSOLIDATED_Delinquency_Compulsory_EOM[[#This Row],[Client No]],'Global Portfolio'!$B$2:$N$2500,11,FALSE)</f>
        <v>Warehousing and Storage</v>
      </c>
      <c r="AB1383" s="105" t="str">
        <f>VLOOKUP(Table__192.168.1.150_M_CONSOLIDATED_Delinquency_Compulsory_EOM[[#This Row],[Client No]],'Global Portfolio'!$B$2:$N$2500,12,FALSE)</f>
        <v>Warehousing and Storage</v>
      </c>
    </row>
    <row r="1384" spans="1:28" x14ac:dyDescent="0.25">
      <c r="A1384">
        <v>201331</v>
      </c>
      <c r="B1384" t="s">
        <v>5582</v>
      </c>
      <c r="C1384" t="s">
        <v>5590</v>
      </c>
      <c r="D1384" t="s">
        <v>1282</v>
      </c>
      <c r="E1384">
        <v>-1</v>
      </c>
      <c r="F1384">
        <v>2000000</v>
      </c>
      <c r="G1384">
        <v>2000000</v>
      </c>
      <c r="H1384">
        <v>248478.67</v>
      </c>
      <c r="I1384" t="s">
        <v>1447</v>
      </c>
      <c r="J1384">
        <v>103800</v>
      </c>
      <c r="K1384">
        <v>200000</v>
      </c>
      <c r="L1384">
        <v>90666.67</v>
      </c>
      <c r="M1384">
        <v>248478.67</v>
      </c>
      <c r="N1384" s="711">
        <v>43004.57486724537</v>
      </c>
      <c r="O1384" s="711">
        <v>43314</v>
      </c>
      <c r="P1384" t="s">
        <v>5591</v>
      </c>
      <c r="Q1384" t="s">
        <v>1280</v>
      </c>
      <c r="R1384" t="s">
        <v>1280</v>
      </c>
      <c r="S1384" t="s">
        <v>1510</v>
      </c>
      <c r="T1384">
        <v>48</v>
      </c>
      <c r="U1384">
        <f>IF(Table__192.168.1.150_M_CONSOLIDATED_Delinquency_Compulsory_EOM[[#This Row],[Days in Arrears]] &lt; 8, Table__192.168.1.150_M_CONSOLIDATED_Delinquency_Compulsory_EOM[[#This Row],[Outstanding Balance]], 0 )</f>
        <v>2000000</v>
      </c>
      <c r="V13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4" s="105" t="str">
        <f>VLOOKUP(Table__192.168.1.150_M_CONSOLIDATED_Delinquency_Compulsory_EOM[[#This Row],[Client No]],'Global Portfolio'!$B$2:$N$2500,10,FALSE)</f>
        <v>Real Estate and Rental</v>
      </c>
      <c r="AA1384" s="105" t="str">
        <f>VLOOKUP(Table__192.168.1.150_M_CONSOLIDATED_Delinquency_Compulsory_EOM[[#This Row],[Client No]],'Global Portfolio'!$B$2:$N$2500,11,FALSE)</f>
        <v>Rental</v>
      </c>
      <c r="AB1384" s="105" t="str">
        <f>VLOOKUP(Table__192.168.1.150_M_CONSOLIDATED_Delinquency_Compulsory_EOM[[#This Row],[Client No]],'Global Portfolio'!$B$2:$N$2500,12,FALSE)</f>
        <v>Others</v>
      </c>
    </row>
    <row r="1385" spans="1:28" x14ac:dyDescent="0.25">
      <c r="A1385">
        <v>201332</v>
      </c>
      <c r="B1385" t="s">
        <v>5593</v>
      </c>
      <c r="C1385" t="s">
        <v>5602</v>
      </c>
      <c r="D1385" t="s">
        <v>1279</v>
      </c>
      <c r="E1385">
        <v>-1</v>
      </c>
      <c r="F1385">
        <v>1500000</v>
      </c>
      <c r="G1385">
        <v>1500000</v>
      </c>
      <c r="H1385">
        <v>190928.77</v>
      </c>
      <c r="I1385" t="s">
        <v>4919</v>
      </c>
      <c r="J1385">
        <v>6300</v>
      </c>
      <c r="K1385">
        <v>150000</v>
      </c>
      <c r="L1385">
        <v>74250</v>
      </c>
      <c r="M1385">
        <v>190928.77</v>
      </c>
      <c r="N1385" s="711">
        <v>43005.516873611108</v>
      </c>
      <c r="O1385" s="711">
        <v>43314</v>
      </c>
      <c r="P1385" t="s">
        <v>5603</v>
      </c>
      <c r="Q1385" t="s">
        <v>1280</v>
      </c>
      <c r="R1385" t="s">
        <v>1280</v>
      </c>
      <c r="S1385" t="s">
        <v>1510</v>
      </c>
      <c r="T1385">
        <v>54</v>
      </c>
      <c r="U1385">
        <f>IF(Table__192.168.1.150_M_CONSOLIDATED_Delinquency_Compulsory_EOM[[#This Row],[Days in Arrears]] &lt; 8, Table__192.168.1.150_M_CONSOLIDATED_Delinquency_Compulsory_EOM[[#This Row],[Outstanding Balance]], 0 )</f>
        <v>1500000</v>
      </c>
      <c r="V13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5" s="105" t="str">
        <f>VLOOKUP(Table__192.168.1.150_M_CONSOLIDATED_Delinquency_Compulsory_EOM[[#This Row],[Client No]],'Global Portfolio'!$B$2:$N$2500,10,FALSE)</f>
        <v>Retail</v>
      </c>
      <c r="AA1385" s="105" t="str">
        <f>VLOOKUP(Table__192.168.1.150_M_CONSOLIDATED_Delinquency_Compulsory_EOM[[#This Row],[Client No]],'Global Portfolio'!$B$2:$N$2500,11,FALSE)</f>
        <v>General Merchandise Stores</v>
      </c>
      <c r="AB1385" s="105" t="str">
        <f>VLOOKUP(Table__192.168.1.150_M_CONSOLIDATED_Delinquency_Compulsory_EOM[[#This Row],[Client No]],'Global Portfolio'!$B$2:$N$2500,12,FALSE)</f>
        <v>General Stores</v>
      </c>
    </row>
    <row r="1386" spans="1:28" x14ac:dyDescent="0.25">
      <c r="A1386">
        <v>201333</v>
      </c>
      <c r="B1386" t="s">
        <v>5594</v>
      </c>
      <c r="C1386" t="s">
        <v>5604</v>
      </c>
      <c r="D1386" t="s">
        <v>1279</v>
      </c>
      <c r="E1386">
        <v>-1</v>
      </c>
      <c r="F1386">
        <v>3500000</v>
      </c>
      <c r="G1386">
        <v>3500000</v>
      </c>
      <c r="H1386">
        <v>534442.16</v>
      </c>
      <c r="I1386" t="s">
        <v>4919</v>
      </c>
      <c r="J1386">
        <v>6300</v>
      </c>
      <c r="K1386">
        <v>350000</v>
      </c>
      <c r="L1386">
        <v>173250</v>
      </c>
      <c r="M1386">
        <v>534442.16</v>
      </c>
      <c r="N1386" s="711">
        <v>43005.514843206016</v>
      </c>
      <c r="O1386" s="711">
        <v>43253</v>
      </c>
      <c r="P1386" t="s">
        <v>5605</v>
      </c>
      <c r="Q1386" t="s">
        <v>1280</v>
      </c>
      <c r="R1386" t="s">
        <v>1280</v>
      </c>
      <c r="S1386" t="s">
        <v>1510</v>
      </c>
      <c r="T1386">
        <v>54</v>
      </c>
      <c r="U1386">
        <f>IF(Table__192.168.1.150_M_CONSOLIDATED_Delinquency_Compulsory_EOM[[#This Row],[Days in Arrears]] &lt; 8, Table__192.168.1.150_M_CONSOLIDATED_Delinquency_Compulsory_EOM[[#This Row],[Outstanding Balance]], 0 )</f>
        <v>3500000</v>
      </c>
      <c r="V13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6" s="105" t="str">
        <f>VLOOKUP(Table__192.168.1.150_M_CONSOLIDATED_Delinquency_Compulsory_EOM[[#This Row],[Client No]],'Global Portfolio'!$B$2:$N$2500,10,FALSE)</f>
        <v>Retail</v>
      </c>
      <c r="AA1386" s="105" t="str">
        <f>VLOOKUP(Table__192.168.1.150_M_CONSOLIDATED_Delinquency_Compulsory_EOM[[#This Row],[Client No]],'Global Portfolio'!$B$2:$N$2500,11,FALSE)</f>
        <v>General Merchandise Stores</v>
      </c>
      <c r="AB1386" s="105" t="str">
        <f>VLOOKUP(Table__192.168.1.150_M_CONSOLIDATED_Delinquency_Compulsory_EOM[[#This Row],[Client No]],'Global Portfolio'!$B$2:$N$2500,12,FALSE)</f>
        <v>General Stores</v>
      </c>
    </row>
    <row r="1387" spans="1:28" x14ac:dyDescent="0.25">
      <c r="A1387">
        <v>201334</v>
      </c>
      <c r="B1387" t="s">
        <v>3510</v>
      </c>
      <c r="C1387" t="s">
        <v>3516</v>
      </c>
      <c r="D1387" t="s">
        <v>1282</v>
      </c>
      <c r="E1387">
        <v>-1</v>
      </c>
      <c r="F1387">
        <v>3000000</v>
      </c>
      <c r="G1387">
        <v>3000000</v>
      </c>
      <c r="H1387">
        <v>372243.81</v>
      </c>
      <c r="I1387" t="s">
        <v>2538</v>
      </c>
      <c r="J1387">
        <v>15057.9</v>
      </c>
      <c r="K1387">
        <v>300000</v>
      </c>
      <c r="L1387">
        <v>132000</v>
      </c>
      <c r="M1387">
        <v>372243.81</v>
      </c>
      <c r="N1387" s="711">
        <v>43005.506766550927</v>
      </c>
      <c r="O1387" s="711">
        <v>43314</v>
      </c>
      <c r="P1387" t="s">
        <v>3517</v>
      </c>
      <c r="Q1387" t="s">
        <v>1280</v>
      </c>
      <c r="R1387" t="s">
        <v>3518</v>
      </c>
      <c r="S1387" t="s">
        <v>1510</v>
      </c>
      <c r="T1387">
        <v>48</v>
      </c>
      <c r="U1387">
        <f>IF(Table__192.168.1.150_M_CONSOLIDATED_Delinquency_Compulsory_EOM[[#This Row],[Days in Arrears]] &lt; 8, Table__192.168.1.150_M_CONSOLIDATED_Delinquency_Compulsory_EOM[[#This Row],[Outstanding Balance]], 0 )</f>
        <v>3000000</v>
      </c>
      <c r="V13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7" s="105" t="str">
        <f>VLOOKUP(Table__192.168.1.150_M_CONSOLIDATED_Delinquency_Compulsory_EOM[[#This Row],[Client No]],'Global Portfolio'!$B$2:$N$2500,10,FALSE)</f>
        <v>Retail</v>
      </c>
      <c r="AA1387" s="105" t="str">
        <f>VLOOKUP(Table__192.168.1.150_M_CONSOLIDATED_Delinquency_Compulsory_EOM[[#This Row],[Client No]],'Global Portfolio'!$B$2:$N$2500,11,FALSE)</f>
        <v>Electronics Stores</v>
      </c>
      <c r="AB1387" s="105" t="str">
        <f>VLOOKUP(Table__192.168.1.150_M_CONSOLIDATED_Delinquency_Compulsory_EOM[[#This Row],[Client No]],'Global Portfolio'!$B$2:$N$2500,12,FALSE)</f>
        <v>Computer &amp; Software</v>
      </c>
    </row>
    <row r="1388" spans="1:28" x14ac:dyDescent="0.25">
      <c r="A1388">
        <v>201335</v>
      </c>
      <c r="B1388" t="s">
        <v>5596</v>
      </c>
      <c r="C1388" t="s">
        <v>5606</v>
      </c>
      <c r="D1388" t="s">
        <v>1282</v>
      </c>
      <c r="E1388">
        <v>-1</v>
      </c>
      <c r="F1388">
        <v>14000000</v>
      </c>
      <c r="G1388">
        <v>14000000</v>
      </c>
      <c r="H1388">
        <v>1546345.73</v>
      </c>
      <c r="I1388" t="s">
        <v>5410</v>
      </c>
      <c r="J1388">
        <v>0</v>
      </c>
      <c r="K1388">
        <v>1400000</v>
      </c>
      <c r="L1388">
        <v>693000</v>
      </c>
      <c r="M1388">
        <v>1546345.73</v>
      </c>
      <c r="N1388" s="711">
        <v>43005.5893125</v>
      </c>
      <c r="O1388" s="711">
        <v>43375</v>
      </c>
      <c r="P1388" t="s">
        <v>5607</v>
      </c>
      <c r="Q1388" t="s">
        <v>1280</v>
      </c>
      <c r="R1388" t="s">
        <v>1280</v>
      </c>
      <c r="S1388" t="s">
        <v>1510</v>
      </c>
      <c r="T1388">
        <v>54</v>
      </c>
      <c r="U1388">
        <f>IF(Table__192.168.1.150_M_CONSOLIDATED_Delinquency_Compulsory_EOM[[#This Row],[Days in Arrears]] &lt; 8, Table__192.168.1.150_M_CONSOLIDATED_Delinquency_Compulsory_EOM[[#This Row],[Outstanding Balance]], 0 )</f>
        <v>14000000</v>
      </c>
      <c r="V13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8" s="105" t="str">
        <f>VLOOKUP(Table__192.168.1.150_M_CONSOLIDATED_Delinquency_Compulsory_EOM[[#This Row],[Client No]],'Global Portfolio'!$B$2:$N$2500,10,FALSE)</f>
        <v>Real Estate and Rental</v>
      </c>
      <c r="AA1388" s="105" t="str">
        <f>VLOOKUP(Table__192.168.1.150_M_CONSOLIDATED_Delinquency_Compulsory_EOM[[#This Row],[Client No]],'Global Portfolio'!$B$2:$N$2500,11,FALSE)</f>
        <v>Rental</v>
      </c>
      <c r="AB1388" s="105" t="str">
        <f>VLOOKUP(Table__192.168.1.150_M_CONSOLIDATED_Delinquency_Compulsory_EOM[[#This Row],[Client No]],'Global Portfolio'!$B$2:$N$2500,12,FALSE)</f>
        <v>General Rental Centers</v>
      </c>
    </row>
    <row r="1389" spans="1:28" x14ac:dyDescent="0.25">
      <c r="A1389">
        <v>201336</v>
      </c>
      <c r="B1389" t="s">
        <v>1900</v>
      </c>
      <c r="C1389" t="s">
        <v>1904</v>
      </c>
      <c r="D1389" t="s">
        <v>1279</v>
      </c>
      <c r="E1389">
        <v>-1</v>
      </c>
      <c r="F1389">
        <v>5000000</v>
      </c>
      <c r="G1389">
        <v>5000000</v>
      </c>
      <c r="H1389">
        <v>536176</v>
      </c>
      <c r="I1389" t="s">
        <v>1925</v>
      </c>
      <c r="J1389">
        <v>12352.5</v>
      </c>
      <c r="K1389">
        <v>500000</v>
      </c>
      <c r="L1389">
        <v>220000</v>
      </c>
      <c r="M1389">
        <v>536176</v>
      </c>
      <c r="N1389" s="711">
        <v>43005.677940277776</v>
      </c>
      <c r="O1389" s="711">
        <v>43375</v>
      </c>
      <c r="P1389" t="s">
        <v>1905</v>
      </c>
      <c r="Q1389" t="s">
        <v>1280</v>
      </c>
      <c r="R1389" t="s">
        <v>1280</v>
      </c>
      <c r="S1389" t="s">
        <v>1510</v>
      </c>
      <c r="T1389">
        <v>48</v>
      </c>
      <c r="U1389">
        <f>IF(Table__192.168.1.150_M_CONSOLIDATED_Delinquency_Compulsory_EOM[[#This Row],[Days in Arrears]] &lt; 8, Table__192.168.1.150_M_CONSOLIDATED_Delinquency_Compulsory_EOM[[#This Row],[Outstanding Balance]], 0 )</f>
        <v>5000000</v>
      </c>
      <c r="V13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89" s="105" t="str">
        <f>VLOOKUP(Table__192.168.1.150_M_CONSOLIDATED_Delinquency_Compulsory_EOM[[#This Row],[Client No]],'Global Portfolio'!$B$2:$N$2500,10,FALSE)</f>
        <v>Real Estate and Rental</v>
      </c>
      <c r="AA1389" s="105" t="str">
        <f>VLOOKUP(Table__192.168.1.150_M_CONSOLIDATED_Delinquency_Compulsory_EOM[[#This Row],[Client No]],'Global Portfolio'!$B$2:$N$2500,11,FALSE)</f>
        <v>Rental</v>
      </c>
      <c r="AB1389" s="105" t="str">
        <f>VLOOKUP(Table__192.168.1.150_M_CONSOLIDATED_Delinquency_Compulsory_EOM[[#This Row],[Client No]],'Global Portfolio'!$B$2:$N$2500,12,FALSE)</f>
        <v>General Rental Centers</v>
      </c>
    </row>
    <row r="1390" spans="1:28" x14ac:dyDescent="0.25">
      <c r="A1390">
        <v>201337</v>
      </c>
      <c r="B1390" t="s">
        <v>5612</v>
      </c>
      <c r="C1390" t="s">
        <v>5623</v>
      </c>
      <c r="D1390" t="s">
        <v>1282</v>
      </c>
      <c r="E1390">
        <v>-1</v>
      </c>
      <c r="F1390">
        <v>8000000</v>
      </c>
      <c r="G1390">
        <v>8000000</v>
      </c>
      <c r="H1390">
        <v>1219841.1100000001</v>
      </c>
      <c r="I1390" t="s">
        <v>1447</v>
      </c>
      <c r="J1390">
        <v>3800</v>
      </c>
      <c r="K1390">
        <v>800000</v>
      </c>
      <c r="L1390">
        <v>384000</v>
      </c>
      <c r="M1390">
        <v>1219841.1100000001</v>
      </c>
      <c r="N1390" s="711">
        <v>43006.63448310185</v>
      </c>
      <c r="O1390" s="711">
        <v>43253</v>
      </c>
      <c r="P1390" t="s">
        <v>5624</v>
      </c>
      <c r="Q1390" t="s">
        <v>1280</v>
      </c>
      <c r="R1390" t="s">
        <v>1280</v>
      </c>
      <c r="S1390" t="s">
        <v>1510</v>
      </c>
      <c r="T1390">
        <v>54</v>
      </c>
      <c r="U1390">
        <f>IF(Table__192.168.1.150_M_CONSOLIDATED_Delinquency_Compulsory_EOM[[#This Row],[Days in Arrears]] &lt; 8, Table__192.168.1.150_M_CONSOLIDATED_Delinquency_Compulsory_EOM[[#This Row],[Outstanding Balance]], 0 )</f>
        <v>8000000</v>
      </c>
      <c r="V13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0" s="105" t="str">
        <f>VLOOKUP(Table__192.168.1.150_M_CONSOLIDATED_Delinquency_Compulsory_EOM[[#This Row],[Client No]],'Global Portfolio'!$B$2:$N$2500,10,FALSE)</f>
        <v>Retail</v>
      </c>
      <c r="AA1390" s="105" t="str">
        <f>VLOOKUP(Table__192.168.1.150_M_CONSOLIDATED_Delinquency_Compulsory_EOM[[#This Row],[Client No]],'Global Portfolio'!$B$2:$N$2500,11,FALSE)</f>
        <v>General Merchandise Stores</v>
      </c>
      <c r="AB1390" s="105" t="str">
        <f>VLOOKUP(Table__192.168.1.150_M_CONSOLIDATED_Delinquency_Compulsory_EOM[[#This Row],[Client No]],'Global Portfolio'!$B$2:$N$2500,12,FALSE)</f>
        <v>General Stores</v>
      </c>
    </row>
    <row r="1391" spans="1:28" x14ac:dyDescent="0.25">
      <c r="A1391">
        <v>201338</v>
      </c>
      <c r="B1391" t="s">
        <v>3442</v>
      </c>
      <c r="C1391" t="s">
        <v>3444</v>
      </c>
      <c r="D1391" t="s">
        <v>1281</v>
      </c>
      <c r="E1391">
        <v>-1</v>
      </c>
      <c r="F1391">
        <v>22000000</v>
      </c>
      <c r="G1391">
        <v>22000000</v>
      </c>
      <c r="H1391">
        <v>1675491.14</v>
      </c>
      <c r="I1391" t="s">
        <v>2557</v>
      </c>
      <c r="J1391">
        <v>1673870.89</v>
      </c>
      <c r="K1391">
        <v>0</v>
      </c>
      <c r="L1391">
        <v>821333.34</v>
      </c>
      <c r="M1391">
        <v>1675491.14</v>
      </c>
      <c r="N1391" s="711">
        <v>43006.709984027781</v>
      </c>
      <c r="O1391" s="711">
        <v>43557</v>
      </c>
      <c r="P1391" t="s">
        <v>3445</v>
      </c>
      <c r="Q1391" t="s">
        <v>1280</v>
      </c>
      <c r="R1391" t="s">
        <v>1280</v>
      </c>
      <c r="S1391" t="s">
        <v>1510</v>
      </c>
      <c r="T1391">
        <v>42</v>
      </c>
      <c r="U1391">
        <f>IF(Table__192.168.1.150_M_CONSOLIDATED_Delinquency_Compulsory_EOM[[#This Row],[Days in Arrears]] &lt; 8, Table__192.168.1.150_M_CONSOLIDATED_Delinquency_Compulsory_EOM[[#This Row],[Outstanding Balance]], 0 )</f>
        <v>22000000</v>
      </c>
      <c r="V13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1" s="105" t="str">
        <f>VLOOKUP(Table__192.168.1.150_M_CONSOLIDATED_Delinquency_Compulsory_EOM[[#This Row],[Client No]],'Global Portfolio'!$B$2:$N$2500,10,FALSE)</f>
        <v>Educational Services</v>
      </c>
      <c r="AA1391" s="105" t="str">
        <f>VLOOKUP(Table__192.168.1.150_M_CONSOLIDATED_Delinquency_Compulsory_EOM[[#This Row],[Client No]],'Global Portfolio'!$B$2:$N$2500,11,FALSE)</f>
        <v>Educational Services</v>
      </c>
      <c r="AB1391" s="105" t="str">
        <f>VLOOKUP(Table__192.168.1.150_M_CONSOLIDATED_Delinquency_Compulsory_EOM[[#This Row],[Client No]],'Global Portfolio'!$B$2:$N$2500,12,FALSE)</f>
        <v>Schools</v>
      </c>
    </row>
    <row r="1392" spans="1:28" x14ac:dyDescent="0.25">
      <c r="A1392">
        <v>201339</v>
      </c>
      <c r="B1392" t="s">
        <v>3270</v>
      </c>
      <c r="C1392" t="s">
        <v>3278</v>
      </c>
      <c r="D1392" t="s">
        <v>1282</v>
      </c>
      <c r="E1392">
        <v>-1</v>
      </c>
      <c r="F1392">
        <v>13000000</v>
      </c>
      <c r="G1392">
        <v>13000000</v>
      </c>
      <c r="H1392">
        <v>1392281.72</v>
      </c>
      <c r="I1392" t="s">
        <v>468</v>
      </c>
      <c r="J1392">
        <v>1101.8399999999999</v>
      </c>
      <c r="K1392">
        <v>1300000</v>
      </c>
      <c r="L1392">
        <v>554666.66</v>
      </c>
      <c r="M1392">
        <v>1392281.72</v>
      </c>
      <c r="N1392" s="711">
        <v>43006.489802777774</v>
      </c>
      <c r="O1392" s="711">
        <v>43375</v>
      </c>
      <c r="P1392" t="s">
        <v>3279</v>
      </c>
      <c r="Q1392" t="s">
        <v>1280</v>
      </c>
      <c r="R1392" t="s">
        <v>1280</v>
      </c>
      <c r="S1392" t="s">
        <v>1510</v>
      </c>
      <c r="T1392">
        <v>48</v>
      </c>
      <c r="U1392">
        <f>IF(Table__192.168.1.150_M_CONSOLIDATED_Delinquency_Compulsory_EOM[[#This Row],[Days in Arrears]] &lt; 8, Table__192.168.1.150_M_CONSOLIDATED_Delinquency_Compulsory_EOM[[#This Row],[Outstanding Balance]], 0 )</f>
        <v>13000000</v>
      </c>
      <c r="V13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2" s="105" t="str">
        <f>VLOOKUP(Table__192.168.1.150_M_CONSOLIDATED_Delinquency_Compulsory_EOM[[#This Row],[Client No]],'Global Portfolio'!$B$2:$N$2500,10,FALSE)</f>
        <v>Real Estate and Rental</v>
      </c>
      <c r="AA1392" s="105" t="str">
        <f>VLOOKUP(Table__192.168.1.150_M_CONSOLIDATED_Delinquency_Compulsory_EOM[[#This Row],[Client No]],'Global Portfolio'!$B$2:$N$2500,11,FALSE)</f>
        <v>Rental</v>
      </c>
      <c r="AB1392" s="105" t="str">
        <f>VLOOKUP(Table__192.168.1.150_M_CONSOLIDATED_Delinquency_Compulsory_EOM[[#This Row],[Client No]],'Global Portfolio'!$B$2:$N$2500,12,FALSE)</f>
        <v>General Rental Centers</v>
      </c>
    </row>
    <row r="1393" spans="1:28" x14ac:dyDescent="0.25">
      <c r="A1393">
        <v>201340</v>
      </c>
      <c r="B1393" t="s">
        <v>5614</v>
      </c>
      <c r="C1393" t="s">
        <v>5625</v>
      </c>
      <c r="D1393" t="s">
        <v>1282</v>
      </c>
      <c r="E1393">
        <v>-1</v>
      </c>
      <c r="F1393">
        <v>5000000</v>
      </c>
      <c r="G1393">
        <v>5000000</v>
      </c>
      <c r="H1393">
        <v>635522.21</v>
      </c>
      <c r="I1393" t="s">
        <v>5384</v>
      </c>
      <c r="J1393">
        <v>0</v>
      </c>
      <c r="K1393">
        <v>500000</v>
      </c>
      <c r="L1393">
        <v>240000</v>
      </c>
      <c r="M1393">
        <v>635522.21</v>
      </c>
      <c r="N1393" s="711">
        <v>43006.655426192126</v>
      </c>
      <c r="O1393" s="711">
        <v>43314</v>
      </c>
      <c r="P1393" t="s">
        <v>5626</v>
      </c>
      <c r="Q1393" t="s">
        <v>1280</v>
      </c>
      <c r="R1393" t="s">
        <v>5627</v>
      </c>
      <c r="S1393" t="s">
        <v>1510</v>
      </c>
      <c r="T1393">
        <v>54</v>
      </c>
      <c r="U1393">
        <f>IF(Table__192.168.1.150_M_CONSOLIDATED_Delinquency_Compulsory_EOM[[#This Row],[Days in Arrears]] &lt; 8, Table__192.168.1.150_M_CONSOLIDATED_Delinquency_Compulsory_EOM[[#This Row],[Outstanding Balance]], 0 )</f>
        <v>5000000</v>
      </c>
      <c r="V139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3" s="105" t="str">
        <f>VLOOKUP(Table__192.168.1.150_M_CONSOLIDATED_Delinquency_Compulsory_EOM[[#This Row],[Client No]],'Global Portfolio'!$B$2:$N$2500,10,FALSE)</f>
        <v>Real Estate and Rental</v>
      </c>
      <c r="AA1393" s="105" t="str">
        <f>VLOOKUP(Table__192.168.1.150_M_CONSOLIDATED_Delinquency_Compulsory_EOM[[#This Row],[Client No]],'Global Portfolio'!$B$2:$N$2500,11,FALSE)</f>
        <v>Rental</v>
      </c>
      <c r="AB1393" s="105" t="str">
        <f>VLOOKUP(Table__192.168.1.150_M_CONSOLIDATED_Delinquency_Compulsory_EOM[[#This Row],[Client No]],'Global Portfolio'!$B$2:$N$2500,12,FALSE)</f>
        <v>General Rental Centers</v>
      </c>
    </row>
    <row r="1394" spans="1:28" x14ac:dyDescent="0.25">
      <c r="A1394">
        <v>201341</v>
      </c>
      <c r="B1394" t="s">
        <v>3463</v>
      </c>
      <c r="C1394" t="s">
        <v>3480</v>
      </c>
      <c r="D1394" t="s">
        <v>1866</v>
      </c>
      <c r="E1394">
        <v>-1</v>
      </c>
      <c r="F1394">
        <v>7000000</v>
      </c>
      <c r="G1394">
        <v>7000000</v>
      </c>
      <c r="H1394">
        <v>734960.75</v>
      </c>
      <c r="I1394" t="s">
        <v>1039</v>
      </c>
      <c r="J1394">
        <v>1600.04</v>
      </c>
      <c r="K1394">
        <v>700000</v>
      </c>
      <c r="L1394">
        <v>273777.78000000003</v>
      </c>
      <c r="M1394">
        <v>734960.75</v>
      </c>
      <c r="N1394" s="711">
        <v>43006.778086342594</v>
      </c>
      <c r="O1394" s="711">
        <v>43375</v>
      </c>
      <c r="P1394" t="s">
        <v>3481</v>
      </c>
      <c r="Q1394" t="s">
        <v>1280</v>
      </c>
      <c r="R1394" t="s">
        <v>1280</v>
      </c>
      <c r="S1394" t="s">
        <v>1510</v>
      </c>
      <c r="T1394">
        <v>44</v>
      </c>
      <c r="U1394">
        <f>IF(Table__192.168.1.150_M_CONSOLIDATED_Delinquency_Compulsory_EOM[[#This Row],[Days in Arrears]] &lt; 8, Table__192.168.1.150_M_CONSOLIDATED_Delinquency_Compulsory_EOM[[#This Row],[Outstanding Balance]], 0 )</f>
        <v>7000000</v>
      </c>
      <c r="V139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4" s="105" t="str">
        <f>VLOOKUP(Table__192.168.1.150_M_CONSOLIDATED_Delinquency_Compulsory_EOM[[#This Row],[Client No]],'Global Portfolio'!$B$2:$N$2500,10,FALSE)</f>
        <v>Retail</v>
      </c>
      <c r="AA1394" s="105" t="str">
        <f>VLOOKUP(Table__192.168.1.150_M_CONSOLIDATED_Delinquency_Compulsory_EOM[[#This Row],[Client No]],'Global Portfolio'!$B$2:$N$2500,11,FALSE)</f>
        <v>General Merchandise Stores</v>
      </c>
      <c r="AB1394" s="105" t="str">
        <f>VLOOKUP(Table__192.168.1.150_M_CONSOLIDATED_Delinquency_Compulsory_EOM[[#This Row],[Client No]],'Global Portfolio'!$B$2:$N$2500,12,FALSE)</f>
        <v>General Stores</v>
      </c>
    </row>
    <row r="1395" spans="1:28" x14ac:dyDescent="0.25">
      <c r="A1395">
        <v>201342</v>
      </c>
      <c r="B1395" t="s">
        <v>5609</v>
      </c>
      <c r="C1395" t="s">
        <v>5628</v>
      </c>
      <c r="D1395" t="s">
        <v>1279</v>
      </c>
      <c r="E1395">
        <v>-1</v>
      </c>
      <c r="F1395">
        <v>5000000</v>
      </c>
      <c r="G1395">
        <v>5000000</v>
      </c>
      <c r="H1395">
        <v>551479.25</v>
      </c>
      <c r="I1395" t="s">
        <v>5384</v>
      </c>
      <c r="J1395">
        <v>550000</v>
      </c>
      <c r="K1395">
        <v>500000</v>
      </c>
      <c r="L1395">
        <v>240000</v>
      </c>
      <c r="M1395">
        <v>551479.25</v>
      </c>
      <c r="N1395" s="711">
        <v>43006.535467511574</v>
      </c>
      <c r="O1395" s="711">
        <v>43375</v>
      </c>
      <c r="P1395" t="s">
        <v>5629</v>
      </c>
      <c r="Q1395" t="s">
        <v>1280</v>
      </c>
      <c r="R1395" t="s">
        <v>1280</v>
      </c>
      <c r="S1395" t="s">
        <v>1510</v>
      </c>
      <c r="T1395">
        <v>54</v>
      </c>
      <c r="U1395">
        <f>IF(Table__192.168.1.150_M_CONSOLIDATED_Delinquency_Compulsory_EOM[[#This Row],[Days in Arrears]] &lt; 8, Table__192.168.1.150_M_CONSOLIDATED_Delinquency_Compulsory_EOM[[#This Row],[Outstanding Balance]], 0 )</f>
        <v>5000000</v>
      </c>
      <c r="V139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5" s="105" t="str">
        <f>VLOOKUP(Table__192.168.1.150_M_CONSOLIDATED_Delinquency_Compulsory_EOM[[#This Row],[Client No]],'Global Portfolio'!$B$2:$N$2500,10,FALSE)</f>
        <v>Retail</v>
      </c>
      <c r="AA1395" s="105" t="str">
        <f>VLOOKUP(Table__192.168.1.150_M_CONSOLIDATED_Delinquency_Compulsory_EOM[[#This Row],[Client No]],'Global Portfolio'!$B$2:$N$2500,11,FALSE)</f>
        <v>General Merchandise Stores</v>
      </c>
      <c r="AB1395" s="105" t="str">
        <f>VLOOKUP(Table__192.168.1.150_M_CONSOLIDATED_Delinquency_Compulsory_EOM[[#This Row],[Client No]],'Global Portfolio'!$B$2:$N$2500,12,FALSE)</f>
        <v>General Stores</v>
      </c>
    </row>
    <row r="1396" spans="1:28" x14ac:dyDescent="0.25">
      <c r="A1396">
        <v>201343</v>
      </c>
      <c r="B1396" t="s">
        <v>5611</v>
      </c>
      <c r="C1396" t="s">
        <v>5630</v>
      </c>
      <c r="D1396" t="s">
        <v>1279</v>
      </c>
      <c r="E1396">
        <v>-1</v>
      </c>
      <c r="F1396">
        <v>1000000</v>
      </c>
      <c r="G1396">
        <v>1000000</v>
      </c>
      <c r="H1396">
        <v>194991.56</v>
      </c>
      <c r="I1396" t="s">
        <v>4685</v>
      </c>
      <c r="J1396">
        <v>0</v>
      </c>
      <c r="K1396">
        <v>100000</v>
      </c>
      <c r="L1396">
        <v>48000</v>
      </c>
      <c r="M1396">
        <v>194991.56</v>
      </c>
      <c r="N1396" s="711">
        <v>43006.635618553242</v>
      </c>
      <c r="O1396" s="711">
        <v>43192</v>
      </c>
      <c r="P1396" t="s">
        <v>5631</v>
      </c>
      <c r="Q1396" t="s">
        <v>1280</v>
      </c>
      <c r="R1396" t="s">
        <v>5632</v>
      </c>
      <c r="S1396" t="s">
        <v>1510</v>
      </c>
      <c r="T1396">
        <v>54</v>
      </c>
      <c r="U1396">
        <f>IF(Table__192.168.1.150_M_CONSOLIDATED_Delinquency_Compulsory_EOM[[#This Row],[Days in Arrears]] &lt; 8, Table__192.168.1.150_M_CONSOLIDATED_Delinquency_Compulsory_EOM[[#This Row],[Outstanding Balance]], 0 )</f>
        <v>1000000</v>
      </c>
      <c r="V139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6" s="105" t="str">
        <f>VLOOKUP(Table__192.168.1.150_M_CONSOLIDATED_Delinquency_Compulsory_EOM[[#This Row],[Client No]],'Global Portfolio'!$B$2:$N$2500,10,FALSE)</f>
        <v>Retail</v>
      </c>
      <c r="AA1396" s="105" t="str">
        <f>VLOOKUP(Table__192.168.1.150_M_CONSOLIDATED_Delinquency_Compulsory_EOM[[#This Row],[Client No]],'Global Portfolio'!$B$2:$N$2500,11,FALSE)</f>
        <v>General Merchandise Stores</v>
      </c>
      <c r="AB1396" s="105" t="str">
        <f>VLOOKUP(Table__192.168.1.150_M_CONSOLIDATED_Delinquency_Compulsory_EOM[[#This Row],[Client No]],'Global Portfolio'!$B$2:$N$2500,12,FALSE)</f>
        <v>General Stores</v>
      </c>
    </row>
    <row r="1397" spans="1:28" x14ac:dyDescent="0.25">
      <c r="A1397">
        <v>201344</v>
      </c>
      <c r="B1397" t="s">
        <v>4799</v>
      </c>
      <c r="C1397" t="s">
        <v>4808</v>
      </c>
      <c r="D1397" t="s">
        <v>1279</v>
      </c>
      <c r="E1397">
        <v>-1</v>
      </c>
      <c r="F1397">
        <v>3000000</v>
      </c>
      <c r="G1397">
        <v>3000000</v>
      </c>
      <c r="H1397">
        <v>371769.62</v>
      </c>
      <c r="I1397" t="s">
        <v>1467</v>
      </c>
      <c r="J1397">
        <v>375868.93</v>
      </c>
      <c r="K1397">
        <v>300000</v>
      </c>
      <c r="L1397">
        <v>128000</v>
      </c>
      <c r="M1397">
        <v>371769.62</v>
      </c>
      <c r="N1397" s="711">
        <v>43006.638989236111</v>
      </c>
      <c r="O1397" s="711">
        <v>43314</v>
      </c>
      <c r="P1397" t="s">
        <v>4809</v>
      </c>
      <c r="Q1397" t="s">
        <v>1280</v>
      </c>
      <c r="R1397" t="s">
        <v>1280</v>
      </c>
      <c r="S1397" t="s">
        <v>1510</v>
      </c>
      <c r="T1397">
        <v>48</v>
      </c>
      <c r="U1397">
        <f>IF(Table__192.168.1.150_M_CONSOLIDATED_Delinquency_Compulsory_EOM[[#This Row],[Days in Arrears]] &lt; 8, Table__192.168.1.150_M_CONSOLIDATED_Delinquency_Compulsory_EOM[[#This Row],[Outstanding Balance]], 0 )</f>
        <v>3000000</v>
      </c>
      <c r="V139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7" s="105" t="str">
        <f>VLOOKUP(Table__192.168.1.150_M_CONSOLIDATED_Delinquency_Compulsory_EOM[[#This Row],[Client No]],'Global Portfolio'!$B$2:$N$2500,10,FALSE)</f>
        <v>Real Estate and Rental</v>
      </c>
      <c r="AA1397" s="105" t="str">
        <f>VLOOKUP(Table__192.168.1.150_M_CONSOLIDATED_Delinquency_Compulsory_EOM[[#This Row],[Client No]],'Global Portfolio'!$B$2:$N$2500,11,FALSE)</f>
        <v>Rental</v>
      </c>
      <c r="AB1397" s="105" t="str">
        <f>VLOOKUP(Table__192.168.1.150_M_CONSOLIDATED_Delinquency_Compulsory_EOM[[#This Row],[Client No]],'Global Portfolio'!$B$2:$N$2500,12,FALSE)</f>
        <v>General Rental Centers</v>
      </c>
    </row>
    <row r="1398" spans="1:28" x14ac:dyDescent="0.25">
      <c r="A1398">
        <v>201345</v>
      </c>
      <c r="B1398" t="s">
        <v>1999</v>
      </c>
      <c r="C1398" t="s">
        <v>2000</v>
      </c>
      <c r="D1398" t="s">
        <v>1281</v>
      </c>
      <c r="E1398">
        <v>-1</v>
      </c>
      <c r="F1398">
        <v>27000000</v>
      </c>
      <c r="G1398">
        <v>27000000</v>
      </c>
      <c r="H1398">
        <v>2056284.58</v>
      </c>
      <c r="I1398" t="s">
        <v>468</v>
      </c>
      <c r="J1398">
        <v>2059419.08</v>
      </c>
      <c r="K1398">
        <v>1012500</v>
      </c>
      <c r="L1398">
        <v>1008000</v>
      </c>
      <c r="M1398">
        <v>2056284.58</v>
      </c>
      <c r="N1398" s="711">
        <v>43006.793217789353</v>
      </c>
      <c r="O1398" s="711">
        <v>43557</v>
      </c>
      <c r="P1398" t="s">
        <v>2001</v>
      </c>
      <c r="Q1398" t="s">
        <v>1280</v>
      </c>
      <c r="R1398" t="s">
        <v>2002</v>
      </c>
      <c r="S1398" t="s">
        <v>1510</v>
      </c>
      <c r="T1398">
        <v>42</v>
      </c>
      <c r="U1398">
        <f>IF(Table__192.168.1.150_M_CONSOLIDATED_Delinquency_Compulsory_EOM[[#This Row],[Days in Arrears]] &lt; 8, Table__192.168.1.150_M_CONSOLIDATED_Delinquency_Compulsory_EOM[[#This Row],[Outstanding Balance]], 0 )</f>
        <v>27000000</v>
      </c>
      <c r="V139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8" s="105" t="str">
        <f>VLOOKUP(Table__192.168.1.150_M_CONSOLIDATED_Delinquency_Compulsory_EOM[[#This Row],[Client No]],'Global Portfolio'!$B$2:$N$2500,10,FALSE)</f>
        <v>Retail</v>
      </c>
      <c r="AA1398" s="105" t="str">
        <f>VLOOKUP(Table__192.168.1.150_M_CONSOLIDATED_Delinquency_Compulsory_EOM[[#This Row],[Client No]],'Global Portfolio'!$B$2:$N$2500,11,FALSE)</f>
        <v>General Merchandise Stores</v>
      </c>
      <c r="AB1398" s="105" t="str">
        <f>VLOOKUP(Table__192.168.1.150_M_CONSOLIDATED_Delinquency_Compulsory_EOM[[#This Row],[Client No]],'Global Portfolio'!$B$2:$N$2500,12,FALSE)</f>
        <v>General Stores</v>
      </c>
    </row>
    <row r="1399" spans="1:28" x14ac:dyDescent="0.25">
      <c r="A1399">
        <v>201346</v>
      </c>
      <c r="B1399" t="s">
        <v>4780</v>
      </c>
      <c r="C1399" t="s">
        <v>4784</v>
      </c>
      <c r="D1399" t="s">
        <v>1284</v>
      </c>
      <c r="E1399">
        <v>-1</v>
      </c>
      <c r="F1399">
        <v>28000000</v>
      </c>
      <c r="G1399">
        <v>28000000</v>
      </c>
      <c r="H1399">
        <v>2043749.67</v>
      </c>
      <c r="I1399" t="s">
        <v>491</v>
      </c>
      <c r="J1399">
        <v>5838.93</v>
      </c>
      <c r="K1399">
        <v>1400000</v>
      </c>
      <c r="L1399">
        <v>896000</v>
      </c>
      <c r="M1399">
        <v>2043749.67</v>
      </c>
      <c r="N1399" s="711">
        <v>43006.777691400464</v>
      </c>
      <c r="O1399" s="711">
        <v>43557</v>
      </c>
      <c r="P1399" t="s">
        <v>4785</v>
      </c>
      <c r="Q1399" t="s">
        <v>1280</v>
      </c>
      <c r="R1399" t="s">
        <v>4786</v>
      </c>
      <c r="S1399" t="s">
        <v>1510</v>
      </c>
      <c r="T1399">
        <v>36</v>
      </c>
      <c r="U1399">
        <f>IF(Table__192.168.1.150_M_CONSOLIDATED_Delinquency_Compulsory_EOM[[#This Row],[Days in Arrears]] &lt; 8, Table__192.168.1.150_M_CONSOLIDATED_Delinquency_Compulsory_EOM[[#This Row],[Outstanding Balance]], 0 )</f>
        <v>28000000</v>
      </c>
      <c r="V139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39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39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39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399" s="105" t="str">
        <f>VLOOKUP(Table__192.168.1.150_M_CONSOLIDATED_Delinquency_Compulsory_EOM[[#This Row],[Client No]],'Global Portfolio'!$B$2:$N$2500,10,FALSE)</f>
        <v>Retail</v>
      </c>
      <c r="AA1399" s="105" t="str">
        <f>VLOOKUP(Table__192.168.1.150_M_CONSOLIDATED_Delinquency_Compulsory_EOM[[#This Row],[Client No]],'Global Portfolio'!$B$2:$N$2500,11,FALSE)</f>
        <v>General Merchandise Stores</v>
      </c>
      <c r="AB1399" s="105" t="str">
        <f>VLOOKUP(Table__192.168.1.150_M_CONSOLIDATED_Delinquency_Compulsory_EOM[[#This Row],[Client No]],'Global Portfolio'!$B$2:$N$2500,12,FALSE)</f>
        <v>General Stores</v>
      </c>
    </row>
    <row r="1400" spans="1:28" x14ac:dyDescent="0.25">
      <c r="A1400">
        <v>201347</v>
      </c>
      <c r="B1400" t="s">
        <v>3965</v>
      </c>
      <c r="C1400" t="s">
        <v>3970</v>
      </c>
      <c r="D1400" t="s">
        <v>1284</v>
      </c>
      <c r="E1400">
        <v>-23</v>
      </c>
      <c r="F1400">
        <v>31000000</v>
      </c>
      <c r="G1400">
        <v>31000000</v>
      </c>
      <c r="H1400">
        <v>3114324.65</v>
      </c>
      <c r="I1400" t="s">
        <v>491</v>
      </c>
      <c r="J1400">
        <v>6191878.5800000001</v>
      </c>
      <c r="K1400">
        <v>0</v>
      </c>
      <c r="L1400">
        <v>186000</v>
      </c>
      <c r="M1400">
        <v>3114324.65</v>
      </c>
      <c r="N1400" s="711">
        <v>43032.702154166669</v>
      </c>
      <c r="O1400" s="711">
        <v>43397</v>
      </c>
      <c r="P1400" t="s">
        <v>3971</v>
      </c>
      <c r="Q1400" t="s">
        <v>1280</v>
      </c>
      <c r="R1400" t="s">
        <v>3972</v>
      </c>
      <c r="S1400" t="s">
        <v>1510</v>
      </c>
      <c r="T1400">
        <v>36</v>
      </c>
      <c r="U1400">
        <f>IF(Table__192.168.1.150_M_CONSOLIDATED_Delinquency_Compulsory_EOM[[#This Row],[Days in Arrears]] &lt; 8, Table__192.168.1.150_M_CONSOLIDATED_Delinquency_Compulsory_EOM[[#This Row],[Outstanding Balance]], 0 )</f>
        <v>31000000</v>
      </c>
      <c r="V140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0" s="105" t="str">
        <f>VLOOKUP(Table__192.168.1.150_M_CONSOLIDATED_Delinquency_Compulsory_EOM[[#This Row],[Client No]],'Global Portfolio'!$B$2:$N$2500,10,FALSE)</f>
        <v>Retail</v>
      </c>
      <c r="AA1400" s="105" t="str">
        <f>VLOOKUP(Table__192.168.1.150_M_CONSOLIDATED_Delinquency_Compulsory_EOM[[#This Row],[Client No]],'Global Portfolio'!$B$2:$N$2500,11,FALSE)</f>
        <v>General Merchandise Stores</v>
      </c>
      <c r="AB1400" s="105" t="str">
        <f>VLOOKUP(Table__192.168.1.150_M_CONSOLIDATED_Delinquency_Compulsory_EOM[[#This Row],[Client No]],'Global Portfolio'!$B$2:$N$2500,12,FALSE)</f>
        <v>General Stores</v>
      </c>
    </row>
    <row r="1401" spans="1:28" x14ac:dyDescent="0.25">
      <c r="A1401">
        <v>201348</v>
      </c>
      <c r="B1401" t="s">
        <v>4566</v>
      </c>
      <c r="C1401" t="s">
        <v>4570</v>
      </c>
      <c r="D1401" t="s">
        <v>1282</v>
      </c>
      <c r="E1401">
        <v>-1</v>
      </c>
      <c r="F1401">
        <v>3500000</v>
      </c>
      <c r="G1401">
        <v>3500000</v>
      </c>
      <c r="H1401">
        <v>433177.99</v>
      </c>
      <c r="I1401" t="s">
        <v>2538</v>
      </c>
      <c r="J1401">
        <v>0</v>
      </c>
      <c r="K1401">
        <v>350000</v>
      </c>
      <c r="L1401">
        <v>144666.67000000001</v>
      </c>
      <c r="M1401">
        <v>433177.99</v>
      </c>
      <c r="N1401" s="711">
        <v>43007.558963692129</v>
      </c>
      <c r="O1401" s="711">
        <v>43314</v>
      </c>
      <c r="P1401" t="s">
        <v>4571</v>
      </c>
      <c r="Q1401" t="s">
        <v>1280</v>
      </c>
      <c r="R1401" t="s">
        <v>4572</v>
      </c>
      <c r="S1401" t="s">
        <v>1510</v>
      </c>
      <c r="T1401">
        <v>48</v>
      </c>
      <c r="U1401">
        <f>IF(Table__192.168.1.150_M_CONSOLIDATED_Delinquency_Compulsory_EOM[[#This Row],[Days in Arrears]] &lt; 8, Table__192.168.1.150_M_CONSOLIDATED_Delinquency_Compulsory_EOM[[#This Row],[Outstanding Balance]], 0 )</f>
        <v>3500000</v>
      </c>
      <c r="V140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1" s="105" t="str">
        <f>VLOOKUP(Table__192.168.1.150_M_CONSOLIDATED_Delinquency_Compulsory_EOM[[#This Row],[Client No]],'Global Portfolio'!$B$2:$N$2500,10,FALSE)</f>
        <v>Retail</v>
      </c>
      <c r="AA1401" s="105" t="str">
        <f>VLOOKUP(Table__192.168.1.150_M_CONSOLIDATED_Delinquency_Compulsory_EOM[[#This Row],[Client No]],'Global Portfolio'!$B$2:$N$2500,11,FALSE)</f>
        <v>General Merchandise Stores</v>
      </c>
      <c r="AB1401" s="105" t="str">
        <f>VLOOKUP(Table__192.168.1.150_M_CONSOLIDATED_Delinquency_Compulsory_EOM[[#This Row],[Client No]],'Global Portfolio'!$B$2:$N$2500,12,FALSE)</f>
        <v>General Stores</v>
      </c>
    </row>
    <row r="1402" spans="1:28" x14ac:dyDescent="0.25">
      <c r="A1402">
        <v>201349</v>
      </c>
      <c r="B1402" t="s">
        <v>5642</v>
      </c>
      <c r="C1402" t="s">
        <v>5659</v>
      </c>
      <c r="D1402" t="s">
        <v>1284</v>
      </c>
      <c r="E1402">
        <v>-1</v>
      </c>
      <c r="F1402">
        <v>9000000</v>
      </c>
      <c r="G1402">
        <v>9000000</v>
      </c>
      <c r="H1402">
        <v>925218.32</v>
      </c>
      <c r="I1402" t="s">
        <v>2861</v>
      </c>
      <c r="J1402">
        <v>120000</v>
      </c>
      <c r="K1402">
        <v>450000</v>
      </c>
      <c r="L1402">
        <v>310000</v>
      </c>
      <c r="M1402">
        <v>925218.32</v>
      </c>
      <c r="N1402" s="711">
        <v>43007.564548726848</v>
      </c>
      <c r="O1402" s="711">
        <v>43375</v>
      </c>
      <c r="P1402" t="s">
        <v>5660</v>
      </c>
      <c r="Q1402" t="s">
        <v>1280</v>
      </c>
      <c r="R1402" t="s">
        <v>1280</v>
      </c>
      <c r="S1402" t="s">
        <v>1510</v>
      </c>
      <c r="T1402">
        <v>40</v>
      </c>
      <c r="U1402">
        <f>IF(Table__192.168.1.150_M_CONSOLIDATED_Delinquency_Compulsory_EOM[[#This Row],[Days in Arrears]] &lt; 8, Table__192.168.1.150_M_CONSOLIDATED_Delinquency_Compulsory_EOM[[#This Row],[Outstanding Balance]], 0 )</f>
        <v>9000000</v>
      </c>
      <c r="V140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2" s="105" t="str">
        <f>VLOOKUP(Table__192.168.1.150_M_CONSOLIDATED_Delinquency_Compulsory_EOM[[#This Row],[Client No]],'Global Portfolio'!$B$2:$N$2500,10,FALSE)</f>
        <v>Real Estate and Rental</v>
      </c>
      <c r="AA1402" s="105" t="str">
        <f>VLOOKUP(Table__192.168.1.150_M_CONSOLIDATED_Delinquency_Compulsory_EOM[[#This Row],[Client No]],'Global Portfolio'!$B$2:$N$2500,11,FALSE)</f>
        <v>Rental</v>
      </c>
      <c r="AB1402" s="105" t="str">
        <f>VLOOKUP(Table__192.168.1.150_M_CONSOLIDATED_Delinquency_Compulsory_EOM[[#This Row],[Client No]],'Global Portfolio'!$B$2:$N$2500,12,FALSE)</f>
        <v>General Rental Centers</v>
      </c>
    </row>
    <row r="1403" spans="1:28" x14ac:dyDescent="0.25">
      <c r="A1403">
        <v>201350</v>
      </c>
      <c r="B1403" t="s">
        <v>4421</v>
      </c>
      <c r="C1403" t="s">
        <v>4442</v>
      </c>
      <c r="D1403" t="s">
        <v>1284</v>
      </c>
      <c r="E1403">
        <v>-1</v>
      </c>
      <c r="F1403">
        <v>30000000</v>
      </c>
      <c r="G1403">
        <v>30000000</v>
      </c>
      <c r="H1403">
        <v>2187614.06</v>
      </c>
      <c r="I1403" t="s">
        <v>491</v>
      </c>
      <c r="J1403">
        <v>1998907.7</v>
      </c>
      <c r="K1403">
        <v>1500000</v>
      </c>
      <c r="L1403">
        <v>930000</v>
      </c>
      <c r="M1403">
        <v>2187614.06</v>
      </c>
      <c r="N1403" s="711">
        <v>43007.569637187502</v>
      </c>
      <c r="O1403" s="711">
        <v>43557</v>
      </c>
      <c r="P1403" t="s">
        <v>4443</v>
      </c>
      <c r="Q1403" t="s">
        <v>1280</v>
      </c>
      <c r="R1403" t="s">
        <v>1280</v>
      </c>
      <c r="S1403" t="s">
        <v>1510</v>
      </c>
      <c r="T1403">
        <v>36</v>
      </c>
      <c r="U1403">
        <f>IF(Table__192.168.1.150_M_CONSOLIDATED_Delinquency_Compulsory_EOM[[#This Row],[Days in Arrears]] &lt; 8, Table__192.168.1.150_M_CONSOLIDATED_Delinquency_Compulsory_EOM[[#This Row],[Outstanding Balance]], 0 )</f>
        <v>30000000</v>
      </c>
      <c r="V140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3" s="105" t="str">
        <f>VLOOKUP(Table__192.168.1.150_M_CONSOLIDATED_Delinquency_Compulsory_EOM[[#This Row],[Client No]],'Global Portfolio'!$B$2:$N$2500,10,FALSE)</f>
        <v>Restaurants and Hotels</v>
      </c>
      <c r="AA1403" s="105" t="str">
        <f>VLOOKUP(Table__192.168.1.150_M_CONSOLIDATED_Delinquency_Compulsory_EOM[[#This Row],[Client No]],'Global Portfolio'!$B$2:$N$2500,11,FALSE)</f>
        <v>Hotel</v>
      </c>
      <c r="AB1403" s="105" t="str">
        <f>VLOOKUP(Table__192.168.1.150_M_CONSOLIDATED_Delinquency_Compulsory_EOM[[#This Row],[Client No]],'Global Portfolio'!$B$2:$N$2500,12,FALSE)</f>
        <v>Hotel</v>
      </c>
    </row>
    <row r="1404" spans="1:28" x14ac:dyDescent="0.25">
      <c r="A1404">
        <v>201351</v>
      </c>
      <c r="B1404" t="s">
        <v>5018</v>
      </c>
      <c r="C1404" t="s">
        <v>5022</v>
      </c>
      <c r="D1404" t="s">
        <v>1286</v>
      </c>
      <c r="E1404">
        <v>-20</v>
      </c>
      <c r="F1404">
        <v>400000</v>
      </c>
      <c r="G1404">
        <v>200962.2</v>
      </c>
      <c r="H1404">
        <v>205148.91</v>
      </c>
      <c r="I1404" t="s">
        <v>284</v>
      </c>
      <c r="J1404">
        <v>20000</v>
      </c>
      <c r="K1404">
        <v>0</v>
      </c>
      <c r="L1404">
        <v>1256.01</v>
      </c>
      <c r="M1404">
        <v>205148.91</v>
      </c>
      <c r="N1404" s="711">
        <v>43007.634598379627</v>
      </c>
      <c r="O1404" s="711">
        <v>43060</v>
      </c>
      <c r="P1404" t="s">
        <v>5023</v>
      </c>
      <c r="Q1404" t="s">
        <v>1280</v>
      </c>
      <c r="R1404" t="s">
        <v>1280</v>
      </c>
      <c r="S1404" t="s">
        <v>1510</v>
      </c>
      <c r="T1404">
        <v>25</v>
      </c>
      <c r="U1404">
        <f>IF(Table__192.168.1.150_M_CONSOLIDATED_Delinquency_Compulsory_EOM[[#This Row],[Days in Arrears]] &lt; 8, Table__192.168.1.150_M_CONSOLIDATED_Delinquency_Compulsory_EOM[[#This Row],[Outstanding Balance]], 0 )</f>
        <v>200962.2</v>
      </c>
      <c r="V140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4" s="105" t="e">
        <f>VLOOKUP(Table__192.168.1.150_M_CONSOLIDATED_Delinquency_Compulsory_EOM[[#This Row],[Client No]],'Global Portfolio'!$B$2:$N$2500,10,FALSE)</f>
        <v>#N/A</v>
      </c>
      <c r="AA1404" s="105" t="e">
        <f>VLOOKUP(Table__192.168.1.150_M_CONSOLIDATED_Delinquency_Compulsory_EOM[[#This Row],[Client No]],'Global Portfolio'!$B$2:$N$2500,11,FALSE)</f>
        <v>#N/A</v>
      </c>
      <c r="AB1404" s="105" t="e">
        <f>VLOOKUP(Table__192.168.1.150_M_CONSOLIDATED_Delinquency_Compulsory_EOM[[#This Row],[Client No]],'Global Portfolio'!$B$2:$N$2500,12,FALSE)</f>
        <v>#N/A</v>
      </c>
    </row>
    <row r="1405" spans="1:28" x14ac:dyDescent="0.25">
      <c r="A1405">
        <v>201352</v>
      </c>
      <c r="B1405" t="s">
        <v>4371</v>
      </c>
      <c r="C1405" t="s">
        <v>4383</v>
      </c>
      <c r="D1405" t="s">
        <v>1284</v>
      </c>
      <c r="E1405">
        <v>-4</v>
      </c>
      <c r="F1405">
        <v>17000000</v>
      </c>
      <c r="G1405">
        <v>17000000</v>
      </c>
      <c r="H1405">
        <v>1717804.13</v>
      </c>
      <c r="I1405" t="s">
        <v>1448</v>
      </c>
      <c r="J1405">
        <v>17611.34</v>
      </c>
      <c r="K1405">
        <v>850000</v>
      </c>
      <c r="L1405">
        <v>527000</v>
      </c>
      <c r="M1405">
        <v>1717804.13</v>
      </c>
      <c r="N1405" s="711">
        <v>43007.79022638889</v>
      </c>
      <c r="O1405" s="711">
        <v>43378</v>
      </c>
      <c r="P1405" t="s">
        <v>4384</v>
      </c>
      <c r="Q1405" t="s">
        <v>1280</v>
      </c>
      <c r="R1405" t="s">
        <v>4385</v>
      </c>
      <c r="S1405" t="s">
        <v>1510</v>
      </c>
      <c r="T1405">
        <v>36</v>
      </c>
      <c r="U1405">
        <f>IF(Table__192.168.1.150_M_CONSOLIDATED_Delinquency_Compulsory_EOM[[#This Row],[Days in Arrears]] &lt; 8, Table__192.168.1.150_M_CONSOLIDATED_Delinquency_Compulsory_EOM[[#This Row],[Outstanding Balance]], 0 )</f>
        <v>17000000</v>
      </c>
      <c r="V140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5" s="105" t="str">
        <f>VLOOKUP(Table__192.168.1.150_M_CONSOLIDATED_Delinquency_Compulsory_EOM[[#This Row],[Client No]],'Global Portfolio'!$B$2:$N$2500,10,FALSE)</f>
        <v>Retail</v>
      </c>
      <c r="AA1405" s="105" t="str">
        <f>VLOOKUP(Table__192.168.1.150_M_CONSOLIDATED_Delinquency_Compulsory_EOM[[#This Row],[Client No]],'Global Portfolio'!$B$2:$N$2500,11,FALSE)</f>
        <v>Miscellaneous Store Retailers</v>
      </c>
      <c r="AB1405" s="105" t="str">
        <f>VLOOKUP(Table__192.168.1.150_M_CONSOLIDATED_Delinquency_Compulsory_EOM[[#This Row],[Client No]],'Global Portfolio'!$B$2:$N$2500,12,FALSE)</f>
        <v>Others</v>
      </c>
    </row>
    <row r="1406" spans="1:28" x14ac:dyDescent="0.25">
      <c r="A1406">
        <v>201353</v>
      </c>
      <c r="B1406" t="s">
        <v>3126</v>
      </c>
      <c r="C1406" t="s">
        <v>3127</v>
      </c>
      <c r="D1406" t="s">
        <v>1282</v>
      </c>
      <c r="E1406">
        <v>-1</v>
      </c>
      <c r="F1406">
        <v>4000000</v>
      </c>
      <c r="G1406">
        <v>4000000</v>
      </c>
      <c r="H1406">
        <v>596396.37</v>
      </c>
      <c r="I1406" t="s">
        <v>2034</v>
      </c>
      <c r="J1406">
        <v>18573.54</v>
      </c>
      <c r="K1406">
        <v>400000</v>
      </c>
      <c r="L1406">
        <v>165333.32999999999</v>
      </c>
      <c r="M1406">
        <v>596396.37</v>
      </c>
      <c r="N1406" s="711">
        <v>43007.766183831016</v>
      </c>
      <c r="O1406" s="711">
        <v>43253</v>
      </c>
      <c r="P1406" t="s">
        <v>3128</v>
      </c>
      <c r="Q1406" t="s">
        <v>1280</v>
      </c>
      <c r="R1406" t="s">
        <v>1280</v>
      </c>
      <c r="S1406" t="s">
        <v>1510</v>
      </c>
      <c r="T1406">
        <v>48</v>
      </c>
      <c r="U1406">
        <f>IF(Table__192.168.1.150_M_CONSOLIDATED_Delinquency_Compulsory_EOM[[#This Row],[Days in Arrears]] &lt; 8, Table__192.168.1.150_M_CONSOLIDATED_Delinquency_Compulsory_EOM[[#This Row],[Outstanding Balance]], 0 )</f>
        <v>4000000</v>
      </c>
      <c r="V140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6" s="105" t="str">
        <f>VLOOKUP(Table__192.168.1.150_M_CONSOLIDATED_Delinquency_Compulsory_EOM[[#This Row],[Client No]],'Global Portfolio'!$B$2:$N$2500,10,FALSE)</f>
        <v>Retail</v>
      </c>
      <c r="AA1406" s="105" t="str">
        <f>VLOOKUP(Table__192.168.1.150_M_CONSOLIDATED_Delinquency_Compulsory_EOM[[#This Row],[Client No]],'Global Portfolio'!$B$2:$N$2500,11,FALSE)</f>
        <v>General Merchandise Stores</v>
      </c>
      <c r="AB1406" s="105" t="str">
        <f>VLOOKUP(Table__192.168.1.150_M_CONSOLIDATED_Delinquency_Compulsory_EOM[[#This Row],[Client No]],'Global Portfolio'!$B$2:$N$2500,12,FALSE)</f>
        <v>General Stores</v>
      </c>
    </row>
    <row r="1407" spans="1:28" x14ac:dyDescent="0.25">
      <c r="A1407">
        <v>201354</v>
      </c>
      <c r="B1407" t="s">
        <v>5638</v>
      </c>
      <c r="C1407" t="s">
        <v>5661</v>
      </c>
      <c r="D1407" t="s">
        <v>1866</v>
      </c>
      <c r="E1407">
        <v>-1</v>
      </c>
      <c r="F1407">
        <v>6000000</v>
      </c>
      <c r="G1407">
        <v>6000000</v>
      </c>
      <c r="H1407">
        <v>900899.54</v>
      </c>
      <c r="I1407" t="s">
        <v>2861</v>
      </c>
      <c r="J1407">
        <v>1005000</v>
      </c>
      <c r="K1407">
        <v>600000</v>
      </c>
      <c r="L1407">
        <v>258333.33</v>
      </c>
      <c r="M1407">
        <v>900899.54</v>
      </c>
      <c r="N1407" s="711">
        <v>43007.787448379633</v>
      </c>
      <c r="O1407" s="711">
        <v>43253</v>
      </c>
      <c r="P1407" t="s">
        <v>5662</v>
      </c>
      <c r="Q1407" t="s">
        <v>1280</v>
      </c>
      <c r="R1407" t="s">
        <v>1280</v>
      </c>
      <c r="S1407" t="s">
        <v>1510</v>
      </c>
      <c r="T1407">
        <v>50</v>
      </c>
      <c r="U1407">
        <f>IF(Table__192.168.1.150_M_CONSOLIDATED_Delinquency_Compulsory_EOM[[#This Row],[Days in Arrears]] &lt; 8, Table__192.168.1.150_M_CONSOLIDATED_Delinquency_Compulsory_EOM[[#This Row],[Outstanding Balance]], 0 )</f>
        <v>6000000</v>
      </c>
      <c r="V140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7" s="105" t="str">
        <f>VLOOKUP(Table__192.168.1.150_M_CONSOLIDATED_Delinquency_Compulsory_EOM[[#This Row],[Client No]],'Global Portfolio'!$B$2:$N$2500,10,FALSE)</f>
        <v>Retail</v>
      </c>
      <c r="AA1407" s="105" t="str">
        <f>VLOOKUP(Table__192.168.1.150_M_CONSOLIDATED_Delinquency_Compulsory_EOM[[#This Row],[Client No]],'Global Portfolio'!$B$2:$N$2500,11,FALSE)</f>
        <v>General Merchandise Stores</v>
      </c>
      <c r="AB1407" s="105" t="str">
        <f>VLOOKUP(Table__192.168.1.150_M_CONSOLIDATED_Delinquency_Compulsory_EOM[[#This Row],[Client No]],'Global Portfolio'!$B$2:$N$2500,12,FALSE)</f>
        <v>General Stores</v>
      </c>
    </row>
    <row r="1408" spans="1:28" x14ac:dyDescent="0.25">
      <c r="A1408">
        <v>201355</v>
      </c>
      <c r="B1408" t="s">
        <v>5640</v>
      </c>
      <c r="C1408" t="s">
        <v>5663</v>
      </c>
      <c r="D1408" t="s">
        <v>1282</v>
      </c>
      <c r="E1408">
        <v>-1</v>
      </c>
      <c r="F1408">
        <v>5000000</v>
      </c>
      <c r="G1408">
        <v>5000000</v>
      </c>
      <c r="H1408">
        <v>634615.18000000005</v>
      </c>
      <c r="I1408" t="s">
        <v>3074</v>
      </c>
      <c r="J1408">
        <v>3800</v>
      </c>
      <c r="K1408">
        <v>500000</v>
      </c>
      <c r="L1408">
        <v>232500</v>
      </c>
      <c r="M1408">
        <v>634615.18000000005</v>
      </c>
      <c r="N1408" s="711">
        <v>43007.777926736111</v>
      </c>
      <c r="O1408" s="711">
        <v>43314</v>
      </c>
      <c r="P1408" t="s">
        <v>5664</v>
      </c>
      <c r="Q1408" t="s">
        <v>1280</v>
      </c>
      <c r="R1408" t="s">
        <v>1280</v>
      </c>
      <c r="S1408" t="s">
        <v>1510</v>
      </c>
      <c r="T1408">
        <v>54</v>
      </c>
      <c r="U1408">
        <f>IF(Table__192.168.1.150_M_CONSOLIDATED_Delinquency_Compulsory_EOM[[#This Row],[Days in Arrears]] &lt; 8, Table__192.168.1.150_M_CONSOLIDATED_Delinquency_Compulsory_EOM[[#This Row],[Outstanding Balance]], 0 )</f>
        <v>5000000</v>
      </c>
      <c r="V140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8" s="105" t="str">
        <f>VLOOKUP(Table__192.168.1.150_M_CONSOLIDATED_Delinquency_Compulsory_EOM[[#This Row],[Client No]],'Global Portfolio'!$B$2:$N$2500,10,FALSE)</f>
        <v>Retail</v>
      </c>
      <c r="AA1408" s="105" t="str">
        <f>VLOOKUP(Table__192.168.1.150_M_CONSOLIDATED_Delinquency_Compulsory_EOM[[#This Row],[Client No]],'Global Portfolio'!$B$2:$N$2500,11,FALSE)</f>
        <v>General Merchandise Stores</v>
      </c>
      <c r="AB1408" s="105" t="str">
        <f>VLOOKUP(Table__192.168.1.150_M_CONSOLIDATED_Delinquency_Compulsory_EOM[[#This Row],[Client No]],'Global Portfolio'!$B$2:$N$2500,12,FALSE)</f>
        <v>General Stores</v>
      </c>
    </row>
    <row r="1409" spans="1:28" x14ac:dyDescent="0.25">
      <c r="A1409">
        <v>201356</v>
      </c>
      <c r="B1409" t="s">
        <v>3966</v>
      </c>
      <c r="C1409" t="s">
        <v>3973</v>
      </c>
      <c r="D1409" t="s">
        <v>1282</v>
      </c>
      <c r="E1409">
        <v>-1</v>
      </c>
      <c r="F1409">
        <v>5000000</v>
      </c>
      <c r="G1409">
        <v>5000000</v>
      </c>
      <c r="H1409">
        <v>534126.92000000004</v>
      </c>
      <c r="I1409" t="s">
        <v>1467</v>
      </c>
      <c r="J1409">
        <v>8493.0499999999993</v>
      </c>
      <c r="K1409">
        <v>500000</v>
      </c>
      <c r="L1409">
        <v>200000</v>
      </c>
      <c r="M1409">
        <v>534126.92000000004</v>
      </c>
      <c r="N1409" s="711">
        <v>43008.60329097222</v>
      </c>
      <c r="O1409" s="711">
        <v>43375</v>
      </c>
      <c r="P1409" t="s">
        <v>3974</v>
      </c>
      <c r="Q1409" t="s">
        <v>1280</v>
      </c>
      <c r="R1409" t="s">
        <v>3975</v>
      </c>
      <c r="S1409" t="s">
        <v>1510</v>
      </c>
      <c r="T1409">
        <v>48</v>
      </c>
      <c r="U1409">
        <f>IF(Table__192.168.1.150_M_CONSOLIDATED_Delinquency_Compulsory_EOM[[#This Row],[Days in Arrears]] &lt; 8, Table__192.168.1.150_M_CONSOLIDATED_Delinquency_Compulsory_EOM[[#This Row],[Outstanding Balance]], 0 )</f>
        <v>5000000</v>
      </c>
      <c r="V140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0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0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0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09" s="105" t="str">
        <f>VLOOKUP(Table__192.168.1.150_M_CONSOLIDATED_Delinquency_Compulsory_EOM[[#This Row],[Client No]],'Global Portfolio'!$B$2:$N$2500,10,FALSE)</f>
        <v>Real Estate and Rental</v>
      </c>
      <c r="AA1409" s="105" t="str">
        <f>VLOOKUP(Table__192.168.1.150_M_CONSOLIDATED_Delinquency_Compulsory_EOM[[#This Row],[Client No]],'Global Portfolio'!$B$2:$N$2500,11,FALSE)</f>
        <v>Rental</v>
      </c>
      <c r="AB1409" s="105" t="str">
        <f>VLOOKUP(Table__192.168.1.150_M_CONSOLIDATED_Delinquency_Compulsory_EOM[[#This Row],[Client No]],'Global Portfolio'!$B$2:$N$2500,12,FALSE)</f>
        <v>Others</v>
      </c>
    </row>
    <row r="1410" spans="1:28" x14ac:dyDescent="0.25">
      <c r="A1410">
        <v>201357</v>
      </c>
      <c r="B1410" t="s">
        <v>5487</v>
      </c>
      <c r="C1410" t="s">
        <v>5694</v>
      </c>
      <c r="D1410" t="s">
        <v>1282</v>
      </c>
      <c r="E1410">
        <v>-2</v>
      </c>
      <c r="F1410">
        <v>4000000</v>
      </c>
      <c r="G1410">
        <v>4000000</v>
      </c>
      <c r="H1410">
        <v>427847.95</v>
      </c>
      <c r="I1410" t="s">
        <v>3074</v>
      </c>
      <c r="J1410">
        <v>4732.46</v>
      </c>
      <c r="K1410">
        <v>400000</v>
      </c>
      <c r="L1410">
        <v>160000</v>
      </c>
      <c r="M1410">
        <v>427847.95</v>
      </c>
      <c r="N1410" s="711">
        <v>43008.662423530091</v>
      </c>
      <c r="O1410" s="711">
        <v>43376</v>
      </c>
      <c r="P1410" t="s">
        <v>5488</v>
      </c>
      <c r="Q1410" t="s">
        <v>1280</v>
      </c>
      <c r="R1410" t="s">
        <v>5489</v>
      </c>
      <c r="S1410" t="s">
        <v>1510</v>
      </c>
      <c r="T1410">
        <v>48</v>
      </c>
      <c r="U1410">
        <f>IF(Table__192.168.1.150_M_CONSOLIDATED_Delinquency_Compulsory_EOM[[#This Row],[Days in Arrears]] &lt; 8, Table__192.168.1.150_M_CONSOLIDATED_Delinquency_Compulsory_EOM[[#This Row],[Outstanding Balance]], 0 )</f>
        <v>4000000</v>
      </c>
      <c r="V141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0" s="105" t="str">
        <f>VLOOKUP(Table__192.168.1.150_M_CONSOLIDATED_Delinquency_Compulsory_EOM[[#This Row],[Client No]],'Global Portfolio'!$B$2:$N$2500,10,FALSE)</f>
        <v>Agriculture, Forestry, Fishing and Hunting</v>
      </c>
      <c r="AA1410" s="105" t="str">
        <f>VLOOKUP(Table__192.168.1.150_M_CONSOLIDATED_Delinquency_Compulsory_EOM[[#This Row],[Client No]],'Global Portfolio'!$B$2:$N$2500,11,FALSE)</f>
        <v>Animal Production</v>
      </c>
      <c r="AB1410" s="105" t="str">
        <f>VLOOKUP(Table__192.168.1.150_M_CONSOLIDATED_Delinquency_Compulsory_EOM[[#This Row],[Client No]],'Global Portfolio'!$B$2:$N$2500,12,FALSE)</f>
        <v>Poultry &amp; Egg Production</v>
      </c>
    </row>
    <row r="1411" spans="1:28" x14ac:dyDescent="0.25">
      <c r="A1411">
        <v>201358</v>
      </c>
      <c r="B1411" t="s">
        <v>5668</v>
      </c>
      <c r="C1411" t="s">
        <v>5695</v>
      </c>
      <c r="D1411" t="s">
        <v>1279</v>
      </c>
      <c r="E1411">
        <v>-1</v>
      </c>
      <c r="F1411">
        <v>5000000</v>
      </c>
      <c r="G1411">
        <v>5000000</v>
      </c>
      <c r="H1411">
        <v>549905.1</v>
      </c>
      <c r="I1411" t="s">
        <v>963</v>
      </c>
      <c r="J1411">
        <v>0</v>
      </c>
      <c r="K1411">
        <v>500000</v>
      </c>
      <c r="L1411">
        <v>225000</v>
      </c>
      <c r="M1411">
        <v>549905.1</v>
      </c>
      <c r="N1411" s="711">
        <v>43008.646953900461</v>
      </c>
      <c r="O1411" s="711">
        <v>43375</v>
      </c>
      <c r="P1411" t="s">
        <v>5696</v>
      </c>
      <c r="Q1411" t="s">
        <v>1280</v>
      </c>
      <c r="R1411" t="s">
        <v>5697</v>
      </c>
      <c r="S1411" t="s">
        <v>1510</v>
      </c>
      <c r="T1411">
        <v>54</v>
      </c>
      <c r="U1411">
        <f>IF(Table__192.168.1.150_M_CONSOLIDATED_Delinquency_Compulsory_EOM[[#This Row],[Days in Arrears]] &lt; 8, Table__192.168.1.150_M_CONSOLIDATED_Delinquency_Compulsory_EOM[[#This Row],[Outstanding Balance]], 0 )</f>
        <v>5000000</v>
      </c>
      <c r="V141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1" s="105" t="str">
        <f>VLOOKUP(Table__192.168.1.150_M_CONSOLIDATED_Delinquency_Compulsory_EOM[[#This Row],[Client No]],'Global Portfolio'!$B$2:$N$2500,10,FALSE)</f>
        <v>Retail</v>
      </c>
      <c r="AA1411" s="105" t="str">
        <f>VLOOKUP(Table__192.168.1.150_M_CONSOLIDATED_Delinquency_Compulsory_EOM[[#This Row],[Client No]],'Global Portfolio'!$B$2:$N$2500,11,FALSE)</f>
        <v>General Merchandise Stores</v>
      </c>
      <c r="AB1411" s="105" t="str">
        <f>VLOOKUP(Table__192.168.1.150_M_CONSOLIDATED_Delinquency_Compulsory_EOM[[#This Row],[Client No]],'Global Portfolio'!$B$2:$N$2500,12,FALSE)</f>
        <v>General Stores</v>
      </c>
    </row>
    <row r="1412" spans="1:28" x14ac:dyDescent="0.25">
      <c r="A1412">
        <v>201359</v>
      </c>
      <c r="B1412" t="s">
        <v>5674</v>
      </c>
      <c r="C1412" t="s">
        <v>5698</v>
      </c>
      <c r="D1412" t="s">
        <v>1282</v>
      </c>
      <c r="E1412">
        <v>-1</v>
      </c>
      <c r="F1412">
        <v>1500000</v>
      </c>
      <c r="G1412">
        <v>1500000</v>
      </c>
      <c r="H1412">
        <v>190112.45</v>
      </c>
      <c r="I1412" t="s">
        <v>1448</v>
      </c>
      <c r="J1412">
        <v>190500</v>
      </c>
      <c r="K1412">
        <v>150000</v>
      </c>
      <c r="L1412">
        <v>67500</v>
      </c>
      <c r="M1412">
        <v>190112.45</v>
      </c>
      <c r="N1412" s="711">
        <v>43008.738874189818</v>
      </c>
      <c r="O1412" s="711">
        <v>43314</v>
      </c>
      <c r="P1412" t="s">
        <v>5699</v>
      </c>
      <c r="Q1412" t="s">
        <v>1280</v>
      </c>
      <c r="R1412" t="s">
        <v>1280</v>
      </c>
      <c r="S1412" t="s">
        <v>1510</v>
      </c>
      <c r="T1412">
        <v>54</v>
      </c>
      <c r="U1412">
        <f>IF(Table__192.168.1.150_M_CONSOLIDATED_Delinquency_Compulsory_EOM[[#This Row],[Days in Arrears]] &lt; 8, Table__192.168.1.150_M_CONSOLIDATED_Delinquency_Compulsory_EOM[[#This Row],[Outstanding Balance]], 0 )</f>
        <v>1500000</v>
      </c>
      <c r="V141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2" s="105" t="str">
        <f>VLOOKUP(Table__192.168.1.150_M_CONSOLIDATED_Delinquency_Compulsory_EOM[[#This Row],[Client No]],'Global Portfolio'!$B$2:$N$2500,10,FALSE)</f>
        <v>Retail</v>
      </c>
      <c r="AA1412" s="105" t="str">
        <f>VLOOKUP(Table__192.168.1.150_M_CONSOLIDATED_Delinquency_Compulsory_EOM[[#This Row],[Client No]],'Global Portfolio'!$B$2:$N$2500,11,FALSE)</f>
        <v>General Merchandise Stores</v>
      </c>
      <c r="AB1412" s="105" t="str">
        <f>VLOOKUP(Table__192.168.1.150_M_CONSOLIDATED_Delinquency_Compulsory_EOM[[#This Row],[Client No]],'Global Portfolio'!$B$2:$N$2500,12,FALSE)</f>
        <v>General Stores</v>
      </c>
    </row>
    <row r="1413" spans="1:28" x14ac:dyDescent="0.25">
      <c r="A1413">
        <v>201360</v>
      </c>
      <c r="B1413" t="s">
        <v>5672</v>
      </c>
      <c r="C1413" t="s">
        <v>5700</v>
      </c>
      <c r="D1413" t="s">
        <v>1282</v>
      </c>
      <c r="E1413">
        <v>-1</v>
      </c>
      <c r="F1413">
        <v>7000000</v>
      </c>
      <c r="G1413">
        <v>7000000</v>
      </c>
      <c r="H1413">
        <v>887191.42</v>
      </c>
      <c r="I1413" t="s">
        <v>2557</v>
      </c>
      <c r="J1413">
        <v>913800</v>
      </c>
      <c r="K1413">
        <v>700000</v>
      </c>
      <c r="L1413">
        <v>315000</v>
      </c>
      <c r="M1413">
        <v>887191.42</v>
      </c>
      <c r="N1413" s="711">
        <v>43008.752287465279</v>
      </c>
      <c r="O1413" s="711">
        <v>43314</v>
      </c>
      <c r="P1413" t="s">
        <v>5701</v>
      </c>
      <c r="Q1413" t="s">
        <v>5702</v>
      </c>
      <c r="R1413" t="s">
        <v>1280</v>
      </c>
      <c r="S1413" t="s">
        <v>1510</v>
      </c>
      <c r="T1413">
        <v>54</v>
      </c>
      <c r="U1413">
        <f>IF(Table__192.168.1.150_M_CONSOLIDATED_Delinquency_Compulsory_EOM[[#This Row],[Days in Arrears]] &lt; 8, Table__192.168.1.150_M_CONSOLIDATED_Delinquency_Compulsory_EOM[[#This Row],[Outstanding Balance]], 0 )</f>
        <v>7000000</v>
      </c>
      <c r="V141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3" s="105" t="str">
        <f>VLOOKUP(Table__192.168.1.150_M_CONSOLIDATED_Delinquency_Compulsory_EOM[[#This Row],[Client No]],'Global Portfolio'!$B$2:$N$2500,10,FALSE)</f>
        <v>Retail</v>
      </c>
      <c r="AA1413" s="105" t="str">
        <f>VLOOKUP(Table__192.168.1.150_M_CONSOLIDATED_Delinquency_Compulsory_EOM[[#This Row],[Client No]],'Global Portfolio'!$B$2:$N$2500,11,FALSE)</f>
        <v>General Merchandise Stores</v>
      </c>
      <c r="AB1413" s="105" t="str">
        <f>VLOOKUP(Table__192.168.1.150_M_CONSOLIDATED_Delinquency_Compulsory_EOM[[#This Row],[Client No]],'Global Portfolio'!$B$2:$N$2500,12,FALSE)</f>
        <v>General Stores</v>
      </c>
    </row>
    <row r="1414" spans="1:28" x14ac:dyDescent="0.25">
      <c r="A1414">
        <v>201361</v>
      </c>
      <c r="B1414" t="s">
        <v>5667</v>
      </c>
      <c r="C1414" t="s">
        <v>5703</v>
      </c>
      <c r="D1414" t="s">
        <v>1866</v>
      </c>
      <c r="E1414">
        <v>-1</v>
      </c>
      <c r="F1414">
        <v>6000000</v>
      </c>
      <c r="G1414">
        <v>6000000</v>
      </c>
      <c r="H1414">
        <v>647232.06999999995</v>
      </c>
      <c r="I1414" t="s">
        <v>468</v>
      </c>
      <c r="J1414">
        <v>0</v>
      </c>
      <c r="K1414">
        <v>600000</v>
      </c>
      <c r="L1414">
        <v>250000</v>
      </c>
      <c r="M1414">
        <v>647232.06999999995</v>
      </c>
      <c r="N1414" s="711">
        <v>43008.79057665509</v>
      </c>
      <c r="O1414" s="711">
        <v>43375</v>
      </c>
      <c r="P1414" t="s">
        <v>5704</v>
      </c>
      <c r="Q1414" t="s">
        <v>1280</v>
      </c>
      <c r="R1414" t="s">
        <v>5705</v>
      </c>
      <c r="S1414" t="s">
        <v>1510</v>
      </c>
      <c r="T1414">
        <v>50</v>
      </c>
      <c r="U1414">
        <f>IF(Table__192.168.1.150_M_CONSOLIDATED_Delinquency_Compulsory_EOM[[#This Row],[Days in Arrears]] &lt; 8, Table__192.168.1.150_M_CONSOLIDATED_Delinquency_Compulsory_EOM[[#This Row],[Outstanding Balance]], 0 )</f>
        <v>6000000</v>
      </c>
      <c r="V141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4" s="105" t="str">
        <f>VLOOKUP(Table__192.168.1.150_M_CONSOLIDATED_Delinquency_Compulsory_EOM[[#This Row],[Client No]],'Global Portfolio'!$B$2:$N$2500,10,FALSE)</f>
        <v>Retail</v>
      </c>
      <c r="AA1414" s="105" t="str">
        <f>VLOOKUP(Table__192.168.1.150_M_CONSOLIDATED_Delinquency_Compulsory_EOM[[#This Row],[Client No]],'Global Portfolio'!$B$2:$N$2500,11,FALSE)</f>
        <v>General Merchandise Stores</v>
      </c>
      <c r="AB1414" s="105" t="str">
        <f>VLOOKUP(Table__192.168.1.150_M_CONSOLIDATED_Delinquency_Compulsory_EOM[[#This Row],[Client No]],'Global Portfolio'!$B$2:$N$2500,12,FALSE)</f>
        <v>General Stores</v>
      </c>
    </row>
    <row r="1415" spans="1:28" x14ac:dyDescent="0.25">
      <c r="A1415">
        <v>201362</v>
      </c>
      <c r="B1415" t="s">
        <v>2222</v>
      </c>
      <c r="C1415" t="s">
        <v>2223</v>
      </c>
      <c r="D1415" t="s">
        <v>1282</v>
      </c>
      <c r="E1415">
        <v>-1</v>
      </c>
      <c r="F1415">
        <v>8500000</v>
      </c>
      <c r="G1415">
        <v>8500000</v>
      </c>
      <c r="H1415">
        <v>908015.76</v>
      </c>
      <c r="I1415" t="s">
        <v>1448</v>
      </c>
      <c r="J1415">
        <v>0</v>
      </c>
      <c r="K1415">
        <v>850000</v>
      </c>
      <c r="L1415">
        <v>340000</v>
      </c>
      <c r="M1415">
        <v>908015.76</v>
      </c>
      <c r="N1415" s="711">
        <v>43008.800173344905</v>
      </c>
      <c r="O1415" s="711">
        <v>43375</v>
      </c>
      <c r="P1415" t="s">
        <v>2224</v>
      </c>
      <c r="Q1415" t="s">
        <v>1280</v>
      </c>
      <c r="R1415" t="s">
        <v>2225</v>
      </c>
      <c r="S1415" t="s">
        <v>1510</v>
      </c>
      <c r="T1415">
        <v>48</v>
      </c>
      <c r="U1415">
        <f>IF(Table__192.168.1.150_M_CONSOLIDATED_Delinquency_Compulsory_EOM[[#This Row],[Days in Arrears]] &lt; 8, Table__192.168.1.150_M_CONSOLIDATED_Delinquency_Compulsory_EOM[[#This Row],[Outstanding Balance]], 0 )</f>
        <v>8500000</v>
      </c>
      <c r="V141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5" s="105" t="str">
        <f>VLOOKUP(Table__192.168.1.150_M_CONSOLIDATED_Delinquency_Compulsory_EOM[[#This Row],[Client No]],'Global Portfolio'!$B$2:$N$2500,10,FALSE)</f>
        <v>Retail</v>
      </c>
      <c r="AA1415" s="105" t="str">
        <f>VLOOKUP(Table__192.168.1.150_M_CONSOLIDATED_Delinquency_Compulsory_EOM[[#This Row],[Client No]],'Global Portfolio'!$B$2:$N$2500,11,FALSE)</f>
        <v>General Merchandise Stores</v>
      </c>
      <c r="AB1415" s="105" t="str">
        <f>VLOOKUP(Table__192.168.1.150_M_CONSOLIDATED_Delinquency_Compulsory_EOM[[#This Row],[Client No]],'Global Portfolio'!$B$2:$N$2500,12,FALSE)</f>
        <v>General Stores</v>
      </c>
    </row>
    <row r="1416" spans="1:28" x14ac:dyDescent="0.25">
      <c r="A1416">
        <v>201363</v>
      </c>
      <c r="B1416" t="s">
        <v>4548</v>
      </c>
      <c r="C1416" t="s">
        <v>4550</v>
      </c>
      <c r="D1416" t="s">
        <v>1285</v>
      </c>
      <c r="E1416">
        <v>-20</v>
      </c>
      <c r="F1416">
        <v>6000000</v>
      </c>
      <c r="G1416">
        <v>5838507.4100000001</v>
      </c>
      <c r="H1416">
        <v>227492.59</v>
      </c>
      <c r="I1416" t="s">
        <v>284</v>
      </c>
      <c r="J1416">
        <v>0</v>
      </c>
      <c r="K1416">
        <v>0</v>
      </c>
      <c r="L1416">
        <v>32111.79</v>
      </c>
      <c r="M1416">
        <v>7962240.7000000002</v>
      </c>
      <c r="N1416" s="711">
        <v>43011.720706365741</v>
      </c>
      <c r="O1416" s="711">
        <v>44095</v>
      </c>
      <c r="P1416" t="s">
        <v>4551</v>
      </c>
      <c r="Q1416" t="s">
        <v>1280</v>
      </c>
      <c r="R1416" t="s">
        <v>1280</v>
      </c>
      <c r="S1416" t="s">
        <v>1510</v>
      </c>
      <c r="T1416">
        <v>22</v>
      </c>
      <c r="U1416">
        <f>IF(Table__192.168.1.150_M_CONSOLIDATED_Delinquency_Compulsory_EOM[[#This Row],[Days in Arrears]] &lt; 8, Table__192.168.1.150_M_CONSOLIDATED_Delinquency_Compulsory_EOM[[#This Row],[Outstanding Balance]], 0 )</f>
        <v>5838507.4100000001</v>
      </c>
      <c r="V141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6" s="105" t="str">
        <f>VLOOKUP(Table__192.168.1.150_M_CONSOLIDATED_Delinquency_Compulsory_EOM[[#This Row],[Client No]],'Global Portfolio'!$B$2:$N$2500,10,FALSE)</f>
        <v>Finance and Insurance</v>
      </c>
      <c r="AA1416" s="105" t="str">
        <f>VLOOKUP(Table__192.168.1.150_M_CONSOLIDATED_Delinquency_Compulsory_EOM[[#This Row],[Client No]],'Global Portfolio'!$B$2:$N$2500,11,FALSE)</f>
        <v>Finance</v>
      </c>
      <c r="AB1416" s="105" t="str">
        <f>VLOOKUP(Table__192.168.1.150_M_CONSOLIDATED_Delinquency_Compulsory_EOM[[#This Row],[Client No]],'Global Portfolio'!$B$2:$N$2500,12,FALSE)</f>
        <v>Microfinance Institutions</v>
      </c>
    </row>
    <row r="1417" spans="1:28" x14ac:dyDescent="0.25">
      <c r="A1417">
        <v>201364</v>
      </c>
      <c r="B1417" t="s">
        <v>2311</v>
      </c>
      <c r="C1417" t="s">
        <v>2323</v>
      </c>
      <c r="D1417" t="s">
        <v>1281</v>
      </c>
      <c r="E1417">
        <v>-3</v>
      </c>
      <c r="F1417">
        <v>30000000</v>
      </c>
      <c r="G1417">
        <v>30000000</v>
      </c>
      <c r="H1417">
        <v>2274505.2200000002</v>
      </c>
      <c r="I1417" t="s">
        <v>1191</v>
      </c>
      <c r="J1417">
        <v>158342.5</v>
      </c>
      <c r="K1417">
        <v>2250000</v>
      </c>
      <c r="L1417">
        <v>910000</v>
      </c>
      <c r="M1417">
        <v>2274505.2200000002</v>
      </c>
      <c r="N1417" s="711">
        <v>43012.678501041664</v>
      </c>
      <c r="O1417" s="711">
        <v>43559</v>
      </c>
      <c r="P1417" t="s">
        <v>2324</v>
      </c>
      <c r="Q1417" t="s">
        <v>1280</v>
      </c>
      <c r="R1417" t="s">
        <v>1280</v>
      </c>
      <c r="S1417" t="s">
        <v>1510</v>
      </c>
      <c r="T1417">
        <v>42</v>
      </c>
      <c r="U1417">
        <f>IF(Table__192.168.1.150_M_CONSOLIDATED_Delinquency_Compulsory_EOM[[#This Row],[Days in Arrears]] &lt; 8, Table__192.168.1.150_M_CONSOLIDATED_Delinquency_Compulsory_EOM[[#This Row],[Outstanding Balance]], 0 )</f>
        <v>30000000</v>
      </c>
      <c r="V141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7" s="105" t="str">
        <f>VLOOKUP(Table__192.168.1.150_M_CONSOLIDATED_Delinquency_Compulsory_EOM[[#This Row],[Client No]],'Global Portfolio'!$B$2:$N$2500,10,FALSE)</f>
        <v>Agriculture, Forestry, Fishing and Hunting</v>
      </c>
      <c r="AA1417" s="105" t="str">
        <f>VLOOKUP(Table__192.168.1.150_M_CONSOLIDATED_Delinquency_Compulsory_EOM[[#This Row],[Client No]],'Global Portfolio'!$B$2:$N$2500,11,FALSE)</f>
        <v>Animal Production</v>
      </c>
      <c r="AB1417" s="105" t="str">
        <f>VLOOKUP(Table__192.168.1.150_M_CONSOLIDATED_Delinquency_Compulsory_EOM[[#This Row],[Client No]],'Global Portfolio'!$B$2:$N$2500,12,FALSE)</f>
        <v>Poultry &amp; Egg Production</v>
      </c>
    </row>
    <row r="1418" spans="1:28" x14ac:dyDescent="0.25">
      <c r="A1418">
        <v>201365</v>
      </c>
      <c r="B1418" t="s">
        <v>2759</v>
      </c>
      <c r="C1418" t="s">
        <v>2764</v>
      </c>
      <c r="D1418" t="s">
        <v>1281</v>
      </c>
      <c r="E1418">
        <v>-3</v>
      </c>
      <c r="F1418">
        <v>16000000</v>
      </c>
      <c r="G1418">
        <v>16000000</v>
      </c>
      <c r="H1418">
        <v>1389201.11</v>
      </c>
      <c r="I1418" t="s">
        <v>2557</v>
      </c>
      <c r="J1418">
        <v>13924</v>
      </c>
      <c r="K1418">
        <v>1200000</v>
      </c>
      <c r="L1418">
        <v>485333.33</v>
      </c>
      <c r="M1418">
        <v>1389201.11</v>
      </c>
      <c r="N1418" s="711">
        <v>43012.761587731482</v>
      </c>
      <c r="O1418" s="711">
        <v>43469</v>
      </c>
      <c r="P1418" t="s">
        <v>2765</v>
      </c>
      <c r="Q1418" t="s">
        <v>1280</v>
      </c>
      <c r="R1418" t="s">
        <v>1280</v>
      </c>
      <c r="S1418" t="s">
        <v>1510</v>
      </c>
      <c r="T1418">
        <v>42</v>
      </c>
      <c r="U1418">
        <f>IF(Table__192.168.1.150_M_CONSOLIDATED_Delinquency_Compulsory_EOM[[#This Row],[Days in Arrears]] &lt; 8, Table__192.168.1.150_M_CONSOLIDATED_Delinquency_Compulsory_EOM[[#This Row],[Outstanding Balance]], 0 )</f>
        <v>16000000</v>
      </c>
      <c r="V141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8" s="105" t="str">
        <f>VLOOKUP(Table__192.168.1.150_M_CONSOLIDATED_Delinquency_Compulsory_EOM[[#This Row],[Client No]],'Global Portfolio'!$B$2:$N$2500,10,FALSE)</f>
        <v>Wholesale Trade</v>
      </c>
      <c r="AA1418" s="105" t="str">
        <f>VLOOKUP(Table__192.168.1.150_M_CONSOLIDATED_Delinquency_Compulsory_EOM[[#This Row],[Client No]],'Global Portfolio'!$B$2:$N$2500,11,FALSE)</f>
        <v>Durable Goods</v>
      </c>
      <c r="AB1418" s="105" t="str">
        <f>VLOOKUP(Table__192.168.1.150_M_CONSOLIDATED_Delinquency_Compulsory_EOM[[#This Row],[Client No]],'Global Portfolio'!$B$2:$N$2500,12,FALSE)</f>
        <v>Others</v>
      </c>
    </row>
    <row r="1419" spans="1:28" x14ac:dyDescent="0.25">
      <c r="A1419">
        <v>201366</v>
      </c>
      <c r="B1419" t="s">
        <v>5713</v>
      </c>
      <c r="C1419" t="s">
        <v>5718</v>
      </c>
      <c r="D1419" t="s">
        <v>1286</v>
      </c>
      <c r="E1419">
        <v>-20</v>
      </c>
      <c r="F1419">
        <v>1800000</v>
      </c>
      <c r="G1419">
        <v>1501849.06</v>
      </c>
      <c r="H1419">
        <v>319400.94</v>
      </c>
      <c r="I1419" t="s">
        <v>284</v>
      </c>
      <c r="J1419">
        <v>64500.91</v>
      </c>
      <c r="K1419">
        <v>0</v>
      </c>
      <c r="L1419">
        <v>9386.56</v>
      </c>
      <c r="M1419">
        <v>1597004.68</v>
      </c>
      <c r="N1419" s="711">
        <v>43012.759731365739</v>
      </c>
      <c r="O1419" s="711">
        <v>43180</v>
      </c>
      <c r="P1419" t="s">
        <v>5719</v>
      </c>
      <c r="Q1419" t="s">
        <v>1280</v>
      </c>
      <c r="R1419" t="s">
        <v>5720</v>
      </c>
      <c r="S1419" t="s">
        <v>1510</v>
      </c>
      <c r="T1419">
        <v>25</v>
      </c>
      <c r="U1419">
        <f>IF(Table__192.168.1.150_M_CONSOLIDATED_Delinquency_Compulsory_EOM[[#This Row],[Days in Arrears]] &lt; 8, Table__192.168.1.150_M_CONSOLIDATED_Delinquency_Compulsory_EOM[[#This Row],[Outstanding Balance]], 0 )</f>
        <v>1501849.06</v>
      </c>
      <c r="V141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1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1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1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19" s="105" t="str">
        <f>VLOOKUP(Table__192.168.1.150_M_CONSOLIDATED_Delinquency_Compulsory_EOM[[#This Row],[Client No]],'Global Portfolio'!$B$2:$N$2500,10,FALSE)</f>
        <v>Other Services</v>
      </c>
      <c r="AA1419" s="105" t="str">
        <f>VLOOKUP(Table__192.168.1.150_M_CONSOLIDATED_Delinquency_Compulsory_EOM[[#This Row],[Client No]],'Global Portfolio'!$B$2:$N$2500,11,FALSE)</f>
        <v>Personal Services</v>
      </c>
      <c r="AB1419" s="105" t="str">
        <f>VLOOKUP(Table__192.168.1.150_M_CONSOLIDATED_Delinquency_Compulsory_EOM[[#This Row],[Client No]],'Global Portfolio'!$B$2:$N$2500,12,FALSE)</f>
        <v>Others</v>
      </c>
    </row>
    <row r="1420" spans="1:28" x14ac:dyDescent="0.25">
      <c r="A1420">
        <v>201367</v>
      </c>
      <c r="B1420" t="s">
        <v>5712</v>
      </c>
      <c r="C1420" t="s">
        <v>5721</v>
      </c>
      <c r="D1420" t="s">
        <v>1281</v>
      </c>
      <c r="E1420">
        <v>-3</v>
      </c>
      <c r="F1420">
        <v>28000000</v>
      </c>
      <c r="G1420">
        <v>28000000</v>
      </c>
      <c r="H1420">
        <v>2983460.84</v>
      </c>
      <c r="I1420" t="s">
        <v>1447</v>
      </c>
      <c r="J1420">
        <v>11918.32</v>
      </c>
      <c r="K1420">
        <v>0</v>
      </c>
      <c r="L1420">
        <v>970666.67</v>
      </c>
      <c r="M1420">
        <v>2983460.84</v>
      </c>
      <c r="N1420" s="711">
        <v>43012.775329050928</v>
      </c>
      <c r="O1420" s="711">
        <v>43377</v>
      </c>
      <c r="P1420" t="s">
        <v>5722</v>
      </c>
      <c r="Q1420" t="s">
        <v>1280</v>
      </c>
      <c r="R1420" t="s">
        <v>1280</v>
      </c>
      <c r="S1420" t="s">
        <v>1510</v>
      </c>
      <c r="T1420">
        <v>48</v>
      </c>
      <c r="U1420">
        <f>IF(Table__192.168.1.150_M_CONSOLIDATED_Delinquency_Compulsory_EOM[[#This Row],[Days in Arrears]] &lt; 8, Table__192.168.1.150_M_CONSOLIDATED_Delinquency_Compulsory_EOM[[#This Row],[Outstanding Balance]], 0 )</f>
        <v>28000000</v>
      </c>
      <c r="V142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0" s="105" t="str">
        <f>VLOOKUP(Table__192.168.1.150_M_CONSOLIDATED_Delinquency_Compulsory_EOM[[#This Row],[Client No]],'Global Portfolio'!$B$2:$N$2500,10,FALSE)</f>
        <v>Retail</v>
      </c>
      <c r="AA1420" s="105" t="str">
        <f>VLOOKUP(Table__192.168.1.150_M_CONSOLIDATED_Delinquency_Compulsory_EOM[[#This Row],[Client No]],'Global Portfolio'!$B$2:$N$2500,11,FALSE)</f>
        <v>General Merchandise Stores</v>
      </c>
      <c r="AB1420" s="105" t="str">
        <f>VLOOKUP(Table__192.168.1.150_M_CONSOLIDATED_Delinquency_Compulsory_EOM[[#This Row],[Client No]],'Global Portfolio'!$B$2:$N$2500,12,FALSE)</f>
        <v>General Stores</v>
      </c>
    </row>
    <row r="1421" spans="1:28" x14ac:dyDescent="0.25">
      <c r="A1421">
        <v>201368</v>
      </c>
      <c r="B1421" t="s">
        <v>5143</v>
      </c>
      <c r="C1421" t="s">
        <v>5148</v>
      </c>
      <c r="D1421" t="s">
        <v>1286</v>
      </c>
      <c r="E1421">
        <v>-20</v>
      </c>
      <c r="F1421">
        <v>900000</v>
      </c>
      <c r="G1421">
        <v>600391.1</v>
      </c>
      <c r="H1421">
        <v>309608.90000000002</v>
      </c>
      <c r="I1421" t="s">
        <v>284</v>
      </c>
      <c r="J1421">
        <v>0</v>
      </c>
      <c r="K1421">
        <v>0</v>
      </c>
      <c r="L1421">
        <v>3752.44</v>
      </c>
      <c r="M1421">
        <v>619217.80000000005</v>
      </c>
      <c r="N1421" s="711">
        <v>43013.442692442128</v>
      </c>
      <c r="O1421" s="711">
        <v>43090</v>
      </c>
      <c r="P1421" t="s">
        <v>5149</v>
      </c>
      <c r="Q1421" t="s">
        <v>1280</v>
      </c>
      <c r="R1421" t="s">
        <v>1280</v>
      </c>
      <c r="S1421" t="s">
        <v>1510</v>
      </c>
      <c r="T1421">
        <v>25</v>
      </c>
      <c r="U1421">
        <f>IF(Table__192.168.1.150_M_CONSOLIDATED_Delinquency_Compulsory_EOM[[#This Row],[Days in Arrears]] &lt; 8, Table__192.168.1.150_M_CONSOLIDATED_Delinquency_Compulsory_EOM[[#This Row],[Outstanding Balance]], 0 )</f>
        <v>600391.1</v>
      </c>
      <c r="V142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1" s="105" t="str">
        <f>VLOOKUP(Table__192.168.1.150_M_CONSOLIDATED_Delinquency_Compulsory_EOM[[#This Row],[Client No]],'Global Portfolio'!$B$2:$N$2500,10,FALSE)</f>
        <v>Other Services</v>
      </c>
      <c r="AA1421" s="105" t="str">
        <f>VLOOKUP(Table__192.168.1.150_M_CONSOLIDATED_Delinquency_Compulsory_EOM[[#This Row],[Client No]],'Global Portfolio'!$B$2:$N$2500,11,FALSE)</f>
        <v>Personal Services</v>
      </c>
      <c r="AB1421" s="105" t="str">
        <f>VLOOKUP(Table__192.168.1.150_M_CONSOLIDATED_Delinquency_Compulsory_EOM[[#This Row],[Client No]],'Global Portfolio'!$B$2:$N$2500,12,FALSE)</f>
        <v>Others</v>
      </c>
    </row>
    <row r="1422" spans="1:28" x14ac:dyDescent="0.25">
      <c r="A1422">
        <v>201369</v>
      </c>
      <c r="B1422" t="s">
        <v>5723</v>
      </c>
      <c r="C1422" t="s">
        <v>5727</v>
      </c>
      <c r="D1422" t="s">
        <v>1286</v>
      </c>
      <c r="E1422">
        <v>-20</v>
      </c>
      <c r="F1422">
        <v>1450000</v>
      </c>
      <c r="G1422">
        <v>967296.77</v>
      </c>
      <c r="H1422">
        <v>498814.34</v>
      </c>
      <c r="I1422" t="s">
        <v>284</v>
      </c>
      <c r="J1422">
        <v>6107.26</v>
      </c>
      <c r="K1422">
        <v>0</v>
      </c>
      <c r="L1422">
        <v>6045.6</v>
      </c>
      <c r="M1422">
        <v>997628.67</v>
      </c>
      <c r="N1422" s="711">
        <v>43013.70948622685</v>
      </c>
      <c r="O1422" s="711">
        <v>43090</v>
      </c>
      <c r="P1422" t="s">
        <v>5728</v>
      </c>
      <c r="Q1422" t="s">
        <v>1280</v>
      </c>
      <c r="R1422" t="s">
        <v>1280</v>
      </c>
      <c r="S1422" t="s">
        <v>1510</v>
      </c>
      <c r="T1422">
        <v>25</v>
      </c>
      <c r="U1422">
        <f>IF(Table__192.168.1.150_M_CONSOLIDATED_Delinquency_Compulsory_EOM[[#This Row],[Days in Arrears]] &lt; 8, Table__192.168.1.150_M_CONSOLIDATED_Delinquency_Compulsory_EOM[[#This Row],[Outstanding Balance]], 0 )</f>
        <v>967296.77</v>
      </c>
      <c r="V142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2" s="105" t="e">
        <f>VLOOKUP(Table__192.168.1.150_M_CONSOLIDATED_Delinquency_Compulsory_EOM[[#This Row],[Client No]],'Global Portfolio'!$B$2:$N$2500,10,FALSE)</f>
        <v>#N/A</v>
      </c>
      <c r="AA1422" s="105" t="e">
        <f>VLOOKUP(Table__192.168.1.150_M_CONSOLIDATED_Delinquency_Compulsory_EOM[[#This Row],[Client No]],'Global Portfolio'!$B$2:$N$2500,11,FALSE)</f>
        <v>#N/A</v>
      </c>
      <c r="AB1422" s="105" t="e">
        <f>VLOOKUP(Table__192.168.1.150_M_CONSOLIDATED_Delinquency_Compulsory_EOM[[#This Row],[Client No]],'Global Portfolio'!$B$2:$N$2500,12,FALSE)</f>
        <v>#N/A</v>
      </c>
    </row>
    <row r="1423" spans="1:28" x14ac:dyDescent="0.25">
      <c r="A1423">
        <v>201370</v>
      </c>
      <c r="B1423" t="s">
        <v>5731</v>
      </c>
      <c r="C1423" t="s">
        <v>5741</v>
      </c>
      <c r="D1423" t="s">
        <v>1281</v>
      </c>
      <c r="E1423">
        <v>-5</v>
      </c>
      <c r="F1423">
        <v>25000000</v>
      </c>
      <c r="G1423">
        <v>25000000</v>
      </c>
      <c r="H1423">
        <v>2663804.3199999998</v>
      </c>
      <c r="I1423" t="s">
        <v>4683</v>
      </c>
      <c r="J1423">
        <v>9000</v>
      </c>
      <c r="K1423">
        <v>1875000</v>
      </c>
      <c r="L1423">
        <v>800000</v>
      </c>
      <c r="M1423">
        <v>2663804.3199999998</v>
      </c>
      <c r="N1423" s="711">
        <v>43014.748938344906</v>
      </c>
      <c r="O1423" s="711">
        <v>43379</v>
      </c>
      <c r="P1423" t="s">
        <v>5742</v>
      </c>
      <c r="Q1423" t="s">
        <v>5743</v>
      </c>
      <c r="R1423" t="s">
        <v>1280</v>
      </c>
      <c r="S1423" t="s">
        <v>1510</v>
      </c>
      <c r="T1423">
        <v>48</v>
      </c>
      <c r="U1423">
        <f>IF(Table__192.168.1.150_M_CONSOLIDATED_Delinquency_Compulsory_EOM[[#This Row],[Days in Arrears]] &lt; 8, Table__192.168.1.150_M_CONSOLIDATED_Delinquency_Compulsory_EOM[[#This Row],[Outstanding Balance]], 0 )</f>
        <v>25000000</v>
      </c>
      <c r="V142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3" s="105" t="str">
        <f>VLOOKUP(Table__192.168.1.150_M_CONSOLIDATED_Delinquency_Compulsory_EOM[[#This Row],[Client No]],'Global Portfolio'!$B$2:$N$2500,10,FALSE)</f>
        <v>Retail</v>
      </c>
      <c r="AA1423" s="105" t="str">
        <f>VLOOKUP(Table__192.168.1.150_M_CONSOLIDATED_Delinquency_Compulsory_EOM[[#This Row],[Client No]],'Global Portfolio'!$B$2:$N$2500,11,FALSE)</f>
        <v>General Merchandise Stores</v>
      </c>
      <c r="AB1423" s="105" t="str">
        <f>VLOOKUP(Table__192.168.1.150_M_CONSOLIDATED_Delinquency_Compulsory_EOM[[#This Row],[Client No]],'Global Portfolio'!$B$2:$N$2500,12,FALSE)</f>
        <v>Others</v>
      </c>
    </row>
    <row r="1424" spans="1:28" x14ac:dyDescent="0.25">
      <c r="A1424">
        <v>201371</v>
      </c>
      <c r="B1424" t="s">
        <v>5732</v>
      </c>
      <c r="C1424" t="s">
        <v>5744</v>
      </c>
      <c r="D1424" t="s">
        <v>1286</v>
      </c>
      <c r="E1424">
        <v>-20</v>
      </c>
      <c r="F1424">
        <v>3685000</v>
      </c>
      <c r="G1424">
        <v>3070398.3</v>
      </c>
      <c r="H1424">
        <v>652987.12</v>
      </c>
      <c r="I1424" t="s">
        <v>284</v>
      </c>
      <c r="J1424">
        <v>1369830.72</v>
      </c>
      <c r="K1424">
        <v>0</v>
      </c>
      <c r="L1424">
        <v>19189.990000000002</v>
      </c>
      <c r="M1424">
        <v>3264935.6</v>
      </c>
      <c r="N1424" s="711">
        <v>43014.766459027778</v>
      </c>
      <c r="O1424" s="711">
        <v>43180</v>
      </c>
      <c r="P1424" t="s">
        <v>5745</v>
      </c>
      <c r="Q1424" t="s">
        <v>1280</v>
      </c>
      <c r="R1424" t="s">
        <v>5746</v>
      </c>
      <c r="S1424" t="s">
        <v>1510</v>
      </c>
      <c r="T1424">
        <v>25</v>
      </c>
      <c r="U1424">
        <f>IF(Table__192.168.1.150_M_CONSOLIDATED_Delinquency_Compulsory_EOM[[#This Row],[Days in Arrears]] &lt; 8, Table__192.168.1.150_M_CONSOLIDATED_Delinquency_Compulsory_EOM[[#This Row],[Outstanding Balance]], 0 )</f>
        <v>3070398.3</v>
      </c>
      <c r="V142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4" s="105" t="str">
        <f>VLOOKUP(Table__192.168.1.150_M_CONSOLIDATED_Delinquency_Compulsory_EOM[[#This Row],[Client No]],'Global Portfolio'!$B$2:$N$2500,10,FALSE)</f>
        <v>Other Services</v>
      </c>
      <c r="AA1424" s="105" t="str">
        <f>VLOOKUP(Table__192.168.1.150_M_CONSOLIDATED_Delinquency_Compulsory_EOM[[#This Row],[Client No]],'Global Portfolio'!$B$2:$N$2500,11,FALSE)</f>
        <v>Personal Services</v>
      </c>
      <c r="AB1424" s="105" t="str">
        <f>VLOOKUP(Table__192.168.1.150_M_CONSOLIDATED_Delinquency_Compulsory_EOM[[#This Row],[Client No]],'Global Portfolio'!$B$2:$N$2500,12,FALSE)</f>
        <v>Others</v>
      </c>
    </row>
    <row r="1425" spans="1:28" x14ac:dyDescent="0.25">
      <c r="A1425">
        <v>201372</v>
      </c>
      <c r="B1425" t="s">
        <v>3427</v>
      </c>
      <c r="C1425" t="s">
        <v>3435</v>
      </c>
      <c r="D1425" t="s">
        <v>1282</v>
      </c>
      <c r="E1425">
        <v>-9</v>
      </c>
      <c r="F1425">
        <v>8000000</v>
      </c>
      <c r="G1425">
        <v>8000000</v>
      </c>
      <c r="H1425">
        <v>986327.55</v>
      </c>
      <c r="I1425" t="s">
        <v>1447</v>
      </c>
      <c r="J1425">
        <v>9098.48</v>
      </c>
      <c r="K1425">
        <v>800000</v>
      </c>
      <c r="L1425">
        <v>213333.33</v>
      </c>
      <c r="M1425">
        <v>986327.55</v>
      </c>
      <c r="N1425" s="711">
        <v>43018.567411145836</v>
      </c>
      <c r="O1425" s="711">
        <v>43322</v>
      </c>
      <c r="P1425" t="s">
        <v>3436</v>
      </c>
      <c r="Q1425" t="s">
        <v>1280</v>
      </c>
      <c r="R1425" t="s">
        <v>3437</v>
      </c>
      <c r="S1425" t="s">
        <v>1510</v>
      </c>
      <c r="T1425">
        <v>48</v>
      </c>
      <c r="U1425">
        <f>IF(Table__192.168.1.150_M_CONSOLIDATED_Delinquency_Compulsory_EOM[[#This Row],[Days in Arrears]] &lt; 8, Table__192.168.1.150_M_CONSOLIDATED_Delinquency_Compulsory_EOM[[#This Row],[Outstanding Balance]], 0 )</f>
        <v>8000000</v>
      </c>
      <c r="V142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5" s="105" t="str">
        <f>VLOOKUP(Table__192.168.1.150_M_CONSOLIDATED_Delinquency_Compulsory_EOM[[#This Row],[Client No]],'Global Portfolio'!$B$2:$N$2500,10,FALSE)</f>
        <v>Retail</v>
      </c>
      <c r="AA1425" s="105" t="str">
        <f>VLOOKUP(Table__192.168.1.150_M_CONSOLIDATED_Delinquency_Compulsory_EOM[[#This Row],[Client No]],'Global Portfolio'!$B$2:$N$2500,11,FALSE)</f>
        <v>General Merchandise Stores</v>
      </c>
      <c r="AB1425" s="105" t="str">
        <f>VLOOKUP(Table__192.168.1.150_M_CONSOLIDATED_Delinquency_Compulsory_EOM[[#This Row],[Client No]],'Global Portfolio'!$B$2:$N$2500,12,FALSE)</f>
        <v>General Stores</v>
      </c>
    </row>
    <row r="1426" spans="1:28" x14ac:dyDescent="0.25">
      <c r="A1426">
        <v>201373</v>
      </c>
      <c r="B1426" t="s">
        <v>5749</v>
      </c>
      <c r="C1426" t="s">
        <v>5756</v>
      </c>
      <c r="D1426" t="s">
        <v>1279</v>
      </c>
      <c r="E1426">
        <v>-9</v>
      </c>
      <c r="F1426">
        <v>1500000</v>
      </c>
      <c r="G1426">
        <v>1500000</v>
      </c>
      <c r="H1426">
        <v>227414.48</v>
      </c>
      <c r="I1426" t="s">
        <v>3074</v>
      </c>
      <c r="J1426">
        <v>9000</v>
      </c>
      <c r="K1426">
        <v>150000</v>
      </c>
      <c r="L1426">
        <v>45000</v>
      </c>
      <c r="M1426">
        <v>227414.48</v>
      </c>
      <c r="N1426" s="711">
        <v>43018.709052118058</v>
      </c>
      <c r="O1426" s="711">
        <v>43261</v>
      </c>
      <c r="P1426" t="s">
        <v>5757</v>
      </c>
      <c r="Q1426" t="s">
        <v>1280</v>
      </c>
      <c r="R1426" t="s">
        <v>5758</v>
      </c>
      <c r="S1426" t="s">
        <v>1510</v>
      </c>
      <c r="T1426">
        <v>54</v>
      </c>
      <c r="U1426">
        <f>IF(Table__192.168.1.150_M_CONSOLIDATED_Delinquency_Compulsory_EOM[[#This Row],[Days in Arrears]] &lt; 8, Table__192.168.1.150_M_CONSOLIDATED_Delinquency_Compulsory_EOM[[#This Row],[Outstanding Balance]], 0 )</f>
        <v>1500000</v>
      </c>
      <c r="V142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6" s="105" t="str">
        <f>VLOOKUP(Table__192.168.1.150_M_CONSOLIDATED_Delinquency_Compulsory_EOM[[#This Row],[Client No]],'Global Portfolio'!$B$2:$N$2500,10,FALSE)</f>
        <v>Retail</v>
      </c>
      <c r="AA1426" s="105" t="str">
        <f>VLOOKUP(Table__192.168.1.150_M_CONSOLIDATED_Delinquency_Compulsory_EOM[[#This Row],[Client No]],'Global Portfolio'!$B$2:$N$2500,11,FALSE)</f>
        <v>General Merchandise Stores</v>
      </c>
      <c r="AB1426" s="105" t="str">
        <f>VLOOKUP(Table__192.168.1.150_M_CONSOLIDATED_Delinquency_Compulsory_EOM[[#This Row],[Client No]],'Global Portfolio'!$B$2:$N$2500,12,FALSE)</f>
        <v>General Stores</v>
      </c>
    </row>
    <row r="1427" spans="1:28" x14ac:dyDescent="0.25">
      <c r="A1427">
        <v>201374</v>
      </c>
      <c r="B1427" t="s">
        <v>5748</v>
      </c>
      <c r="C1427" t="s">
        <v>5759</v>
      </c>
      <c r="D1427" t="s">
        <v>1282</v>
      </c>
      <c r="E1427">
        <v>-9</v>
      </c>
      <c r="F1427">
        <v>4000000</v>
      </c>
      <c r="G1427">
        <v>4000000</v>
      </c>
      <c r="H1427">
        <v>775513.55</v>
      </c>
      <c r="I1427" t="s">
        <v>4686</v>
      </c>
      <c r="J1427">
        <v>0</v>
      </c>
      <c r="K1427">
        <v>400000</v>
      </c>
      <c r="L1427">
        <v>120000</v>
      </c>
      <c r="M1427">
        <v>775513.55</v>
      </c>
      <c r="N1427" s="711">
        <v>43018.674467094905</v>
      </c>
      <c r="O1427" s="711">
        <v>43200</v>
      </c>
      <c r="P1427" t="s">
        <v>5760</v>
      </c>
      <c r="Q1427" t="s">
        <v>1280</v>
      </c>
      <c r="R1427" t="s">
        <v>5761</v>
      </c>
      <c r="S1427" t="s">
        <v>1510</v>
      </c>
      <c r="T1427">
        <v>54</v>
      </c>
      <c r="U1427">
        <f>IF(Table__192.168.1.150_M_CONSOLIDATED_Delinquency_Compulsory_EOM[[#This Row],[Days in Arrears]] &lt; 8, Table__192.168.1.150_M_CONSOLIDATED_Delinquency_Compulsory_EOM[[#This Row],[Outstanding Balance]], 0 )</f>
        <v>4000000</v>
      </c>
      <c r="V142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7" s="105" t="str">
        <f>VLOOKUP(Table__192.168.1.150_M_CONSOLIDATED_Delinquency_Compulsory_EOM[[#This Row],[Client No]],'Global Portfolio'!$B$2:$N$2500,10,FALSE)</f>
        <v>Agriculture, Forestry, Fishing and Hunting</v>
      </c>
      <c r="AA1427" s="105" t="str">
        <f>VLOOKUP(Table__192.168.1.150_M_CONSOLIDATED_Delinquency_Compulsory_EOM[[#This Row],[Client No]],'Global Portfolio'!$B$2:$N$2500,11,FALSE)</f>
        <v>Animal Production</v>
      </c>
      <c r="AB1427" s="105" t="str">
        <f>VLOOKUP(Table__192.168.1.150_M_CONSOLIDATED_Delinquency_Compulsory_EOM[[#This Row],[Client No]],'Global Portfolio'!$B$2:$N$2500,12,FALSE)</f>
        <v>Other Animal Production</v>
      </c>
    </row>
    <row r="1428" spans="1:28" x14ac:dyDescent="0.25">
      <c r="A1428">
        <v>201375</v>
      </c>
      <c r="B1428" t="s">
        <v>5750</v>
      </c>
      <c r="C1428" t="s">
        <v>5762</v>
      </c>
      <c r="D1428" t="s">
        <v>1279</v>
      </c>
      <c r="E1428">
        <v>-9</v>
      </c>
      <c r="F1428">
        <v>2200000</v>
      </c>
      <c r="G1428">
        <v>2200000</v>
      </c>
      <c r="H1428">
        <v>278033.40999999997</v>
      </c>
      <c r="I1428" t="s">
        <v>4686</v>
      </c>
      <c r="J1428">
        <v>9360</v>
      </c>
      <c r="K1428">
        <v>220000</v>
      </c>
      <c r="L1428">
        <v>66000</v>
      </c>
      <c r="M1428">
        <v>278033.40999999997</v>
      </c>
      <c r="N1428" s="711">
        <v>43018.682332789351</v>
      </c>
      <c r="O1428" s="711">
        <v>43322</v>
      </c>
      <c r="P1428" t="s">
        <v>5763</v>
      </c>
      <c r="Q1428" t="s">
        <v>1280</v>
      </c>
      <c r="R1428" t="s">
        <v>1280</v>
      </c>
      <c r="S1428" t="s">
        <v>1510</v>
      </c>
      <c r="T1428">
        <v>54</v>
      </c>
      <c r="U1428">
        <f>IF(Table__192.168.1.150_M_CONSOLIDATED_Delinquency_Compulsory_EOM[[#This Row],[Days in Arrears]] &lt; 8, Table__192.168.1.150_M_CONSOLIDATED_Delinquency_Compulsory_EOM[[#This Row],[Outstanding Balance]], 0 )</f>
        <v>2200000</v>
      </c>
      <c r="V142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8" s="105" t="str">
        <f>VLOOKUP(Table__192.168.1.150_M_CONSOLIDATED_Delinquency_Compulsory_EOM[[#This Row],[Client No]],'Global Portfolio'!$B$2:$N$2500,10,FALSE)</f>
        <v>Agriculture, Forestry, Fishing and Hunting</v>
      </c>
      <c r="AA1428" s="105" t="str">
        <f>VLOOKUP(Table__192.168.1.150_M_CONSOLIDATED_Delinquency_Compulsory_EOM[[#This Row],[Client No]],'Global Portfolio'!$B$2:$N$2500,11,FALSE)</f>
        <v>Animal Production</v>
      </c>
      <c r="AB1428" s="105" t="str">
        <f>VLOOKUP(Table__192.168.1.150_M_CONSOLIDATED_Delinquency_Compulsory_EOM[[#This Row],[Client No]],'Global Portfolio'!$B$2:$N$2500,12,FALSE)</f>
        <v>Poultry &amp; Egg Production</v>
      </c>
    </row>
    <row r="1429" spans="1:28" x14ac:dyDescent="0.25">
      <c r="A1429">
        <v>201376</v>
      </c>
      <c r="B1429" t="s">
        <v>3255</v>
      </c>
      <c r="C1429" t="s">
        <v>3259</v>
      </c>
      <c r="D1429" t="s">
        <v>1282</v>
      </c>
      <c r="E1429">
        <v>-11</v>
      </c>
      <c r="F1429">
        <v>5000000</v>
      </c>
      <c r="G1429">
        <v>5000000</v>
      </c>
      <c r="H1429">
        <v>532760.86</v>
      </c>
      <c r="I1429" t="s">
        <v>2557</v>
      </c>
      <c r="J1429">
        <v>0</v>
      </c>
      <c r="K1429">
        <v>500000</v>
      </c>
      <c r="L1429">
        <v>120000</v>
      </c>
      <c r="M1429">
        <v>532760.86</v>
      </c>
      <c r="N1429" s="711">
        <v>43020.638863460648</v>
      </c>
      <c r="O1429" s="711">
        <v>43385</v>
      </c>
      <c r="P1429" t="s">
        <v>3260</v>
      </c>
      <c r="Q1429" t="s">
        <v>1280</v>
      </c>
      <c r="R1429" t="s">
        <v>1280</v>
      </c>
      <c r="S1429" t="s">
        <v>1510</v>
      </c>
      <c r="T1429">
        <v>48</v>
      </c>
      <c r="U1429">
        <f>IF(Table__192.168.1.150_M_CONSOLIDATED_Delinquency_Compulsory_EOM[[#This Row],[Days in Arrears]] &lt; 8, Table__192.168.1.150_M_CONSOLIDATED_Delinquency_Compulsory_EOM[[#This Row],[Outstanding Balance]], 0 )</f>
        <v>5000000</v>
      </c>
      <c r="V142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2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2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2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29" s="105" t="str">
        <f>VLOOKUP(Table__192.168.1.150_M_CONSOLIDATED_Delinquency_Compulsory_EOM[[#This Row],[Client No]],'Global Portfolio'!$B$2:$N$2500,10,FALSE)</f>
        <v>Educational Services</v>
      </c>
      <c r="AA1429" s="105" t="str">
        <f>VLOOKUP(Table__192.168.1.150_M_CONSOLIDATED_Delinquency_Compulsory_EOM[[#This Row],[Client No]],'Global Portfolio'!$B$2:$N$2500,11,FALSE)</f>
        <v>Educational Services</v>
      </c>
      <c r="AB1429" s="105" t="str">
        <f>VLOOKUP(Table__192.168.1.150_M_CONSOLIDATED_Delinquency_Compulsory_EOM[[#This Row],[Client No]],'Global Portfolio'!$B$2:$N$2500,12,FALSE)</f>
        <v>Colleges</v>
      </c>
    </row>
    <row r="1430" spans="1:28" x14ac:dyDescent="0.25">
      <c r="A1430">
        <v>201377</v>
      </c>
      <c r="B1430" t="s">
        <v>5775</v>
      </c>
      <c r="C1430" t="s">
        <v>5787</v>
      </c>
      <c r="D1430" t="s">
        <v>1279</v>
      </c>
      <c r="E1430">
        <v>-11</v>
      </c>
      <c r="F1430">
        <v>1000000</v>
      </c>
      <c r="G1430">
        <v>1000000</v>
      </c>
      <c r="H1430">
        <v>126378.82</v>
      </c>
      <c r="I1430" t="s">
        <v>2855</v>
      </c>
      <c r="J1430">
        <v>9000</v>
      </c>
      <c r="K1430">
        <v>100000</v>
      </c>
      <c r="L1430">
        <v>27000</v>
      </c>
      <c r="M1430">
        <v>126378.82</v>
      </c>
      <c r="N1430" s="711">
        <v>43020.46736840278</v>
      </c>
      <c r="O1430" s="711">
        <v>43324</v>
      </c>
      <c r="P1430" t="s">
        <v>5788</v>
      </c>
      <c r="Q1430" t="s">
        <v>1280</v>
      </c>
      <c r="R1430" t="s">
        <v>1280</v>
      </c>
      <c r="S1430" t="s">
        <v>1510</v>
      </c>
      <c r="T1430">
        <v>54</v>
      </c>
      <c r="U1430">
        <f>IF(Table__192.168.1.150_M_CONSOLIDATED_Delinquency_Compulsory_EOM[[#This Row],[Days in Arrears]] &lt; 8, Table__192.168.1.150_M_CONSOLIDATED_Delinquency_Compulsory_EOM[[#This Row],[Outstanding Balance]], 0 )</f>
        <v>1000000</v>
      </c>
      <c r="V143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0" s="105" t="str">
        <f>VLOOKUP(Table__192.168.1.150_M_CONSOLIDATED_Delinquency_Compulsory_EOM[[#This Row],[Client No]],'Global Portfolio'!$B$2:$N$2500,10,FALSE)</f>
        <v>Retail</v>
      </c>
      <c r="AA1430" s="105" t="str">
        <f>VLOOKUP(Table__192.168.1.150_M_CONSOLIDATED_Delinquency_Compulsory_EOM[[#This Row],[Client No]],'Global Portfolio'!$B$2:$N$2500,11,FALSE)</f>
        <v>Second Hand -Clothing and  Accessories</v>
      </c>
      <c r="AB1430" s="105" t="str">
        <f>VLOOKUP(Table__192.168.1.150_M_CONSOLIDATED_Delinquency_Compulsory_EOM[[#This Row],[Client No]],'Global Portfolio'!$B$2:$N$2500,12,FALSE)</f>
        <v>Clothing Stores</v>
      </c>
    </row>
    <row r="1431" spans="1:28" x14ac:dyDescent="0.25">
      <c r="A1431">
        <v>201378</v>
      </c>
      <c r="B1431" t="s">
        <v>5779</v>
      </c>
      <c r="C1431" t="s">
        <v>5789</v>
      </c>
      <c r="D1431" t="s">
        <v>1279</v>
      </c>
      <c r="E1431">
        <v>-11</v>
      </c>
      <c r="F1431">
        <v>4000000</v>
      </c>
      <c r="G1431">
        <v>4000000</v>
      </c>
      <c r="H1431">
        <v>505515.29</v>
      </c>
      <c r="I1431" t="s">
        <v>4686</v>
      </c>
      <c r="J1431">
        <v>9000</v>
      </c>
      <c r="K1431">
        <v>400000</v>
      </c>
      <c r="L1431">
        <v>108000</v>
      </c>
      <c r="M1431">
        <v>505515.29</v>
      </c>
      <c r="N1431" s="711">
        <v>43020.595618136576</v>
      </c>
      <c r="O1431" s="711">
        <v>43324</v>
      </c>
      <c r="P1431" t="s">
        <v>5790</v>
      </c>
      <c r="Q1431" t="s">
        <v>1280</v>
      </c>
      <c r="R1431" t="s">
        <v>1280</v>
      </c>
      <c r="S1431" t="s">
        <v>1510</v>
      </c>
      <c r="T1431">
        <v>54</v>
      </c>
      <c r="U1431">
        <f>IF(Table__192.168.1.150_M_CONSOLIDATED_Delinquency_Compulsory_EOM[[#This Row],[Days in Arrears]] &lt; 8, Table__192.168.1.150_M_CONSOLIDATED_Delinquency_Compulsory_EOM[[#This Row],[Outstanding Balance]], 0 )</f>
        <v>4000000</v>
      </c>
      <c r="V143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1" s="105" t="str">
        <f>VLOOKUP(Table__192.168.1.150_M_CONSOLIDATED_Delinquency_Compulsory_EOM[[#This Row],[Client No]],'Global Portfolio'!$B$2:$N$2500,10,FALSE)</f>
        <v>Retail</v>
      </c>
      <c r="AA1431" s="105" t="str">
        <f>VLOOKUP(Table__192.168.1.150_M_CONSOLIDATED_Delinquency_Compulsory_EOM[[#This Row],[Client No]],'Global Portfolio'!$B$2:$N$2500,11,FALSE)</f>
        <v>General Merchandise Stores</v>
      </c>
      <c r="AB1431" s="105" t="str">
        <f>VLOOKUP(Table__192.168.1.150_M_CONSOLIDATED_Delinquency_Compulsory_EOM[[#This Row],[Client No]],'Global Portfolio'!$B$2:$N$2500,12,FALSE)</f>
        <v>General Stores</v>
      </c>
    </row>
    <row r="1432" spans="1:28" x14ac:dyDescent="0.25">
      <c r="A1432">
        <v>201379</v>
      </c>
      <c r="B1432" t="s">
        <v>5780</v>
      </c>
      <c r="C1432" t="s">
        <v>5791</v>
      </c>
      <c r="D1432" t="s">
        <v>1282</v>
      </c>
      <c r="E1432">
        <v>-11</v>
      </c>
      <c r="F1432">
        <v>5000000</v>
      </c>
      <c r="G1432">
        <v>5000000</v>
      </c>
      <c r="H1432">
        <v>631894.11</v>
      </c>
      <c r="I1432" t="s">
        <v>963</v>
      </c>
      <c r="J1432">
        <v>9000</v>
      </c>
      <c r="K1432">
        <v>500000</v>
      </c>
      <c r="L1432">
        <v>135000</v>
      </c>
      <c r="M1432">
        <v>631894.11</v>
      </c>
      <c r="N1432" s="711">
        <v>43020.558276006945</v>
      </c>
      <c r="O1432" s="711">
        <v>43324</v>
      </c>
      <c r="P1432" t="s">
        <v>5792</v>
      </c>
      <c r="Q1432" t="s">
        <v>5793</v>
      </c>
      <c r="R1432" t="s">
        <v>1280</v>
      </c>
      <c r="S1432" t="s">
        <v>1510</v>
      </c>
      <c r="T1432">
        <v>54</v>
      </c>
      <c r="U1432">
        <f>IF(Table__192.168.1.150_M_CONSOLIDATED_Delinquency_Compulsory_EOM[[#This Row],[Days in Arrears]] &lt; 8, Table__192.168.1.150_M_CONSOLIDATED_Delinquency_Compulsory_EOM[[#This Row],[Outstanding Balance]], 0 )</f>
        <v>5000000</v>
      </c>
      <c r="V143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2" s="105" t="str">
        <f>VLOOKUP(Table__192.168.1.150_M_CONSOLIDATED_Delinquency_Compulsory_EOM[[#This Row],[Client No]],'Global Portfolio'!$B$2:$N$2500,10,FALSE)</f>
        <v>Retail</v>
      </c>
      <c r="AA1432" s="105" t="str">
        <f>VLOOKUP(Table__192.168.1.150_M_CONSOLIDATED_Delinquency_Compulsory_EOM[[#This Row],[Client No]],'Global Portfolio'!$B$2:$N$2500,11,FALSE)</f>
        <v>General Merchandise Stores</v>
      </c>
      <c r="AB1432" s="105" t="str">
        <f>VLOOKUP(Table__192.168.1.150_M_CONSOLIDATED_Delinquency_Compulsory_EOM[[#This Row],[Client No]],'Global Portfolio'!$B$2:$N$2500,12,FALSE)</f>
        <v>General Stores</v>
      </c>
    </row>
    <row r="1433" spans="1:28" x14ac:dyDescent="0.25">
      <c r="A1433">
        <v>201380</v>
      </c>
      <c r="B1433" t="s">
        <v>5777</v>
      </c>
      <c r="C1433" t="s">
        <v>5794</v>
      </c>
      <c r="D1433" t="s">
        <v>1282</v>
      </c>
      <c r="E1433">
        <v>-11</v>
      </c>
      <c r="F1433">
        <v>3000000</v>
      </c>
      <c r="G1433">
        <v>3000000</v>
      </c>
      <c r="H1433">
        <v>379136.47</v>
      </c>
      <c r="I1433" t="s">
        <v>2034</v>
      </c>
      <c r="J1433">
        <v>14800</v>
      </c>
      <c r="K1433">
        <v>300000</v>
      </c>
      <c r="L1433">
        <v>81000</v>
      </c>
      <c r="M1433">
        <v>379136.47</v>
      </c>
      <c r="N1433" s="711">
        <v>43020.582957754632</v>
      </c>
      <c r="O1433" s="711">
        <v>43324</v>
      </c>
      <c r="P1433" t="s">
        <v>5795</v>
      </c>
      <c r="Q1433" t="s">
        <v>1280</v>
      </c>
      <c r="R1433" t="s">
        <v>1280</v>
      </c>
      <c r="S1433" t="s">
        <v>1510</v>
      </c>
      <c r="T1433">
        <v>54</v>
      </c>
      <c r="U1433">
        <f>IF(Table__192.168.1.150_M_CONSOLIDATED_Delinquency_Compulsory_EOM[[#This Row],[Days in Arrears]] &lt; 8, Table__192.168.1.150_M_CONSOLIDATED_Delinquency_Compulsory_EOM[[#This Row],[Outstanding Balance]], 0 )</f>
        <v>3000000</v>
      </c>
      <c r="V143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3" s="105" t="str">
        <f>VLOOKUP(Table__192.168.1.150_M_CONSOLIDATED_Delinquency_Compulsory_EOM[[#This Row],[Client No]],'Global Portfolio'!$B$2:$N$2500,10,FALSE)</f>
        <v>Retail</v>
      </c>
      <c r="AA1433" s="105" t="str">
        <f>VLOOKUP(Table__192.168.1.150_M_CONSOLIDATED_Delinquency_Compulsory_EOM[[#This Row],[Client No]],'Global Portfolio'!$B$2:$N$2500,11,FALSE)</f>
        <v>General Merchandise Stores</v>
      </c>
      <c r="AB1433" s="105" t="str">
        <f>VLOOKUP(Table__192.168.1.150_M_CONSOLIDATED_Delinquency_Compulsory_EOM[[#This Row],[Client No]],'Global Portfolio'!$B$2:$N$2500,12,FALSE)</f>
        <v>General Stores</v>
      </c>
    </row>
    <row r="1434" spans="1:28" x14ac:dyDescent="0.25">
      <c r="A1434">
        <v>201381</v>
      </c>
      <c r="B1434" t="s">
        <v>5778</v>
      </c>
      <c r="C1434" t="s">
        <v>5796</v>
      </c>
      <c r="D1434" t="s">
        <v>1279</v>
      </c>
      <c r="E1434">
        <v>-11</v>
      </c>
      <c r="F1434">
        <v>3500000</v>
      </c>
      <c r="G1434">
        <v>3500000</v>
      </c>
      <c r="H1434">
        <v>372932.6</v>
      </c>
      <c r="I1434" t="s">
        <v>2494</v>
      </c>
      <c r="J1434">
        <v>14800</v>
      </c>
      <c r="K1434">
        <v>175000</v>
      </c>
      <c r="L1434">
        <v>84000</v>
      </c>
      <c r="M1434">
        <v>372932.6</v>
      </c>
      <c r="N1434" s="711">
        <v>43020.633114351855</v>
      </c>
      <c r="O1434" s="711">
        <v>43385</v>
      </c>
      <c r="P1434" t="s">
        <v>5797</v>
      </c>
      <c r="Q1434" t="s">
        <v>5798</v>
      </c>
      <c r="R1434" t="s">
        <v>1280</v>
      </c>
      <c r="S1434" t="s">
        <v>1510</v>
      </c>
      <c r="T1434">
        <v>48</v>
      </c>
      <c r="U1434">
        <f>IF(Table__192.168.1.150_M_CONSOLIDATED_Delinquency_Compulsory_EOM[[#This Row],[Days in Arrears]] &lt; 8, Table__192.168.1.150_M_CONSOLIDATED_Delinquency_Compulsory_EOM[[#This Row],[Outstanding Balance]], 0 )</f>
        <v>3500000</v>
      </c>
      <c r="V143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4" s="105" t="str">
        <f>VLOOKUP(Table__192.168.1.150_M_CONSOLIDATED_Delinquency_Compulsory_EOM[[#This Row],[Client No]],'Global Portfolio'!$B$2:$N$2500,10,FALSE)</f>
        <v>Retail</v>
      </c>
      <c r="AA1434" s="105" t="str">
        <f>VLOOKUP(Table__192.168.1.150_M_CONSOLIDATED_Delinquency_Compulsory_EOM[[#This Row],[Client No]],'Global Portfolio'!$B$2:$N$2500,11,FALSE)</f>
        <v>General Merchandise Stores</v>
      </c>
      <c r="AB1434" s="105" t="str">
        <f>VLOOKUP(Table__192.168.1.150_M_CONSOLIDATED_Delinquency_Compulsory_EOM[[#This Row],[Client No]],'Global Portfolio'!$B$2:$N$2500,12,FALSE)</f>
        <v>General Stores</v>
      </c>
    </row>
    <row r="1435" spans="1:28" x14ac:dyDescent="0.25">
      <c r="A1435">
        <v>201382</v>
      </c>
      <c r="B1435" t="s">
        <v>5781</v>
      </c>
      <c r="C1435" t="s">
        <v>5799</v>
      </c>
      <c r="D1435" t="s">
        <v>1286</v>
      </c>
      <c r="E1435">
        <v>-20</v>
      </c>
      <c r="F1435">
        <v>949000</v>
      </c>
      <c r="G1435">
        <v>630035.41</v>
      </c>
      <c r="H1435">
        <v>324895.84000000003</v>
      </c>
      <c r="I1435" t="s">
        <v>284</v>
      </c>
      <c r="J1435">
        <v>79980.899999999994</v>
      </c>
      <c r="K1435">
        <v>0</v>
      </c>
      <c r="L1435">
        <v>3937.72</v>
      </c>
      <c r="M1435">
        <v>649791.68000000005</v>
      </c>
      <c r="N1435" s="711">
        <v>43020.70151053241</v>
      </c>
      <c r="O1435" s="711">
        <v>43090</v>
      </c>
      <c r="P1435" t="s">
        <v>5800</v>
      </c>
      <c r="Q1435" t="s">
        <v>1280</v>
      </c>
      <c r="R1435" t="s">
        <v>5801</v>
      </c>
      <c r="S1435" t="s">
        <v>1510</v>
      </c>
      <c r="T1435">
        <v>25</v>
      </c>
      <c r="U1435">
        <f>IF(Table__192.168.1.150_M_CONSOLIDATED_Delinquency_Compulsory_EOM[[#This Row],[Days in Arrears]] &lt; 8, Table__192.168.1.150_M_CONSOLIDATED_Delinquency_Compulsory_EOM[[#This Row],[Outstanding Balance]], 0 )</f>
        <v>630035.41</v>
      </c>
      <c r="V143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5" s="105" t="str">
        <f>VLOOKUP(Table__192.168.1.150_M_CONSOLIDATED_Delinquency_Compulsory_EOM[[#This Row],[Client No]],'Global Portfolio'!$B$2:$N$2500,10,FALSE)</f>
        <v>Other Services</v>
      </c>
      <c r="AA1435" s="105" t="str">
        <f>VLOOKUP(Table__192.168.1.150_M_CONSOLIDATED_Delinquency_Compulsory_EOM[[#This Row],[Client No]],'Global Portfolio'!$B$2:$N$2500,11,FALSE)</f>
        <v>Personal Services</v>
      </c>
      <c r="AB1435" s="105" t="str">
        <f>VLOOKUP(Table__192.168.1.150_M_CONSOLIDATED_Delinquency_Compulsory_EOM[[#This Row],[Client No]],'Global Portfolio'!$B$2:$N$2500,12,FALSE)</f>
        <v>Others</v>
      </c>
    </row>
    <row r="1436" spans="1:28" x14ac:dyDescent="0.25">
      <c r="A1436">
        <v>201383</v>
      </c>
      <c r="B1436" t="s">
        <v>1953</v>
      </c>
      <c r="C1436" t="s">
        <v>2026</v>
      </c>
      <c r="D1436" t="s">
        <v>1282</v>
      </c>
      <c r="E1436">
        <v>-13</v>
      </c>
      <c r="F1436">
        <v>9000000</v>
      </c>
      <c r="G1436">
        <v>9000000</v>
      </c>
      <c r="H1436">
        <v>958969.55</v>
      </c>
      <c r="I1436" t="s">
        <v>1925</v>
      </c>
      <c r="J1436">
        <v>9163.2000000000007</v>
      </c>
      <c r="K1436">
        <v>900000</v>
      </c>
      <c r="L1436">
        <v>192000</v>
      </c>
      <c r="M1436">
        <v>958969.55</v>
      </c>
      <c r="N1436" s="711">
        <v>43022.475865972221</v>
      </c>
      <c r="O1436" s="711">
        <v>43387</v>
      </c>
      <c r="P1436" t="s">
        <v>2027</v>
      </c>
      <c r="Q1436" t="s">
        <v>1280</v>
      </c>
      <c r="R1436" t="s">
        <v>1280</v>
      </c>
      <c r="S1436" t="s">
        <v>1510</v>
      </c>
      <c r="T1436">
        <v>48</v>
      </c>
      <c r="U1436">
        <f>IF(Table__192.168.1.150_M_CONSOLIDATED_Delinquency_Compulsory_EOM[[#This Row],[Days in Arrears]] &lt; 8, Table__192.168.1.150_M_CONSOLIDATED_Delinquency_Compulsory_EOM[[#This Row],[Outstanding Balance]], 0 )</f>
        <v>9000000</v>
      </c>
      <c r="V143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6" s="105" t="str">
        <f>VLOOKUP(Table__192.168.1.150_M_CONSOLIDATED_Delinquency_Compulsory_EOM[[#This Row],[Client No]],'Global Portfolio'!$B$2:$N$2500,10,FALSE)</f>
        <v>Retail</v>
      </c>
      <c r="AA1436" s="105" t="str">
        <f>VLOOKUP(Table__192.168.1.150_M_CONSOLIDATED_Delinquency_Compulsory_EOM[[#This Row],[Client No]],'Global Portfolio'!$B$2:$N$2500,11,FALSE)</f>
        <v>General Merchandise Stores</v>
      </c>
      <c r="AB1436" s="105" t="str">
        <f>VLOOKUP(Table__192.168.1.150_M_CONSOLIDATED_Delinquency_Compulsory_EOM[[#This Row],[Client No]],'Global Portfolio'!$B$2:$N$2500,12,FALSE)</f>
        <v>General Stores</v>
      </c>
    </row>
    <row r="1437" spans="1:28" x14ac:dyDescent="0.25">
      <c r="A1437">
        <v>201384</v>
      </c>
      <c r="B1437" t="s">
        <v>5802</v>
      </c>
      <c r="C1437" t="s">
        <v>5815</v>
      </c>
      <c r="D1437" t="s">
        <v>1279</v>
      </c>
      <c r="E1437">
        <v>-12</v>
      </c>
      <c r="F1437">
        <v>1500000</v>
      </c>
      <c r="G1437">
        <v>1500000</v>
      </c>
      <c r="H1437">
        <v>189568.23</v>
      </c>
      <c r="I1437" t="s">
        <v>2855</v>
      </c>
      <c r="J1437">
        <v>9000</v>
      </c>
      <c r="K1437">
        <v>150000</v>
      </c>
      <c r="L1437">
        <v>38250</v>
      </c>
      <c r="M1437">
        <v>189568.23</v>
      </c>
      <c r="N1437" s="711">
        <v>43021.516642974537</v>
      </c>
      <c r="O1437" s="711">
        <v>43325</v>
      </c>
      <c r="P1437" t="s">
        <v>5816</v>
      </c>
      <c r="Q1437" t="s">
        <v>1280</v>
      </c>
      <c r="R1437" t="s">
        <v>1280</v>
      </c>
      <c r="S1437" t="s">
        <v>1510</v>
      </c>
      <c r="T1437">
        <v>54</v>
      </c>
      <c r="U1437">
        <f>IF(Table__192.168.1.150_M_CONSOLIDATED_Delinquency_Compulsory_EOM[[#This Row],[Days in Arrears]] &lt; 8, Table__192.168.1.150_M_CONSOLIDATED_Delinquency_Compulsory_EOM[[#This Row],[Outstanding Balance]], 0 )</f>
        <v>1500000</v>
      </c>
      <c r="V143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7" s="105" t="str">
        <f>VLOOKUP(Table__192.168.1.150_M_CONSOLIDATED_Delinquency_Compulsory_EOM[[#This Row],[Client No]],'Global Portfolio'!$B$2:$N$2500,10,FALSE)</f>
        <v>Retail</v>
      </c>
      <c r="AA1437" s="105" t="str">
        <f>VLOOKUP(Table__192.168.1.150_M_CONSOLIDATED_Delinquency_Compulsory_EOM[[#This Row],[Client No]],'Global Portfolio'!$B$2:$N$2500,11,FALSE)</f>
        <v>Food and Beverage Stores</v>
      </c>
      <c r="AB1437" s="105" t="str">
        <f>VLOOKUP(Table__192.168.1.150_M_CONSOLIDATED_Delinquency_Compulsory_EOM[[#This Row],[Client No]],'Global Portfolio'!$B$2:$N$2500,12,FALSE)</f>
        <v>Others</v>
      </c>
    </row>
    <row r="1438" spans="1:28" x14ac:dyDescent="0.25">
      <c r="A1438">
        <v>201385</v>
      </c>
      <c r="B1438" t="s">
        <v>5806</v>
      </c>
      <c r="C1438" t="s">
        <v>5817</v>
      </c>
      <c r="D1438" t="s">
        <v>1282</v>
      </c>
      <c r="E1438">
        <v>-12</v>
      </c>
      <c r="F1438">
        <v>1000000</v>
      </c>
      <c r="G1438">
        <v>1000000</v>
      </c>
      <c r="H1438">
        <v>169701.47</v>
      </c>
      <c r="I1438" t="s">
        <v>4919</v>
      </c>
      <c r="J1438">
        <v>9000</v>
      </c>
      <c r="K1438">
        <v>100162.23</v>
      </c>
      <c r="L1438">
        <v>25500</v>
      </c>
      <c r="M1438">
        <v>169701.47</v>
      </c>
      <c r="N1438" s="711">
        <v>43021.548038657405</v>
      </c>
      <c r="O1438" s="711">
        <v>43233</v>
      </c>
      <c r="P1438" t="s">
        <v>5818</v>
      </c>
      <c r="Q1438" t="s">
        <v>1280</v>
      </c>
      <c r="R1438" t="s">
        <v>5819</v>
      </c>
      <c r="S1438" t="s">
        <v>1510</v>
      </c>
      <c r="T1438">
        <v>54</v>
      </c>
      <c r="U1438">
        <f>IF(Table__192.168.1.150_M_CONSOLIDATED_Delinquency_Compulsory_EOM[[#This Row],[Days in Arrears]] &lt; 8, Table__192.168.1.150_M_CONSOLIDATED_Delinquency_Compulsory_EOM[[#This Row],[Outstanding Balance]], 0 )</f>
        <v>1000000</v>
      </c>
      <c r="V143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8" s="105" t="str">
        <f>VLOOKUP(Table__192.168.1.150_M_CONSOLIDATED_Delinquency_Compulsory_EOM[[#This Row],[Client No]],'Global Portfolio'!$B$2:$N$2500,10,FALSE)</f>
        <v>Retail</v>
      </c>
      <c r="AA1438" s="105" t="str">
        <f>VLOOKUP(Table__192.168.1.150_M_CONSOLIDATED_Delinquency_Compulsory_EOM[[#This Row],[Client No]],'Global Portfolio'!$B$2:$N$2500,11,FALSE)</f>
        <v>General Merchandise Stores</v>
      </c>
      <c r="AB1438" s="105" t="str">
        <f>VLOOKUP(Table__192.168.1.150_M_CONSOLIDATED_Delinquency_Compulsory_EOM[[#This Row],[Client No]],'Global Portfolio'!$B$2:$N$2500,12,FALSE)</f>
        <v>General Stores</v>
      </c>
    </row>
    <row r="1439" spans="1:28" x14ac:dyDescent="0.25">
      <c r="A1439">
        <v>201386</v>
      </c>
      <c r="B1439" t="s">
        <v>4011</v>
      </c>
      <c r="C1439" t="s">
        <v>4030</v>
      </c>
      <c r="D1439" t="s">
        <v>1282</v>
      </c>
      <c r="E1439">
        <v>-12</v>
      </c>
      <c r="F1439">
        <v>10000000</v>
      </c>
      <c r="G1439">
        <v>10000000</v>
      </c>
      <c r="H1439">
        <v>1065521.73</v>
      </c>
      <c r="I1439" t="s">
        <v>1447</v>
      </c>
      <c r="J1439">
        <v>9023.5400000000009</v>
      </c>
      <c r="K1439">
        <v>1000000</v>
      </c>
      <c r="L1439">
        <v>226666.67</v>
      </c>
      <c r="M1439">
        <v>1065521.73</v>
      </c>
      <c r="N1439" s="711">
        <v>43021.683898877316</v>
      </c>
      <c r="O1439" s="711">
        <v>43386</v>
      </c>
      <c r="P1439" t="s">
        <v>4031</v>
      </c>
      <c r="Q1439" t="s">
        <v>1280</v>
      </c>
      <c r="R1439" t="s">
        <v>1280</v>
      </c>
      <c r="S1439" t="s">
        <v>1510</v>
      </c>
      <c r="T1439">
        <v>48</v>
      </c>
      <c r="U1439">
        <f>IF(Table__192.168.1.150_M_CONSOLIDATED_Delinquency_Compulsory_EOM[[#This Row],[Days in Arrears]] &lt; 8, Table__192.168.1.150_M_CONSOLIDATED_Delinquency_Compulsory_EOM[[#This Row],[Outstanding Balance]], 0 )</f>
        <v>10000000</v>
      </c>
      <c r="V143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3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3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3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39" s="105" t="str">
        <f>VLOOKUP(Table__192.168.1.150_M_CONSOLIDATED_Delinquency_Compulsory_EOM[[#This Row],[Client No]],'Global Portfolio'!$B$2:$N$2500,10,FALSE)</f>
        <v>Retail</v>
      </c>
      <c r="AA1439" s="105" t="str">
        <f>VLOOKUP(Table__192.168.1.150_M_CONSOLIDATED_Delinquency_Compulsory_EOM[[#This Row],[Client No]],'Global Portfolio'!$B$2:$N$2500,11,FALSE)</f>
        <v>General Merchandise Stores</v>
      </c>
      <c r="AB1439" s="105" t="str">
        <f>VLOOKUP(Table__192.168.1.150_M_CONSOLIDATED_Delinquency_Compulsory_EOM[[#This Row],[Client No]],'Global Portfolio'!$B$2:$N$2500,12,FALSE)</f>
        <v>General Stores</v>
      </c>
    </row>
    <row r="1440" spans="1:28" x14ac:dyDescent="0.25">
      <c r="A1440">
        <v>201387</v>
      </c>
      <c r="B1440" t="s">
        <v>3466</v>
      </c>
      <c r="C1440" t="s">
        <v>3474</v>
      </c>
      <c r="D1440" t="s">
        <v>1279</v>
      </c>
      <c r="E1440">
        <v>-12</v>
      </c>
      <c r="F1440">
        <v>2000000</v>
      </c>
      <c r="G1440">
        <v>2000000</v>
      </c>
      <c r="H1440">
        <v>381523.81</v>
      </c>
      <c r="I1440" t="s">
        <v>963</v>
      </c>
      <c r="J1440">
        <v>9098.2000000000007</v>
      </c>
      <c r="K1440">
        <v>200000</v>
      </c>
      <c r="L1440">
        <v>45333.33</v>
      </c>
      <c r="M1440">
        <v>381523.81</v>
      </c>
      <c r="N1440" s="711">
        <v>43021.726803240737</v>
      </c>
      <c r="O1440" s="711">
        <v>43203</v>
      </c>
      <c r="P1440" t="s">
        <v>3475</v>
      </c>
      <c r="Q1440" t="s">
        <v>1280</v>
      </c>
      <c r="R1440" t="s">
        <v>3476</v>
      </c>
      <c r="S1440" t="s">
        <v>1510</v>
      </c>
      <c r="T1440">
        <v>48</v>
      </c>
      <c r="U1440">
        <f>IF(Table__192.168.1.150_M_CONSOLIDATED_Delinquency_Compulsory_EOM[[#This Row],[Days in Arrears]] &lt; 8, Table__192.168.1.150_M_CONSOLIDATED_Delinquency_Compulsory_EOM[[#This Row],[Outstanding Balance]], 0 )</f>
        <v>2000000</v>
      </c>
      <c r="V144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0" s="105" t="str">
        <f>VLOOKUP(Table__192.168.1.150_M_CONSOLIDATED_Delinquency_Compulsory_EOM[[#This Row],[Client No]],'Global Portfolio'!$B$2:$N$2500,10,FALSE)</f>
        <v>Real Estate and Rental</v>
      </c>
      <c r="AA1440" s="105" t="str">
        <f>VLOOKUP(Table__192.168.1.150_M_CONSOLIDATED_Delinquency_Compulsory_EOM[[#This Row],[Client No]],'Global Portfolio'!$B$2:$N$2500,11,FALSE)</f>
        <v>Rental</v>
      </c>
      <c r="AB1440" s="105" t="str">
        <f>VLOOKUP(Table__192.168.1.150_M_CONSOLIDATED_Delinquency_Compulsory_EOM[[#This Row],[Client No]],'Global Portfolio'!$B$2:$N$2500,12,FALSE)</f>
        <v>General Rental Centers</v>
      </c>
    </row>
    <row r="1441" spans="1:28" x14ac:dyDescent="0.25">
      <c r="A1441">
        <v>201388</v>
      </c>
      <c r="B1441" t="s">
        <v>5821</v>
      </c>
      <c r="C1441" t="s">
        <v>5825</v>
      </c>
      <c r="D1441" t="s">
        <v>1281</v>
      </c>
      <c r="E1441">
        <v>-21</v>
      </c>
      <c r="F1441">
        <v>20000000</v>
      </c>
      <c r="G1441">
        <v>20000000</v>
      </c>
      <c r="H1441">
        <v>1798822.01</v>
      </c>
      <c r="I1441" t="s">
        <v>4919</v>
      </c>
      <c r="J1441">
        <v>16142</v>
      </c>
      <c r="K1441">
        <v>1000000</v>
      </c>
      <c r="L1441">
        <v>373333.33</v>
      </c>
      <c r="M1441">
        <v>1798822.01</v>
      </c>
      <c r="N1441" s="711">
        <v>43024.580717048608</v>
      </c>
      <c r="O1441" s="711">
        <v>43487</v>
      </c>
      <c r="P1441" t="s">
        <v>5826</v>
      </c>
      <c r="Q1441" t="s">
        <v>1280</v>
      </c>
      <c r="R1441" t="s">
        <v>5827</v>
      </c>
      <c r="S1441" t="s">
        <v>1510</v>
      </c>
      <c r="T1441">
        <v>48</v>
      </c>
      <c r="U1441">
        <f>IF(Table__192.168.1.150_M_CONSOLIDATED_Delinquency_Compulsory_EOM[[#This Row],[Days in Arrears]] &lt; 8, Table__192.168.1.150_M_CONSOLIDATED_Delinquency_Compulsory_EOM[[#This Row],[Outstanding Balance]], 0 )</f>
        <v>20000000</v>
      </c>
      <c r="V144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1" s="105" t="str">
        <f>VLOOKUP(Table__192.168.1.150_M_CONSOLIDATED_Delinquency_Compulsory_EOM[[#This Row],[Client No]],'Global Portfolio'!$B$2:$N$2500,10,FALSE)</f>
        <v>Retail</v>
      </c>
      <c r="AA1441" s="105" t="str">
        <f>VLOOKUP(Table__192.168.1.150_M_CONSOLIDATED_Delinquency_Compulsory_EOM[[#This Row],[Client No]],'Global Portfolio'!$B$2:$N$2500,11,FALSE)</f>
        <v>General Merchandise Stores</v>
      </c>
      <c r="AB1441" s="105" t="str">
        <f>VLOOKUP(Table__192.168.1.150_M_CONSOLIDATED_Delinquency_Compulsory_EOM[[#This Row],[Client No]],'Global Portfolio'!$B$2:$N$2500,12,FALSE)</f>
        <v>General Stores</v>
      </c>
    </row>
    <row r="1442" spans="1:28" x14ac:dyDescent="0.25">
      <c r="A1442">
        <v>201389</v>
      </c>
      <c r="B1442" t="s">
        <v>5822</v>
      </c>
      <c r="C1442" t="s">
        <v>5828</v>
      </c>
      <c r="D1442" t="s">
        <v>1286</v>
      </c>
      <c r="E1442">
        <v>-20</v>
      </c>
      <c r="F1442">
        <v>1270000</v>
      </c>
      <c r="G1442">
        <v>1270000</v>
      </c>
      <c r="H1442">
        <v>271011.86</v>
      </c>
      <c r="I1442" t="s">
        <v>284</v>
      </c>
      <c r="J1442">
        <v>280437.31</v>
      </c>
      <c r="K1442">
        <v>0</v>
      </c>
      <c r="L1442">
        <v>12347.22</v>
      </c>
      <c r="M1442">
        <v>271011.86</v>
      </c>
      <c r="N1442" s="711">
        <v>43024.703599652777</v>
      </c>
      <c r="O1442" s="711">
        <v>43180</v>
      </c>
      <c r="P1442" t="s">
        <v>5829</v>
      </c>
      <c r="Q1442" t="s">
        <v>1280</v>
      </c>
      <c r="R1442" t="s">
        <v>1280</v>
      </c>
      <c r="S1442" t="s">
        <v>1510</v>
      </c>
      <c r="T1442">
        <v>25</v>
      </c>
      <c r="U1442">
        <f>IF(Table__192.168.1.150_M_CONSOLIDATED_Delinquency_Compulsory_EOM[[#This Row],[Days in Arrears]] &lt; 8, Table__192.168.1.150_M_CONSOLIDATED_Delinquency_Compulsory_EOM[[#This Row],[Outstanding Balance]], 0 )</f>
        <v>1270000</v>
      </c>
      <c r="V144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2" s="105" t="str">
        <f>VLOOKUP(Table__192.168.1.150_M_CONSOLIDATED_Delinquency_Compulsory_EOM[[#This Row],[Client No]],'Global Portfolio'!$B$2:$N$2500,10,FALSE)</f>
        <v>Other Services</v>
      </c>
      <c r="AA1442" s="105" t="str">
        <f>VLOOKUP(Table__192.168.1.150_M_CONSOLIDATED_Delinquency_Compulsory_EOM[[#This Row],[Client No]],'Global Portfolio'!$B$2:$N$2500,11,FALSE)</f>
        <v>Others</v>
      </c>
      <c r="AB1442" s="105" t="str">
        <f>VLOOKUP(Table__192.168.1.150_M_CONSOLIDATED_Delinquency_Compulsory_EOM[[#This Row],[Client No]],'Global Portfolio'!$B$2:$N$2500,12,FALSE)</f>
        <v>Others</v>
      </c>
    </row>
    <row r="1443" spans="1:28" x14ac:dyDescent="0.25">
      <c r="A1443">
        <v>201390</v>
      </c>
      <c r="B1443" t="s">
        <v>5848</v>
      </c>
      <c r="C1443" t="s">
        <v>5855</v>
      </c>
      <c r="D1443" t="s">
        <v>1281</v>
      </c>
      <c r="E1443">
        <v>-18</v>
      </c>
      <c r="F1443">
        <v>30000000</v>
      </c>
      <c r="G1443">
        <v>30000000</v>
      </c>
      <c r="H1443">
        <v>1967604.94</v>
      </c>
      <c r="I1443" t="s">
        <v>4683</v>
      </c>
      <c r="J1443">
        <v>712900</v>
      </c>
      <c r="K1443">
        <v>2250000</v>
      </c>
      <c r="L1443">
        <v>440000</v>
      </c>
      <c r="M1443">
        <v>1967604.94</v>
      </c>
      <c r="N1443" s="711">
        <v>43027.492221956018</v>
      </c>
      <c r="O1443" s="711">
        <v>43757</v>
      </c>
      <c r="P1443" t="s">
        <v>5856</v>
      </c>
      <c r="Q1443" t="s">
        <v>1280</v>
      </c>
      <c r="R1443" t="s">
        <v>1280</v>
      </c>
      <c r="S1443" t="s">
        <v>1510</v>
      </c>
      <c r="T1443">
        <v>48</v>
      </c>
      <c r="U1443">
        <f>IF(Table__192.168.1.150_M_CONSOLIDATED_Delinquency_Compulsory_EOM[[#This Row],[Days in Arrears]] &lt; 8, Table__192.168.1.150_M_CONSOLIDATED_Delinquency_Compulsory_EOM[[#This Row],[Outstanding Balance]], 0 )</f>
        <v>30000000</v>
      </c>
      <c r="V144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3" s="105" t="str">
        <f>VLOOKUP(Table__192.168.1.150_M_CONSOLIDATED_Delinquency_Compulsory_EOM[[#This Row],[Client No]],'Global Portfolio'!$B$2:$N$2500,10,FALSE)</f>
        <v>Retail</v>
      </c>
      <c r="AA1443" s="105" t="str">
        <f>VLOOKUP(Table__192.168.1.150_M_CONSOLIDATED_Delinquency_Compulsory_EOM[[#This Row],[Client No]],'Global Portfolio'!$B$2:$N$2500,11,FALSE)</f>
        <v>General Merchandise Stores</v>
      </c>
      <c r="AB1443" s="105" t="str">
        <f>VLOOKUP(Table__192.168.1.150_M_CONSOLIDATED_Delinquency_Compulsory_EOM[[#This Row],[Client No]],'Global Portfolio'!$B$2:$N$2500,12,FALSE)</f>
        <v>General Stores</v>
      </c>
    </row>
    <row r="1444" spans="1:28" x14ac:dyDescent="0.25">
      <c r="A1444">
        <v>201391</v>
      </c>
      <c r="B1444" t="s">
        <v>4630</v>
      </c>
      <c r="C1444" t="s">
        <v>4639</v>
      </c>
      <c r="D1444" t="s">
        <v>1279</v>
      </c>
      <c r="E1444">
        <v>-16</v>
      </c>
      <c r="F1444">
        <v>2000000</v>
      </c>
      <c r="G1444">
        <v>2000000</v>
      </c>
      <c r="H1444">
        <v>246581.89</v>
      </c>
      <c r="I1444" t="s">
        <v>1447</v>
      </c>
      <c r="J1444">
        <v>20000</v>
      </c>
      <c r="K1444">
        <v>200000</v>
      </c>
      <c r="L1444">
        <v>34666.67</v>
      </c>
      <c r="M1444">
        <v>246581.89</v>
      </c>
      <c r="N1444" s="711">
        <v>43025.653137349538</v>
      </c>
      <c r="O1444" s="711">
        <v>43329</v>
      </c>
      <c r="P1444" t="s">
        <v>4640</v>
      </c>
      <c r="Q1444" t="s">
        <v>1280</v>
      </c>
      <c r="R1444" t="s">
        <v>1280</v>
      </c>
      <c r="S1444" t="s">
        <v>1510</v>
      </c>
      <c r="T1444">
        <v>48</v>
      </c>
      <c r="U1444">
        <f>IF(Table__192.168.1.150_M_CONSOLIDATED_Delinquency_Compulsory_EOM[[#This Row],[Days in Arrears]] &lt; 8, Table__192.168.1.150_M_CONSOLIDATED_Delinquency_Compulsory_EOM[[#This Row],[Outstanding Balance]], 0 )</f>
        <v>2000000</v>
      </c>
      <c r="V144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4" s="105" t="str">
        <f>VLOOKUP(Table__192.168.1.150_M_CONSOLIDATED_Delinquency_Compulsory_EOM[[#This Row],[Client No]],'Global Portfolio'!$B$2:$N$2500,10,FALSE)</f>
        <v>Retail</v>
      </c>
      <c r="AA1444" s="105" t="str">
        <f>VLOOKUP(Table__192.168.1.150_M_CONSOLIDATED_Delinquency_Compulsory_EOM[[#This Row],[Client No]],'Global Portfolio'!$B$2:$N$2500,11,FALSE)</f>
        <v>General Merchandise Stores</v>
      </c>
      <c r="AB1444" s="105" t="str">
        <f>VLOOKUP(Table__192.168.1.150_M_CONSOLIDATED_Delinquency_Compulsory_EOM[[#This Row],[Client No]],'Global Portfolio'!$B$2:$N$2500,12,FALSE)</f>
        <v>General Stores</v>
      </c>
    </row>
    <row r="1445" spans="1:28" x14ac:dyDescent="0.25">
      <c r="A1445">
        <v>201392</v>
      </c>
      <c r="B1445" t="s">
        <v>5831</v>
      </c>
      <c r="C1445" t="s">
        <v>5839</v>
      </c>
      <c r="D1445" t="s">
        <v>1282</v>
      </c>
      <c r="E1445">
        <v>-16</v>
      </c>
      <c r="F1445">
        <v>9000000</v>
      </c>
      <c r="G1445">
        <v>9000000</v>
      </c>
      <c r="H1445">
        <v>986995.7</v>
      </c>
      <c r="I1445" t="s">
        <v>5385</v>
      </c>
      <c r="J1445">
        <v>9892</v>
      </c>
      <c r="K1445">
        <v>900000</v>
      </c>
      <c r="L1445">
        <v>175500</v>
      </c>
      <c r="M1445">
        <v>986995.7</v>
      </c>
      <c r="N1445" s="711">
        <v>43025.641603854165</v>
      </c>
      <c r="O1445" s="711">
        <v>43390</v>
      </c>
      <c r="P1445" t="s">
        <v>5840</v>
      </c>
      <c r="Q1445" t="s">
        <v>5841</v>
      </c>
      <c r="R1445" t="s">
        <v>1280</v>
      </c>
      <c r="S1445" t="s">
        <v>1510</v>
      </c>
      <c r="T1445">
        <v>54</v>
      </c>
      <c r="U1445">
        <f>IF(Table__192.168.1.150_M_CONSOLIDATED_Delinquency_Compulsory_EOM[[#This Row],[Days in Arrears]] &lt; 8, Table__192.168.1.150_M_CONSOLIDATED_Delinquency_Compulsory_EOM[[#This Row],[Outstanding Balance]], 0 )</f>
        <v>9000000</v>
      </c>
      <c r="V144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5" s="105" t="str">
        <f>VLOOKUP(Table__192.168.1.150_M_CONSOLIDATED_Delinquency_Compulsory_EOM[[#This Row],[Client No]],'Global Portfolio'!$B$2:$N$2500,10,FALSE)</f>
        <v>Retail</v>
      </c>
      <c r="AA1445" s="105" t="str">
        <f>VLOOKUP(Table__192.168.1.150_M_CONSOLIDATED_Delinquency_Compulsory_EOM[[#This Row],[Client No]],'Global Portfolio'!$B$2:$N$2500,11,FALSE)</f>
        <v>General Merchandise Stores</v>
      </c>
      <c r="AB1445" s="105" t="str">
        <f>VLOOKUP(Table__192.168.1.150_M_CONSOLIDATED_Delinquency_Compulsory_EOM[[#This Row],[Client No]],'Global Portfolio'!$B$2:$N$2500,12,FALSE)</f>
        <v>General Stores</v>
      </c>
    </row>
    <row r="1446" spans="1:28" x14ac:dyDescent="0.25">
      <c r="A1446">
        <v>201393</v>
      </c>
      <c r="B1446" t="s">
        <v>5543</v>
      </c>
      <c r="C1446" t="s">
        <v>1547</v>
      </c>
      <c r="D1446" t="s">
        <v>1285</v>
      </c>
      <c r="E1446">
        <v>-20</v>
      </c>
      <c r="F1446">
        <v>18700000</v>
      </c>
      <c r="G1446">
        <v>18700000</v>
      </c>
      <c r="H1446">
        <v>715875.77</v>
      </c>
      <c r="I1446" t="s">
        <v>284</v>
      </c>
      <c r="J1446">
        <v>0</v>
      </c>
      <c r="K1446">
        <v>0</v>
      </c>
      <c r="L1446">
        <v>148561.10999999999</v>
      </c>
      <c r="M1446">
        <v>715875.77</v>
      </c>
      <c r="N1446" s="711">
        <v>43025.633398993057</v>
      </c>
      <c r="O1446" s="711">
        <v>44125</v>
      </c>
      <c r="P1446" t="s">
        <v>1548</v>
      </c>
      <c r="Q1446" t="s">
        <v>1280</v>
      </c>
      <c r="R1446" t="s">
        <v>1280</v>
      </c>
      <c r="S1446" t="s">
        <v>1510</v>
      </c>
      <c r="T1446">
        <v>22</v>
      </c>
      <c r="U1446">
        <f>IF(Table__192.168.1.150_M_CONSOLIDATED_Delinquency_Compulsory_EOM[[#This Row],[Days in Arrears]] &lt; 8, Table__192.168.1.150_M_CONSOLIDATED_Delinquency_Compulsory_EOM[[#This Row],[Outstanding Balance]], 0 )</f>
        <v>18700000</v>
      </c>
      <c r="V144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6" s="105" t="str">
        <f>VLOOKUP(Table__192.168.1.150_M_CONSOLIDATED_Delinquency_Compulsory_EOM[[#This Row],[Client No]],'Global Portfolio'!$B$2:$N$2500,10,FALSE)</f>
        <v>Finance and Insurance</v>
      </c>
      <c r="AA1446" s="105" t="str">
        <f>VLOOKUP(Table__192.168.1.150_M_CONSOLIDATED_Delinquency_Compulsory_EOM[[#This Row],[Client No]],'Global Portfolio'!$B$2:$N$2500,11,FALSE)</f>
        <v>Finance</v>
      </c>
      <c r="AB1446" s="105" t="str">
        <f>VLOOKUP(Table__192.168.1.150_M_CONSOLIDATED_Delinquency_Compulsory_EOM[[#This Row],[Client No]],'Global Portfolio'!$B$2:$N$2500,12,FALSE)</f>
        <v>Microfinance Institutions</v>
      </c>
    </row>
    <row r="1447" spans="1:28" x14ac:dyDescent="0.25">
      <c r="A1447">
        <v>201394</v>
      </c>
      <c r="B1447" t="s">
        <v>4731</v>
      </c>
      <c r="C1447" t="s">
        <v>4734</v>
      </c>
      <c r="D1447" t="s">
        <v>1281</v>
      </c>
      <c r="E1447">
        <v>-17</v>
      </c>
      <c r="F1447">
        <v>28000000</v>
      </c>
      <c r="G1447">
        <v>28000000</v>
      </c>
      <c r="H1447">
        <v>2897550.58</v>
      </c>
      <c r="I1447" t="s">
        <v>1467</v>
      </c>
      <c r="J1447">
        <v>38823.39</v>
      </c>
      <c r="K1447">
        <v>0</v>
      </c>
      <c r="L1447">
        <v>392000</v>
      </c>
      <c r="M1447">
        <v>2897550.58</v>
      </c>
      <c r="N1447" s="711">
        <v>43026.664325578706</v>
      </c>
      <c r="O1447" s="711">
        <v>43391</v>
      </c>
      <c r="P1447" t="s">
        <v>4735</v>
      </c>
      <c r="Q1447" t="s">
        <v>1280</v>
      </c>
      <c r="R1447" t="s">
        <v>4736</v>
      </c>
      <c r="S1447" t="s">
        <v>1510</v>
      </c>
      <c r="T1447">
        <v>42</v>
      </c>
      <c r="U1447">
        <f>IF(Table__192.168.1.150_M_CONSOLIDATED_Delinquency_Compulsory_EOM[[#This Row],[Days in Arrears]] &lt; 8, Table__192.168.1.150_M_CONSOLIDATED_Delinquency_Compulsory_EOM[[#This Row],[Outstanding Balance]], 0 )</f>
        <v>28000000</v>
      </c>
      <c r="V144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7" s="105" t="str">
        <f>VLOOKUP(Table__192.168.1.150_M_CONSOLIDATED_Delinquency_Compulsory_EOM[[#This Row],[Client No]],'Global Portfolio'!$B$2:$N$2500,10,FALSE)</f>
        <v>Construction</v>
      </c>
      <c r="AA1447" s="105" t="str">
        <f>VLOOKUP(Table__192.168.1.150_M_CONSOLIDATED_Delinquency_Compulsory_EOM[[#This Row],[Client No]],'Global Portfolio'!$B$2:$N$2500,11,FALSE)</f>
        <v>Construction of Buildings</v>
      </c>
      <c r="AB1447" s="105" t="str">
        <f>VLOOKUP(Table__192.168.1.150_M_CONSOLIDATED_Delinquency_Compulsory_EOM[[#This Row],[Client No]],'Global Portfolio'!$B$2:$N$2500,12,FALSE)</f>
        <v>Others</v>
      </c>
    </row>
    <row r="1448" spans="1:28" x14ac:dyDescent="0.25">
      <c r="A1448">
        <v>201395</v>
      </c>
      <c r="B1448" t="s">
        <v>4067</v>
      </c>
      <c r="C1448" t="s">
        <v>4068</v>
      </c>
      <c r="D1448" t="s">
        <v>1282</v>
      </c>
      <c r="E1448">
        <v>-18</v>
      </c>
      <c r="F1448">
        <v>6000000</v>
      </c>
      <c r="G1448">
        <v>6000000</v>
      </c>
      <c r="H1448">
        <v>639313.04</v>
      </c>
      <c r="I1448" t="s">
        <v>1039</v>
      </c>
      <c r="J1448">
        <v>9750.6</v>
      </c>
      <c r="K1448">
        <v>600000</v>
      </c>
      <c r="L1448">
        <v>88000</v>
      </c>
      <c r="M1448">
        <v>639313.04</v>
      </c>
      <c r="N1448" s="711">
        <v>43027.532977083334</v>
      </c>
      <c r="O1448" s="711">
        <v>43392</v>
      </c>
      <c r="P1448" t="s">
        <v>4069</v>
      </c>
      <c r="Q1448" t="s">
        <v>1280</v>
      </c>
      <c r="R1448" t="s">
        <v>1280</v>
      </c>
      <c r="S1448" t="s">
        <v>1510</v>
      </c>
      <c r="T1448">
        <v>48</v>
      </c>
      <c r="U1448">
        <f>IF(Table__192.168.1.150_M_CONSOLIDATED_Delinquency_Compulsory_EOM[[#This Row],[Days in Arrears]] &lt; 8, Table__192.168.1.150_M_CONSOLIDATED_Delinquency_Compulsory_EOM[[#This Row],[Outstanding Balance]], 0 )</f>
        <v>6000000</v>
      </c>
      <c r="V144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8" s="105" t="str">
        <f>VLOOKUP(Table__192.168.1.150_M_CONSOLIDATED_Delinquency_Compulsory_EOM[[#This Row],[Client No]],'Global Portfolio'!$B$2:$N$2500,10,FALSE)</f>
        <v>Agriculture, Forestry, Fishing and Hunting</v>
      </c>
      <c r="AA1448" s="105" t="str">
        <f>VLOOKUP(Table__192.168.1.150_M_CONSOLIDATED_Delinquency_Compulsory_EOM[[#This Row],[Client No]],'Global Portfolio'!$B$2:$N$2500,11,FALSE)</f>
        <v>Animal Production</v>
      </c>
      <c r="AB1448" s="105" t="str">
        <f>VLOOKUP(Table__192.168.1.150_M_CONSOLIDATED_Delinquency_Compulsory_EOM[[#This Row],[Client No]],'Global Portfolio'!$B$2:$N$2500,12,FALSE)</f>
        <v>Poultry &amp; Egg Production</v>
      </c>
    </row>
    <row r="1449" spans="1:28" x14ac:dyDescent="0.25">
      <c r="A1449">
        <v>201396</v>
      </c>
      <c r="B1449" t="s">
        <v>4309</v>
      </c>
      <c r="C1449" t="s">
        <v>4317</v>
      </c>
      <c r="D1449" t="s">
        <v>1282</v>
      </c>
      <c r="E1449">
        <v>-19</v>
      </c>
      <c r="F1449">
        <v>6000000</v>
      </c>
      <c r="G1449">
        <v>6000000</v>
      </c>
      <c r="H1449">
        <v>891166.99</v>
      </c>
      <c r="I1449" t="s">
        <v>2538</v>
      </c>
      <c r="J1449">
        <v>9322.91</v>
      </c>
      <c r="K1449">
        <v>600000</v>
      </c>
      <c r="L1449">
        <v>80000</v>
      </c>
      <c r="M1449">
        <v>891166.99</v>
      </c>
      <c r="N1449" s="711">
        <v>43028.621682986108</v>
      </c>
      <c r="O1449" s="711">
        <v>43271</v>
      </c>
      <c r="P1449" t="s">
        <v>4318</v>
      </c>
      <c r="Q1449" t="s">
        <v>1280</v>
      </c>
      <c r="R1449" t="s">
        <v>4319</v>
      </c>
      <c r="S1449" t="s">
        <v>1510</v>
      </c>
      <c r="T1449">
        <v>48</v>
      </c>
      <c r="U1449">
        <f>IF(Table__192.168.1.150_M_CONSOLIDATED_Delinquency_Compulsory_EOM[[#This Row],[Days in Arrears]] &lt; 8, Table__192.168.1.150_M_CONSOLIDATED_Delinquency_Compulsory_EOM[[#This Row],[Outstanding Balance]], 0 )</f>
        <v>6000000</v>
      </c>
      <c r="V144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4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4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4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49" s="105" t="str">
        <f>VLOOKUP(Table__192.168.1.150_M_CONSOLIDATED_Delinquency_Compulsory_EOM[[#This Row],[Client No]],'Global Portfolio'!$B$2:$N$2500,10,FALSE)</f>
        <v>Retail</v>
      </c>
      <c r="AA1449" s="105" t="str">
        <f>VLOOKUP(Table__192.168.1.150_M_CONSOLIDATED_Delinquency_Compulsory_EOM[[#This Row],[Client No]],'Global Portfolio'!$B$2:$N$2500,11,FALSE)</f>
        <v>General Merchandise Stores</v>
      </c>
      <c r="AB1449" s="105" t="str">
        <f>VLOOKUP(Table__192.168.1.150_M_CONSOLIDATED_Delinquency_Compulsory_EOM[[#This Row],[Client No]],'Global Portfolio'!$B$2:$N$2500,12,FALSE)</f>
        <v>General Stores</v>
      </c>
    </row>
    <row r="1450" spans="1:28" x14ac:dyDescent="0.25">
      <c r="A1450">
        <v>201397</v>
      </c>
      <c r="B1450" t="s">
        <v>5846</v>
      </c>
      <c r="C1450" t="s">
        <v>5857</v>
      </c>
      <c r="D1450" t="s">
        <v>1279</v>
      </c>
      <c r="E1450">
        <v>-18</v>
      </c>
      <c r="F1450">
        <v>5000000</v>
      </c>
      <c r="G1450">
        <v>5000000</v>
      </c>
      <c r="H1450">
        <v>631894.11</v>
      </c>
      <c r="I1450" t="s">
        <v>4683</v>
      </c>
      <c r="J1450">
        <v>9000</v>
      </c>
      <c r="K1450">
        <v>500000</v>
      </c>
      <c r="L1450">
        <v>82500</v>
      </c>
      <c r="M1450">
        <v>631894.11</v>
      </c>
      <c r="N1450" s="711">
        <v>43027.61984540509</v>
      </c>
      <c r="O1450" s="711">
        <v>43331</v>
      </c>
      <c r="P1450" t="s">
        <v>5858</v>
      </c>
      <c r="Q1450" t="s">
        <v>1280</v>
      </c>
      <c r="R1450" t="s">
        <v>1280</v>
      </c>
      <c r="S1450" t="s">
        <v>1510</v>
      </c>
      <c r="T1450">
        <v>54</v>
      </c>
      <c r="U1450">
        <f>IF(Table__192.168.1.150_M_CONSOLIDATED_Delinquency_Compulsory_EOM[[#This Row],[Days in Arrears]] &lt; 8, Table__192.168.1.150_M_CONSOLIDATED_Delinquency_Compulsory_EOM[[#This Row],[Outstanding Balance]], 0 )</f>
        <v>5000000</v>
      </c>
      <c r="V145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0" s="105" t="str">
        <f>VLOOKUP(Table__192.168.1.150_M_CONSOLIDATED_Delinquency_Compulsory_EOM[[#This Row],[Client No]],'Global Portfolio'!$B$2:$N$2500,10,FALSE)</f>
        <v>Retail</v>
      </c>
      <c r="AA1450" s="105" t="str">
        <f>VLOOKUP(Table__192.168.1.150_M_CONSOLIDATED_Delinquency_Compulsory_EOM[[#This Row],[Client No]],'Global Portfolio'!$B$2:$N$2500,11,FALSE)</f>
        <v>General Merchandise Stores</v>
      </c>
      <c r="AB1450" s="105" t="str">
        <f>VLOOKUP(Table__192.168.1.150_M_CONSOLIDATED_Delinquency_Compulsory_EOM[[#This Row],[Client No]],'Global Portfolio'!$B$2:$N$2500,12,FALSE)</f>
        <v>General Stores</v>
      </c>
    </row>
    <row r="1451" spans="1:28" x14ac:dyDescent="0.25">
      <c r="A1451">
        <v>201398</v>
      </c>
      <c r="B1451" t="s">
        <v>5849</v>
      </c>
      <c r="C1451" t="s">
        <v>5859</v>
      </c>
      <c r="D1451" t="s">
        <v>1282</v>
      </c>
      <c r="E1451">
        <v>-18</v>
      </c>
      <c r="F1451">
        <v>5000000</v>
      </c>
      <c r="G1451">
        <v>5000000</v>
      </c>
      <c r="H1451">
        <v>758048.27</v>
      </c>
      <c r="I1451" t="s">
        <v>5386</v>
      </c>
      <c r="J1451">
        <v>9000</v>
      </c>
      <c r="K1451">
        <v>500000</v>
      </c>
      <c r="L1451">
        <v>82500</v>
      </c>
      <c r="M1451">
        <v>758048.27</v>
      </c>
      <c r="N1451" s="711">
        <v>43027.643940162037</v>
      </c>
      <c r="O1451" s="711">
        <v>43270</v>
      </c>
      <c r="P1451" t="s">
        <v>5860</v>
      </c>
      <c r="Q1451" t="s">
        <v>5861</v>
      </c>
      <c r="R1451" t="s">
        <v>1280</v>
      </c>
      <c r="S1451" t="s">
        <v>1510</v>
      </c>
      <c r="T1451">
        <v>54</v>
      </c>
      <c r="U1451">
        <f>IF(Table__192.168.1.150_M_CONSOLIDATED_Delinquency_Compulsory_EOM[[#This Row],[Days in Arrears]] &lt; 8, Table__192.168.1.150_M_CONSOLIDATED_Delinquency_Compulsory_EOM[[#This Row],[Outstanding Balance]], 0 )</f>
        <v>5000000</v>
      </c>
      <c r="V145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1" s="105" t="str">
        <f>VLOOKUP(Table__192.168.1.150_M_CONSOLIDATED_Delinquency_Compulsory_EOM[[#This Row],[Client No]],'Global Portfolio'!$B$2:$N$2500,10,FALSE)</f>
        <v>Retail</v>
      </c>
      <c r="AA1451" s="105" t="str">
        <f>VLOOKUP(Table__192.168.1.150_M_CONSOLIDATED_Delinquency_Compulsory_EOM[[#This Row],[Client No]],'Global Portfolio'!$B$2:$N$2500,11,FALSE)</f>
        <v>General Merchandise Stores</v>
      </c>
      <c r="AB1451" s="105" t="str">
        <f>VLOOKUP(Table__192.168.1.150_M_CONSOLIDATED_Delinquency_Compulsory_EOM[[#This Row],[Client No]],'Global Portfolio'!$B$2:$N$2500,12,FALSE)</f>
        <v>General Stores</v>
      </c>
    </row>
    <row r="1452" spans="1:28" x14ac:dyDescent="0.25">
      <c r="A1452">
        <v>201399</v>
      </c>
      <c r="B1452" t="s">
        <v>2555</v>
      </c>
      <c r="C1452" t="s">
        <v>2568</v>
      </c>
      <c r="D1452" t="s">
        <v>1282</v>
      </c>
      <c r="E1452">
        <v>-18</v>
      </c>
      <c r="F1452">
        <v>8000000</v>
      </c>
      <c r="G1452">
        <v>8000000</v>
      </c>
      <c r="H1452">
        <v>852417.38</v>
      </c>
      <c r="I1452" t="s">
        <v>2855</v>
      </c>
      <c r="J1452">
        <v>9016.2999999999993</v>
      </c>
      <c r="K1452">
        <v>800000</v>
      </c>
      <c r="L1452">
        <v>117333.33</v>
      </c>
      <c r="M1452">
        <v>852417.38</v>
      </c>
      <c r="N1452" s="711">
        <v>43027.636032291666</v>
      </c>
      <c r="O1452" s="711">
        <v>43392</v>
      </c>
      <c r="P1452" t="s">
        <v>2569</v>
      </c>
      <c r="Q1452" t="s">
        <v>1280</v>
      </c>
      <c r="R1452" t="s">
        <v>1280</v>
      </c>
      <c r="S1452" t="s">
        <v>1510</v>
      </c>
      <c r="T1452">
        <v>48</v>
      </c>
      <c r="U1452">
        <f>IF(Table__192.168.1.150_M_CONSOLIDATED_Delinquency_Compulsory_EOM[[#This Row],[Days in Arrears]] &lt; 8, Table__192.168.1.150_M_CONSOLIDATED_Delinquency_Compulsory_EOM[[#This Row],[Outstanding Balance]], 0 )</f>
        <v>8000000</v>
      </c>
      <c r="V145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2" s="105" t="str">
        <f>VLOOKUP(Table__192.168.1.150_M_CONSOLIDATED_Delinquency_Compulsory_EOM[[#This Row],[Client No]],'Global Portfolio'!$B$2:$N$2500,10,FALSE)</f>
        <v>Retail</v>
      </c>
      <c r="AA1452" s="105" t="str">
        <f>VLOOKUP(Table__192.168.1.150_M_CONSOLIDATED_Delinquency_Compulsory_EOM[[#This Row],[Client No]],'Global Portfolio'!$B$2:$N$2500,11,FALSE)</f>
        <v>Second Hand -Clothing and  Accessories</v>
      </c>
      <c r="AB1452" s="105" t="str">
        <f>VLOOKUP(Table__192.168.1.150_M_CONSOLIDATED_Delinquency_Compulsory_EOM[[#This Row],[Client No]],'Global Portfolio'!$B$2:$N$2500,12,FALSE)</f>
        <v>Clothing Stores</v>
      </c>
    </row>
    <row r="1453" spans="1:28" x14ac:dyDescent="0.25">
      <c r="A1453">
        <v>201400</v>
      </c>
      <c r="B1453" t="s">
        <v>5850</v>
      </c>
      <c r="C1453" t="s">
        <v>5862</v>
      </c>
      <c r="D1453" t="s">
        <v>1282</v>
      </c>
      <c r="E1453">
        <v>-18</v>
      </c>
      <c r="F1453">
        <v>5000000</v>
      </c>
      <c r="G1453">
        <v>5000000</v>
      </c>
      <c r="H1453">
        <v>631894.11</v>
      </c>
      <c r="I1453" t="s">
        <v>491</v>
      </c>
      <c r="J1453">
        <v>9000</v>
      </c>
      <c r="K1453">
        <v>500000</v>
      </c>
      <c r="L1453">
        <v>82500</v>
      </c>
      <c r="M1453">
        <v>631894.11</v>
      </c>
      <c r="N1453" s="711">
        <v>43027.657996145834</v>
      </c>
      <c r="O1453" s="711">
        <v>43331</v>
      </c>
      <c r="P1453" t="s">
        <v>5863</v>
      </c>
      <c r="Q1453" t="s">
        <v>1280</v>
      </c>
      <c r="R1453" t="s">
        <v>1280</v>
      </c>
      <c r="S1453" t="s">
        <v>1510</v>
      </c>
      <c r="T1453">
        <v>54</v>
      </c>
      <c r="U1453">
        <f>IF(Table__192.168.1.150_M_CONSOLIDATED_Delinquency_Compulsory_EOM[[#This Row],[Days in Arrears]] &lt; 8, Table__192.168.1.150_M_CONSOLIDATED_Delinquency_Compulsory_EOM[[#This Row],[Outstanding Balance]], 0 )</f>
        <v>5000000</v>
      </c>
      <c r="V145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3" s="105" t="str">
        <f>VLOOKUP(Table__192.168.1.150_M_CONSOLIDATED_Delinquency_Compulsory_EOM[[#This Row],[Client No]],'Global Portfolio'!$B$2:$N$2500,10,FALSE)</f>
        <v>Retail</v>
      </c>
      <c r="AA1453" s="105" t="str">
        <f>VLOOKUP(Table__192.168.1.150_M_CONSOLIDATED_Delinquency_Compulsory_EOM[[#This Row],[Client No]],'Global Portfolio'!$B$2:$N$2500,11,FALSE)</f>
        <v>General Merchandise Stores</v>
      </c>
      <c r="AB1453" s="105" t="str">
        <f>VLOOKUP(Table__192.168.1.150_M_CONSOLIDATED_Delinquency_Compulsory_EOM[[#This Row],[Client No]],'Global Portfolio'!$B$2:$N$2500,12,FALSE)</f>
        <v>General Stores</v>
      </c>
    </row>
    <row r="1454" spans="1:28" x14ac:dyDescent="0.25">
      <c r="A1454">
        <v>201401</v>
      </c>
      <c r="B1454" t="s">
        <v>2575</v>
      </c>
      <c r="C1454" t="s">
        <v>2579</v>
      </c>
      <c r="D1454" t="s">
        <v>1866</v>
      </c>
      <c r="E1454">
        <v>-18</v>
      </c>
      <c r="F1454">
        <v>8500000</v>
      </c>
      <c r="G1454">
        <v>8500000</v>
      </c>
      <c r="H1454">
        <v>888263.32</v>
      </c>
      <c r="I1454" t="s">
        <v>1667</v>
      </c>
      <c r="J1454">
        <v>756436.68</v>
      </c>
      <c r="K1454">
        <v>850000</v>
      </c>
      <c r="L1454">
        <v>114277.78</v>
      </c>
      <c r="M1454">
        <v>888263.32</v>
      </c>
      <c r="N1454" s="711">
        <v>43027.699184224541</v>
      </c>
      <c r="O1454" s="711">
        <v>43392</v>
      </c>
      <c r="P1454" t="s">
        <v>2580</v>
      </c>
      <c r="Q1454" t="s">
        <v>1280</v>
      </c>
      <c r="R1454" t="s">
        <v>1280</v>
      </c>
      <c r="S1454" t="s">
        <v>1510</v>
      </c>
      <c r="T1454">
        <v>44</v>
      </c>
      <c r="U1454">
        <f>IF(Table__192.168.1.150_M_CONSOLIDATED_Delinquency_Compulsory_EOM[[#This Row],[Days in Arrears]] &lt; 8, Table__192.168.1.150_M_CONSOLIDATED_Delinquency_Compulsory_EOM[[#This Row],[Outstanding Balance]], 0 )</f>
        <v>8500000</v>
      </c>
      <c r="V145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4" s="105" t="str">
        <f>VLOOKUP(Table__192.168.1.150_M_CONSOLIDATED_Delinquency_Compulsory_EOM[[#This Row],[Client No]],'Global Portfolio'!$B$2:$N$2500,10,FALSE)</f>
        <v>Real Estate and Rental</v>
      </c>
      <c r="AA1454" s="105" t="str">
        <f>VLOOKUP(Table__192.168.1.150_M_CONSOLIDATED_Delinquency_Compulsory_EOM[[#This Row],[Client No]],'Global Portfolio'!$B$2:$N$2500,11,FALSE)</f>
        <v>Rental</v>
      </c>
      <c r="AB1454" s="105" t="str">
        <f>VLOOKUP(Table__192.168.1.150_M_CONSOLIDATED_Delinquency_Compulsory_EOM[[#This Row],[Client No]],'Global Portfolio'!$B$2:$N$2500,12,FALSE)</f>
        <v>General Rental Centers</v>
      </c>
    </row>
    <row r="1455" spans="1:28" x14ac:dyDescent="0.25">
      <c r="A1455">
        <v>201402</v>
      </c>
      <c r="B1455" t="s">
        <v>5851</v>
      </c>
      <c r="C1455" t="s">
        <v>5864</v>
      </c>
      <c r="D1455" t="s">
        <v>1282</v>
      </c>
      <c r="E1455">
        <v>-18</v>
      </c>
      <c r="F1455">
        <v>8500000</v>
      </c>
      <c r="G1455">
        <v>8500000</v>
      </c>
      <c r="H1455">
        <v>932162.6</v>
      </c>
      <c r="I1455" t="s">
        <v>2557</v>
      </c>
      <c r="J1455">
        <v>9000</v>
      </c>
      <c r="K1455">
        <v>850000</v>
      </c>
      <c r="L1455">
        <v>140250</v>
      </c>
      <c r="M1455">
        <v>932162.6</v>
      </c>
      <c r="N1455" s="711">
        <v>43027.709482905091</v>
      </c>
      <c r="O1455" s="711">
        <v>43392</v>
      </c>
      <c r="P1455" t="s">
        <v>5865</v>
      </c>
      <c r="Q1455" t="s">
        <v>5866</v>
      </c>
      <c r="R1455" t="s">
        <v>1280</v>
      </c>
      <c r="S1455" t="s">
        <v>1510</v>
      </c>
      <c r="T1455">
        <v>54</v>
      </c>
      <c r="U1455">
        <f>IF(Table__192.168.1.150_M_CONSOLIDATED_Delinquency_Compulsory_EOM[[#This Row],[Days in Arrears]] &lt; 8, Table__192.168.1.150_M_CONSOLIDATED_Delinquency_Compulsory_EOM[[#This Row],[Outstanding Balance]], 0 )</f>
        <v>8500000</v>
      </c>
      <c r="V145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5" s="105" t="str">
        <f>VLOOKUP(Table__192.168.1.150_M_CONSOLIDATED_Delinquency_Compulsory_EOM[[#This Row],[Client No]],'Global Portfolio'!$B$2:$N$2500,10,FALSE)</f>
        <v>Retail</v>
      </c>
      <c r="AA1455" s="105" t="str">
        <f>VLOOKUP(Table__192.168.1.150_M_CONSOLIDATED_Delinquency_Compulsory_EOM[[#This Row],[Client No]],'Global Portfolio'!$B$2:$N$2500,11,FALSE)</f>
        <v>General Merchandise Stores</v>
      </c>
      <c r="AB1455" s="105" t="str">
        <f>VLOOKUP(Table__192.168.1.150_M_CONSOLIDATED_Delinquency_Compulsory_EOM[[#This Row],[Client No]],'Global Portfolio'!$B$2:$N$2500,12,FALSE)</f>
        <v>General Stores</v>
      </c>
    </row>
    <row r="1456" spans="1:28" x14ac:dyDescent="0.25">
      <c r="A1456">
        <v>201403</v>
      </c>
      <c r="B1456" t="s">
        <v>5870</v>
      </c>
      <c r="C1456" t="s">
        <v>5875</v>
      </c>
      <c r="D1456" t="s">
        <v>1282</v>
      </c>
      <c r="E1456">
        <v>-19</v>
      </c>
      <c r="F1456">
        <v>6000000</v>
      </c>
      <c r="G1456">
        <v>6000000</v>
      </c>
      <c r="H1456">
        <v>657997.13</v>
      </c>
      <c r="I1456" t="s">
        <v>491</v>
      </c>
      <c r="J1456">
        <v>9000</v>
      </c>
      <c r="K1456">
        <v>600000</v>
      </c>
      <c r="L1456">
        <v>90000</v>
      </c>
      <c r="M1456">
        <v>657997.13</v>
      </c>
      <c r="N1456" s="711">
        <v>43028.537628506943</v>
      </c>
      <c r="O1456" s="711">
        <v>43393</v>
      </c>
      <c r="P1456" t="s">
        <v>5876</v>
      </c>
      <c r="Q1456" t="s">
        <v>1280</v>
      </c>
      <c r="R1456" t="s">
        <v>1280</v>
      </c>
      <c r="S1456" t="s">
        <v>1510</v>
      </c>
      <c r="T1456">
        <v>54</v>
      </c>
      <c r="U1456">
        <f>IF(Table__192.168.1.150_M_CONSOLIDATED_Delinquency_Compulsory_EOM[[#This Row],[Days in Arrears]] &lt; 8, Table__192.168.1.150_M_CONSOLIDATED_Delinquency_Compulsory_EOM[[#This Row],[Outstanding Balance]], 0 )</f>
        <v>6000000</v>
      </c>
      <c r="V145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6" s="105" t="str">
        <f>VLOOKUP(Table__192.168.1.150_M_CONSOLIDATED_Delinquency_Compulsory_EOM[[#This Row],[Client No]],'Global Portfolio'!$B$2:$N$2500,10,FALSE)</f>
        <v>Retail</v>
      </c>
      <c r="AA1456" s="105" t="str">
        <f>VLOOKUP(Table__192.168.1.150_M_CONSOLIDATED_Delinquency_Compulsory_EOM[[#This Row],[Client No]],'Global Portfolio'!$B$2:$N$2500,11,FALSE)</f>
        <v>General Merchandise Stores</v>
      </c>
      <c r="AB1456" s="105" t="str">
        <f>VLOOKUP(Table__192.168.1.150_M_CONSOLIDATED_Delinquency_Compulsory_EOM[[#This Row],[Client No]],'Global Portfolio'!$B$2:$N$2500,12,FALSE)</f>
        <v>General Stores</v>
      </c>
    </row>
    <row r="1457" spans="1:28" x14ac:dyDescent="0.25">
      <c r="A1457">
        <v>201404</v>
      </c>
      <c r="B1457" t="s">
        <v>3726</v>
      </c>
      <c r="C1457" t="s">
        <v>3732</v>
      </c>
      <c r="D1457" t="s">
        <v>1282</v>
      </c>
      <c r="E1457">
        <v>-19</v>
      </c>
      <c r="F1457">
        <v>2500000</v>
      </c>
      <c r="G1457">
        <v>2500000</v>
      </c>
      <c r="H1457">
        <v>308227.36</v>
      </c>
      <c r="I1457" t="s">
        <v>2538</v>
      </c>
      <c r="J1457">
        <v>9167.2099999999991</v>
      </c>
      <c r="K1457">
        <v>250000</v>
      </c>
      <c r="L1457">
        <v>33333.33</v>
      </c>
      <c r="M1457">
        <v>308227.36</v>
      </c>
      <c r="N1457" s="711">
        <v>43028.558704976851</v>
      </c>
      <c r="O1457" s="711">
        <v>43332</v>
      </c>
      <c r="P1457" t="s">
        <v>3733</v>
      </c>
      <c r="Q1457" t="s">
        <v>1280</v>
      </c>
      <c r="R1457" t="s">
        <v>3734</v>
      </c>
      <c r="S1457" t="s">
        <v>1510</v>
      </c>
      <c r="T1457">
        <v>48</v>
      </c>
      <c r="U1457">
        <f>IF(Table__192.168.1.150_M_CONSOLIDATED_Delinquency_Compulsory_EOM[[#This Row],[Days in Arrears]] &lt; 8, Table__192.168.1.150_M_CONSOLIDATED_Delinquency_Compulsory_EOM[[#This Row],[Outstanding Balance]], 0 )</f>
        <v>2500000</v>
      </c>
      <c r="V145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7" s="105" t="str">
        <f>VLOOKUP(Table__192.168.1.150_M_CONSOLIDATED_Delinquency_Compulsory_EOM[[#This Row],[Client No]],'Global Portfolio'!$B$2:$N$2500,10,FALSE)</f>
        <v>Retail</v>
      </c>
      <c r="AA1457" s="105" t="str">
        <f>VLOOKUP(Table__192.168.1.150_M_CONSOLIDATED_Delinquency_Compulsory_EOM[[#This Row],[Client No]],'Global Portfolio'!$B$2:$N$2500,11,FALSE)</f>
        <v>General Merchandise Stores</v>
      </c>
      <c r="AB1457" s="105" t="str">
        <f>VLOOKUP(Table__192.168.1.150_M_CONSOLIDATED_Delinquency_Compulsory_EOM[[#This Row],[Client No]],'Global Portfolio'!$B$2:$N$2500,12,FALSE)</f>
        <v>General Stores</v>
      </c>
    </row>
    <row r="1458" spans="1:28" x14ac:dyDescent="0.25">
      <c r="A1458">
        <v>201405</v>
      </c>
      <c r="B1458" t="s">
        <v>5868</v>
      </c>
      <c r="C1458" t="s">
        <v>5877</v>
      </c>
      <c r="D1458" t="s">
        <v>1279</v>
      </c>
      <c r="E1458">
        <v>-19</v>
      </c>
      <c r="F1458">
        <v>1600000</v>
      </c>
      <c r="G1458">
        <v>1600000</v>
      </c>
      <c r="H1458">
        <v>202206.11</v>
      </c>
      <c r="I1458" t="s">
        <v>1667</v>
      </c>
      <c r="J1458">
        <v>9080</v>
      </c>
      <c r="K1458">
        <v>160000</v>
      </c>
      <c r="L1458">
        <v>24000</v>
      </c>
      <c r="M1458">
        <v>202206.11</v>
      </c>
      <c r="N1458" s="711">
        <v>43028.582934918981</v>
      </c>
      <c r="O1458" s="711">
        <v>43332</v>
      </c>
      <c r="P1458" t="s">
        <v>5878</v>
      </c>
      <c r="Q1458" t="s">
        <v>5879</v>
      </c>
      <c r="R1458" t="s">
        <v>1280</v>
      </c>
      <c r="S1458" t="s">
        <v>1510</v>
      </c>
      <c r="T1458">
        <v>54</v>
      </c>
      <c r="U1458">
        <f>IF(Table__192.168.1.150_M_CONSOLIDATED_Delinquency_Compulsory_EOM[[#This Row],[Days in Arrears]] &lt; 8, Table__192.168.1.150_M_CONSOLIDATED_Delinquency_Compulsory_EOM[[#This Row],[Outstanding Balance]], 0 )</f>
        <v>1600000</v>
      </c>
      <c r="V145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8" s="105" t="str">
        <f>VLOOKUP(Table__192.168.1.150_M_CONSOLIDATED_Delinquency_Compulsory_EOM[[#This Row],[Client No]],'Global Portfolio'!$B$2:$N$2500,10,FALSE)</f>
        <v>Retail</v>
      </c>
      <c r="AA1458" s="105" t="str">
        <f>VLOOKUP(Table__192.168.1.150_M_CONSOLIDATED_Delinquency_Compulsory_EOM[[#This Row],[Client No]],'Global Portfolio'!$B$2:$N$2500,11,FALSE)</f>
        <v>General Merchandise Stores</v>
      </c>
      <c r="AB1458" s="105" t="str">
        <f>VLOOKUP(Table__192.168.1.150_M_CONSOLIDATED_Delinquency_Compulsory_EOM[[#This Row],[Client No]],'Global Portfolio'!$B$2:$N$2500,12,FALSE)</f>
        <v>General Stores</v>
      </c>
    </row>
    <row r="1459" spans="1:28" x14ac:dyDescent="0.25">
      <c r="A1459">
        <v>201406</v>
      </c>
      <c r="B1459" t="s">
        <v>5871</v>
      </c>
      <c r="C1459" t="s">
        <v>5880</v>
      </c>
      <c r="D1459" t="s">
        <v>1282</v>
      </c>
      <c r="E1459">
        <v>-19</v>
      </c>
      <c r="F1459">
        <v>4000000</v>
      </c>
      <c r="G1459">
        <v>4000000</v>
      </c>
      <c r="H1459">
        <v>606438.61</v>
      </c>
      <c r="I1459" t="s">
        <v>5384</v>
      </c>
      <c r="J1459">
        <v>0</v>
      </c>
      <c r="K1459">
        <v>400000</v>
      </c>
      <c r="L1459">
        <v>60000</v>
      </c>
      <c r="M1459">
        <v>606438.61</v>
      </c>
      <c r="N1459" s="711">
        <v>43028.653854745367</v>
      </c>
      <c r="O1459" s="711">
        <v>43271</v>
      </c>
      <c r="P1459" t="s">
        <v>5881</v>
      </c>
      <c r="Q1459" t="s">
        <v>1280</v>
      </c>
      <c r="R1459" t="s">
        <v>1280</v>
      </c>
      <c r="S1459" t="s">
        <v>1510</v>
      </c>
      <c r="T1459">
        <v>54</v>
      </c>
      <c r="U1459">
        <f>IF(Table__192.168.1.150_M_CONSOLIDATED_Delinquency_Compulsory_EOM[[#This Row],[Days in Arrears]] &lt; 8, Table__192.168.1.150_M_CONSOLIDATED_Delinquency_Compulsory_EOM[[#This Row],[Outstanding Balance]], 0 )</f>
        <v>4000000</v>
      </c>
      <c r="V145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5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5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5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59" s="105" t="str">
        <f>VLOOKUP(Table__192.168.1.150_M_CONSOLIDATED_Delinquency_Compulsory_EOM[[#This Row],[Client No]],'Global Portfolio'!$B$2:$N$2500,10,FALSE)</f>
        <v>Retail</v>
      </c>
      <c r="AA1459" s="105" t="str">
        <f>VLOOKUP(Table__192.168.1.150_M_CONSOLIDATED_Delinquency_Compulsory_EOM[[#This Row],[Client No]],'Global Portfolio'!$B$2:$N$2500,11,FALSE)</f>
        <v>General Merchandise Stores</v>
      </c>
      <c r="AB1459" s="105" t="str">
        <f>VLOOKUP(Table__192.168.1.150_M_CONSOLIDATED_Delinquency_Compulsory_EOM[[#This Row],[Client No]],'Global Portfolio'!$B$2:$N$2500,12,FALSE)</f>
        <v>General Stores</v>
      </c>
    </row>
    <row r="1460" spans="1:28" x14ac:dyDescent="0.25">
      <c r="A1460">
        <v>201407</v>
      </c>
      <c r="B1460" t="s">
        <v>5867</v>
      </c>
      <c r="C1460" t="s">
        <v>5882</v>
      </c>
      <c r="D1460" t="s">
        <v>1866</v>
      </c>
      <c r="E1460">
        <v>-19</v>
      </c>
      <c r="F1460">
        <v>6000000</v>
      </c>
      <c r="G1460">
        <v>6000000</v>
      </c>
      <c r="H1460">
        <v>745896.01</v>
      </c>
      <c r="I1460" t="s">
        <v>1467</v>
      </c>
      <c r="J1460">
        <v>9800</v>
      </c>
      <c r="K1460">
        <v>600000</v>
      </c>
      <c r="L1460">
        <v>83333.33</v>
      </c>
      <c r="M1460">
        <v>745896.01</v>
      </c>
      <c r="N1460" s="711">
        <v>43028.603793946757</v>
      </c>
      <c r="O1460" s="711">
        <v>43332</v>
      </c>
      <c r="P1460" t="s">
        <v>5883</v>
      </c>
      <c r="Q1460" t="s">
        <v>1280</v>
      </c>
      <c r="R1460" t="s">
        <v>1280</v>
      </c>
      <c r="S1460" t="s">
        <v>1510</v>
      </c>
      <c r="T1460">
        <v>50</v>
      </c>
      <c r="U1460">
        <f>IF(Table__192.168.1.150_M_CONSOLIDATED_Delinquency_Compulsory_EOM[[#This Row],[Days in Arrears]] &lt; 8, Table__192.168.1.150_M_CONSOLIDATED_Delinquency_Compulsory_EOM[[#This Row],[Outstanding Balance]], 0 )</f>
        <v>6000000</v>
      </c>
      <c r="V146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0" s="105" t="str">
        <f>VLOOKUP(Table__192.168.1.150_M_CONSOLIDATED_Delinquency_Compulsory_EOM[[#This Row],[Client No]],'Global Portfolio'!$B$2:$N$2500,10,FALSE)</f>
        <v>Wholesale Trade</v>
      </c>
      <c r="AA1460" s="105" t="str">
        <f>VLOOKUP(Table__192.168.1.150_M_CONSOLIDATED_Delinquency_Compulsory_EOM[[#This Row],[Client No]],'Global Portfolio'!$B$2:$N$2500,11,FALSE)</f>
        <v>Durable Goods</v>
      </c>
      <c r="AB1460" s="105" t="str">
        <f>VLOOKUP(Table__192.168.1.150_M_CONSOLIDATED_Delinquency_Compulsory_EOM[[#This Row],[Client No]],'Global Portfolio'!$B$2:$N$2500,12,FALSE)</f>
        <v>Hardware, &amp; Plumbing &amp; Heating Equipment</v>
      </c>
    </row>
    <row r="1461" spans="1:28" x14ac:dyDescent="0.25">
      <c r="A1461">
        <v>201408</v>
      </c>
      <c r="B1461" t="s">
        <v>2270</v>
      </c>
      <c r="C1461" t="s">
        <v>2275</v>
      </c>
      <c r="D1461" t="s">
        <v>1284</v>
      </c>
      <c r="E1461">
        <v>-19</v>
      </c>
      <c r="F1461">
        <v>20000000</v>
      </c>
      <c r="G1461">
        <v>20000000</v>
      </c>
      <c r="H1461">
        <v>1454173.92</v>
      </c>
      <c r="I1461" t="s">
        <v>1925</v>
      </c>
      <c r="J1461">
        <v>998338.33</v>
      </c>
      <c r="K1461">
        <v>1000000</v>
      </c>
      <c r="L1461">
        <v>200000</v>
      </c>
      <c r="M1461">
        <v>1454173.92</v>
      </c>
      <c r="N1461" s="711">
        <v>43028.695226076386</v>
      </c>
      <c r="O1461" s="711">
        <v>43575</v>
      </c>
      <c r="P1461" t="s">
        <v>2276</v>
      </c>
      <c r="Q1461" t="s">
        <v>1280</v>
      </c>
      <c r="R1461" t="s">
        <v>2277</v>
      </c>
      <c r="S1461" t="s">
        <v>1510</v>
      </c>
      <c r="T1461">
        <v>36</v>
      </c>
      <c r="U1461">
        <f>IF(Table__192.168.1.150_M_CONSOLIDATED_Delinquency_Compulsory_EOM[[#This Row],[Days in Arrears]] &lt; 8, Table__192.168.1.150_M_CONSOLIDATED_Delinquency_Compulsory_EOM[[#This Row],[Outstanding Balance]], 0 )</f>
        <v>20000000</v>
      </c>
      <c r="V146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1" s="105" t="str">
        <f>VLOOKUP(Table__192.168.1.150_M_CONSOLIDATED_Delinquency_Compulsory_EOM[[#This Row],[Client No]],'Global Portfolio'!$B$2:$N$2500,10,FALSE)</f>
        <v>Real Estate and Rental</v>
      </c>
      <c r="AA1461" s="105" t="str">
        <f>VLOOKUP(Table__192.168.1.150_M_CONSOLIDATED_Delinquency_Compulsory_EOM[[#This Row],[Client No]],'Global Portfolio'!$B$2:$N$2500,11,FALSE)</f>
        <v>Rental</v>
      </c>
      <c r="AB1461" s="105" t="str">
        <f>VLOOKUP(Table__192.168.1.150_M_CONSOLIDATED_Delinquency_Compulsory_EOM[[#This Row],[Client No]],'Global Portfolio'!$B$2:$N$2500,12,FALSE)</f>
        <v>General Rental Centers</v>
      </c>
    </row>
    <row r="1462" spans="1:28" x14ac:dyDescent="0.25">
      <c r="A1462">
        <v>201409</v>
      </c>
      <c r="B1462" t="s">
        <v>5872</v>
      </c>
      <c r="C1462" t="s">
        <v>5884</v>
      </c>
      <c r="D1462" t="s">
        <v>1282</v>
      </c>
      <c r="E1462">
        <v>-19</v>
      </c>
      <c r="F1462">
        <v>5000000</v>
      </c>
      <c r="G1462">
        <v>5000000</v>
      </c>
      <c r="H1462">
        <v>631894.11</v>
      </c>
      <c r="I1462" t="s">
        <v>4686</v>
      </c>
      <c r="J1462">
        <v>139000</v>
      </c>
      <c r="K1462">
        <v>500000</v>
      </c>
      <c r="L1462">
        <v>75000</v>
      </c>
      <c r="M1462">
        <v>631894.11</v>
      </c>
      <c r="N1462" s="711">
        <v>43028.682979282406</v>
      </c>
      <c r="O1462" s="711">
        <v>43332</v>
      </c>
      <c r="P1462" t="s">
        <v>5885</v>
      </c>
      <c r="Q1462" t="s">
        <v>1280</v>
      </c>
      <c r="R1462" t="s">
        <v>1280</v>
      </c>
      <c r="S1462" t="s">
        <v>1510</v>
      </c>
      <c r="T1462">
        <v>54</v>
      </c>
      <c r="U1462">
        <f>IF(Table__192.168.1.150_M_CONSOLIDATED_Delinquency_Compulsory_EOM[[#This Row],[Days in Arrears]] &lt; 8, Table__192.168.1.150_M_CONSOLIDATED_Delinquency_Compulsory_EOM[[#This Row],[Outstanding Balance]], 0 )</f>
        <v>5000000</v>
      </c>
      <c r="V146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2" s="105" t="str">
        <f>VLOOKUP(Table__192.168.1.150_M_CONSOLIDATED_Delinquency_Compulsory_EOM[[#This Row],[Client No]],'Global Portfolio'!$B$2:$N$2500,10,FALSE)</f>
        <v>Real Estate and Rental</v>
      </c>
      <c r="AA1462" s="105" t="str">
        <f>VLOOKUP(Table__192.168.1.150_M_CONSOLIDATED_Delinquency_Compulsory_EOM[[#This Row],[Client No]],'Global Portfolio'!$B$2:$N$2500,11,FALSE)</f>
        <v>Rental</v>
      </c>
      <c r="AB1462" s="105" t="str">
        <f>VLOOKUP(Table__192.168.1.150_M_CONSOLIDATED_Delinquency_Compulsory_EOM[[#This Row],[Client No]],'Global Portfolio'!$B$2:$N$2500,12,FALSE)</f>
        <v>General Rental Centers</v>
      </c>
    </row>
    <row r="1463" spans="1:28" x14ac:dyDescent="0.25">
      <c r="A1463">
        <v>201410</v>
      </c>
      <c r="B1463" t="s">
        <v>4372</v>
      </c>
      <c r="C1463" t="s">
        <v>4386</v>
      </c>
      <c r="D1463" t="s">
        <v>1284</v>
      </c>
      <c r="E1463">
        <v>-19</v>
      </c>
      <c r="F1463">
        <v>9000000</v>
      </c>
      <c r="G1463">
        <v>9000000</v>
      </c>
      <c r="H1463">
        <v>753899.22</v>
      </c>
      <c r="I1463" t="s">
        <v>2175</v>
      </c>
      <c r="J1463">
        <v>9404.4500000000007</v>
      </c>
      <c r="K1463">
        <v>450000</v>
      </c>
      <c r="L1463">
        <v>90000</v>
      </c>
      <c r="M1463">
        <v>753899.22</v>
      </c>
      <c r="N1463" s="711">
        <v>43028.716241585651</v>
      </c>
      <c r="O1463" s="711">
        <v>43485</v>
      </c>
      <c r="P1463" t="s">
        <v>4387</v>
      </c>
      <c r="Q1463" t="s">
        <v>1280</v>
      </c>
      <c r="R1463" t="s">
        <v>4388</v>
      </c>
      <c r="S1463" t="s">
        <v>1510</v>
      </c>
      <c r="T1463">
        <v>36</v>
      </c>
      <c r="U1463">
        <f>IF(Table__192.168.1.150_M_CONSOLIDATED_Delinquency_Compulsory_EOM[[#This Row],[Days in Arrears]] &lt; 8, Table__192.168.1.150_M_CONSOLIDATED_Delinquency_Compulsory_EOM[[#This Row],[Outstanding Balance]], 0 )</f>
        <v>9000000</v>
      </c>
      <c r="V146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3" s="105" t="str">
        <f>VLOOKUP(Table__192.168.1.150_M_CONSOLIDATED_Delinquency_Compulsory_EOM[[#This Row],[Client No]],'Global Portfolio'!$B$2:$N$2500,10,FALSE)</f>
        <v>Retail</v>
      </c>
      <c r="AA1463" s="105" t="str">
        <f>VLOOKUP(Table__192.168.1.150_M_CONSOLIDATED_Delinquency_Compulsory_EOM[[#This Row],[Client No]],'Global Portfolio'!$B$2:$N$2500,11,FALSE)</f>
        <v>General Merchandise Stores</v>
      </c>
      <c r="AB1463" s="105" t="str">
        <f>VLOOKUP(Table__192.168.1.150_M_CONSOLIDATED_Delinquency_Compulsory_EOM[[#This Row],[Client No]],'Global Portfolio'!$B$2:$N$2500,12,FALSE)</f>
        <v>General Stores</v>
      </c>
    </row>
    <row r="1464" spans="1:28" x14ac:dyDescent="0.25">
      <c r="A1464">
        <v>201411</v>
      </c>
      <c r="B1464" t="s">
        <v>5886</v>
      </c>
      <c r="C1464" t="s">
        <v>5887</v>
      </c>
      <c r="D1464" t="s">
        <v>1279</v>
      </c>
      <c r="E1464">
        <v>-20</v>
      </c>
      <c r="F1464">
        <v>3000000</v>
      </c>
      <c r="G1464">
        <v>3000000</v>
      </c>
      <c r="H1464">
        <v>328998.57</v>
      </c>
      <c r="I1464" t="s">
        <v>2034</v>
      </c>
      <c r="J1464">
        <v>0</v>
      </c>
      <c r="K1464">
        <v>300000</v>
      </c>
      <c r="L1464">
        <v>40500</v>
      </c>
      <c r="M1464">
        <v>328998.57</v>
      </c>
      <c r="N1464" s="711">
        <v>43029.559149537039</v>
      </c>
      <c r="O1464" s="711">
        <v>43394</v>
      </c>
      <c r="P1464" t="s">
        <v>5888</v>
      </c>
      <c r="Q1464" t="s">
        <v>1280</v>
      </c>
      <c r="R1464" t="s">
        <v>1280</v>
      </c>
      <c r="S1464" t="s">
        <v>1510</v>
      </c>
      <c r="T1464">
        <v>54</v>
      </c>
      <c r="U1464">
        <f>IF(Table__192.168.1.150_M_CONSOLIDATED_Delinquency_Compulsory_EOM[[#This Row],[Days in Arrears]] &lt; 8, Table__192.168.1.150_M_CONSOLIDATED_Delinquency_Compulsory_EOM[[#This Row],[Outstanding Balance]], 0 )</f>
        <v>3000000</v>
      </c>
      <c r="V146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4" s="105" t="str">
        <f>VLOOKUP(Table__192.168.1.150_M_CONSOLIDATED_Delinquency_Compulsory_EOM[[#This Row],[Client No]],'Global Portfolio'!$B$2:$N$2500,10,FALSE)</f>
        <v>Retail</v>
      </c>
      <c r="AA1464" s="105" t="str">
        <f>VLOOKUP(Table__192.168.1.150_M_CONSOLIDATED_Delinquency_Compulsory_EOM[[#This Row],[Client No]],'Global Portfolio'!$B$2:$N$2500,11,FALSE)</f>
        <v>Second Hand -Clothing and  Accessories</v>
      </c>
      <c r="AB1464" s="105" t="str">
        <f>VLOOKUP(Table__192.168.1.150_M_CONSOLIDATED_Delinquency_Compulsory_EOM[[#This Row],[Client No]],'Global Portfolio'!$B$2:$N$2500,12,FALSE)</f>
        <v>Clothing Stores</v>
      </c>
    </row>
    <row r="1465" spans="1:28" x14ac:dyDescent="0.25">
      <c r="A1465">
        <v>201412</v>
      </c>
      <c r="B1465" t="s">
        <v>5894</v>
      </c>
      <c r="C1465" t="s">
        <v>5909</v>
      </c>
      <c r="D1465" t="s">
        <v>1282</v>
      </c>
      <c r="E1465">
        <v>-22</v>
      </c>
      <c r="F1465">
        <v>3500000</v>
      </c>
      <c r="G1465">
        <v>3500000</v>
      </c>
      <c r="H1465">
        <v>442325.88</v>
      </c>
      <c r="I1465" t="s">
        <v>5384</v>
      </c>
      <c r="J1465">
        <v>9000</v>
      </c>
      <c r="K1465">
        <v>350000</v>
      </c>
      <c r="L1465">
        <v>36750</v>
      </c>
      <c r="M1465">
        <v>442325.88</v>
      </c>
      <c r="N1465" s="711">
        <v>43031.60994328704</v>
      </c>
      <c r="O1465" s="711">
        <v>43335</v>
      </c>
      <c r="P1465" t="s">
        <v>5910</v>
      </c>
      <c r="Q1465" t="s">
        <v>1280</v>
      </c>
      <c r="R1465" t="s">
        <v>1280</v>
      </c>
      <c r="S1465" t="s">
        <v>1510</v>
      </c>
      <c r="T1465">
        <v>54</v>
      </c>
      <c r="U1465">
        <f>IF(Table__192.168.1.150_M_CONSOLIDATED_Delinquency_Compulsory_EOM[[#This Row],[Days in Arrears]] &lt; 8, Table__192.168.1.150_M_CONSOLIDATED_Delinquency_Compulsory_EOM[[#This Row],[Outstanding Balance]], 0 )</f>
        <v>3500000</v>
      </c>
      <c r="V146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5" s="105" t="str">
        <f>VLOOKUP(Table__192.168.1.150_M_CONSOLIDATED_Delinquency_Compulsory_EOM[[#This Row],[Client No]],'Global Portfolio'!$B$2:$N$2500,10,FALSE)</f>
        <v>Retail</v>
      </c>
      <c r="AA1465" s="105" t="str">
        <f>VLOOKUP(Table__192.168.1.150_M_CONSOLIDATED_Delinquency_Compulsory_EOM[[#This Row],[Client No]],'Global Portfolio'!$B$2:$N$2500,11,FALSE)</f>
        <v>General Merchandise Stores</v>
      </c>
      <c r="AB1465" s="105" t="str">
        <f>VLOOKUP(Table__192.168.1.150_M_CONSOLIDATED_Delinquency_Compulsory_EOM[[#This Row],[Client No]],'Global Portfolio'!$B$2:$N$2500,12,FALSE)</f>
        <v>General Stores</v>
      </c>
    </row>
    <row r="1466" spans="1:28" x14ac:dyDescent="0.25">
      <c r="A1466">
        <v>201413</v>
      </c>
      <c r="B1466" t="s">
        <v>5893</v>
      </c>
      <c r="C1466" t="s">
        <v>5911</v>
      </c>
      <c r="D1466" t="s">
        <v>1281</v>
      </c>
      <c r="E1466">
        <v>-22</v>
      </c>
      <c r="F1466">
        <v>17000000</v>
      </c>
      <c r="G1466">
        <v>17000000</v>
      </c>
      <c r="H1466">
        <v>1811386.94</v>
      </c>
      <c r="I1466" t="s">
        <v>5410</v>
      </c>
      <c r="J1466">
        <v>9000</v>
      </c>
      <c r="K1466">
        <v>1275000</v>
      </c>
      <c r="L1466">
        <v>158666.67000000001</v>
      </c>
      <c r="M1466">
        <v>1811386.94</v>
      </c>
      <c r="N1466" s="711">
        <v>43031.470546099539</v>
      </c>
      <c r="O1466" s="711">
        <v>43396</v>
      </c>
      <c r="P1466" t="s">
        <v>5912</v>
      </c>
      <c r="Q1466" t="s">
        <v>5913</v>
      </c>
      <c r="R1466" t="s">
        <v>1280</v>
      </c>
      <c r="S1466" t="s">
        <v>1510</v>
      </c>
      <c r="T1466">
        <v>48</v>
      </c>
      <c r="U1466">
        <f>IF(Table__192.168.1.150_M_CONSOLIDATED_Delinquency_Compulsory_EOM[[#This Row],[Days in Arrears]] &lt; 8, Table__192.168.1.150_M_CONSOLIDATED_Delinquency_Compulsory_EOM[[#This Row],[Outstanding Balance]], 0 )</f>
        <v>17000000</v>
      </c>
      <c r="V146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6" s="105" t="str">
        <f>VLOOKUP(Table__192.168.1.150_M_CONSOLIDATED_Delinquency_Compulsory_EOM[[#This Row],[Client No]],'Global Portfolio'!$B$2:$N$2500,10,FALSE)</f>
        <v>Retail</v>
      </c>
      <c r="AA1466" s="105" t="str">
        <f>VLOOKUP(Table__192.168.1.150_M_CONSOLIDATED_Delinquency_Compulsory_EOM[[#This Row],[Client No]],'Global Portfolio'!$B$2:$N$2500,11,FALSE)</f>
        <v>General Merchandise Stores</v>
      </c>
      <c r="AB1466" s="105" t="str">
        <f>VLOOKUP(Table__192.168.1.150_M_CONSOLIDATED_Delinquency_Compulsory_EOM[[#This Row],[Client No]],'Global Portfolio'!$B$2:$N$2500,12,FALSE)</f>
        <v>General Stores</v>
      </c>
    </row>
    <row r="1467" spans="1:28" x14ac:dyDescent="0.25">
      <c r="A1467">
        <v>201415</v>
      </c>
      <c r="B1467" t="s">
        <v>4776</v>
      </c>
      <c r="C1467" t="s">
        <v>4795</v>
      </c>
      <c r="D1467" t="s">
        <v>1281</v>
      </c>
      <c r="E1467">
        <v>-22</v>
      </c>
      <c r="F1467">
        <v>28000000</v>
      </c>
      <c r="G1467">
        <v>28000000</v>
      </c>
      <c r="H1467">
        <v>5254709.84</v>
      </c>
      <c r="I1467" t="s">
        <v>2861</v>
      </c>
      <c r="J1467">
        <v>841736.19</v>
      </c>
      <c r="K1467">
        <v>0</v>
      </c>
      <c r="L1467">
        <v>228666.67</v>
      </c>
      <c r="M1467">
        <v>5254709.84</v>
      </c>
      <c r="N1467" s="711">
        <v>43031.617362581019</v>
      </c>
      <c r="O1467" s="711">
        <v>43213</v>
      </c>
      <c r="P1467" t="s">
        <v>4796</v>
      </c>
      <c r="Q1467" t="s">
        <v>1280</v>
      </c>
      <c r="R1467" t="s">
        <v>1280</v>
      </c>
      <c r="S1467" t="s">
        <v>1510</v>
      </c>
      <c r="T1467">
        <v>42</v>
      </c>
      <c r="U1467">
        <f>IF(Table__192.168.1.150_M_CONSOLIDATED_Delinquency_Compulsory_EOM[[#This Row],[Days in Arrears]] &lt; 8, Table__192.168.1.150_M_CONSOLIDATED_Delinquency_Compulsory_EOM[[#This Row],[Outstanding Balance]], 0 )</f>
        <v>28000000</v>
      </c>
      <c r="V146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7" s="105" t="str">
        <f>VLOOKUP(Table__192.168.1.150_M_CONSOLIDATED_Delinquency_Compulsory_EOM[[#This Row],[Client No]],'Global Portfolio'!$B$2:$N$2500,10,FALSE)</f>
        <v>Educational Services</v>
      </c>
      <c r="AA1467" s="105" t="str">
        <f>VLOOKUP(Table__192.168.1.150_M_CONSOLIDATED_Delinquency_Compulsory_EOM[[#This Row],[Client No]],'Global Portfolio'!$B$2:$N$2500,11,FALSE)</f>
        <v>Educational Services</v>
      </c>
      <c r="AB1467" s="105" t="str">
        <f>VLOOKUP(Table__192.168.1.150_M_CONSOLIDATED_Delinquency_Compulsory_EOM[[#This Row],[Client No]],'Global Portfolio'!$B$2:$N$2500,12,FALSE)</f>
        <v>Schools</v>
      </c>
    </row>
    <row r="1468" spans="1:28" x14ac:dyDescent="0.25">
      <c r="A1468">
        <v>201416</v>
      </c>
      <c r="B1468" t="s">
        <v>5895</v>
      </c>
      <c r="C1468" t="s">
        <v>5914</v>
      </c>
      <c r="D1468" t="s">
        <v>1284</v>
      </c>
      <c r="E1468">
        <v>-22</v>
      </c>
      <c r="F1468">
        <v>6000000</v>
      </c>
      <c r="G1468">
        <v>6000000</v>
      </c>
      <c r="H1468">
        <v>614828.9</v>
      </c>
      <c r="I1468" t="s">
        <v>2861</v>
      </c>
      <c r="J1468">
        <v>9000</v>
      </c>
      <c r="K1468">
        <v>300000</v>
      </c>
      <c r="L1468">
        <v>46666.67</v>
      </c>
      <c r="M1468">
        <v>614828.9</v>
      </c>
      <c r="N1468" s="711">
        <v>43031.723029629633</v>
      </c>
      <c r="O1468" s="711">
        <v>43396</v>
      </c>
      <c r="P1468" t="s">
        <v>5915</v>
      </c>
      <c r="Q1468" t="s">
        <v>1280</v>
      </c>
      <c r="R1468" t="s">
        <v>1280</v>
      </c>
      <c r="S1468" t="s">
        <v>1510</v>
      </c>
      <c r="T1468">
        <v>40</v>
      </c>
      <c r="U1468">
        <f>IF(Table__192.168.1.150_M_CONSOLIDATED_Delinquency_Compulsory_EOM[[#This Row],[Days in Arrears]] &lt; 8, Table__192.168.1.150_M_CONSOLIDATED_Delinquency_Compulsory_EOM[[#This Row],[Outstanding Balance]], 0 )</f>
        <v>6000000</v>
      </c>
      <c r="V146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8" s="105" t="str">
        <f>VLOOKUP(Table__192.168.1.150_M_CONSOLIDATED_Delinquency_Compulsory_EOM[[#This Row],[Client No]],'Global Portfolio'!$B$2:$N$2500,10,FALSE)</f>
        <v>Real Estate and Rental</v>
      </c>
      <c r="AA1468" s="105" t="str">
        <f>VLOOKUP(Table__192.168.1.150_M_CONSOLIDATED_Delinquency_Compulsory_EOM[[#This Row],[Client No]],'Global Portfolio'!$B$2:$N$2500,11,FALSE)</f>
        <v>Real Estate</v>
      </c>
      <c r="AB1468" s="105" t="str">
        <f>VLOOKUP(Table__192.168.1.150_M_CONSOLIDATED_Delinquency_Compulsory_EOM[[#This Row],[Client No]],'Global Portfolio'!$B$2:$N$2500,12,FALSE)</f>
        <v>Real Estate</v>
      </c>
    </row>
    <row r="1469" spans="1:28" x14ac:dyDescent="0.25">
      <c r="A1469">
        <v>201418</v>
      </c>
      <c r="B1469" t="s">
        <v>5919</v>
      </c>
      <c r="C1469" t="s">
        <v>5931</v>
      </c>
      <c r="D1469" t="s">
        <v>1279</v>
      </c>
      <c r="E1469">
        <v>-23</v>
      </c>
      <c r="F1469">
        <v>2000000</v>
      </c>
      <c r="G1469">
        <v>2000000</v>
      </c>
      <c r="H1469">
        <v>252757.64</v>
      </c>
      <c r="I1469" t="s">
        <v>1667</v>
      </c>
      <c r="J1469">
        <v>0</v>
      </c>
      <c r="K1469">
        <v>200000</v>
      </c>
      <c r="L1469">
        <v>18000</v>
      </c>
      <c r="M1469">
        <v>252757.64</v>
      </c>
      <c r="N1469" s="711">
        <v>43032.744100543983</v>
      </c>
      <c r="O1469" s="711">
        <v>43336</v>
      </c>
      <c r="P1469" t="s">
        <v>5932</v>
      </c>
      <c r="Q1469" t="s">
        <v>1280</v>
      </c>
      <c r="R1469" t="s">
        <v>1280</v>
      </c>
      <c r="S1469" t="s">
        <v>1510</v>
      </c>
      <c r="T1469">
        <v>54</v>
      </c>
      <c r="U1469">
        <f>IF(Table__192.168.1.150_M_CONSOLIDATED_Delinquency_Compulsory_EOM[[#This Row],[Days in Arrears]] &lt; 8, Table__192.168.1.150_M_CONSOLIDATED_Delinquency_Compulsory_EOM[[#This Row],[Outstanding Balance]], 0 )</f>
        <v>2000000</v>
      </c>
      <c r="V146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6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6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6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69" s="105" t="str">
        <f>VLOOKUP(Table__192.168.1.150_M_CONSOLIDATED_Delinquency_Compulsory_EOM[[#This Row],[Client No]],'Global Portfolio'!$B$2:$N$2500,10,FALSE)</f>
        <v>Retail</v>
      </c>
      <c r="AA1469" s="105" t="str">
        <f>VLOOKUP(Table__192.168.1.150_M_CONSOLIDATED_Delinquency_Compulsory_EOM[[#This Row],[Client No]],'Global Portfolio'!$B$2:$N$2500,11,FALSE)</f>
        <v>General Merchandise Stores</v>
      </c>
      <c r="AB1469" s="105" t="str">
        <f>VLOOKUP(Table__192.168.1.150_M_CONSOLIDATED_Delinquency_Compulsory_EOM[[#This Row],[Client No]],'Global Portfolio'!$B$2:$N$2500,12,FALSE)</f>
        <v>General Stores</v>
      </c>
    </row>
    <row r="1470" spans="1:28" x14ac:dyDescent="0.25">
      <c r="A1470">
        <v>201419</v>
      </c>
      <c r="B1470" t="s">
        <v>5920</v>
      </c>
      <c r="C1470" t="s">
        <v>5933</v>
      </c>
      <c r="D1470" t="s">
        <v>1279</v>
      </c>
      <c r="E1470">
        <v>-23</v>
      </c>
      <c r="F1470">
        <v>4500000</v>
      </c>
      <c r="G1470">
        <v>4500000</v>
      </c>
      <c r="H1470">
        <v>568704.69999999995</v>
      </c>
      <c r="I1470" t="s">
        <v>5047</v>
      </c>
      <c r="J1470">
        <v>9000</v>
      </c>
      <c r="K1470">
        <v>450000</v>
      </c>
      <c r="L1470">
        <v>40500</v>
      </c>
      <c r="M1470">
        <v>568704.69999999995</v>
      </c>
      <c r="N1470" s="711">
        <v>43032.733813692132</v>
      </c>
      <c r="O1470" s="711">
        <v>43336</v>
      </c>
      <c r="P1470" t="s">
        <v>5934</v>
      </c>
      <c r="Q1470" t="s">
        <v>5935</v>
      </c>
      <c r="R1470" t="s">
        <v>1280</v>
      </c>
      <c r="S1470" t="s">
        <v>1510</v>
      </c>
      <c r="T1470">
        <v>54</v>
      </c>
      <c r="U1470">
        <f>IF(Table__192.168.1.150_M_CONSOLIDATED_Delinquency_Compulsory_EOM[[#This Row],[Days in Arrears]] &lt; 8, Table__192.168.1.150_M_CONSOLIDATED_Delinquency_Compulsory_EOM[[#This Row],[Outstanding Balance]], 0 )</f>
        <v>4500000</v>
      </c>
      <c r="V147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0" s="105" t="str">
        <f>VLOOKUP(Table__192.168.1.150_M_CONSOLIDATED_Delinquency_Compulsory_EOM[[#This Row],[Client No]],'Global Portfolio'!$B$2:$N$2500,10,FALSE)</f>
        <v>Retail</v>
      </c>
      <c r="AA1470" s="105" t="str">
        <f>VLOOKUP(Table__192.168.1.150_M_CONSOLIDATED_Delinquency_Compulsory_EOM[[#This Row],[Client No]],'Global Portfolio'!$B$2:$N$2500,11,FALSE)</f>
        <v>General Merchandise Stores</v>
      </c>
      <c r="AB1470" s="105" t="str">
        <f>VLOOKUP(Table__192.168.1.150_M_CONSOLIDATED_Delinquency_Compulsory_EOM[[#This Row],[Client No]],'Global Portfolio'!$B$2:$N$2500,12,FALSE)</f>
        <v>General Stores</v>
      </c>
    </row>
    <row r="1471" spans="1:28" x14ac:dyDescent="0.25">
      <c r="A1471">
        <v>201420</v>
      </c>
      <c r="B1471" t="s">
        <v>5916</v>
      </c>
      <c r="C1471" t="s">
        <v>5936</v>
      </c>
      <c r="D1471" t="s">
        <v>1282</v>
      </c>
      <c r="E1471">
        <v>-23</v>
      </c>
      <c r="F1471">
        <v>5000000</v>
      </c>
      <c r="G1471">
        <v>5000000</v>
      </c>
      <c r="H1471">
        <v>631894.11</v>
      </c>
      <c r="I1471" t="s">
        <v>5410</v>
      </c>
      <c r="J1471">
        <v>49000</v>
      </c>
      <c r="K1471">
        <v>500000</v>
      </c>
      <c r="L1471">
        <v>45000</v>
      </c>
      <c r="M1471">
        <v>631894.11</v>
      </c>
      <c r="N1471" s="711">
        <v>43032.650605868053</v>
      </c>
      <c r="O1471" s="711">
        <v>43336</v>
      </c>
      <c r="P1471" t="s">
        <v>5937</v>
      </c>
      <c r="Q1471" t="s">
        <v>5938</v>
      </c>
      <c r="R1471" t="s">
        <v>1280</v>
      </c>
      <c r="S1471" t="s">
        <v>1510</v>
      </c>
      <c r="T1471">
        <v>54</v>
      </c>
      <c r="U1471">
        <f>IF(Table__192.168.1.150_M_CONSOLIDATED_Delinquency_Compulsory_EOM[[#This Row],[Days in Arrears]] &lt; 8, Table__192.168.1.150_M_CONSOLIDATED_Delinquency_Compulsory_EOM[[#This Row],[Outstanding Balance]], 0 )</f>
        <v>5000000</v>
      </c>
      <c r="V147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1" s="105" t="str">
        <f>VLOOKUP(Table__192.168.1.150_M_CONSOLIDATED_Delinquency_Compulsory_EOM[[#This Row],[Client No]],'Global Portfolio'!$B$2:$N$2500,10,FALSE)</f>
        <v>Retail</v>
      </c>
      <c r="AA1471" s="105" t="str">
        <f>VLOOKUP(Table__192.168.1.150_M_CONSOLIDATED_Delinquency_Compulsory_EOM[[#This Row],[Client No]],'Global Portfolio'!$B$2:$N$2500,11,FALSE)</f>
        <v>Motor Vehicle and Parts Dealers</v>
      </c>
      <c r="AB1471" s="105" t="str">
        <f>VLOOKUP(Table__192.168.1.150_M_CONSOLIDATED_Delinquency_Compulsory_EOM[[#This Row],[Client No]],'Global Portfolio'!$B$2:$N$2500,12,FALSE)</f>
        <v>Automotive Parts, Accessories, &amp; Tire Stores</v>
      </c>
    </row>
    <row r="1472" spans="1:28" x14ac:dyDescent="0.25">
      <c r="A1472">
        <v>201421</v>
      </c>
      <c r="B1472" t="s">
        <v>5922</v>
      </c>
      <c r="C1472" t="s">
        <v>5939</v>
      </c>
      <c r="D1472" t="s">
        <v>1282</v>
      </c>
      <c r="E1472">
        <v>-23</v>
      </c>
      <c r="F1472">
        <v>2000000</v>
      </c>
      <c r="G1472">
        <v>2000000</v>
      </c>
      <c r="H1472">
        <v>252757.64</v>
      </c>
      <c r="I1472" t="s">
        <v>2557</v>
      </c>
      <c r="J1472">
        <v>0</v>
      </c>
      <c r="K1472">
        <v>200000</v>
      </c>
      <c r="L1472">
        <v>18000</v>
      </c>
      <c r="M1472">
        <v>252757.64</v>
      </c>
      <c r="N1472" s="711">
        <v>43032.691087037034</v>
      </c>
      <c r="O1472" s="711">
        <v>43336</v>
      </c>
      <c r="P1472" t="s">
        <v>5940</v>
      </c>
      <c r="Q1472" t="s">
        <v>1280</v>
      </c>
      <c r="R1472" t="s">
        <v>1280</v>
      </c>
      <c r="S1472" t="s">
        <v>1510</v>
      </c>
      <c r="T1472">
        <v>54</v>
      </c>
      <c r="U1472">
        <f>IF(Table__192.168.1.150_M_CONSOLIDATED_Delinquency_Compulsory_EOM[[#This Row],[Days in Arrears]] &lt; 8, Table__192.168.1.150_M_CONSOLIDATED_Delinquency_Compulsory_EOM[[#This Row],[Outstanding Balance]], 0 )</f>
        <v>2000000</v>
      </c>
      <c r="V147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2" s="105" t="str">
        <f>VLOOKUP(Table__192.168.1.150_M_CONSOLIDATED_Delinquency_Compulsory_EOM[[#This Row],[Client No]],'Global Portfolio'!$B$2:$N$2500,10,FALSE)</f>
        <v>Retail</v>
      </c>
      <c r="AA1472" s="105" t="str">
        <f>VLOOKUP(Table__192.168.1.150_M_CONSOLIDATED_Delinquency_Compulsory_EOM[[#This Row],[Client No]],'Global Portfolio'!$B$2:$N$2500,11,FALSE)</f>
        <v>General Merchandise Stores</v>
      </c>
      <c r="AB1472" s="105" t="str">
        <f>VLOOKUP(Table__192.168.1.150_M_CONSOLIDATED_Delinquency_Compulsory_EOM[[#This Row],[Client No]],'Global Portfolio'!$B$2:$N$2500,12,FALSE)</f>
        <v>General Stores</v>
      </c>
    </row>
    <row r="1473" spans="1:28" x14ac:dyDescent="0.25">
      <c r="A1473">
        <v>201422</v>
      </c>
      <c r="B1473" t="s">
        <v>4667</v>
      </c>
      <c r="C1473" t="s">
        <v>4669</v>
      </c>
      <c r="D1473" t="s">
        <v>1866</v>
      </c>
      <c r="E1473">
        <v>-24</v>
      </c>
      <c r="F1473">
        <v>10000000</v>
      </c>
      <c r="G1473">
        <v>10000000</v>
      </c>
      <c r="H1473">
        <v>1045015.67</v>
      </c>
      <c r="I1473" t="s">
        <v>2557</v>
      </c>
      <c r="J1473">
        <v>20439.97</v>
      </c>
      <c r="K1473">
        <v>600000</v>
      </c>
      <c r="L1473">
        <v>61111.11</v>
      </c>
      <c r="M1473">
        <v>1045015.67</v>
      </c>
      <c r="N1473" s="711">
        <v>43033.665487071761</v>
      </c>
      <c r="O1473" s="711">
        <v>43398</v>
      </c>
      <c r="P1473" t="s">
        <v>4670</v>
      </c>
      <c r="Q1473" t="s">
        <v>1280</v>
      </c>
      <c r="R1473" t="s">
        <v>1280</v>
      </c>
      <c r="S1473" t="s">
        <v>1510</v>
      </c>
      <c r="T1473">
        <v>44</v>
      </c>
      <c r="U1473">
        <f>IF(Table__192.168.1.150_M_CONSOLIDATED_Delinquency_Compulsory_EOM[[#This Row],[Days in Arrears]] &lt; 8, Table__192.168.1.150_M_CONSOLIDATED_Delinquency_Compulsory_EOM[[#This Row],[Outstanding Balance]], 0 )</f>
        <v>10000000</v>
      </c>
      <c r="V147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3" s="105" t="str">
        <f>VLOOKUP(Table__192.168.1.150_M_CONSOLIDATED_Delinquency_Compulsory_EOM[[#This Row],[Client No]],'Global Portfolio'!$B$2:$N$2500,10,FALSE)</f>
        <v>Retail</v>
      </c>
      <c r="AA1473" s="105" t="str">
        <f>VLOOKUP(Table__192.168.1.150_M_CONSOLIDATED_Delinquency_Compulsory_EOM[[#This Row],[Client No]],'Global Portfolio'!$B$2:$N$2500,11,FALSE)</f>
        <v>General Merchandise Stores</v>
      </c>
      <c r="AB1473" s="105" t="str">
        <f>VLOOKUP(Table__192.168.1.150_M_CONSOLIDATED_Delinquency_Compulsory_EOM[[#This Row],[Client No]],'Global Portfolio'!$B$2:$N$2500,12,FALSE)</f>
        <v>General Stores</v>
      </c>
    </row>
    <row r="1474" spans="1:28" x14ac:dyDescent="0.25">
      <c r="A1474">
        <v>201423</v>
      </c>
      <c r="B1474" t="s">
        <v>5941</v>
      </c>
      <c r="C1474" t="s">
        <v>5948</v>
      </c>
      <c r="D1474" t="s">
        <v>1279</v>
      </c>
      <c r="E1474">
        <v>-24</v>
      </c>
      <c r="F1474">
        <v>4000000</v>
      </c>
      <c r="G1474">
        <v>4000000</v>
      </c>
      <c r="H1474">
        <v>505515.29</v>
      </c>
      <c r="I1474" t="s">
        <v>4685</v>
      </c>
      <c r="J1474">
        <v>4000</v>
      </c>
      <c r="K1474">
        <v>400000</v>
      </c>
      <c r="L1474">
        <v>30000</v>
      </c>
      <c r="M1474">
        <v>505515.29</v>
      </c>
      <c r="N1474" s="711">
        <v>43033.59846241898</v>
      </c>
      <c r="O1474" s="711">
        <v>43337</v>
      </c>
      <c r="P1474" t="s">
        <v>5949</v>
      </c>
      <c r="Q1474" t="s">
        <v>1280</v>
      </c>
      <c r="R1474" t="s">
        <v>5950</v>
      </c>
      <c r="S1474" t="s">
        <v>1510</v>
      </c>
      <c r="T1474">
        <v>54</v>
      </c>
      <c r="U1474">
        <f>IF(Table__192.168.1.150_M_CONSOLIDATED_Delinquency_Compulsory_EOM[[#This Row],[Days in Arrears]] &lt; 8, Table__192.168.1.150_M_CONSOLIDATED_Delinquency_Compulsory_EOM[[#This Row],[Outstanding Balance]], 0 )</f>
        <v>4000000</v>
      </c>
      <c r="V147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4" s="105" t="str">
        <f>VLOOKUP(Table__192.168.1.150_M_CONSOLIDATED_Delinquency_Compulsory_EOM[[#This Row],[Client No]],'Global Portfolio'!$B$2:$N$2500,10,FALSE)</f>
        <v>Retail</v>
      </c>
      <c r="AA1474" s="105" t="str">
        <f>VLOOKUP(Table__192.168.1.150_M_CONSOLIDATED_Delinquency_Compulsory_EOM[[#This Row],[Client No]],'Global Portfolio'!$B$2:$N$2500,11,FALSE)</f>
        <v>General Merchandise Stores</v>
      </c>
      <c r="AB1474" s="105" t="str">
        <f>VLOOKUP(Table__192.168.1.150_M_CONSOLIDATED_Delinquency_Compulsory_EOM[[#This Row],[Client No]],'Global Portfolio'!$B$2:$N$2500,12,FALSE)</f>
        <v>General Stores</v>
      </c>
    </row>
    <row r="1475" spans="1:28" x14ac:dyDescent="0.25">
      <c r="A1475">
        <v>201424</v>
      </c>
      <c r="B1475" t="s">
        <v>5944</v>
      </c>
      <c r="C1475" t="s">
        <v>5951</v>
      </c>
      <c r="D1475" t="s">
        <v>1281</v>
      </c>
      <c r="E1475">
        <v>-24</v>
      </c>
      <c r="F1475">
        <v>25000000</v>
      </c>
      <c r="G1475">
        <v>25000000</v>
      </c>
      <c r="H1475">
        <v>3082273.61</v>
      </c>
      <c r="I1475" t="s">
        <v>4686</v>
      </c>
      <c r="J1475">
        <v>0</v>
      </c>
      <c r="K1475">
        <v>1875000</v>
      </c>
      <c r="L1475">
        <v>166666.67000000001</v>
      </c>
      <c r="M1475">
        <v>3082273.61</v>
      </c>
      <c r="N1475" s="711">
        <v>43033.736196840277</v>
      </c>
      <c r="O1475" s="711">
        <v>43337</v>
      </c>
      <c r="P1475" t="s">
        <v>5952</v>
      </c>
      <c r="Q1475" t="s">
        <v>1280</v>
      </c>
      <c r="R1475" t="s">
        <v>1280</v>
      </c>
      <c r="S1475" t="s">
        <v>1510</v>
      </c>
      <c r="T1475">
        <v>48</v>
      </c>
      <c r="U1475">
        <f>IF(Table__192.168.1.150_M_CONSOLIDATED_Delinquency_Compulsory_EOM[[#This Row],[Days in Arrears]] &lt; 8, Table__192.168.1.150_M_CONSOLIDATED_Delinquency_Compulsory_EOM[[#This Row],[Outstanding Balance]], 0 )</f>
        <v>25000000</v>
      </c>
      <c r="V147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5" s="105" t="str">
        <f>VLOOKUP(Table__192.168.1.150_M_CONSOLIDATED_Delinquency_Compulsory_EOM[[#This Row],[Client No]],'Global Portfolio'!$B$2:$N$2500,10,FALSE)</f>
        <v>Real Estate and Rental</v>
      </c>
      <c r="AA1475" s="105" t="str">
        <f>VLOOKUP(Table__192.168.1.150_M_CONSOLIDATED_Delinquency_Compulsory_EOM[[#This Row],[Client No]],'Global Portfolio'!$B$2:$N$2500,11,FALSE)</f>
        <v>Rental</v>
      </c>
      <c r="AB1475" s="105" t="str">
        <f>VLOOKUP(Table__192.168.1.150_M_CONSOLIDATED_Delinquency_Compulsory_EOM[[#This Row],[Client No]],'Global Portfolio'!$B$2:$N$2500,12,FALSE)</f>
        <v>General Rental Centers</v>
      </c>
    </row>
    <row r="1476" spans="1:28" x14ac:dyDescent="0.25">
      <c r="A1476">
        <v>201425</v>
      </c>
      <c r="B1476" t="s">
        <v>3047</v>
      </c>
      <c r="C1476" t="s">
        <v>3066</v>
      </c>
      <c r="D1476" t="s">
        <v>1282</v>
      </c>
      <c r="E1476">
        <v>-24</v>
      </c>
      <c r="F1476">
        <v>10000000</v>
      </c>
      <c r="G1476">
        <v>10000000</v>
      </c>
      <c r="H1476">
        <v>1065521.73</v>
      </c>
      <c r="I1476" t="s">
        <v>2855</v>
      </c>
      <c r="J1476">
        <v>9075.85</v>
      </c>
      <c r="K1476">
        <v>1000000</v>
      </c>
      <c r="L1476">
        <v>66666.67</v>
      </c>
      <c r="M1476">
        <v>1065521.73</v>
      </c>
      <c r="N1476" s="711">
        <v>43033.744951122688</v>
      </c>
      <c r="O1476" s="711">
        <v>43398</v>
      </c>
      <c r="P1476" t="s">
        <v>3067</v>
      </c>
      <c r="Q1476" t="s">
        <v>1280</v>
      </c>
      <c r="R1476" t="s">
        <v>1280</v>
      </c>
      <c r="S1476" t="s">
        <v>1510</v>
      </c>
      <c r="T1476">
        <v>48</v>
      </c>
      <c r="U1476">
        <f>IF(Table__192.168.1.150_M_CONSOLIDATED_Delinquency_Compulsory_EOM[[#This Row],[Days in Arrears]] &lt; 8, Table__192.168.1.150_M_CONSOLIDATED_Delinquency_Compulsory_EOM[[#This Row],[Outstanding Balance]], 0 )</f>
        <v>10000000</v>
      </c>
      <c r="V147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6" s="105" t="str">
        <f>VLOOKUP(Table__192.168.1.150_M_CONSOLIDATED_Delinquency_Compulsory_EOM[[#This Row],[Client No]],'Global Portfolio'!$B$2:$N$2500,10,FALSE)</f>
        <v>Retail</v>
      </c>
      <c r="AA1476" s="105" t="str">
        <f>VLOOKUP(Table__192.168.1.150_M_CONSOLIDATED_Delinquency_Compulsory_EOM[[#This Row],[Client No]],'Global Portfolio'!$B$2:$N$2500,11,FALSE)</f>
        <v>General Merchandise Stores</v>
      </c>
      <c r="AB1476" s="105" t="str">
        <f>VLOOKUP(Table__192.168.1.150_M_CONSOLIDATED_Delinquency_Compulsory_EOM[[#This Row],[Client No]],'Global Portfolio'!$B$2:$N$2500,12,FALSE)</f>
        <v>General Stores</v>
      </c>
    </row>
    <row r="1477" spans="1:28" x14ac:dyDescent="0.25">
      <c r="A1477">
        <v>201426</v>
      </c>
      <c r="B1477" t="s">
        <v>5942</v>
      </c>
      <c r="C1477" t="s">
        <v>5953</v>
      </c>
      <c r="D1477" t="s">
        <v>1279</v>
      </c>
      <c r="E1477">
        <v>-24</v>
      </c>
      <c r="F1477">
        <v>1800000</v>
      </c>
      <c r="G1477">
        <v>1800000</v>
      </c>
      <c r="H1477">
        <v>227481.88</v>
      </c>
      <c r="I1477" t="s">
        <v>2855</v>
      </c>
      <c r="J1477">
        <v>9040</v>
      </c>
      <c r="K1477">
        <v>180000</v>
      </c>
      <c r="L1477">
        <v>13500</v>
      </c>
      <c r="M1477">
        <v>227481.88</v>
      </c>
      <c r="N1477" s="711">
        <v>43033.749620451388</v>
      </c>
      <c r="O1477" s="711">
        <v>43337</v>
      </c>
      <c r="P1477" t="s">
        <v>5954</v>
      </c>
      <c r="Q1477" t="s">
        <v>1280</v>
      </c>
      <c r="R1477" t="s">
        <v>1280</v>
      </c>
      <c r="S1477" t="s">
        <v>1510</v>
      </c>
      <c r="T1477">
        <v>54</v>
      </c>
      <c r="U1477">
        <f>IF(Table__192.168.1.150_M_CONSOLIDATED_Delinquency_Compulsory_EOM[[#This Row],[Days in Arrears]] &lt; 8, Table__192.168.1.150_M_CONSOLIDATED_Delinquency_Compulsory_EOM[[#This Row],[Outstanding Balance]], 0 )</f>
        <v>1800000</v>
      </c>
      <c r="V147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7" s="105" t="str">
        <f>VLOOKUP(Table__192.168.1.150_M_CONSOLIDATED_Delinquency_Compulsory_EOM[[#This Row],[Client No]],'Global Portfolio'!$B$2:$N$2500,10,FALSE)</f>
        <v>Retail</v>
      </c>
      <c r="AA1477" s="105" t="str">
        <f>VLOOKUP(Table__192.168.1.150_M_CONSOLIDATED_Delinquency_Compulsory_EOM[[#This Row],[Client No]],'Global Portfolio'!$B$2:$N$2500,11,FALSE)</f>
        <v>General Merchandise Stores</v>
      </c>
      <c r="AB1477" s="105" t="str">
        <f>VLOOKUP(Table__192.168.1.150_M_CONSOLIDATED_Delinquency_Compulsory_EOM[[#This Row],[Client No]],'Global Portfolio'!$B$2:$N$2500,12,FALSE)</f>
        <v>General Stores</v>
      </c>
    </row>
    <row r="1478" spans="1:28" x14ac:dyDescent="0.25">
      <c r="A1478">
        <v>201427</v>
      </c>
      <c r="B1478" t="s">
        <v>1738</v>
      </c>
      <c r="C1478" t="s">
        <v>2756</v>
      </c>
      <c r="D1478" t="s">
        <v>1286</v>
      </c>
      <c r="E1478">
        <v>-20</v>
      </c>
      <c r="F1478">
        <v>3685000</v>
      </c>
      <c r="G1478">
        <v>3685000</v>
      </c>
      <c r="H1478">
        <v>657923.79</v>
      </c>
      <c r="I1478" t="s">
        <v>284</v>
      </c>
      <c r="J1478">
        <v>20000</v>
      </c>
      <c r="K1478">
        <v>0</v>
      </c>
      <c r="L1478">
        <v>12795.14</v>
      </c>
      <c r="M1478">
        <v>657923.79</v>
      </c>
      <c r="N1478" s="711">
        <v>43033.711786307867</v>
      </c>
      <c r="O1478" s="711">
        <v>43211</v>
      </c>
      <c r="P1478" t="s">
        <v>2757</v>
      </c>
      <c r="Q1478" t="s">
        <v>1280</v>
      </c>
      <c r="R1478" t="s">
        <v>1280</v>
      </c>
      <c r="S1478" t="s">
        <v>1510</v>
      </c>
      <c r="T1478">
        <v>25</v>
      </c>
      <c r="U1478">
        <f>IF(Table__192.168.1.150_M_CONSOLIDATED_Delinquency_Compulsory_EOM[[#This Row],[Days in Arrears]] &lt; 8, Table__192.168.1.150_M_CONSOLIDATED_Delinquency_Compulsory_EOM[[#This Row],[Outstanding Balance]], 0 )</f>
        <v>3685000</v>
      </c>
      <c r="V147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8" s="105" t="str">
        <f>VLOOKUP(Table__192.168.1.150_M_CONSOLIDATED_Delinquency_Compulsory_EOM[[#This Row],[Client No]],'Global Portfolio'!$B$2:$N$2500,10,FALSE)</f>
        <v>Other Services</v>
      </c>
      <c r="AA1478" s="105" t="str">
        <f>VLOOKUP(Table__192.168.1.150_M_CONSOLIDATED_Delinquency_Compulsory_EOM[[#This Row],[Client No]],'Global Portfolio'!$B$2:$N$2500,11,FALSE)</f>
        <v>Personal Services</v>
      </c>
      <c r="AB1478" s="105" t="str">
        <f>VLOOKUP(Table__192.168.1.150_M_CONSOLIDATED_Delinquency_Compulsory_EOM[[#This Row],[Client No]],'Global Portfolio'!$B$2:$N$2500,12,FALSE)</f>
        <v>Others</v>
      </c>
    </row>
    <row r="1479" spans="1:28" x14ac:dyDescent="0.25">
      <c r="A1479">
        <v>201428</v>
      </c>
      <c r="B1479" t="s">
        <v>4549</v>
      </c>
      <c r="C1479" t="s">
        <v>4558</v>
      </c>
      <c r="D1479" t="s">
        <v>1286</v>
      </c>
      <c r="E1479">
        <v>-20</v>
      </c>
      <c r="F1479">
        <v>2000000</v>
      </c>
      <c r="G1479">
        <v>2000000</v>
      </c>
      <c r="H1479">
        <v>423896.84</v>
      </c>
      <c r="I1479" t="s">
        <v>284</v>
      </c>
      <c r="J1479">
        <v>289624.71999999997</v>
      </c>
      <c r="K1479">
        <v>0</v>
      </c>
      <c r="L1479">
        <v>5555.56</v>
      </c>
      <c r="M1479">
        <v>423896.84</v>
      </c>
      <c r="N1479" s="711">
        <v>43034.410622766205</v>
      </c>
      <c r="O1479" s="711">
        <v>43180</v>
      </c>
      <c r="P1479" t="s">
        <v>4559</v>
      </c>
      <c r="Q1479" t="s">
        <v>4560</v>
      </c>
      <c r="R1479" t="s">
        <v>1280</v>
      </c>
      <c r="S1479" t="s">
        <v>1510</v>
      </c>
      <c r="T1479">
        <v>25</v>
      </c>
      <c r="U1479">
        <f>IF(Table__192.168.1.150_M_CONSOLIDATED_Delinquency_Compulsory_EOM[[#This Row],[Days in Arrears]] &lt; 8, Table__192.168.1.150_M_CONSOLIDATED_Delinquency_Compulsory_EOM[[#This Row],[Outstanding Balance]], 0 )</f>
        <v>2000000</v>
      </c>
      <c r="V147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7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7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7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79" s="105" t="str">
        <f>VLOOKUP(Table__192.168.1.150_M_CONSOLIDATED_Delinquency_Compulsory_EOM[[#This Row],[Client No]],'Global Portfolio'!$B$2:$N$2500,10,FALSE)</f>
        <v>Other Services</v>
      </c>
      <c r="AA1479" s="105" t="str">
        <f>VLOOKUP(Table__192.168.1.150_M_CONSOLIDATED_Delinquency_Compulsory_EOM[[#This Row],[Client No]],'Global Portfolio'!$B$2:$N$2500,11,FALSE)</f>
        <v>Personal Services</v>
      </c>
      <c r="AB1479" s="105" t="str">
        <f>VLOOKUP(Table__192.168.1.150_M_CONSOLIDATED_Delinquency_Compulsory_EOM[[#This Row],[Client No]],'Global Portfolio'!$B$2:$N$2500,12,FALSE)</f>
        <v>Others</v>
      </c>
    </row>
    <row r="1480" spans="1:28" x14ac:dyDescent="0.25">
      <c r="A1480">
        <v>201429</v>
      </c>
      <c r="B1480" t="s">
        <v>3330</v>
      </c>
      <c r="C1480" t="s">
        <v>3343</v>
      </c>
      <c r="D1480" t="s">
        <v>1284</v>
      </c>
      <c r="E1480">
        <v>-31</v>
      </c>
      <c r="F1480">
        <v>20000000</v>
      </c>
      <c r="G1480">
        <v>20000000</v>
      </c>
      <c r="H1480">
        <v>1462644.83</v>
      </c>
      <c r="I1480" t="s">
        <v>5167</v>
      </c>
      <c r="J1480">
        <v>9169.4</v>
      </c>
      <c r="K1480">
        <v>1000000</v>
      </c>
      <c r="L1480">
        <v>80000</v>
      </c>
      <c r="M1480">
        <v>1462644.83</v>
      </c>
      <c r="N1480" s="711">
        <v>43034.539215659723</v>
      </c>
      <c r="O1480" s="711">
        <v>43587</v>
      </c>
      <c r="P1480" t="s">
        <v>3344</v>
      </c>
      <c r="Q1480" t="s">
        <v>1280</v>
      </c>
      <c r="R1480" t="s">
        <v>3345</v>
      </c>
      <c r="S1480" t="s">
        <v>1510</v>
      </c>
      <c r="T1480">
        <v>36</v>
      </c>
      <c r="U1480">
        <f>IF(Table__192.168.1.150_M_CONSOLIDATED_Delinquency_Compulsory_EOM[[#This Row],[Days in Arrears]] &lt; 8, Table__192.168.1.150_M_CONSOLIDATED_Delinquency_Compulsory_EOM[[#This Row],[Outstanding Balance]], 0 )</f>
        <v>20000000</v>
      </c>
      <c r="V148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0" s="105" t="str">
        <f>VLOOKUP(Table__192.168.1.150_M_CONSOLIDATED_Delinquency_Compulsory_EOM[[#This Row],[Client No]],'Global Portfolio'!$B$2:$N$2500,10,FALSE)</f>
        <v>Real Estate and Rental</v>
      </c>
      <c r="AA1480" s="105" t="str">
        <f>VLOOKUP(Table__192.168.1.150_M_CONSOLIDATED_Delinquency_Compulsory_EOM[[#This Row],[Client No]],'Global Portfolio'!$B$2:$N$2500,11,FALSE)</f>
        <v>Rental</v>
      </c>
      <c r="AB1480" s="105" t="str">
        <f>VLOOKUP(Table__192.168.1.150_M_CONSOLIDATED_Delinquency_Compulsory_EOM[[#This Row],[Client No]],'Global Portfolio'!$B$2:$N$2500,12,FALSE)</f>
        <v>General Rental Centers</v>
      </c>
    </row>
    <row r="1481" spans="1:28" x14ac:dyDescent="0.25">
      <c r="A1481">
        <v>201430</v>
      </c>
      <c r="B1481" t="s">
        <v>2677</v>
      </c>
      <c r="C1481" t="s">
        <v>2685</v>
      </c>
      <c r="D1481" t="s">
        <v>1284</v>
      </c>
      <c r="E1481">
        <v>-31</v>
      </c>
      <c r="F1481">
        <v>19500000</v>
      </c>
      <c r="G1481">
        <v>19500000</v>
      </c>
      <c r="H1481">
        <v>1426078.71</v>
      </c>
      <c r="I1481" t="s">
        <v>1925</v>
      </c>
      <c r="J1481">
        <v>9077.02</v>
      </c>
      <c r="K1481">
        <v>975000</v>
      </c>
      <c r="L1481">
        <v>78000</v>
      </c>
      <c r="M1481">
        <v>1426078.71</v>
      </c>
      <c r="N1481" s="711">
        <v>43034.727116006943</v>
      </c>
      <c r="O1481" s="711">
        <v>43587</v>
      </c>
      <c r="P1481" t="s">
        <v>2686</v>
      </c>
      <c r="Q1481" t="s">
        <v>2687</v>
      </c>
      <c r="R1481" t="s">
        <v>1280</v>
      </c>
      <c r="S1481" t="s">
        <v>1510</v>
      </c>
      <c r="T1481">
        <v>36</v>
      </c>
      <c r="U1481">
        <f>IF(Table__192.168.1.150_M_CONSOLIDATED_Delinquency_Compulsory_EOM[[#This Row],[Days in Arrears]] &lt; 8, Table__192.168.1.150_M_CONSOLIDATED_Delinquency_Compulsory_EOM[[#This Row],[Outstanding Balance]], 0 )</f>
        <v>19500000</v>
      </c>
      <c r="V148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1" s="105" t="str">
        <f>VLOOKUP(Table__192.168.1.150_M_CONSOLIDATED_Delinquency_Compulsory_EOM[[#This Row],[Client No]],'Global Portfolio'!$B$2:$N$2500,10,FALSE)</f>
        <v>Agriculture, Forestry, Fishing and Hunting</v>
      </c>
      <c r="AA1481" s="105" t="str">
        <f>VLOOKUP(Table__192.168.1.150_M_CONSOLIDATED_Delinquency_Compulsory_EOM[[#This Row],[Client No]],'Global Portfolio'!$B$2:$N$2500,11,FALSE)</f>
        <v>Crop Production</v>
      </c>
      <c r="AB1481" s="105" t="str">
        <f>VLOOKUP(Table__192.168.1.150_M_CONSOLIDATED_Delinquency_Compulsory_EOM[[#This Row],[Client No]],'Global Portfolio'!$B$2:$N$2500,12,FALSE)</f>
        <v>Market Gardening</v>
      </c>
    </row>
    <row r="1482" spans="1:28" x14ac:dyDescent="0.25">
      <c r="A1482">
        <v>201431</v>
      </c>
      <c r="B1482" t="s">
        <v>3218</v>
      </c>
      <c r="C1482" t="s">
        <v>3221</v>
      </c>
      <c r="D1482" t="s">
        <v>1282</v>
      </c>
      <c r="E1482">
        <v>-31</v>
      </c>
      <c r="F1482">
        <v>5000000</v>
      </c>
      <c r="G1482">
        <v>5000000</v>
      </c>
      <c r="H1482">
        <v>534081.29</v>
      </c>
      <c r="I1482" t="s">
        <v>2557</v>
      </c>
      <c r="J1482">
        <v>4098509.16</v>
      </c>
      <c r="K1482">
        <v>500000</v>
      </c>
      <c r="M1482">
        <v>534081.29</v>
      </c>
      <c r="N1482" s="711">
        <v>43039.472468287036</v>
      </c>
      <c r="O1482" s="711">
        <v>43405</v>
      </c>
      <c r="P1482" t="s">
        <v>3222</v>
      </c>
      <c r="Q1482" t="s">
        <v>1280</v>
      </c>
      <c r="R1482" t="s">
        <v>1280</v>
      </c>
      <c r="S1482" t="s">
        <v>1510</v>
      </c>
      <c r="T1482">
        <v>48</v>
      </c>
      <c r="U1482">
        <f>IF(Table__192.168.1.150_M_CONSOLIDATED_Delinquency_Compulsory_EOM[[#This Row],[Days in Arrears]] &lt; 8, Table__192.168.1.150_M_CONSOLIDATED_Delinquency_Compulsory_EOM[[#This Row],[Outstanding Balance]], 0 )</f>
        <v>5000000</v>
      </c>
      <c r="V148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2" s="105" t="str">
        <f>VLOOKUP(Table__192.168.1.150_M_CONSOLIDATED_Delinquency_Compulsory_EOM[[#This Row],[Client No]],'Global Portfolio'!$B$2:$N$2500,10,FALSE)</f>
        <v>Retail</v>
      </c>
      <c r="AA1482" s="105" t="str">
        <f>VLOOKUP(Table__192.168.1.150_M_CONSOLIDATED_Delinquency_Compulsory_EOM[[#This Row],[Client No]],'Global Portfolio'!$B$2:$N$2500,11,FALSE)</f>
        <v>General Merchandise Stores</v>
      </c>
      <c r="AB1482" s="105" t="str">
        <f>VLOOKUP(Table__192.168.1.150_M_CONSOLIDATED_Delinquency_Compulsory_EOM[[#This Row],[Client No]],'Global Portfolio'!$B$2:$N$2500,12,FALSE)</f>
        <v>General Stores</v>
      </c>
    </row>
    <row r="1483" spans="1:28" x14ac:dyDescent="0.25">
      <c r="A1483">
        <v>201432</v>
      </c>
      <c r="B1483" t="s">
        <v>2248</v>
      </c>
      <c r="C1483" t="s">
        <v>2249</v>
      </c>
      <c r="D1483" t="s">
        <v>1284</v>
      </c>
      <c r="E1483">
        <v>-31</v>
      </c>
      <c r="F1483">
        <v>28000000</v>
      </c>
      <c r="G1483">
        <v>28000000</v>
      </c>
      <c r="H1483">
        <v>2826593.43</v>
      </c>
      <c r="I1483" t="s">
        <v>2175</v>
      </c>
      <c r="J1483">
        <v>19791.009999999998</v>
      </c>
      <c r="K1483">
        <v>1400000</v>
      </c>
      <c r="L1483">
        <v>84000</v>
      </c>
      <c r="M1483">
        <v>2826593.43</v>
      </c>
      <c r="N1483" s="711">
        <v>43035.58486909722</v>
      </c>
      <c r="O1483" s="711">
        <v>43406</v>
      </c>
      <c r="P1483" t="s">
        <v>2250</v>
      </c>
      <c r="Q1483" t="s">
        <v>1280</v>
      </c>
      <c r="R1483" t="s">
        <v>2251</v>
      </c>
      <c r="S1483" t="s">
        <v>1510</v>
      </c>
      <c r="T1483">
        <v>36</v>
      </c>
      <c r="U1483">
        <f>IF(Table__192.168.1.150_M_CONSOLIDATED_Delinquency_Compulsory_EOM[[#This Row],[Days in Arrears]] &lt; 8, Table__192.168.1.150_M_CONSOLIDATED_Delinquency_Compulsory_EOM[[#This Row],[Outstanding Balance]], 0 )</f>
        <v>28000000</v>
      </c>
      <c r="V1483"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3"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3"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3"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3" s="105" t="str">
        <f>VLOOKUP(Table__192.168.1.150_M_CONSOLIDATED_Delinquency_Compulsory_EOM[[#This Row],[Client No]],'Global Portfolio'!$B$2:$N$2500,10,FALSE)</f>
        <v>Restaurants and Hotels</v>
      </c>
      <c r="AA1483" s="105" t="str">
        <f>VLOOKUP(Table__192.168.1.150_M_CONSOLIDATED_Delinquency_Compulsory_EOM[[#This Row],[Client No]],'Global Portfolio'!$B$2:$N$2500,11,FALSE)</f>
        <v>Restaurant</v>
      </c>
      <c r="AB1483" s="105" t="str">
        <f>VLOOKUP(Table__192.168.1.150_M_CONSOLIDATED_Delinquency_Compulsory_EOM[[#This Row],[Client No]],'Global Portfolio'!$B$2:$N$2500,12,FALSE)</f>
        <v>Food  service contractors &amp; caterers</v>
      </c>
    </row>
    <row r="1484" spans="1:28" x14ac:dyDescent="0.25">
      <c r="A1484">
        <v>201433</v>
      </c>
      <c r="B1484" t="s">
        <v>4567</v>
      </c>
      <c r="C1484" t="s">
        <v>1192</v>
      </c>
      <c r="D1484" t="s">
        <v>1286</v>
      </c>
      <c r="E1484">
        <v>-20</v>
      </c>
      <c r="F1484">
        <v>2000000</v>
      </c>
      <c r="G1484">
        <v>2000000</v>
      </c>
      <c r="H1484">
        <v>356594.96</v>
      </c>
      <c r="I1484" t="s">
        <v>284</v>
      </c>
      <c r="J1484">
        <v>0</v>
      </c>
      <c r="K1484">
        <v>0</v>
      </c>
      <c r="L1484">
        <v>4166.67</v>
      </c>
      <c r="M1484">
        <v>356594.96</v>
      </c>
      <c r="N1484" s="711">
        <v>43035.450085069446</v>
      </c>
      <c r="O1484" s="711">
        <v>43211</v>
      </c>
      <c r="P1484" t="s">
        <v>4573</v>
      </c>
      <c r="Q1484" t="s">
        <v>1280</v>
      </c>
      <c r="R1484" t="s">
        <v>1280</v>
      </c>
      <c r="S1484" t="s">
        <v>1510</v>
      </c>
      <c r="T1484">
        <v>25</v>
      </c>
      <c r="U1484">
        <f>IF(Table__192.168.1.150_M_CONSOLIDATED_Delinquency_Compulsory_EOM[[#This Row],[Days in Arrears]] &lt; 8, Table__192.168.1.150_M_CONSOLIDATED_Delinquency_Compulsory_EOM[[#This Row],[Outstanding Balance]], 0 )</f>
        <v>2000000</v>
      </c>
      <c r="V1484"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4"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4"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4"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4" s="105" t="str">
        <f>VLOOKUP(Table__192.168.1.150_M_CONSOLIDATED_Delinquency_Compulsory_EOM[[#This Row],[Client No]],'Global Portfolio'!$B$2:$N$2500,10,FALSE)</f>
        <v>Finance and Insurance</v>
      </c>
      <c r="AA1484" s="105" t="str">
        <f>VLOOKUP(Table__192.168.1.150_M_CONSOLIDATED_Delinquency_Compulsory_EOM[[#This Row],[Client No]],'Global Portfolio'!$B$2:$N$2500,11,FALSE)</f>
        <v>Finance</v>
      </c>
      <c r="AB1484" s="105" t="str">
        <f>VLOOKUP(Table__192.168.1.150_M_CONSOLIDATED_Delinquency_Compulsory_EOM[[#This Row],[Client No]],'Global Portfolio'!$B$2:$N$2500,12,FALSE)</f>
        <v>Microfinance Institutions</v>
      </c>
    </row>
    <row r="1485" spans="1:28" x14ac:dyDescent="0.25">
      <c r="A1485">
        <v>201434</v>
      </c>
      <c r="B1485" t="s">
        <v>4373</v>
      </c>
      <c r="C1485" t="s">
        <v>4380</v>
      </c>
      <c r="D1485" t="s">
        <v>1282</v>
      </c>
      <c r="E1485">
        <v>-31</v>
      </c>
      <c r="F1485">
        <v>10000000</v>
      </c>
      <c r="G1485">
        <v>10000000</v>
      </c>
      <c r="H1485">
        <v>1070985.94</v>
      </c>
      <c r="I1485" t="s">
        <v>1909</v>
      </c>
      <c r="J1485">
        <v>9402.2000000000007</v>
      </c>
      <c r="K1485">
        <v>1000000</v>
      </c>
      <c r="L1485">
        <v>26666.67</v>
      </c>
      <c r="M1485">
        <v>1070985.94</v>
      </c>
      <c r="N1485" s="711">
        <v>43036.471182754627</v>
      </c>
      <c r="O1485" s="711">
        <v>43406</v>
      </c>
      <c r="P1485" t="s">
        <v>4381</v>
      </c>
      <c r="Q1485" t="s">
        <v>1280</v>
      </c>
      <c r="R1485" t="s">
        <v>4382</v>
      </c>
      <c r="S1485" t="s">
        <v>1510</v>
      </c>
      <c r="T1485">
        <v>48</v>
      </c>
      <c r="U1485">
        <f>IF(Table__192.168.1.150_M_CONSOLIDATED_Delinquency_Compulsory_EOM[[#This Row],[Days in Arrears]] &lt; 8, Table__192.168.1.150_M_CONSOLIDATED_Delinquency_Compulsory_EOM[[#This Row],[Outstanding Balance]], 0 )</f>
        <v>10000000</v>
      </c>
      <c r="V1485"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5"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5"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5"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5" s="105" t="str">
        <f>VLOOKUP(Table__192.168.1.150_M_CONSOLIDATED_Delinquency_Compulsory_EOM[[#This Row],[Client No]],'Global Portfolio'!$B$2:$N$2500,10,FALSE)</f>
        <v>Finance and Insurance</v>
      </c>
      <c r="AA1485" s="105" t="str">
        <f>VLOOKUP(Table__192.168.1.150_M_CONSOLIDATED_Delinquency_Compulsory_EOM[[#This Row],[Client No]],'Global Portfolio'!$B$2:$N$2500,11,FALSE)</f>
        <v>Finance</v>
      </c>
      <c r="AB1485" s="105" t="str">
        <f>VLOOKUP(Table__192.168.1.150_M_CONSOLIDATED_Delinquency_Compulsory_EOM[[#This Row],[Client No]],'Global Portfolio'!$B$2:$N$2500,12,FALSE)</f>
        <v>Others</v>
      </c>
    </row>
    <row r="1486" spans="1:28" x14ac:dyDescent="0.25">
      <c r="A1486">
        <v>201435</v>
      </c>
      <c r="B1486" t="s">
        <v>5965</v>
      </c>
      <c r="C1486" t="s">
        <v>5966</v>
      </c>
      <c r="D1486" t="s">
        <v>1282</v>
      </c>
      <c r="E1486">
        <v>-31</v>
      </c>
      <c r="F1486">
        <v>10000000</v>
      </c>
      <c r="G1486">
        <v>10000000</v>
      </c>
      <c r="H1486">
        <v>1102958.51</v>
      </c>
      <c r="I1486" t="s">
        <v>2557</v>
      </c>
      <c r="J1486">
        <v>0</v>
      </c>
      <c r="K1486">
        <v>1000000</v>
      </c>
      <c r="L1486">
        <v>30000</v>
      </c>
      <c r="M1486">
        <v>1102958.51</v>
      </c>
      <c r="N1486" s="711">
        <v>43036.508972685187</v>
      </c>
      <c r="O1486" s="711">
        <v>43406</v>
      </c>
      <c r="P1486" t="s">
        <v>5967</v>
      </c>
      <c r="Q1486" t="s">
        <v>1280</v>
      </c>
      <c r="R1486" t="s">
        <v>1280</v>
      </c>
      <c r="S1486" t="s">
        <v>1510</v>
      </c>
      <c r="T1486">
        <v>54</v>
      </c>
      <c r="U1486">
        <f>IF(Table__192.168.1.150_M_CONSOLIDATED_Delinquency_Compulsory_EOM[[#This Row],[Days in Arrears]] &lt; 8, Table__192.168.1.150_M_CONSOLIDATED_Delinquency_Compulsory_EOM[[#This Row],[Outstanding Balance]], 0 )</f>
        <v>10000000</v>
      </c>
      <c r="V1486"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6"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6"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6"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6" s="105" t="str">
        <f>VLOOKUP(Table__192.168.1.150_M_CONSOLIDATED_Delinquency_Compulsory_EOM[[#This Row],[Client No]],'Global Portfolio'!$B$2:$N$2500,10,FALSE)</f>
        <v>Retail</v>
      </c>
      <c r="AA1486" s="105" t="str">
        <f>VLOOKUP(Table__192.168.1.150_M_CONSOLIDATED_Delinquency_Compulsory_EOM[[#This Row],[Client No]],'Global Portfolio'!$B$2:$N$2500,11,FALSE)</f>
        <v>General Merchandise Stores</v>
      </c>
      <c r="AB1486" s="105" t="str">
        <f>VLOOKUP(Table__192.168.1.150_M_CONSOLIDATED_Delinquency_Compulsory_EOM[[#This Row],[Client No]],'Global Portfolio'!$B$2:$N$2500,12,FALSE)</f>
        <v>General Stores</v>
      </c>
    </row>
    <row r="1487" spans="1:28" x14ac:dyDescent="0.25">
      <c r="A1487">
        <v>201436</v>
      </c>
      <c r="B1487" t="s">
        <v>3114</v>
      </c>
      <c r="C1487" t="s">
        <v>3115</v>
      </c>
      <c r="D1487" t="s">
        <v>1281</v>
      </c>
      <c r="E1487">
        <v>-31</v>
      </c>
      <c r="F1487">
        <v>22000000</v>
      </c>
      <c r="G1487">
        <v>22000000</v>
      </c>
      <c r="H1487">
        <v>2286911.96</v>
      </c>
      <c r="I1487" t="s">
        <v>2034</v>
      </c>
      <c r="J1487">
        <v>9050.5499999999993</v>
      </c>
      <c r="K1487">
        <v>1000000</v>
      </c>
      <c r="L1487">
        <v>51333.33</v>
      </c>
      <c r="M1487">
        <v>2286911.96</v>
      </c>
      <c r="N1487" s="711">
        <v>43036.492605555555</v>
      </c>
      <c r="O1487" s="711">
        <v>43406</v>
      </c>
      <c r="P1487" t="s">
        <v>3116</v>
      </c>
      <c r="Q1487" t="s">
        <v>1280</v>
      </c>
      <c r="R1487" t="s">
        <v>1280</v>
      </c>
      <c r="S1487" t="s">
        <v>1510</v>
      </c>
      <c r="T1487">
        <v>42</v>
      </c>
      <c r="U1487">
        <f>IF(Table__192.168.1.150_M_CONSOLIDATED_Delinquency_Compulsory_EOM[[#This Row],[Days in Arrears]] &lt; 8, Table__192.168.1.150_M_CONSOLIDATED_Delinquency_Compulsory_EOM[[#This Row],[Outstanding Balance]], 0 )</f>
        <v>22000000</v>
      </c>
      <c r="V1487"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7"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7"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7"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7" s="105" t="str">
        <f>VLOOKUP(Table__192.168.1.150_M_CONSOLIDATED_Delinquency_Compulsory_EOM[[#This Row],[Client No]],'Global Portfolio'!$B$2:$N$2500,10,FALSE)</f>
        <v>Retail</v>
      </c>
      <c r="AA1487" s="105" t="str">
        <f>VLOOKUP(Table__192.168.1.150_M_CONSOLIDATED_Delinquency_Compulsory_EOM[[#This Row],[Client No]],'Global Portfolio'!$B$2:$N$2500,11,FALSE)</f>
        <v>General Merchandise Stores</v>
      </c>
      <c r="AB1487" s="105" t="str">
        <f>VLOOKUP(Table__192.168.1.150_M_CONSOLIDATED_Delinquency_Compulsory_EOM[[#This Row],[Client No]],'Global Portfolio'!$B$2:$N$2500,12,FALSE)</f>
        <v>General Stores</v>
      </c>
    </row>
    <row r="1488" spans="1:28" x14ac:dyDescent="0.25">
      <c r="A1488">
        <v>201437</v>
      </c>
      <c r="B1488" t="s">
        <v>4546</v>
      </c>
      <c r="C1488" t="s">
        <v>4552</v>
      </c>
      <c r="D1488" t="s">
        <v>1281</v>
      </c>
      <c r="E1488">
        <v>-31</v>
      </c>
      <c r="F1488">
        <v>17000000</v>
      </c>
      <c r="G1488">
        <v>17000000</v>
      </c>
      <c r="H1488">
        <v>1763193.19</v>
      </c>
      <c r="I1488" t="s">
        <v>3074</v>
      </c>
      <c r="J1488">
        <v>1222854.55</v>
      </c>
      <c r="K1488">
        <v>1275000</v>
      </c>
      <c r="M1488">
        <v>1763193.19</v>
      </c>
      <c r="N1488" s="711">
        <v>43039.73473827546</v>
      </c>
      <c r="O1488" s="711">
        <v>43406</v>
      </c>
      <c r="P1488" t="s">
        <v>4553</v>
      </c>
      <c r="Q1488" t="s">
        <v>1280</v>
      </c>
      <c r="R1488" t="s">
        <v>4554</v>
      </c>
      <c r="S1488" t="s">
        <v>1510</v>
      </c>
      <c r="T1488">
        <v>42</v>
      </c>
      <c r="U1488">
        <f>IF(Table__192.168.1.150_M_CONSOLIDATED_Delinquency_Compulsory_EOM[[#This Row],[Days in Arrears]] &lt; 8, Table__192.168.1.150_M_CONSOLIDATED_Delinquency_Compulsory_EOM[[#This Row],[Outstanding Balance]], 0 )</f>
        <v>17000000</v>
      </c>
      <c r="V1488"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8"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8"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8"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8" s="105" t="str">
        <f>VLOOKUP(Table__192.168.1.150_M_CONSOLIDATED_Delinquency_Compulsory_EOM[[#This Row],[Client No]],'Global Portfolio'!$B$2:$N$2500,10,FALSE)</f>
        <v>Agriculture, Forestry, Fishing and Hunting</v>
      </c>
      <c r="AA1488" s="105" t="str">
        <f>VLOOKUP(Table__192.168.1.150_M_CONSOLIDATED_Delinquency_Compulsory_EOM[[#This Row],[Client No]],'Global Portfolio'!$B$2:$N$2500,11,FALSE)</f>
        <v>Forestry</v>
      </c>
      <c r="AB1488" s="105" t="str">
        <f>VLOOKUP(Table__192.168.1.150_M_CONSOLIDATED_Delinquency_Compulsory_EOM[[#This Row],[Client No]],'Global Portfolio'!$B$2:$N$2500,12,FALSE)</f>
        <v>Timber Tract Operations</v>
      </c>
    </row>
    <row r="1489" spans="1:28" x14ac:dyDescent="0.25">
      <c r="A1489">
        <v>201438</v>
      </c>
      <c r="B1489" t="s">
        <v>5973</v>
      </c>
      <c r="C1489" t="s">
        <v>5983</v>
      </c>
      <c r="D1489" t="s">
        <v>1281</v>
      </c>
      <c r="E1489">
        <v>-31</v>
      </c>
      <c r="F1489">
        <v>17000000</v>
      </c>
      <c r="G1489">
        <v>17000000</v>
      </c>
      <c r="H1489">
        <v>1816031.52</v>
      </c>
      <c r="I1489" t="s">
        <v>1447</v>
      </c>
      <c r="J1489">
        <v>458160</v>
      </c>
      <c r="K1489">
        <v>1275000</v>
      </c>
      <c r="M1489">
        <v>1816031.52</v>
      </c>
      <c r="N1489" s="711">
        <v>43039.714177233793</v>
      </c>
      <c r="O1489" s="711">
        <v>43406</v>
      </c>
      <c r="P1489" t="s">
        <v>5984</v>
      </c>
      <c r="Q1489" t="s">
        <v>5985</v>
      </c>
      <c r="R1489" t="s">
        <v>1280</v>
      </c>
      <c r="S1489" t="s">
        <v>1510</v>
      </c>
      <c r="T1489">
        <v>48</v>
      </c>
      <c r="U1489">
        <f>IF(Table__192.168.1.150_M_CONSOLIDATED_Delinquency_Compulsory_EOM[[#This Row],[Days in Arrears]] &lt; 8, Table__192.168.1.150_M_CONSOLIDATED_Delinquency_Compulsory_EOM[[#This Row],[Outstanding Balance]], 0 )</f>
        <v>17000000</v>
      </c>
      <c r="V1489"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89"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89"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89"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89" s="105" t="str">
        <f>VLOOKUP(Table__192.168.1.150_M_CONSOLIDATED_Delinquency_Compulsory_EOM[[#This Row],[Client No]],'Global Portfolio'!$B$2:$N$2500,10,FALSE)</f>
        <v>Transportation and Warehousing</v>
      </c>
      <c r="AA1489" s="105" t="str">
        <f>VLOOKUP(Table__192.168.1.150_M_CONSOLIDATED_Delinquency_Compulsory_EOM[[#This Row],[Client No]],'Global Portfolio'!$B$2:$N$2500,11,FALSE)</f>
        <v xml:space="preserve"> Passenger Transportation</v>
      </c>
      <c r="AB1489" s="105" t="str">
        <f>VLOOKUP(Table__192.168.1.150_M_CONSOLIDATED_Delinquency_Compulsory_EOM[[#This Row],[Client No]],'Global Portfolio'!$B$2:$N$2500,12,FALSE)</f>
        <v>Taxi service</v>
      </c>
    </row>
    <row r="1490" spans="1:28" x14ac:dyDescent="0.25">
      <c r="A1490">
        <v>201439</v>
      </c>
      <c r="B1490" t="s">
        <v>5969</v>
      </c>
      <c r="C1490" t="s">
        <v>5986</v>
      </c>
      <c r="D1490" t="s">
        <v>1281</v>
      </c>
      <c r="E1490">
        <v>-31</v>
      </c>
      <c r="F1490">
        <v>20000000</v>
      </c>
      <c r="G1490">
        <v>20000000</v>
      </c>
      <c r="H1490">
        <v>1583917.5</v>
      </c>
      <c r="I1490" t="s">
        <v>1909</v>
      </c>
      <c r="J1490">
        <v>113528</v>
      </c>
      <c r="K1490">
        <v>1500000</v>
      </c>
      <c r="M1490">
        <v>1583917.5</v>
      </c>
      <c r="N1490" s="711">
        <v>43039.705528240738</v>
      </c>
      <c r="O1490" s="711">
        <v>43587</v>
      </c>
      <c r="P1490" t="s">
        <v>5987</v>
      </c>
      <c r="Q1490" t="s">
        <v>1280</v>
      </c>
      <c r="R1490" t="s">
        <v>5988</v>
      </c>
      <c r="S1490" t="s">
        <v>1510</v>
      </c>
      <c r="T1490">
        <v>48</v>
      </c>
      <c r="U1490">
        <f>IF(Table__192.168.1.150_M_CONSOLIDATED_Delinquency_Compulsory_EOM[[#This Row],[Days in Arrears]] &lt; 8, Table__192.168.1.150_M_CONSOLIDATED_Delinquency_Compulsory_EOM[[#This Row],[Outstanding Balance]], 0 )</f>
        <v>20000000</v>
      </c>
      <c r="V1490"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90"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90"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90"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90" s="105" t="str">
        <f>VLOOKUP(Table__192.168.1.150_M_CONSOLIDATED_Delinquency_Compulsory_EOM[[#This Row],[Client No]],'Global Portfolio'!$B$2:$N$2500,10,FALSE)</f>
        <v>Retail</v>
      </c>
      <c r="AA1490" s="105" t="str">
        <f>VLOOKUP(Table__192.168.1.150_M_CONSOLIDATED_Delinquency_Compulsory_EOM[[#This Row],[Client No]],'Global Portfolio'!$B$2:$N$2500,11,FALSE)</f>
        <v>General Merchandise Stores</v>
      </c>
      <c r="AB1490" s="105" t="str">
        <f>VLOOKUP(Table__192.168.1.150_M_CONSOLIDATED_Delinquency_Compulsory_EOM[[#This Row],[Client No]],'Global Portfolio'!$B$2:$N$2500,12,FALSE)</f>
        <v>General Stores</v>
      </c>
    </row>
    <row r="1491" spans="1:28" x14ac:dyDescent="0.25">
      <c r="A1491">
        <v>201440</v>
      </c>
      <c r="B1491" t="s">
        <v>5971</v>
      </c>
      <c r="C1491" t="s">
        <v>5989</v>
      </c>
      <c r="D1491" t="s">
        <v>1282</v>
      </c>
      <c r="E1491">
        <v>-31</v>
      </c>
      <c r="F1491">
        <v>2500000</v>
      </c>
      <c r="G1491">
        <v>2500000</v>
      </c>
      <c r="H1491">
        <v>380112.24</v>
      </c>
      <c r="I1491" t="s">
        <v>4683</v>
      </c>
      <c r="J1491">
        <v>9000</v>
      </c>
      <c r="K1491">
        <v>250000</v>
      </c>
      <c r="M1491">
        <v>380112.24</v>
      </c>
      <c r="N1491" s="711">
        <v>43039.751634490742</v>
      </c>
      <c r="O1491" s="711">
        <v>43283</v>
      </c>
      <c r="P1491" t="s">
        <v>5990</v>
      </c>
      <c r="Q1491" t="s">
        <v>1280</v>
      </c>
      <c r="R1491" t="s">
        <v>1280</v>
      </c>
      <c r="S1491" t="s">
        <v>1510</v>
      </c>
      <c r="T1491">
        <v>54</v>
      </c>
      <c r="U1491">
        <f>IF(Table__192.168.1.150_M_CONSOLIDATED_Delinquency_Compulsory_EOM[[#This Row],[Days in Arrears]] &lt; 8, Table__192.168.1.150_M_CONSOLIDATED_Delinquency_Compulsory_EOM[[#This Row],[Outstanding Balance]], 0 )</f>
        <v>2500000</v>
      </c>
      <c r="V1491"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91"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91"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91"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91" s="105" t="str">
        <f>VLOOKUP(Table__192.168.1.150_M_CONSOLIDATED_Delinquency_Compulsory_EOM[[#This Row],[Client No]],'Global Portfolio'!$B$2:$N$2500,10,FALSE)</f>
        <v>Retail</v>
      </c>
      <c r="AA1491" s="105" t="str">
        <f>VLOOKUP(Table__192.168.1.150_M_CONSOLIDATED_Delinquency_Compulsory_EOM[[#This Row],[Client No]],'Global Portfolio'!$B$2:$N$2500,11,FALSE)</f>
        <v>General Merchandise Stores</v>
      </c>
      <c r="AB1491" s="105" t="str">
        <f>VLOOKUP(Table__192.168.1.150_M_CONSOLIDATED_Delinquency_Compulsory_EOM[[#This Row],[Client No]],'Global Portfolio'!$B$2:$N$2500,12,FALSE)</f>
        <v>General Stores</v>
      </c>
    </row>
    <row r="1492" spans="1:28" x14ac:dyDescent="0.25">
      <c r="A1492">
        <v>201441</v>
      </c>
      <c r="B1492" t="s">
        <v>5970</v>
      </c>
      <c r="C1492" t="s">
        <v>5991</v>
      </c>
      <c r="D1492" t="s">
        <v>1281</v>
      </c>
      <c r="E1492">
        <v>-31</v>
      </c>
      <c r="F1492">
        <v>28000000</v>
      </c>
      <c r="G1492">
        <v>28000000</v>
      </c>
      <c r="H1492">
        <v>5355029</v>
      </c>
      <c r="I1492" t="s">
        <v>5382</v>
      </c>
      <c r="J1492">
        <v>1361509</v>
      </c>
      <c r="K1492">
        <v>2100000</v>
      </c>
      <c r="M1492">
        <v>5355029</v>
      </c>
      <c r="N1492" s="711">
        <v>43039.797131331019</v>
      </c>
      <c r="O1492" s="711">
        <v>43222</v>
      </c>
      <c r="P1492" t="s">
        <v>5992</v>
      </c>
      <c r="Q1492" t="s">
        <v>1280</v>
      </c>
      <c r="R1492" t="s">
        <v>1280</v>
      </c>
      <c r="S1492" t="s">
        <v>1510</v>
      </c>
      <c r="T1492">
        <v>48</v>
      </c>
      <c r="U1492">
        <f>IF(Table__192.168.1.150_M_CONSOLIDATED_Delinquency_Compulsory_EOM[[#This Row],[Days in Arrears]] &lt; 8, Table__192.168.1.150_M_CONSOLIDATED_Delinquency_Compulsory_EOM[[#This Row],[Outstanding Balance]], 0 )</f>
        <v>28000000</v>
      </c>
      <c r="V1492" s="105">
        <f>IF(AND(Table__192.168.1.150_M_CONSOLIDATED_Delinquency_Compulsory_EOM[[#This Row],[Days in Arrears]] &gt;= 8, Table__192.168.1.150_M_CONSOLIDATED_Delinquency_Compulsory_EOM[[#This Row],[Days in Arrears]] &lt; 30), Table__192.168.1.150_M_CONSOLIDATED_Delinquency_Compulsory_EOM[[#This Row],[Outstanding Balance]] - Table__192.168.1.150_M_CONSOLIDATED_Delinquency_Compulsory_EOM[[#This Row],[Per Day 0 - 7]], 0 )</f>
        <v>0</v>
      </c>
      <c r="W1492" s="105">
        <f>IF(AND(Table__192.168.1.150_M_CONSOLIDATED_Delinquency_Compulsory_EOM[[#This Row],[Days in Arrears]]&gt;=30,Table__192.168.1.150_M_CONSOLIDATED_Delinquency_Compulsory_EOM[[#This Row],[Days in Arrears]]&lt;60),Table__192.168.1.150_M_CONSOLIDATED_Delinquency_Compulsory_EOM[[#This Row],[Outstanding Balance]]-Table__192.168.1.150_M_CONSOLIDATED_Delinquency_Compulsory_EOM[[#This Row],[8 to 29]]-Table__192.168.1.150_M_CONSOLIDATED_Delinquency_Compulsory_EOM[[#This Row],[Per Day 0 - 7]], 0 )</f>
        <v>0</v>
      </c>
      <c r="X1492" s="105">
        <f>IF(AND(Table__192.168.1.150_M_CONSOLIDATED_Delinquency_Compulsory_EOM[[#This Row],[Days in Arrears]]&gt;=60,Table__192.168.1.150_M_CONSOLIDATED_Delinquency_Compulsory_EOM[[#This Row],[Days in Arrears]]&lt;90),Table__192.168.1.150_M_CONSOLIDATED_Delinquency_Compulsory_EOM[[#This Row],[Outstanding Balance]]-Table__192.168.1.150_M_CONSOLIDATED_Delinquency_Compulsory_EOM[[#This Row],[30 to 59]]-Table__192.168.1.150_M_CONSOLIDATED_Delinquency_Compulsory_EOM[[#This Row],[8 to 29]]-Table__192.168.1.150_M_CONSOLIDATED_Delinquency_Compulsory_EOM[[#This Row],[Per Day 0 - 7]], 0)</f>
        <v>0</v>
      </c>
      <c r="Y1492" s="105">
        <f>IF(Table__192.168.1.150_M_CONSOLIDATED_Delinquency_Compulsory_EOM[[#This Row],[Days in Arrears]] &gt;= 90, Table__192.168.1.150_M_CONSOLIDATED_Delinquency_Compulsory_EOM[[#This Row],[Outstanding Balance]] - Table__192.168.1.150_M_CONSOLIDATED_Delinquency_Compulsory_EOM[[#This Row],[60 to 89]] - Table__192.168.1.150_M_CONSOLIDATED_Delinquency_Compulsory_EOM[[#This Row],[30 to 59]] - Table__192.168.1.150_M_CONSOLIDATED_Delinquency_Compulsory_EOM[[#This Row],[8 to 29]] -Table__192.168.1.150_M_CONSOLIDATED_Delinquency_Compulsory_EOM[[#This Row],[Per Day 0 - 7]], 0)</f>
        <v>0</v>
      </c>
      <c r="Z1492" s="105" t="str">
        <f>VLOOKUP(Table__192.168.1.150_M_CONSOLIDATED_Delinquency_Compulsory_EOM[[#This Row],[Client No]],'Global Portfolio'!$B$2:$N$2500,10,FALSE)</f>
        <v>Retail</v>
      </c>
      <c r="AA1492" s="105" t="str">
        <f>VLOOKUP(Table__192.168.1.150_M_CONSOLIDATED_Delinquency_Compulsory_EOM[[#This Row],[Client No]],'Global Portfolio'!$B$2:$N$2500,11,FALSE)</f>
        <v>General Merchandise Stores</v>
      </c>
      <c r="AB1492" s="105" t="str">
        <f>VLOOKUP(Table__192.168.1.150_M_CONSOLIDATED_Delinquency_Compulsory_EOM[[#This Row],[Client No]],'Global Portfolio'!$B$2:$N$2500,12,FALSE)</f>
        <v>General Stores</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Z1492"/>
  <sheetViews>
    <sheetView topLeftCell="F1" workbookViewId="0">
      <selection sqref="A1:U1211"/>
    </sheetView>
  </sheetViews>
  <sheetFormatPr defaultRowHeight="13.2" x14ac:dyDescent="0.25"/>
  <cols>
    <col min="1" max="1" width="16.44140625" bestFit="1" customWidth="1"/>
    <col min="2" max="2" width="16.33203125" bestFit="1" customWidth="1"/>
    <col min="3" max="3" width="68.5546875" customWidth="1"/>
    <col min="4" max="4" width="35.6640625" bestFit="1" customWidth="1"/>
    <col min="5" max="5" width="17.109375" bestFit="1" customWidth="1"/>
    <col min="6" max="6" width="23.6640625" style="105" bestFit="1" customWidth="1"/>
    <col min="7" max="7" width="19.44140625" bestFit="1" customWidth="1"/>
    <col min="8" max="8" width="11" bestFit="1" customWidth="1"/>
    <col min="9" max="9" width="14.88671875" bestFit="1" customWidth="1"/>
    <col min="10" max="10" width="19.109375" bestFit="1" customWidth="1"/>
    <col min="11" max="11" width="17.33203125" bestFit="1" customWidth="1"/>
    <col min="12" max="14" width="13.6640625" bestFit="1" customWidth="1"/>
    <col min="15" max="15" width="36.33203125" bestFit="1" customWidth="1"/>
    <col min="16" max="16" width="35.88671875" customWidth="1"/>
    <col min="17" max="17" width="45.109375" customWidth="1"/>
    <col min="18" max="18" width="14" bestFit="1" customWidth="1"/>
    <col min="19" max="19" width="23.44140625" bestFit="1" customWidth="1"/>
    <col min="20" max="20" width="28.6640625" bestFit="1" customWidth="1"/>
    <col min="21" max="21" width="31.33203125" bestFit="1" customWidth="1"/>
    <col min="22" max="22" width="23.44140625" bestFit="1" customWidth="1"/>
    <col min="23" max="23" width="40.88671875" bestFit="1" customWidth="1"/>
    <col min="25" max="25" width="23" bestFit="1" customWidth="1"/>
    <col min="26" max="26" width="23" style="392" bestFit="1" customWidth="1"/>
    <col min="27" max="27" width="14.88671875" bestFit="1" customWidth="1"/>
    <col min="28" max="28" width="19.109375" bestFit="1" customWidth="1"/>
    <col min="29" max="29" width="17.33203125" bestFit="1" customWidth="1"/>
    <col min="30" max="33" width="13.6640625" bestFit="1" customWidth="1"/>
    <col min="34" max="34" width="17.33203125" bestFit="1" customWidth="1"/>
  </cols>
  <sheetData>
    <row r="1" spans="1:26" x14ac:dyDescent="0.25">
      <c r="A1" t="s">
        <v>11</v>
      </c>
      <c r="B1" t="s">
        <v>12</v>
      </c>
      <c r="C1" t="s">
        <v>51</v>
      </c>
      <c r="D1" t="s">
        <v>52</v>
      </c>
      <c r="E1" t="s">
        <v>54</v>
      </c>
      <c r="F1" s="105" t="s">
        <v>55</v>
      </c>
      <c r="G1" t="s">
        <v>56</v>
      </c>
      <c r="H1" t="s">
        <v>57</v>
      </c>
      <c r="I1" t="s">
        <v>53</v>
      </c>
      <c r="J1" t="s">
        <v>58</v>
      </c>
      <c r="K1" t="s">
        <v>59</v>
      </c>
      <c r="L1" t="s">
        <v>60</v>
      </c>
      <c r="M1" t="s">
        <v>61</v>
      </c>
      <c r="N1" t="s">
        <v>62</v>
      </c>
      <c r="O1" t="s">
        <v>21</v>
      </c>
      <c r="P1" t="s">
        <v>22</v>
      </c>
      <c r="Q1" t="s">
        <v>23</v>
      </c>
      <c r="R1" t="s">
        <v>2254</v>
      </c>
      <c r="S1" t="s">
        <v>2996</v>
      </c>
      <c r="T1" t="s">
        <v>3304</v>
      </c>
      <c r="U1" t="s">
        <v>3309</v>
      </c>
      <c r="Z1"/>
    </row>
    <row r="2" spans="1:26" x14ac:dyDescent="0.25">
      <c r="A2">
        <v>100993</v>
      </c>
      <c r="B2" t="s">
        <v>581</v>
      </c>
      <c r="C2" t="s">
        <v>582</v>
      </c>
      <c r="D2" t="s">
        <v>1284</v>
      </c>
      <c r="E2">
        <v>0</v>
      </c>
      <c r="F2" s="105">
        <v>1335386.1599999999</v>
      </c>
      <c r="G2" t="s">
        <v>1467</v>
      </c>
      <c r="H2">
        <v>38726.199999999997</v>
      </c>
      <c r="I2">
        <v>1375447.74</v>
      </c>
      <c r="J2" s="384">
        <v>41942.493048842596</v>
      </c>
      <c r="K2" s="384">
        <v>43040</v>
      </c>
      <c r="L2" t="s">
        <v>583</v>
      </c>
      <c r="M2" t="s">
        <v>1280</v>
      </c>
      <c r="N2" t="s">
        <v>1280</v>
      </c>
      <c r="O2" t="s">
        <v>44</v>
      </c>
      <c r="P2" t="s">
        <v>26</v>
      </c>
      <c r="Q2" t="s">
        <v>26</v>
      </c>
      <c r="R2" t="s">
        <v>2636</v>
      </c>
      <c r="S2">
        <v>30000000</v>
      </c>
      <c r="T2">
        <v>1080000000</v>
      </c>
      <c r="U2">
        <v>48073901.759999998</v>
      </c>
      <c r="Z2"/>
    </row>
    <row r="3" spans="1:26" x14ac:dyDescent="0.25">
      <c r="A3">
        <v>101042</v>
      </c>
      <c r="B3" t="s">
        <v>326</v>
      </c>
      <c r="C3" t="s">
        <v>333</v>
      </c>
      <c r="D3" t="s">
        <v>1282</v>
      </c>
      <c r="E3">
        <v>17</v>
      </c>
      <c r="F3" s="105">
        <v>1496244.82</v>
      </c>
      <c r="G3" t="s">
        <v>5724</v>
      </c>
      <c r="H3">
        <v>76122.67</v>
      </c>
      <c r="I3">
        <v>1586606.27</v>
      </c>
      <c r="J3" s="384">
        <v>41957.638357060183</v>
      </c>
      <c r="K3" s="384">
        <v>43053</v>
      </c>
      <c r="L3" t="s">
        <v>334</v>
      </c>
      <c r="M3" t="s">
        <v>1280</v>
      </c>
      <c r="N3" t="s">
        <v>1280</v>
      </c>
      <c r="O3" t="s">
        <v>36</v>
      </c>
      <c r="P3" t="s">
        <v>97</v>
      </c>
      <c r="Q3" t="s">
        <v>98</v>
      </c>
      <c r="R3" t="s">
        <v>2856</v>
      </c>
      <c r="S3">
        <v>15000000</v>
      </c>
      <c r="T3">
        <v>720000000</v>
      </c>
      <c r="U3">
        <v>71819751.359999999</v>
      </c>
      <c r="Z3"/>
    </row>
    <row r="4" spans="1:26" x14ac:dyDescent="0.25">
      <c r="A4">
        <v>101068</v>
      </c>
      <c r="B4" t="s">
        <v>602</v>
      </c>
      <c r="C4" t="s">
        <v>603</v>
      </c>
      <c r="D4" t="s">
        <v>1284</v>
      </c>
      <c r="E4">
        <v>-1</v>
      </c>
      <c r="F4" s="105">
        <v>3522785.08</v>
      </c>
      <c r="G4" t="s">
        <v>491</v>
      </c>
      <c r="H4">
        <v>98637.98</v>
      </c>
      <c r="I4">
        <v>3682091.32</v>
      </c>
      <c r="J4" s="384">
        <v>41970.484529710651</v>
      </c>
      <c r="K4" s="384">
        <v>43071</v>
      </c>
      <c r="L4" t="s">
        <v>604</v>
      </c>
      <c r="M4" t="s">
        <v>605</v>
      </c>
      <c r="N4" t="s">
        <v>1280</v>
      </c>
      <c r="O4" t="s">
        <v>44</v>
      </c>
      <c r="P4" t="s">
        <v>75</v>
      </c>
      <c r="Q4" t="s">
        <v>26</v>
      </c>
      <c r="R4" t="s">
        <v>2636</v>
      </c>
      <c r="S4">
        <v>40000000</v>
      </c>
      <c r="T4">
        <v>1440000000</v>
      </c>
      <c r="U4">
        <v>126820262.88</v>
      </c>
      <c r="Z4"/>
    </row>
    <row r="5" spans="1:26" x14ac:dyDescent="0.25">
      <c r="A5">
        <v>101114</v>
      </c>
      <c r="B5" t="s">
        <v>595</v>
      </c>
      <c r="C5" t="s">
        <v>596</v>
      </c>
      <c r="D5" t="s">
        <v>1284</v>
      </c>
      <c r="E5">
        <v>-17</v>
      </c>
      <c r="F5" s="105">
        <v>2636983.2999999998</v>
      </c>
      <c r="G5" t="s">
        <v>546</v>
      </c>
      <c r="H5">
        <v>31643.8</v>
      </c>
      <c r="I5">
        <v>2756232.1</v>
      </c>
      <c r="J5" s="384">
        <v>41988.481454317131</v>
      </c>
      <c r="K5" s="384">
        <v>43087</v>
      </c>
      <c r="L5" t="s">
        <v>597</v>
      </c>
      <c r="M5" t="s">
        <v>1280</v>
      </c>
      <c r="N5" t="s">
        <v>1280</v>
      </c>
      <c r="O5" t="s">
        <v>44</v>
      </c>
      <c r="P5" t="s">
        <v>75</v>
      </c>
      <c r="Q5" t="s">
        <v>26</v>
      </c>
      <c r="R5" t="s">
        <v>2856</v>
      </c>
      <c r="S5">
        <v>30000000</v>
      </c>
      <c r="T5">
        <v>1080000000</v>
      </c>
      <c r="U5">
        <v>94931398.799999997</v>
      </c>
      <c r="Z5"/>
    </row>
    <row r="6" spans="1:26" x14ac:dyDescent="0.25">
      <c r="A6">
        <v>101181</v>
      </c>
      <c r="B6" t="s">
        <v>120</v>
      </c>
      <c r="C6" t="s">
        <v>279</v>
      </c>
      <c r="D6" t="s">
        <v>1284</v>
      </c>
      <c r="E6">
        <v>46</v>
      </c>
      <c r="F6" s="105">
        <v>8496621.0800000001</v>
      </c>
      <c r="G6" t="s">
        <v>1039</v>
      </c>
      <c r="H6">
        <v>461785.93</v>
      </c>
      <c r="I6">
        <v>9276380.2799999993</v>
      </c>
      <c r="J6" s="384">
        <v>42006.451877627318</v>
      </c>
      <c r="K6" s="384">
        <v>43115</v>
      </c>
      <c r="L6" t="s">
        <v>280</v>
      </c>
      <c r="M6" t="s">
        <v>281</v>
      </c>
      <c r="N6" t="s">
        <v>1280</v>
      </c>
      <c r="O6" t="s">
        <v>44</v>
      </c>
      <c r="P6" t="s">
        <v>92</v>
      </c>
      <c r="Q6" t="s">
        <v>26</v>
      </c>
      <c r="R6" t="s">
        <v>2856</v>
      </c>
      <c r="S6">
        <v>40000000</v>
      </c>
      <c r="T6">
        <v>1440000000</v>
      </c>
      <c r="U6">
        <v>305878358.88</v>
      </c>
      <c r="Z6"/>
    </row>
    <row r="7" spans="1:26" x14ac:dyDescent="0.25">
      <c r="A7">
        <v>101304</v>
      </c>
      <c r="B7" t="s">
        <v>744</v>
      </c>
      <c r="C7" t="s">
        <v>745</v>
      </c>
      <c r="D7" t="s">
        <v>1283</v>
      </c>
      <c r="E7">
        <v>0</v>
      </c>
      <c r="F7" s="105">
        <v>9503711.0600000005</v>
      </c>
      <c r="G7" t="s">
        <v>468</v>
      </c>
      <c r="H7">
        <v>275607.62</v>
      </c>
      <c r="I7">
        <v>10375893.800000001</v>
      </c>
      <c r="J7" s="384">
        <v>42059.636060914352</v>
      </c>
      <c r="K7" s="384">
        <v>43160</v>
      </c>
      <c r="L7" t="s">
        <v>746</v>
      </c>
      <c r="M7" t="s">
        <v>1280</v>
      </c>
      <c r="N7" t="s">
        <v>1280</v>
      </c>
      <c r="O7" t="s">
        <v>44</v>
      </c>
      <c r="P7" t="s">
        <v>75</v>
      </c>
      <c r="Q7" t="s">
        <v>26</v>
      </c>
      <c r="R7" t="s">
        <v>2636</v>
      </c>
      <c r="S7">
        <v>45000000</v>
      </c>
      <c r="T7">
        <v>1620000000</v>
      </c>
      <c r="U7">
        <v>342133598.16000003</v>
      </c>
      <c r="Z7"/>
    </row>
    <row r="8" spans="1:26" x14ac:dyDescent="0.25">
      <c r="A8">
        <v>101313</v>
      </c>
      <c r="B8" t="s">
        <v>139</v>
      </c>
      <c r="C8" t="s">
        <v>140</v>
      </c>
      <c r="D8" t="s">
        <v>1281</v>
      </c>
      <c r="E8">
        <v>30</v>
      </c>
      <c r="F8" s="105">
        <v>4049360.56</v>
      </c>
      <c r="G8" t="s">
        <v>1191</v>
      </c>
      <c r="H8">
        <v>210996.31</v>
      </c>
      <c r="I8">
        <v>4512798.84</v>
      </c>
      <c r="J8" s="384">
        <v>42061.503410300924</v>
      </c>
      <c r="K8" s="384">
        <v>43160</v>
      </c>
      <c r="L8" t="s">
        <v>141</v>
      </c>
      <c r="M8" t="s">
        <v>142</v>
      </c>
      <c r="N8" t="s">
        <v>143</v>
      </c>
      <c r="O8" t="s">
        <v>28</v>
      </c>
      <c r="P8" t="s">
        <v>755</v>
      </c>
      <c r="Q8" t="s">
        <v>26</v>
      </c>
      <c r="R8" t="s">
        <v>2856</v>
      </c>
      <c r="S8">
        <v>15333063</v>
      </c>
      <c r="T8">
        <v>643988646</v>
      </c>
      <c r="U8">
        <v>170073143.52000001</v>
      </c>
      <c r="Z8"/>
    </row>
    <row r="9" spans="1:26" x14ac:dyDescent="0.25">
      <c r="A9">
        <v>101339</v>
      </c>
      <c r="B9" t="s">
        <v>203</v>
      </c>
      <c r="C9" t="s">
        <v>204</v>
      </c>
      <c r="D9" t="s">
        <v>1283</v>
      </c>
      <c r="E9">
        <v>-1</v>
      </c>
      <c r="F9" s="105">
        <v>6421224</v>
      </c>
      <c r="G9" t="s">
        <v>3074</v>
      </c>
      <c r="H9">
        <v>179794.27</v>
      </c>
      <c r="I9">
        <v>6989091.8899999997</v>
      </c>
      <c r="J9" s="384">
        <v>42067.607975578707</v>
      </c>
      <c r="K9" s="384">
        <v>43161</v>
      </c>
      <c r="L9" t="s">
        <v>205</v>
      </c>
      <c r="M9" t="s">
        <v>206</v>
      </c>
      <c r="N9" t="s">
        <v>1280</v>
      </c>
      <c r="O9" t="s">
        <v>44</v>
      </c>
      <c r="P9" t="s">
        <v>75</v>
      </c>
      <c r="Q9" t="s">
        <v>26</v>
      </c>
      <c r="R9" t="s">
        <v>2856</v>
      </c>
      <c r="S9">
        <v>32000000</v>
      </c>
      <c r="T9">
        <v>1152000000</v>
      </c>
      <c r="U9">
        <v>231164064</v>
      </c>
      <c r="Z9"/>
    </row>
    <row r="10" spans="1:26" x14ac:dyDescent="0.25">
      <c r="A10">
        <v>101385</v>
      </c>
      <c r="B10" t="s">
        <v>809</v>
      </c>
      <c r="C10" t="s">
        <v>814</v>
      </c>
      <c r="D10" t="s">
        <v>1283</v>
      </c>
      <c r="E10">
        <v>-16</v>
      </c>
      <c r="F10" s="105">
        <v>17200973.329999998</v>
      </c>
      <c r="G10" t="s">
        <v>468</v>
      </c>
      <c r="H10">
        <v>223612.65</v>
      </c>
      <c r="I10">
        <v>18779555.809999999</v>
      </c>
      <c r="J10" s="384">
        <v>42080.653667743056</v>
      </c>
      <c r="K10" s="384">
        <v>43176</v>
      </c>
      <c r="L10" t="s">
        <v>815</v>
      </c>
      <c r="M10" t="s">
        <v>1280</v>
      </c>
      <c r="N10" t="s">
        <v>1280</v>
      </c>
      <c r="O10" t="s">
        <v>25</v>
      </c>
      <c r="P10" t="s">
        <v>290</v>
      </c>
      <c r="Q10" t="s">
        <v>26</v>
      </c>
      <c r="R10" t="s">
        <v>2636</v>
      </c>
      <c r="S10">
        <v>82000000</v>
      </c>
      <c r="T10">
        <v>2952000000</v>
      </c>
      <c r="U10">
        <v>619235039.88</v>
      </c>
      <c r="Z10"/>
    </row>
    <row r="11" spans="1:26" x14ac:dyDescent="0.25">
      <c r="A11">
        <v>101518</v>
      </c>
      <c r="B11" t="s">
        <v>626</v>
      </c>
      <c r="C11" t="s">
        <v>627</v>
      </c>
      <c r="D11" t="s">
        <v>1283</v>
      </c>
      <c r="E11">
        <v>47</v>
      </c>
      <c r="F11" s="105">
        <v>22098462.16</v>
      </c>
      <c r="G11" t="s">
        <v>5725</v>
      </c>
      <c r="H11">
        <v>1258947.01</v>
      </c>
      <c r="I11">
        <v>25477894.449999999</v>
      </c>
      <c r="J11" s="384">
        <v>42118.63092635417</v>
      </c>
      <c r="K11" s="384">
        <v>43234</v>
      </c>
      <c r="L11" t="s">
        <v>628</v>
      </c>
      <c r="M11" t="s">
        <v>629</v>
      </c>
      <c r="N11" t="s">
        <v>1280</v>
      </c>
      <c r="O11" t="s">
        <v>45</v>
      </c>
      <c r="P11" t="s">
        <v>45</v>
      </c>
      <c r="Q11" t="s">
        <v>26</v>
      </c>
      <c r="R11" t="s">
        <v>2856</v>
      </c>
      <c r="S11">
        <v>62000000</v>
      </c>
      <c r="T11">
        <v>2232000000</v>
      </c>
      <c r="U11">
        <v>795544637.75999999</v>
      </c>
      <c r="Z11"/>
    </row>
    <row r="12" spans="1:26" x14ac:dyDescent="0.25">
      <c r="A12">
        <v>101540</v>
      </c>
      <c r="B12" t="s">
        <v>904</v>
      </c>
      <c r="C12" t="s">
        <v>905</v>
      </c>
      <c r="D12" t="s">
        <v>1284</v>
      </c>
      <c r="E12">
        <v>82</v>
      </c>
      <c r="F12" s="105">
        <v>25643085.670000002</v>
      </c>
      <c r="G12" t="s">
        <v>546</v>
      </c>
      <c r="H12">
        <v>1447225.06</v>
      </c>
      <c r="I12">
        <v>30060671.16</v>
      </c>
      <c r="J12" s="384">
        <v>42123.626142094909</v>
      </c>
      <c r="K12" s="384">
        <v>43229</v>
      </c>
      <c r="L12" t="s">
        <v>906</v>
      </c>
      <c r="M12" t="s">
        <v>907</v>
      </c>
      <c r="N12" t="s">
        <v>1280</v>
      </c>
      <c r="O12" t="s">
        <v>44</v>
      </c>
      <c r="P12" t="s">
        <v>75</v>
      </c>
      <c r="Q12" t="s">
        <v>26</v>
      </c>
      <c r="R12" t="s">
        <v>2636</v>
      </c>
      <c r="S12">
        <v>65000000</v>
      </c>
      <c r="T12">
        <v>2340000000</v>
      </c>
      <c r="U12">
        <v>923151084.12</v>
      </c>
      <c r="Z12"/>
    </row>
    <row r="13" spans="1:26" x14ac:dyDescent="0.25">
      <c r="A13">
        <v>101541</v>
      </c>
      <c r="B13" t="s">
        <v>534</v>
      </c>
      <c r="C13" t="s">
        <v>536</v>
      </c>
      <c r="D13" t="s">
        <v>1284</v>
      </c>
      <c r="E13">
        <v>56</v>
      </c>
      <c r="F13" s="105">
        <v>25109756.34</v>
      </c>
      <c r="G13" t="s">
        <v>491</v>
      </c>
      <c r="H13">
        <v>728182.93</v>
      </c>
      <c r="I13">
        <v>29024485.68</v>
      </c>
      <c r="J13" s="384">
        <v>42123.651579201389</v>
      </c>
      <c r="K13" s="384">
        <v>43225</v>
      </c>
      <c r="L13" t="s">
        <v>537</v>
      </c>
      <c r="M13" t="s">
        <v>1280</v>
      </c>
      <c r="N13" t="s">
        <v>1280</v>
      </c>
      <c r="O13" t="s">
        <v>25</v>
      </c>
      <c r="P13" t="s">
        <v>32</v>
      </c>
      <c r="Q13" t="s">
        <v>26</v>
      </c>
      <c r="R13" t="s">
        <v>2856</v>
      </c>
      <c r="S13">
        <v>70000000</v>
      </c>
      <c r="T13">
        <v>2520000000</v>
      </c>
      <c r="U13">
        <v>903951228.24000001</v>
      </c>
      <c r="Z13"/>
    </row>
    <row r="14" spans="1:26" x14ac:dyDescent="0.25">
      <c r="A14">
        <v>101547</v>
      </c>
      <c r="B14" t="s">
        <v>912</v>
      </c>
      <c r="C14" t="s">
        <v>915</v>
      </c>
      <c r="D14" t="s">
        <v>1283</v>
      </c>
      <c r="E14">
        <v>150</v>
      </c>
      <c r="F14" s="105">
        <v>32858913.73</v>
      </c>
      <c r="G14" t="s">
        <v>5726</v>
      </c>
      <c r="H14">
        <v>1899575.59</v>
      </c>
      <c r="I14">
        <v>39610400.009999998</v>
      </c>
      <c r="J14" s="384">
        <v>42124.534045405089</v>
      </c>
      <c r="K14" s="384">
        <v>43221</v>
      </c>
      <c r="L14" t="s">
        <v>916</v>
      </c>
      <c r="M14" t="s">
        <v>1280</v>
      </c>
      <c r="N14" t="s">
        <v>1280</v>
      </c>
      <c r="O14" t="s">
        <v>44</v>
      </c>
      <c r="P14" t="s">
        <v>92</v>
      </c>
      <c r="Q14" t="s">
        <v>26</v>
      </c>
      <c r="R14" t="s">
        <v>2636</v>
      </c>
      <c r="S14">
        <v>72000000</v>
      </c>
      <c r="T14">
        <v>2592000000</v>
      </c>
      <c r="U14">
        <v>1182920894.28</v>
      </c>
      <c r="Z14"/>
    </row>
    <row r="15" spans="1:26" x14ac:dyDescent="0.25">
      <c r="A15">
        <v>101581</v>
      </c>
      <c r="B15" t="s">
        <v>236</v>
      </c>
      <c r="C15" t="s">
        <v>237</v>
      </c>
      <c r="D15" t="s">
        <v>1284</v>
      </c>
      <c r="E15">
        <v>-2</v>
      </c>
      <c r="F15" s="105">
        <v>3278717.24</v>
      </c>
      <c r="G15" t="s">
        <v>491</v>
      </c>
      <c r="H15">
        <v>88525.37</v>
      </c>
      <c r="I15">
        <v>3377078.76</v>
      </c>
      <c r="J15" s="384">
        <v>42124.82427222222</v>
      </c>
      <c r="K15" s="384">
        <v>43042</v>
      </c>
      <c r="L15" t="s">
        <v>238</v>
      </c>
      <c r="M15" t="s">
        <v>239</v>
      </c>
      <c r="N15" t="s">
        <v>240</v>
      </c>
      <c r="O15" t="s">
        <v>27</v>
      </c>
      <c r="P15" t="s">
        <v>81</v>
      </c>
      <c r="Q15" t="s">
        <v>26</v>
      </c>
      <c r="R15" t="s">
        <v>2856</v>
      </c>
      <c r="S15">
        <v>66000000</v>
      </c>
      <c r="T15">
        <v>2376000000</v>
      </c>
      <c r="U15">
        <v>118033820.64</v>
      </c>
      <c r="Z15"/>
    </row>
    <row r="16" spans="1:26" x14ac:dyDescent="0.25">
      <c r="A16">
        <v>101605</v>
      </c>
      <c r="B16" t="s">
        <v>325</v>
      </c>
      <c r="C16" t="s">
        <v>328</v>
      </c>
      <c r="D16" t="s">
        <v>1283</v>
      </c>
      <c r="E16">
        <v>-8</v>
      </c>
      <c r="F16" s="105">
        <v>21402795.050000001</v>
      </c>
      <c r="G16" t="s">
        <v>86</v>
      </c>
      <c r="H16">
        <v>449458.7</v>
      </c>
      <c r="I16">
        <v>24020310.350000001</v>
      </c>
      <c r="J16" s="384">
        <v>42133.476330324076</v>
      </c>
      <c r="K16" s="384">
        <v>43221</v>
      </c>
      <c r="L16" t="s">
        <v>329</v>
      </c>
      <c r="M16" t="s">
        <v>1280</v>
      </c>
      <c r="N16" t="s">
        <v>1280</v>
      </c>
      <c r="O16" t="s">
        <v>25</v>
      </c>
      <c r="P16" t="s">
        <v>88</v>
      </c>
      <c r="Q16" t="s">
        <v>285</v>
      </c>
      <c r="R16" t="s">
        <v>2856</v>
      </c>
      <c r="S16">
        <v>75000000</v>
      </c>
      <c r="T16">
        <v>2700000000</v>
      </c>
      <c r="U16">
        <v>770500621.79999995</v>
      </c>
      <c r="Z16"/>
    </row>
    <row r="17" spans="1:26" x14ac:dyDescent="0.25">
      <c r="A17">
        <v>101670</v>
      </c>
      <c r="B17" t="s">
        <v>994</v>
      </c>
      <c r="C17" t="s">
        <v>995</v>
      </c>
      <c r="D17" t="s">
        <v>1282</v>
      </c>
      <c r="E17">
        <v>-3</v>
      </c>
      <c r="F17" s="105">
        <v>4682370.9800000004</v>
      </c>
      <c r="G17" t="s">
        <v>86</v>
      </c>
      <c r="H17">
        <v>162322.19</v>
      </c>
      <c r="I17">
        <v>5563699.2300000004</v>
      </c>
      <c r="J17" s="384">
        <v>42149.685221527776</v>
      </c>
      <c r="K17" s="384">
        <v>43255</v>
      </c>
      <c r="L17" t="s">
        <v>996</v>
      </c>
      <c r="M17" t="s">
        <v>997</v>
      </c>
      <c r="N17" t="s">
        <v>1280</v>
      </c>
      <c r="O17" t="s">
        <v>44</v>
      </c>
      <c r="P17" t="s">
        <v>75</v>
      </c>
      <c r="Q17" t="s">
        <v>26</v>
      </c>
      <c r="R17" t="s">
        <v>2856</v>
      </c>
      <c r="S17">
        <v>13000000</v>
      </c>
      <c r="T17">
        <v>624000000</v>
      </c>
      <c r="U17">
        <v>224753807.03999999</v>
      </c>
      <c r="Z17"/>
    </row>
    <row r="18" spans="1:26" x14ac:dyDescent="0.25">
      <c r="A18">
        <v>101674</v>
      </c>
      <c r="B18" t="s">
        <v>1005</v>
      </c>
      <c r="C18" t="s">
        <v>1007</v>
      </c>
      <c r="D18" t="s">
        <v>1281</v>
      </c>
      <c r="E18">
        <v>-9</v>
      </c>
      <c r="F18" s="105">
        <v>10227141.359999999</v>
      </c>
      <c r="G18" t="s">
        <v>963</v>
      </c>
      <c r="H18">
        <v>238633.3</v>
      </c>
      <c r="I18">
        <v>11887708.52</v>
      </c>
      <c r="J18" s="384">
        <v>42150.471053935187</v>
      </c>
      <c r="K18" s="384">
        <v>43261</v>
      </c>
      <c r="L18" t="s">
        <v>1008</v>
      </c>
      <c r="M18" t="s">
        <v>1280</v>
      </c>
      <c r="N18" t="s">
        <v>1280</v>
      </c>
      <c r="O18" t="s">
        <v>44</v>
      </c>
      <c r="P18" t="s">
        <v>92</v>
      </c>
      <c r="Q18" t="s">
        <v>92</v>
      </c>
      <c r="R18" t="s">
        <v>2636</v>
      </c>
      <c r="S18">
        <v>30000000</v>
      </c>
      <c r="T18">
        <v>1260000000</v>
      </c>
      <c r="U18">
        <v>429539937.12</v>
      </c>
      <c r="Z18"/>
    </row>
    <row r="19" spans="1:26" x14ac:dyDescent="0.25">
      <c r="A19">
        <v>101704</v>
      </c>
      <c r="B19" t="s">
        <v>687</v>
      </c>
      <c r="C19" t="s">
        <v>688</v>
      </c>
      <c r="D19" t="s">
        <v>1281</v>
      </c>
      <c r="E19">
        <v>-14</v>
      </c>
      <c r="F19" s="105">
        <v>8461842.9600000009</v>
      </c>
      <c r="G19" t="s">
        <v>963</v>
      </c>
      <c r="H19">
        <v>148082.25</v>
      </c>
      <c r="I19">
        <v>9824934.2699999996</v>
      </c>
      <c r="J19" s="384">
        <v>42154.480922106479</v>
      </c>
      <c r="K19" s="384">
        <v>43266</v>
      </c>
      <c r="L19" t="s">
        <v>689</v>
      </c>
      <c r="M19" t="s">
        <v>1280</v>
      </c>
      <c r="N19" t="s">
        <v>1280</v>
      </c>
      <c r="O19" t="s">
        <v>25</v>
      </c>
      <c r="P19" t="s">
        <v>106</v>
      </c>
      <c r="Q19" t="s">
        <v>26</v>
      </c>
      <c r="R19" t="s">
        <v>2856</v>
      </c>
      <c r="S19">
        <v>25000000</v>
      </c>
      <c r="T19">
        <v>1050000000</v>
      </c>
      <c r="U19">
        <v>355397404.31999999</v>
      </c>
      <c r="Y19" s="392" t="e">
        <f>SUM('Analysis Data'!#REF!)</f>
        <v>#REF!</v>
      </c>
      <c r="Z19"/>
    </row>
    <row r="20" spans="1:26" x14ac:dyDescent="0.25">
      <c r="A20">
        <v>101711</v>
      </c>
      <c r="B20" t="s">
        <v>730</v>
      </c>
      <c r="C20" t="s">
        <v>733</v>
      </c>
      <c r="D20" t="s">
        <v>1284</v>
      </c>
      <c r="E20">
        <v>-3</v>
      </c>
      <c r="F20" s="105">
        <v>14326640.18</v>
      </c>
      <c r="G20" t="s">
        <v>1467</v>
      </c>
      <c r="H20">
        <v>372492.64</v>
      </c>
      <c r="I20">
        <v>16096617.449999999</v>
      </c>
      <c r="J20" s="384">
        <v>42154.654883796298</v>
      </c>
      <c r="K20" s="384">
        <v>43224</v>
      </c>
      <c r="L20" t="s">
        <v>734</v>
      </c>
      <c r="M20" t="s">
        <v>1280</v>
      </c>
      <c r="N20" t="s">
        <v>1280</v>
      </c>
      <c r="O20" t="s">
        <v>25</v>
      </c>
      <c r="P20" t="s">
        <v>26</v>
      </c>
      <c r="Q20" t="s">
        <v>26</v>
      </c>
      <c r="R20" t="s">
        <v>2856</v>
      </c>
      <c r="S20">
        <v>49219081.039999999</v>
      </c>
      <c r="T20">
        <v>1771886917.4400001</v>
      </c>
      <c r="U20">
        <v>515759046.48000002</v>
      </c>
      <c r="Z20"/>
    </row>
    <row r="21" spans="1:26" x14ac:dyDescent="0.25">
      <c r="A21">
        <v>101730</v>
      </c>
      <c r="B21" t="s">
        <v>1047</v>
      </c>
      <c r="C21" t="s">
        <v>1048</v>
      </c>
      <c r="D21" t="s">
        <v>1284</v>
      </c>
      <c r="E21">
        <v>11</v>
      </c>
      <c r="F21" s="105">
        <v>17774668.739999998</v>
      </c>
      <c r="G21" t="s">
        <v>1039</v>
      </c>
      <c r="H21">
        <v>701117.87</v>
      </c>
      <c r="I21">
        <v>20037197.199999999</v>
      </c>
      <c r="J21" s="384">
        <v>42167.549388113424</v>
      </c>
      <c r="K21" s="384">
        <v>43271</v>
      </c>
      <c r="L21" t="s">
        <v>1049</v>
      </c>
      <c r="M21" t="s">
        <v>1050</v>
      </c>
      <c r="N21" t="s">
        <v>1280</v>
      </c>
      <c r="O21" t="s">
        <v>27</v>
      </c>
      <c r="P21" t="s">
        <v>26</v>
      </c>
      <c r="Q21" t="s">
        <v>26</v>
      </c>
      <c r="R21" t="s">
        <v>2636</v>
      </c>
      <c r="S21">
        <v>50000000</v>
      </c>
      <c r="T21">
        <v>1800000000</v>
      </c>
      <c r="U21">
        <v>639888074.63999999</v>
      </c>
      <c r="Z21"/>
    </row>
    <row r="22" spans="1:26" x14ac:dyDescent="0.25">
      <c r="A22">
        <v>101743</v>
      </c>
      <c r="B22" t="s">
        <v>420</v>
      </c>
      <c r="C22" t="s">
        <v>421</v>
      </c>
      <c r="D22" t="s">
        <v>1284</v>
      </c>
      <c r="E22">
        <v>-22</v>
      </c>
      <c r="F22" s="105">
        <v>9702045.6300000008</v>
      </c>
      <c r="G22" t="s">
        <v>546</v>
      </c>
      <c r="H22">
        <v>67914.320000000007</v>
      </c>
      <c r="I22">
        <v>11058288.960000001</v>
      </c>
      <c r="J22" s="384">
        <v>42172.712030243056</v>
      </c>
      <c r="K22" s="384">
        <v>43275</v>
      </c>
      <c r="L22" t="s">
        <v>422</v>
      </c>
      <c r="M22" t="s">
        <v>1280</v>
      </c>
      <c r="N22" t="s">
        <v>1280</v>
      </c>
      <c r="O22" t="s">
        <v>44</v>
      </c>
      <c r="P22" t="s">
        <v>75</v>
      </c>
      <c r="Q22" t="s">
        <v>26</v>
      </c>
      <c r="R22" t="s">
        <v>2856</v>
      </c>
      <c r="S22">
        <v>30000000</v>
      </c>
      <c r="T22">
        <v>1080000000</v>
      </c>
      <c r="U22">
        <v>349273642.68000001</v>
      </c>
      <c r="Z22"/>
    </row>
    <row r="23" spans="1:26" x14ac:dyDescent="0.25">
      <c r="A23">
        <v>101758</v>
      </c>
      <c r="B23" t="s">
        <v>1079</v>
      </c>
      <c r="C23" t="s">
        <v>1080</v>
      </c>
      <c r="D23" t="s">
        <v>1284</v>
      </c>
      <c r="E23">
        <v>-1</v>
      </c>
      <c r="F23" s="105">
        <v>12627589.939999999</v>
      </c>
      <c r="G23" t="s">
        <v>1039</v>
      </c>
      <c r="H23">
        <v>353572.52</v>
      </c>
      <c r="I23">
        <v>14596290.74</v>
      </c>
      <c r="J23" s="384">
        <v>42175.503005057872</v>
      </c>
      <c r="K23" s="384">
        <v>43283</v>
      </c>
      <c r="L23" t="s">
        <v>1081</v>
      </c>
      <c r="M23" t="s">
        <v>1280</v>
      </c>
      <c r="N23" t="s">
        <v>1280</v>
      </c>
      <c r="O23" t="s">
        <v>44</v>
      </c>
      <c r="P23" t="s">
        <v>75</v>
      </c>
      <c r="Q23" t="s">
        <v>26</v>
      </c>
      <c r="R23" t="s">
        <v>2636</v>
      </c>
      <c r="S23">
        <v>35000000</v>
      </c>
      <c r="T23">
        <v>1260000000</v>
      </c>
      <c r="U23">
        <v>454593237.83999997</v>
      </c>
      <c r="Z23"/>
    </row>
    <row r="24" spans="1:26" x14ac:dyDescent="0.25">
      <c r="A24">
        <v>101780</v>
      </c>
      <c r="B24" t="s">
        <v>1090</v>
      </c>
      <c r="C24" t="s">
        <v>1095</v>
      </c>
      <c r="D24" t="s">
        <v>1283</v>
      </c>
      <c r="E24">
        <v>-9</v>
      </c>
      <c r="F24" s="105">
        <v>11216637.710000001</v>
      </c>
      <c r="G24" t="s">
        <v>468</v>
      </c>
      <c r="H24">
        <v>519925.01</v>
      </c>
      <c r="I24">
        <v>12965364.4</v>
      </c>
      <c r="J24" s="384">
        <v>42180.710793020837</v>
      </c>
      <c r="K24" s="384">
        <v>43291</v>
      </c>
      <c r="L24" t="s">
        <v>1096</v>
      </c>
      <c r="M24" t="s">
        <v>1280</v>
      </c>
      <c r="N24" t="s">
        <v>1280</v>
      </c>
      <c r="O24" t="s">
        <v>27</v>
      </c>
      <c r="P24" t="s">
        <v>26</v>
      </c>
      <c r="Q24" t="s">
        <v>26</v>
      </c>
      <c r="R24" t="s">
        <v>2636</v>
      </c>
      <c r="S24">
        <v>31000000</v>
      </c>
      <c r="T24">
        <v>1116000000</v>
      </c>
      <c r="U24">
        <v>403798957.56</v>
      </c>
      <c r="Z24"/>
    </row>
    <row r="25" spans="1:26" x14ac:dyDescent="0.25">
      <c r="A25">
        <v>101791</v>
      </c>
      <c r="B25" t="s">
        <v>1101</v>
      </c>
      <c r="C25" t="s">
        <v>1103</v>
      </c>
      <c r="D25" t="s">
        <v>1284</v>
      </c>
      <c r="E25">
        <v>16</v>
      </c>
      <c r="F25" s="105">
        <v>11903550.869999999</v>
      </c>
      <c r="G25" t="s">
        <v>1467</v>
      </c>
      <c r="H25">
        <v>520084.5</v>
      </c>
      <c r="I25">
        <v>13954593.01</v>
      </c>
      <c r="J25" s="384">
        <v>42184.590671412036</v>
      </c>
      <c r="K25" s="384">
        <v>43296</v>
      </c>
      <c r="L25" t="s">
        <v>1104</v>
      </c>
      <c r="M25" t="s">
        <v>1280</v>
      </c>
      <c r="N25" t="s">
        <v>1280</v>
      </c>
      <c r="O25" t="s">
        <v>44</v>
      </c>
      <c r="P25" t="s">
        <v>92</v>
      </c>
      <c r="Q25" t="s">
        <v>92</v>
      </c>
      <c r="R25" t="s">
        <v>2636</v>
      </c>
      <c r="S25">
        <v>30000000</v>
      </c>
      <c r="T25">
        <v>1080000000</v>
      </c>
      <c r="U25">
        <v>428527831.31999999</v>
      </c>
      <c r="Z25"/>
    </row>
    <row r="26" spans="1:26" x14ac:dyDescent="0.25">
      <c r="A26">
        <v>101795</v>
      </c>
      <c r="B26" t="s">
        <v>344</v>
      </c>
      <c r="C26" t="s">
        <v>345</v>
      </c>
      <c r="D26" t="s">
        <v>1284</v>
      </c>
      <c r="E26">
        <v>6</v>
      </c>
      <c r="F26" s="105">
        <v>16391935.140000001</v>
      </c>
      <c r="G26" t="s">
        <v>546</v>
      </c>
      <c r="H26">
        <v>79991.929999999993</v>
      </c>
      <c r="I26">
        <v>18626127.539999999</v>
      </c>
      <c r="J26" s="384">
        <v>42185.557041585649</v>
      </c>
      <c r="K26" s="384">
        <v>43276</v>
      </c>
      <c r="L26" t="s">
        <v>346</v>
      </c>
      <c r="M26" t="s">
        <v>1280</v>
      </c>
      <c r="N26" t="s">
        <v>1280</v>
      </c>
      <c r="O26" t="s">
        <v>44</v>
      </c>
      <c r="P26" t="s">
        <v>75</v>
      </c>
      <c r="Q26" t="s">
        <v>26</v>
      </c>
      <c r="R26" t="s">
        <v>2856</v>
      </c>
      <c r="S26">
        <v>50000000</v>
      </c>
      <c r="T26">
        <v>1800000000</v>
      </c>
      <c r="U26">
        <v>590109665.03999996</v>
      </c>
      <c r="Z26"/>
    </row>
    <row r="27" spans="1:26" x14ac:dyDescent="0.25">
      <c r="A27">
        <v>101802</v>
      </c>
      <c r="B27" t="s">
        <v>367</v>
      </c>
      <c r="C27" t="s">
        <v>378</v>
      </c>
      <c r="D27" t="s">
        <v>1284</v>
      </c>
      <c r="E27">
        <v>-1</v>
      </c>
      <c r="F27" s="105">
        <v>29300717.640000001</v>
      </c>
      <c r="G27" t="s">
        <v>546</v>
      </c>
      <c r="H27">
        <v>1084499.67</v>
      </c>
      <c r="I27">
        <v>33868837.659999996</v>
      </c>
      <c r="J27" s="384">
        <v>42185.721404432872</v>
      </c>
      <c r="K27" s="384">
        <v>43283</v>
      </c>
      <c r="L27" t="s">
        <v>379</v>
      </c>
      <c r="M27" t="s">
        <v>380</v>
      </c>
      <c r="N27" t="s">
        <v>1280</v>
      </c>
      <c r="O27" t="s">
        <v>25</v>
      </c>
      <c r="P27" t="s">
        <v>103</v>
      </c>
      <c r="Q27" t="s">
        <v>104</v>
      </c>
      <c r="R27" t="s">
        <v>2856</v>
      </c>
      <c r="S27">
        <v>82000000</v>
      </c>
      <c r="T27">
        <v>2952000000</v>
      </c>
      <c r="U27">
        <v>1054825835.04</v>
      </c>
      <c r="Z27"/>
    </row>
    <row r="28" spans="1:26" x14ac:dyDescent="0.25">
      <c r="A28">
        <v>101815</v>
      </c>
      <c r="B28" t="s">
        <v>111</v>
      </c>
      <c r="C28" t="s">
        <v>270</v>
      </c>
      <c r="D28" t="s">
        <v>1284</v>
      </c>
      <c r="E28">
        <v>-1</v>
      </c>
      <c r="F28" s="105">
        <v>19576746.25</v>
      </c>
      <c r="G28" t="s">
        <v>1039</v>
      </c>
      <c r="H28">
        <v>548148.9</v>
      </c>
      <c r="I28">
        <v>22628853.289999999</v>
      </c>
      <c r="J28" s="384">
        <v>42189.499219328703</v>
      </c>
      <c r="K28" s="384">
        <v>43283</v>
      </c>
      <c r="L28" t="s">
        <v>271</v>
      </c>
      <c r="M28" t="s">
        <v>272</v>
      </c>
      <c r="N28" t="s">
        <v>1280</v>
      </c>
      <c r="O28" t="s">
        <v>25</v>
      </c>
      <c r="P28" t="s">
        <v>88</v>
      </c>
      <c r="Q28" t="s">
        <v>26</v>
      </c>
      <c r="R28" t="s">
        <v>2856</v>
      </c>
      <c r="S28">
        <v>55000000</v>
      </c>
      <c r="T28">
        <v>1980000000</v>
      </c>
      <c r="U28">
        <v>704762865</v>
      </c>
      <c r="Z28"/>
    </row>
    <row r="29" spans="1:26" x14ac:dyDescent="0.25">
      <c r="A29">
        <v>101817</v>
      </c>
      <c r="B29" t="s">
        <v>698</v>
      </c>
      <c r="C29" t="s">
        <v>699</v>
      </c>
      <c r="D29" t="s">
        <v>1284</v>
      </c>
      <c r="E29">
        <v>-5</v>
      </c>
      <c r="F29" s="105">
        <v>26747499.960000001</v>
      </c>
      <c r="G29" t="s">
        <v>546</v>
      </c>
      <c r="H29">
        <v>641940</v>
      </c>
      <c r="I29">
        <v>30917561.289999999</v>
      </c>
      <c r="J29" s="384">
        <v>42191.634749965277</v>
      </c>
      <c r="K29" s="384">
        <v>43287</v>
      </c>
      <c r="L29" t="s">
        <v>700</v>
      </c>
      <c r="M29" t="s">
        <v>701</v>
      </c>
      <c r="N29" t="s">
        <v>1280</v>
      </c>
      <c r="O29" t="s">
        <v>44</v>
      </c>
      <c r="P29" t="s">
        <v>75</v>
      </c>
      <c r="Q29" t="s">
        <v>26</v>
      </c>
      <c r="R29" t="s">
        <v>2856</v>
      </c>
      <c r="S29">
        <v>75000000</v>
      </c>
      <c r="T29">
        <v>2700000000</v>
      </c>
      <c r="U29">
        <v>962909998.55999994</v>
      </c>
      <c r="Z29"/>
    </row>
    <row r="30" spans="1:26" x14ac:dyDescent="0.25">
      <c r="A30">
        <v>101863</v>
      </c>
      <c r="B30" t="s">
        <v>1157</v>
      </c>
      <c r="C30" t="s">
        <v>1161</v>
      </c>
      <c r="D30" t="s">
        <v>1282</v>
      </c>
      <c r="E30">
        <v>-17</v>
      </c>
      <c r="F30" s="105">
        <v>5512571.1299999999</v>
      </c>
      <c r="G30" t="s">
        <v>1191</v>
      </c>
      <c r="H30">
        <v>88201.14</v>
      </c>
      <c r="I30">
        <v>6639623.3399999999</v>
      </c>
      <c r="J30" s="384">
        <v>42210.528615312498</v>
      </c>
      <c r="K30" s="384">
        <v>43330</v>
      </c>
      <c r="L30" t="s">
        <v>1162</v>
      </c>
      <c r="M30" t="s">
        <v>1280</v>
      </c>
      <c r="N30" t="s">
        <v>1280</v>
      </c>
      <c r="O30" t="s">
        <v>46</v>
      </c>
      <c r="P30" t="s">
        <v>46</v>
      </c>
      <c r="Q30" t="s">
        <v>26</v>
      </c>
      <c r="R30" t="s">
        <v>2636</v>
      </c>
      <c r="S30">
        <v>14000000</v>
      </c>
      <c r="T30">
        <v>672000000</v>
      </c>
      <c r="U30">
        <v>264603414.24000001</v>
      </c>
      <c r="Z30"/>
    </row>
    <row r="31" spans="1:26" x14ac:dyDescent="0.25">
      <c r="A31">
        <v>101877</v>
      </c>
      <c r="B31" t="s">
        <v>1173</v>
      </c>
      <c r="C31" t="s">
        <v>1177</v>
      </c>
      <c r="D31" t="s">
        <v>1283</v>
      </c>
      <c r="E31">
        <v>-4</v>
      </c>
      <c r="F31" s="105">
        <v>31439333.559999999</v>
      </c>
      <c r="G31" t="s">
        <v>90</v>
      </c>
      <c r="H31">
        <v>785983.34</v>
      </c>
      <c r="I31">
        <v>36856490.030000001</v>
      </c>
      <c r="J31" s="384">
        <v>42214.663188969906</v>
      </c>
      <c r="K31" s="384">
        <v>43317</v>
      </c>
      <c r="L31" t="s">
        <v>1178</v>
      </c>
      <c r="M31" t="s">
        <v>1280</v>
      </c>
      <c r="N31" t="s">
        <v>1280</v>
      </c>
      <c r="O31" t="s">
        <v>31</v>
      </c>
      <c r="P31" t="s">
        <v>293</v>
      </c>
      <c r="Q31" t="s">
        <v>26</v>
      </c>
      <c r="R31" t="s">
        <v>2636</v>
      </c>
      <c r="S31">
        <v>80000000</v>
      </c>
      <c r="T31">
        <v>2880000000</v>
      </c>
      <c r="U31">
        <v>1131816008.1600001</v>
      </c>
      <c r="Z31"/>
    </row>
    <row r="32" spans="1:26" x14ac:dyDescent="0.25">
      <c r="A32">
        <v>101892</v>
      </c>
      <c r="B32" t="s">
        <v>223</v>
      </c>
      <c r="C32" t="s">
        <v>224</v>
      </c>
      <c r="D32" t="s">
        <v>1283</v>
      </c>
      <c r="E32">
        <v>119</v>
      </c>
      <c r="F32" s="105">
        <v>4853148.8099999996</v>
      </c>
      <c r="G32" t="s">
        <v>5725</v>
      </c>
      <c r="H32">
        <v>217005.08</v>
      </c>
      <c r="I32">
        <v>5072616.33</v>
      </c>
      <c r="J32" s="384">
        <v>42216.629636655096</v>
      </c>
      <c r="K32" s="384">
        <v>42949</v>
      </c>
      <c r="L32" t="s">
        <v>225</v>
      </c>
      <c r="M32" t="s">
        <v>226</v>
      </c>
      <c r="N32" t="s">
        <v>1280</v>
      </c>
      <c r="O32" t="s">
        <v>25</v>
      </c>
      <c r="P32" t="s">
        <v>26</v>
      </c>
      <c r="Q32" t="s">
        <v>26</v>
      </c>
      <c r="R32" t="s">
        <v>2856</v>
      </c>
      <c r="S32">
        <v>42870509</v>
      </c>
      <c r="T32">
        <v>1543338324</v>
      </c>
      <c r="U32">
        <v>174713357.16</v>
      </c>
      <c r="Z32"/>
    </row>
    <row r="33" spans="1:26" x14ac:dyDescent="0.25">
      <c r="A33">
        <v>101895</v>
      </c>
      <c r="B33" t="s">
        <v>649</v>
      </c>
      <c r="C33" t="s">
        <v>654</v>
      </c>
      <c r="D33" t="s">
        <v>1283</v>
      </c>
      <c r="E33">
        <v>29</v>
      </c>
      <c r="F33" s="105">
        <v>23516676.079999998</v>
      </c>
      <c r="G33" t="s">
        <v>5726</v>
      </c>
      <c r="H33">
        <v>1450346.84</v>
      </c>
      <c r="I33">
        <v>27485334.969999999</v>
      </c>
      <c r="J33" s="384">
        <v>42216.642023067128</v>
      </c>
      <c r="K33" s="384">
        <v>43314</v>
      </c>
      <c r="L33" t="s">
        <v>655</v>
      </c>
      <c r="M33" t="s">
        <v>1280</v>
      </c>
      <c r="N33" t="s">
        <v>1280</v>
      </c>
      <c r="O33" t="s">
        <v>25</v>
      </c>
      <c r="P33" t="s">
        <v>26</v>
      </c>
      <c r="Q33" t="s">
        <v>26</v>
      </c>
      <c r="R33" t="s">
        <v>2856</v>
      </c>
      <c r="S33">
        <v>55381803</v>
      </c>
      <c r="T33">
        <v>1993744908</v>
      </c>
      <c r="U33">
        <v>846600338.88</v>
      </c>
      <c r="Z33"/>
    </row>
    <row r="34" spans="1:26" x14ac:dyDescent="0.25">
      <c r="A34">
        <v>101896</v>
      </c>
      <c r="B34" t="s">
        <v>621</v>
      </c>
      <c r="C34" t="s">
        <v>623</v>
      </c>
      <c r="D34" t="s">
        <v>1284</v>
      </c>
      <c r="E34">
        <v>-1</v>
      </c>
      <c r="F34" s="105">
        <v>13300829.32</v>
      </c>
      <c r="G34" t="s">
        <v>1039</v>
      </c>
      <c r="H34">
        <v>372423.22</v>
      </c>
      <c r="I34">
        <v>14313131.24</v>
      </c>
      <c r="J34" s="384">
        <v>42216.681677314817</v>
      </c>
      <c r="K34" s="384">
        <v>43133</v>
      </c>
      <c r="L34" t="s">
        <v>624</v>
      </c>
      <c r="M34" t="s">
        <v>625</v>
      </c>
      <c r="N34" t="s">
        <v>1280</v>
      </c>
      <c r="O34" t="s">
        <v>35</v>
      </c>
      <c r="P34" t="s">
        <v>26</v>
      </c>
      <c r="Q34" t="s">
        <v>26</v>
      </c>
      <c r="R34" t="s">
        <v>2856</v>
      </c>
      <c r="S34">
        <v>70000000</v>
      </c>
      <c r="T34">
        <v>2520000000</v>
      </c>
      <c r="U34">
        <v>478829855.51999998</v>
      </c>
      <c r="Z34"/>
    </row>
    <row r="35" spans="1:26" x14ac:dyDescent="0.25">
      <c r="A35">
        <v>101898</v>
      </c>
      <c r="B35" t="s">
        <v>1087</v>
      </c>
      <c r="C35" t="s">
        <v>1088</v>
      </c>
      <c r="D35" t="s">
        <v>1283</v>
      </c>
      <c r="E35">
        <v>-4</v>
      </c>
      <c r="F35" s="105">
        <v>31408986.52</v>
      </c>
      <c r="G35" t="s">
        <v>2855</v>
      </c>
      <c r="H35">
        <v>785224.66</v>
      </c>
      <c r="I35">
        <v>36820914</v>
      </c>
      <c r="J35" s="384">
        <v>42216.722978275466</v>
      </c>
      <c r="K35" s="384">
        <v>43317</v>
      </c>
      <c r="L35" t="s">
        <v>1089</v>
      </c>
      <c r="M35" t="s">
        <v>1280</v>
      </c>
      <c r="N35" t="s">
        <v>1280</v>
      </c>
      <c r="O35" t="s">
        <v>29</v>
      </c>
      <c r="P35" t="s">
        <v>96</v>
      </c>
      <c r="Q35" t="s">
        <v>26</v>
      </c>
      <c r="R35" t="s">
        <v>2856</v>
      </c>
      <c r="S35">
        <v>80000000</v>
      </c>
      <c r="T35">
        <v>2880000000</v>
      </c>
      <c r="U35">
        <v>1130723514.72</v>
      </c>
      <c r="Z35"/>
    </row>
    <row r="36" spans="1:26" x14ac:dyDescent="0.25">
      <c r="A36">
        <v>101902</v>
      </c>
      <c r="B36" t="s">
        <v>572</v>
      </c>
      <c r="C36" t="s">
        <v>573</v>
      </c>
      <c r="D36" t="s">
        <v>1283</v>
      </c>
      <c r="E36">
        <v>-1</v>
      </c>
      <c r="F36" s="105">
        <v>31317946</v>
      </c>
      <c r="G36" t="s">
        <v>4684</v>
      </c>
      <c r="H36">
        <v>876902.49</v>
      </c>
      <c r="I36">
        <v>36714186.719999999</v>
      </c>
      <c r="J36" s="384">
        <v>42216.604566319445</v>
      </c>
      <c r="K36" s="384">
        <v>43314</v>
      </c>
      <c r="L36" t="s">
        <v>574</v>
      </c>
      <c r="M36" t="s">
        <v>575</v>
      </c>
      <c r="N36" t="s">
        <v>1280</v>
      </c>
      <c r="O36" t="s">
        <v>44</v>
      </c>
      <c r="P36" t="s">
        <v>75</v>
      </c>
      <c r="Q36" t="s">
        <v>26</v>
      </c>
      <c r="R36" t="s">
        <v>2856</v>
      </c>
      <c r="S36">
        <v>80000000</v>
      </c>
      <c r="T36">
        <v>2880000000</v>
      </c>
      <c r="U36">
        <v>1127446056</v>
      </c>
      <c r="Z36"/>
    </row>
    <row r="37" spans="1:26" x14ac:dyDescent="0.25">
      <c r="A37">
        <v>101903</v>
      </c>
      <c r="B37" t="s">
        <v>124</v>
      </c>
      <c r="C37" t="s">
        <v>282</v>
      </c>
      <c r="D37" t="s">
        <v>1284</v>
      </c>
      <c r="E37">
        <v>-3</v>
      </c>
      <c r="F37" s="105">
        <v>31378639.780000001</v>
      </c>
      <c r="G37" t="s">
        <v>491</v>
      </c>
      <c r="H37">
        <v>815844.63</v>
      </c>
      <c r="I37">
        <v>36785338.380000003</v>
      </c>
      <c r="J37" s="384">
        <v>42216.62358402778</v>
      </c>
      <c r="K37" s="384">
        <v>43316</v>
      </c>
      <c r="L37" t="s">
        <v>283</v>
      </c>
      <c r="M37" t="s">
        <v>1280</v>
      </c>
      <c r="N37" t="s">
        <v>1280</v>
      </c>
      <c r="O37" t="s">
        <v>25</v>
      </c>
      <c r="P37" t="s">
        <v>106</v>
      </c>
      <c r="Q37" t="s">
        <v>107</v>
      </c>
      <c r="R37" t="s">
        <v>2856</v>
      </c>
      <c r="S37">
        <v>80000000</v>
      </c>
      <c r="T37">
        <v>2880000000</v>
      </c>
      <c r="U37">
        <v>1129631032.0799999</v>
      </c>
      <c r="Z37"/>
    </row>
    <row r="38" spans="1:26" x14ac:dyDescent="0.25">
      <c r="A38">
        <v>101906</v>
      </c>
      <c r="B38" t="s">
        <v>1195</v>
      </c>
      <c r="C38" t="s">
        <v>1197</v>
      </c>
      <c r="D38" t="s">
        <v>1281</v>
      </c>
      <c r="E38">
        <v>28</v>
      </c>
      <c r="F38" s="105">
        <v>9759946</v>
      </c>
      <c r="G38" t="s">
        <v>963</v>
      </c>
      <c r="H38">
        <v>503714.61</v>
      </c>
      <c r="I38">
        <v>11804839.27</v>
      </c>
      <c r="J38" s="384">
        <v>42219.586541006945</v>
      </c>
      <c r="K38" s="384">
        <v>43315</v>
      </c>
      <c r="L38" t="s">
        <v>1198</v>
      </c>
      <c r="M38" t="s">
        <v>1199</v>
      </c>
      <c r="N38" t="s">
        <v>1280</v>
      </c>
      <c r="O38" t="s">
        <v>27</v>
      </c>
      <c r="P38" t="s">
        <v>81</v>
      </c>
      <c r="Q38" t="s">
        <v>26</v>
      </c>
      <c r="R38" t="s">
        <v>2636</v>
      </c>
      <c r="S38">
        <v>22000000</v>
      </c>
      <c r="T38">
        <v>924000000</v>
      </c>
      <c r="U38">
        <v>409917732</v>
      </c>
      <c r="Z38"/>
    </row>
    <row r="39" spans="1:26" x14ac:dyDescent="0.25">
      <c r="A39">
        <v>101908</v>
      </c>
      <c r="B39" t="s">
        <v>1196</v>
      </c>
      <c r="C39" t="s">
        <v>1200</v>
      </c>
      <c r="D39" t="s">
        <v>1283</v>
      </c>
      <c r="E39">
        <v>-2</v>
      </c>
      <c r="F39" s="105">
        <v>14223270.51</v>
      </c>
      <c r="G39" t="s">
        <v>2855</v>
      </c>
      <c r="H39">
        <v>384028.3</v>
      </c>
      <c r="I39">
        <v>15305777.76</v>
      </c>
      <c r="J39" s="384">
        <v>42219.720567511577</v>
      </c>
      <c r="K39" s="384">
        <v>43134</v>
      </c>
      <c r="L39" t="s">
        <v>1201</v>
      </c>
      <c r="M39" t="s">
        <v>1280</v>
      </c>
      <c r="N39" t="s">
        <v>1280</v>
      </c>
      <c r="O39" t="s">
        <v>25</v>
      </c>
      <c r="P39" t="s">
        <v>26</v>
      </c>
      <c r="Q39" t="s">
        <v>26</v>
      </c>
      <c r="R39" t="s">
        <v>2636</v>
      </c>
      <c r="S39">
        <v>75000000</v>
      </c>
      <c r="T39">
        <v>2700000000</v>
      </c>
      <c r="U39">
        <v>512037738.36000001</v>
      </c>
      <c r="Z39"/>
    </row>
    <row r="40" spans="1:26" x14ac:dyDescent="0.25">
      <c r="A40">
        <v>101916</v>
      </c>
      <c r="B40" t="s">
        <v>1227</v>
      </c>
      <c r="C40" t="s">
        <v>1231</v>
      </c>
      <c r="D40" t="s">
        <v>1283</v>
      </c>
      <c r="E40">
        <v>-9</v>
      </c>
      <c r="F40" s="105">
        <v>19592683.27</v>
      </c>
      <c r="G40" t="s">
        <v>1191</v>
      </c>
      <c r="H40">
        <v>391853.67</v>
      </c>
      <c r="I40">
        <v>22968601.91</v>
      </c>
      <c r="J40" s="384">
        <v>42223.544226238424</v>
      </c>
      <c r="K40" s="384">
        <v>43322</v>
      </c>
      <c r="L40" t="s">
        <v>1232</v>
      </c>
      <c r="M40" t="s">
        <v>1280</v>
      </c>
      <c r="N40" t="s">
        <v>1280</v>
      </c>
      <c r="O40" t="s">
        <v>27</v>
      </c>
      <c r="P40" t="s">
        <v>26</v>
      </c>
      <c r="Q40" t="s">
        <v>26</v>
      </c>
      <c r="R40" t="s">
        <v>2636</v>
      </c>
      <c r="S40">
        <v>50000000</v>
      </c>
      <c r="T40">
        <v>1800000000</v>
      </c>
      <c r="U40">
        <v>705336597.72000003</v>
      </c>
      <c r="Z40"/>
    </row>
    <row r="41" spans="1:26" x14ac:dyDescent="0.25">
      <c r="A41">
        <v>101925</v>
      </c>
      <c r="B41" t="s">
        <v>1240</v>
      </c>
      <c r="C41" t="s">
        <v>1252</v>
      </c>
      <c r="D41" t="s">
        <v>1283</v>
      </c>
      <c r="E41">
        <v>-14</v>
      </c>
      <c r="F41" s="105">
        <v>12147463.609999999</v>
      </c>
      <c r="G41" t="s">
        <v>1191</v>
      </c>
      <c r="H41">
        <v>182211.95</v>
      </c>
      <c r="I41">
        <v>14240533.140000001</v>
      </c>
      <c r="J41" s="384">
        <v>42228.610583368056</v>
      </c>
      <c r="K41" s="384">
        <v>43327</v>
      </c>
      <c r="L41" t="s">
        <v>1253</v>
      </c>
      <c r="M41" t="s">
        <v>1254</v>
      </c>
      <c r="N41" t="s">
        <v>1280</v>
      </c>
      <c r="O41" t="s">
        <v>44</v>
      </c>
      <c r="P41" t="s">
        <v>75</v>
      </c>
      <c r="Q41" t="s">
        <v>26</v>
      </c>
      <c r="R41" t="s">
        <v>2636</v>
      </c>
      <c r="S41">
        <v>31000000</v>
      </c>
      <c r="T41">
        <v>1116000000</v>
      </c>
      <c r="U41">
        <v>437308689.95999998</v>
      </c>
      <c r="Z41"/>
    </row>
    <row r="42" spans="1:26" x14ac:dyDescent="0.25">
      <c r="A42">
        <v>101931</v>
      </c>
      <c r="B42" t="s">
        <v>717</v>
      </c>
      <c r="C42" t="s">
        <v>718</v>
      </c>
      <c r="D42" t="s">
        <v>1841</v>
      </c>
      <c r="E42">
        <v>18</v>
      </c>
      <c r="F42" s="105">
        <v>10051545.210000001</v>
      </c>
      <c r="G42" t="s">
        <v>5726</v>
      </c>
      <c r="H42">
        <v>301546.36</v>
      </c>
      <c r="I42">
        <v>10958207.640000001</v>
      </c>
      <c r="J42" s="384">
        <v>42230.654949965276</v>
      </c>
      <c r="K42" s="384">
        <v>43144</v>
      </c>
      <c r="L42" t="s">
        <v>719</v>
      </c>
      <c r="M42" t="s">
        <v>720</v>
      </c>
      <c r="N42" t="s">
        <v>1280</v>
      </c>
      <c r="O42" t="s">
        <v>28</v>
      </c>
      <c r="P42" t="s">
        <v>26</v>
      </c>
      <c r="Q42" t="s">
        <v>26</v>
      </c>
      <c r="R42" t="s">
        <v>2856</v>
      </c>
      <c r="S42">
        <v>43060872</v>
      </c>
      <c r="T42">
        <v>1550191392</v>
      </c>
      <c r="U42">
        <v>361855627.56</v>
      </c>
      <c r="Z42"/>
    </row>
    <row r="43" spans="1:26" x14ac:dyDescent="0.25">
      <c r="A43">
        <v>101939</v>
      </c>
      <c r="B43" t="s">
        <v>1123</v>
      </c>
      <c r="C43" t="s">
        <v>1125</v>
      </c>
      <c r="D43" t="s">
        <v>1284</v>
      </c>
      <c r="E43">
        <v>43</v>
      </c>
      <c r="F43" s="105">
        <v>24849557.609999999</v>
      </c>
      <c r="G43" t="s">
        <v>5724</v>
      </c>
      <c r="H43">
        <v>942471.36</v>
      </c>
      <c r="I43">
        <v>29251562.120000001</v>
      </c>
      <c r="J43" s="384">
        <v>42234.622842789351</v>
      </c>
      <c r="K43" s="384">
        <v>43330</v>
      </c>
      <c r="L43" t="s">
        <v>1126</v>
      </c>
      <c r="M43" t="s">
        <v>1280</v>
      </c>
      <c r="N43" t="s">
        <v>1280</v>
      </c>
      <c r="O43" t="s">
        <v>25</v>
      </c>
      <c r="P43" t="s">
        <v>26</v>
      </c>
      <c r="Q43" t="s">
        <v>26</v>
      </c>
      <c r="R43" t="s">
        <v>2856</v>
      </c>
      <c r="S43">
        <v>55000000</v>
      </c>
      <c r="T43">
        <v>1980000000</v>
      </c>
      <c r="U43">
        <v>894584073.96000004</v>
      </c>
      <c r="Z43"/>
    </row>
    <row r="44" spans="1:26" x14ac:dyDescent="0.25">
      <c r="A44">
        <v>101943</v>
      </c>
      <c r="B44" t="s">
        <v>1266</v>
      </c>
      <c r="C44" t="s">
        <v>1267</v>
      </c>
      <c r="D44" t="s">
        <v>1283</v>
      </c>
      <c r="E44">
        <v>-20</v>
      </c>
      <c r="F44" s="105">
        <v>24060353.460000001</v>
      </c>
      <c r="G44" t="s">
        <v>5167</v>
      </c>
      <c r="H44">
        <v>997142.5</v>
      </c>
      <c r="I44">
        <v>28323747.190000001</v>
      </c>
      <c r="J44" s="384">
        <v>42234.675016782407</v>
      </c>
      <c r="K44" s="384">
        <v>43333</v>
      </c>
      <c r="L44" t="s">
        <v>1268</v>
      </c>
      <c r="M44" t="s">
        <v>1269</v>
      </c>
      <c r="N44" t="s">
        <v>1280</v>
      </c>
      <c r="O44" t="s">
        <v>25</v>
      </c>
      <c r="P44" t="s">
        <v>26</v>
      </c>
      <c r="Q44" t="s">
        <v>26</v>
      </c>
      <c r="R44" t="s">
        <v>2636</v>
      </c>
      <c r="S44">
        <v>60000000</v>
      </c>
      <c r="T44">
        <v>2160000000</v>
      </c>
      <c r="U44">
        <v>866172724.55999994</v>
      </c>
      <c r="Z44"/>
    </row>
    <row r="45" spans="1:26" x14ac:dyDescent="0.25">
      <c r="A45">
        <v>101944</v>
      </c>
      <c r="B45" t="s">
        <v>451</v>
      </c>
      <c r="C45" t="s">
        <v>454</v>
      </c>
      <c r="D45" t="s">
        <v>1850</v>
      </c>
      <c r="E45">
        <v>29</v>
      </c>
      <c r="F45" s="105">
        <v>29980930.129999999</v>
      </c>
      <c r="G45" t="s">
        <v>5724</v>
      </c>
      <c r="H45">
        <v>1655477.32</v>
      </c>
      <c r="I45">
        <v>36119095.039999999</v>
      </c>
      <c r="J45" s="384">
        <v>42235.604235219907</v>
      </c>
      <c r="K45" s="384">
        <v>43345</v>
      </c>
      <c r="L45" t="s">
        <v>455</v>
      </c>
      <c r="M45" t="s">
        <v>456</v>
      </c>
      <c r="N45" t="s">
        <v>1280</v>
      </c>
      <c r="O45" t="s">
        <v>25</v>
      </c>
      <c r="P45" t="s">
        <v>26</v>
      </c>
      <c r="Q45" t="s">
        <v>26</v>
      </c>
      <c r="R45" t="s">
        <v>2856</v>
      </c>
      <c r="S45">
        <v>64937977</v>
      </c>
      <c r="T45">
        <v>2337767172</v>
      </c>
      <c r="U45">
        <v>1079313484.6800001</v>
      </c>
      <c r="Z45"/>
    </row>
    <row r="46" spans="1:26" x14ac:dyDescent="0.25">
      <c r="A46">
        <v>101954</v>
      </c>
      <c r="B46" t="s">
        <v>854</v>
      </c>
      <c r="C46" t="s">
        <v>855</v>
      </c>
      <c r="D46" t="s">
        <v>1283</v>
      </c>
      <c r="E46">
        <v>-6</v>
      </c>
      <c r="F46" s="105">
        <v>30987984.469999999</v>
      </c>
      <c r="G46" t="s">
        <v>468</v>
      </c>
      <c r="H46">
        <v>712723.64</v>
      </c>
      <c r="I46">
        <v>36840125</v>
      </c>
      <c r="J46" s="384">
        <v>42237.669844328702</v>
      </c>
      <c r="K46" s="384">
        <v>43350</v>
      </c>
      <c r="L46" t="s">
        <v>856</v>
      </c>
      <c r="M46" t="s">
        <v>857</v>
      </c>
      <c r="N46" t="s">
        <v>1280</v>
      </c>
      <c r="O46" t="s">
        <v>29</v>
      </c>
      <c r="P46" t="s">
        <v>26</v>
      </c>
      <c r="Q46" t="s">
        <v>26</v>
      </c>
      <c r="R46" t="s">
        <v>2856</v>
      </c>
      <c r="S46">
        <v>72000000</v>
      </c>
      <c r="T46">
        <v>2592000000</v>
      </c>
      <c r="U46">
        <v>1115567440.9200001</v>
      </c>
      <c r="Z46"/>
    </row>
    <row r="47" spans="1:26" x14ac:dyDescent="0.25">
      <c r="A47">
        <v>101971</v>
      </c>
      <c r="B47" t="s">
        <v>215</v>
      </c>
      <c r="C47" t="s">
        <v>216</v>
      </c>
      <c r="D47" t="s">
        <v>1283</v>
      </c>
      <c r="E47">
        <v>60</v>
      </c>
      <c r="F47" s="105">
        <v>29369158.379999999</v>
      </c>
      <c r="G47" t="s">
        <v>5725</v>
      </c>
      <c r="H47">
        <v>1705734.69</v>
      </c>
      <c r="I47">
        <v>35900391.43</v>
      </c>
      <c r="J47" s="384">
        <v>42242.439896064818</v>
      </c>
      <c r="K47" s="384">
        <v>43344</v>
      </c>
      <c r="L47" t="s">
        <v>217</v>
      </c>
      <c r="M47" t="s">
        <v>218</v>
      </c>
      <c r="N47" t="s">
        <v>1280</v>
      </c>
      <c r="O47" t="s">
        <v>45</v>
      </c>
      <c r="P47" t="s">
        <v>45</v>
      </c>
      <c r="Q47" t="s">
        <v>26</v>
      </c>
      <c r="R47" t="s">
        <v>2856</v>
      </c>
      <c r="S47">
        <v>60000000</v>
      </c>
      <c r="T47">
        <v>2160000000</v>
      </c>
      <c r="U47">
        <v>1057289701.6799999</v>
      </c>
      <c r="Z47"/>
    </row>
    <row r="48" spans="1:26" x14ac:dyDescent="0.25">
      <c r="A48">
        <v>101980</v>
      </c>
      <c r="B48" t="s">
        <v>1145</v>
      </c>
      <c r="C48" t="s">
        <v>1270</v>
      </c>
      <c r="D48" t="s">
        <v>1282</v>
      </c>
      <c r="E48">
        <v>10</v>
      </c>
      <c r="F48" s="105">
        <v>5056531.8600000003</v>
      </c>
      <c r="G48" t="s">
        <v>5726</v>
      </c>
      <c r="H48">
        <v>74977.460000000006</v>
      </c>
      <c r="I48">
        <v>5498149.8300000001</v>
      </c>
      <c r="J48" s="384">
        <v>42243.690604050928</v>
      </c>
      <c r="K48" s="384">
        <v>43333</v>
      </c>
      <c r="L48" t="s">
        <v>1271</v>
      </c>
      <c r="M48" t="s">
        <v>1272</v>
      </c>
      <c r="N48" t="s">
        <v>1280</v>
      </c>
      <c r="O48" t="s">
        <v>43</v>
      </c>
      <c r="P48" t="s">
        <v>26</v>
      </c>
      <c r="Q48" t="s">
        <v>26</v>
      </c>
      <c r="R48" t="s">
        <v>2856</v>
      </c>
      <c r="S48">
        <v>14000000</v>
      </c>
      <c r="T48">
        <v>252000000</v>
      </c>
      <c r="U48">
        <v>91017573.480000004</v>
      </c>
      <c r="Z48"/>
    </row>
    <row r="49" spans="1:26" x14ac:dyDescent="0.25">
      <c r="A49">
        <v>101990</v>
      </c>
      <c r="B49" t="s">
        <v>1301</v>
      </c>
      <c r="C49" t="s">
        <v>1302</v>
      </c>
      <c r="D49" t="s">
        <v>1283</v>
      </c>
      <c r="E49">
        <v>16</v>
      </c>
      <c r="F49" s="105">
        <v>17227431.75</v>
      </c>
      <c r="G49" t="s">
        <v>5724</v>
      </c>
      <c r="H49">
        <v>257943.15</v>
      </c>
      <c r="I49">
        <v>20467975.390000001</v>
      </c>
      <c r="J49" s="384">
        <v>42244.742318634257</v>
      </c>
      <c r="K49" s="384">
        <v>43358</v>
      </c>
      <c r="L49" t="s">
        <v>1303</v>
      </c>
      <c r="M49" t="s">
        <v>1280</v>
      </c>
      <c r="N49" t="s">
        <v>1280</v>
      </c>
      <c r="O49" t="s">
        <v>35</v>
      </c>
      <c r="P49" t="s">
        <v>121</v>
      </c>
      <c r="Q49" t="s">
        <v>26</v>
      </c>
      <c r="R49" t="s">
        <v>2636</v>
      </c>
      <c r="S49">
        <v>40000000</v>
      </c>
      <c r="T49">
        <v>1440000000</v>
      </c>
      <c r="U49">
        <v>620187543</v>
      </c>
      <c r="Z49"/>
    </row>
    <row r="50" spans="1:26" x14ac:dyDescent="0.25">
      <c r="A50">
        <v>101991</v>
      </c>
      <c r="B50" t="s">
        <v>1304</v>
      </c>
      <c r="C50" t="s">
        <v>1305</v>
      </c>
      <c r="D50" t="s">
        <v>1283</v>
      </c>
      <c r="E50">
        <v>-4</v>
      </c>
      <c r="F50" s="105">
        <v>8586304.0500000007</v>
      </c>
      <c r="G50" t="s">
        <v>468</v>
      </c>
      <c r="H50">
        <v>214657.6</v>
      </c>
      <c r="I50">
        <v>9374293.6999999993</v>
      </c>
      <c r="J50" s="384">
        <v>42244.750642743056</v>
      </c>
      <c r="K50" s="384">
        <v>43164</v>
      </c>
      <c r="L50" t="s">
        <v>1306</v>
      </c>
      <c r="M50" t="s">
        <v>1280</v>
      </c>
      <c r="N50" t="s">
        <v>1280</v>
      </c>
      <c r="O50" t="s">
        <v>44</v>
      </c>
      <c r="P50" t="s">
        <v>75</v>
      </c>
      <c r="Q50" t="s">
        <v>26</v>
      </c>
      <c r="R50" t="s">
        <v>2636</v>
      </c>
      <c r="S50">
        <v>36500000</v>
      </c>
      <c r="T50">
        <v>1314000000</v>
      </c>
      <c r="U50">
        <v>309106945.80000001</v>
      </c>
      <c r="Z50"/>
    </row>
    <row r="51" spans="1:26" x14ac:dyDescent="0.25">
      <c r="A51">
        <v>101997</v>
      </c>
      <c r="B51" t="s">
        <v>824</v>
      </c>
      <c r="C51" t="s">
        <v>729</v>
      </c>
      <c r="D51" t="s">
        <v>1850</v>
      </c>
      <c r="E51">
        <v>29</v>
      </c>
      <c r="F51" s="105">
        <v>20876300.52</v>
      </c>
      <c r="G51" t="s">
        <v>5725</v>
      </c>
      <c r="H51">
        <v>626289.02</v>
      </c>
      <c r="I51">
        <v>25167320.199999999</v>
      </c>
      <c r="J51" s="384">
        <v>42245.596607175925</v>
      </c>
      <c r="K51" s="384">
        <v>43345</v>
      </c>
      <c r="L51" t="s">
        <v>828</v>
      </c>
      <c r="M51" t="s">
        <v>829</v>
      </c>
      <c r="N51" t="s">
        <v>1280</v>
      </c>
      <c r="O51" t="s">
        <v>44</v>
      </c>
      <c r="P51" t="s">
        <v>92</v>
      </c>
      <c r="Q51" t="s">
        <v>26</v>
      </c>
      <c r="R51" t="s">
        <v>2856</v>
      </c>
      <c r="S51">
        <v>45655298</v>
      </c>
      <c r="T51">
        <v>1643590728</v>
      </c>
      <c r="U51">
        <v>751546818.72000003</v>
      </c>
      <c r="Z51"/>
    </row>
    <row r="52" spans="1:26" x14ac:dyDescent="0.25">
      <c r="A52">
        <v>102006</v>
      </c>
      <c r="B52" t="s">
        <v>1309</v>
      </c>
      <c r="C52" t="s">
        <v>1310</v>
      </c>
      <c r="D52" t="s">
        <v>1281</v>
      </c>
      <c r="E52">
        <v>86</v>
      </c>
      <c r="F52" s="105">
        <v>2682654.79</v>
      </c>
      <c r="G52" t="s">
        <v>5724</v>
      </c>
      <c r="H52">
        <v>51178.07</v>
      </c>
      <c r="I52">
        <v>2735597.62</v>
      </c>
      <c r="J52" s="384">
        <v>42247.742464317133</v>
      </c>
      <c r="K52" s="384">
        <v>42983</v>
      </c>
      <c r="L52" t="s">
        <v>1311</v>
      </c>
      <c r="M52" t="s">
        <v>1312</v>
      </c>
      <c r="N52" t="s">
        <v>1280</v>
      </c>
      <c r="O52" t="s">
        <v>37</v>
      </c>
      <c r="P52" t="s">
        <v>288</v>
      </c>
      <c r="Q52" t="s">
        <v>1313</v>
      </c>
      <c r="R52" t="s">
        <v>2636</v>
      </c>
      <c r="S52">
        <v>25000000</v>
      </c>
      <c r="T52">
        <v>1050000000</v>
      </c>
      <c r="U52">
        <v>112671501.18000001</v>
      </c>
      <c r="Z52"/>
    </row>
    <row r="53" spans="1:26" x14ac:dyDescent="0.25">
      <c r="A53">
        <v>102010</v>
      </c>
      <c r="B53" t="s">
        <v>335</v>
      </c>
      <c r="C53" t="s">
        <v>336</v>
      </c>
      <c r="D53" t="s">
        <v>1284</v>
      </c>
      <c r="E53">
        <v>-6</v>
      </c>
      <c r="F53" s="105">
        <v>10667138.1</v>
      </c>
      <c r="G53" t="s">
        <v>546</v>
      </c>
      <c r="H53">
        <v>245344.18</v>
      </c>
      <c r="I53">
        <v>12681647.689999999</v>
      </c>
      <c r="J53" s="384">
        <v>42247.794150810187</v>
      </c>
      <c r="K53" s="384">
        <v>43350</v>
      </c>
      <c r="L53" t="s">
        <v>337</v>
      </c>
      <c r="M53" t="s">
        <v>1280</v>
      </c>
      <c r="N53" t="s">
        <v>1280</v>
      </c>
      <c r="O53" t="s">
        <v>28</v>
      </c>
      <c r="P53" t="s">
        <v>26</v>
      </c>
      <c r="Q53" t="s">
        <v>26</v>
      </c>
      <c r="R53" t="s">
        <v>2856</v>
      </c>
      <c r="S53">
        <v>25000000</v>
      </c>
      <c r="T53">
        <v>900000000</v>
      </c>
      <c r="U53">
        <v>384016971.60000002</v>
      </c>
      <c r="Z53"/>
    </row>
    <row r="54" spans="1:26" x14ac:dyDescent="0.25">
      <c r="A54">
        <v>102011</v>
      </c>
      <c r="B54" t="s">
        <v>487</v>
      </c>
      <c r="C54" t="s">
        <v>488</v>
      </c>
      <c r="D54" t="s">
        <v>1841</v>
      </c>
      <c r="E54">
        <v>-4</v>
      </c>
      <c r="F54" s="105">
        <v>10007503.939999999</v>
      </c>
      <c r="G54" t="s">
        <v>963</v>
      </c>
      <c r="H54">
        <v>291885.53000000003</v>
      </c>
      <c r="I54">
        <v>12229286.15</v>
      </c>
      <c r="J54" s="384">
        <v>42247.800327627316</v>
      </c>
      <c r="K54" s="384">
        <v>43348</v>
      </c>
      <c r="L54" t="s">
        <v>489</v>
      </c>
      <c r="M54" t="s">
        <v>490</v>
      </c>
      <c r="N54" t="s">
        <v>1280</v>
      </c>
      <c r="O54" t="s">
        <v>36</v>
      </c>
      <c r="P54" t="s">
        <v>97</v>
      </c>
      <c r="Q54" t="s">
        <v>98</v>
      </c>
      <c r="R54" t="s">
        <v>2856</v>
      </c>
      <c r="S54">
        <v>22431597</v>
      </c>
      <c r="T54">
        <v>942127074</v>
      </c>
      <c r="U54">
        <v>420315165.48000002</v>
      </c>
      <c r="Z54"/>
    </row>
    <row r="55" spans="1:26" x14ac:dyDescent="0.25">
      <c r="A55">
        <v>102044</v>
      </c>
      <c r="B55" t="s">
        <v>109</v>
      </c>
      <c r="C55" t="s">
        <v>267</v>
      </c>
      <c r="D55" t="s">
        <v>1284</v>
      </c>
      <c r="E55">
        <v>-9</v>
      </c>
      <c r="F55" s="105">
        <v>26970582.52</v>
      </c>
      <c r="G55" t="s">
        <v>1039</v>
      </c>
      <c r="H55">
        <v>1409862.94</v>
      </c>
      <c r="I55">
        <v>32064029.030000001</v>
      </c>
      <c r="J55" s="384">
        <v>42259.50795107639</v>
      </c>
      <c r="K55" s="384">
        <v>43353</v>
      </c>
      <c r="L55" t="s">
        <v>268</v>
      </c>
      <c r="M55" t="s">
        <v>269</v>
      </c>
      <c r="N55" t="s">
        <v>1280</v>
      </c>
      <c r="O55" t="s">
        <v>25</v>
      </c>
      <c r="P55" t="s">
        <v>101</v>
      </c>
      <c r="Q55" t="s">
        <v>26</v>
      </c>
      <c r="R55" t="s">
        <v>2856</v>
      </c>
      <c r="S55">
        <v>63762900</v>
      </c>
      <c r="T55">
        <v>2295464400</v>
      </c>
      <c r="U55">
        <v>970940970.72000003</v>
      </c>
      <c r="Z55"/>
    </row>
    <row r="56" spans="1:26" x14ac:dyDescent="0.25">
      <c r="A56">
        <v>102051</v>
      </c>
      <c r="B56" t="s">
        <v>1326</v>
      </c>
      <c r="C56" t="s">
        <v>1327</v>
      </c>
      <c r="D56" t="s">
        <v>1283</v>
      </c>
      <c r="E56">
        <v>163</v>
      </c>
      <c r="F56" s="105">
        <v>36253749.93</v>
      </c>
      <c r="G56" t="s">
        <v>5724</v>
      </c>
      <c r="H56">
        <v>2084222.67</v>
      </c>
      <c r="I56">
        <v>46804152.049999997</v>
      </c>
      <c r="J56" s="384">
        <v>42263.613655173613</v>
      </c>
      <c r="K56" s="384">
        <v>43361</v>
      </c>
      <c r="L56" t="s">
        <v>1328</v>
      </c>
      <c r="M56" t="s">
        <v>1280</v>
      </c>
      <c r="N56" t="s">
        <v>1280</v>
      </c>
      <c r="O56" t="s">
        <v>27</v>
      </c>
      <c r="P56" t="s">
        <v>116</v>
      </c>
      <c r="Q56" t="s">
        <v>26</v>
      </c>
      <c r="R56" t="s">
        <v>2856</v>
      </c>
      <c r="S56">
        <v>60000000</v>
      </c>
      <c r="T56">
        <v>2160000000</v>
      </c>
      <c r="U56">
        <v>1305134997.48</v>
      </c>
      <c r="Z56"/>
    </row>
    <row r="57" spans="1:26" x14ac:dyDescent="0.25">
      <c r="A57">
        <v>102056</v>
      </c>
      <c r="B57" t="s">
        <v>1370</v>
      </c>
      <c r="C57" t="s">
        <v>1371</v>
      </c>
      <c r="D57" t="s">
        <v>1283</v>
      </c>
      <c r="E57">
        <v>11</v>
      </c>
      <c r="F57" s="105">
        <v>19323959.43</v>
      </c>
      <c r="G57" t="s">
        <v>1191</v>
      </c>
      <c r="H57">
        <v>191267.85</v>
      </c>
      <c r="I57">
        <v>22936089.649999999</v>
      </c>
      <c r="J57" s="384">
        <v>42264.720444016202</v>
      </c>
      <c r="K57" s="384">
        <v>43363</v>
      </c>
      <c r="L57" t="s">
        <v>1372</v>
      </c>
      <c r="M57" t="s">
        <v>1715</v>
      </c>
      <c r="N57" t="s">
        <v>4801</v>
      </c>
      <c r="O57" t="s">
        <v>44</v>
      </c>
      <c r="P57" t="s">
        <v>75</v>
      </c>
      <c r="Q57" t="s">
        <v>26</v>
      </c>
      <c r="R57" t="s">
        <v>2636</v>
      </c>
      <c r="S57">
        <v>45000000</v>
      </c>
      <c r="T57">
        <v>1620000000</v>
      </c>
      <c r="U57">
        <v>695662539.48000002</v>
      </c>
      <c r="Z57"/>
    </row>
    <row r="58" spans="1:26" x14ac:dyDescent="0.25">
      <c r="A58">
        <v>102057</v>
      </c>
      <c r="B58" t="s">
        <v>1211</v>
      </c>
      <c r="C58" t="s">
        <v>1213</v>
      </c>
      <c r="D58" t="s">
        <v>1850</v>
      </c>
      <c r="E58">
        <v>39</v>
      </c>
      <c r="F58" s="105">
        <v>3333418.48</v>
      </c>
      <c r="G58" t="s">
        <v>5724</v>
      </c>
      <c r="H58">
        <v>261893.86</v>
      </c>
      <c r="I58">
        <v>3700348.5</v>
      </c>
      <c r="J58" s="384">
        <v>42265.354739814815</v>
      </c>
      <c r="K58" s="384">
        <v>43181</v>
      </c>
      <c r="L58" t="s">
        <v>1214</v>
      </c>
      <c r="M58" t="s">
        <v>1280</v>
      </c>
      <c r="N58" t="s">
        <v>1280</v>
      </c>
      <c r="O58" t="s">
        <v>44</v>
      </c>
      <c r="P58" t="s">
        <v>75</v>
      </c>
      <c r="Q58" t="s">
        <v>26</v>
      </c>
      <c r="R58" t="s">
        <v>2856</v>
      </c>
      <c r="S58">
        <v>10446351</v>
      </c>
      <c r="T58">
        <v>376068636</v>
      </c>
      <c r="U58">
        <v>120003065.28</v>
      </c>
      <c r="Z58"/>
    </row>
    <row r="59" spans="1:26" x14ac:dyDescent="0.25">
      <c r="A59">
        <v>102064</v>
      </c>
      <c r="B59" t="s">
        <v>1373</v>
      </c>
      <c r="C59" t="s">
        <v>1374</v>
      </c>
      <c r="D59" t="s">
        <v>1283</v>
      </c>
      <c r="E59">
        <v>-24</v>
      </c>
      <c r="F59" s="105">
        <v>17018045.469999999</v>
      </c>
      <c r="G59" t="s">
        <v>1447</v>
      </c>
      <c r="H59">
        <v>85090.23</v>
      </c>
      <c r="I59">
        <v>20231936.140000001</v>
      </c>
      <c r="J59" s="384">
        <v>42268.715586689817</v>
      </c>
      <c r="K59" s="384">
        <v>43368</v>
      </c>
      <c r="L59" t="s">
        <v>1375</v>
      </c>
      <c r="M59" t="s">
        <v>1280</v>
      </c>
      <c r="N59" t="s">
        <v>1280</v>
      </c>
      <c r="O59" t="s">
        <v>27</v>
      </c>
      <c r="P59" t="s">
        <v>81</v>
      </c>
      <c r="Q59" t="s">
        <v>26</v>
      </c>
      <c r="R59" t="s">
        <v>2636</v>
      </c>
      <c r="S59">
        <v>40000000</v>
      </c>
      <c r="T59">
        <v>1440000000</v>
      </c>
      <c r="U59">
        <v>612649636.91999996</v>
      </c>
      <c r="Z59"/>
    </row>
    <row r="60" spans="1:26" x14ac:dyDescent="0.25">
      <c r="A60">
        <v>102065</v>
      </c>
      <c r="B60" t="s">
        <v>1376</v>
      </c>
      <c r="C60" t="s">
        <v>1377</v>
      </c>
      <c r="D60" t="s">
        <v>1284</v>
      </c>
      <c r="E60">
        <v>39</v>
      </c>
      <c r="F60" s="105">
        <v>36569567.960000001</v>
      </c>
      <c r="G60" t="s">
        <v>546</v>
      </c>
      <c r="H60">
        <v>2123928.1</v>
      </c>
      <c r="I60">
        <v>44702057.399999999</v>
      </c>
      <c r="J60" s="384">
        <v>42268.742467361109</v>
      </c>
      <c r="K60" s="384">
        <v>43365</v>
      </c>
      <c r="L60" t="s">
        <v>1378</v>
      </c>
      <c r="M60" t="s">
        <v>1379</v>
      </c>
      <c r="N60" t="s">
        <v>1280</v>
      </c>
      <c r="O60" t="s">
        <v>35</v>
      </c>
      <c r="P60" t="s">
        <v>121</v>
      </c>
      <c r="Q60" t="s">
        <v>122</v>
      </c>
      <c r="R60" t="s">
        <v>2636</v>
      </c>
      <c r="S60">
        <v>75000000</v>
      </c>
      <c r="T60">
        <v>2700000000</v>
      </c>
      <c r="U60">
        <v>1316504446.5599999</v>
      </c>
      <c r="Z60"/>
    </row>
    <row r="61" spans="1:26" x14ac:dyDescent="0.25">
      <c r="A61">
        <v>102088</v>
      </c>
      <c r="B61" t="s">
        <v>1419</v>
      </c>
      <c r="C61" t="s">
        <v>1420</v>
      </c>
      <c r="D61" t="s">
        <v>1283</v>
      </c>
      <c r="E61">
        <v>171</v>
      </c>
      <c r="F61" s="105">
        <v>19756376.18</v>
      </c>
      <c r="G61" t="s">
        <v>5724</v>
      </c>
      <c r="H61">
        <v>831543.25</v>
      </c>
      <c r="I61">
        <v>25546672.579999998</v>
      </c>
      <c r="J61" s="384">
        <v>42275.753918750001</v>
      </c>
      <c r="K61" s="384">
        <v>43383</v>
      </c>
      <c r="L61" t="s">
        <v>1421</v>
      </c>
      <c r="M61" t="s">
        <v>1422</v>
      </c>
      <c r="N61" t="s">
        <v>1280</v>
      </c>
      <c r="O61" t="s">
        <v>44</v>
      </c>
      <c r="P61" t="s">
        <v>75</v>
      </c>
      <c r="Q61" t="s">
        <v>26</v>
      </c>
      <c r="R61" t="s">
        <v>2636</v>
      </c>
      <c r="S61">
        <v>31000000</v>
      </c>
      <c r="T61">
        <v>1116000000</v>
      </c>
      <c r="U61">
        <v>711229542.48000002</v>
      </c>
      <c r="Z61"/>
    </row>
    <row r="62" spans="1:26" x14ac:dyDescent="0.25">
      <c r="A62">
        <v>102099</v>
      </c>
      <c r="B62" t="s">
        <v>1427</v>
      </c>
      <c r="C62" t="s">
        <v>1428</v>
      </c>
      <c r="D62" t="s">
        <v>1283</v>
      </c>
      <c r="E62">
        <v>-1</v>
      </c>
      <c r="F62" s="105">
        <v>34261234.030000001</v>
      </c>
      <c r="G62" t="s">
        <v>2855</v>
      </c>
      <c r="H62">
        <v>959314.55</v>
      </c>
      <c r="I62">
        <v>41303460.25</v>
      </c>
      <c r="J62" s="384">
        <v>42277.464006365743</v>
      </c>
      <c r="K62" s="384">
        <v>43375</v>
      </c>
      <c r="L62" t="s">
        <v>1429</v>
      </c>
      <c r="M62" t="s">
        <v>1280</v>
      </c>
      <c r="N62" t="s">
        <v>1280</v>
      </c>
      <c r="O62" t="s">
        <v>44</v>
      </c>
      <c r="P62" t="s">
        <v>75</v>
      </c>
      <c r="Q62" t="s">
        <v>26</v>
      </c>
      <c r="R62" t="s">
        <v>2636</v>
      </c>
      <c r="S62">
        <v>75000000</v>
      </c>
      <c r="T62">
        <v>2700000000</v>
      </c>
      <c r="U62">
        <v>1233404425.0799999</v>
      </c>
      <c r="Z62"/>
    </row>
    <row r="63" spans="1:26" x14ac:dyDescent="0.25">
      <c r="A63">
        <v>102102</v>
      </c>
      <c r="B63" t="s">
        <v>1063</v>
      </c>
      <c r="C63" t="s">
        <v>1067</v>
      </c>
      <c r="D63" t="s">
        <v>1283</v>
      </c>
      <c r="E63">
        <v>-14</v>
      </c>
      <c r="F63" s="105">
        <v>34692819.32</v>
      </c>
      <c r="G63" t="s">
        <v>963</v>
      </c>
      <c r="H63">
        <v>520392.29</v>
      </c>
      <c r="I63">
        <v>41823755.759999998</v>
      </c>
      <c r="J63" s="384">
        <v>42277.528308530091</v>
      </c>
      <c r="K63" s="384">
        <v>43388</v>
      </c>
      <c r="L63" t="s">
        <v>1068</v>
      </c>
      <c r="M63" t="s">
        <v>1280</v>
      </c>
      <c r="N63" t="s">
        <v>1280</v>
      </c>
      <c r="O63" t="s">
        <v>44</v>
      </c>
      <c r="P63" t="s">
        <v>75</v>
      </c>
      <c r="Q63" t="s">
        <v>26</v>
      </c>
      <c r="R63" t="s">
        <v>2856</v>
      </c>
      <c r="S63">
        <v>75000000</v>
      </c>
      <c r="T63">
        <v>2700000000</v>
      </c>
      <c r="U63">
        <v>1248941495.52</v>
      </c>
      <c r="Z63"/>
    </row>
    <row r="64" spans="1:26" x14ac:dyDescent="0.25">
      <c r="A64">
        <v>102107</v>
      </c>
      <c r="B64" t="s">
        <v>1434</v>
      </c>
      <c r="C64" t="s">
        <v>1435</v>
      </c>
      <c r="D64" t="s">
        <v>1281</v>
      </c>
      <c r="E64">
        <v>30</v>
      </c>
      <c r="F64" s="105">
        <v>11183352.5</v>
      </c>
      <c r="G64" t="s">
        <v>90</v>
      </c>
      <c r="H64">
        <v>746305.19</v>
      </c>
      <c r="I64">
        <v>14111159.220000001</v>
      </c>
      <c r="J64" s="384">
        <v>42277.652901157409</v>
      </c>
      <c r="K64" s="384">
        <v>43374</v>
      </c>
      <c r="L64" t="s">
        <v>1436</v>
      </c>
      <c r="M64" t="s">
        <v>1280</v>
      </c>
      <c r="N64" t="s">
        <v>1280</v>
      </c>
      <c r="O64" t="s">
        <v>44</v>
      </c>
      <c r="P64" t="s">
        <v>75</v>
      </c>
      <c r="Q64" t="s">
        <v>1442</v>
      </c>
      <c r="R64" t="s">
        <v>2636</v>
      </c>
      <c r="S64">
        <v>22000000</v>
      </c>
      <c r="T64">
        <v>924000000</v>
      </c>
      <c r="U64">
        <v>469700805</v>
      </c>
      <c r="Z64"/>
    </row>
    <row r="65" spans="1:26" x14ac:dyDescent="0.25">
      <c r="A65">
        <v>102125</v>
      </c>
      <c r="B65" t="s">
        <v>645</v>
      </c>
      <c r="C65" t="s">
        <v>646</v>
      </c>
      <c r="D65" t="s">
        <v>1284</v>
      </c>
      <c r="E65">
        <v>-6</v>
      </c>
      <c r="F65" s="105">
        <v>34194836.409999996</v>
      </c>
      <c r="G65" t="s">
        <v>491</v>
      </c>
      <c r="H65">
        <v>786481.24</v>
      </c>
      <c r="I65">
        <v>41223414.969999999</v>
      </c>
      <c r="J65" s="384">
        <v>42284.707001423609</v>
      </c>
      <c r="K65" s="384">
        <v>43380</v>
      </c>
      <c r="L65" t="s">
        <v>647</v>
      </c>
      <c r="M65" t="s">
        <v>648</v>
      </c>
      <c r="N65" t="s">
        <v>1280</v>
      </c>
      <c r="O65" t="s">
        <v>44</v>
      </c>
      <c r="P65" t="s">
        <v>92</v>
      </c>
      <c r="Q65" t="s">
        <v>26</v>
      </c>
      <c r="R65" t="s">
        <v>2856</v>
      </c>
      <c r="S65">
        <v>75000000</v>
      </c>
      <c r="T65">
        <v>2700000000</v>
      </c>
      <c r="U65">
        <v>1231014110.76</v>
      </c>
      <c r="Z65"/>
    </row>
    <row r="66" spans="1:26" x14ac:dyDescent="0.25">
      <c r="A66">
        <v>102129</v>
      </c>
      <c r="B66" t="s">
        <v>1455</v>
      </c>
      <c r="C66" t="s">
        <v>1466</v>
      </c>
      <c r="D66" t="s">
        <v>1284</v>
      </c>
      <c r="E66">
        <v>-11</v>
      </c>
      <c r="F66" s="105">
        <v>22796557.5</v>
      </c>
      <c r="G66" t="s">
        <v>1467</v>
      </c>
      <c r="H66">
        <v>410338.04</v>
      </c>
      <c r="I66">
        <v>27482276.510000002</v>
      </c>
      <c r="J66" s="384">
        <v>42289.678322650463</v>
      </c>
      <c r="K66" s="384">
        <v>43385</v>
      </c>
      <c r="L66" t="s">
        <v>1468</v>
      </c>
      <c r="M66" t="s">
        <v>1469</v>
      </c>
      <c r="N66" t="s">
        <v>1280</v>
      </c>
      <c r="O66" t="s">
        <v>25</v>
      </c>
      <c r="P66" t="s">
        <v>88</v>
      </c>
      <c r="Q66" t="s">
        <v>26</v>
      </c>
      <c r="R66" t="s">
        <v>2636</v>
      </c>
      <c r="S66">
        <v>50000000</v>
      </c>
      <c r="T66">
        <v>1800000000</v>
      </c>
      <c r="U66">
        <v>820676070</v>
      </c>
      <c r="Z66"/>
    </row>
    <row r="67" spans="1:26" x14ac:dyDescent="0.25">
      <c r="A67">
        <v>102130</v>
      </c>
      <c r="B67" t="s">
        <v>1444</v>
      </c>
      <c r="C67" t="s">
        <v>1470</v>
      </c>
      <c r="D67" t="s">
        <v>1283</v>
      </c>
      <c r="E67">
        <v>-14</v>
      </c>
      <c r="F67" s="105">
        <v>34294432.770000003</v>
      </c>
      <c r="G67" t="s">
        <v>5725</v>
      </c>
      <c r="H67">
        <v>514416.49</v>
      </c>
      <c r="I67">
        <v>41343482.810000002</v>
      </c>
      <c r="J67" s="384">
        <v>42289.731255636572</v>
      </c>
      <c r="K67" s="384">
        <v>43388</v>
      </c>
      <c r="L67" t="s">
        <v>1471</v>
      </c>
      <c r="M67" t="s">
        <v>1472</v>
      </c>
      <c r="N67" t="s">
        <v>1280</v>
      </c>
      <c r="O67" t="s">
        <v>44</v>
      </c>
      <c r="P67" t="s">
        <v>75</v>
      </c>
      <c r="Q67" t="s">
        <v>26</v>
      </c>
      <c r="R67" t="s">
        <v>2636</v>
      </c>
      <c r="S67">
        <v>75000000</v>
      </c>
      <c r="T67">
        <v>2700000000</v>
      </c>
      <c r="U67">
        <v>1234599579.72</v>
      </c>
      <c r="Z67"/>
    </row>
    <row r="68" spans="1:26" x14ac:dyDescent="0.25">
      <c r="A68">
        <v>102131</v>
      </c>
      <c r="B68" t="s">
        <v>1454</v>
      </c>
      <c r="C68" t="s">
        <v>1473</v>
      </c>
      <c r="D68" t="s">
        <v>1284</v>
      </c>
      <c r="E68">
        <v>16</v>
      </c>
      <c r="F68" s="105">
        <v>7321007.7199999997</v>
      </c>
      <c r="G68" t="s">
        <v>1467</v>
      </c>
      <c r="H68">
        <v>257888.82</v>
      </c>
      <c r="I68">
        <v>8884558.1600000001</v>
      </c>
      <c r="J68" s="384">
        <v>42290.472969710645</v>
      </c>
      <c r="K68" s="384">
        <v>43388</v>
      </c>
      <c r="L68" t="s">
        <v>1474</v>
      </c>
      <c r="M68" t="s">
        <v>1280</v>
      </c>
      <c r="N68" t="s">
        <v>1475</v>
      </c>
      <c r="O68" t="s">
        <v>44</v>
      </c>
      <c r="P68" t="s">
        <v>92</v>
      </c>
      <c r="Q68" t="s">
        <v>26</v>
      </c>
      <c r="R68" t="s">
        <v>2636</v>
      </c>
      <c r="S68">
        <v>15000000</v>
      </c>
      <c r="T68">
        <v>540000000</v>
      </c>
      <c r="U68">
        <v>263556277.91999999</v>
      </c>
      <c r="Z68"/>
    </row>
    <row r="69" spans="1:26" x14ac:dyDescent="0.25">
      <c r="A69">
        <v>102143</v>
      </c>
      <c r="B69" t="s">
        <v>1445</v>
      </c>
      <c r="C69" t="s">
        <v>1479</v>
      </c>
      <c r="D69" t="s">
        <v>1284</v>
      </c>
      <c r="E69">
        <v>-14</v>
      </c>
      <c r="F69" s="105">
        <v>18237245.899999999</v>
      </c>
      <c r="G69" t="s">
        <v>1467</v>
      </c>
      <c r="H69">
        <v>273558.69</v>
      </c>
      <c r="I69">
        <v>21985821.039999999</v>
      </c>
      <c r="J69" s="384">
        <v>42292.551115706017</v>
      </c>
      <c r="K69" s="384">
        <v>43388</v>
      </c>
      <c r="L69" t="s">
        <v>1481</v>
      </c>
      <c r="M69" t="s">
        <v>1280</v>
      </c>
      <c r="N69" t="s">
        <v>1280</v>
      </c>
      <c r="O69" t="s">
        <v>44</v>
      </c>
      <c r="P69" t="s">
        <v>75</v>
      </c>
      <c r="Q69" t="s">
        <v>26</v>
      </c>
      <c r="R69" t="s">
        <v>2636</v>
      </c>
      <c r="S69">
        <v>40000000</v>
      </c>
      <c r="T69">
        <v>1440000000</v>
      </c>
      <c r="U69">
        <v>656540852.39999998</v>
      </c>
      <c r="Z69"/>
    </row>
    <row r="70" spans="1:26" x14ac:dyDescent="0.25">
      <c r="A70">
        <v>102148</v>
      </c>
      <c r="B70" t="s">
        <v>697</v>
      </c>
      <c r="C70" t="s">
        <v>702</v>
      </c>
      <c r="D70" t="s">
        <v>1282</v>
      </c>
      <c r="E70">
        <v>60</v>
      </c>
      <c r="F70" s="105">
        <v>1855095.95</v>
      </c>
      <c r="G70" t="s">
        <v>468</v>
      </c>
      <c r="H70">
        <v>124636.58</v>
      </c>
      <c r="I70">
        <v>2005443.34</v>
      </c>
      <c r="J70" s="384">
        <v>42293.454223298613</v>
      </c>
      <c r="K70" s="384">
        <v>43040</v>
      </c>
      <c r="L70" t="s">
        <v>703</v>
      </c>
      <c r="M70" t="s">
        <v>1280</v>
      </c>
      <c r="N70" t="s">
        <v>1280</v>
      </c>
      <c r="O70" t="s">
        <v>44</v>
      </c>
      <c r="P70" t="s">
        <v>75</v>
      </c>
      <c r="Q70" t="s">
        <v>26</v>
      </c>
      <c r="R70" t="s">
        <v>2856</v>
      </c>
      <c r="S70">
        <v>10000000</v>
      </c>
      <c r="T70">
        <v>480000000</v>
      </c>
      <c r="U70">
        <v>89044605.599999994</v>
      </c>
      <c r="Z70"/>
    </row>
    <row r="71" spans="1:26" x14ac:dyDescent="0.25">
      <c r="A71">
        <v>102150</v>
      </c>
      <c r="B71" t="s">
        <v>233</v>
      </c>
      <c r="C71" t="s">
        <v>234</v>
      </c>
      <c r="D71" t="s">
        <v>1283</v>
      </c>
      <c r="E71">
        <v>-1</v>
      </c>
      <c r="F71" s="105">
        <v>32649423.859999999</v>
      </c>
      <c r="G71" t="s">
        <v>90</v>
      </c>
      <c r="H71">
        <v>914183.87</v>
      </c>
      <c r="I71">
        <v>39910135.700000003</v>
      </c>
      <c r="J71" s="384">
        <v>42293.597538738424</v>
      </c>
      <c r="K71" s="384">
        <v>43406</v>
      </c>
      <c r="L71" t="s">
        <v>235</v>
      </c>
      <c r="M71" t="s">
        <v>1280</v>
      </c>
      <c r="N71" t="s">
        <v>1280</v>
      </c>
      <c r="O71" t="s">
        <v>45</v>
      </c>
      <c r="P71" t="s">
        <v>45</v>
      </c>
      <c r="Q71" t="s">
        <v>26</v>
      </c>
      <c r="R71" t="s">
        <v>2856</v>
      </c>
      <c r="S71">
        <v>66000000</v>
      </c>
      <c r="T71">
        <v>2376000000</v>
      </c>
      <c r="U71">
        <v>1175379258.96</v>
      </c>
      <c r="Z71"/>
    </row>
    <row r="72" spans="1:26" x14ac:dyDescent="0.25">
      <c r="A72">
        <v>102151</v>
      </c>
      <c r="B72" t="s">
        <v>1485</v>
      </c>
      <c r="C72" t="s">
        <v>1486</v>
      </c>
      <c r="D72" t="s">
        <v>1284</v>
      </c>
      <c r="E72">
        <v>45</v>
      </c>
      <c r="F72" s="105">
        <v>832429.84</v>
      </c>
      <c r="G72" t="s">
        <v>491</v>
      </c>
      <c r="H72">
        <v>55509.78</v>
      </c>
      <c r="I72">
        <v>845328.55</v>
      </c>
      <c r="J72" s="384">
        <v>42293.624338194444</v>
      </c>
      <c r="K72" s="384">
        <v>43024</v>
      </c>
      <c r="L72" t="s">
        <v>1487</v>
      </c>
      <c r="M72" t="s">
        <v>1280</v>
      </c>
      <c r="N72" t="s">
        <v>1280</v>
      </c>
      <c r="O72" t="s">
        <v>27</v>
      </c>
      <c r="P72" t="s">
        <v>81</v>
      </c>
      <c r="Q72" t="s">
        <v>26</v>
      </c>
      <c r="R72" t="s">
        <v>2636</v>
      </c>
      <c r="S72">
        <v>7500000</v>
      </c>
      <c r="T72">
        <v>270000000</v>
      </c>
      <c r="U72">
        <v>29967474.239999998</v>
      </c>
      <c r="Z72"/>
    </row>
    <row r="73" spans="1:26" x14ac:dyDescent="0.25">
      <c r="A73">
        <v>102156</v>
      </c>
      <c r="B73" t="s">
        <v>721</v>
      </c>
      <c r="C73" t="s">
        <v>723</v>
      </c>
      <c r="D73" t="s">
        <v>1284</v>
      </c>
      <c r="E73">
        <v>-14</v>
      </c>
      <c r="F73" s="105">
        <v>11376146.18</v>
      </c>
      <c r="G73" t="s">
        <v>1039</v>
      </c>
      <c r="H73">
        <v>170642.19</v>
      </c>
      <c r="I73">
        <v>13714456.460000001</v>
      </c>
      <c r="J73" s="384">
        <v>42294.570270104166</v>
      </c>
      <c r="K73" s="384">
        <v>43388</v>
      </c>
      <c r="L73" t="s">
        <v>724</v>
      </c>
      <c r="M73" t="s">
        <v>725</v>
      </c>
      <c r="N73" t="s">
        <v>1280</v>
      </c>
      <c r="O73" t="s">
        <v>44</v>
      </c>
      <c r="P73" t="s">
        <v>92</v>
      </c>
      <c r="Q73" t="s">
        <v>26</v>
      </c>
      <c r="R73" t="s">
        <v>2856</v>
      </c>
      <c r="S73">
        <v>25000000</v>
      </c>
      <c r="T73">
        <v>900000000</v>
      </c>
      <c r="U73">
        <v>409541262.48000002</v>
      </c>
      <c r="Z73"/>
    </row>
    <row r="74" spans="1:26" x14ac:dyDescent="0.25">
      <c r="A74">
        <v>102165</v>
      </c>
      <c r="B74" t="s">
        <v>1499</v>
      </c>
      <c r="C74" t="s">
        <v>1500</v>
      </c>
      <c r="D74" t="s">
        <v>1283</v>
      </c>
      <c r="E74">
        <v>0</v>
      </c>
      <c r="F74" s="105">
        <v>2604787.56</v>
      </c>
      <c r="G74" t="s">
        <v>963</v>
      </c>
      <c r="H74">
        <v>75538.84</v>
      </c>
      <c r="I74">
        <v>2682931.19</v>
      </c>
      <c r="J74" s="384">
        <v>42298.703866782409</v>
      </c>
      <c r="K74" s="384">
        <v>43040</v>
      </c>
      <c r="L74" t="s">
        <v>1501</v>
      </c>
      <c r="M74" t="s">
        <v>1502</v>
      </c>
      <c r="N74" t="s">
        <v>1280</v>
      </c>
      <c r="O74" t="s">
        <v>29</v>
      </c>
      <c r="P74" t="s">
        <v>30</v>
      </c>
      <c r="Q74" t="s">
        <v>30</v>
      </c>
      <c r="R74" t="s">
        <v>2636</v>
      </c>
      <c r="S74">
        <v>45000000</v>
      </c>
      <c r="T74">
        <v>1620000000</v>
      </c>
      <c r="U74">
        <v>93772352.159999996</v>
      </c>
      <c r="Z74"/>
    </row>
    <row r="75" spans="1:26" x14ac:dyDescent="0.25">
      <c r="A75">
        <v>102172</v>
      </c>
      <c r="B75" t="s">
        <v>1504</v>
      </c>
      <c r="C75" t="s">
        <v>1505</v>
      </c>
      <c r="D75" t="s">
        <v>1283</v>
      </c>
      <c r="E75">
        <v>0</v>
      </c>
      <c r="F75" s="105">
        <v>32399714.91</v>
      </c>
      <c r="G75" t="s">
        <v>5167</v>
      </c>
      <c r="H75">
        <v>939591.73</v>
      </c>
      <c r="I75">
        <v>39604895.420000002</v>
      </c>
      <c r="J75" s="384">
        <v>42300.557242129631</v>
      </c>
      <c r="K75" s="384">
        <v>43405</v>
      </c>
      <c r="L75" t="s">
        <v>1506</v>
      </c>
      <c r="M75" t="s">
        <v>1280</v>
      </c>
      <c r="N75" t="s">
        <v>1280</v>
      </c>
      <c r="O75" t="s">
        <v>44</v>
      </c>
      <c r="P75" t="s">
        <v>92</v>
      </c>
      <c r="Q75" t="s">
        <v>26</v>
      </c>
      <c r="R75" t="s">
        <v>2636</v>
      </c>
      <c r="S75">
        <v>66000000</v>
      </c>
      <c r="T75">
        <v>2376000000</v>
      </c>
      <c r="U75">
        <v>1166389736.76</v>
      </c>
      <c r="Z75"/>
    </row>
    <row r="76" spans="1:26" x14ac:dyDescent="0.25">
      <c r="A76">
        <v>102179</v>
      </c>
      <c r="B76" t="s">
        <v>1507</v>
      </c>
      <c r="C76" t="s">
        <v>1508</v>
      </c>
      <c r="D76" t="s">
        <v>1283</v>
      </c>
      <c r="E76">
        <v>0</v>
      </c>
      <c r="F76" s="105">
        <v>15418807.93</v>
      </c>
      <c r="G76" t="s">
        <v>5725</v>
      </c>
      <c r="H76">
        <v>758230.23</v>
      </c>
      <c r="I76">
        <v>18847705.16</v>
      </c>
      <c r="J76" s="384">
        <v>42303.658698877312</v>
      </c>
      <c r="K76" s="384">
        <v>43405</v>
      </c>
      <c r="L76" t="s">
        <v>1509</v>
      </c>
      <c r="M76" t="s">
        <v>1280</v>
      </c>
      <c r="N76" t="s">
        <v>1280</v>
      </c>
      <c r="O76" t="s">
        <v>27</v>
      </c>
      <c r="P76" t="s">
        <v>81</v>
      </c>
      <c r="Q76" t="s">
        <v>26</v>
      </c>
      <c r="R76" t="s">
        <v>2636</v>
      </c>
      <c r="S76">
        <v>31500000</v>
      </c>
      <c r="T76">
        <v>1134000000</v>
      </c>
      <c r="U76">
        <v>555077085.48000002</v>
      </c>
      <c r="Z76"/>
    </row>
    <row r="77" spans="1:26" x14ac:dyDescent="0.25">
      <c r="A77">
        <v>102185</v>
      </c>
      <c r="B77" t="s">
        <v>1511</v>
      </c>
      <c r="C77" t="s">
        <v>1514</v>
      </c>
      <c r="D77" t="s">
        <v>1284</v>
      </c>
      <c r="E77">
        <v>-2</v>
      </c>
      <c r="F77" s="105">
        <v>7342289.6100000003</v>
      </c>
      <c r="G77" t="s">
        <v>546</v>
      </c>
      <c r="H77">
        <v>198241.82</v>
      </c>
      <c r="I77">
        <v>8975097.8599999994</v>
      </c>
      <c r="J77" s="384">
        <v>42305.393427777781</v>
      </c>
      <c r="K77" s="384">
        <v>43407</v>
      </c>
      <c r="L77" t="s">
        <v>1515</v>
      </c>
      <c r="M77" t="s">
        <v>1280</v>
      </c>
      <c r="N77" t="s">
        <v>1280</v>
      </c>
      <c r="O77" t="s">
        <v>42</v>
      </c>
      <c r="P77" t="s">
        <v>26</v>
      </c>
      <c r="Q77" t="s">
        <v>26</v>
      </c>
      <c r="R77" t="s">
        <v>2636</v>
      </c>
      <c r="S77">
        <v>15000000</v>
      </c>
      <c r="T77">
        <v>540000000</v>
      </c>
      <c r="U77">
        <v>264322425.96000001</v>
      </c>
      <c r="Z77"/>
    </row>
    <row r="78" spans="1:26" x14ac:dyDescent="0.25">
      <c r="A78">
        <v>102186</v>
      </c>
      <c r="B78" t="s">
        <v>1512</v>
      </c>
      <c r="C78" t="s">
        <v>1516</v>
      </c>
      <c r="D78" t="s">
        <v>1284</v>
      </c>
      <c r="E78">
        <v>-4</v>
      </c>
      <c r="F78" s="105">
        <v>17165114.449999999</v>
      </c>
      <c r="G78" t="s">
        <v>1467</v>
      </c>
      <c r="H78">
        <v>429127.86</v>
      </c>
      <c r="I78">
        <v>20982362.530000001</v>
      </c>
      <c r="J78" s="384">
        <v>42305.414281793979</v>
      </c>
      <c r="K78" s="384">
        <v>43409</v>
      </c>
      <c r="L78" t="s">
        <v>1517</v>
      </c>
      <c r="M78" t="s">
        <v>1518</v>
      </c>
      <c r="N78" t="s">
        <v>1280</v>
      </c>
      <c r="O78" t="s">
        <v>44</v>
      </c>
      <c r="P78" t="s">
        <v>92</v>
      </c>
      <c r="Q78" t="s">
        <v>26</v>
      </c>
      <c r="R78" t="s">
        <v>2636</v>
      </c>
      <c r="S78">
        <v>35000000</v>
      </c>
      <c r="T78">
        <v>1260000000</v>
      </c>
      <c r="U78">
        <v>617944120.20000005</v>
      </c>
      <c r="Z78"/>
    </row>
    <row r="79" spans="1:26" x14ac:dyDescent="0.25">
      <c r="A79">
        <v>102190</v>
      </c>
      <c r="B79" t="s">
        <v>663</v>
      </c>
      <c r="C79" t="s">
        <v>1521</v>
      </c>
      <c r="D79" t="s">
        <v>1284</v>
      </c>
      <c r="E79">
        <v>0</v>
      </c>
      <c r="F79" s="105">
        <v>7321007.7199999997</v>
      </c>
      <c r="G79" t="s">
        <v>491</v>
      </c>
      <c r="H79">
        <v>212309.22</v>
      </c>
      <c r="I79">
        <v>8949083.2699999996</v>
      </c>
      <c r="J79" s="384">
        <v>42306.496015428238</v>
      </c>
      <c r="K79" s="384">
        <v>43405</v>
      </c>
      <c r="L79" t="s">
        <v>1522</v>
      </c>
      <c r="M79" t="s">
        <v>1280</v>
      </c>
      <c r="N79" t="s">
        <v>1280</v>
      </c>
      <c r="O79" t="s">
        <v>25</v>
      </c>
      <c r="P79" t="s">
        <v>32</v>
      </c>
      <c r="Q79" t="s">
        <v>26</v>
      </c>
      <c r="R79" t="s">
        <v>2856</v>
      </c>
      <c r="S79">
        <v>15000000</v>
      </c>
      <c r="T79">
        <v>540000000</v>
      </c>
      <c r="U79">
        <v>263556277.91999999</v>
      </c>
      <c r="Z79"/>
    </row>
    <row r="80" spans="1:26" x14ac:dyDescent="0.25">
      <c r="A80">
        <v>102192</v>
      </c>
      <c r="B80" t="s">
        <v>1151</v>
      </c>
      <c r="C80" t="s">
        <v>1152</v>
      </c>
      <c r="D80" t="s">
        <v>1841</v>
      </c>
      <c r="E80">
        <v>29</v>
      </c>
      <c r="F80" s="105">
        <v>37211861.189999998</v>
      </c>
      <c r="G80" t="s">
        <v>5725</v>
      </c>
      <c r="H80">
        <v>1214529.97</v>
      </c>
      <c r="I80">
        <v>46119217.759999998</v>
      </c>
      <c r="J80" s="384">
        <v>42306.654785648148</v>
      </c>
      <c r="K80" s="384">
        <v>43406</v>
      </c>
      <c r="L80" t="s">
        <v>1153</v>
      </c>
      <c r="M80" t="s">
        <v>1280</v>
      </c>
      <c r="N80" t="s">
        <v>1280</v>
      </c>
      <c r="O80" t="s">
        <v>35</v>
      </c>
      <c r="P80" t="s">
        <v>121</v>
      </c>
      <c r="Q80" t="s">
        <v>26</v>
      </c>
      <c r="R80" t="s">
        <v>2856</v>
      </c>
      <c r="S80">
        <v>71711588.780000001</v>
      </c>
      <c r="T80">
        <v>2581617196.0799999</v>
      </c>
      <c r="U80">
        <v>1339627002.8399999</v>
      </c>
      <c r="Z80"/>
    </row>
    <row r="81" spans="1:26" x14ac:dyDescent="0.25">
      <c r="A81">
        <v>102207</v>
      </c>
      <c r="B81" t="s">
        <v>347</v>
      </c>
      <c r="C81" t="s">
        <v>348</v>
      </c>
      <c r="D81" t="s">
        <v>1284</v>
      </c>
      <c r="E81">
        <v>0</v>
      </c>
      <c r="F81" s="105">
        <v>35106785.170000002</v>
      </c>
      <c r="G81" t="s">
        <v>491</v>
      </c>
      <c r="H81">
        <v>1018096.77</v>
      </c>
      <c r="I81">
        <v>42913975.009999998</v>
      </c>
      <c r="J81" s="384">
        <v>42308.688990127317</v>
      </c>
      <c r="K81" s="384">
        <v>43405</v>
      </c>
      <c r="L81" t="s">
        <v>349</v>
      </c>
      <c r="M81" t="s">
        <v>350</v>
      </c>
      <c r="N81" t="s">
        <v>1280</v>
      </c>
      <c r="O81" t="s">
        <v>44</v>
      </c>
      <c r="P81" t="s">
        <v>75</v>
      </c>
      <c r="Q81" t="s">
        <v>26</v>
      </c>
      <c r="R81" t="s">
        <v>2856</v>
      </c>
      <c r="S81">
        <v>72000000</v>
      </c>
      <c r="T81">
        <v>2592000000</v>
      </c>
      <c r="U81">
        <v>1263844266.1199999</v>
      </c>
      <c r="Z81"/>
    </row>
    <row r="82" spans="1:26" x14ac:dyDescent="0.25">
      <c r="A82">
        <v>102212</v>
      </c>
      <c r="B82" t="s">
        <v>846</v>
      </c>
      <c r="C82" t="s">
        <v>847</v>
      </c>
      <c r="D82" t="s">
        <v>1284</v>
      </c>
      <c r="E82">
        <v>76</v>
      </c>
      <c r="F82" s="105">
        <v>3623553.87</v>
      </c>
      <c r="G82" t="s">
        <v>1039</v>
      </c>
      <c r="H82">
        <v>88201.33</v>
      </c>
      <c r="I82">
        <v>3807837.14</v>
      </c>
      <c r="J82" s="384">
        <v>42311.652017129629</v>
      </c>
      <c r="K82" s="384">
        <v>43054</v>
      </c>
      <c r="L82" t="s">
        <v>848</v>
      </c>
      <c r="M82" t="s">
        <v>849</v>
      </c>
      <c r="N82" t="s">
        <v>1280</v>
      </c>
      <c r="O82" t="s">
        <v>42</v>
      </c>
      <c r="P82" t="s">
        <v>26</v>
      </c>
      <c r="Q82" t="s">
        <v>26</v>
      </c>
      <c r="R82" t="s">
        <v>2856</v>
      </c>
      <c r="S82">
        <v>18000000</v>
      </c>
      <c r="T82">
        <v>648000000</v>
      </c>
      <c r="U82">
        <v>130447939.31999999</v>
      </c>
      <c r="Z82"/>
    </row>
    <row r="83" spans="1:26" x14ac:dyDescent="0.25">
      <c r="A83">
        <v>102217</v>
      </c>
      <c r="B83" t="s">
        <v>1543</v>
      </c>
      <c r="C83" t="s">
        <v>1549</v>
      </c>
      <c r="D83" t="s">
        <v>1284</v>
      </c>
      <c r="E83">
        <v>-9</v>
      </c>
      <c r="F83" s="105">
        <v>517951.87</v>
      </c>
      <c r="G83" t="s">
        <v>1467</v>
      </c>
      <c r="H83">
        <v>10359.040000000001</v>
      </c>
      <c r="I83">
        <v>533490.43000000005</v>
      </c>
      <c r="J83" s="384">
        <v>42314.606591932868</v>
      </c>
      <c r="K83" s="384">
        <v>43049</v>
      </c>
      <c r="L83" t="s">
        <v>1550</v>
      </c>
      <c r="M83" t="s">
        <v>1280</v>
      </c>
      <c r="N83" t="s">
        <v>1280</v>
      </c>
      <c r="O83" t="s">
        <v>44</v>
      </c>
      <c r="P83" t="s">
        <v>75</v>
      </c>
      <c r="Q83" t="s">
        <v>26</v>
      </c>
      <c r="R83" t="s">
        <v>2636</v>
      </c>
      <c r="S83">
        <v>9000000</v>
      </c>
      <c r="T83">
        <v>324000000</v>
      </c>
      <c r="U83">
        <v>18646267.32</v>
      </c>
      <c r="Z83"/>
    </row>
    <row r="84" spans="1:26" x14ac:dyDescent="0.25">
      <c r="A84">
        <v>102220</v>
      </c>
      <c r="B84" t="s">
        <v>542</v>
      </c>
      <c r="C84" t="s">
        <v>543</v>
      </c>
      <c r="D84" t="s">
        <v>1281</v>
      </c>
      <c r="E84">
        <v>-12</v>
      </c>
      <c r="F84" s="105">
        <v>11246311.67</v>
      </c>
      <c r="G84" t="s">
        <v>5167</v>
      </c>
      <c r="H84">
        <v>223051.85</v>
      </c>
      <c r="I84">
        <v>14190601.130000001</v>
      </c>
      <c r="J84" s="384">
        <v>42315.444171331015</v>
      </c>
      <c r="K84" s="384">
        <v>43417</v>
      </c>
      <c r="L84" t="s">
        <v>544</v>
      </c>
      <c r="M84" t="s">
        <v>545</v>
      </c>
      <c r="N84" t="s">
        <v>1280</v>
      </c>
      <c r="O84" t="s">
        <v>25</v>
      </c>
      <c r="P84" t="s">
        <v>26</v>
      </c>
      <c r="Q84" t="s">
        <v>26</v>
      </c>
      <c r="R84" t="s">
        <v>2856</v>
      </c>
      <c r="S84">
        <v>22000000</v>
      </c>
      <c r="T84">
        <v>924000000</v>
      </c>
      <c r="U84">
        <v>472345090.13999999</v>
      </c>
      <c r="Z84"/>
    </row>
    <row r="85" spans="1:26" x14ac:dyDescent="0.25">
      <c r="A85">
        <v>102222</v>
      </c>
      <c r="B85" t="s">
        <v>1044</v>
      </c>
      <c r="C85" t="s">
        <v>1045</v>
      </c>
      <c r="D85" t="s">
        <v>1283</v>
      </c>
      <c r="E85">
        <v>-14</v>
      </c>
      <c r="F85" s="105">
        <v>32827246.68</v>
      </c>
      <c r="G85" t="s">
        <v>1447</v>
      </c>
      <c r="H85">
        <v>492408.7</v>
      </c>
      <c r="I85">
        <v>40127503.460000001</v>
      </c>
      <c r="J85" s="384">
        <v>42317.601501041667</v>
      </c>
      <c r="K85" s="384">
        <v>43419</v>
      </c>
      <c r="L85" t="s">
        <v>1046</v>
      </c>
      <c r="M85" t="s">
        <v>1280</v>
      </c>
      <c r="N85" t="s">
        <v>1280</v>
      </c>
      <c r="O85" t="s">
        <v>45</v>
      </c>
      <c r="P85" t="s">
        <v>45</v>
      </c>
      <c r="Q85" t="s">
        <v>26</v>
      </c>
      <c r="R85" t="s">
        <v>2856</v>
      </c>
      <c r="S85">
        <v>67000000</v>
      </c>
      <c r="T85">
        <v>2412000000</v>
      </c>
      <c r="U85">
        <v>1181780880.48</v>
      </c>
      <c r="Z85"/>
    </row>
    <row r="86" spans="1:26" x14ac:dyDescent="0.25">
      <c r="A86">
        <v>102223</v>
      </c>
      <c r="B86" t="s">
        <v>1553</v>
      </c>
      <c r="C86" t="s">
        <v>1567</v>
      </c>
      <c r="D86" t="s">
        <v>1284</v>
      </c>
      <c r="E86">
        <v>22</v>
      </c>
      <c r="F86" s="105">
        <v>7761045.2199999997</v>
      </c>
      <c r="G86" t="s">
        <v>491</v>
      </c>
      <c r="H86">
        <v>243020.78</v>
      </c>
      <c r="I86">
        <v>9618796.9000000004</v>
      </c>
      <c r="J86" s="384">
        <v>42317.61409116898</v>
      </c>
      <c r="K86" s="384">
        <v>43413</v>
      </c>
      <c r="L86" t="s">
        <v>1568</v>
      </c>
      <c r="M86" t="s">
        <v>1280</v>
      </c>
      <c r="N86" t="s">
        <v>1280</v>
      </c>
      <c r="O86" t="s">
        <v>44</v>
      </c>
      <c r="P86" t="s">
        <v>92</v>
      </c>
      <c r="Q86" t="s">
        <v>26</v>
      </c>
      <c r="R86" t="s">
        <v>2636</v>
      </c>
      <c r="S86">
        <v>15000000</v>
      </c>
      <c r="T86">
        <v>540000000</v>
      </c>
      <c r="U86">
        <v>279397627.92000002</v>
      </c>
      <c r="Z86"/>
    </row>
    <row r="87" spans="1:26" x14ac:dyDescent="0.25">
      <c r="A87">
        <v>102224</v>
      </c>
      <c r="B87" t="s">
        <v>1554</v>
      </c>
      <c r="C87" t="s">
        <v>1569</v>
      </c>
      <c r="D87" t="s">
        <v>1283</v>
      </c>
      <c r="E87">
        <v>-11</v>
      </c>
      <c r="F87" s="105">
        <v>3159139.76</v>
      </c>
      <c r="G87" t="s">
        <v>2855</v>
      </c>
      <c r="H87">
        <v>56864.52</v>
      </c>
      <c r="I87">
        <v>3253913.95</v>
      </c>
      <c r="J87" s="384">
        <v>42318.462431400461</v>
      </c>
      <c r="K87" s="384">
        <v>43051</v>
      </c>
      <c r="L87" t="s">
        <v>1570</v>
      </c>
      <c r="M87" t="s">
        <v>1280</v>
      </c>
      <c r="N87" t="s">
        <v>1280</v>
      </c>
      <c r="O87" t="s">
        <v>27</v>
      </c>
      <c r="P87" t="s">
        <v>26</v>
      </c>
      <c r="Q87" t="s">
        <v>26</v>
      </c>
      <c r="R87" t="s">
        <v>2636</v>
      </c>
      <c r="S87">
        <v>55000000</v>
      </c>
      <c r="T87">
        <v>1980000000</v>
      </c>
      <c r="U87">
        <v>113729031.36</v>
      </c>
      <c r="Z87"/>
    </row>
    <row r="88" spans="1:26" x14ac:dyDescent="0.25">
      <c r="A88">
        <v>102226</v>
      </c>
      <c r="B88" t="s">
        <v>777</v>
      </c>
      <c r="C88" t="s">
        <v>783</v>
      </c>
      <c r="D88" t="s">
        <v>1283</v>
      </c>
      <c r="E88">
        <v>49</v>
      </c>
      <c r="F88" s="105">
        <v>21873209.09</v>
      </c>
      <c r="G88" t="s">
        <v>86</v>
      </c>
      <c r="H88">
        <v>886926.03</v>
      </c>
      <c r="I88">
        <v>26832023.09</v>
      </c>
      <c r="J88" s="384">
        <v>42319.608294675927</v>
      </c>
      <c r="K88" s="384">
        <v>43416</v>
      </c>
      <c r="L88" t="s">
        <v>784</v>
      </c>
      <c r="M88" t="s">
        <v>785</v>
      </c>
      <c r="N88" t="s">
        <v>1280</v>
      </c>
      <c r="O88" t="s">
        <v>44</v>
      </c>
      <c r="P88" t="s">
        <v>75</v>
      </c>
      <c r="Q88" t="s">
        <v>26</v>
      </c>
      <c r="R88" t="s">
        <v>2856</v>
      </c>
      <c r="S88">
        <v>40000000</v>
      </c>
      <c r="T88">
        <v>1440000000</v>
      </c>
      <c r="U88">
        <v>787435527.24000001</v>
      </c>
      <c r="Z88"/>
    </row>
    <row r="89" spans="1:26" x14ac:dyDescent="0.25">
      <c r="A89">
        <v>102239</v>
      </c>
      <c r="B89" t="s">
        <v>1556</v>
      </c>
      <c r="C89" t="s">
        <v>1576</v>
      </c>
      <c r="D89" t="s">
        <v>1284</v>
      </c>
      <c r="E89">
        <v>-14</v>
      </c>
      <c r="F89" s="105">
        <v>24379712.050000001</v>
      </c>
      <c r="G89" t="s">
        <v>1467</v>
      </c>
      <c r="H89">
        <v>365695.68</v>
      </c>
      <c r="I89">
        <v>29801371.710000001</v>
      </c>
      <c r="J89" s="384">
        <v>42322.553267592593</v>
      </c>
      <c r="K89" s="384">
        <v>43419</v>
      </c>
      <c r="L89" t="s">
        <v>1577</v>
      </c>
      <c r="M89" t="s">
        <v>1578</v>
      </c>
      <c r="N89" t="s">
        <v>1280</v>
      </c>
      <c r="O89" t="s">
        <v>25</v>
      </c>
      <c r="P89" t="s">
        <v>26</v>
      </c>
      <c r="Q89" t="s">
        <v>26</v>
      </c>
      <c r="R89" t="s">
        <v>2636</v>
      </c>
      <c r="S89">
        <v>50000000</v>
      </c>
      <c r="T89">
        <v>1800000000</v>
      </c>
      <c r="U89">
        <v>877669633.79999995</v>
      </c>
      <c r="Z89"/>
    </row>
    <row r="90" spans="1:26" x14ac:dyDescent="0.25">
      <c r="A90">
        <v>102248</v>
      </c>
      <c r="B90" t="s">
        <v>1559</v>
      </c>
      <c r="C90" t="s">
        <v>1584</v>
      </c>
      <c r="D90" t="s">
        <v>1284</v>
      </c>
      <c r="E90">
        <v>-17</v>
      </c>
      <c r="F90" s="105">
        <v>12178032.76</v>
      </c>
      <c r="G90" t="s">
        <v>1467</v>
      </c>
      <c r="H90">
        <v>146136.39000000001</v>
      </c>
      <c r="I90">
        <v>14886233.310000001</v>
      </c>
      <c r="J90" s="384">
        <v>42326.438722303239</v>
      </c>
      <c r="K90" s="384">
        <v>43422</v>
      </c>
      <c r="L90" t="s">
        <v>1585</v>
      </c>
      <c r="M90" t="s">
        <v>1586</v>
      </c>
      <c r="N90" t="s">
        <v>1280</v>
      </c>
      <c r="O90" t="s">
        <v>25</v>
      </c>
      <c r="P90" t="s">
        <v>289</v>
      </c>
      <c r="Q90" t="s">
        <v>26</v>
      </c>
      <c r="R90" t="s">
        <v>2636</v>
      </c>
      <c r="S90">
        <v>25000000</v>
      </c>
      <c r="T90">
        <v>900000000</v>
      </c>
      <c r="U90">
        <v>438409179.36000001</v>
      </c>
      <c r="Z90"/>
    </row>
    <row r="91" spans="1:26" x14ac:dyDescent="0.25">
      <c r="A91">
        <v>102256</v>
      </c>
      <c r="B91" t="s">
        <v>1562</v>
      </c>
      <c r="C91" t="s">
        <v>1589</v>
      </c>
      <c r="D91" t="s">
        <v>1283</v>
      </c>
      <c r="E91">
        <v>-18</v>
      </c>
      <c r="F91" s="105">
        <v>17536367.010000002</v>
      </c>
      <c r="G91" t="s">
        <v>1191</v>
      </c>
      <c r="H91">
        <v>192900.04</v>
      </c>
      <c r="I91">
        <v>21436175.710000001</v>
      </c>
      <c r="J91" s="384">
        <v>42327.745232986112</v>
      </c>
      <c r="K91" s="384">
        <v>43423</v>
      </c>
      <c r="L91" t="s">
        <v>1590</v>
      </c>
      <c r="M91" t="s">
        <v>1591</v>
      </c>
      <c r="N91" t="s">
        <v>1280</v>
      </c>
      <c r="O91" t="s">
        <v>44</v>
      </c>
      <c r="P91" t="s">
        <v>92</v>
      </c>
      <c r="Q91" t="s">
        <v>26</v>
      </c>
      <c r="R91" t="s">
        <v>2636</v>
      </c>
      <c r="S91">
        <v>36000000</v>
      </c>
      <c r="T91">
        <v>1296000000</v>
      </c>
      <c r="U91">
        <v>631309212.36000001</v>
      </c>
      <c r="Z91"/>
    </row>
    <row r="92" spans="1:26" x14ac:dyDescent="0.25">
      <c r="A92">
        <v>102259</v>
      </c>
      <c r="B92" t="s">
        <v>817</v>
      </c>
      <c r="C92" t="s">
        <v>820</v>
      </c>
      <c r="D92" t="s">
        <v>1283</v>
      </c>
      <c r="E92">
        <v>11</v>
      </c>
      <c r="F92" s="105">
        <v>34666001.640000001</v>
      </c>
      <c r="G92" t="s">
        <v>5724</v>
      </c>
      <c r="H92">
        <v>2139053.52</v>
      </c>
      <c r="I92">
        <v>42962813.18</v>
      </c>
      <c r="J92" s="384">
        <v>42328.725100925927</v>
      </c>
      <c r="K92" s="384">
        <v>43424</v>
      </c>
      <c r="L92" t="s">
        <v>821</v>
      </c>
      <c r="M92" t="s">
        <v>822</v>
      </c>
      <c r="N92" t="s">
        <v>1280</v>
      </c>
      <c r="O92" t="s">
        <v>44</v>
      </c>
      <c r="P92" t="s">
        <v>92</v>
      </c>
      <c r="Q92" t="s">
        <v>26</v>
      </c>
      <c r="R92" t="s">
        <v>2856</v>
      </c>
      <c r="S92">
        <v>67000000</v>
      </c>
      <c r="T92">
        <v>2412000000</v>
      </c>
      <c r="U92">
        <v>1247976059.04</v>
      </c>
      <c r="Z92"/>
    </row>
    <row r="93" spans="1:26" x14ac:dyDescent="0.25">
      <c r="A93">
        <v>102267</v>
      </c>
      <c r="B93" t="s">
        <v>1154</v>
      </c>
      <c r="C93" t="s">
        <v>1155</v>
      </c>
      <c r="D93" t="s">
        <v>1283</v>
      </c>
      <c r="E93">
        <v>28</v>
      </c>
      <c r="F93" s="105">
        <v>32431052.649999999</v>
      </c>
      <c r="G93" t="s">
        <v>86</v>
      </c>
      <c r="H93">
        <v>972931.58</v>
      </c>
      <c r="I93">
        <v>40749575.670000002</v>
      </c>
      <c r="J93" s="384">
        <v>42332.515357025462</v>
      </c>
      <c r="K93" s="384">
        <v>43437</v>
      </c>
      <c r="L93" t="s">
        <v>1156</v>
      </c>
      <c r="M93" t="s">
        <v>1280</v>
      </c>
      <c r="N93" t="s">
        <v>1280</v>
      </c>
      <c r="O93" t="s">
        <v>25</v>
      </c>
      <c r="P93" t="s">
        <v>26</v>
      </c>
      <c r="Q93" t="s">
        <v>26</v>
      </c>
      <c r="R93" t="s">
        <v>2856</v>
      </c>
      <c r="S93">
        <v>58796578.719999999</v>
      </c>
      <c r="T93">
        <v>2116676833.9200001</v>
      </c>
      <c r="U93">
        <v>1167517895.4000001</v>
      </c>
      <c r="Z93"/>
    </row>
    <row r="94" spans="1:26" x14ac:dyDescent="0.25">
      <c r="A94">
        <v>102271</v>
      </c>
      <c r="B94" t="s">
        <v>1601</v>
      </c>
      <c r="C94" t="s">
        <v>1614</v>
      </c>
      <c r="D94" t="s">
        <v>1285</v>
      </c>
      <c r="E94">
        <v>-20</v>
      </c>
      <c r="F94" s="105">
        <v>10587405.24</v>
      </c>
      <c r="G94" t="s">
        <v>284</v>
      </c>
      <c r="H94">
        <v>47643.32</v>
      </c>
      <c r="I94">
        <v>11732164.699999999</v>
      </c>
      <c r="J94" s="384">
        <v>42332.723250891206</v>
      </c>
      <c r="K94" s="384">
        <v>43425</v>
      </c>
      <c r="L94" t="s">
        <v>1615</v>
      </c>
      <c r="M94" t="s">
        <v>1616</v>
      </c>
      <c r="N94" t="s">
        <v>1280</v>
      </c>
      <c r="O94" t="s">
        <v>43</v>
      </c>
      <c r="P94" t="s">
        <v>338</v>
      </c>
      <c r="Q94" t="s">
        <v>26</v>
      </c>
      <c r="R94" t="s">
        <v>2636</v>
      </c>
      <c r="S94">
        <v>25000000</v>
      </c>
      <c r="T94">
        <v>450000000</v>
      </c>
      <c r="U94">
        <v>190573294.31999999</v>
      </c>
      <c r="Z94"/>
    </row>
    <row r="95" spans="1:26" x14ac:dyDescent="0.25">
      <c r="A95">
        <v>102272</v>
      </c>
      <c r="B95" t="s">
        <v>659</v>
      </c>
      <c r="C95" t="s">
        <v>660</v>
      </c>
      <c r="D95" t="s">
        <v>1284</v>
      </c>
      <c r="E95">
        <v>0</v>
      </c>
      <c r="F95" s="105">
        <v>14311467.699999999</v>
      </c>
      <c r="G95" t="s">
        <v>1039</v>
      </c>
      <c r="H95">
        <v>415032.56</v>
      </c>
      <c r="I95">
        <v>17737185.800000001</v>
      </c>
      <c r="J95" s="384">
        <v>42333.516573692126</v>
      </c>
      <c r="K95" s="384">
        <v>43435</v>
      </c>
      <c r="L95" t="s">
        <v>661</v>
      </c>
      <c r="M95" t="s">
        <v>662</v>
      </c>
      <c r="N95" t="s">
        <v>1280</v>
      </c>
      <c r="O95" t="s">
        <v>44</v>
      </c>
      <c r="P95" t="s">
        <v>75</v>
      </c>
      <c r="Q95" t="s">
        <v>26</v>
      </c>
      <c r="R95" t="s">
        <v>2856</v>
      </c>
      <c r="S95">
        <v>27500000</v>
      </c>
      <c r="T95">
        <v>990000000</v>
      </c>
      <c r="U95">
        <v>515212837.19999999</v>
      </c>
      <c r="Z95"/>
    </row>
    <row r="96" spans="1:26" x14ac:dyDescent="0.25">
      <c r="A96">
        <v>102277</v>
      </c>
      <c r="B96" t="s">
        <v>1607</v>
      </c>
      <c r="C96" t="s">
        <v>1620</v>
      </c>
      <c r="D96" t="s">
        <v>1281</v>
      </c>
      <c r="E96">
        <v>21</v>
      </c>
      <c r="F96" s="105">
        <v>8980431.8599999994</v>
      </c>
      <c r="G96" t="s">
        <v>1667</v>
      </c>
      <c r="H96">
        <v>203124.61</v>
      </c>
      <c r="I96">
        <v>11421146.48</v>
      </c>
      <c r="J96" s="384">
        <v>42334.710147881946</v>
      </c>
      <c r="K96" s="384">
        <v>43444</v>
      </c>
      <c r="L96" t="s">
        <v>1621</v>
      </c>
      <c r="M96" t="s">
        <v>1280</v>
      </c>
      <c r="N96" t="s">
        <v>1280</v>
      </c>
      <c r="O96" t="s">
        <v>25</v>
      </c>
      <c r="P96" t="s">
        <v>88</v>
      </c>
      <c r="Q96" t="s">
        <v>26</v>
      </c>
      <c r="R96" t="s">
        <v>2636</v>
      </c>
      <c r="S96">
        <v>16000000</v>
      </c>
      <c r="T96">
        <v>672000000</v>
      </c>
      <c r="U96">
        <v>377178138.12</v>
      </c>
      <c r="Z96"/>
    </row>
    <row r="97" spans="1:26" x14ac:dyDescent="0.25">
      <c r="A97">
        <v>102279</v>
      </c>
      <c r="B97" t="s">
        <v>1602</v>
      </c>
      <c r="C97" t="s">
        <v>1622</v>
      </c>
      <c r="D97" t="s">
        <v>1283</v>
      </c>
      <c r="E97">
        <v>-1</v>
      </c>
      <c r="F97" s="105">
        <v>16132927.35</v>
      </c>
      <c r="G97" t="s">
        <v>963</v>
      </c>
      <c r="H97">
        <v>451721.97</v>
      </c>
      <c r="I97">
        <v>19994646.010000002</v>
      </c>
      <c r="J97" s="384">
        <v>42334.679847534724</v>
      </c>
      <c r="K97" s="384">
        <v>43436</v>
      </c>
      <c r="L97" t="s">
        <v>1623</v>
      </c>
      <c r="M97" t="s">
        <v>1280</v>
      </c>
      <c r="N97" t="s">
        <v>1280</v>
      </c>
      <c r="O97" t="s">
        <v>25</v>
      </c>
      <c r="P97" t="s">
        <v>26</v>
      </c>
      <c r="Q97" t="s">
        <v>26</v>
      </c>
      <c r="R97" t="s">
        <v>2636</v>
      </c>
      <c r="S97">
        <v>31000000</v>
      </c>
      <c r="T97">
        <v>1116000000</v>
      </c>
      <c r="U97">
        <v>580785384.60000002</v>
      </c>
      <c r="Z97"/>
    </row>
    <row r="98" spans="1:26" x14ac:dyDescent="0.25">
      <c r="A98">
        <v>102282</v>
      </c>
      <c r="B98" t="s">
        <v>1603</v>
      </c>
      <c r="C98" t="s">
        <v>1625</v>
      </c>
      <c r="D98" t="s">
        <v>1284</v>
      </c>
      <c r="E98">
        <v>-3</v>
      </c>
      <c r="F98" s="105">
        <v>1706299.38</v>
      </c>
      <c r="G98" t="s">
        <v>1467</v>
      </c>
      <c r="H98">
        <v>44363.78</v>
      </c>
      <c r="I98">
        <v>1783461.09</v>
      </c>
      <c r="J98" s="384">
        <v>42335.543069016203</v>
      </c>
      <c r="K98" s="384">
        <v>43073</v>
      </c>
      <c r="L98" t="s">
        <v>1626</v>
      </c>
      <c r="M98" t="s">
        <v>1627</v>
      </c>
      <c r="N98" t="s">
        <v>1280</v>
      </c>
      <c r="O98" t="s">
        <v>44</v>
      </c>
      <c r="P98" t="s">
        <v>75</v>
      </c>
      <c r="Q98" t="s">
        <v>26</v>
      </c>
      <c r="R98" t="s">
        <v>2636</v>
      </c>
      <c r="S98">
        <v>15000000</v>
      </c>
      <c r="T98">
        <v>540000000</v>
      </c>
      <c r="U98">
        <v>61426777.68</v>
      </c>
      <c r="Z98"/>
    </row>
    <row r="99" spans="1:26" x14ac:dyDescent="0.25">
      <c r="A99">
        <v>102284</v>
      </c>
      <c r="B99" t="s">
        <v>802</v>
      </c>
      <c r="C99" t="s">
        <v>803</v>
      </c>
      <c r="D99" t="s">
        <v>1283</v>
      </c>
      <c r="E99">
        <v>-9</v>
      </c>
      <c r="F99" s="105">
        <v>3603961.3</v>
      </c>
      <c r="G99" t="s">
        <v>1191</v>
      </c>
      <c r="H99">
        <v>72079.23</v>
      </c>
      <c r="I99">
        <v>3766938.47</v>
      </c>
      <c r="J99" s="384">
        <v>42335.629440856479</v>
      </c>
      <c r="K99" s="384">
        <v>43079</v>
      </c>
      <c r="L99" t="s">
        <v>804</v>
      </c>
      <c r="M99" t="s">
        <v>805</v>
      </c>
      <c r="N99" t="s">
        <v>1280</v>
      </c>
      <c r="O99" t="s">
        <v>36</v>
      </c>
      <c r="P99" t="s">
        <v>118</v>
      </c>
      <c r="Q99" t="s">
        <v>119</v>
      </c>
      <c r="R99" t="s">
        <v>2856</v>
      </c>
      <c r="S99">
        <v>31500000</v>
      </c>
      <c r="T99">
        <v>1134000000</v>
      </c>
      <c r="U99">
        <v>129742606.8</v>
      </c>
      <c r="Z99"/>
    </row>
    <row r="100" spans="1:26" x14ac:dyDescent="0.25">
      <c r="A100">
        <v>102288</v>
      </c>
      <c r="B100" t="s">
        <v>535</v>
      </c>
      <c r="C100" t="s">
        <v>538</v>
      </c>
      <c r="D100" t="s">
        <v>1284</v>
      </c>
      <c r="E100">
        <v>13</v>
      </c>
      <c r="F100" s="105">
        <v>37107120.289999999</v>
      </c>
      <c r="G100" t="s">
        <v>546</v>
      </c>
      <c r="H100">
        <v>1456872.47</v>
      </c>
      <c r="I100">
        <v>46496615.57</v>
      </c>
      <c r="J100" s="384">
        <v>42338.701221331015</v>
      </c>
      <c r="K100" s="384">
        <v>43452</v>
      </c>
      <c r="L100" t="s">
        <v>539</v>
      </c>
      <c r="M100" t="s">
        <v>540</v>
      </c>
      <c r="N100" t="s">
        <v>1280</v>
      </c>
      <c r="O100" t="s">
        <v>25</v>
      </c>
      <c r="P100" t="s">
        <v>26</v>
      </c>
      <c r="Q100" t="s">
        <v>26</v>
      </c>
      <c r="R100" t="s">
        <v>2856</v>
      </c>
      <c r="S100">
        <v>67000000</v>
      </c>
      <c r="T100">
        <v>2412000000</v>
      </c>
      <c r="U100">
        <v>1335856330.4400001</v>
      </c>
      <c r="Z100"/>
    </row>
    <row r="101" spans="1:26" x14ac:dyDescent="0.25">
      <c r="A101">
        <v>102293</v>
      </c>
      <c r="B101" t="s">
        <v>368</v>
      </c>
      <c r="C101" t="s">
        <v>370</v>
      </c>
      <c r="D101" t="s">
        <v>1284</v>
      </c>
      <c r="E101">
        <v>-14</v>
      </c>
      <c r="F101" s="105">
        <v>35137190.07</v>
      </c>
      <c r="G101" t="s">
        <v>1039</v>
      </c>
      <c r="H101">
        <v>527057.85</v>
      </c>
      <c r="I101">
        <v>43547935.219999999</v>
      </c>
      <c r="J101" s="384">
        <v>42339.50013630787</v>
      </c>
      <c r="K101" s="384">
        <v>43449</v>
      </c>
      <c r="L101" t="s">
        <v>371</v>
      </c>
      <c r="M101" t="s">
        <v>372</v>
      </c>
      <c r="N101" t="s">
        <v>1280</v>
      </c>
      <c r="O101" t="s">
        <v>44</v>
      </c>
      <c r="P101" t="s">
        <v>75</v>
      </c>
      <c r="Q101" t="s">
        <v>26</v>
      </c>
      <c r="R101" t="s">
        <v>2856</v>
      </c>
      <c r="S101">
        <v>67000000</v>
      </c>
      <c r="T101">
        <v>2412000000</v>
      </c>
      <c r="U101">
        <v>1264938842.52</v>
      </c>
      <c r="Z101"/>
    </row>
    <row r="102" spans="1:26" x14ac:dyDescent="0.25">
      <c r="A102">
        <v>102295</v>
      </c>
      <c r="B102" t="s">
        <v>500</v>
      </c>
      <c r="C102" t="s">
        <v>501</v>
      </c>
      <c r="D102" t="s">
        <v>1281</v>
      </c>
      <c r="E102">
        <v>135</v>
      </c>
      <c r="F102" s="105">
        <v>6286514.0700000003</v>
      </c>
      <c r="G102" t="s">
        <v>5725</v>
      </c>
      <c r="H102">
        <v>206678.71</v>
      </c>
      <c r="I102">
        <v>7030612.0700000003</v>
      </c>
      <c r="J102" s="384">
        <v>42339.717164895832</v>
      </c>
      <c r="K102" s="384">
        <v>43085</v>
      </c>
      <c r="L102" t="s">
        <v>502</v>
      </c>
      <c r="M102" t="s">
        <v>503</v>
      </c>
      <c r="N102" t="s">
        <v>1280</v>
      </c>
      <c r="O102" t="s">
        <v>36</v>
      </c>
      <c r="P102" t="s">
        <v>97</v>
      </c>
      <c r="Q102" t="s">
        <v>98</v>
      </c>
      <c r="R102" t="s">
        <v>2856</v>
      </c>
      <c r="S102">
        <v>17500000</v>
      </c>
      <c r="T102">
        <v>735000000</v>
      </c>
      <c r="U102">
        <v>264033590.94</v>
      </c>
      <c r="Z102"/>
    </row>
    <row r="103" spans="1:26" x14ac:dyDescent="0.25">
      <c r="A103">
        <v>102299</v>
      </c>
      <c r="B103" t="s">
        <v>1631</v>
      </c>
      <c r="C103" t="s">
        <v>1632</v>
      </c>
      <c r="D103" t="s">
        <v>1284</v>
      </c>
      <c r="E103">
        <v>-4</v>
      </c>
      <c r="F103" s="105">
        <v>31134600.440000001</v>
      </c>
      <c r="G103" t="s">
        <v>491</v>
      </c>
      <c r="H103">
        <v>778365.01</v>
      </c>
      <c r="I103">
        <v>38587250.68</v>
      </c>
      <c r="J103" s="384">
        <v>42340.740084606485</v>
      </c>
      <c r="K103" s="384">
        <v>43439</v>
      </c>
      <c r="L103" t="s">
        <v>1633</v>
      </c>
      <c r="M103" t="s">
        <v>1634</v>
      </c>
      <c r="N103" t="s">
        <v>1280</v>
      </c>
      <c r="O103" t="s">
        <v>44</v>
      </c>
      <c r="P103" t="s">
        <v>75</v>
      </c>
      <c r="Q103" t="s">
        <v>26</v>
      </c>
      <c r="R103" t="s">
        <v>2636</v>
      </c>
      <c r="S103">
        <v>60000000</v>
      </c>
      <c r="T103">
        <v>2160000000</v>
      </c>
      <c r="U103">
        <v>1120845615.8399999</v>
      </c>
      <c r="Z103"/>
    </row>
    <row r="104" spans="1:26" x14ac:dyDescent="0.25">
      <c r="A104">
        <v>102318</v>
      </c>
      <c r="B104" t="s">
        <v>975</v>
      </c>
      <c r="C104" t="s">
        <v>976</v>
      </c>
      <c r="D104" t="s">
        <v>1281</v>
      </c>
      <c r="E104">
        <v>-10</v>
      </c>
      <c r="F104" s="105">
        <v>2365986.63</v>
      </c>
      <c r="G104" t="s">
        <v>4684</v>
      </c>
      <c r="H104">
        <v>52446.04</v>
      </c>
      <c r="I104">
        <v>2490913.04</v>
      </c>
      <c r="J104" s="384">
        <v>42349.715272800924</v>
      </c>
      <c r="K104" s="384">
        <v>43080</v>
      </c>
      <c r="L104" t="s">
        <v>977</v>
      </c>
      <c r="M104" t="s">
        <v>978</v>
      </c>
      <c r="N104" t="s">
        <v>1280</v>
      </c>
      <c r="O104" t="s">
        <v>46</v>
      </c>
      <c r="P104" t="s">
        <v>46</v>
      </c>
      <c r="Q104" t="s">
        <v>26</v>
      </c>
      <c r="R104" t="s">
        <v>2856</v>
      </c>
      <c r="S104">
        <v>20000000</v>
      </c>
      <c r="T104">
        <v>840000000</v>
      </c>
      <c r="U104">
        <v>99371438.459999993</v>
      </c>
      <c r="Z104"/>
    </row>
    <row r="105" spans="1:26" x14ac:dyDescent="0.25">
      <c r="A105">
        <v>102319</v>
      </c>
      <c r="B105" t="s">
        <v>1129</v>
      </c>
      <c r="C105" t="s">
        <v>1133</v>
      </c>
      <c r="D105" t="s">
        <v>1283</v>
      </c>
      <c r="E105">
        <v>-11</v>
      </c>
      <c r="F105" s="105">
        <v>31044180.600000001</v>
      </c>
      <c r="G105" t="s">
        <v>1191</v>
      </c>
      <c r="H105">
        <v>558795.25</v>
      </c>
      <c r="I105">
        <v>38475187.189999998</v>
      </c>
      <c r="J105" s="384">
        <v>42350.529940775465</v>
      </c>
      <c r="K105" s="384">
        <v>43446</v>
      </c>
      <c r="L105" t="s">
        <v>1134</v>
      </c>
      <c r="M105" t="s">
        <v>1716</v>
      </c>
      <c r="N105" t="s">
        <v>1280</v>
      </c>
      <c r="O105" t="s">
        <v>44</v>
      </c>
      <c r="P105" t="s">
        <v>75</v>
      </c>
      <c r="Q105" t="s">
        <v>26</v>
      </c>
      <c r="R105" t="s">
        <v>2856</v>
      </c>
      <c r="S105">
        <v>60000000</v>
      </c>
      <c r="T105">
        <v>2160000000</v>
      </c>
      <c r="U105">
        <v>1117590501.5999999</v>
      </c>
      <c r="Z105"/>
    </row>
    <row r="106" spans="1:26" x14ac:dyDescent="0.25">
      <c r="A106">
        <v>102320</v>
      </c>
      <c r="B106" t="s">
        <v>1656</v>
      </c>
      <c r="C106" t="s">
        <v>1659</v>
      </c>
      <c r="D106" t="s">
        <v>1281</v>
      </c>
      <c r="E106">
        <v>134</v>
      </c>
      <c r="F106" s="105">
        <v>1139260.83</v>
      </c>
      <c r="G106" t="s">
        <v>90</v>
      </c>
      <c r="H106">
        <v>39874.129999999997</v>
      </c>
      <c r="I106">
        <v>1179134.96</v>
      </c>
      <c r="J106" s="384">
        <v>42352.446862847224</v>
      </c>
      <c r="K106" s="384">
        <v>42903</v>
      </c>
      <c r="L106" t="s">
        <v>1660</v>
      </c>
      <c r="M106" t="s">
        <v>1661</v>
      </c>
      <c r="N106" t="s">
        <v>1280</v>
      </c>
      <c r="O106" t="s">
        <v>45</v>
      </c>
      <c r="P106" t="s">
        <v>45</v>
      </c>
      <c r="Q106" t="s">
        <v>1658</v>
      </c>
      <c r="R106" t="s">
        <v>2636</v>
      </c>
      <c r="S106">
        <v>15500000</v>
      </c>
      <c r="T106">
        <v>651000000</v>
      </c>
      <c r="U106">
        <v>47848954.859999999</v>
      </c>
      <c r="Z106"/>
    </row>
    <row r="107" spans="1:26" x14ac:dyDescent="0.25">
      <c r="A107">
        <v>102325</v>
      </c>
      <c r="B107" t="s">
        <v>606</v>
      </c>
      <c r="C107" t="s">
        <v>608</v>
      </c>
      <c r="D107" t="s">
        <v>1841</v>
      </c>
      <c r="E107">
        <v>16</v>
      </c>
      <c r="F107" s="105">
        <v>23772661.25</v>
      </c>
      <c r="G107" t="s">
        <v>5725</v>
      </c>
      <c r="H107">
        <v>713179.84</v>
      </c>
      <c r="I107">
        <v>29870318.100000001</v>
      </c>
      <c r="J107" s="384">
        <v>42353.615307094908</v>
      </c>
      <c r="K107" s="384">
        <v>43449</v>
      </c>
      <c r="L107" t="s">
        <v>609</v>
      </c>
      <c r="M107" t="s">
        <v>610</v>
      </c>
      <c r="N107" t="s">
        <v>1280</v>
      </c>
      <c r="O107" t="s">
        <v>27</v>
      </c>
      <c r="P107" t="s">
        <v>26</v>
      </c>
      <c r="Q107" t="s">
        <v>26</v>
      </c>
      <c r="R107" t="s">
        <v>2856</v>
      </c>
      <c r="S107">
        <v>43475755.299999997</v>
      </c>
      <c r="T107">
        <v>1565127190.8</v>
      </c>
      <c r="U107">
        <v>855815805</v>
      </c>
      <c r="Z107"/>
    </row>
    <row r="108" spans="1:26" x14ac:dyDescent="0.25">
      <c r="A108">
        <v>102326</v>
      </c>
      <c r="B108" t="s">
        <v>650</v>
      </c>
      <c r="C108" t="s">
        <v>656</v>
      </c>
      <c r="D108" t="s">
        <v>1285</v>
      </c>
      <c r="E108">
        <v>-20</v>
      </c>
      <c r="F108" s="105">
        <v>2372041.5099999998</v>
      </c>
      <c r="G108" t="s">
        <v>284</v>
      </c>
      <c r="H108">
        <v>10674.19</v>
      </c>
      <c r="I108">
        <v>2486321.66</v>
      </c>
      <c r="J108" s="384">
        <v>42353.648289930556</v>
      </c>
      <c r="K108" s="384">
        <v>43455</v>
      </c>
      <c r="L108" t="s">
        <v>657</v>
      </c>
      <c r="M108" t="s">
        <v>658</v>
      </c>
      <c r="N108" t="s">
        <v>1280</v>
      </c>
      <c r="O108" t="s">
        <v>43</v>
      </c>
      <c r="P108" t="s">
        <v>338</v>
      </c>
      <c r="Q108" t="s">
        <v>339</v>
      </c>
      <c r="R108" t="s">
        <v>2636</v>
      </c>
      <c r="S108">
        <v>12900000</v>
      </c>
      <c r="T108">
        <v>232200000</v>
      </c>
      <c r="U108">
        <v>42696747.18</v>
      </c>
      <c r="Z108"/>
    </row>
    <row r="109" spans="1:26" x14ac:dyDescent="0.25">
      <c r="A109">
        <v>102331</v>
      </c>
      <c r="B109" t="s">
        <v>566</v>
      </c>
      <c r="C109" t="s">
        <v>567</v>
      </c>
      <c r="D109" t="s">
        <v>1284</v>
      </c>
      <c r="E109">
        <v>16</v>
      </c>
      <c r="F109" s="105">
        <v>1837243.99</v>
      </c>
      <c r="G109" t="s">
        <v>1039</v>
      </c>
      <c r="H109">
        <v>69913.64</v>
      </c>
      <c r="I109">
        <v>1944718.32</v>
      </c>
      <c r="J109" s="384">
        <v>42353.74308310185</v>
      </c>
      <c r="K109" s="384">
        <v>43084</v>
      </c>
      <c r="L109" t="s">
        <v>568</v>
      </c>
      <c r="M109" t="s">
        <v>569</v>
      </c>
      <c r="N109" t="s">
        <v>1280</v>
      </c>
      <c r="O109" t="s">
        <v>44</v>
      </c>
      <c r="P109" t="s">
        <v>75</v>
      </c>
      <c r="Q109" t="s">
        <v>26</v>
      </c>
      <c r="R109" t="s">
        <v>2856</v>
      </c>
      <c r="S109">
        <v>11000000</v>
      </c>
      <c r="T109">
        <v>396000000</v>
      </c>
      <c r="U109">
        <v>66140783.640000001</v>
      </c>
      <c r="Z109"/>
    </row>
    <row r="110" spans="1:26" x14ac:dyDescent="0.25">
      <c r="A110">
        <v>102332</v>
      </c>
      <c r="B110" t="s">
        <v>154</v>
      </c>
      <c r="C110" t="s">
        <v>155</v>
      </c>
      <c r="D110" t="s">
        <v>1283</v>
      </c>
      <c r="E110">
        <v>7</v>
      </c>
      <c r="F110" s="105">
        <v>10099167.060000001</v>
      </c>
      <c r="G110" t="s">
        <v>86</v>
      </c>
      <c r="H110">
        <v>283846.96999999997</v>
      </c>
      <c r="I110">
        <v>10650967.880000001</v>
      </c>
      <c r="J110" s="384">
        <v>42354.499002662036</v>
      </c>
      <c r="K110" s="384">
        <v>43093</v>
      </c>
      <c r="L110" t="s">
        <v>156</v>
      </c>
      <c r="M110" t="s">
        <v>157</v>
      </c>
      <c r="N110" t="s">
        <v>158</v>
      </c>
      <c r="O110" t="s">
        <v>25</v>
      </c>
      <c r="P110" t="s">
        <v>103</v>
      </c>
      <c r="Q110" t="s">
        <v>26</v>
      </c>
      <c r="R110" t="s">
        <v>2856</v>
      </c>
      <c r="S110">
        <v>60000000</v>
      </c>
      <c r="T110">
        <v>2160000000</v>
      </c>
      <c r="U110">
        <v>363570014.16000003</v>
      </c>
      <c r="Z110"/>
    </row>
    <row r="111" spans="1:26" x14ac:dyDescent="0.25">
      <c r="A111">
        <v>102338</v>
      </c>
      <c r="B111" t="s">
        <v>591</v>
      </c>
      <c r="C111" t="s">
        <v>592</v>
      </c>
      <c r="D111" t="s">
        <v>1841</v>
      </c>
      <c r="E111">
        <v>51</v>
      </c>
      <c r="F111" s="105">
        <v>9467414.0500000007</v>
      </c>
      <c r="G111" t="s">
        <v>5725</v>
      </c>
      <c r="H111">
        <v>723538.2</v>
      </c>
      <c r="I111">
        <v>12946749.539999999</v>
      </c>
      <c r="J111" s="384">
        <v>42355.719460335647</v>
      </c>
      <c r="K111" s="384">
        <v>43475</v>
      </c>
      <c r="L111" t="s">
        <v>593</v>
      </c>
      <c r="M111" t="s">
        <v>594</v>
      </c>
      <c r="N111" t="s">
        <v>1280</v>
      </c>
      <c r="O111" t="s">
        <v>25</v>
      </c>
      <c r="P111" t="s">
        <v>26</v>
      </c>
      <c r="Q111" t="s">
        <v>26</v>
      </c>
      <c r="R111" t="s">
        <v>2856</v>
      </c>
      <c r="S111">
        <v>15039169.9</v>
      </c>
      <c r="T111">
        <v>721880155.20000005</v>
      </c>
      <c r="U111">
        <v>454435874.39999998</v>
      </c>
      <c r="Z111"/>
    </row>
    <row r="112" spans="1:26" x14ac:dyDescent="0.25">
      <c r="A112">
        <v>102339</v>
      </c>
      <c r="B112" t="s">
        <v>1107</v>
      </c>
      <c r="C112" t="s">
        <v>1114</v>
      </c>
      <c r="D112" t="s">
        <v>1284</v>
      </c>
      <c r="E112">
        <v>-16</v>
      </c>
      <c r="F112" s="105">
        <v>21579944.219999999</v>
      </c>
      <c r="G112" t="s">
        <v>1039</v>
      </c>
      <c r="H112">
        <v>280539.27</v>
      </c>
      <c r="I112">
        <v>26835042.34</v>
      </c>
      <c r="J112" s="384">
        <v>42355.730444710651</v>
      </c>
      <c r="K112" s="384">
        <v>43482</v>
      </c>
      <c r="L112" t="s">
        <v>1115</v>
      </c>
      <c r="M112" t="s">
        <v>1280</v>
      </c>
      <c r="N112" t="s">
        <v>1280</v>
      </c>
      <c r="O112" t="s">
        <v>44</v>
      </c>
      <c r="P112" t="s">
        <v>75</v>
      </c>
      <c r="Q112" t="s">
        <v>26</v>
      </c>
      <c r="R112" t="s">
        <v>2856</v>
      </c>
      <c r="S112">
        <v>40000000</v>
      </c>
      <c r="T112">
        <v>1440000000</v>
      </c>
      <c r="U112">
        <v>776877991.91999996</v>
      </c>
      <c r="Z112"/>
    </row>
    <row r="113" spans="1:26" x14ac:dyDescent="0.25">
      <c r="A113">
        <v>102349</v>
      </c>
      <c r="B113" t="s">
        <v>1688</v>
      </c>
      <c r="C113" t="s">
        <v>1690</v>
      </c>
      <c r="D113" t="s">
        <v>1283</v>
      </c>
      <c r="E113">
        <v>60</v>
      </c>
      <c r="F113" s="105">
        <v>16299883.449999999</v>
      </c>
      <c r="G113" t="s">
        <v>5167</v>
      </c>
      <c r="H113">
        <v>398908.76</v>
      </c>
      <c r="I113">
        <v>17311890.789999999</v>
      </c>
      <c r="J113" s="384">
        <v>42359.423008796293</v>
      </c>
      <c r="K113" s="384">
        <v>43101</v>
      </c>
      <c r="L113" t="s">
        <v>1691</v>
      </c>
      <c r="M113" t="s">
        <v>1280</v>
      </c>
      <c r="N113" t="s">
        <v>1280</v>
      </c>
      <c r="O113" t="s">
        <v>44</v>
      </c>
      <c r="P113" t="s">
        <v>75</v>
      </c>
      <c r="Q113" t="s">
        <v>1442</v>
      </c>
      <c r="R113" t="s">
        <v>2856</v>
      </c>
      <c r="S113">
        <v>60000000</v>
      </c>
      <c r="T113">
        <v>2160000000</v>
      </c>
      <c r="U113">
        <v>586795804.20000005</v>
      </c>
      <c r="Z113"/>
    </row>
    <row r="114" spans="1:26" x14ac:dyDescent="0.25">
      <c r="A114">
        <v>102361</v>
      </c>
      <c r="B114" t="s">
        <v>207</v>
      </c>
      <c r="C114" t="s">
        <v>208</v>
      </c>
      <c r="D114" t="s">
        <v>1284</v>
      </c>
      <c r="E114">
        <v>-4</v>
      </c>
      <c r="F114" s="105">
        <v>42815950.200000003</v>
      </c>
      <c r="G114" t="s">
        <v>1039</v>
      </c>
      <c r="H114">
        <v>2298515.0699999998</v>
      </c>
      <c r="I114">
        <v>53798186.020000003</v>
      </c>
      <c r="J114" s="384">
        <v>42369.726132256947</v>
      </c>
      <c r="K114" s="384">
        <v>43470</v>
      </c>
      <c r="L114" t="s">
        <v>209</v>
      </c>
      <c r="M114" t="s">
        <v>210</v>
      </c>
      <c r="N114" t="s">
        <v>1280</v>
      </c>
      <c r="O114" t="s">
        <v>27</v>
      </c>
      <c r="P114" t="s">
        <v>81</v>
      </c>
      <c r="Q114" t="s">
        <v>26</v>
      </c>
      <c r="R114" t="s">
        <v>2856</v>
      </c>
      <c r="S114">
        <v>77924100</v>
      </c>
      <c r="T114">
        <v>2805267600</v>
      </c>
      <c r="U114">
        <v>1541374207.2</v>
      </c>
      <c r="Z114"/>
    </row>
    <row r="115" spans="1:26" x14ac:dyDescent="0.25">
      <c r="A115">
        <v>102365</v>
      </c>
      <c r="B115" t="s">
        <v>1717</v>
      </c>
      <c r="C115" t="s">
        <v>1718</v>
      </c>
      <c r="D115" t="s">
        <v>1284</v>
      </c>
      <c r="E115">
        <v>-9</v>
      </c>
      <c r="F115" s="105">
        <v>5975977.75</v>
      </c>
      <c r="G115" t="s">
        <v>1467</v>
      </c>
      <c r="H115">
        <v>119519.56</v>
      </c>
      <c r="I115">
        <v>6907660.8200000003</v>
      </c>
      <c r="J115" s="384">
        <v>42376.666967939818</v>
      </c>
      <c r="K115" s="384">
        <v>43291</v>
      </c>
      <c r="L115" t="s">
        <v>1719</v>
      </c>
      <c r="M115" t="s">
        <v>1720</v>
      </c>
      <c r="N115" t="s">
        <v>1280</v>
      </c>
      <c r="O115" t="s">
        <v>44</v>
      </c>
      <c r="P115" t="s">
        <v>75</v>
      </c>
      <c r="Q115" t="s">
        <v>26</v>
      </c>
      <c r="R115" t="s">
        <v>2636</v>
      </c>
      <c r="S115">
        <v>15000000</v>
      </c>
      <c r="T115">
        <v>540000000</v>
      </c>
      <c r="U115">
        <v>215135199</v>
      </c>
      <c r="Z115"/>
    </row>
    <row r="116" spans="1:26" x14ac:dyDescent="0.25">
      <c r="A116">
        <v>102374</v>
      </c>
      <c r="B116" t="s">
        <v>677</v>
      </c>
      <c r="C116" t="s">
        <v>678</v>
      </c>
      <c r="D116" t="s">
        <v>1283</v>
      </c>
      <c r="E116">
        <v>-13</v>
      </c>
      <c r="F116" s="105">
        <v>27340136.079999998</v>
      </c>
      <c r="G116" t="s">
        <v>1191</v>
      </c>
      <c r="H116">
        <v>437442.18</v>
      </c>
      <c r="I116">
        <v>34352845.640000001</v>
      </c>
      <c r="J116" s="384">
        <v>42383.680837928237</v>
      </c>
      <c r="K116" s="384">
        <v>43479</v>
      </c>
      <c r="L116" t="s">
        <v>679</v>
      </c>
      <c r="M116" t="s">
        <v>680</v>
      </c>
      <c r="N116" t="s">
        <v>1280</v>
      </c>
      <c r="O116" t="s">
        <v>29</v>
      </c>
      <c r="P116" t="s">
        <v>96</v>
      </c>
      <c r="Q116" t="s">
        <v>96</v>
      </c>
      <c r="R116" t="s">
        <v>2856</v>
      </c>
      <c r="S116">
        <v>50000000</v>
      </c>
      <c r="T116">
        <v>1800000000</v>
      </c>
      <c r="U116">
        <v>984244898.88</v>
      </c>
      <c r="Z116"/>
    </row>
    <row r="117" spans="1:26" x14ac:dyDescent="0.25">
      <c r="A117">
        <v>102375</v>
      </c>
      <c r="B117" t="s">
        <v>74</v>
      </c>
      <c r="C117" t="s">
        <v>76</v>
      </c>
      <c r="D117" t="s">
        <v>1284</v>
      </c>
      <c r="E117">
        <v>-14</v>
      </c>
      <c r="F117" s="105">
        <v>24606122.41</v>
      </c>
      <c r="G117" t="s">
        <v>491</v>
      </c>
      <c r="H117">
        <v>369091.84000000003</v>
      </c>
      <c r="I117">
        <v>30917560.940000001</v>
      </c>
      <c r="J117" s="384">
        <v>42384.482900497685</v>
      </c>
      <c r="K117" s="384">
        <v>43480</v>
      </c>
      <c r="L117" t="s">
        <v>77</v>
      </c>
      <c r="M117" t="s">
        <v>78</v>
      </c>
      <c r="N117" t="s">
        <v>1280</v>
      </c>
      <c r="O117" t="s">
        <v>25</v>
      </c>
      <c r="P117" t="s">
        <v>32</v>
      </c>
      <c r="Q117" t="s">
        <v>517</v>
      </c>
      <c r="R117" t="s">
        <v>2856</v>
      </c>
      <c r="S117">
        <v>45000000</v>
      </c>
      <c r="T117">
        <v>1620000000</v>
      </c>
      <c r="U117">
        <v>885820406.75999999</v>
      </c>
      <c r="Z117"/>
    </row>
    <row r="118" spans="1:26" x14ac:dyDescent="0.25">
      <c r="A118">
        <v>102394</v>
      </c>
      <c r="B118" t="s">
        <v>929</v>
      </c>
      <c r="C118" t="s">
        <v>944</v>
      </c>
      <c r="D118" t="s">
        <v>1281</v>
      </c>
      <c r="E118">
        <v>21</v>
      </c>
      <c r="F118" s="105">
        <v>5094254.34</v>
      </c>
      <c r="G118" t="s">
        <v>468</v>
      </c>
      <c r="H118">
        <v>113758.09</v>
      </c>
      <c r="I118">
        <v>5529678.5999999996</v>
      </c>
      <c r="J118" s="384">
        <v>42399.498592442127</v>
      </c>
      <c r="K118" s="384">
        <v>43142</v>
      </c>
      <c r="L118" t="s">
        <v>945</v>
      </c>
      <c r="M118" t="s">
        <v>1280</v>
      </c>
      <c r="N118" t="s">
        <v>1280</v>
      </c>
      <c r="O118" t="s">
        <v>37</v>
      </c>
      <c r="P118" t="s">
        <v>38</v>
      </c>
      <c r="Q118" t="s">
        <v>39</v>
      </c>
      <c r="R118" t="s">
        <v>2856</v>
      </c>
      <c r="S118">
        <v>21076989</v>
      </c>
      <c r="T118">
        <v>885233538</v>
      </c>
      <c r="U118">
        <v>213958682.28</v>
      </c>
      <c r="Z118"/>
    </row>
    <row r="119" spans="1:26" x14ac:dyDescent="0.25">
      <c r="A119">
        <v>102395</v>
      </c>
      <c r="B119" t="s">
        <v>1778</v>
      </c>
      <c r="C119" t="s">
        <v>1779</v>
      </c>
      <c r="D119" t="s">
        <v>1281</v>
      </c>
      <c r="E119">
        <v>-4</v>
      </c>
      <c r="F119" s="105">
        <v>4600443.78</v>
      </c>
      <c r="G119" t="s">
        <v>1447</v>
      </c>
      <c r="H119">
        <v>134179.60999999999</v>
      </c>
      <c r="I119">
        <v>5011316.04</v>
      </c>
      <c r="J119" s="384">
        <v>42399.587561192129</v>
      </c>
      <c r="K119" s="384">
        <v>43137</v>
      </c>
      <c r="L119" t="s">
        <v>1780</v>
      </c>
      <c r="M119" t="s">
        <v>1280</v>
      </c>
      <c r="N119" t="s">
        <v>1280</v>
      </c>
      <c r="O119" t="s">
        <v>27</v>
      </c>
      <c r="P119" t="s">
        <v>81</v>
      </c>
      <c r="Q119" t="s">
        <v>26</v>
      </c>
      <c r="R119" t="s">
        <v>2636</v>
      </c>
      <c r="S119">
        <v>20000000</v>
      </c>
      <c r="T119">
        <v>840000000</v>
      </c>
      <c r="U119">
        <v>193218638.75999999</v>
      </c>
      <c r="Z119"/>
    </row>
    <row r="120" spans="1:26" x14ac:dyDescent="0.25">
      <c r="A120">
        <v>102404</v>
      </c>
      <c r="B120" t="s">
        <v>1748</v>
      </c>
      <c r="C120" t="s">
        <v>1749</v>
      </c>
      <c r="D120" t="s">
        <v>1284</v>
      </c>
      <c r="E120">
        <v>-14</v>
      </c>
      <c r="F120" s="105">
        <v>4411010.29</v>
      </c>
      <c r="G120" t="s">
        <v>491</v>
      </c>
      <c r="H120">
        <v>66165.149999999994</v>
      </c>
      <c r="I120">
        <v>4746724.2699999996</v>
      </c>
      <c r="J120" s="384">
        <v>42410.686364548608</v>
      </c>
      <c r="K120" s="384">
        <v>43146</v>
      </c>
      <c r="L120" t="s">
        <v>1750</v>
      </c>
      <c r="M120" t="s">
        <v>1280</v>
      </c>
      <c r="N120" t="s">
        <v>1280</v>
      </c>
      <c r="O120" t="s">
        <v>44</v>
      </c>
      <c r="P120" t="s">
        <v>92</v>
      </c>
      <c r="Q120" t="s">
        <v>26</v>
      </c>
      <c r="R120" t="s">
        <v>2636</v>
      </c>
      <c r="S120">
        <v>20000000</v>
      </c>
      <c r="T120">
        <v>720000000</v>
      </c>
      <c r="U120">
        <v>158796370.44</v>
      </c>
      <c r="Z120"/>
    </row>
    <row r="121" spans="1:26" x14ac:dyDescent="0.25">
      <c r="A121">
        <v>102405</v>
      </c>
      <c r="B121" t="s">
        <v>872</v>
      </c>
      <c r="C121" t="s">
        <v>877</v>
      </c>
      <c r="D121" t="s">
        <v>1281</v>
      </c>
      <c r="E121">
        <v>15</v>
      </c>
      <c r="F121" s="105">
        <v>16320894.539999999</v>
      </c>
      <c r="G121" t="s">
        <v>1191</v>
      </c>
      <c r="H121">
        <v>382677.73</v>
      </c>
      <c r="I121">
        <v>21487541.030000001</v>
      </c>
      <c r="J121" s="384">
        <v>42410.706986689816</v>
      </c>
      <c r="K121" s="384">
        <v>43512</v>
      </c>
      <c r="L121" t="s">
        <v>878</v>
      </c>
      <c r="M121" t="s">
        <v>879</v>
      </c>
      <c r="N121" t="s">
        <v>1280</v>
      </c>
      <c r="O121" t="s">
        <v>25</v>
      </c>
      <c r="P121" t="s">
        <v>26</v>
      </c>
      <c r="Q121" t="s">
        <v>26</v>
      </c>
      <c r="R121" t="s">
        <v>2856</v>
      </c>
      <c r="S121">
        <v>26000000</v>
      </c>
      <c r="T121">
        <v>1092000000</v>
      </c>
      <c r="U121">
        <v>685477570.67999995</v>
      </c>
      <c r="Z121"/>
    </row>
    <row r="122" spans="1:26" x14ac:dyDescent="0.25">
      <c r="A122">
        <v>102407</v>
      </c>
      <c r="B122" t="s">
        <v>1743</v>
      </c>
      <c r="C122" t="s">
        <v>1744</v>
      </c>
      <c r="D122" t="s">
        <v>1284</v>
      </c>
      <c r="E122">
        <v>-19</v>
      </c>
      <c r="F122" s="105">
        <v>26066531.460000001</v>
      </c>
      <c r="G122" t="s">
        <v>491</v>
      </c>
      <c r="H122">
        <v>260665.31</v>
      </c>
      <c r="I122">
        <v>33202859.390000001</v>
      </c>
      <c r="J122" s="384">
        <v>42413.45611767361</v>
      </c>
      <c r="K122" s="384">
        <v>43516</v>
      </c>
      <c r="L122" t="s">
        <v>1745</v>
      </c>
      <c r="M122" t="s">
        <v>1834</v>
      </c>
      <c r="N122" t="s">
        <v>1280</v>
      </c>
      <c r="O122" t="s">
        <v>45</v>
      </c>
      <c r="P122" t="s">
        <v>45</v>
      </c>
      <c r="Q122" t="s">
        <v>26</v>
      </c>
      <c r="R122" t="s">
        <v>2636</v>
      </c>
      <c r="S122">
        <v>45000000</v>
      </c>
      <c r="T122">
        <v>1620000000</v>
      </c>
      <c r="U122">
        <v>938395132.55999994</v>
      </c>
      <c r="Z122"/>
    </row>
    <row r="123" spans="1:26" x14ac:dyDescent="0.25">
      <c r="A123">
        <v>102409</v>
      </c>
      <c r="B123" t="s">
        <v>1772</v>
      </c>
      <c r="C123" t="s">
        <v>1773</v>
      </c>
      <c r="D123" t="s">
        <v>1281</v>
      </c>
      <c r="E123">
        <v>71</v>
      </c>
      <c r="F123" s="105">
        <v>1624281.74</v>
      </c>
      <c r="G123" t="s">
        <v>1191</v>
      </c>
      <c r="H123">
        <v>165863.75</v>
      </c>
      <c r="I123">
        <v>1679394.84</v>
      </c>
      <c r="J123" s="384">
        <v>42413.487209606479</v>
      </c>
      <c r="K123" s="384">
        <v>42967</v>
      </c>
      <c r="L123" t="s">
        <v>1774</v>
      </c>
      <c r="M123" t="s">
        <v>1835</v>
      </c>
      <c r="N123" t="s">
        <v>1280</v>
      </c>
      <c r="O123" t="s">
        <v>25</v>
      </c>
      <c r="P123" t="s">
        <v>26</v>
      </c>
      <c r="Q123" t="s">
        <v>26</v>
      </c>
      <c r="R123" t="s">
        <v>2636</v>
      </c>
      <c r="S123">
        <v>22000000</v>
      </c>
      <c r="T123">
        <v>924000000</v>
      </c>
      <c r="U123">
        <v>68219833.079999998</v>
      </c>
      <c r="Z123"/>
    </row>
    <row r="124" spans="1:26" x14ac:dyDescent="0.25">
      <c r="A124">
        <v>102418</v>
      </c>
      <c r="B124" t="s">
        <v>810</v>
      </c>
      <c r="C124" t="s">
        <v>812</v>
      </c>
      <c r="D124" t="s">
        <v>1841</v>
      </c>
      <c r="E124">
        <v>0</v>
      </c>
      <c r="F124" s="105">
        <v>11655515.189999999</v>
      </c>
      <c r="G124" t="s">
        <v>86</v>
      </c>
      <c r="H124">
        <v>450679.92</v>
      </c>
      <c r="I124">
        <v>16287123.970000001</v>
      </c>
      <c r="J124" s="384">
        <v>42426.470221099538</v>
      </c>
      <c r="K124" s="384">
        <v>43525</v>
      </c>
      <c r="L124" t="s">
        <v>813</v>
      </c>
      <c r="M124" t="s">
        <v>1280</v>
      </c>
      <c r="N124" t="s">
        <v>1280</v>
      </c>
      <c r="O124" t="s">
        <v>25</v>
      </c>
      <c r="P124" t="s">
        <v>286</v>
      </c>
      <c r="Q124" t="s">
        <v>26</v>
      </c>
      <c r="R124" t="s">
        <v>2856</v>
      </c>
      <c r="S124">
        <v>18000000</v>
      </c>
      <c r="T124">
        <v>864000000</v>
      </c>
      <c r="U124">
        <v>559464729.12</v>
      </c>
      <c r="Z124"/>
    </row>
    <row r="125" spans="1:26" x14ac:dyDescent="0.25">
      <c r="A125">
        <v>102423</v>
      </c>
      <c r="B125" t="s">
        <v>163</v>
      </c>
      <c r="C125" t="s">
        <v>164</v>
      </c>
      <c r="D125" t="s">
        <v>1284</v>
      </c>
      <c r="E125">
        <v>-5</v>
      </c>
      <c r="F125" s="105">
        <v>40601824.789999999</v>
      </c>
      <c r="G125" t="s">
        <v>1467</v>
      </c>
      <c r="H125">
        <v>974443.79</v>
      </c>
      <c r="I125">
        <v>61362571.520000003</v>
      </c>
      <c r="J125" s="384">
        <v>42427.511391203705</v>
      </c>
      <c r="K125" s="384">
        <v>43896</v>
      </c>
      <c r="L125" t="s">
        <v>165</v>
      </c>
      <c r="M125" t="s">
        <v>166</v>
      </c>
      <c r="N125" t="s">
        <v>167</v>
      </c>
      <c r="O125" t="s">
        <v>44</v>
      </c>
      <c r="P125" t="s">
        <v>75</v>
      </c>
      <c r="Q125" t="s">
        <v>26</v>
      </c>
      <c r="R125" t="s">
        <v>2856</v>
      </c>
      <c r="S125">
        <v>53000000</v>
      </c>
      <c r="T125">
        <v>1908000000</v>
      </c>
      <c r="U125">
        <v>1461665692.4400001</v>
      </c>
      <c r="Z125"/>
    </row>
    <row r="126" spans="1:26" x14ac:dyDescent="0.25">
      <c r="A126">
        <v>102424</v>
      </c>
      <c r="B126" t="s">
        <v>902</v>
      </c>
      <c r="C126" t="s">
        <v>908</v>
      </c>
      <c r="D126" t="s">
        <v>1283</v>
      </c>
      <c r="E126">
        <v>7</v>
      </c>
      <c r="F126" s="105">
        <v>14161111.449999999</v>
      </c>
      <c r="G126" t="s">
        <v>1191</v>
      </c>
      <c r="H126">
        <v>69592.960000000006</v>
      </c>
      <c r="I126">
        <v>15043877.02</v>
      </c>
      <c r="J126" s="384">
        <v>42427.581274999997</v>
      </c>
      <c r="K126" s="384">
        <v>43155</v>
      </c>
      <c r="L126" t="s">
        <v>909</v>
      </c>
      <c r="M126" t="s">
        <v>910</v>
      </c>
      <c r="N126" t="s">
        <v>1280</v>
      </c>
      <c r="O126" t="s">
        <v>25</v>
      </c>
      <c r="P126" t="s">
        <v>106</v>
      </c>
      <c r="Q126" t="s">
        <v>107</v>
      </c>
      <c r="R126" t="s">
        <v>2856</v>
      </c>
      <c r="S126">
        <v>53000000</v>
      </c>
      <c r="T126">
        <v>1908000000</v>
      </c>
      <c r="U126">
        <v>509800012.19999999</v>
      </c>
      <c r="Z126"/>
    </row>
    <row r="127" spans="1:26" x14ac:dyDescent="0.25">
      <c r="A127">
        <v>102425</v>
      </c>
      <c r="B127" t="s">
        <v>551</v>
      </c>
      <c r="C127" t="s">
        <v>552</v>
      </c>
      <c r="D127" t="s">
        <v>1283</v>
      </c>
      <c r="E127">
        <v>-6</v>
      </c>
      <c r="F127" s="105">
        <v>21311959.07</v>
      </c>
      <c r="G127" t="s">
        <v>2855</v>
      </c>
      <c r="H127">
        <v>490175.06</v>
      </c>
      <c r="I127">
        <v>27517852.359999999</v>
      </c>
      <c r="J127" s="384">
        <v>42427.614638923609</v>
      </c>
      <c r="K127" s="384">
        <v>43531</v>
      </c>
      <c r="L127" t="s">
        <v>553</v>
      </c>
      <c r="M127" t="s">
        <v>554</v>
      </c>
      <c r="N127" t="s">
        <v>1280</v>
      </c>
      <c r="O127" t="s">
        <v>25</v>
      </c>
      <c r="P127" t="s">
        <v>290</v>
      </c>
      <c r="Q127" t="s">
        <v>1824</v>
      </c>
      <c r="R127" t="s">
        <v>2856</v>
      </c>
      <c r="S127">
        <v>35000000</v>
      </c>
      <c r="T127">
        <v>1260000000</v>
      </c>
      <c r="U127">
        <v>767230526.51999998</v>
      </c>
      <c r="Z127"/>
    </row>
    <row r="128" spans="1:26" x14ac:dyDescent="0.25">
      <c r="A128">
        <v>102426</v>
      </c>
      <c r="B128" t="s">
        <v>359</v>
      </c>
      <c r="C128" t="s">
        <v>360</v>
      </c>
      <c r="D128" t="s">
        <v>1283</v>
      </c>
      <c r="E128">
        <v>29</v>
      </c>
      <c r="F128" s="105">
        <v>32676053.670000002</v>
      </c>
      <c r="G128" t="s">
        <v>468</v>
      </c>
      <c r="H128">
        <v>1875979.97</v>
      </c>
      <c r="I128">
        <v>50013241.759999998</v>
      </c>
      <c r="J128" s="384">
        <v>42429.693336076387</v>
      </c>
      <c r="K128" s="384">
        <v>43892</v>
      </c>
      <c r="L128" t="s">
        <v>361</v>
      </c>
      <c r="M128" t="s">
        <v>362</v>
      </c>
      <c r="N128" t="s">
        <v>1280</v>
      </c>
      <c r="O128" t="s">
        <v>25</v>
      </c>
      <c r="P128" t="s">
        <v>26</v>
      </c>
      <c r="Q128" t="s">
        <v>26</v>
      </c>
      <c r="R128" t="s">
        <v>2856</v>
      </c>
      <c r="S128">
        <v>42000000</v>
      </c>
      <c r="T128">
        <v>1512000000</v>
      </c>
      <c r="U128">
        <v>1176337932.1199999</v>
      </c>
      <c r="Z128"/>
    </row>
    <row r="129" spans="1:26" x14ac:dyDescent="0.25">
      <c r="A129">
        <v>102430</v>
      </c>
      <c r="B129" t="s">
        <v>570</v>
      </c>
      <c r="C129" t="s">
        <v>576</v>
      </c>
      <c r="D129" t="s">
        <v>1850</v>
      </c>
      <c r="E129">
        <v>-9</v>
      </c>
      <c r="F129" s="105">
        <v>38751763.729999997</v>
      </c>
      <c r="G129" t="s">
        <v>546</v>
      </c>
      <c r="H129">
        <v>775035.27</v>
      </c>
      <c r="I129">
        <v>58493748.399999999</v>
      </c>
      <c r="J129" s="384">
        <v>42429.801953321759</v>
      </c>
      <c r="K129" s="384">
        <v>43900</v>
      </c>
      <c r="L129" t="s">
        <v>577</v>
      </c>
      <c r="M129" t="s">
        <v>578</v>
      </c>
      <c r="N129" t="s">
        <v>1280</v>
      </c>
      <c r="O129" t="s">
        <v>25</v>
      </c>
      <c r="P129" t="s">
        <v>106</v>
      </c>
      <c r="Q129" t="s">
        <v>107</v>
      </c>
      <c r="R129" t="s">
        <v>2856</v>
      </c>
      <c r="S129">
        <v>50600000</v>
      </c>
      <c r="T129">
        <v>1821600000</v>
      </c>
      <c r="U129">
        <v>1395063494.28</v>
      </c>
      <c r="Z129"/>
    </row>
    <row r="130" spans="1:26" x14ac:dyDescent="0.25">
      <c r="A130">
        <v>102431</v>
      </c>
      <c r="B130" t="s">
        <v>1006</v>
      </c>
      <c r="C130" t="s">
        <v>1009</v>
      </c>
      <c r="D130" t="s">
        <v>1283</v>
      </c>
      <c r="E130">
        <v>-10</v>
      </c>
      <c r="F130" s="105">
        <v>36314933.25</v>
      </c>
      <c r="G130" t="s">
        <v>86</v>
      </c>
      <c r="H130">
        <v>689983.73</v>
      </c>
      <c r="I130">
        <v>54881095.130000003</v>
      </c>
      <c r="J130" s="384">
        <v>42430.377102164355</v>
      </c>
      <c r="K130" s="384">
        <v>43901</v>
      </c>
      <c r="L130" t="s">
        <v>1010</v>
      </c>
      <c r="M130" t="s">
        <v>1280</v>
      </c>
      <c r="N130" t="s">
        <v>1280</v>
      </c>
      <c r="O130" t="s">
        <v>44</v>
      </c>
      <c r="P130" t="s">
        <v>75</v>
      </c>
      <c r="Q130" t="s">
        <v>1442</v>
      </c>
      <c r="R130" t="s">
        <v>2856</v>
      </c>
      <c r="S130">
        <v>47362475.399999999</v>
      </c>
      <c r="T130">
        <v>1705049114.4000001</v>
      </c>
      <c r="U130">
        <v>1307337597</v>
      </c>
      <c r="Z130"/>
    </row>
    <row r="131" spans="1:26" x14ac:dyDescent="0.25">
      <c r="A131">
        <v>102434</v>
      </c>
      <c r="B131" t="s">
        <v>1100</v>
      </c>
      <c r="C131" t="s">
        <v>1105</v>
      </c>
      <c r="D131" t="s">
        <v>1850</v>
      </c>
      <c r="E131">
        <v>21</v>
      </c>
      <c r="F131" s="105">
        <v>37459210.219999999</v>
      </c>
      <c r="G131" t="s">
        <v>546</v>
      </c>
      <c r="H131">
        <v>1852495.54</v>
      </c>
      <c r="I131">
        <v>57329517.140000001</v>
      </c>
      <c r="J131" s="384">
        <v>42431.627083680556</v>
      </c>
      <c r="K131" s="384">
        <v>43900</v>
      </c>
      <c r="L131" t="s">
        <v>1106</v>
      </c>
      <c r="M131" t="s">
        <v>1280</v>
      </c>
      <c r="N131" t="s">
        <v>1280</v>
      </c>
      <c r="O131" t="s">
        <v>25</v>
      </c>
      <c r="P131" t="s">
        <v>88</v>
      </c>
      <c r="Q131" t="s">
        <v>285</v>
      </c>
      <c r="R131" t="s">
        <v>2856</v>
      </c>
      <c r="S131">
        <v>47916079.32</v>
      </c>
      <c r="T131">
        <v>1724978855.52</v>
      </c>
      <c r="U131">
        <v>1348531567.9200001</v>
      </c>
      <c r="Z131"/>
    </row>
    <row r="132" spans="1:26" x14ac:dyDescent="0.25">
      <c r="A132">
        <v>102437</v>
      </c>
      <c r="B132" t="s">
        <v>622</v>
      </c>
      <c r="C132" t="s">
        <v>1277</v>
      </c>
      <c r="D132" t="s">
        <v>1284</v>
      </c>
      <c r="E132">
        <v>27</v>
      </c>
      <c r="F132" s="105">
        <v>29608264.789999999</v>
      </c>
      <c r="G132" t="s">
        <v>546</v>
      </c>
      <c r="H132">
        <v>2586022.19</v>
      </c>
      <c r="I132">
        <v>38750009.710000001</v>
      </c>
      <c r="J132" s="384">
        <v>42433.590518518518</v>
      </c>
      <c r="K132" s="384">
        <v>43528</v>
      </c>
      <c r="L132" t="s">
        <v>1278</v>
      </c>
      <c r="M132" t="s">
        <v>1280</v>
      </c>
      <c r="N132" t="s">
        <v>1280</v>
      </c>
      <c r="O132" t="s">
        <v>44</v>
      </c>
      <c r="P132" t="s">
        <v>75</v>
      </c>
      <c r="Q132" t="s">
        <v>26</v>
      </c>
      <c r="R132" t="s">
        <v>2856</v>
      </c>
      <c r="S132">
        <v>47000000</v>
      </c>
      <c r="T132">
        <v>1692000000</v>
      </c>
      <c r="U132">
        <v>1065897532.4400001</v>
      </c>
      <c r="Z132"/>
    </row>
    <row r="133" spans="1:26" x14ac:dyDescent="0.25">
      <c r="A133">
        <v>102439</v>
      </c>
      <c r="B133" t="s">
        <v>508</v>
      </c>
      <c r="C133" t="s">
        <v>514</v>
      </c>
      <c r="D133" t="s">
        <v>1281</v>
      </c>
      <c r="E133">
        <v>-3</v>
      </c>
      <c r="F133" s="105">
        <v>5623301.6799999997</v>
      </c>
      <c r="G133" t="s">
        <v>86</v>
      </c>
      <c r="H133">
        <v>402850.33</v>
      </c>
      <c r="I133">
        <v>6227282.8700000001</v>
      </c>
      <c r="J133" s="384">
        <v>42433.703201620374</v>
      </c>
      <c r="K133" s="384">
        <v>43163</v>
      </c>
      <c r="L133" t="s">
        <v>515</v>
      </c>
      <c r="M133" t="s">
        <v>516</v>
      </c>
      <c r="N133" t="s">
        <v>1280</v>
      </c>
      <c r="O133" t="s">
        <v>25</v>
      </c>
      <c r="P133" t="s">
        <v>106</v>
      </c>
      <c r="Q133" t="s">
        <v>107</v>
      </c>
      <c r="R133" t="s">
        <v>2856</v>
      </c>
      <c r="S133">
        <v>20000000</v>
      </c>
      <c r="T133">
        <v>840000000</v>
      </c>
      <c r="U133">
        <v>236178670.56</v>
      </c>
      <c r="Z133"/>
    </row>
    <row r="134" spans="1:26" x14ac:dyDescent="0.25">
      <c r="A134">
        <v>102444</v>
      </c>
      <c r="B134" t="s">
        <v>1858</v>
      </c>
      <c r="C134" t="s">
        <v>1147</v>
      </c>
      <c r="D134" t="s">
        <v>1283</v>
      </c>
      <c r="E134">
        <v>167</v>
      </c>
      <c r="F134" s="105">
        <v>22352970.59</v>
      </c>
      <c r="G134" t="s">
        <v>5726</v>
      </c>
      <c r="H134">
        <v>1309527.3999999999</v>
      </c>
      <c r="I134">
        <v>26831005.379999999</v>
      </c>
      <c r="J134" s="384">
        <v>42438.497540509263</v>
      </c>
      <c r="K134" s="384">
        <v>43173</v>
      </c>
      <c r="L134" t="s">
        <v>1859</v>
      </c>
      <c r="M134" t="s">
        <v>1280</v>
      </c>
      <c r="N134" t="s">
        <v>1280</v>
      </c>
      <c r="O134" t="s">
        <v>27</v>
      </c>
      <c r="P134" t="s">
        <v>81</v>
      </c>
      <c r="Q134" t="s">
        <v>26</v>
      </c>
      <c r="R134" t="s">
        <v>2636</v>
      </c>
      <c r="S134">
        <v>40000000</v>
      </c>
      <c r="T134">
        <v>1600000000</v>
      </c>
      <c r="U134">
        <v>894118823.60000002</v>
      </c>
      <c r="Z134"/>
    </row>
    <row r="135" spans="1:26" x14ac:dyDescent="0.25">
      <c r="A135">
        <v>102449</v>
      </c>
      <c r="B135" t="s">
        <v>1555</v>
      </c>
      <c r="C135" t="s">
        <v>1574</v>
      </c>
      <c r="D135" t="s">
        <v>1850</v>
      </c>
      <c r="E135">
        <v>-14</v>
      </c>
      <c r="F135" s="105">
        <v>30115898.670000002</v>
      </c>
      <c r="G135" t="s">
        <v>1467</v>
      </c>
      <c r="H135">
        <v>451738.48</v>
      </c>
      <c r="I135">
        <v>45514924.530000001</v>
      </c>
      <c r="J135" s="384">
        <v>42440.763313275464</v>
      </c>
      <c r="K135" s="384">
        <v>43905</v>
      </c>
      <c r="L135" t="s">
        <v>1575</v>
      </c>
      <c r="M135" t="s">
        <v>1280</v>
      </c>
      <c r="N135" t="s">
        <v>1280</v>
      </c>
      <c r="O135" t="s">
        <v>44</v>
      </c>
      <c r="P135" t="s">
        <v>92</v>
      </c>
      <c r="Q135" t="s">
        <v>92</v>
      </c>
      <c r="R135" t="s">
        <v>2856</v>
      </c>
      <c r="S135">
        <v>39502188</v>
      </c>
      <c r="T135">
        <v>1422078768</v>
      </c>
      <c r="U135">
        <v>1084172352.1199999</v>
      </c>
      <c r="Z135"/>
    </row>
    <row r="136" spans="1:26" x14ac:dyDescent="0.25">
      <c r="A136">
        <v>102453</v>
      </c>
      <c r="B136" t="s">
        <v>1091</v>
      </c>
      <c r="C136" t="s">
        <v>1092</v>
      </c>
      <c r="D136" t="s">
        <v>1284</v>
      </c>
      <c r="E136">
        <v>-19</v>
      </c>
      <c r="F136" s="105">
        <v>30524915.899999999</v>
      </c>
      <c r="G136" t="s">
        <v>1467</v>
      </c>
      <c r="H136">
        <v>305249.15999999997</v>
      </c>
      <c r="I136">
        <v>46133082.5</v>
      </c>
      <c r="J136" s="384">
        <v>42444.561077280094</v>
      </c>
      <c r="K136" s="384">
        <v>43910</v>
      </c>
      <c r="L136" t="s">
        <v>1093</v>
      </c>
      <c r="M136" t="s">
        <v>1094</v>
      </c>
      <c r="N136" t="s">
        <v>1280</v>
      </c>
      <c r="O136" t="s">
        <v>44</v>
      </c>
      <c r="P136" t="s">
        <v>92</v>
      </c>
      <c r="Q136" t="s">
        <v>26</v>
      </c>
      <c r="R136" t="s">
        <v>2856</v>
      </c>
      <c r="S136">
        <v>40000000</v>
      </c>
      <c r="T136">
        <v>1440000000</v>
      </c>
      <c r="U136">
        <v>1098896972.4000001</v>
      </c>
      <c r="Z136"/>
    </row>
    <row r="137" spans="1:26" x14ac:dyDescent="0.25">
      <c r="A137">
        <v>102457</v>
      </c>
      <c r="B137" t="s">
        <v>1869</v>
      </c>
      <c r="C137" t="s">
        <v>1876</v>
      </c>
      <c r="D137" t="s">
        <v>1281</v>
      </c>
      <c r="E137">
        <v>-15</v>
      </c>
      <c r="F137" s="105">
        <v>8175465.7000000002</v>
      </c>
      <c r="G137" t="s">
        <v>1191</v>
      </c>
      <c r="H137">
        <v>152608.69</v>
      </c>
      <c r="I137">
        <v>9182156.3100000005</v>
      </c>
      <c r="J137" s="384">
        <v>42445.698319444447</v>
      </c>
      <c r="K137" s="384">
        <v>43175</v>
      </c>
      <c r="L137" t="s">
        <v>1877</v>
      </c>
      <c r="M137" t="s">
        <v>1280</v>
      </c>
      <c r="N137" t="s">
        <v>1280</v>
      </c>
      <c r="O137" t="s">
        <v>25</v>
      </c>
      <c r="P137" t="s">
        <v>26</v>
      </c>
      <c r="Q137" t="s">
        <v>26</v>
      </c>
      <c r="R137" t="s">
        <v>2636</v>
      </c>
      <c r="S137">
        <v>28000000</v>
      </c>
      <c r="T137">
        <v>1344000000</v>
      </c>
      <c r="U137">
        <v>392422353.60000002</v>
      </c>
      <c r="Z137"/>
    </row>
    <row r="138" spans="1:26" x14ac:dyDescent="0.25">
      <c r="A138">
        <v>102459</v>
      </c>
      <c r="B138" t="s">
        <v>1878</v>
      </c>
      <c r="C138" t="s">
        <v>1879</v>
      </c>
      <c r="D138" t="s">
        <v>1283</v>
      </c>
      <c r="E138">
        <v>-16</v>
      </c>
      <c r="F138" s="105">
        <v>28987339.449999999</v>
      </c>
      <c r="G138" t="s">
        <v>5167</v>
      </c>
      <c r="H138">
        <v>418706.01</v>
      </c>
      <c r="I138">
        <v>38440010.600000001</v>
      </c>
      <c r="J138" s="384">
        <v>42446.599923877315</v>
      </c>
      <c r="K138" s="384">
        <v>43541</v>
      </c>
      <c r="L138" t="s">
        <v>1880</v>
      </c>
      <c r="M138" t="s">
        <v>1280</v>
      </c>
      <c r="N138" t="s">
        <v>1881</v>
      </c>
      <c r="O138" t="s">
        <v>44</v>
      </c>
      <c r="P138" t="s">
        <v>26</v>
      </c>
      <c r="Q138" t="s">
        <v>26</v>
      </c>
      <c r="R138" t="s">
        <v>2636</v>
      </c>
      <c r="S138">
        <v>47000000</v>
      </c>
      <c r="T138">
        <v>1880000000</v>
      </c>
      <c r="U138">
        <v>1159493578</v>
      </c>
      <c r="Z138"/>
    </row>
    <row r="139" spans="1:26" x14ac:dyDescent="0.25">
      <c r="A139">
        <v>102460</v>
      </c>
      <c r="B139" t="s">
        <v>1172</v>
      </c>
      <c r="C139" t="s">
        <v>1179</v>
      </c>
      <c r="D139" t="s">
        <v>1281</v>
      </c>
      <c r="E139">
        <v>104</v>
      </c>
      <c r="F139" s="105">
        <v>20993030.940000001</v>
      </c>
      <c r="G139" t="s">
        <v>468</v>
      </c>
      <c r="H139">
        <v>1242735.6100000001</v>
      </c>
      <c r="I139">
        <v>35537314.039999999</v>
      </c>
      <c r="J139" s="384">
        <v>42446.670012499999</v>
      </c>
      <c r="K139" s="384">
        <v>43907</v>
      </c>
      <c r="L139" t="s">
        <v>1180</v>
      </c>
      <c r="M139" t="s">
        <v>1280</v>
      </c>
      <c r="N139" t="s">
        <v>1280</v>
      </c>
      <c r="O139" t="s">
        <v>44</v>
      </c>
      <c r="P139" t="s">
        <v>92</v>
      </c>
      <c r="Q139" t="s">
        <v>92</v>
      </c>
      <c r="R139" t="s">
        <v>2856</v>
      </c>
      <c r="S139">
        <v>25000000</v>
      </c>
      <c r="T139">
        <v>1050000000</v>
      </c>
      <c r="U139">
        <v>881707299.48000002</v>
      </c>
      <c r="Z139"/>
    </row>
    <row r="140" spans="1:26" x14ac:dyDescent="0.25">
      <c r="A140">
        <v>102464</v>
      </c>
      <c r="B140" t="s">
        <v>1130</v>
      </c>
      <c r="C140" t="s">
        <v>1131</v>
      </c>
      <c r="D140" t="s">
        <v>1284</v>
      </c>
      <c r="E140">
        <v>-20</v>
      </c>
      <c r="F140" s="105">
        <v>8325400.1500000004</v>
      </c>
      <c r="G140" t="s">
        <v>491</v>
      </c>
      <c r="H140">
        <v>74928.600000000006</v>
      </c>
      <c r="I140">
        <v>11644901.68</v>
      </c>
      <c r="J140" s="384">
        <v>42450.687901851852</v>
      </c>
      <c r="K140" s="384">
        <v>43729</v>
      </c>
      <c r="L140" t="s">
        <v>1132</v>
      </c>
      <c r="M140" t="s">
        <v>1280</v>
      </c>
      <c r="N140" t="s">
        <v>1280</v>
      </c>
      <c r="O140" t="s">
        <v>44</v>
      </c>
      <c r="P140" t="s">
        <v>75</v>
      </c>
      <c r="Q140" t="s">
        <v>26</v>
      </c>
      <c r="R140" t="s">
        <v>2856</v>
      </c>
      <c r="S140">
        <v>12000000</v>
      </c>
      <c r="T140">
        <v>432000000</v>
      </c>
      <c r="U140">
        <v>299714405.39999998</v>
      </c>
      <c r="Z140"/>
    </row>
    <row r="141" spans="1:26" x14ac:dyDescent="0.25">
      <c r="A141">
        <v>102479</v>
      </c>
      <c r="B141" t="s">
        <v>681</v>
      </c>
      <c r="C141" t="s">
        <v>682</v>
      </c>
      <c r="D141" t="s">
        <v>1281</v>
      </c>
      <c r="E141">
        <v>26</v>
      </c>
      <c r="F141" s="105">
        <v>15172808.17</v>
      </c>
      <c r="G141" t="s">
        <v>1191</v>
      </c>
      <c r="H141">
        <v>956798.41</v>
      </c>
      <c r="I141">
        <v>21027481.710000001</v>
      </c>
      <c r="J141" s="384">
        <v>42459.616795254631</v>
      </c>
      <c r="K141" s="384">
        <v>43560</v>
      </c>
      <c r="L141" t="s">
        <v>683</v>
      </c>
      <c r="M141" t="s">
        <v>684</v>
      </c>
      <c r="N141" t="s">
        <v>1280</v>
      </c>
      <c r="O141" t="s">
        <v>25</v>
      </c>
      <c r="P141" t="s">
        <v>88</v>
      </c>
      <c r="Q141" t="s">
        <v>26</v>
      </c>
      <c r="R141" t="s">
        <v>2856</v>
      </c>
      <c r="S141">
        <v>22329831</v>
      </c>
      <c r="T141">
        <v>937852902</v>
      </c>
      <c r="U141">
        <v>637257943.13999999</v>
      </c>
      <c r="Z141"/>
    </row>
    <row r="142" spans="1:26" x14ac:dyDescent="0.25">
      <c r="A142">
        <v>102483</v>
      </c>
      <c r="B142" t="s">
        <v>1108</v>
      </c>
      <c r="C142" t="s">
        <v>1112</v>
      </c>
      <c r="D142" t="s">
        <v>1281</v>
      </c>
      <c r="E142">
        <v>41</v>
      </c>
      <c r="F142" s="105">
        <v>10357297.82</v>
      </c>
      <c r="G142" t="s">
        <v>5724</v>
      </c>
      <c r="H142">
        <v>400903.57</v>
      </c>
      <c r="I142">
        <v>11507007.24</v>
      </c>
      <c r="J142" s="384">
        <v>42460.545624270831</v>
      </c>
      <c r="K142" s="384">
        <v>43179</v>
      </c>
      <c r="L142" t="s">
        <v>1113</v>
      </c>
      <c r="M142" t="s">
        <v>1280</v>
      </c>
      <c r="N142" t="s">
        <v>1280</v>
      </c>
      <c r="O142" t="s">
        <v>45</v>
      </c>
      <c r="P142" t="s">
        <v>45</v>
      </c>
      <c r="Q142" t="s">
        <v>26</v>
      </c>
      <c r="R142" t="s">
        <v>2856</v>
      </c>
      <c r="S142">
        <v>27810000</v>
      </c>
      <c r="T142">
        <v>1168020000</v>
      </c>
      <c r="U142">
        <v>435006508.44</v>
      </c>
      <c r="Z142"/>
    </row>
    <row r="143" spans="1:26" x14ac:dyDescent="0.25">
      <c r="A143">
        <v>102486</v>
      </c>
      <c r="B143" t="s">
        <v>1256</v>
      </c>
      <c r="C143" t="s">
        <v>1257</v>
      </c>
      <c r="D143" t="s">
        <v>1284</v>
      </c>
      <c r="E143">
        <v>0</v>
      </c>
      <c r="F143" s="105">
        <v>34556754.469999999</v>
      </c>
      <c r="G143" t="s">
        <v>1039</v>
      </c>
      <c r="H143">
        <v>1002145.88</v>
      </c>
      <c r="I143">
        <v>45226377.880000003</v>
      </c>
      <c r="J143" s="384">
        <v>42460.686850891201</v>
      </c>
      <c r="K143" s="384">
        <v>43556</v>
      </c>
      <c r="L143" t="s">
        <v>1258</v>
      </c>
      <c r="M143" t="s">
        <v>1280</v>
      </c>
      <c r="N143" t="s">
        <v>1280</v>
      </c>
      <c r="O143" t="s">
        <v>44</v>
      </c>
      <c r="P143" t="s">
        <v>92</v>
      </c>
      <c r="Q143" t="s">
        <v>26</v>
      </c>
      <c r="R143" t="s">
        <v>2856</v>
      </c>
      <c r="S143">
        <v>54802000</v>
      </c>
      <c r="T143">
        <v>1972872000</v>
      </c>
      <c r="U143">
        <v>1244043160.9200001</v>
      </c>
      <c r="Z143"/>
    </row>
    <row r="144" spans="1:26" x14ac:dyDescent="0.25">
      <c r="A144">
        <v>102488</v>
      </c>
      <c r="B144" t="s">
        <v>461</v>
      </c>
      <c r="C144" t="s">
        <v>463</v>
      </c>
      <c r="D144" t="s">
        <v>1283</v>
      </c>
      <c r="E144">
        <v>-2</v>
      </c>
      <c r="F144" s="105">
        <v>12832112.75</v>
      </c>
      <c r="G144" t="s">
        <v>5725</v>
      </c>
      <c r="H144">
        <v>789211.37</v>
      </c>
      <c r="I144">
        <v>14212655.630000001</v>
      </c>
      <c r="J144" s="384">
        <v>42460.567592210646</v>
      </c>
      <c r="K144" s="384">
        <v>43193</v>
      </c>
      <c r="L144" t="s">
        <v>464</v>
      </c>
      <c r="M144" t="s">
        <v>1280</v>
      </c>
      <c r="N144" t="s">
        <v>1280</v>
      </c>
      <c r="O144" t="s">
        <v>27</v>
      </c>
      <c r="P144" t="s">
        <v>81</v>
      </c>
      <c r="Q144" t="s">
        <v>1685</v>
      </c>
      <c r="R144" t="s">
        <v>2856</v>
      </c>
      <c r="S144">
        <v>40000000</v>
      </c>
      <c r="T144">
        <v>1440000000</v>
      </c>
      <c r="U144">
        <v>461956059</v>
      </c>
      <c r="Z144"/>
    </row>
    <row r="145" spans="1:26" x14ac:dyDescent="0.25">
      <c r="A145">
        <v>102491</v>
      </c>
      <c r="B145" t="s">
        <v>105</v>
      </c>
      <c r="C145" t="s">
        <v>264</v>
      </c>
      <c r="D145" t="s">
        <v>1282</v>
      </c>
      <c r="E145">
        <v>-24</v>
      </c>
      <c r="F145" s="105">
        <v>6376301.0800000001</v>
      </c>
      <c r="G145" t="s">
        <v>5167</v>
      </c>
      <c r="H145">
        <v>42508.67</v>
      </c>
      <c r="I145">
        <v>8910082.9399999995</v>
      </c>
      <c r="J145" s="384">
        <v>42462.467640393515</v>
      </c>
      <c r="K145" s="384">
        <v>43549</v>
      </c>
      <c r="L145" t="s">
        <v>265</v>
      </c>
      <c r="M145" t="s">
        <v>266</v>
      </c>
      <c r="N145" t="s">
        <v>1280</v>
      </c>
      <c r="O145" t="s">
        <v>25</v>
      </c>
      <c r="P145" t="s">
        <v>26</v>
      </c>
      <c r="Q145" t="s">
        <v>26</v>
      </c>
      <c r="R145" t="s">
        <v>2856</v>
      </c>
      <c r="S145">
        <v>10000000</v>
      </c>
      <c r="T145">
        <v>480000000</v>
      </c>
      <c r="U145">
        <v>306062451.83999997</v>
      </c>
      <c r="Z145"/>
    </row>
    <row r="146" spans="1:26" x14ac:dyDescent="0.25">
      <c r="A146">
        <v>102492</v>
      </c>
      <c r="B146" t="s">
        <v>529</v>
      </c>
      <c r="C146" t="s">
        <v>531</v>
      </c>
      <c r="D146" t="s">
        <v>1841</v>
      </c>
      <c r="E146">
        <v>137</v>
      </c>
      <c r="F146" s="105">
        <v>33457718.48</v>
      </c>
      <c r="G146" t="s">
        <v>90</v>
      </c>
      <c r="H146">
        <v>1976534.22</v>
      </c>
      <c r="I146">
        <v>46797972.090000004</v>
      </c>
      <c r="J146" s="384">
        <v>42464.513811076387</v>
      </c>
      <c r="K146" s="384">
        <v>43569</v>
      </c>
      <c r="L146" t="s">
        <v>532</v>
      </c>
      <c r="M146" t="s">
        <v>533</v>
      </c>
      <c r="N146" t="s">
        <v>1280</v>
      </c>
      <c r="O146" t="s">
        <v>25</v>
      </c>
      <c r="P146" t="s">
        <v>88</v>
      </c>
      <c r="Q146" t="s">
        <v>285</v>
      </c>
      <c r="R146" t="s">
        <v>2856</v>
      </c>
      <c r="S146">
        <v>43994828.359999999</v>
      </c>
      <c r="T146">
        <v>1583813820.96</v>
      </c>
      <c r="U146">
        <v>1204477865.28</v>
      </c>
      <c r="Z146"/>
    </row>
    <row r="147" spans="1:26" x14ac:dyDescent="0.25">
      <c r="A147">
        <v>102495</v>
      </c>
      <c r="B147" t="s">
        <v>1557</v>
      </c>
      <c r="C147" t="s">
        <v>1579</v>
      </c>
      <c r="D147" t="s">
        <v>1283</v>
      </c>
      <c r="E147">
        <v>-10</v>
      </c>
      <c r="F147" s="105">
        <v>20889698.109999999</v>
      </c>
      <c r="G147" t="s">
        <v>5725</v>
      </c>
      <c r="H147">
        <v>396904.26</v>
      </c>
      <c r="I147">
        <v>27339528.699999999</v>
      </c>
      <c r="J147" s="384">
        <v>42466.533940740737</v>
      </c>
      <c r="K147" s="384">
        <v>43566</v>
      </c>
      <c r="L147" t="s">
        <v>1580</v>
      </c>
      <c r="M147" t="s">
        <v>1280</v>
      </c>
      <c r="N147" t="s">
        <v>1581</v>
      </c>
      <c r="O147" t="s">
        <v>25</v>
      </c>
      <c r="P147" t="s">
        <v>289</v>
      </c>
      <c r="Q147" t="s">
        <v>26</v>
      </c>
      <c r="R147" t="s">
        <v>2856</v>
      </c>
      <c r="S147">
        <v>33000000</v>
      </c>
      <c r="T147">
        <v>1188000000</v>
      </c>
      <c r="U147">
        <v>752029131.96000004</v>
      </c>
      <c r="Z147"/>
    </row>
    <row r="148" spans="1:26" x14ac:dyDescent="0.25">
      <c r="A148">
        <v>102501</v>
      </c>
      <c r="B148" t="s">
        <v>510</v>
      </c>
      <c r="C148" t="s">
        <v>511</v>
      </c>
      <c r="D148" t="s">
        <v>1281</v>
      </c>
      <c r="E148">
        <v>-8</v>
      </c>
      <c r="F148" s="105">
        <v>11412255.83</v>
      </c>
      <c r="G148" t="s">
        <v>5725</v>
      </c>
      <c r="H148">
        <v>279600.27</v>
      </c>
      <c r="I148">
        <v>17056163.399999999</v>
      </c>
      <c r="J148" s="384">
        <v>42468.689994479166</v>
      </c>
      <c r="K148" s="384">
        <v>43747</v>
      </c>
      <c r="L148" t="s">
        <v>512</v>
      </c>
      <c r="M148" t="s">
        <v>513</v>
      </c>
      <c r="N148" t="s">
        <v>1280</v>
      </c>
      <c r="O148" t="s">
        <v>25</v>
      </c>
      <c r="P148" t="s">
        <v>26</v>
      </c>
      <c r="Q148" t="s">
        <v>26</v>
      </c>
      <c r="R148" t="s">
        <v>2856</v>
      </c>
      <c r="S148">
        <v>15500000</v>
      </c>
      <c r="T148">
        <v>651000000</v>
      </c>
      <c r="U148">
        <v>479314744.86000001</v>
      </c>
      <c r="Z148"/>
    </row>
    <row r="149" spans="1:26" x14ac:dyDescent="0.25">
      <c r="A149">
        <v>102505</v>
      </c>
      <c r="B149" t="s">
        <v>556</v>
      </c>
      <c r="C149" t="s">
        <v>557</v>
      </c>
      <c r="D149" t="s">
        <v>1284</v>
      </c>
      <c r="E149">
        <v>30</v>
      </c>
      <c r="F149" s="105">
        <v>31416972.079999998</v>
      </c>
      <c r="G149" t="s">
        <v>1039</v>
      </c>
      <c r="H149">
        <v>1835380.48</v>
      </c>
      <c r="I149">
        <v>47923031.780000001</v>
      </c>
      <c r="J149" s="384">
        <v>42469.519066898145</v>
      </c>
      <c r="K149" s="384">
        <v>43922</v>
      </c>
      <c r="L149" t="s">
        <v>558</v>
      </c>
      <c r="M149" t="s">
        <v>1280</v>
      </c>
      <c r="N149" t="s">
        <v>1280</v>
      </c>
      <c r="O149" t="s">
        <v>44</v>
      </c>
      <c r="P149" t="s">
        <v>75</v>
      </c>
      <c r="Q149" t="s">
        <v>1442</v>
      </c>
      <c r="R149" t="s">
        <v>2856</v>
      </c>
      <c r="S149">
        <v>40000000</v>
      </c>
      <c r="T149">
        <v>1440000000</v>
      </c>
      <c r="U149">
        <v>1131010994.8800001</v>
      </c>
      <c r="Z149"/>
    </row>
    <row r="150" spans="1:26" x14ac:dyDescent="0.25">
      <c r="A150">
        <v>102513</v>
      </c>
      <c r="B150" t="s">
        <v>1926</v>
      </c>
      <c r="C150" t="s">
        <v>1927</v>
      </c>
      <c r="D150" t="s">
        <v>1281</v>
      </c>
      <c r="E150">
        <v>-19</v>
      </c>
      <c r="F150" s="105">
        <v>5363295.7699999996</v>
      </c>
      <c r="G150" t="s">
        <v>5167</v>
      </c>
      <c r="H150">
        <v>71510.61</v>
      </c>
      <c r="I150">
        <v>6138675.0199999996</v>
      </c>
      <c r="J150" s="384">
        <v>42475.657613773146</v>
      </c>
      <c r="K150" s="384">
        <v>43210</v>
      </c>
      <c r="L150" t="s">
        <v>1928</v>
      </c>
      <c r="M150" t="s">
        <v>1280</v>
      </c>
      <c r="N150" t="s">
        <v>1280</v>
      </c>
      <c r="O150" t="s">
        <v>44</v>
      </c>
      <c r="P150" t="s">
        <v>75</v>
      </c>
      <c r="Q150" t="s">
        <v>26</v>
      </c>
      <c r="R150" t="s">
        <v>2636</v>
      </c>
      <c r="S150">
        <v>15500000</v>
      </c>
      <c r="T150">
        <v>744000000</v>
      </c>
      <c r="U150">
        <v>257438196.96000001</v>
      </c>
      <c r="Z150"/>
    </row>
    <row r="151" spans="1:26" x14ac:dyDescent="0.25">
      <c r="A151">
        <v>102514</v>
      </c>
      <c r="B151" t="s">
        <v>327</v>
      </c>
      <c r="C151" t="s">
        <v>330</v>
      </c>
      <c r="D151" t="s">
        <v>1283</v>
      </c>
      <c r="E151">
        <v>-4</v>
      </c>
      <c r="F151" s="105">
        <v>11086796.439999999</v>
      </c>
      <c r="G151" t="s">
        <v>90</v>
      </c>
      <c r="H151">
        <v>277169.90999999997</v>
      </c>
      <c r="I151">
        <v>12279569.460000001</v>
      </c>
      <c r="J151" s="384">
        <v>42475.673721840278</v>
      </c>
      <c r="K151" s="384">
        <v>43195</v>
      </c>
      <c r="L151" t="s">
        <v>331</v>
      </c>
      <c r="M151" t="s">
        <v>332</v>
      </c>
      <c r="N151" t="s">
        <v>1280</v>
      </c>
      <c r="O151" t="s">
        <v>25</v>
      </c>
      <c r="P151" t="s">
        <v>103</v>
      </c>
      <c r="Q151" t="s">
        <v>1821</v>
      </c>
      <c r="R151" t="s">
        <v>2856</v>
      </c>
      <c r="S151">
        <v>35000000</v>
      </c>
      <c r="T151">
        <v>1260000000</v>
      </c>
      <c r="U151">
        <v>399124671.83999997</v>
      </c>
      <c r="Z151"/>
    </row>
    <row r="152" spans="1:26" x14ac:dyDescent="0.25">
      <c r="A152">
        <v>102521</v>
      </c>
      <c r="B152" t="s">
        <v>1423</v>
      </c>
      <c r="C152" t="s">
        <v>1424</v>
      </c>
      <c r="D152" t="s">
        <v>1283</v>
      </c>
      <c r="E152">
        <v>102</v>
      </c>
      <c r="F152" s="105">
        <v>11930860.960000001</v>
      </c>
      <c r="G152" t="s">
        <v>86</v>
      </c>
      <c r="H152">
        <v>298745.19</v>
      </c>
      <c r="I152">
        <v>12876264.390000001</v>
      </c>
      <c r="J152" s="384">
        <v>42481.618425196757</v>
      </c>
      <c r="K152" s="384">
        <v>43088</v>
      </c>
      <c r="L152" t="s">
        <v>1425</v>
      </c>
      <c r="M152" t="s">
        <v>1426</v>
      </c>
      <c r="N152" t="s">
        <v>1280</v>
      </c>
      <c r="O152" t="s">
        <v>45</v>
      </c>
      <c r="P152" t="s">
        <v>45</v>
      </c>
      <c r="Q152" t="s">
        <v>26</v>
      </c>
      <c r="R152" t="s">
        <v>2856</v>
      </c>
      <c r="S152">
        <v>33530386</v>
      </c>
      <c r="T152">
        <v>1207093896</v>
      </c>
      <c r="U152">
        <v>429510994.56</v>
      </c>
      <c r="Z152"/>
    </row>
    <row r="153" spans="1:26" x14ac:dyDescent="0.25">
      <c r="A153">
        <v>102528</v>
      </c>
      <c r="B153" t="s">
        <v>524</v>
      </c>
      <c r="C153" t="s">
        <v>525</v>
      </c>
      <c r="D153" t="s">
        <v>1284</v>
      </c>
      <c r="E153">
        <v>-22</v>
      </c>
      <c r="F153" s="105">
        <v>31805415.109999999</v>
      </c>
      <c r="G153" t="s">
        <v>1039</v>
      </c>
      <c r="H153">
        <v>222637.91</v>
      </c>
      <c r="I153">
        <v>48680661.460000001</v>
      </c>
      <c r="J153" s="384">
        <v>42483.508859837966</v>
      </c>
      <c r="K153" s="384">
        <v>43944</v>
      </c>
      <c r="L153" t="s">
        <v>526</v>
      </c>
      <c r="M153" t="s">
        <v>1280</v>
      </c>
      <c r="N153" t="s">
        <v>1280</v>
      </c>
      <c r="O153" t="s">
        <v>44</v>
      </c>
      <c r="P153" t="s">
        <v>75</v>
      </c>
      <c r="Q153" t="s">
        <v>26</v>
      </c>
      <c r="R153" t="s">
        <v>2856</v>
      </c>
      <c r="S153">
        <v>41000000</v>
      </c>
      <c r="T153">
        <v>1476000000</v>
      </c>
      <c r="U153">
        <v>1144994943.96</v>
      </c>
      <c r="Z153"/>
    </row>
    <row r="154" spans="1:26" x14ac:dyDescent="0.25">
      <c r="A154">
        <v>102531</v>
      </c>
      <c r="B154" t="s">
        <v>392</v>
      </c>
      <c r="C154" t="s">
        <v>395</v>
      </c>
      <c r="D154" t="s">
        <v>1284</v>
      </c>
      <c r="E154">
        <v>-4</v>
      </c>
      <c r="F154" s="105">
        <v>32738052.57</v>
      </c>
      <c r="G154" t="s">
        <v>1467</v>
      </c>
      <c r="H154">
        <v>818451.31</v>
      </c>
      <c r="I154">
        <v>50742894.299999997</v>
      </c>
      <c r="J154" s="384">
        <v>42486.576036574072</v>
      </c>
      <c r="K154" s="384">
        <v>43956</v>
      </c>
      <c r="L154" t="s">
        <v>396</v>
      </c>
      <c r="M154" t="s">
        <v>397</v>
      </c>
      <c r="N154" t="s">
        <v>1280</v>
      </c>
      <c r="O154" t="s">
        <v>44</v>
      </c>
      <c r="P154" t="s">
        <v>75</v>
      </c>
      <c r="Q154" t="s">
        <v>1442</v>
      </c>
      <c r="R154" t="s">
        <v>2856</v>
      </c>
      <c r="S154">
        <v>41000000</v>
      </c>
      <c r="T154">
        <v>1476000000</v>
      </c>
      <c r="U154">
        <v>1178569892.52</v>
      </c>
      <c r="Z154"/>
    </row>
    <row r="155" spans="1:26" x14ac:dyDescent="0.25">
      <c r="A155">
        <v>102539</v>
      </c>
      <c r="B155" t="s">
        <v>1960</v>
      </c>
      <c r="C155" t="s">
        <v>1961</v>
      </c>
      <c r="D155" t="s">
        <v>1284</v>
      </c>
      <c r="E155">
        <v>26</v>
      </c>
      <c r="F155" s="105">
        <v>7254424.5099999998</v>
      </c>
      <c r="G155" t="s">
        <v>1039</v>
      </c>
      <c r="H155">
        <v>420931.31</v>
      </c>
      <c r="I155">
        <v>8384167.2599999998</v>
      </c>
      <c r="J155" s="384">
        <v>42488.521989930552</v>
      </c>
      <c r="K155" s="384">
        <v>43225</v>
      </c>
      <c r="L155" t="s">
        <v>1962</v>
      </c>
      <c r="M155" t="s">
        <v>1280</v>
      </c>
      <c r="N155" t="s">
        <v>1280</v>
      </c>
      <c r="O155" t="s">
        <v>25</v>
      </c>
      <c r="P155" t="s">
        <v>295</v>
      </c>
      <c r="Q155" t="s">
        <v>26</v>
      </c>
      <c r="R155" t="s">
        <v>2636</v>
      </c>
      <c r="S155">
        <v>17000000</v>
      </c>
      <c r="T155">
        <v>680000000</v>
      </c>
      <c r="U155">
        <v>290176980.39999998</v>
      </c>
      <c r="Z155"/>
    </row>
    <row r="156" spans="1:26" x14ac:dyDescent="0.25">
      <c r="A156">
        <v>102542</v>
      </c>
      <c r="B156" t="s">
        <v>1963</v>
      </c>
      <c r="C156" t="s">
        <v>1964</v>
      </c>
      <c r="D156" t="s">
        <v>1283</v>
      </c>
      <c r="E156">
        <v>-4</v>
      </c>
      <c r="F156" s="105">
        <v>33251222.120000001</v>
      </c>
      <c r="G156" t="s">
        <v>86</v>
      </c>
      <c r="H156">
        <v>1035908.54</v>
      </c>
      <c r="I156">
        <v>53843759.75</v>
      </c>
      <c r="J156" s="384">
        <v>42488.616505902777</v>
      </c>
      <c r="K156" s="384">
        <v>43956</v>
      </c>
      <c r="L156" t="s">
        <v>1965</v>
      </c>
      <c r="M156" t="s">
        <v>1280</v>
      </c>
      <c r="N156" t="s">
        <v>1280</v>
      </c>
      <c r="O156" t="s">
        <v>44</v>
      </c>
      <c r="P156" t="s">
        <v>75</v>
      </c>
      <c r="Q156" t="s">
        <v>26</v>
      </c>
      <c r="R156" t="s">
        <v>2636</v>
      </c>
      <c r="S156">
        <v>41000000</v>
      </c>
      <c r="T156">
        <v>1640000000</v>
      </c>
      <c r="U156">
        <v>1330048884.8</v>
      </c>
      <c r="Z156"/>
    </row>
    <row r="157" spans="1:26" x14ac:dyDescent="0.25">
      <c r="A157">
        <v>102543</v>
      </c>
      <c r="B157" t="s">
        <v>482</v>
      </c>
      <c r="C157" t="s">
        <v>483</v>
      </c>
      <c r="D157" t="s">
        <v>1279</v>
      </c>
      <c r="E157">
        <v>176</v>
      </c>
      <c r="F157" s="105">
        <v>413493.89</v>
      </c>
      <c r="G157" t="s">
        <v>5725</v>
      </c>
      <c r="H157">
        <v>16539.759999999998</v>
      </c>
      <c r="I157">
        <v>430033.65</v>
      </c>
      <c r="J157" s="384">
        <v>42488.684151504633</v>
      </c>
      <c r="K157" s="384">
        <v>42860</v>
      </c>
      <c r="L157" t="s">
        <v>484</v>
      </c>
      <c r="M157" t="s">
        <v>1280</v>
      </c>
      <c r="N157" t="s">
        <v>1280</v>
      </c>
      <c r="O157" t="s">
        <v>44</v>
      </c>
      <c r="P157" t="s">
        <v>75</v>
      </c>
      <c r="Q157" t="s">
        <v>1442</v>
      </c>
      <c r="R157" t="s">
        <v>2856</v>
      </c>
      <c r="S157">
        <v>4000000</v>
      </c>
      <c r="T157">
        <v>192000000</v>
      </c>
      <c r="U157">
        <v>19847706.719999999</v>
      </c>
      <c r="Z157"/>
    </row>
    <row r="158" spans="1:26" x14ac:dyDescent="0.25">
      <c r="A158">
        <v>102544</v>
      </c>
      <c r="B158" t="s">
        <v>1966</v>
      </c>
      <c r="C158" t="s">
        <v>1967</v>
      </c>
      <c r="D158" t="s">
        <v>1284</v>
      </c>
      <c r="E158">
        <v>-23</v>
      </c>
      <c r="F158" s="105">
        <v>6691704.0499999998</v>
      </c>
      <c r="G158" t="s">
        <v>491</v>
      </c>
      <c r="H158">
        <v>44611.360000000001</v>
      </c>
      <c r="I158">
        <v>7493721.2000000002</v>
      </c>
      <c r="J158" s="384">
        <v>42488.770340856485</v>
      </c>
      <c r="K158" s="384">
        <v>43214</v>
      </c>
      <c r="L158" t="s">
        <v>1968</v>
      </c>
      <c r="M158" t="s">
        <v>1969</v>
      </c>
      <c r="N158" t="s">
        <v>1280</v>
      </c>
      <c r="O158" t="s">
        <v>44</v>
      </c>
      <c r="P158" t="s">
        <v>92</v>
      </c>
      <c r="Q158" t="s">
        <v>92</v>
      </c>
      <c r="R158" t="s">
        <v>2636</v>
      </c>
      <c r="S158">
        <v>20500000</v>
      </c>
      <c r="T158">
        <v>820000000</v>
      </c>
      <c r="U158">
        <v>267668162</v>
      </c>
      <c r="Z158"/>
    </row>
    <row r="159" spans="1:26" x14ac:dyDescent="0.25">
      <c r="A159">
        <v>102546</v>
      </c>
      <c r="B159" t="s">
        <v>1262</v>
      </c>
      <c r="C159" t="s">
        <v>1263</v>
      </c>
      <c r="D159" t="s">
        <v>1284</v>
      </c>
      <c r="E159">
        <v>-23</v>
      </c>
      <c r="F159" s="105">
        <v>19299402.359999999</v>
      </c>
      <c r="G159" t="s">
        <v>491</v>
      </c>
      <c r="H159">
        <v>115796.41</v>
      </c>
      <c r="I159">
        <v>29539236.32</v>
      </c>
      <c r="J159" s="384">
        <v>42489.584698958337</v>
      </c>
      <c r="K159" s="384">
        <v>43945</v>
      </c>
      <c r="L159" t="s">
        <v>1264</v>
      </c>
      <c r="M159" t="s">
        <v>1265</v>
      </c>
      <c r="N159" t="s">
        <v>1280</v>
      </c>
      <c r="O159" t="s">
        <v>45</v>
      </c>
      <c r="P159" t="s">
        <v>26</v>
      </c>
      <c r="Q159" t="s">
        <v>26</v>
      </c>
      <c r="R159" t="s">
        <v>2856</v>
      </c>
      <c r="S159">
        <v>25000000</v>
      </c>
      <c r="T159">
        <v>900000000</v>
      </c>
      <c r="U159">
        <v>694778484.96000004</v>
      </c>
      <c r="Z159"/>
    </row>
    <row r="160" spans="1:26" x14ac:dyDescent="0.25">
      <c r="A160">
        <v>102547</v>
      </c>
      <c r="B160" t="s">
        <v>100</v>
      </c>
      <c r="C160" t="s">
        <v>258</v>
      </c>
      <c r="D160" t="s">
        <v>1283</v>
      </c>
      <c r="E160">
        <v>0</v>
      </c>
      <c r="F160" s="105">
        <v>32867914.789999999</v>
      </c>
      <c r="G160" t="s">
        <v>1447</v>
      </c>
      <c r="H160">
        <v>1060892.44</v>
      </c>
      <c r="I160">
        <v>43598096.850000001</v>
      </c>
      <c r="J160" s="384">
        <v>42489.647573229166</v>
      </c>
      <c r="K160" s="384">
        <v>43586</v>
      </c>
      <c r="L160" t="s">
        <v>259</v>
      </c>
      <c r="M160" t="s">
        <v>260</v>
      </c>
      <c r="N160" t="s">
        <v>1280</v>
      </c>
      <c r="O160" t="s">
        <v>25</v>
      </c>
      <c r="P160" t="s">
        <v>88</v>
      </c>
      <c r="Q160" t="s">
        <v>285</v>
      </c>
      <c r="R160" t="s">
        <v>2856</v>
      </c>
      <c r="S160">
        <v>50000000</v>
      </c>
      <c r="T160">
        <v>1800000000</v>
      </c>
      <c r="U160">
        <v>1183244932.4400001</v>
      </c>
      <c r="Z160"/>
    </row>
    <row r="161" spans="1:26" x14ac:dyDescent="0.25">
      <c r="A161">
        <v>102550</v>
      </c>
      <c r="B161" t="s">
        <v>144</v>
      </c>
      <c r="C161" t="s">
        <v>145</v>
      </c>
      <c r="D161" t="s">
        <v>1283</v>
      </c>
      <c r="E161">
        <v>146</v>
      </c>
      <c r="F161" s="105">
        <v>4124940.56</v>
      </c>
      <c r="G161" t="s">
        <v>5725</v>
      </c>
      <c r="H161">
        <v>0</v>
      </c>
      <c r="I161">
        <v>4124940.56</v>
      </c>
      <c r="J161" s="384">
        <v>42490.46178020833</v>
      </c>
      <c r="K161" s="384">
        <v>42891</v>
      </c>
      <c r="L161" t="s">
        <v>146</v>
      </c>
      <c r="M161" t="s">
        <v>1280</v>
      </c>
      <c r="N161" t="s">
        <v>1280</v>
      </c>
      <c r="O161" t="s">
        <v>35</v>
      </c>
      <c r="P161" t="s">
        <v>121</v>
      </c>
      <c r="Q161" t="s">
        <v>299</v>
      </c>
      <c r="R161" t="s">
        <v>2856</v>
      </c>
      <c r="S161">
        <v>50700000</v>
      </c>
      <c r="T161">
        <v>1825200000</v>
      </c>
      <c r="U161">
        <v>148497860.16</v>
      </c>
      <c r="Z161"/>
    </row>
    <row r="162" spans="1:26" x14ac:dyDescent="0.25">
      <c r="A162">
        <v>102552</v>
      </c>
      <c r="B162" t="s">
        <v>1974</v>
      </c>
      <c r="C162" t="s">
        <v>1975</v>
      </c>
      <c r="D162" t="s">
        <v>1866</v>
      </c>
      <c r="E162">
        <v>145</v>
      </c>
      <c r="F162" s="105">
        <v>4062727.35</v>
      </c>
      <c r="G162" t="s">
        <v>1191</v>
      </c>
      <c r="H162">
        <v>370269.16</v>
      </c>
      <c r="I162">
        <v>5245068.0599999996</v>
      </c>
      <c r="J162" s="384">
        <v>42490.545032719907</v>
      </c>
      <c r="K162" s="384">
        <v>43226</v>
      </c>
      <c r="L162" t="s">
        <v>1976</v>
      </c>
      <c r="M162" t="s">
        <v>1280</v>
      </c>
      <c r="N162" t="s">
        <v>1977</v>
      </c>
      <c r="O162" t="s">
        <v>44</v>
      </c>
      <c r="P162" t="s">
        <v>75</v>
      </c>
      <c r="Q162" t="s">
        <v>26</v>
      </c>
      <c r="R162" t="s">
        <v>2636</v>
      </c>
      <c r="S162">
        <v>6500000</v>
      </c>
      <c r="T162">
        <v>325000000</v>
      </c>
      <c r="U162">
        <v>203136367.5</v>
      </c>
      <c r="Z162"/>
    </row>
    <row r="163" spans="1:26" x14ac:dyDescent="0.25">
      <c r="A163">
        <v>102558</v>
      </c>
      <c r="B163" t="s">
        <v>1978</v>
      </c>
      <c r="C163" t="s">
        <v>1979</v>
      </c>
      <c r="D163" t="s">
        <v>1284</v>
      </c>
      <c r="E163">
        <v>-7</v>
      </c>
      <c r="F163" s="105">
        <v>28415483.350000001</v>
      </c>
      <c r="G163" t="s">
        <v>1467</v>
      </c>
      <c r="H163">
        <v>694600.7</v>
      </c>
      <c r="I163">
        <v>46013239.890000001</v>
      </c>
      <c r="J163" s="384">
        <v>42490.691256134261</v>
      </c>
      <c r="K163" s="384">
        <v>43959</v>
      </c>
      <c r="L163" t="s">
        <v>1980</v>
      </c>
      <c r="M163" t="s">
        <v>1280</v>
      </c>
      <c r="N163" t="s">
        <v>1280</v>
      </c>
      <c r="O163" t="s">
        <v>25</v>
      </c>
      <c r="P163" t="s">
        <v>106</v>
      </c>
      <c r="Q163" t="s">
        <v>26</v>
      </c>
      <c r="R163" t="s">
        <v>2636</v>
      </c>
      <c r="S163">
        <v>35000000</v>
      </c>
      <c r="T163">
        <v>1400000000</v>
      </c>
      <c r="U163">
        <v>1136619334</v>
      </c>
      <c r="Z163"/>
    </row>
    <row r="164" spans="1:26" x14ac:dyDescent="0.25">
      <c r="A164">
        <v>102561</v>
      </c>
      <c r="B164" t="s">
        <v>1218</v>
      </c>
      <c r="C164" t="s">
        <v>1219</v>
      </c>
      <c r="D164" t="s">
        <v>1283</v>
      </c>
      <c r="E164">
        <v>54</v>
      </c>
      <c r="F164" s="105">
        <v>31305614.719999999</v>
      </c>
      <c r="G164" t="s">
        <v>5725</v>
      </c>
      <c r="H164">
        <v>1676653.06</v>
      </c>
      <c r="I164">
        <v>49749380.969999999</v>
      </c>
      <c r="J164" s="384">
        <v>42490.803992511574</v>
      </c>
      <c r="K164" s="384">
        <v>43958</v>
      </c>
      <c r="L164" t="s">
        <v>1220</v>
      </c>
      <c r="M164" t="s">
        <v>1280</v>
      </c>
      <c r="N164" t="s">
        <v>1280</v>
      </c>
      <c r="O164" t="s">
        <v>25</v>
      </c>
      <c r="P164" t="s">
        <v>88</v>
      </c>
      <c r="Q164" t="s">
        <v>26</v>
      </c>
      <c r="R164" t="s">
        <v>2856</v>
      </c>
      <c r="S164">
        <v>37833877</v>
      </c>
      <c r="T164">
        <v>1362019572</v>
      </c>
      <c r="U164">
        <v>1127002129.9200001</v>
      </c>
      <c r="Z164"/>
    </row>
    <row r="165" spans="1:26" x14ac:dyDescent="0.25">
      <c r="A165">
        <v>102567</v>
      </c>
      <c r="B165" t="s">
        <v>1036</v>
      </c>
      <c r="C165" t="s">
        <v>1037</v>
      </c>
      <c r="D165" t="s">
        <v>1279</v>
      </c>
      <c r="E165">
        <v>175</v>
      </c>
      <c r="F165" s="105">
        <v>409816.06</v>
      </c>
      <c r="G165" t="s">
        <v>86</v>
      </c>
      <c r="H165">
        <v>16392.64</v>
      </c>
      <c r="I165">
        <v>426208.7</v>
      </c>
      <c r="J165" s="384">
        <v>42496.567496099538</v>
      </c>
      <c r="K165" s="384">
        <v>42861</v>
      </c>
      <c r="L165" t="s">
        <v>1038</v>
      </c>
      <c r="M165" t="s">
        <v>1280</v>
      </c>
      <c r="N165" t="s">
        <v>1280</v>
      </c>
      <c r="O165" t="s">
        <v>44</v>
      </c>
      <c r="P165" t="s">
        <v>92</v>
      </c>
      <c r="Q165" t="s">
        <v>92</v>
      </c>
      <c r="R165" t="s">
        <v>2856</v>
      </c>
      <c r="S165">
        <v>4000000</v>
      </c>
      <c r="T165">
        <v>192000000</v>
      </c>
      <c r="U165">
        <v>19671170.879999999</v>
      </c>
      <c r="Z165"/>
    </row>
    <row r="166" spans="1:26" x14ac:dyDescent="0.25">
      <c r="A166">
        <v>102569</v>
      </c>
      <c r="B166" t="s">
        <v>1109</v>
      </c>
      <c r="C166" t="s">
        <v>1110</v>
      </c>
      <c r="D166" t="s">
        <v>1284</v>
      </c>
      <c r="E166">
        <v>106</v>
      </c>
      <c r="F166" s="105">
        <v>42851075.539999999</v>
      </c>
      <c r="G166" t="s">
        <v>1039</v>
      </c>
      <c r="H166">
        <v>2591707.0499999998</v>
      </c>
      <c r="I166">
        <v>69799054.439999998</v>
      </c>
      <c r="J166" s="384">
        <v>42497.483535150466</v>
      </c>
      <c r="K166" s="384">
        <v>43966</v>
      </c>
      <c r="L166" t="s">
        <v>1111</v>
      </c>
      <c r="M166" t="s">
        <v>1280</v>
      </c>
      <c r="N166" t="s">
        <v>1280</v>
      </c>
      <c r="O166" t="s">
        <v>45</v>
      </c>
      <c r="P166" t="s">
        <v>45</v>
      </c>
      <c r="Q166" t="s">
        <v>26</v>
      </c>
      <c r="R166" t="s">
        <v>2856</v>
      </c>
      <c r="S166">
        <v>50000000</v>
      </c>
      <c r="T166">
        <v>1800000000</v>
      </c>
      <c r="U166">
        <v>1542638719.4400001</v>
      </c>
      <c r="Z166"/>
    </row>
    <row r="167" spans="1:26" x14ac:dyDescent="0.25">
      <c r="A167">
        <v>102570</v>
      </c>
      <c r="B167" t="s">
        <v>1238</v>
      </c>
      <c r="C167" t="s">
        <v>1247</v>
      </c>
      <c r="D167" t="s">
        <v>1282</v>
      </c>
      <c r="E167">
        <v>174</v>
      </c>
      <c r="F167" s="105">
        <v>6125013.7699999996</v>
      </c>
      <c r="G167" t="s">
        <v>5725</v>
      </c>
      <c r="H167">
        <v>208151.17</v>
      </c>
      <c r="I167">
        <v>6903273.46</v>
      </c>
      <c r="J167" s="384">
        <v>42497.538281250003</v>
      </c>
      <c r="K167" s="384">
        <v>43046</v>
      </c>
      <c r="L167" t="s">
        <v>1248</v>
      </c>
      <c r="M167" t="s">
        <v>1249</v>
      </c>
      <c r="N167" t="s">
        <v>1280</v>
      </c>
      <c r="O167" t="s">
        <v>25</v>
      </c>
      <c r="P167" t="s">
        <v>88</v>
      </c>
      <c r="Q167" t="s">
        <v>285</v>
      </c>
      <c r="R167" t="s">
        <v>2856</v>
      </c>
      <c r="S167">
        <v>13000000</v>
      </c>
      <c r="T167">
        <v>624000000</v>
      </c>
      <c r="U167">
        <v>294000660.95999998</v>
      </c>
      <c r="Z167"/>
    </row>
    <row r="168" spans="1:26" x14ac:dyDescent="0.25">
      <c r="A168">
        <v>102571</v>
      </c>
      <c r="B168" t="s">
        <v>99</v>
      </c>
      <c r="C168" t="s">
        <v>1986</v>
      </c>
      <c r="D168" t="s">
        <v>1281</v>
      </c>
      <c r="E168">
        <v>-14</v>
      </c>
      <c r="F168" s="105">
        <v>7666904.4100000001</v>
      </c>
      <c r="G168" t="s">
        <v>86</v>
      </c>
      <c r="H168">
        <v>134170.82999999999</v>
      </c>
      <c r="I168">
        <v>8777160.0099999998</v>
      </c>
      <c r="J168" s="384">
        <v>42499.492378900461</v>
      </c>
      <c r="K168" s="384">
        <v>43235</v>
      </c>
      <c r="L168" t="s">
        <v>1987</v>
      </c>
      <c r="M168" t="s">
        <v>1988</v>
      </c>
      <c r="N168" t="s">
        <v>1280</v>
      </c>
      <c r="O168" t="s">
        <v>25</v>
      </c>
      <c r="P168" t="s">
        <v>32</v>
      </c>
      <c r="Q168" t="s">
        <v>26</v>
      </c>
      <c r="R168" t="s">
        <v>2856</v>
      </c>
      <c r="S168">
        <v>20000000</v>
      </c>
      <c r="T168">
        <v>840000000</v>
      </c>
      <c r="U168">
        <v>322009985.22000003</v>
      </c>
      <c r="Z168"/>
    </row>
    <row r="169" spans="1:26" x14ac:dyDescent="0.25">
      <c r="A169">
        <v>102575</v>
      </c>
      <c r="B169" t="s">
        <v>1097</v>
      </c>
      <c r="C169" t="s">
        <v>1098</v>
      </c>
      <c r="D169" t="s">
        <v>1283</v>
      </c>
      <c r="E169">
        <v>141</v>
      </c>
      <c r="F169" s="105">
        <v>24709811.829999998</v>
      </c>
      <c r="G169" t="s">
        <v>5725</v>
      </c>
      <c r="H169">
        <v>1430355.56</v>
      </c>
      <c r="I169">
        <v>29788790.739999998</v>
      </c>
      <c r="J169" s="384">
        <v>42499.786681168982</v>
      </c>
      <c r="K169" s="384">
        <v>43230</v>
      </c>
      <c r="L169" t="s">
        <v>1099</v>
      </c>
      <c r="M169" t="s">
        <v>1280</v>
      </c>
      <c r="N169" t="s">
        <v>1280</v>
      </c>
      <c r="O169" t="s">
        <v>27</v>
      </c>
      <c r="P169" t="s">
        <v>81</v>
      </c>
      <c r="Q169" t="s">
        <v>26</v>
      </c>
      <c r="R169" t="s">
        <v>2856</v>
      </c>
      <c r="S169">
        <v>42000000</v>
      </c>
      <c r="T169">
        <v>1512000000</v>
      </c>
      <c r="U169">
        <v>889553225.88</v>
      </c>
      <c r="Z169"/>
    </row>
    <row r="170" spans="1:26" x14ac:dyDescent="0.25">
      <c r="A170">
        <v>102579</v>
      </c>
      <c r="B170" t="s">
        <v>860</v>
      </c>
      <c r="C170" t="s">
        <v>862</v>
      </c>
      <c r="D170" t="s">
        <v>1841</v>
      </c>
      <c r="E170">
        <v>-9</v>
      </c>
      <c r="F170" s="105">
        <v>9590763.6799999997</v>
      </c>
      <c r="G170" t="s">
        <v>5167</v>
      </c>
      <c r="H170">
        <v>255753.7</v>
      </c>
      <c r="I170">
        <v>13874322.310000001</v>
      </c>
      <c r="J170" s="384">
        <v>42500.666356168978</v>
      </c>
      <c r="K170" s="384">
        <v>43595</v>
      </c>
      <c r="L170" t="s">
        <v>863</v>
      </c>
      <c r="M170" t="s">
        <v>864</v>
      </c>
      <c r="N170" t="s">
        <v>1280</v>
      </c>
      <c r="O170" t="s">
        <v>44</v>
      </c>
      <c r="P170" t="s">
        <v>75</v>
      </c>
      <c r="Q170" t="s">
        <v>26</v>
      </c>
      <c r="R170" t="s">
        <v>2856</v>
      </c>
      <c r="S170">
        <v>13807347.57</v>
      </c>
      <c r="T170">
        <v>662752683.36000001</v>
      </c>
      <c r="U170">
        <v>460356656.63999999</v>
      </c>
      <c r="Z170"/>
    </row>
    <row r="171" spans="1:26" x14ac:dyDescent="0.25">
      <c r="A171">
        <v>102581</v>
      </c>
      <c r="B171" t="s">
        <v>555</v>
      </c>
      <c r="C171" t="s">
        <v>559</v>
      </c>
      <c r="D171" t="s">
        <v>1841</v>
      </c>
      <c r="E171">
        <v>16</v>
      </c>
      <c r="F171" s="105">
        <v>9057587.5299999993</v>
      </c>
      <c r="G171" t="s">
        <v>5726</v>
      </c>
      <c r="H171">
        <v>317015.55</v>
      </c>
      <c r="I171">
        <v>10541339.65</v>
      </c>
      <c r="J171" s="384">
        <v>42500.760113807868</v>
      </c>
      <c r="K171" s="384">
        <v>43235</v>
      </c>
      <c r="L171" t="s">
        <v>560</v>
      </c>
      <c r="M171" t="s">
        <v>561</v>
      </c>
      <c r="N171" t="s">
        <v>1280</v>
      </c>
      <c r="O171" t="s">
        <v>25</v>
      </c>
      <c r="P171" t="s">
        <v>106</v>
      </c>
      <c r="Q171" t="s">
        <v>107</v>
      </c>
      <c r="R171" t="s">
        <v>2856</v>
      </c>
      <c r="S171">
        <v>21041000</v>
      </c>
      <c r="T171">
        <v>883722000</v>
      </c>
      <c r="U171">
        <v>380418676.25999999</v>
      </c>
      <c r="Z171"/>
    </row>
    <row r="172" spans="1:26" x14ac:dyDescent="0.25">
      <c r="A172">
        <v>102583</v>
      </c>
      <c r="B172" t="s">
        <v>2050</v>
      </c>
      <c r="C172" t="s">
        <v>2051</v>
      </c>
      <c r="D172" t="s">
        <v>1284</v>
      </c>
      <c r="E172">
        <v>-10</v>
      </c>
      <c r="F172" s="105">
        <v>33460889.16</v>
      </c>
      <c r="G172" t="s">
        <v>491</v>
      </c>
      <c r="H172">
        <v>706396.55</v>
      </c>
      <c r="I172">
        <v>45704643.460000001</v>
      </c>
      <c r="J172" s="384">
        <v>42501.581520914355</v>
      </c>
      <c r="K172" s="384">
        <v>43596</v>
      </c>
      <c r="L172" t="s">
        <v>2052</v>
      </c>
      <c r="M172" t="s">
        <v>1280</v>
      </c>
      <c r="N172" t="s">
        <v>2053</v>
      </c>
      <c r="O172" t="s">
        <v>44</v>
      </c>
      <c r="P172" t="s">
        <v>75</v>
      </c>
      <c r="Q172" t="s">
        <v>1442</v>
      </c>
      <c r="R172" t="s">
        <v>2636</v>
      </c>
      <c r="S172">
        <v>50000000</v>
      </c>
      <c r="T172">
        <v>2000000000</v>
      </c>
      <c r="U172">
        <v>1338435566.4000001</v>
      </c>
      <c r="Z172"/>
    </row>
    <row r="173" spans="1:26" x14ac:dyDescent="0.25">
      <c r="A173">
        <v>102585</v>
      </c>
      <c r="B173" t="s">
        <v>195</v>
      </c>
      <c r="C173" t="s">
        <v>196</v>
      </c>
      <c r="D173" t="s">
        <v>1283</v>
      </c>
      <c r="E173">
        <v>-22</v>
      </c>
      <c r="F173" s="105">
        <v>24775096.48</v>
      </c>
      <c r="G173" t="s">
        <v>86</v>
      </c>
      <c r="H173">
        <v>173425.68</v>
      </c>
      <c r="I173">
        <v>38398781.719999999</v>
      </c>
      <c r="J173" s="384">
        <v>42503.531356053238</v>
      </c>
      <c r="K173" s="384">
        <v>43974</v>
      </c>
      <c r="L173" t="s">
        <v>197</v>
      </c>
      <c r="M173" t="s">
        <v>198</v>
      </c>
      <c r="N173" t="s">
        <v>1280</v>
      </c>
      <c r="O173" t="s">
        <v>44</v>
      </c>
      <c r="P173" t="s">
        <v>92</v>
      </c>
      <c r="Q173" t="s">
        <v>92</v>
      </c>
      <c r="R173" t="s">
        <v>2856</v>
      </c>
      <c r="S173">
        <v>31000000</v>
      </c>
      <c r="T173">
        <v>1116000000</v>
      </c>
      <c r="U173">
        <v>891903473.27999997</v>
      </c>
      <c r="Z173"/>
    </row>
    <row r="174" spans="1:26" x14ac:dyDescent="0.25">
      <c r="A174">
        <v>102589</v>
      </c>
      <c r="B174" t="s">
        <v>2073</v>
      </c>
      <c r="C174" t="s">
        <v>2075</v>
      </c>
      <c r="D174" t="s">
        <v>1284</v>
      </c>
      <c r="E174">
        <v>-16</v>
      </c>
      <c r="F174" s="105">
        <v>24787682.789999999</v>
      </c>
      <c r="G174" t="s">
        <v>1467</v>
      </c>
      <c r="H174">
        <v>358044.31</v>
      </c>
      <c r="I174">
        <v>33857803.32</v>
      </c>
      <c r="J174" s="384">
        <v>42506.733621678242</v>
      </c>
      <c r="K174" s="384">
        <v>43602</v>
      </c>
      <c r="L174" t="s">
        <v>2076</v>
      </c>
      <c r="M174" t="s">
        <v>1280</v>
      </c>
      <c r="N174" t="s">
        <v>1280</v>
      </c>
      <c r="O174" t="s">
        <v>25</v>
      </c>
      <c r="P174" t="s">
        <v>103</v>
      </c>
      <c r="Q174" t="s">
        <v>104</v>
      </c>
      <c r="R174" t="s">
        <v>2636</v>
      </c>
      <c r="S174">
        <v>37000000</v>
      </c>
      <c r="T174">
        <v>1480000000</v>
      </c>
      <c r="U174">
        <v>991507311.60000002</v>
      </c>
      <c r="Z174"/>
    </row>
    <row r="175" spans="1:26" x14ac:dyDescent="0.25">
      <c r="A175">
        <v>102590</v>
      </c>
      <c r="B175" t="s">
        <v>830</v>
      </c>
      <c r="C175" t="s">
        <v>831</v>
      </c>
      <c r="D175" t="s">
        <v>1281</v>
      </c>
      <c r="E175">
        <v>11</v>
      </c>
      <c r="F175" s="105">
        <v>2604207.94</v>
      </c>
      <c r="G175" t="s">
        <v>1447</v>
      </c>
      <c r="H175">
        <v>106599.77</v>
      </c>
      <c r="I175">
        <v>2741712.68</v>
      </c>
      <c r="J175" s="384">
        <v>42506.782387928244</v>
      </c>
      <c r="K175" s="384">
        <v>43059</v>
      </c>
      <c r="L175" t="s">
        <v>832</v>
      </c>
      <c r="M175" t="s">
        <v>833</v>
      </c>
      <c r="N175" t="s">
        <v>1280</v>
      </c>
      <c r="O175" t="s">
        <v>44</v>
      </c>
      <c r="P175" t="s">
        <v>75</v>
      </c>
      <c r="Q175" t="s">
        <v>26</v>
      </c>
      <c r="R175" t="s">
        <v>2856</v>
      </c>
      <c r="S175">
        <v>18000000</v>
      </c>
      <c r="T175">
        <v>756000000</v>
      </c>
      <c r="U175">
        <v>109376733.48</v>
      </c>
      <c r="Z175"/>
    </row>
    <row r="176" spans="1:26" x14ac:dyDescent="0.25">
      <c r="A176">
        <v>102592</v>
      </c>
      <c r="B176" t="s">
        <v>1071</v>
      </c>
      <c r="C176" t="s">
        <v>1073</v>
      </c>
      <c r="D176" t="s">
        <v>1282</v>
      </c>
      <c r="E176">
        <v>12</v>
      </c>
      <c r="F176" s="105">
        <v>954818.3</v>
      </c>
      <c r="G176" t="s">
        <v>963</v>
      </c>
      <c r="H176">
        <v>11168.65</v>
      </c>
      <c r="I176">
        <v>985278.25</v>
      </c>
      <c r="J176" s="384">
        <v>42507.562189548611</v>
      </c>
      <c r="K176" s="384">
        <v>43058</v>
      </c>
      <c r="L176" t="s">
        <v>1074</v>
      </c>
      <c r="M176" t="s">
        <v>1075</v>
      </c>
      <c r="N176" t="s">
        <v>1280</v>
      </c>
      <c r="O176" t="s">
        <v>45</v>
      </c>
      <c r="P176" t="s">
        <v>45</v>
      </c>
      <c r="Q176" t="s">
        <v>89</v>
      </c>
      <c r="R176" t="s">
        <v>2856</v>
      </c>
      <c r="S176">
        <v>10000000</v>
      </c>
      <c r="T176">
        <v>480000000</v>
      </c>
      <c r="U176">
        <v>45831278.399999999</v>
      </c>
      <c r="Z176"/>
    </row>
    <row r="177" spans="1:26" x14ac:dyDescent="0.25">
      <c r="A177">
        <v>102596</v>
      </c>
      <c r="B177" t="s">
        <v>1146</v>
      </c>
      <c r="C177" t="s">
        <v>1148</v>
      </c>
      <c r="D177" t="s">
        <v>1284</v>
      </c>
      <c r="E177">
        <v>-23</v>
      </c>
      <c r="F177" s="105">
        <v>20691148.239999998</v>
      </c>
      <c r="G177" t="s">
        <v>1039</v>
      </c>
      <c r="H177">
        <v>124146.89</v>
      </c>
      <c r="I177">
        <v>29706214.719999999</v>
      </c>
      <c r="J177" s="384">
        <v>42508.715578356481</v>
      </c>
      <c r="K177" s="384">
        <v>43793</v>
      </c>
      <c r="L177" t="s">
        <v>1149</v>
      </c>
      <c r="M177" t="s">
        <v>1150</v>
      </c>
      <c r="N177" t="s">
        <v>1280</v>
      </c>
      <c r="O177" t="s">
        <v>44</v>
      </c>
      <c r="P177" t="s">
        <v>75</v>
      </c>
      <c r="Q177" t="s">
        <v>26</v>
      </c>
      <c r="R177" t="s">
        <v>2856</v>
      </c>
      <c r="S177">
        <v>28000000</v>
      </c>
      <c r="T177">
        <v>1008000000</v>
      </c>
      <c r="U177">
        <v>744881336.63999999</v>
      </c>
      <c r="Z177"/>
    </row>
    <row r="178" spans="1:26" x14ac:dyDescent="0.25">
      <c r="A178">
        <v>102598</v>
      </c>
      <c r="B178" t="s">
        <v>1624</v>
      </c>
      <c r="C178" t="s">
        <v>1638</v>
      </c>
      <c r="D178" t="s">
        <v>1283</v>
      </c>
      <c r="E178">
        <v>-4</v>
      </c>
      <c r="F178" s="105">
        <v>24229033.219999999</v>
      </c>
      <c r="G178" t="s">
        <v>2855</v>
      </c>
      <c r="H178">
        <v>605725.82999999996</v>
      </c>
      <c r="I178">
        <v>37554197.079999998</v>
      </c>
      <c r="J178" s="384">
        <v>42508.736337349539</v>
      </c>
      <c r="K178" s="384">
        <v>43956</v>
      </c>
      <c r="L178" t="s">
        <v>1639</v>
      </c>
      <c r="M178" t="s">
        <v>1640</v>
      </c>
      <c r="N178" t="s">
        <v>1280</v>
      </c>
      <c r="O178" t="s">
        <v>44</v>
      </c>
      <c r="P178" t="s">
        <v>92</v>
      </c>
      <c r="Q178" t="s">
        <v>92</v>
      </c>
      <c r="R178" t="s">
        <v>2856</v>
      </c>
      <c r="S178">
        <v>31000000</v>
      </c>
      <c r="T178">
        <v>1116000000</v>
      </c>
      <c r="U178">
        <v>872245195.91999996</v>
      </c>
      <c r="Z178"/>
    </row>
    <row r="179" spans="1:26" x14ac:dyDescent="0.25">
      <c r="A179">
        <v>102599</v>
      </c>
      <c r="B179" t="s">
        <v>352</v>
      </c>
      <c r="C179" t="s">
        <v>2089</v>
      </c>
      <c r="D179" t="s">
        <v>1281</v>
      </c>
      <c r="E179">
        <v>13</v>
      </c>
      <c r="F179" s="105">
        <v>8561213.2300000004</v>
      </c>
      <c r="G179" t="s">
        <v>5726</v>
      </c>
      <c r="H179">
        <v>299642.46000000002</v>
      </c>
      <c r="I179">
        <v>9963652.6999999993</v>
      </c>
      <c r="J179" s="384">
        <v>42508.752132905094</v>
      </c>
      <c r="K179" s="384">
        <v>43238</v>
      </c>
      <c r="L179" t="s">
        <v>2090</v>
      </c>
      <c r="M179" t="s">
        <v>1280</v>
      </c>
      <c r="N179" t="s">
        <v>1280</v>
      </c>
      <c r="O179" t="s">
        <v>44</v>
      </c>
      <c r="P179" t="s">
        <v>92</v>
      </c>
      <c r="Q179" t="s">
        <v>92</v>
      </c>
      <c r="R179" t="s">
        <v>2856</v>
      </c>
      <c r="S179">
        <v>20000000</v>
      </c>
      <c r="T179">
        <v>840000000</v>
      </c>
      <c r="U179">
        <v>359570955.66000003</v>
      </c>
      <c r="Z179"/>
    </row>
    <row r="180" spans="1:26" x14ac:dyDescent="0.25">
      <c r="A180">
        <v>102602</v>
      </c>
      <c r="B180" t="s">
        <v>2102</v>
      </c>
      <c r="C180" t="s">
        <v>2106</v>
      </c>
      <c r="D180" t="s">
        <v>1281</v>
      </c>
      <c r="E180">
        <v>-19</v>
      </c>
      <c r="F180" s="105">
        <v>6101663.9800000004</v>
      </c>
      <c r="G180" t="s">
        <v>86</v>
      </c>
      <c r="H180">
        <v>81355.520000000004</v>
      </c>
      <c r="I180">
        <v>7116171.0800000001</v>
      </c>
      <c r="J180" s="384">
        <v>42510.571932754632</v>
      </c>
      <c r="K180" s="384">
        <v>43240</v>
      </c>
      <c r="L180" t="s">
        <v>2107</v>
      </c>
      <c r="M180" t="s">
        <v>2108</v>
      </c>
      <c r="N180" t="s">
        <v>1280</v>
      </c>
      <c r="O180" t="s">
        <v>37</v>
      </c>
      <c r="P180" t="s">
        <v>38</v>
      </c>
      <c r="Q180" t="s">
        <v>39</v>
      </c>
      <c r="R180" t="s">
        <v>2636</v>
      </c>
      <c r="S180">
        <v>15500000</v>
      </c>
      <c r="T180">
        <v>744000000</v>
      </c>
      <c r="U180">
        <v>292879871.04000002</v>
      </c>
      <c r="Z180"/>
    </row>
    <row r="181" spans="1:26" x14ac:dyDescent="0.25">
      <c r="A181">
        <v>102605</v>
      </c>
      <c r="B181" t="s">
        <v>590</v>
      </c>
      <c r="C181" t="s">
        <v>2111</v>
      </c>
      <c r="D181" t="s">
        <v>1283</v>
      </c>
      <c r="E181">
        <v>11</v>
      </c>
      <c r="F181" s="105">
        <v>17577677.190000001</v>
      </c>
      <c r="G181" t="s">
        <v>468</v>
      </c>
      <c r="H181">
        <v>173941.27</v>
      </c>
      <c r="I181">
        <v>21266345.489999998</v>
      </c>
      <c r="J181" s="384">
        <v>42510.774510763891</v>
      </c>
      <c r="K181" s="384">
        <v>43424</v>
      </c>
      <c r="L181" t="s">
        <v>2112</v>
      </c>
      <c r="M181" t="s">
        <v>1280</v>
      </c>
      <c r="N181" t="s">
        <v>1280</v>
      </c>
      <c r="O181" t="s">
        <v>44</v>
      </c>
      <c r="P181" t="s">
        <v>92</v>
      </c>
      <c r="Q181" t="s">
        <v>92</v>
      </c>
      <c r="R181" t="s">
        <v>2856</v>
      </c>
      <c r="S181">
        <v>30500000</v>
      </c>
      <c r="T181">
        <v>1098000000</v>
      </c>
      <c r="U181">
        <v>632796378.84000003</v>
      </c>
      <c r="Z181"/>
    </row>
    <row r="182" spans="1:26" x14ac:dyDescent="0.25">
      <c r="A182">
        <v>102607</v>
      </c>
      <c r="B182" t="s">
        <v>1530</v>
      </c>
      <c r="C182" t="s">
        <v>1533</v>
      </c>
      <c r="D182" t="s">
        <v>1283</v>
      </c>
      <c r="E182">
        <v>-24</v>
      </c>
      <c r="F182" s="105">
        <v>20417599.690000001</v>
      </c>
      <c r="G182" t="s">
        <v>2861</v>
      </c>
      <c r="H182">
        <v>102088</v>
      </c>
      <c r="I182">
        <v>27083205.48</v>
      </c>
      <c r="J182" s="384">
        <v>42511.555987268519</v>
      </c>
      <c r="K182" s="384">
        <v>43610</v>
      </c>
      <c r="L182" t="s">
        <v>1534</v>
      </c>
      <c r="M182" t="s">
        <v>1280</v>
      </c>
      <c r="N182" t="s">
        <v>1535</v>
      </c>
      <c r="O182" t="s">
        <v>44</v>
      </c>
      <c r="P182" t="s">
        <v>92</v>
      </c>
      <c r="Q182" t="s">
        <v>26</v>
      </c>
      <c r="R182" t="s">
        <v>2856</v>
      </c>
      <c r="S182">
        <v>31000000</v>
      </c>
      <c r="T182">
        <v>1116000000</v>
      </c>
      <c r="U182">
        <v>735033588.84000003</v>
      </c>
      <c r="Z182"/>
    </row>
    <row r="183" spans="1:26" x14ac:dyDescent="0.25">
      <c r="A183">
        <v>102608</v>
      </c>
      <c r="B183" t="s">
        <v>1255</v>
      </c>
      <c r="C183" t="s">
        <v>1973</v>
      </c>
      <c r="D183" t="s">
        <v>1282</v>
      </c>
      <c r="E183">
        <v>100</v>
      </c>
      <c r="F183" s="105">
        <v>8898075.0199999996</v>
      </c>
      <c r="G183" t="s">
        <v>5726</v>
      </c>
      <c r="H183">
        <v>357861.44</v>
      </c>
      <c r="I183">
        <v>11289588.140000001</v>
      </c>
      <c r="J183" s="384">
        <v>42511.570760416667</v>
      </c>
      <c r="K183" s="384">
        <v>43606</v>
      </c>
      <c r="L183" t="s">
        <v>1523</v>
      </c>
      <c r="M183" t="s">
        <v>1280</v>
      </c>
      <c r="N183" t="s">
        <v>1280</v>
      </c>
      <c r="O183" t="s">
        <v>43</v>
      </c>
      <c r="P183" t="s">
        <v>338</v>
      </c>
      <c r="Q183" t="s">
        <v>339</v>
      </c>
      <c r="R183" t="s">
        <v>2856</v>
      </c>
      <c r="S183">
        <v>12346030</v>
      </c>
      <c r="T183">
        <v>308650750</v>
      </c>
      <c r="U183">
        <v>222451875.5</v>
      </c>
      <c r="Z183"/>
    </row>
    <row r="184" spans="1:26" x14ac:dyDescent="0.25">
      <c r="A184">
        <v>102609</v>
      </c>
      <c r="B184" t="s">
        <v>2100</v>
      </c>
      <c r="C184" t="s">
        <v>2113</v>
      </c>
      <c r="D184" t="s">
        <v>1281</v>
      </c>
      <c r="E184">
        <v>100</v>
      </c>
      <c r="F184" s="105">
        <v>5400586.4299999997</v>
      </c>
      <c r="G184" t="s">
        <v>468</v>
      </c>
      <c r="H184">
        <v>171851.34</v>
      </c>
      <c r="I184">
        <v>5853741.4400000004</v>
      </c>
      <c r="J184" s="384">
        <v>42511.581972997687</v>
      </c>
      <c r="K184" s="384">
        <v>43060</v>
      </c>
      <c r="L184" t="s">
        <v>2114</v>
      </c>
      <c r="M184" t="s">
        <v>1280</v>
      </c>
      <c r="N184" t="s">
        <v>1280</v>
      </c>
      <c r="O184" t="s">
        <v>31</v>
      </c>
      <c r="P184" t="s">
        <v>509</v>
      </c>
      <c r="Q184" t="s">
        <v>1814</v>
      </c>
      <c r="R184" t="s">
        <v>2636</v>
      </c>
      <c r="S184">
        <v>15500000</v>
      </c>
      <c r="T184">
        <v>744000000</v>
      </c>
      <c r="U184">
        <v>259228148.63999999</v>
      </c>
      <c r="Z184"/>
    </row>
    <row r="185" spans="1:26" x14ac:dyDescent="0.25">
      <c r="A185">
        <v>102611</v>
      </c>
      <c r="B185" t="s">
        <v>1566</v>
      </c>
      <c r="C185" t="s">
        <v>1597</v>
      </c>
      <c r="D185" t="s">
        <v>1284</v>
      </c>
      <c r="E185">
        <v>-2</v>
      </c>
      <c r="F185" s="105">
        <v>40735858.659999996</v>
      </c>
      <c r="G185" t="s">
        <v>491</v>
      </c>
      <c r="H185">
        <v>1811787.91</v>
      </c>
      <c r="I185">
        <v>63931620.770000003</v>
      </c>
      <c r="J185" s="384">
        <v>42513.546250266205</v>
      </c>
      <c r="K185" s="384">
        <v>43985</v>
      </c>
      <c r="L185" t="s">
        <v>1598</v>
      </c>
      <c r="M185" t="s">
        <v>1599</v>
      </c>
      <c r="N185" t="s">
        <v>1280</v>
      </c>
      <c r="O185" t="s">
        <v>25</v>
      </c>
      <c r="P185" t="s">
        <v>88</v>
      </c>
      <c r="Q185" t="s">
        <v>26</v>
      </c>
      <c r="R185" t="s">
        <v>2856</v>
      </c>
      <c r="S185">
        <v>50000000</v>
      </c>
      <c r="T185">
        <v>1800000000</v>
      </c>
      <c r="U185">
        <v>1466490911.76</v>
      </c>
      <c r="Z185"/>
    </row>
    <row r="186" spans="1:26" x14ac:dyDescent="0.25">
      <c r="A186">
        <v>102613</v>
      </c>
      <c r="B186" t="s">
        <v>1016</v>
      </c>
      <c r="C186" t="s">
        <v>1017</v>
      </c>
      <c r="D186" t="s">
        <v>1284</v>
      </c>
      <c r="E186">
        <v>0</v>
      </c>
      <c r="F186" s="105">
        <v>43906695.079999998</v>
      </c>
      <c r="G186" t="s">
        <v>1039</v>
      </c>
      <c r="H186">
        <v>1273294.1599999999</v>
      </c>
      <c r="I186">
        <v>68911197.269999996</v>
      </c>
      <c r="J186" s="384">
        <v>42514.419436111108</v>
      </c>
      <c r="K186" s="384">
        <v>43983</v>
      </c>
      <c r="L186" t="s">
        <v>1018</v>
      </c>
      <c r="M186" t="s">
        <v>1280</v>
      </c>
      <c r="N186" t="s">
        <v>1280</v>
      </c>
      <c r="O186" t="s">
        <v>44</v>
      </c>
      <c r="P186" t="s">
        <v>92</v>
      </c>
      <c r="Q186" t="s">
        <v>92</v>
      </c>
      <c r="R186" t="s">
        <v>2856</v>
      </c>
      <c r="S186">
        <v>54043930</v>
      </c>
      <c r="T186">
        <v>1945581480</v>
      </c>
      <c r="U186">
        <v>1580641022.8800001</v>
      </c>
      <c r="Z186"/>
    </row>
    <row r="187" spans="1:26" x14ac:dyDescent="0.25">
      <c r="A187">
        <v>102615</v>
      </c>
      <c r="B187" t="s">
        <v>2137</v>
      </c>
      <c r="C187" t="s">
        <v>2142</v>
      </c>
      <c r="D187" t="s">
        <v>1281</v>
      </c>
      <c r="E187">
        <v>29</v>
      </c>
      <c r="F187" s="105">
        <v>18739207.460000001</v>
      </c>
      <c r="G187" t="s">
        <v>1191</v>
      </c>
      <c r="H187">
        <v>1314284.49</v>
      </c>
      <c r="I187">
        <v>27737388.879999999</v>
      </c>
      <c r="J187" s="384">
        <v>42514.757372719905</v>
      </c>
      <c r="K187" s="384">
        <v>43618</v>
      </c>
      <c r="L187" t="s">
        <v>2143</v>
      </c>
      <c r="M187" t="s">
        <v>1280</v>
      </c>
      <c r="N187" t="s">
        <v>1280</v>
      </c>
      <c r="O187" t="s">
        <v>46</v>
      </c>
      <c r="P187" t="s">
        <v>46</v>
      </c>
      <c r="Q187" t="s">
        <v>1812</v>
      </c>
      <c r="R187" t="s">
        <v>2636</v>
      </c>
      <c r="S187">
        <v>25000000</v>
      </c>
      <c r="T187">
        <v>1200000000</v>
      </c>
      <c r="U187">
        <v>899481958.08000004</v>
      </c>
      <c r="Z187"/>
    </row>
    <row r="188" spans="1:26" x14ac:dyDescent="0.25">
      <c r="A188">
        <v>102616</v>
      </c>
      <c r="B188" t="s">
        <v>453</v>
      </c>
      <c r="C188" t="s">
        <v>2144</v>
      </c>
      <c r="D188" t="s">
        <v>1282</v>
      </c>
      <c r="E188">
        <v>66</v>
      </c>
      <c r="F188" s="105">
        <v>691854.69</v>
      </c>
      <c r="G188" t="s">
        <v>1909</v>
      </c>
      <c r="H188">
        <v>27674.19</v>
      </c>
      <c r="I188">
        <v>719528.88</v>
      </c>
      <c r="J188" s="384">
        <v>42515.406449224538</v>
      </c>
      <c r="K188" s="384">
        <v>42972</v>
      </c>
      <c r="L188" t="s">
        <v>2145</v>
      </c>
      <c r="M188" t="s">
        <v>2146</v>
      </c>
      <c r="N188" t="s">
        <v>1280</v>
      </c>
      <c r="O188" t="s">
        <v>44</v>
      </c>
      <c r="P188" t="s">
        <v>92</v>
      </c>
      <c r="Q188" t="s">
        <v>26</v>
      </c>
      <c r="R188" t="s">
        <v>2856</v>
      </c>
      <c r="S188">
        <v>8000000</v>
      </c>
      <c r="T188">
        <v>384000000</v>
      </c>
      <c r="U188">
        <v>33209025.120000001</v>
      </c>
      <c r="Z188"/>
    </row>
    <row r="189" spans="1:26" x14ac:dyDescent="0.25">
      <c r="A189">
        <v>102618</v>
      </c>
      <c r="B189" t="s">
        <v>199</v>
      </c>
      <c r="C189" t="s">
        <v>1482</v>
      </c>
      <c r="D189" t="s">
        <v>1866</v>
      </c>
      <c r="E189">
        <v>60</v>
      </c>
      <c r="F189" s="105">
        <v>502964.77</v>
      </c>
      <c r="G189" t="s">
        <v>1191</v>
      </c>
      <c r="H189">
        <v>0</v>
      </c>
      <c r="I189">
        <v>502964.77</v>
      </c>
      <c r="J189" s="384">
        <v>42515.50470528935</v>
      </c>
      <c r="K189" s="384">
        <v>42979</v>
      </c>
      <c r="L189" t="s">
        <v>1483</v>
      </c>
      <c r="M189" t="s">
        <v>1280</v>
      </c>
      <c r="N189" t="s">
        <v>1280</v>
      </c>
      <c r="O189" t="s">
        <v>44</v>
      </c>
      <c r="P189" t="s">
        <v>92</v>
      </c>
      <c r="Q189" t="s">
        <v>92</v>
      </c>
      <c r="R189" t="s">
        <v>2856</v>
      </c>
      <c r="S189">
        <v>7000000</v>
      </c>
      <c r="T189">
        <v>308000000</v>
      </c>
      <c r="U189">
        <v>22130449.879999999</v>
      </c>
      <c r="Z189"/>
    </row>
    <row r="190" spans="1:26" x14ac:dyDescent="0.25">
      <c r="A190">
        <v>102619</v>
      </c>
      <c r="B190" t="s">
        <v>301</v>
      </c>
      <c r="C190" t="s">
        <v>302</v>
      </c>
      <c r="D190" t="s">
        <v>1281</v>
      </c>
      <c r="E190">
        <v>-4</v>
      </c>
      <c r="F190" s="105">
        <v>17708548.25</v>
      </c>
      <c r="G190" t="s">
        <v>468</v>
      </c>
      <c r="H190">
        <v>516499.32</v>
      </c>
      <c r="I190">
        <v>24919850.460000001</v>
      </c>
      <c r="J190" s="384">
        <v>42515.566288078706</v>
      </c>
      <c r="K190" s="384">
        <v>43621</v>
      </c>
      <c r="L190" t="s">
        <v>303</v>
      </c>
      <c r="M190" t="s">
        <v>304</v>
      </c>
      <c r="N190" t="s">
        <v>1280</v>
      </c>
      <c r="O190" t="s">
        <v>25</v>
      </c>
      <c r="P190" t="s">
        <v>103</v>
      </c>
      <c r="Q190" t="s">
        <v>26</v>
      </c>
      <c r="R190" t="s">
        <v>2856</v>
      </c>
      <c r="S190">
        <v>25000000</v>
      </c>
      <c r="T190">
        <v>1050000000</v>
      </c>
      <c r="U190">
        <v>743759026.5</v>
      </c>
      <c r="Z190"/>
    </row>
    <row r="191" spans="1:26" x14ac:dyDescent="0.25">
      <c r="A191">
        <v>102620</v>
      </c>
      <c r="B191" t="s">
        <v>2132</v>
      </c>
      <c r="C191" t="s">
        <v>2147</v>
      </c>
      <c r="D191" t="s">
        <v>1281</v>
      </c>
      <c r="E191">
        <v>30</v>
      </c>
      <c r="F191" s="105">
        <v>9091104.7799999993</v>
      </c>
      <c r="G191" t="s">
        <v>468</v>
      </c>
      <c r="H191">
        <v>654928.91</v>
      </c>
      <c r="I191">
        <v>10977187.439999999</v>
      </c>
      <c r="J191" s="384">
        <v>42515.655396678238</v>
      </c>
      <c r="K191" s="384">
        <v>43252</v>
      </c>
      <c r="L191" t="s">
        <v>2148</v>
      </c>
      <c r="M191" t="s">
        <v>1280</v>
      </c>
      <c r="N191" t="s">
        <v>1280</v>
      </c>
      <c r="O191" t="s">
        <v>25</v>
      </c>
      <c r="P191" t="s">
        <v>88</v>
      </c>
      <c r="Q191" t="s">
        <v>285</v>
      </c>
      <c r="R191" t="s">
        <v>2856</v>
      </c>
      <c r="S191">
        <v>18500000</v>
      </c>
      <c r="T191">
        <v>888000000</v>
      </c>
      <c r="U191">
        <v>436373029.44</v>
      </c>
      <c r="Z191"/>
    </row>
    <row r="192" spans="1:26" x14ac:dyDescent="0.25">
      <c r="A192">
        <v>102626</v>
      </c>
      <c r="B192" t="s">
        <v>134</v>
      </c>
      <c r="C192" t="s">
        <v>135</v>
      </c>
      <c r="D192" t="s">
        <v>1283</v>
      </c>
      <c r="E192">
        <v>0</v>
      </c>
      <c r="F192" s="105">
        <v>12899235.43</v>
      </c>
      <c r="G192" t="s">
        <v>1191</v>
      </c>
      <c r="H192">
        <v>374077.83</v>
      </c>
      <c r="I192">
        <v>14700627.960000001</v>
      </c>
      <c r="J192" s="384">
        <v>42517.672851238429</v>
      </c>
      <c r="K192" s="384">
        <v>43252</v>
      </c>
      <c r="L192" t="s">
        <v>136</v>
      </c>
      <c r="M192" t="s">
        <v>137</v>
      </c>
      <c r="N192" t="s">
        <v>138</v>
      </c>
      <c r="O192" t="s">
        <v>25</v>
      </c>
      <c r="P192" t="s">
        <v>103</v>
      </c>
      <c r="Q192" t="s">
        <v>104</v>
      </c>
      <c r="R192" t="s">
        <v>2856</v>
      </c>
      <c r="S192">
        <v>31000000</v>
      </c>
      <c r="T192">
        <v>1116000000</v>
      </c>
      <c r="U192">
        <v>464372475.48000002</v>
      </c>
      <c r="Z192"/>
    </row>
    <row r="193" spans="1:26" x14ac:dyDescent="0.25">
      <c r="A193">
        <v>102630</v>
      </c>
      <c r="B193" t="s">
        <v>2176</v>
      </c>
      <c r="C193" t="s">
        <v>2177</v>
      </c>
      <c r="D193" t="s">
        <v>1281</v>
      </c>
      <c r="E193">
        <v>180</v>
      </c>
      <c r="F193" s="105">
        <v>10535979.98</v>
      </c>
      <c r="G193" t="s">
        <v>5726</v>
      </c>
      <c r="H193">
        <v>393022.81</v>
      </c>
      <c r="I193">
        <v>13604286.699999999</v>
      </c>
      <c r="J193" s="384">
        <v>42520.556637766203</v>
      </c>
      <c r="K193" s="384">
        <v>43252</v>
      </c>
      <c r="L193" t="s">
        <v>2178</v>
      </c>
      <c r="M193" t="s">
        <v>2179</v>
      </c>
      <c r="N193" t="s">
        <v>1280</v>
      </c>
      <c r="O193" t="s">
        <v>25</v>
      </c>
      <c r="P193" t="s">
        <v>290</v>
      </c>
      <c r="Q193" t="s">
        <v>1825</v>
      </c>
      <c r="R193" t="s">
        <v>2636</v>
      </c>
      <c r="S193">
        <v>15500000</v>
      </c>
      <c r="T193">
        <v>744000000</v>
      </c>
      <c r="U193">
        <v>505727039.04000002</v>
      </c>
      <c r="Z193"/>
    </row>
    <row r="194" spans="1:26" x14ac:dyDescent="0.25">
      <c r="A194">
        <v>102631</v>
      </c>
      <c r="B194" t="s">
        <v>1291</v>
      </c>
      <c r="C194" t="s">
        <v>1292</v>
      </c>
      <c r="D194" t="s">
        <v>1282</v>
      </c>
      <c r="E194">
        <v>-4</v>
      </c>
      <c r="F194" s="105">
        <v>1882716.93</v>
      </c>
      <c r="G194" t="s">
        <v>963</v>
      </c>
      <c r="H194">
        <v>62757.23</v>
      </c>
      <c r="I194">
        <v>1996418.27</v>
      </c>
      <c r="J194" s="384">
        <v>42520.646828206016</v>
      </c>
      <c r="K194" s="384">
        <v>43074</v>
      </c>
      <c r="L194" t="s">
        <v>1293</v>
      </c>
      <c r="M194" t="s">
        <v>1280</v>
      </c>
      <c r="N194" t="s">
        <v>1280</v>
      </c>
      <c r="O194" t="s">
        <v>25</v>
      </c>
      <c r="P194" t="s">
        <v>103</v>
      </c>
      <c r="Q194" t="s">
        <v>104</v>
      </c>
      <c r="R194" t="s">
        <v>2856</v>
      </c>
      <c r="S194">
        <v>12556138</v>
      </c>
      <c r="T194">
        <v>602694624</v>
      </c>
      <c r="U194">
        <v>90370412.640000001</v>
      </c>
      <c r="Z194"/>
    </row>
    <row r="195" spans="1:26" x14ac:dyDescent="0.25">
      <c r="A195">
        <v>102632</v>
      </c>
      <c r="B195" t="s">
        <v>834</v>
      </c>
      <c r="C195" t="s">
        <v>836</v>
      </c>
      <c r="D195" t="s">
        <v>1284</v>
      </c>
      <c r="E195">
        <v>-4</v>
      </c>
      <c r="F195" s="105">
        <v>20825339.829999998</v>
      </c>
      <c r="G195" t="s">
        <v>546</v>
      </c>
      <c r="H195">
        <v>520633.5</v>
      </c>
      <c r="I195">
        <v>23733621.68</v>
      </c>
      <c r="J195" s="384">
        <v>42520.70437172454</v>
      </c>
      <c r="K195" s="384">
        <v>43256</v>
      </c>
      <c r="L195" t="s">
        <v>837</v>
      </c>
      <c r="M195" t="s">
        <v>1280</v>
      </c>
      <c r="N195" t="s">
        <v>1280</v>
      </c>
      <c r="O195" t="s">
        <v>25</v>
      </c>
      <c r="P195" t="s">
        <v>106</v>
      </c>
      <c r="Q195" t="s">
        <v>107</v>
      </c>
      <c r="R195" t="s">
        <v>2856</v>
      </c>
      <c r="S195">
        <v>50000000</v>
      </c>
      <c r="T195">
        <v>1800000000</v>
      </c>
      <c r="U195">
        <v>749712233.88</v>
      </c>
      <c r="Z195"/>
    </row>
    <row r="196" spans="1:26" x14ac:dyDescent="0.25">
      <c r="A196">
        <v>102633</v>
      </c>
      <c r="B196" t="s">
        <v>816</v>
      </c>
      <c r="C196" t="s">
        <v>818</v>
      </c>
      <c r="D196" t="s">
        <v>1283</v>
      </c>
      <c r="E196">
        <v>-9</v>
      </c>
      <c r="F196" s="105">
        <v>34218121.240000002</v>
      </c>
      <c r="G196" t="s">
        <v>90</v>
      </c>
      <c r="H196">
        <v>1706499.37</v>
      </c>
      <c r="I196">
        <v>53702561.310000002</v>
      </c>
      <c r="J196" s="384">
        <v>42520.725074965281</v>
      </c>
      <c r="K196" s="384">
        <v>43992</v>
      </c>
      <c r="L196" t="s">
        <v>819</v>
      </c>
      <c r="M196" t="s">
        <v>1280</v>
      </c>
      <c r="N196" t="s">
        <v>1280</v>
      </c>
      <c r="O196" t="s">
        <v>25</v>
      </c>
      <c r="P196" t="s">
        <v>26</v>
      </c>
      <c r="Q196" t="s">
        <v>26</v>
      </c>
      <c r="R196" t="s">
        <v>2856</v>
      </c>
      <c r="S196">
        <v>42000000</v>
      </c>
      <c r="T196">
        <v>1512000000</v>
      </c>
      <c r="U196">
        <v>1231852364.6400001</v>
      </c>
      <c r="Z196"/>
    </row>
    <row r="197" spans="1:26" x14ac:dyDescent="0.25">
      <c r="A197">
        <v>102634</v>
      </c>
      <c r="B197" t="s">
        <v>930</v>
      </c>
      <c r="C197" t="s">
        <v>949</v>
      </c>
      <c r="D197" t="s">
        <v>1283</v>
      </c>
      <c r="E197">
        <v>-4</v>
      </c>
      <c r="F197" s="105">
        <v>32782919.98</v>
      </c>
      <c r="G197" t="s">
        <v>468</v>
      </c>
      <c r="H197">
        <v>819573</v>
      </c>
      <c r="I197">
        <v>51452523.460000001</v>
      </c>
      <c r="J197" s="384">
        <v>42521.574859918983</v>
      </c>
      <c r="K197" s="384">
        <v>43987</v>
      </c>
      <c r="L197" t="s">
        <v>950</v>
      </c>
      <c r="M197" t="s">
        <v>1280</v>
      </c>
      <c r="N197" t="s">
        <v>1280</v>
      </c>
      <c r="O197" t="s">
        <v>37</v>
      </c>
      <c r="P197" t="s">
        <v>686</v>
      </c>
      <c r="Q197" t="s">
        <v>686</v>
      </c>
      <c r="R197" t="s">
        <v>2856</v>
      </c>
      <c r="S197">
        <v>40429858</v>
      </c>
      <c r="T197">
        <v>1455474888</v>
      </c>
      <c r="U197">
        <v>1180185119.28</v>
      </c>
      <c r="Z197"/>
    </row>
    <row r="198" spans="1:26" x14ac:dyDescent="0.25">
      <c r="A198">
        <v>102635</v>
      </c>
      <c r="B198" t="s">
        <v>1708</v>
      </c>
      <c r="C198" t="s">
        <v>1709</v>
      </c>
      <c r="D198" t="s">
        <v>1283</v>
      </c>
      <c r="E198">
        <v>0</v>
      </c>
      <c r="F198" s="105">
        <v>28270388.579999998</v>
      </c>
      <c r="G198" t="s">
        <v>1191</v>
      </c>
      <c r="H198">
        <v>819841.27</v>
      </c>
      <c r="I198">
        <v>44370142.579999998</v>
      </c>
      <c r="J198" s="384">
        <v>42521.684426238426</v>
      </c>
      <c r="K198" s="384">
        <v>43983</v>
      </c>
      <c r="L198" t="s">
        <v>1710</v>
      </c>
      <c r="M198" t="s">
        <v>1280</v>
      </c>
      <c r="N198" t="s">
        <v>1280</v>
      </c>
      <c r="O198" t="s">
        <v>27</v>
      </c>
      <c r="P198" t="s">
        <v>26</v>
      </c>
      <c r="Q198" t="s">
        <v>26</v>
      </c>
      <c r="R198" t="s">
        <v>2856</v>
      </c>
      <c r="S198">
        <v>35000000</v>
      </c>
      <c r="T198">
        <v>1260000000</v>
      </c>
      <c r="U198">
        <v>1017733988.88</v>
      </c>
      <c r="Z198"/>
    </row>
    <row r="199" spans="1:26" x14ac:dyDescent="0.25">
      <c r="A199">
        <v>102636</v>
      </c>
      <c r="B199" t="s">
        <v>1657</v>
      </c>
      <c r="C199" t="s">
        <v>1662</v>
      </c>
      <c r="D199" t="s">
        <v>1284</v>
      </c>
      <c r="E199">
        <v>30</v>
      </c>
      <c r="F199" s="105">
        <v>35337604.799999997</v>
      </c>
      <c r="G199" t="s">
        <v>546</v>
      </c>
      <c r="H199">
        <v>1841595.6</v>
      </c>
      <c r="I199">
        <v>47933090.420000002</v>
      </c>
      <c r="J199" s="384">
        <v>42521.698426122683</v>
      </c>
      <c r="K199" s="384">
        <v>43617</v>
      </c>
      <c r="L199" t="s">
        <v>1663</v>
      </c>
      <c r="M199" t="s">
        <v>1664</v>
      </c>
      <c r="N199" t="s">
        <v>1280</v>
      </c>
      <c r="O199" t="s">
        <v>44</v>
      </c>
      <c r="P199" t="s">
        <v>75</v>
      </c>
      <c r="Q199" t="s">
        <v>26</v>
      </c>
      <c r="R199" t="s">
        <v>2856</v>
      </c>
      <c r="S199">
        <v>50000000</v>
      </c>
      <c r="T199">
        <v>1800000000</v>
      </c>
      <c r="U199">
        <v>1272153772.8</v>
      </c>
      <c r="Z199"/>
    </row>
    <row r="200" spans="1:26" x14ac:dyDescent="0.25">
      <c r="A200">
        <v>102637</v>
      </c>
      <c r="B200" t="s">
        <v>630</v>
      </c>
      <c r="C200" t="s">
        <v>631</v>
      </c>
      <c r="D200" t="s">
        <v>1850</v>
      </c>
      <c r="E200">
        <v>21</v>
      </c>
      <c r="F200" s="105">
        <v>12975886.16</v>
      </c>
      <c r="G200" t="s">
        <v>491</v>
      </c>
      <c r="H200">
        <v>639744.46</v>
      </c>
      <c r="I200">
        <v>17677144.460000001</v>
      </c>
      <c r="J200" s="384">
        <v>42521.727298182872</v>
      </c>
      <c r="K200" s="384">
        <v>43626</v>
      </c>
      <c r="L200" t="s">
        <v>632</v>
      </c>
      <c r="M200" t="s">
        <v>633</v>
      </c>
      <c r="N200" t="s">
        <v>1280</v>
      </c>
      <c r="O200" t="s">
        <v>44</v>
      </c>
      <c r="P200" t="s">
        <v>75</v>
      </c>
      <c r="Q200" t="s">
        <v>26</v>
      </c>
      <c r="R200" t="s">
        <v>2856</v>
      </c>
      <c r="S200">
        <v>18201000</v>
      </c>
      <c r="T200">
        <v>655236000</v>
      </c>
      <c r="U200">
        <v>467131901.75999999</v>
      </c>
      <c r="Z200"/>
    </row>
    <row r="201" spans="1:26" x14ac:dyDescent="0.25">
      <c r="A201">
        <v>102642</v>
      </c>
      <c r="B201" t="s">
        <v>410</v>
      </c>
      <c r="C201" t="s">
        <v>342</v>
      </c>
      <c r="D201" t="s">
        <v>1283</v>
      </c>
      <c r="E201">
        <v>-4</v>
      </c>
      <c r="F201" s="105">
        <v>34507016.659999996</v>
      </c>
      <c r="G201" t="s">
        <v>468</v>
      </c>
      <c r="H201">
        <v>862675.42</v>
      </c>
      <c r="I201">
        <v>54158479.259999998</v>
      </c>
      <c r="J201" s="384">
        <v>42521.819705821756</v>
      </c>
      <c r="K201" s="384">
        <v>43987</v>
      </c>
      <c r="L201" t="s">
        <v>411</v>
      </c>
      <c r="M201" t="s">
        <v>1280</v>
      </c>
      <c r="N201" t="s">
        <v>1280</v>
      </c>
      <c r="O201" t="s">
        <v>44</v>
      </c>
      <c r="P201" t="s">
        <v>92</v>
      </c>
      <c r="Q201" t="s">
        <v>92</v>
      </c>
      <c r="R201" t="s">
        <v>2856</v>
      </c>
      <c r="S201">
        <v>42556117</v>
      </c>
      <c r="T201">
        <v>1532020212</v>
      </c>
      <c r="U201">
        <v>1242252599.76</v>
      </c>
      <c r="Z201"/>
    </row>
    <row r="202" spans="1:26" x14ac:dyDescent="0.25">
      <c r="A202">
        <v>102644</v>
      </c>
      <c r="B202" t="s">
        <v>399</v>
      </c>
      <c r="C202" t="s">
        <v>400</v>
      </c>
      <c r="D202" t="s">
        <v>1281</v>
      </c>
      <c r="E202">
        <v>-4</v>
      </c>
      <c r="F202" s="105">
        <v>16609186.279999999</v>
      </c>
      <c r="G202" t="s">
        <v>468</v>
      </c>
      <c r="H202">
        <v>484434.6</v>
      </c>
      <c r="I202">
        <v>27872342.91</v>
      </c>
      <c r="J202" s="384">
        <v>42521.845722418984</v>
      </c>
      <c r="K202" s="384">
        <v>43987</v>
      </c>
      <c r="L202" t="s">
        <v>401</v>
      </c>
      <c r="M202" t="s">
        <v>402</v>
      </c>
      <c r="N202" t="s">
        <v>1280</v>
      </c>
      <c r="O202" t="s">
        <v>44</v>
      </c>
      <c r="P202" t="s">
        <v>75</v>
      </c>
      <c r="Q202" t="s">
        <v>26</v>
      </c>
      <c r="R202" t="s">
        <v>2856</v>
      </c>
      <c r="S202">
        <v>20000000</v>
      </c>
      <c r="T202">
        <v>840000000</v>
      </c>
      <c r="U202">
        <v>697585823.75999999</v>
      </c>
      <c r="Z202"/>
    </row>
    <row r="203" spans="1:26" x14ac:dyDescent="0.25">
      <c r="A203">
        <v>102649</v>
      </c>
      <c r="B203" t="s">
        <v>710</v>
      </c>
      <c r="C203" t="s">
        <v>714</v>
      </c>
      <c r="D203" t="s">
        <v>1284</v>
      </c>
      <c r="E203">
        <v>-5</v>
      </c>
      <c r="F203" s="105">
        <v>33851680.159999996</v>
      </c>
      <c r="G203" t="s">
        <v>491</v>
      </c>
      <c r="H203">
        <v>812440.32</v>
      </c>
      <c r="I203">
        <v>57190887.5</v>
      </c>
      <c r="J203" s="384">
        <v>42527.501020868054</v>
      </c>
      <c r="K203" s="384">
        <v>44171</v>
      </c>
      <c r="L203" t="s">
        <v>715</v>
      </c>
      <c r="M203" t="s">
        <v>1280</v>
      </c>
      <c r="N203" t="s">
        <v>1280</v>
      </c>
      <c r="O203" t="s">
        <v>44</v>
      </c>
      <c r="P203" t="s">
        <v>92</v>
      </c>
      <c r="Q203" t="s">
        <v>92</v>
      </c>
      <c r="R203" t="s">
        <v>2856</v>
      </c>
      <c r="S203">
        <v>40000000</v>
      </c>
      <c r="T203">
        <v>1440000000</v>
      </c>
      <c r="U203">
        <v>1218660485.76</v>
      </c>
      <c r="Z203"/>
    </row>
    <row r="204" spans="1:26" x14ac:dyDescent="0.25">
      <c r="A204">
        <v>102651</v>
      </c>
      <c r="B204" t="s">
        <v>705</v>
      </c>
      <c r="C204" t="s">
        <v>706</v>
      </c>
      <c r="D204" t="s">
        <v>1841</v>
      </c>
      <c r="E204">
        <v>-14</v>
      </c>
      <c r="F204" s="105">
        <v>32117727.530000001</v>
      </c>
      <c r="G204" t="s">
        <v>4684</v>
      </c>
      <c r="H204">
        <v>481765.91</v>
      </c>
      <c r="I204">
        <v>50408509.340000004</v>
      </c>
      <c r="J204" s="384">
        <v>42527.695888275462</v>
      </c>
      <c r="K204" s="384">
        <v>43997</v>
      </c>
      <c r="L204" t="s">
        <v>707</v>
      </c>
      <c r="M204" t="s">
        <v>708</v>
      </c>
      <c r="N204" t="s">
        <v>1280</v>
      </c>
      <c r="O204" t="s">
        <v>25</v>
      </c>
      <c r="P204" t="s">
        <v>88</v>
      </c>
      <c r="Q204" t="s">
        <v>285</v>
      </c>
      <c r="R204" t="s">
        <v>2856</v>
      </c>
      <c r="S204">
        <v>39457012</v>
      </c>
      <c r="T204">
        <v>1420452432</v>
      </c>
      <c r="U204">
        <v>1156238191.0799999</v>
      </c>
      <c r="Z204"/>
    </row>
    <row r="205" spans="1:26" x14ac:dyDescent="0.25">
      <c r="A205">
        <v>102652</v>
      </c>
      <c r="B205" t="s">
        <v>87</v>
      </c>
      <c r="C205" t="s">
        <v>249</v>
      </c>
      <c r="D205" t="s">
        <v>1283</v>
      </c>
      <c r="E205">
        <v>-7</v>
      </c>
      <c r="F205" s="105">
        <v>14550522.859999999</v>
      </c>
      <c r="G205" t="s">
        <v>1447</v>
      </c>
      <c r="H205">
        <v>320111.5</v>
      </c>
      <c r="I205">
        <v>16582519.539999999</v>
      </c>
      <c r="J205" s="384">
        <v>42528.575429780096</v>
      </c>
      <c r="K205" s="384">
        <v>43259</v>
      </c>
      <c r="L205" t="s">
        <v>250</v>
      </c>
      <c r="M205" t="s">
        <v>251</v>
      </c>
      <c r="N205" t="s">
        <v>1280</v>
      </c>
      <c r="O205" t="s">
        <v>44</v>
      </c>
      <c r="P205" t="s">
        <v>92</v>
      </c>
      <c r="Q205" t="s">
        <v>26</v>
      </c>
      <c r="R205" t="s">
        <v>2856</v>
      </c>
      <c r="S205">
        <v>35000000</v>
      </c>
      <c r="T205">
        <v>1260000000</v>
      </c>
      <c r="U205">
        <v>523818822.95999998</v>
      </c>
      <c r="Z205"/>
    </row>
    <row r="206" spans="1:26" x14ac:dyDescent="0.25">
      <c r="A206">
        <v>102653</v>
      </c>
      <c r="B206" t="s">
        <v>219</v>
      </c>
      <c r="C206" t="s">
        <v>220</v>
      </c>
      <c r="D206" t="s">
        <v>1282</v>
      </c>
      <c r="E206">
        <v>109</v>
      </c>
      <c r="F206" s="105">
        <v>1613790.34</v>
      </c>
      <c r="G206" t="s">
        <v>5725</v>
      </c>
      <c r="H206">
        <v>46150.66</v>
      </c>
      <c r="I206">
        <v>1685871.49</v>
      </c>
      <c r="J206" s="384">
        <v>42529.70623556713</v>
      </c>
      <c r="K206" s="384">
        <v>42990</v>
      </c>
      <c r="L206" t="s">
        <v>221</v>
      </c>
      <c r="M206" t="s">
        <v>222</v>
      </c>
      <c r="N206" t="s">
        <v>1280</v>
      </c>
      <c r="O206" t="s">
        <v>25</v>
      </c>
      <c r="P206" t="s">
        <v>88</v>
      </c>
      <c r="Q206" t="s">
        <v>26</v>
      </c>
      <c r="R206" t="s">
        <v>2856</v>
      </c>
      <c r="S206">
        <v>7000000</v>
      </c>
      <c r="T206">
        <v>336000000</v>
      </c>
      <c r="U206">
        <v>77461936.319999993</v>
      </c>
      <c r="Z206"/>
    </row>
    <row r="207" spans="1:26" x14ac:dyDescent="0.25">
      <c r="A207">
        <v>102655</v>
      </c>
      <c r="B207" t="s">
        <v>786</v>
      </c>
      <c r="C207" t="s">
        <v>788</v>
      </c>
      <c r="D207" t="s">
        <v>1283</v>
      </c>
      <c r="E207">
        <v>-9</v>
      </c>
      <c r="F207" s="105">
        <v>19103778.350000001</v>
      </c>
      <c r="G207" t="s">
        <v>1191</v>
      </c>
      <c r="H207">
        <v>382075.57</v>
      </c>
      <c r="I207">
        <v>21771642.219999999</v>
      </c>
      <c r="J207" s="384">
        <v>42529.736859259261</v>
      </c>
      <c r="K207" s="384">
        <v>43261</v>
      </c>
      <c r="L207" t="s">
        <v>789</v>
      </c>
      <c r="M207" t="s">
        <v>1280</v>
      </c>
      <c r="N207" t="s">
        <v>1280</v>
      </c>
      <c r="O207" t="s">
        <v>25</v>
      </c>
      <c r="P207" t="s">
        <v>88</v>
      </c>
      <c r="Q207" t="s">
        <v>26</v>
      </c>
      <c r="R207" t="s">
        <v>2856</v>
      </c>
      <c r="S207">
        <v>46000000</v>
      </c>
      <c r="T207">
        <v>1656000000</v>
      </c>
      <c r="U207">
        <v>687736020.60000002</v>
      </c>
      <c r="Z207"/>
    </row>
    <row r="208" spans="1:26" x14ac:dyDescent="0.25">
      <c r="A208">
        <v>102658</v>
      </c>
      <c r="B208" t="s">
        <v>1642</v>
      </c>
      <c r="C208" t="s">
        <v>1645</v>
      </c>
      <c r="D208" t="s">
        <v>1284</v>
      </c>
      <c r="E208">
        <v>-14</v>
      </c>
      <c r="F208" s="105">
        <v>23966347.43</v>
      </c>
      <c r="G208" t="s">
        <v>491</v>
      </c>
      <c r="H208">
        <v>359495.21</v>
      </c>
      <c r="I208">
        <v>32218300.059999999</v>
      </c>
      <c r="J208" s="384">
        <v>42531.702821261577</v>
      </c>
      <c r="K208" s="384">
        <v>43631</v>
      </c>
      <c r="L208" t="s">
        <v>1646</v>
      </c>
      <c r="M208" t="s">
        <v>1280</v>
      </c>
      <c r="N208" t="s">
        <v>1280</v>
      </c>
      <c r="O208" t="s">
        <v>44</v>
      </c>
      <c r="P208" t="s">
        <v>75</v>
      </c>
      <c r="Q208" t="s">
        <v>26</v>
      </c>
      <c r="R208" t="s">
        <v>2856</v>
      </c>
      <c r="S208">
        <v>35000000</v>
      </c>
      <c r="T208">
        <v>1260000000</v>
      </c>
      <c r="U208">
        <v>862788507.48000002</v>
      </c>
      <c r="Z208"/>
    </row>
    <row r="209" spans="1:26" x14ac:dyDescent="0.25">
      <c r="A209">
        <v>102661</v>
      </c>
      <c r="B209" t="s">
        <v>147</v>
      </c>
      <c r="C209" t="s">
        <v>148</v>
      </c>
      <c r="D209" t="s">
        <v>1283</v>
      </c>
      <c r="E209">
        <v>45</v>
      </c>
      <c r="F209" s="105">
        <v>11416783.390000001</v>
      </c>
      <c r="G209" t="s">
        <v>90</v>
      </c>
      <c r="H209">
        <v>284643.86</v>
      </c>
      <c r="I209">
        <v>11991679.449999999</v>
      </c>
      <c r="J209" s="384">
        <v>42534.671389467592</v>
      </c>
      <c r="K209" s="384">
        <v>43085</v>
      </c>
      <c r="L209" t="s">
        <v>149</v>
      </c>
      <c r="M209" t="s">
        <v>150</v>
      </c>
      <c r="N209" t="s">
        <v>1280</v>
      </c>
      <c r="O209" t="s">
        <v>25</v>
      </c>
      <c r="P209" t="s">
        <v>103</v>
      </c>
      <c r="Q209" t="s">
        <v>26</v>
      </c>
      <c r="R209" t="s">
        <v>2856</v>
      </c>
      <c r="S209">
        <v>46000000</v>
      </c>
      <c r="T209">
        <v>1656000000</v>
      </c>
      <c r="U209">
        <v>411004202.04000002</v>
      </c>
      <c r="Z209"/>
    </row>
    <row r="210" spans="1:26" x14ac:dyDescent="0.25">
      <c r="A210">
        <v>102663</v>
      </c>
      <c r="B210" t="s">
        <v>519</v>
      </c>
      <c r="C210" t="s">
        <v>520</v>
      </c>
      <c r="D210" t="s">
        <v>1281</v>
      </c>
      <c r="E210">
        <v>-13</v>
      </c>
      <c r="F210" s="105">
        <v>15601301.529999999</v>
      </c>
      <c r="G210" t="s">
        <v>86</v>
      </c>
      <c r="H210">
        <v>291224.3</v>
      </c>
      <c r="I210">
        <v>22629775.620000001</v>
      </c>
      <c r="J210" s="384">
        <v>42535.638698958333</v>
      </c>
      <c r="K210" s="384">
        <v>43691</v>
      </c>
      <c r="L210" t="s">
        <v>521</v>
      </c>
      <c r="M210" t="s">
        <v>522</v>
      </c>
      <c r="N210" t="s">
        <v>1280</v>
      </c>
      <c r="O210" t="s">
        <v>44</v>
      </c>
      <c r="P210" t="s">
        <v>92</v>
      </c>
      <c r="Q210" t="s">
        <v>92</v>
      </c>
      <c r="R210" t="s">
        <v>2856</v>
      </c>
      <c r="S210">
        <v>21437688</v>
      </c>
      <c r="T210">
        <v>900382896</v>
      </c>
      <c r="U210">
        <v>655254664.25999999</v>
      </c>
      <c r="Z210"/>
    </row>
    <row r="211" spans="1:26" x14ac:dyDescent="0.25">
      <c r="A211">
        <v>102664</v>
      </c>
      <c r="B211" t="s">
        <v>2258</v>
      </c>
      <c r="C211" t="s">
        <v>2260</v>
      </c>
      <c r="D211" t="s">
        <v>1283</v>
      </c>
      <c r="E211">
        <v>-14</v>
      </c>
      <c r="F211" s="105">
        <v>19482973.199999999</v>
      </c>
      <c r="G211" t="s">
        <v>2855</v>
      </c>
      <c r="H211">
        <v>324716.21999999997</v>
      </c>
      <c r="I211">
        <v>22517086.75</v>
      </c>
      <c r="J211" s="384">
        <v>42536.550141354164</v>
      </c>
      <c r="K211" s="384">
        <v>43266</v>
      </c>
      <c r="L211" t="s">
        <v>2261</v>
      </c>
      <c r="M211" t="s">
        <v>1280</v>
      </c>
      <c r="N211" t="s">
        <v>1280</v>
      </c>
      <c r="O211" t="s">
        <v>44</v>
      </c>
      <c r="P211" t="s">
        <v>75</v>
      </c>
      <c r="Q211" t="s">
        <v>1442</v>
      </c>
      <c r="R211" t="s">
        <v>2636</v>
      </c>
      <c r="S211">
        <v>46000000</v>
      </c>
      <c r="T211">
        <v>1840000000</v>
      </c>
      <c r="U211">
        <v>779318928</v>
      </c>
      <c r="Z211"/>
    </row>
    <row r="212" spans="1:26" x14ac:dyDescent="0.25">
      <c r="A212">
        <v>102670</v>
      </c>
      <c r="B212" t="s">
        <v>598</v>
      </c>
      <c r="C212" t="s">
        <v>599</v>
      </c>
      <c r="D212" t="s">
        <v>1284</v>
      </c>
      <c r="E212">
        <v>-19</v>
      </c>
      <c r="F212" s="105">
        <v>31346460.649999999</v>
      </c>
      <c r="G212" t="s">
        <v>491</v>
      </c>
      <c r="H212">
        <v>313464.61</v>
      </c>
      <c r="I212">
        <v>42139490.670000002</v>
      </c>
      <c r="J212" s="384">
        <v>42541.563828900464</v>
      </c>
      <c r="K212" s="384">
        <v>43636</v>
      </c>
      <c r="L212" t="s">
        <v>600</v>
      </c>
      <c r="M212" t="s">
        <v>1280</v>
      </c>
      <c r="N212" t="s">
        <v>1280</v>
      </c>
      <c r="O212" t="s">
        <v>44</v>
      </c>
      <c r="P212" t="s">
        <v>92</v>
      </c>
      <c r="Q212" t="s">
        <v>26</v>
      </c>
      <c r="R212" t="s">
        <v>2856</v>
      </c>
      <c r="S212">
        <v>46000000</v>
      </c>
      <c r="T212">
        <v>1656000000</v>
      </c>
      <c r="U212">
        <v>1128472583.4000001</v>
      </c>
      <c r="Z212"/>
    </row>
    <row r="213" spans="1:26" x14ac:dyDescent="0.25">
      <c r="A213">
        <v>102671</v>
      </c>
      <c r="B213" t="s">
        <v>2280</v>
      </c>
      <c r="C213" t="s">
        <v>2282</v>
      </c>
      <c r="D213" t="s">
        <v>1281</v>
      </c>
      <c r="E213">
        <v>-19</v>
      </c>
      <c r="F213" s="105">
        <v>8831587.9800000004</v>
      </c>
      <c r="G213" t="s">
        <v>963</v>
      </c>
      <c r="H213">
        <v>238317.75</v>
      </c>
      <c r="I213">
        <v>10493892.9</v>
      </c>
      <c r="J213" s="384">
        <v>42541.662755983794</v>
      </c>
      <c r="K213" s="384">
        <v>43271</v>
      </c>
      <c r="L213" t="s">
        <v>2283</v>
      </c>
      <c r="M213" t="s">
        <v>1280</v>
      </c>
      <c r="N213" t="s">
        <v>1280</v>
      </c>
      <c r="O213" t="s">
        <v>44</v>
      </c>
      <c r="P213" t="s">
        <v>92</v>
      </c>
      <c r="Q213" t="s">
        <v>92</v>
      </c>
      <c r="R213" t="s">
        <v>2636</v>
      </c>
      <c r="S213">
        <v>20000000</v>
      </c>
      <c r="T213">
        <v>960000000</v>
      </c>
      <c r="U213">
        <v>423916223.04000002</v>
      </c>
      <c r="Z213"/>
    </row>
    <row r="214" spans="1:26" x14ac:dyDescent="0.25">
      <c r="A214">
        <v>102672</v>
      </c>
      <c r="B214" t="s">
        <v>2294</v>
      </c>
      <c r="C214" t="s">
        <v>2296</v>
      </c>
      <c r="D214" t="s">
        <v>1282</v>
      </c>
      <c r="E214">
        <v>160</v>
      </c>
      <c r="F214" s="105">
        <v>1026841.7</v>
      </c>
      <c r="G214" t="s">
        <v>2419</v>
      </c>
      <c r="H214">
        <v>69033.14</v>
      </c>
      <c r="I214">
        <v>1096661.92</v>
      </c>
      <c r="J214" s="384">
        <v>42542.497367048614</v>
      </c>
      <c r="K214" s="384">
        <v>42907</v>
      </c>
      <c r="L214" t="s">
        <v>2297</v>
      </c>
      <c r="M214" t="s">
        <v>1280</v>
      </c>
      <c r="N214" t="s">
        <v>1280</v>
      </c>
      <c r="O214" t="s">
        <v>44</v>
      </c>
      <c r="P214" t="s">
        <v>92</v>
      </c>
      <c r="Q214" t="s">
        <v>92</v>
      </c>
      <c r="R214" t="s">
        <v>2636</v>
      </c>
      <c r="S214">
        <v>5000000</v>
      </c>
      <c r="T214">
        <v>270000000</v>
      </c>
      <c r="U214">
        <v>55449451.799999997</v>
      </c>
      <c r="Z214"/>
    </row>
    <row r="215" spans="1:26" x14ac:dyDescent="0.25">
      <c r="A215">
        <v>102675</v>
      </c>
      <c r="B215" t="s">
        <v>1359</v>
      </c>
      <c r="C215" t="s">
        <v>1360</v>
      </c>
      <c r="D215" t="s">
        <v>1284</v>
      </c>
      <c r="E215">
        <v>-21</v>
      </c>
      <c r="F215" s="105">
        <v>34698503.950000003</v>
      </c>
      <c r="G215" t="s">
        <v>1467</v>
      </c>
      <c r="H215">
        <v>277588.03000000003</v>
      </c>
      <c r="I215">
        <v>54459017.049999997</v>
      </c>
      <c r="J215" s="384">
        <v>42543.719333414352</v>
      </c>
      <c r="K215" s="384">
        <v>44004</v>
      </c>
      <c r="L215" t="s">
        <v>1361</v>
      </c>
      <c r="M215" t="s">
        <v>1280</v>
      </c>
      <c r="N215" t="s">
        <v>1280</v>
      </c>
      <c r="O215" t="s">
        <v>36</v>
      </c>
      <c r="P215" t="s">
        <v>97</v>
      </c>
      <c r="Q215" t="s">
        <v>98</v>
      </c>
      <c r="R215" t="s">
        <v>2856</v>
      </c>
      <c r="S215">
        <v>43000000</v>
      </c>
      <c r="T215">
        <v>1548000000</v>
      </c>
      <c r="U215">
        <v>1249146142.2</v>
      </c>
      <c r="Z215"/>
    </row>
    <row r="216" spans="1:26" x14ac:dyDescent="0.25">
      <c r="A216">
        <v>102677</v>
      </c>
      <c r="B216" t="s">
        <v>2308</v>
      </c>
      <c r="C216" t="s">
        <v>2315</v>
      </c>
      <c r="D216" t="s">
        <v>1283</v>
      </c>
      <c r="E216">
        <v>-21</v>
      </c>
      <c r="F216" s="105">
        <v>31316873.440000001</v>
      </c>
      <c r="G216" t="s">
        <v>86</v>
      </c>
      <c r="H216">
        <v>278372.21000000002</v>
      </c>
      <c r="I216">
        <v>45989005.520000003</v>
      </c>
      <c r="J216" s="384">
        <v>42543.779445138891</v>
      </c>
      <c r="K216" s="384">
        <v>43760</v>
      </c>
      <c r="L216" t="s">
        <v>2316</v>
      </c>
      <c r="M216" t="s">
        <v>1280</v>
      </c>
      <c r="N216" t="s">
        <v>2317</v>
      </c>
      <c r="O216" t="s">
        <v>44</v>
      </c>
      <c r="P216" t="s">
        <v>75</v>
      </c>
      <c r="Q216" t="s">
        <v>26</v>
      </c>
      <c r="R216" t="s">
        <v>2636</v>
      </c>
      <c r="S216">
        <v>42000000</v>
      </c>
      <c r="T216">
        <v>1680000000</v>
      </c>
      <c r="U216">
        <v>1252674937.5999999</v>
      </c>
      <c r="Z216"/>
    </row>
    <row r="217" spans="1:26" x14ac:dyDescent="0.25">
      <c r="A217">
        <v>102678</v>
      </c>
      <c r="B217" t="s">
        <v>2326</v>
      </c>
      <c r="C217" t="s">
        <v>2328</v>
      </c>
      <c r="D217" t="s">
        <v>1281</v>
      </c>
      <c r="E217">
        <v>8</v>
      </c>
      <c r="F217" s="105">
        <v>12191496.07</v>
      </c>
      <c r="G217" t="s">
        <v>86</v>
      </c>
      <c r="H217">
        <v>555161.42000000004</v>
      </c>
      <c r="I217">
        <v>14721503.539999999</v>
      </c>
      <c r="J217" s="384">
        <v>42544.500216585649</v>
      </c>
      <c r="K217" s="384">
        <v>43274</v>
      </c>
      <c r="L217" t="s">
        <v>128</v>
      </c>
      <c r="M217" t="s">
        <v>1280</v>
      </c>
      <c r="N217" t="s">
        <v>1280</v>
      </c>
      <c r="O217" t="s">
        <v>43</v>
      </c>
      <c r="P217" t="s">
        <v>338</v>
      </c>
      <c r="Q217" t="s">
        <v>339</v>
      </c>
      <c r="R217" t="s">
        <v>2636</v>
      </c>
      <c r="S217">
        <v>25000000</v>
      </c>
      <c r="T217">
        <v>1200000000</v>
      </c>
      <c r="U217">
        <v>585191811.36000001</v>
      </c>
      <c r="Z217"/>
    </row>
    <row r="218" spans="1:26" x14ac:dyDescent="0.25">
      <c r="A218">
        <v>102679</v>
      </c>
      <c r="B218" t="s">
        <v>2325</v>
      </c>
      <c r="C218" t="s">
        <v>2329</v>
      </c>
      <c r="D218" t="s">
        <v>1283</v>
      </c>
      <c r="E218">
        <v>-22</v>
      </c>
      <c r="F218" s="105">
        <v>19059430.239999998</v>
      </c>
      <c r="G218" t="s">
        <v>86</v>
      </c>
      <c r="H218">
        <v>148240.01</v>
      </c>
      <c r="I218">
        <v>22027584.77</v>
      </c>
      <c r="J218" s="384">
        <v>42544.64699212963</v>
      </c>
      <c r="K218" s="384">
        <v>43274</v>
      </c>
      <c r="L218" t="s">
        <v>2330</v>
      </c>
      <c r="M218" t="s">
        <v>2331</v>
      </c>
      <c r="N218" t="s">
        <v>1280</v>
      </c>
      <c r="O218" t="s">
        <v>37</v>
      </c>
      <c r="P218" t="s">
        <v>288</v>
      </c>
      <c r="Q218" t="s">
        <v>1829</v>
      </c>
      <c r="R218" t="s">
        <v>2636</v>
      </c>
      <c r="S218">
        <v>45000000</v>
      </c>
      <c r="T218">
        <v>1800000000</v>
      </c>
      <c r="U218">
        <v>762377209.60000002</v>
      </c>
      <c r="Z218"/>
    </row>
    <row r="219" spans="1:26" x14ac:dyDescent="0.25">
      <c r="A219">
        <v>102681</v>
      </c>
      <c r="B219" t="s">
        <v>1072</v>
      </c>
      <c r="C219" t="s">
        <v>1076</v>
      </c>
      <c r="D219" t="s">
        <v>1283</v>
      </c>
      <c r="E219">
        <v>12</v>
      </c>
      <c r="F219" s="105">
        <v>36845231.899999999</v>
      </c>
      <c r="G219" t="s">
        <v>5167</v>
      </c>
      <c r="H219">
        <v>1490809.89</v>
      </c>
      <c r="I219">
        <v>58540189.039999999</v>
      </c>
      <c r="J219" s="384">
        <v>42545.381421412036</v>
      </c>
      <c r="K219" s="384">
        <v>44001</v>
      </c>
      <c r="L219" t="s">
        <v>1077</v>
      </c>
      <c r="M219" t="s">
        <v>1078</v>
      </c>
      <c r="N219" t="s">
        <v>1280</v>
      </c>
      <c r="O219" t="s">
        <v>25</v>
      </c>
      <c r="P219" t="s">
        <v>295</v>
      </c>
      <c r="Q219" t="s">
        <v>26</v>
      </c>
      <c r="R219" t="s">
        <v>2856</v>
      </c>
      <c r="S219">
        <v>45050000</v>
      </c>
      <c r="T219">
        <v>1621800000</v>
      </c>
      <c r="U219">
        <v>1326428348.4000001</v>
      </c>
      <c r="Z219"/>
    </row>
    <row r="220" spans="1:26" x14ac:dyDescent="0.25">
      <c r="A220">
        <v>102693</v>
      </c>
      <c r="B220" t="s">
        <v>2359</v>
      </c>
      <c r="C220" t="s">
        <v>2362</v>
      </c>
      <c r="D220" t="s">
        <v>1282</v>
      </c>
      <c r="E220">
        <v>0</v>
      </c>
      <c r="F220" s="105">
        <v>2267153.02</v>
      </c>
      <c r="G220" t="s">
        <v>3074</v>
      </c>
      <c r="H220">
        <v>98621.16</v>
      </c>
      <c r="I220">
        <v>2474189.63</v>
      </c>
      <c r="J220" s="384">
        <v>42550.383685104163</v>
      </c>
      <c r="K220" s="384">
        <v>43101</v>
      </c>
      <c r="L220" t="s">
        <v>2363</v>
      </c>
      <c r="M220" t="s">
        <v>1280</v>
      </c>
      <c r="N220" t="s">
        <v>2364</v>
      </c>
      <c r="O220" t="s">
        <v>25</v>
      </c>
      <c r="P220" t="s">
        <v>88</v>
      </c>
      <c r="Q220" t="s">
        <v>26</v>
      </c>
      <c r="R220" t="s">
        <v>2856</v>
      </c>
      <c r="S220">
        <v>10000000</v>
      </c>
      <c r="T220">
        <v>540000000</v>
      </c>
      <c r="U220">
        <v>122426263.08</v>
      </c>
      <c r="Z220"/>
    </row>
    <row r="221" spans="1:26" x14ac:dyDescent="0.25">
      <c r="A221">
        <v>102694</v>
      </c>
      <c r="B221" t="s">
        <v>2370</v>
      </c>
      <c r="C221" t="s">
        <v>2373</v>
      </c>
      <c r="D221" t="s">
        <v>1283</v>
      </c>
      <c r="E221">
        <v>-2</v>
      </c>
      <c r="F221" s="105">
        <v>21671141.370000001</v>
      </c>
      <c r="G221" t="s">
        <v>468</v>
      </c>
      <c r="H221">
        <v>650134.24</v>
      </c>
      <c r="I221">
        <v>25440676.260000002</v>
      </c>
      <c r="J221" s="384">
        <v>42550.659041122686</v>
      </c>
      <c r="K221" s="384">
        <v>43284</v>
      </c>
      <c r="L221" t="s">
        <v>2374</v>
      </c>
      <c r="M221" t="s">
        <v>1280</v>
      </c>
      <c r="N221" t="s">
        <v>1280</v>
      </c>
      <c r="O221" t="s">
        <v>27</v>
      </c>
      <c r="P221" t="s">
        <v>81</v>
      </c>
      <c r="Q221" t="s">
        <v>26</v>
      </c>
      <c r="R221" t="s">
        <v>2636</v>
      </c>
      <c r="S221">
        <v>46000000</v>
      </c>
      <c r="T221">
        <v>1840000000</v>
      </c>
      <c r="U221">
        <v>866845654.79999995</v>
      </c>
      <c r="Z221"/>
    </row>
    <row r="222" spans="1:26" x14ac:dyDescent="0.25">
      <c r="A222">
        <v>102696</v>
      </c>
      <c r="B222" t="s">
        <v>2379</v>
      </c>
      <c r="C222" t="s">
        <v>2389</v>
      </c>
      <c r="D222" t="s">
        <v>1284</v>
      </c>
      <c r="E222">
        <v>22</v>
      </c>
      <c r="F222" s="105">
        <v>18722925.079999998</v>
      </c>
      <c r="G222" t="s">
        <v>1039</v>
      </c>
      <c r="H222">
        <v>1047192.18</v>
      </c>
      <c r="I222">
        <v>26716653.32</v>
      </c>
      <c r="J222" s="384">
        <v>42551.073891319444</v>
      </c>
      <c r="K222" s="384">
        <v>43655</v>
      </c>
      <c r="L222" t="s">
        <v>2390</v>
      </c>
      <c r="M222" t="s">
        <v>1280</v>
      </c>
      <c r="N222" t="s">
        <v>2391</v>
      </c>
      <c r="O222" t="s">
        <v>42</v>
      </c>
      <c r="P222" t="s">
        <v>1244</v>
      </c>
      <c r="Q222" t="s">
        <v>26</v>
      </c>
      <c r="R222" t="s">
        <v>2636</v>
      </c>
      <c r="S222">
        <v>25000000</v>
      </c>
      <c r="T222">
        <v>1000000000</v>
      </c>
      <c r="U222">
        <v>748917003.20000005</v>
      </c>
      <c r="Z222"/>
    </row>
    <row r="223" spans="1:26" x14ac:dyDescent="0.25">
      <c r="A223">
        <v>102698</v>
      </c>
      <c r="B223" t="s">
        <v>2380</v>
      </c>
      <c r="C223" t="s">
        <v>2392</v>
      </c>
      <c r="D223" t="s">
        <v>1283</v>
      </c>
      <c r="E223">
        <v>-6</v>
      </c>
      <c r="F223" s="105">
        <v>18818889.18</v>
      </c>
      <c r="G223" t="s">
        <v>1447</v>
      </c>
      <c r="H223">
        <v>480927.17</v>
      </c>
      <c r="I223">
        <v>24219667.02</v>
      </c>
      <c r="J223" s="384">
        <v>42551.145418518521</v>
      </c>
      <c r="K223" s="384">
        <v>43472</v>
      </c>
      <c r="L223" t="s">
        <v>2393</v>
      </c>
      <c r="M223" t="s">
        <v>1280</v>
      </c>
      <c r="N223" t="s">
        <v>1280</v>
      </c>
      <c r="O223" t="s">
        <v>36</v>
      </c>
      <c r="P223" t="s">
        <v>1023</v>
      </c>
      <c r="Q223" t="s">
        <v>26</v>
      </c>
      <c r="R223" t="s">
        <v>2636</v>
      </c>
      <c r="S223">
        <v>30100000</v>
      </c>
      <c r="T223">
        <v>1204000000</v>
      </c>
      <c r="U223">
        <v>752755567.20000005</v>
      </c>
      <c r="Z223"/>
    </row>
    <row r="224" spans="1:26" x14ac:dyDescent="0.25">
      <c r="A224">
        <v>102701</v>
      </c>
      <c r="B224" t="s">
        <v>2381</v>
      </c>
      <c r="C224" t="s">
        <v>2394</v>
      </c>
      <c r="D224" t="s">
        <v>1283</v>
      </c>
      <c r="E224">
        <v>171</v>
      </c>
      <c r="F224" s="105">
        <v>33157684.32</v>
      </c>
      <c r="G224" t="s">
        <v>5725</v>
      </c>
      <c r="H224">
        <v>2117615.2000000002</v>
      </c>
      <c r="I224">
        <v>42673510.950000003</v>
      </c>
      <c r="J224" s="384">
        <v>42551.364522303244</v>
      </c>
      <c r="K224" s="384">
        <v>43291</v>
      </c>
      <c r="L224" t="s">
        <v>2395</v>
      </c>
      <c r="M224" t="s">
        <v>2396</v>
      </c>
      <c r="N224" t="s">
        <v>1280</v>
      </c>
      <c r="O224" t="s">
        <v>37</v>
      </c>
      <c r="P224" t="s">
        <v>288</v>
      </c>
      <c r="Q224" t="s">
        <v>1829</v>
      </c>
      <c r="R224" t="s">
        <v>2636</v>
      </c>
      <c r="S224">
        <v>46000000</v>
      </c>
      <c r="T224">
        <v>1840000000</v>
      </c>
      <c r="U224">
        <v>1326307372.8</v>
      </c>
      <c r="Z224"/>
    </row>
    <row r="225" spans="1:26" x14ac:dyDescent="0.25">
      <c r="A225">
        <v>102703</v>
      </c>
      <c r="B225" t="s">
        <v>1167</v>
      </c>
      <c r="C225" t="s">
        <v>1168</v>
      </c>
      <c r="D225" t="s">
        <v>1283</v>
      </c>
      <c r="E225">
        <v>0</v>
      </c>
      <c r="F225" s="105">
        <v>17251063.530000001</v>
      </c>
      <c r="G225" t="s">
        <v>1039</v>
      </c>
      <c r="H225">
        <v>500280.84</v>
      </c>
      <c r="I225">
        <v>20575861.66</v>
      </c>
      <c r="J225" s="384">
        <v>42551.396343287037</v>
      </c>
      <c r="K225" s="384">
        <v>43647</v>
      </c>
      <c r="L225" t="s">
        <v>1169</v>
      </c>
      <c r="M225" t="s">
        <v>1280</v>
      </c>
      <c r="N225" t="s">
        <v>1280</v>
      </c>
      <c r="O225" t="s">
        <v>27</v>
      </c>
      <c r="P225" t="s">
        <v>116</v>
      </c>
      <c r="Q225" t="s">
        <v>1825</v>
      </c>
      <c r="R225" t="s">
        <v>2856</v>
      </c>
      <c r="S225">
        <v>40000000</v>
      </c>
      <c r="T225">
        <v>1440000000</v>
      </c>
      <c r="U225">
        <v>621038287.08000004</v>
      </c>
      <c r="Z225"/>
    </row>
    <row r="226" spans="1:26" x14ac:dyDescent="0.25">
      <c r="A226">
        <v>102704</v>
      </c>
      <c r="B226" t="s">
        <v>125</v>
      </c>
      <c r="C226" t="s">
        <v>126</v>
      </c>
      <c r="D226" t="s">
        <v>1283</v>
      </c>
      <c r="E226">
        <v>-4</v>
      </c>
      <c r="F226" s="105">
        <v>36267669.219999999</v>
      </c>
      <c r="G226" t="s">
        <v>86</v>
      </c>
      <c r="H226">
        <v>906691.73</v>
      </c>
      <c r="I226">
        <v>57634839.880000003</v>
      </c>
      <c r="J226" s="384">
        <v>42552.70148009259</v>
      </c>
      <c r="K226" s="384">
        <v>44017</v>
      </c>
      <c r="L226" t="s">
        <v>127</v>
      </c>
      <c r="M226" t="s">
        <v>128</v>
      </c>
      <c r="N226" t="s">
        <v>129</v>
      </c>
      <c r="O226" t="s">
        <v>25</v>
      </c>
      <c r="P226" t="s">
        <v>88</v>
      </c>
      <c r="Q226" t="s">
        <v>26</v>
      </c>
      <c r="R226" t="s">
        <v>2856</v>
      </c>
      <c r="S226">
        <v>43957853.270000003</v>
      </c>
      <c r="T226">
        <v>1582482717.72</v>
      </c>
      <c r="U226">
        <v>1305636091.9200001</v>
      </c>
      <c r="Z226"/>
    </row>
    <row r="227" spans="1:26" x14ac:dyDescent="0.25">
      <c r="A227">
        <v>102706</v>
      </c>
      <c r="B227" t="s">
        <v>2420</v>
      </c>
      <c r="C227" t="s">
        <v>2421</v>
      </c>
      <c r="D227" t="s">
        <v>1281</v>
      </c>
      <c r="E227">
        <v>-6</v>
      </c>
      <c r="F227" s="105">
        <v>8290217.3399999999</v>
      </c>
      <c r="G227" t="s">
        <v>1448</v>
      </c>
      <c r="H227">
        <v>254233.33</v>
      </c>
      <c r="I227">
        <v>10034785.27</v>
      </c>
      <c r="J227" s="384">
        <v>42558.591984756946</v>
      </c>
      <c r="K227" s="384">
        <v>43288</v>
      </c>
      <c r="L227" t="s">
        <v>2422</v>
      </c>
      <c r="M227" t="s">
        <v>2423</v>
      </c>
      <c r="N227" t="s">
        <v>1280</v>
      </c>
      <c r="O227" t="s">
        <v>25</v>
      </c>
      <c r="P227" t="s">
        <v>290</v>
      </c>
      <c r="Q227" t="s">
        <v>297</v>
      </c>
      <c r="R227" t="s">
        <v>2636</v>
      </c>
      <c r="S227">
        <v>17000000</v>
      </c>
      <c r="T227">
        <v>816000000</v>
      </c>
      <c r="U227">
        <v>397930432.31999999</v>
      </c>
      <c r="Z227"/>
    </row>
    <row r="228" spans="1:26" x14ac:dyDescent="0.25">
      <c r="A228">
        <v>102712</v>
      </c>
      <c r="B228" t="s">
        <v>2429</v>
      </c>
      <c r="C228" t="s">
        <v>2430</v>
      </c>
      <c r="D228" t="s">
        <v>1281</v>
      </c>
      <c r="E228">
        <v>-13</v>
      </c>
      <c r="F228" s="105">
        <v>8789130.75</v>
      </c>
      <c r="G228" t="s">
        <v>86</v>
      </c>
      <c r="H228">
        <v>187501.46</v>
      </c>
      <c r="I228">
        <v>10638688.460000001</v>
      </c>
      <c r="J228" s="384">
        <v>42564.684344710651</v>
      </c>
      <c r="K228" s="384">
        <v>43295</v>
      </c>
      <c r="L228" t="s">
        <v>2431</v>
      </c>
      <c r="M228" t="s">
        <v>2432</v>
      </c>
      <c r="N228" t="s">
        <v>1280</v>
      </c>
      <c r="O228" t="s">
        <v>37</v>
      </c>
      <c r="P228" t="s">
        <v>38</v>
      </c>
      <c r="Q228" t="s">
        <v>26</v>
      </c>
      <c r="R228" t="s">
        <v>2636</v>
      </c>
      <c r="S228">
        <v>18000000</v>
      </c>
      <c r="T228">
        <v>864000000</v>
      </c>
      <c r="U228">
        <v>421878276</v>
      </c>
      <c r="Z228"/>
    </row>
    <row r="229" spans="1:26" x14ac:dyDescent="0.25">
      <c r="A229">
        <v>102713</v>
      </c>
      <c r="B229" t="s">
        <v>759</v>
      </c>
      <c r="C229" t="s">
        <v>761</v>
      </c>
      <c r="D229" t="s">
        <v>1284</v>
      </c>
      <c r="E229">
        <v>-13</v>
      </c>
      <c r="F229" s="105">
        <v>13805879.039999999</v>
      </c>
      <c r="G229" t="s">
        <v>491</v>
      </c>
      <c r="H229">
        <v>220894.06</v>
      </c>
      <c r="I229">
        <v>15958280.640000001</v>
      </c>
      <c r="J229" s="384">
        <v>42564.693873611111</v>
      </c>
      <c r="K229" s="384">
        <v>43295</v>
      </c>
      <c r="L229" t="s">
        <v>762</v>
      </c>
      <c r="M229" t="s">
        <v>763</v>
      </c>
      <c r="N229" t="s">
        <v>1280</v>
      </c>
      <c r="O229" t="s">
        <v>27</v>
      </c>
      <c r="P229" t="s">
        <v>116</v>
      </c>
      <c r="Q229" t="s">
        <v>26</v>
      </c>
      <c r="R229" t="s">
        <v>2856</v>
      </c>
      <c r="S229">
        <v>30000000</v>
      </c>
      <c r="T229">
        <v>1080000000</v>
      </c>
      <c r="U229">
        <v>497011645.44</v>
      </c>
      <c r="Z229"/>
    </row>
    <row r="230" spans="1:26" x14ac:dyDescent="0.25">
      <c r="A230">
        <v>102714</v>
      </c>
      <c r="B230" t="s">
        <v>2433</v>
      </c>
      <c r="C230" t="s">
        <v>2434</v>
      </c>
      <c r="D230" t="s">
        <v>1283</v>
      </c>
      <c r="E230">
        <v>-13</v>
      </c>
      <c r="F230" s="105">
        <v>16435949.58</v>
      </c>
      <c r="G230" t="s">
        <v>2175</v>
      </c>
      <c r="H230">
        <v>292194.65999999997</v>
      </c>
      <c r="I230">
        <v>19294861.539999999</v>
      </c>
      <c r="J230" s="384">
        <v>42564.702947187499</v>
      </c>
      <c r="K230" s="384">
        <v>43295</v>
      </c>
      <c r="L230" t="s">
        <v>2435</v>
      </c>
      <c r="M230" t="s">
        <v>1280</v>
      </c>
      <c r="N230" t="s">
        <v>1280</v>
      </c>
      <c r="O230" t="s">
        <v>25</v>
      </c>
      <c r="P230" t="s">
        <v>101</v>
      </c>
      <c r="Q230" t="s">
        <v>95</v>
      </c>
      <c r="R230" t="s">
        <v>2636</v>
      </c>
      <c r="S230">
        <v>35000000</v>
      </c>
      <c r="T230">
        <v>1400000000</v>
      </c>
      <c r="U230">
        <v>657437983.20000005</v>
      </c>
      <c r="Z230"/>
    </row>
    <row r="231" spans="1:26" x14ac:dyDescent="0.25">
      <c r="A231">
        <v>102717</v>
      </c>
      <c r="B231" t="s">
        <v>364</v>
      </c>
      <c r="C231" t="s">
        <v>384</v>
      </c>
      <c r="D231" t="s">
        <v>1282</v>
      </c>
      <c r="E231">
        <v>103</v>
      </c>
      <c r="F231" s="105">
        <v>324801.82</v>
      </c>
      <c r="G231" t="s">
        <v>5725</v>
      </c>
      <c r="H231">
        <v>0</v>
      </c>
      <c r="I231">
        <v>324801.82</v>
      </c>
      <c r="J231" s="384">
        <v>42566.624112268517</v>
      </c>
      <c r="K231" s="384">
        <v>42934</v>
      </c>
      <c r="L231" t="s">
        <v>385</v>
      </c>
      <c r="M231" t="s">
        <v>386</v>
      </c>
      <c r="N231" t="s">
        <v>1280</v>
      </c>
      <c r="O231" t="s">
        <v>25</v>
      </c>
      <c r="P231" t="s">
        <v>94</v>
      </c>
      <c r="Q231" t="s">
        <v>26</v>
      </c>
      <c r="R231" t="s">
        <v>2856</v>
      </c>
      <c r="S231">
        <v>7000000</v>
      </c>
      <c r="T231">
        <v>336000000</v>
      </c>
      <c r="U231">
        <v>15590487.359999999</v>
      </c>
      <c r="Z231"/>
    </row>
    <row r="232" spans="1:26" x14ac:dyDescent="0.25">
      <c r="A232">
        <v>102721</v>
      </c>
      <c r="B232" t="s">
        <v>1668</v>
      </c>
      <c r="C232" t="s">
        <v>1675</v>
      </c>
      <c r="D232" t="s">
        <v>1282</v>
      </c>
      <c r="E232">
        <v>135</v>
      </c>
      <c r="F232" s="105">
        <v>1205804.8700000001</v>
      </c>
      <c r="G232" t="s">
        <v>90</v>
      </c>
      <c r="H232">
        <v>46624.45</v>
      </c>
      <c r="I232">
        <v>1278626.02</v>
      </c>
      <c r="J232" s="384">
        <v>42567.597271990744</v>
      </c>
      <c r="K232" s="384">
        <v>42932</v>
      </c>
      <c r="L232" t="s">
        <v>1676</v>
      </c>
      <c r="M232" t="s">
        <v>1280</v>
      </c>
      <c r="N232" t="s">
        <v>1280</v>
      </c>
      <c r="O232" t="s">
        <v>44</v>
      </c>
      <c r="P232" t="s">
        <v>75</v>
      </c>
      <c r="Q232" t="s">
        <v>1442</v>
      </c>
      <c r="R232" t="s">
        <v>2856</v>
      </c>
      <c r="S232">
        <v>6000000</v>
      </c>
      <c r="T232">
        <v>288000000</v>
      </c>
      <c r="U232">
        <v>57878633.759999998</v>
      </c>
      <c r="Z232"/>
    </row>
    <row r="233" spans="1:26" x14ac:dyDescent="0.25">
      <c r="A233">
        <v>102722</v>
      </c>
      <c r="B233" t="s">
        <v>2439</v>
      </c>
      <c r="C233" t="s">
        <v>2440</v>
      </c>
      <c r="D233" t="s">
        <v>1867</v>
      </c>
      <c r="E233">
        <v>133</v>
      </c>
      <c r="F233" s="105">
        <v>4804821.63</v>
      </c>
      <c r="G233" t="s">
        <v>5725</v>
      </c>
      <c r="H233">
        <v>348901.72</v>
      </c>
      <c r="I233">
        <v>5396466.0800000001</v>
      </c>
      <c r="J233" s="384">
        <v>42569.726373645834</v>
      </c>
      <c r="K233" s="384">
        <v>43026</v>
      </c>
      <c r="L233" t="s">
        <v>2441</v>
      </c>
      <c r="M233" t="s">
        <v>1280</v>
      </c>
      <c r="N233" t="s">
        <v>1280</v>
      </c>
      <c r="O233" t="s">
        <v>37</v>
      </c>
      <c r="P233" t="s">
        <v>288</v>
      </c>
      <c r="Q233" t="s">
        <v>1313</v>
      </c>
      <c r="R233" t="s">
        <v>2636</v>
      </c>
      <c r="S233">
        <v>12000000</v>
      </c>
      <c r="T233">
        <v>576000000</v>
      </c>
      <c r="U233">
        <v>230631438.24000001</v>
      </c>
      <c r="Z233"/>
    </row>
    <row r="234" spans="1:26" x14ac:dyDescent="0.25">
      <c r="A234">
        <v>102726</v>
      </c>
      <c r="B234" t="s">
        <v>2506</v>
      </c>
      <c r="C234" t="s">
        <v>2509</v>
      </c>
      <c r="D234" t="s">
        <v>1283</v>
      </c>
      <c r="E234">
        <v>-21</v>
      </c>
      <c r="F234" s="105">
        <v>25196437.329999998</v>
      </c>
      <c r="G234" t="s">
        <v>1191</v>
      </c>
      <c r="H234">
        <v>223968.33</v>
      </c>
      <c r="I234">
        <v>35437006.159999996</v>
      </c>
      <c r="J234" s="384">
        <v>42571.776242210646</v>
      </c>
      <c r="K234" s="384">
        <v>43668</v>
      </c>
      <c r="L234" t="s">
        <v>2510</v>
      </c>
      <c r="M234" t="s">
        <v>1280</v>
      </c>
      <c r="N234" t="s">
        <v>1280</v>
      </c>
      <c r="O234" t="s">
        <v>45</v>
      </c>
      <c r="P234" t="s">
        <v>45</v>
      </c>
      <c r="Q234" t="s">
        <v>1658</v>
      </c>
      <c r="R234" t="s">
        <v>2636</v>
      </c>
      <c r="S234">
        <v>35000000</v>
      </c>
      <c r="T234">
        <v>1400000000</v>
      </c>
      <c r="U234">
        <v>1007857493.2</v>
      </c>
      <c r="Z234"/>
    </row>
    <row r="235" spans="1:26" x14ac:dyDescent="0.25">
      <c r="A235">
        <v>102728</v>
      </c>
      <c r="B235" t="s">
        <v>2513</v>
      </c>
      <c r="C235" t="s">
        <v>2514</v>
      </c>
      <c r="D235" t="s">
        <v>1282</v>
      </c>
      <c r="E235">
        <v>100</v>
      </c>
      <c r="F235" s="105">
        <v>524718.64</v>
      </c>
      <c r="G235" t="s">
        <v>1448</v>
      </c>
      <c r="H235">
        <v>23612.34</v>
      </c>
      <c r="I235">
        <v>548330.98</v>
      </c>
      <c r="J235" s="384">
        <v>42572.520186770831</v>
      </c>
      <c r="K235" s="384">
        <v>42937</v>
      </c>
      <c r="L235" t="s">
        <v>2515</v>
      </c>
      <c r="M235" t="s">
        <v>1280</v>
      </c>
      <c r="N235" t="s">
        <v>1280</v>
      </c>
      <c r="O235" t="s">
        <v>45</v>
      </c>
      <c r="P235" t="s">
        <v>45</v>
      </c>
      <c r="Q235" t="s">
        <v>89</v>
      </c>
      <c r="R235" t="s">
        <v>2636</v>
      </c>
      <c r="S235">
        <v>5000000</v>
      </c>
      <c r="T235">
        <v>270000000</v>
      </c>
      <c r="U235">
        <v>28334806.559999999</v>
      </c>
      <c r="Z235"/>
    </row>
    <row r="236" spans="1:26" x14ac:dyDescent="0.25">
      <c r="A236">
        <v>102735</v>
      </c>
      <c r="B236" t="s">
        <v>2531</v>
      </c>
      <c r="C236" t="s">
        <v>2534</v>
      </c>
      <c r="D236" t="s">
        <v>1283</v>
      </c>
      <c r="E236">
        <v>-24</v>
      </c>
      <c r="F236" s="105">
        <v>25860721.039999999</v>
      </c>
      <c r="G236" t="s">
        <v>1191</v>
      </c>
      <c r="H236">
        <v>143670.67000000001</v>
      </c>
      <c r="I236">
        <v>36371274.159999996</v>
      </c>
      <c r="J236" s="384">
        <v>42576.56290138889</v>
      </c>
      <c r="K236" s="384">
        <v>43671</v>
      </c>
      <c r="L236" t="s">
        <v>2535</v>
      </c>
      <c r="M236" t="s">
        <v>1280</v>
      </c>
      <c r="N236" t="s">
        <v>2536</v>
      </c>
      <c r="O236" t="s">
        <v>44</v>
      </c>
      <c r="P236" t="s">
        <v>75</v>
      </c>
      <c r="Q236" t="s">
        <v>26</v>
      </c>
      <c r="R236" t="s">
        <v>2636</v>
      </c>
      <c r="S236">
        <v>36000000</v>
      </c>
      <c r="T236">
        <v>1440000000</v>
      </c>
      <c r="U236">
        <v>1034428841.6</v>
      </c>
      <c r="Z236"/>
    </row>
    <row r="237" spans="1:26" x14ac:dyDescent="0.25">
      <c r="A237">
        <v>102737</v>
      </c>
      <c r="B237" t="s">
        <v>664</v>
      </c>
      <c r="C237" t="s">
        <v>669</v>
      </c>
      <c r="D237" t="s">
        <v>1283</v>
      </c>
      <c r="E237">
        <v>-19</v>
      </c>
      <c r="F237" s="105">
        <v>23164468.219999999</v>
      </c>
      <c r="G237" t="s">
        <v>1447</v>
      </c>
      <c r="H237">
        <v>231644.68</v>
      </c>
      <c r="I237">
        <v>31557124.260000002</v>
      </c>
      <c r="J237" s="384">
        <v>42577.617198148146</v>
      </c>
      <c r="K237" s="384">
        <v>43666</v>
      </c>
      <c r="L237" t="s">
        <v>670</v>
      </c>
      <c r="M237" t="s">
        <v>671</v>
      </c>
      <c r="N237" t="s">
        <v>1280</v>
      </c>
      <c r="O237" t="s">
        <v>44</v>
      </c>
      <c r="P237" t="s">
        <v>75</v>
      </c>
      <c r="Q237" t="s">
        <v>26</v>
      </c>
      <c r="R237" t="s">
        <v>2856</v>
      </c>
      <c r="S237">
        <v>33000000</v>
      </c>
      <c r="T237">
        <v>1188000000</v>
      </c>
      <c r="U237">
        <v>833920855.91999996</v>
      </c>
      <c r="Z237"/>
    </row>
    <row r="238" spans="1:26" x14ac:dyDescent="0.25">
      <c r="A238">
        <v>102738</v>
      </c>
      <c r="B238" t="s">
        <v>2540</v>
      </c>
      <c r="C238" t="s">
        <v>2545</v>
      </c>
      <c r="D238" t="s">
        <v>1281</v>
      </c>
      <c r="E238">
        <v>-5</v>
      </c>
      <c r="F238" s="105">
        <v>4501411.18</v>
      </c>
      <c r="G238" t="s">
        <v>1448</v>
      </c>
      <c r="H238">
        <v>144045.16</v>
      </c>
      <c r="I238">
        <v>4960375.88</v>
      </c>
      <c r="J238" s="384">
        <v>42577.712034340278</v>
      </c>
      <c r="K238" s="384">
        <v>43137</v>
      </c>
      <c r="L238" t="s">
        <v>2546</v>
      </c>
      <c r="M238" t="s">
        <v>2547</v>
      </c>
      <c r="N238" t="s">
        <v>1280</v>
      </c>
      <c r="O238" t="s">
        <v>37</v>
      </c>
      <c r="P238" t="s">
        <v>2192</v>
      </c>
      <c r="Q238" t="s">
        <v>26</v>
      </c>
      <c r="R238" t="s">
        <v>2636</v>
      </c>
      <c r="S238">
        <v>15500000</v>
      </c>
      <c r="T238">
        <v>744000000</v>
      </c>
      <c r="U238">
        <v>216067736.63999999</v>
      </c>
      <c r="Z238"/>
    </row>
    <row r="239" spans="1:26" x14ac:dyDescent="0.25">
      <c r="A239">
        <v>102741</v>
      </c>
      <c r="B239" t="s">
        <v>2558</v>
      </c>
      <c r="C239" t="s">
        <v>2559</v>
      </c>
      <c r="D239" t="s">
        <v>1284</v>
      </c>
      <c r="E239">
        <v>0</v>
      </c>
      <c r="F239" s="105">
        <v>7200017.9400000004</v>
      </c>
      <c r="G239" t="s">
        <v>491</v>
      </c>
      <c r="H239">
        <v>232000.58</v>
      </c>
      <c r="I239">
        <v>7809853.4199999999</v>
      </c>
      <c r="J239" s="384">
        <v>42578.643912581021</v>
      </c>
      <c r="K239" s="384">
        <v>43132</v>
      </c>
      <c r="L239" t="s">
        <v>2560</v>
      </c>
      <c r="M239" t="s">
        <v>2561</v>
      </c>
      <c r="N239" t="s">
        <v>1280</v>
      </c>
      <c r="O239" t="s">
        <v>45</v>
      </c>
      <c r="P239" t="s">
        <v>45</v>
      </c>
      <c r="Q239" t="s">
        <v>26</v>
      </c>
      <c r="R239" t="s">
        <v>2636</v>
      </c>
      <c r="S239">
        <v>26000000</v>
      </c>
      <c r="T239">
        <v>1040000000</v>
      </c>
      <c r="U239">
        <v>288000717.60000002</v>
      </c>
      <c r="Z239"/>
    </row>
    <row r="240" spans="1:26" x14ac:dyDescent="0.25">
      <c r="A240">
        <v>102742</v>
      </c>
      <c r="B240" t="s">
        <v>2576</v>
      </c>
      <c r="C240" t="s">
        <v>2577</v>
      </c>
      <c r="D240" t="s">
        <v>1279</v>
      </c>
      <c r="E240">
        <v>120</v>
      </c>
      <c r="F240" s="105">
        <v>309379.08</v>
      </c>
      <c r="G240" t="s">
        <v>1447</v>
      </c>
      <c r="H240">
        <v>20799.13</v>
      </c>
      <c r="I240">
        <v>330415.34999999998</v>
      </c>
      <c r="J240" s="384">
        <v>42579.529619988425</v>
      </c>
      <c r="K240" s="384">
        <v>42948</v>
      </c>
      <c r="L240" t="s">
        <v>2578</v>
      </c>
      <c r="M240" t="s">
        <v>1280</v>
      </c>
      <c r="N240" t="s">
        <v>1280</v>
      </c>
      <c r="O240" t="s">
        <v>29</v>
      </c>
      <c r="P240" t="s">
        <v>30</v>
      </c>
      <c r="Q240" t="s">
        <v>1820</v>
      </c>
      <c r="R240" t="s">
        <v>2636</v>
      </c>
      <c r="S240">
        <v>1500000</v>
      </c>
      <c r="T240">
        <v>81000000</v>
      </c>
      <c r="U240">
        <v>16706470.32</v>
      </c>
      <c r="Z240"/>
    </row>
    <row r="241" spans="1:26" x14ac:dyDescent="0.25">
      <c r="A241">
        <v>102743</v>
      </c>
      <c r="B241" t="s">
        <v>1163</v>
      </c>
      <c r="C241" t="s">
        <v>1164</v>
      </c>
      <c r="D241" t="s">
        <v>1283</v>
      </c>
      <c r="E241">
        <v>90</v>
      </c>
      <c r="F241" s="105">
        <v>27996895.649999999</v>
      </c>
      <c r="G241" t="s">
        <v>5724</v>
      </c>
      <c r="H241">
        <v>1610432.43</v>
      </c>
      <c r="I241">
        <v>40175937.289999999</v>
      </c>
      <c r="J241" s="384">
        <v>42579.575141006942</v>
      </c>
      <c r="K241" s="384">
        <v>43678</v>
      </c>
      <c r="L241" t="s">
        <v>1165</v>
      </c>
      <c r="M241" t="s">
        <v>1166</v>
      </c>
      <c r="N241" t="s">
        <v>1280</v>
      </c>
      <c r="O241" t="s">
        <v>44</v>
      </c>
      <c r="P241" t="s">
        <v>75</v>
      </c>
      <c r="Q241" t="s">
        <v>1442</v>
      </c>
      <c r="R241" t="s">
        <v>2856</v>
      </c>
      <c r="S241">
        <v>35000000</v>
      </c>
      <c r="T241">
        <v>1260000000</v>
      </c>
      <c r="U241">
        <v>1007888243.4</v>
      </c>
      <c r="Z241"/>
    </row>
    <row r="242" spans="1:26" x14ac:dyDescent="0.25">
      <c r="A242">
        <v>102745</v>
      </c>
      <c r="B242" t="s">
        <v>2588</v>
      </c>
      <c r="C242" t="s">
        <v>2594</v>
      </c>
      <c r="D242" t="s">
        <v>1283</v>
      </c>
      <c r="E242">
        <v>0</v>
      </c>
      <c r="F242" s="105">
        <v>2579509.56</v>
      </c>
      <c r="G242" t="s">
        <v>1448</v>
      </c>
      <c r="H242">
        <v>83117.53</v>
      </c>
      <c r="I242">
        <v>2665493.21</v>
      </c>
      <c r="J242" s="384">
        <v>42580.687739780093</v>
      </c>
      <c r="K242" s="384">
        <v>43040</v>
      </c>
      <c r="L242" t="s">
        <v>2595</v>
      </c>
      <c r="M242" t="s">
        <v>2596</v>
      </c>
      <c r="N242" t="s">
        <v>1280</v>
      </c>
      <c r="O242" t="s">
        <v>27</v>
      </c>
      <c r="P242" t="s">
        <v>81</v>
      </c>
      <c r="Q242" t="s">
        <v>26</v>
      </c>
      <c r="R242" t="s">
        <v>2636</v>
      </c>
      <c r="S242">
        <v>31000000</v>
      </c>
      <c r="T242">
        <v>1240000000</v>
      </c>
      <c r="U242">
        <v>103180382.40000001</v>
      </c>
      <c r="Z242"/>
    </row>
    <row r="243" spans="1:26" x14ac:dyDescent="0.25">
      <c r="A243">
        <v>102747</v>
      </c>
      <c r="B243" t="s">
        <v>985</v>
      </c>
      <c r="C243" t="s">
        <v>986</v>
      </c>
      <c r="D243" t="s">
        <v>1282</v>
      </c>
      <c r="E243">
        <v>0</v>
      </c>
      <c r="F243" s="105">
        <v>4312090.87</v>
      </c>
      <c r="G243" t="s">
        <v>1191</v>
      </c>
      <c r="H243">
        <v>166734.18</v>
      </c>
      <c r="I243">
        <v>4751752.42</v>
      </c>
      <c r="J243" s="384">
        <v>42580.717206365742</v>
      </c>
      <c r="K243" s="384">
        <v>43132</v>
      </c>
      <c r="L243" t="s">
        <v>987</v>
      </c>
      <c r="M243" t="s">
        <v>1280</v>
      </c>
      <c r="N243" t="s">
        <v>1280</v>
      </c>
      <c r="O243" t="s">
        <v>44</v>
      </c>
      <c r="P243" t="s">
        <v>75</v>
      </c>
      <c r="Q243" t="s">
        <v>26</v>
      </c>
      <c r="R243" t="s">
        <v>2856</v>
      </c>
      <c r="S243">
        <v>15000000</v>
      </c>
      <c r="T243">
        <v>720000000</v>
      </c>
      <c r="U243">
        <v>206980361.75999999</v>
      </c>
      <c r="Z243"/>
    </row>
    <row r="244" spans="1:26" x14ac:dyDescent="0.25">
      <c r="A244">
        <v>102749</v>
      </c>
      <c r="B244" t="s">
        <v>2615</v>
      </c>
      <c r="C244" t="s">
        <v>2618</v>
      </c>
      <c r="D244" t="s">
        <v>1282</v>
      </c>
      <c r="E244">
        <v>53</v>
      </c>
      <c r="F244" s="105">
        <v>1721287.36</v>
      </c>
      <c r="G244" t="s">
        <v>86</v>
      </c>
      <c r="H244">
        <v>63494.49</v>
      </c>
      <c r="I244">
        <v>1817227.69</v>
      </c>
      <c r="J244" s="384">
        <v>42581.595540312497</v>
      </c>
      <c r="K244" s="384">
        <v>43047</v>
      </c>
      <c r="L244" t="s">
        <v>2619</v>
      </c>
      <c r="M244" t="s">
        <v>2620</v>
      </c>
      <c r="N244" t="s">
        <v>1280</v>
      </c>
      <c r="O244" t="s">
        <v>44</v>
      </c>
      <c r="P244" t="s">
        <v>75</v>
      </c>
      <c r="Q244" t="s">
        <v>26</v>
      </c>
      <c r="R244" t="s">
        <v>2636</v>
      </c>
      <c r="S244">
        <v>8000000</v>
      </c>
      <c r="T244">
        <v>432000000</v>
      </c>
      <c r="U244">
        <v>92949517.439999998</v>
      </c>
      <c r="Z244"/>
    </row>
    <row r="245" spans="1:26" x14ac:dyDescent="0.25">
      <c r="A245">
        <v>102750</v>
      </c>
      <c r="B245" t="s">
        <v>1184</v>
      </c>
      <c r="C245" t="s">
        <v>1185</v>
      </c>
      <c r="D245" t="s">
        <v>1281</v>
      </c>
      <c r="E245">
        <v>-4</v>
      </c>
      <c r="F245" s="105">
        <v>4340787.5</v>
      </c>
      <c r="G245" t="s">
        <v>963</v>
      </c>
      <c r="H245">
        <v>126606.3</v>
      </c>
      <c r="I245">
        <v>4727137.38</v>
      </c>
      <c r="J245" s="384">
        <v>42581.635056828702</v>
      </c>
      <c r="K245" s="384">
        <v>43136</v>
      </c>
      <c r="L245" t="s">
        <v>1186</v>
      </c>
      <c r="M245" t="s">
        <v>1187</v>
      </c>
      <c r="N245" t="s">
        <v>1280</v>
      </c>
      <c r="O245" t="s">
        <v>37</v>
      </c>
      <c r="P245" t="s">
        <v>26</v>
      </c>
      <c r="Q245" t="s">
        <v>26</v>
      </c>
      <c r="R245" t="s">
        <v>2856</v>
      </c>
      <c r="S245">
        <v>15500000</v>
      </c>
      <c r="T245">
        <v>651000000</v>
      </c>
      <c r="U245">
        <v>182313075</v>
      </c>
      <c r="Z245"/>
    </row>
    <row r="246" spans="1:26" x14ac:dyDescent="0.25">
      <c r="A246">
        <v>102752</v>
      </c>
      <c r="B246" t="s">
        <v>894</v>
      </c>
      <c r="C246" t="s">
        <v>899</v>
      </c>
      <c r="D246" t="s">
        <v>1281</v>
      </c>
      <c r="E246">
        <v>0</v>
      </c>
      <c r="F246" s="105">
        <v>8554958.5600000005</v>
      </c>
      <c r="G246" t="s">
        <v>86</v>
      </c>
      <c r="H246">
        <v>289442.76</v>
      </c>
      <c r="I246">
        <v>10286599.199999999</v>
      </c>
      <c r="J246" s="384">
        <v>42581.587760960647</v>
      </c>
      <c r="K246" s="384">
        <v>43313</v>
      </c>
      <c r="L246" t="s">
        <v>900</v>
      </c>
      <c r="M246" t="s">
        <v>1280</v>
      </c>
      <c r="N246" t="s">
        <v>1280</v>
      </c>
      <c r="O246" t="s">
        <v>44</v>
      </c>
      <c r="P246" t="s">
        <v>92</v>
      </c>
      <c r="Q246" t="s">
        <v>26</v>
      </c>
      <c r="R246" t="s">
        <v>2856</v>
      </c>
      <c r="S246">
        <v>16500000</v>
      </c>
      <c r="T246">
        <v>693000000</v>
      </c>
      <c r="U246">
        <v>359308259.51999998</v>
      </c>
      <c r="Z246"/>
    </row>
    <row r="247" spans="1:26" x14ac:dyDescent="0.25">
      <c r="A247">
        <v>102753</v>
      </c>
      <c r="B247" t="s">
        <v>748</v>
      </c>
      <c r="C247" t="s">
        <v>1355</v>
      </c>
      <c r="D247" t="s">
        <v>1282</v>
      </c>
      <c r="E247">
        <v>30</v>
      </c>
      <c r="F247" s="105">
        <v>2547823.7400000002</v>
      </c>
      <c r="G247" t="s">
        <v>1448</v>
      </c>
      <c r="H247">
        <v>152136.72</v>
      </c>
      <c r="I247">
        <v>2701692.31</v>
      </c>
      <c r="J247" s="384">
        <v>42581.697517592591</v>
      </c>
      <c r="K247" s="384">
        <v>43040</v>
      </c>
      <c r="L247" t="s">
        <v>749</v>
      </c>
      <c r="M247" t="s">
        <v>750</v>
      </c>
      <c r="N247" t="s">
        <v>1280</v>
      </c>
      <c r="O247" t="s">
        <v>44</v>
      </c>
      <c r="P247" t="s">
        <v>75</v>
      </c>
      <c r="Q247" t="s">
        <v>26</v>
      </c>
      <c r="R247" t="s">
        <v>2856</v>
      </c>
      <c r="S247">
        <v>15000000</v>
      </c>
      <c r="T247">
        <v>720000000</v>
      </c>
      <c r="U247">
        <v>122295539.52</v>
      </c>
      <c r="Z247"/>
    </row>
    <row r="248" spans="1:26" x14ac:dyDescent="0.25">
      <c r="A248">
        <v>102754</v>
      </c>
      <c r="B248" t="s">
        <v>895</v>
      </c>
      <c r="C248" t="s">
        <v>896</v>
      </c>
      <c r="D248" t="s">
        <v>1282</v>
      </c>
      <c r="E248">
        <v>29</v>
      </c>
      <c r="F248" s="105">
        <v>4251163.26</v>
      </c>
      <c r="G248" t="s">
        <v>963</v>
      </c>
      <c r="H248">
        <v>149120.47</v>
      </c>
      <c r="I248">
        <v>4659379.1100000003</v>
      </c>
      <c r="J248" s="384">
        <v>42581.711515196759</v>
      </c>
      <c r="K248" s="384">
        <v>43133</v>
      </c>
      <c r="L248" t="s">
        <v>897</v>
      </c>
      <c r="M248" t="s">
        <v>898</v>
      </c>
      <c r="N248" t="s">
        <v>1280</v>
      </c>
      <c r="O248" t="s">
        <v>25</v>
      </c>
      <c r="P248" t="s">
        <v>88</v>
      </c>
      <c r="Q248" t="s">
        <v>285</v>
      </c>
      <c r="R248" t="s">
        <v>2856</v>
      </c>
      <c r="S248">
        <v>12000000</v>
      </c>
      <c r="T248">
        <v>648000000</v>
      </c>
      <c r="U248">
        <v>229562816.03999999</v>
      </c>
      <c r="Z248"/>
    </row>
    <row r="249" spans="1:26" x14ac:dyDescent="0.25">
      <c r="A249">
        <v>102755</v>
      </c>
      <c r="B249" t="s">
        <v>474</v>
      </c>
      <c r="C249" t="s">
        <v>475</v>
      </c>
      <c r="D249" t="s">
        <v>1283</v>
      </c>
      <c r="E249">
        <v>0</v>
      </c>
      <c r="F249" s="105">
        <v>22651078.760000002</v>
      </c>
      <c r="G249" t="s">
        <v>468</v>
      </c>
      <c r="H249">
        <v>656881.28</v>
      </c>
      <c r="I249">
        <v>31268516.02</v>
      </c>
      <c r="J249" s="384">
        <v>42581.724880902781</v>
      </c>
      <c r="K249" s="384">
        <v>43678</v>
      </c>
      <c r="L249" t="s">
        <v>476</v>
      </c>
      <c r="M249" t="s">
        <v>477</v>
      </c>
      <c r="N249" t="s">
        <v>1280</v>
      </c>
      <c r="O249" t="s">
        <v>45</v>
      </c>
      <c r="P249" t="s">
        <v>45</v>
      </c>
      <c r="Q249" t="s">
        <v>26</v>
      </c>
      <c r="R249" t="s">
        <v>2856</v>
      </c>
      <c r="S249">
        <v>31000000</v>
      </c>
      <c r="T249">
        <v>1116000000</v>
      </c>
      <c r="U249">
        <v>815438835.36000001</v>
      </c>
      <c r="Z249"/>
    </row>
    <row r="250" spans="1:26" x14ac:dyDescent="0.25">
      <c r="A250">
        <v>102756</v>
      </c>
      <c r="B250" t="s">
        <v>2637</v>
      </c>
      <c r="C250" t="s">
        <v>2638</v>
      </c>
      <c r="D250" t="s">
        <v>1279</v>
      </c>
      <c r="E250">
        <v>179</v>
      </c>
      <c r="F250" s="105">
        <v>1967151.37</v>
      </c>
      <c r="G250" t="s">
        <v>5726</v>
      </c>
      <c r="H250">
        <v>154091.20000000001</v>
      </c>
      <c r="I250">
        <v>2193323.7999999998</v>
      </c>
      <c r="J250" s="384">
        <v>42584.494557557868</v>
      </c>
      <c r="K250" s="384">
        <v>42949</v>
      </c>
      <c r="L250" t="s">
        <v>2639</v>
      </c>
      <c r="M250" t="s">
        <v>1280</v>
      </c>
      <c r="N250" t="s">
        <v>2640</v>
      </c>
      <c r="O250" t="s">
        <v>25</v>
      </c>
      <c r="P250" t="s">
        <v>88</v>
      </c>
      <c r="Q250" t="s">
        <v>285</v>
      </c>
      <c r="R250" t="s">
        <v>2636</v>
      </c>
      <c r="S250">
        <v>5000000</v>
      </c>
      <c r="T250">
        <v>270000000</v>
      </c>
      <c r="U250">
        <v>106226173.98</v>
      </c>
      <c r="Z250"/>
    </row>
    <row r="251" spans="1:26" x14ac:dyDescent="0.25">
      <c r="A251">
        <v>102757</v>
      </c>
      <c r="B251" t="s">
        <v>2648</v>
      </c>
      <c r="C251" t="s">
        <v>2649</v>
      </c>
      <c r="D251" t="s">
        <v>1282</v>
      </c>
      <c r="E251">
        <v>-12</v>
      </c>
      <c r="F251" s="105">
        <v>3884898.3</v>
      </c>
      <c r="G251" t="s">
        <v>1448</v>
      </c>
      <c r="H251">
        <v>99064.91</v>
      </c>
      <c r="I251">
        <v>4331562.88</v>
      </c>
      <c r="J251" s="384">
        <v>42586.573019594907</v>
      </c>
      <c r="K251" s="384">
        <v>43144</v>
      </c>
      <c r="L251" t="s">
        <v>2650</v>
      </c>
      <c r="M251" t="s">
        <v>2651</v>
      </c>
      <c r="N251" t="s">
        <v>1280</v>
      </c>
      <c r="O251" t="s">
        <v>44</v>
      </c>
      <c r="P251" t="s">
        <v>75</v>
      </c>
      <c r="Q251" t="s">
        <v>1442</v>
      </c>
      <c r="R251" t="s">
        <v>2636</v>
      </c>
      <c r="S251">
        <v>13000000</v>
      </c>
      <c r="T251">
        <v>702000000</v>
      </c>
      <c r="U251">
        <v>209784508.19999999</v>
      </c>
      <c r="Z251"/>
    </row>
    <row r="252" spans="1:26" x14ac:dyDescent="0.25">
      <c r="A252">
        <v>102759</v>
      </c>
      <c r="B252" t="s">
        <v>795</v>
      </c>
      <c r="C252" t="s">
        <v>799</v>
      </c>
      <c r="D252" t="s">
        <v>1283</v>
      </c>
      <c r="E252">
        <v>-13</v>
      </c>
      <c r="F252" s="105">
        <v>29453985.550000001</v>
      </c>
      <c r="G252" t="s">
        <v>4684</v>
      </c>
      <c r="H252">
        <v>471263.77</v>
      </c>
      <c r="I252">
        <v>40659538.920000002</v>
      </c>
      <c r="J252" s="384">
        <v>42587.395447187497</v>
      </c>
      <c r="K252" s="384">
        <v>43691</v>
      </c>
      <c r="L252" t="s">
        <v>800</v>
      </c>
      <c r="M252" t="s">
        <v>801</v>
      </c>
      <c r="N252" t="s">
        <v>1280</v>
      </c>
      <c r="O252" t="s">
        <v>25</v>
      </c>
      <c r="P252" t="s">
        <v>289</v>
      </c>
      <c r="Q252" t="s">
        <v>26</v>
      </c>
      <c r="R252" t="s">
        <v>2856</v>
      </c>
      <c r="S252">
        <v>40000000</v>
      </c>
      <c r="T252">
        <v>1440000000</v>
      </c>
      <c r="U252">
        <v>1060343479.8</v>
      </c>
      <c r="Z252"/>
    </row>
    <row r="253" spans="1:26" x14ac:dyDescent="0.25">
      <c r="A253">
        <v>102761</v>
      </c>
      <c r="B253" t="s">
        <v>767</v>
      </c>
      <c r="C253" t="s">
        <v>771</v>
      </c>
      <c r="D253" t="s">
        <v>1281</v>
      </c>
      <c r="E253">
        <v>-9</v>
      </c>
      <c r="F253" s="105">
        <v>10707560.15</v>
      </c>
      <c r="G253" t="s">
        <v>1191</v>
      </c>
      <c r="H253">
        <v>285534.94</v>
      </c>
      <c r="I253">
        <v>13201452.039999999</v>
      </c>
      <c r="J253" s="384">
        <v>42587.71225196759</v>
      </c>
      <c r="K253" s="384">
        <v>43322</v>
      </c>
      <c r="L253" t="s">
        <v>772</v>
      </c>
      <c r="M253" t="s">
        <v>1280</v>
      </c>
      <c r="N253" t="s">
        <v>1280</v>
      </c>
      <c r="O253" t="s">
        <v>44</v>
      </c>
      <c r="P253" t="s">
        <v>92</v>
      </c>
      <c r="Q253" t="s">
        <v>26</v>
      </c>
      <c r="R253" t="s">
        <v>2856</v>
      </c>
      <c r="S253">
        <v>20000000</v>
      </c>
      <c r="T253">
        <v>960000000</v>
      </c>
      <c r="U253">
        <v>513962887.19999999</v>
      </c>
      <c r="Z253"/>
    </row>
    <row r="254" spans="1:26" x14ac:dyDescent="0.25">
      <c r="A254">
        <v>102765</v>
      </c>
      <c r="B254" t="s">
        <v>2659</v>
      </c>
      <c r="C254" t="s">
        <v>2660</v>
      </c>
      <c r="D254" t="s">
        <v>1279</v>
      </c>
      <c r="E254">
        <v>83</v>
      </c>
      <c r="F254" s="105">
        <v>425686.41</v>
      </c>
      <c r="G254" t="s">
        <v>5725</v>
      </c>
      <c r="H254">
        <v>0</v>
      </c>
      <c r="I254">
        <v>425686.41</v>
      </c>
      <c r="J254" s="384">
        <v>42590.682513657404</v>
      </c>
      <c r="K254" s="384">
        <v>42955</v>
      </c>
      <c r="L254" t="s">
        <v>2661</v>
      </c>
      <c r="M254" t="s">
        <v>1280</v>
      </c>
      <c r="N254" t="s">
        <v>1280</v>
      </c>
      <c r="O254" t="s">
        <v>27</v>
      </c>
      <c r="P254" t="s">
        <v>81</v>
      </c>
      <c r="R254" t="s">
        <v>2636</v>
      </c>
      <c r="S254">
        <v>6000000</v>
      </c>
      <c r="T254">
        <v>300000000</v>
      </c>
      <c r="U254">
        <v>21284320.5</v>
      </c>
      <c r="Z254"/>
    </row>
    <row r="255" spans="1:26" x14ac:dyDescent="0.25">
      <c r="A255">
        <v>102769</v>
      </c>
      <c r="B255" t="s">
        <v>2701</v>
      </c>
      <c r="C255" t="s">
        <v>2702</v>
      </c>
      <c r="D255" t="s">
        <v>1866</v>
      </c>
      <c r="E255">
        <v>168</v>
      </c>
      <c r="F255" s="105">
        <v>5152490.5599999996</v>
      </c>
      <c r="G255" t="s">
        <v>5725</v>
      </c>
      <c r="H255">
        <v>446408.21</v>
      </c>
      <c r="I255">
        <v>6405370.2599999998</v>
      </c>
      <c r="J255" s="384">
        <v>42595.561834108797</v>
      </c>
      <c r="K255" s="384">
        <v>43144</v>
      </c>
      <c r="L255" t="s">
        <v>2703</v>
      </c>
      <c r="M255" t="s">
        <v>1280</v>
      </c>
      <c r="N255" t="s">
        <v>1280</v>
      </c>
      <c r="O255" t="s">
        <v>44</v>
      </c>
      <c r="P255" t="s">
        <v>75</v>
      </c>
      <c r="Q255" t="s">
        <v>26</v>
      </c>
      <c r="R255" t="s">
        <v>2636</v>
      </c>
      <c r="S255">
        <v>8000000</v>
      </c>
      <c r="T255">
        <v>400000000</v>
      </c>
      <c r="U255">
        <v>257624528</v>
      </c>
      <c r="Z255"/>
    </row>
    <row r="256" spans="1:26" x14ac:dyDescent="0.25">
      <c r="A256">
        <v>102776</v>
      </c>
      <c r="B256" t="s">
        <v>823</v>
      </c>
      <c r="C256" t="s">
        <v>825</v>
      </c>
      <c r="D256" t="s">
        <v>1283</v>
      </c>
      <c r="E256">
        <v>-19</v>
      </c>
      <c r="F256" s="105">
        <v>19586556.18</v>
      </c>
      <c r="G256" t="s">
        <v>86</v>
      </c>
      <c r="H256">
        <v>195865.56</v>
      </c>
      <c r="I256">
        <v>22961419.039999999</v>
      </c>
      <c r="J256" s="384">
        <v>42605.457988043985</v>
      </c>
      <c r="K256" s="384">
        <v>43332</v>
      </c>
      <c r="L256" t="s">
        <v>826</v>
      </c>
      <c r="M256" t="s">
        <v>827</v>
      </c>
      <c r="N256" t="s">
        <v>1280</v>
      </c>
      <c r="O256" t="s">
        <v>25</v>
      </c>
      <c r="P256" t="s">
        <v>101</v>
      </c>
      <c r="Q256" t="s">
        <v>95</v>
      </c>
      <c r="R256" t="s">
        <v>2856</v>
      </c>
      <c r="S256">
        <v>39000000</v>
      </c>
      <c r="T256">
        <v>1404000000</v>
      </c>
      <c r="U256">
        <v>705116022.48000002</v>
      </c>
      <c r="Z256"/>
    </row>
    <row r="257" spans="1:26" x14ac:dyDescent="0.25">
      <c r="A257">
        <v>102778</v>
      </c>
      <c r="B257" t="s">
        <v>2746</v>
      </c>
      <c r="C257" t="s">
        <v>2749</v>
      </c>
      <c r="D257" t="s">
        <v>1284</v>
      </c>
      <c r="E257">
        <v>68</v>
      </c>
      <c r="F257" s="105">
        <v>7522832.8799999999</v>
      </c>
      <c r="G257" t="s">
        <v>1447</v>
      </c>
      <c r="H257">
        <v>230886.26</v>
      </c>
      <c r="I257">
        <v>9168431.0299999993</v>
      </c>
      <c r="J257" s="384">
        <v>42605.746936377313</v>
      </c>
      <c r="K257" s="384">
        <v>43335</v>
      </c>
      <c r="L257" t="s">
        <v>2750</v>
      </c>
      <c r="M257" t="s">
        <v>2751</v>
      </c>
      <c r="N257" t="s">
        <v>1280</v>
      </c>
      <c r="O257" t="s">
        <v>44</v>
      </c>
      <c r="P257" t="s">
        <v>75</v>
      </c>
      <c r="Q257" t="s">
        <v>1442</v>
      </c>
      <c r="R257" t="s">
        <v>2636</v>
      </c>
      <c r="S257">
        <v>12000000</v>
      </c>
      <c r="T257">
        <v>480000000</v>
      </c>
      <c r="U257">
        <v>300913315.19999999</v>
      </c>
      <c r="Z257"/>
    </row>
    <row r="258" spans="1:26" x14ac:dyDescent="0.25">
      <c r="A258">
        <v>102782</v>
      </c>
      <c r="B258" t="s">
        <v>1666</v>
      </c>
      <c r="C258" t="s">
        <v>1673</v>
      </c>
      <c r="D258" t="s">
        <v>1282</v>
      </c>
      <c r="E258">
        <v>30</v>
      </c>
      <c r="F258" s="105">
        <v>2077313.65</v>
      </c>
      <c r="G258" t="s">
        <v>1667</v>
      </c>
      <c r="H258">
        <v>72614.97</v>
      </c>
      <c r="I258">
        <v>2190728.52</v>
      </c>
      <c r="J258" s="384">
        <v>42608.746518171298</v>
      </c>
      <c r="K258" s="384">
        <v>43070</v>
      </c>
      <c r="L258" t="s">
        <v>1674</v>
      </c>
      <c r="M258" t="s">
        <v>1280</v>
      </c>
      <c r="N258" t="s">
        <v>1280</v>
      </c>
      <c r="O258" t="s">
        <v>27</v>
      </c>
      <c r="P258" t="s">
        <v>81</v>
      </c>
      <c r="Q258" t="s">
        <v>26</v>
      </c>
      <c r="R258" t="s">
        <v>2856</v>
      </c>
      <c r="S258">
        <v>11000000</v>
      </c>
      <c r="T258">
        <v>528000000</v>
      </c>
      <c r="U258">
        <v>99711055.200000003</v>
      </c>
      <c r="Z258"/>
    </row>
    <row r="259" spans="1:26" x14ac:dyDescent="0.25">
      <c r="A259">
        <v>102784</v>
      </c>
      <c r="B259" t="s">
        <v>151</v>
      </c>
      <c r="C259" t="s">
        <v>152</v>
      </c>
      <c r="D259" t="s">
        <v>1281</v>
      </c>
      <c r="E259">
        <v>-4</v>
      </c>
      <c r="F259" s="105">
        <v>17351803.77</v>
      </c>
      <c r="G259" t="s">
        <v>86</v>
      </c>
      <c r="H259">
        <v>506094.28</v>
      </c>
      <c r="I259">
        <v>23316195.440000001</v>
      </c>
      <c r="J259" s="384">
        <v>42609.577209027775</v>
      </c>
      <c r="K259" s="384">
        <v>43529</v>
      </c>
      <c r="L259" t="s">
        <v>153</v>
      </c>
      <c r="M259" t="s">
        <v>1280</v>
      </c>
      <c r="N259" t="s">
        <v>1280</v>
      </c>
      <c r="O259" t="s">
        <v>44</v>
      </c>
      <c r="P259" t="s">
        <v>75</v>
      </c>
      <c r="Q259" t="s">
        <v>26</v>
      </c>
      <c r="R259" t="s">
        <v>2856</v>
      </c>
      <c r="S259">
        <v>25000000</v>
      </c>
      <c r="T259">
        <v>1050000000</v>
      </c>
      <c r="U259">
        <v>728775758.34000003</v>
      </c>
      <c r="Z259"/>
    </row>
    <row r="260" spans="1:26" x14ac:dyDescent="0.25">
      <c r="A260">
        <v>102787</v>
      </c>
      <c r="B260" t="s">
        <v>1415</v>
      </c>
      <c r="C260" t="s">
        <v>1416</v>
      </c>
      <c r="D260" t="s">
        <v>1283</v>
      </c>
      <c r="E260">
        <v>28</v>
      </c>
      <c r="F260" s="105">
        <v>30340886.210000001</v>
      </c>
      <c r="G260" t="s">
        <v>86</v>
      </c>
      <c r="H260">
        <v>1705634.76</v>
      </c>
      <c r="I260">
        <v>42997222.259999998</v>
      </c>
      <c r="J260" s="384">
        <v>42612.443188310186</v>
      </c>
      <c r="K260" s="384">
        <v>43711</v>
      </c>
      <c r="L260" t="s">
        <v>1417</v>
      </c>
      <c r="M260" t="s">
        <v>1418</v>
      </c>
      <c r="N260" t="s">
        <v>1280</v>
      </c>
      <c r="O260" t="s">
        <v>42</v>
      </c>
      <c r="P260" t="s">
        <v>1244</v>
      </c>
      <c r="Q260" t="s">
        <v>1813</v>
      </c>
      <c r="R260" t="s">
        <v>2856</v>
      </c>
      <c r="S260">
        <v>39000000</v>
      </c>
      <c r="T260">
        <v>1404000000</v>
      </c>
      <c r="U260">
        <v>1092271903.5599999</v>
      </c>
      <c r="Z260"/>
    </row>
    <row r="261" spans="1:26" x14ac:dyDescent="0.25">
      <c r="A261">
        <v>102788</v>
      </c>
      <c r="B261" t="s">
        <v>2806</v>
      </c>
      <c r="C261" t="s">
        <v>2813</v>
      </c>
      <c r="D261" t="s">
        <v>1284</v>
      </c>
      <c r="E261">
        <v>-4</v>
      </c>
      <c r="F261" s="105">
        <v>10293130.34</v>
      </c>
      <c r="G261" t="s">
        <v>2175</v>
      </c>
      <c r="H261">
        <v>285920.28999999998</v>
      </c>
      <c r="I261">
        <v>13649684.529999999</v>
      </c>
      <c r="J261" s="384">
        <v>42612.494395057867</v>
      </c>
      <c r="K261" s="384">
        <v>43529</v>
      </c>
      <c r="L261" t="s">
        <v>2814</v>
      </c>
      <c r="M261" t="s">
        <v>1280</v>
      </c>
      <c r="N261" t="s">
        <v>1280</v>
      </c>
      <c r="O261" t="s">
        <v>25</v>
      </c>
      <c r="P261" t="s">
        <v>101</v>
      </c>
      <c r="Q261" t="s">
        <v>26</v>
      </c>
      <c r="R261" t="s">
        <v>2636</v>
      </c>
      <c r="S261">
        <v>15000000</v>
      </c>
      <c r="T261">
        <v>600000000</v>
      </c>
      <c r="U261">
        <v>411725213.60000002</v>
      </c>
      <c r="Z261"/>
    </row>
    <row r="262" spans="1:26" x14ac:dyDescent="0.25">
      <c r="A262">
        <v>102791</v>
      </c>
      <c r="B262" t="s">
        <v>2808</v>
      </c>
      <c r="C262" t="s">
        <v>2815</v>
      </c>
      <c r="D262" t="s">
        <v>1279</v>
      </c>
      <c r="E262">
        <v>88</v>
      </c>
      <c r="F262" s="105">
        <v>547912.62</v>
      </c>
      <c r="G262" t="s">
        <v>2494</v>
      </c>
      <c r="H262">
        <v>13754.13</v>
      </c>
      <c r="I262">
        <v>562141.03</v>
      </c>
      <c r="J262" s="384">
        <v>42612.721365590274</v>
      </c>
      <c r="K262" s="384">
        <v>42981</v>
      </c>
      <c r="L262" t="s">
        <v>2816</v>
      </c>
      <c r="M262" t="s">
        <v>2817</v>
      </c>
      <c r="N262" t="s">
        <v>1280</v>
      </c>
      <c r="O262" t="s">
        <v>25</v>
      </c>
      <c r="P262" t="s">
        <v>26</v>
      </c>
      <c r="Q262" t="s">
        <v>26</v>
      </c>
      <c r="R262" t="s">
        <v>2636</v>
      </c>
      <c r="S262">
        <v>3000000</v>
      </c>
      <c r="T262">
        <v>162000000</v>
      </c>
      <c r="U262">
        <v>29587281.48</v>
      </c>
      <c r="Z262"/>
    </row>
    <row r="263" spans="1:26" x14ac:dyDescent="0.25">
      <c r="A263">
        <v>102793</v>
      </c>
      <c r="B263" t="s">
        <v>2831</v>
      </c>
      <c r="C263" t="s">
        <v>2833</v>
      </c>
      <c r="D263" t="s">
        <v>1281</v>
      </c>
      <c r="E263">
        <v>-2</v>
      </c>
      <c r="F263" s="105">
        <v>16149890.470000001</v>
      </c>
      <c r="G263" t="s">
        <v>1191</v>
      </c>
      <c r="H263">
        <v>581396.06000000006</v>
      </c>
      <c r="I263">
        <v>20278439.32</v>
      </c>
      <c r="J263" s="384">
        <v>42613.480887962964</v>
      </c>
      <c r="K263" s="384">
        <v>43346</v>
      </c>
      <c r="L263" t="s">
        <v>2834</v>
      </c>
      <c r="M263" t="s">
        <v>1280</v>
      </c>
      <c r="N263" t="s">
        <v>1280</v>
      </c>
      <c r="O263" t="s">
        <v>44</v>
      </c>
      <c r="P263" t="s">
        <v>75</v>
      </c>
      <c r="Q263" t="s">
        <v>26</v>
      </c>
      <c r="R263" t="s">
        <v>2636</v>
      </c>
      <c r="S263">
        <v>28000000</v>
      </c>
      <c r="T263">
        <v>1344000000</v>
      </c>
      <c r="U263">
        <v>775194742.55999994</v>
      </c>
      <c r="Z263"/>
    </row>
    <row r="264" spans="1:26" x14ac:dyDescent="0.25">
      <c r="A264">
        <v>102795</v>
      </c>
      <c r="B264" t="s">
        <v>1239</v>
      </c>
      <c r="C264" t="s">
        <v>1245</v>
      </c>
      <c r="D264" t="s">
        <v>1284</v>
      </c>
      <c r="E264">
        <v>-4</v>
      </c>
      <c r="F264" s="105">
        <v>13672713.18</v>
      </c>
      <c r="G264" t="s">
        <v>491</v>
      </c>
      <c r="H264">
        <v>341817.83</v>
      </c>
      <c r="I264">
        <v>22271143.579999998</v>
      </c>
      <c r="J264" s="384">
        <v>42613.501085497686</v>
      </c>
      <c r="K264" s="384">
        <v>44079</v>
      </c>
      <c r="L264" t="s">
        <v>1246</v>
      </c>
      <c r="M264" t="s">
        <v>1280</v>
      </c>
      <c r="N264" t="s">
        <v>1280</v>
      </c>
      <c r="O264" t="s">
        <v>44</v>
      </c>
      <c r="P264" t="s">
        <v>75</v>
      </c>
      <c r="Q264" t="s">
        <v>26</v>
      </c>
      <c r="R264" t="s">
        <v>2856</v>
      </c>
      <c r="S264">
        <v>16000000</v>
      </c>
      <c r="T264">
        <v>576000000</v>
      </c>
      <c r="U264">
        <v>492217674.48000002</v>
      </c>
      <c r="Z264"/>
    </row>
    <row r="265" spans="1:26" x14ac:dyDescent="0.25">
      <c r="A265">
        <v>102796</v>
      </c>
      <c r="B265" t="s">
        <v>2830</v>
      </c>
      <c r="C265" t="s">
        <v>2835</v>
      </c>
      <c r="D265" t="s">
        <v>1279</v>
      </c>
      <c r="E265">
        <v>88</v>
      </c>
      <c r="F265" s="105">
        <v>500441.74</v>
      </c>
      <c r="G265" t="s">
        <v>468</v>
      </c>
      <c r="H265">
        <v>16046.49</v>
      </c>
      <c r="I265">
        <v>517041.56</v>
      </c>
      <c r="J265" s="384">
        <v>42613.622245254628</v>
      </c>
      <c r="K265" s="384">
        <v>42981</v>
      </c>
      <c r="L265" t="s">
        <v>2836</v>
      </c>
      <c r="M265" t="s">
        <v>2837</v>
      </c>
      <c r="N265" t="s">
        <v>1280</v>
      </c>
      <c r="O265" t="s">
        <v>44</v>
      </c>
      <c r="P265" t="s">
        <v>75</v>
      </c>
      <c r="Q265" t="s">
        <v>26</v>
      </c>
      <c r="R265" t="s">
        <v>2856</v>
      </c>
      <c r="S265">
        <v>3500000</v>
      </c>
      <c r="T265">
        <v>189000000</v>
      </c>
      <c r="U265">
        <v>27023853.960000001</v>
      </c>
      <c r="Z265"/>
    </row>
    <row r="266" spans="1:26" x14ac:dyDescent="0.25">
      <c r="A266">
        <v>102797</v>
      </c>
      <c r="B266" t="s">
        <v>2829</v>
      </c>
      <c r="C266" t="s">
        <v>2838</v>
      </c>
      <c r="D266" t="s">
        <v>1279</v>
      </c>
      <c r="E266">
        <v>118</v>
      </c>
      <c r="F266" s="105">
        <v>302766.58</v>
      </c>
      <c r="G266" t="s">
        <v>86</v>
      </c>
      <c r="H266">
        <v>-592.69000000000005</v>
      </c>
      <c r="I266">
        <v>329692.13</v>
      </c>
      <c r="J266" s="384">
        <v>42613.657020451392</v>
      </c>
      <c r="K266" s="384">
        <v>42981</v>
      </c>
      <c r="L266" t="s">
        <v>2839</v>
      </c>
      <c r="M266" t="s">
        <v>2840</v>
      </c>
      <c r="N266" t="s">
        <v>1280</v>
      </c>
      <c r="O266" t="s">
        <v>44</v>
      </c>
      <c r="P266" t="s">
        <v>75</v>
      </c>
      <c r="Q266" t="s">
        <v>26</v>
      </c>
      <c r="R266" t="s">
        <v>2636</v>
      </c>
      <c r="S266">
        <v>1000000</v>
      </c>
      <c r="T266">
        <v>54000000</v>
      </c>
      <c r="U266">
        <v>16349395.32</v>
      </c>
      <c r="Z266"/>
    </row>
    <row r="267" spans="1:26" x14ac:dyDescent="0.25">
      <c r="A267">
        <v>102799</v>
      </c>
      <c r="B267" t="s">
        <v>2825</v>
      </c>
      <c r="C267" t="s">
        <v>2843</v>
      </c>
      <c r="D267" t="s">
        <v>1279</v>
      </c>
      <c r="E267">
        <v>118</v>
      </c>
      <c r="F267" s="105">
        <v>605533.28</v>
      </c>
      <c r="G267" t="s">
        <v>5725</v>
      </c>
      <c r="H267">
        <v>44469.86</v>
      </c>
      <c r="I267">
        <v>660107.5</v>
      </c>
      <c r="J267" s="384">
        <v>42613.756618981482</v>
      </c>
      <c r="K267" s="384">
        <v>42981</v>
      </c>
      <c r="L267" t="s">
        <v>2844</v>
      </c>
      <c r="M267" t="s">
        <v>1280</v>
      </c>
      <c r="N267" t="s">
        <v>1280</v>
      </c>
      <c r="O267" t="s">
        <v>25</v>
      </c>
      <c r="P267" t="s">
        <v>286</v>
      </c>
      <c r="Q267" t="s">
        <v>287</v>
      </c>
      <c r="R267" t="s">
        <v>2636</v>
      </c>
      <c r="S267">
        <v>2000000</v>
      </c>
      <c r="T267">
        <v>108000000</v>
      </c>
      <c r="U267">
        <v>32698797.120000001</v>
      </c>
      <c r="Z267"/>
    </row>
    <row r="268" spans="1:26" x14ac:dyDescent="0.25">
      <c r="A268">
        <v>102801</v>
      </c>
      <c r="B268" t="s">
        <v>2852</v>
      </c>
      <c r="C268" t="s">
        <v>2853</v>
      </c>
      <c r="D268" t="s">
        <v>1284</v>
      </c>
      <c r="E268">
        <v>-2</v>
      </c>
      <c r="F268" s="105">
        <v>4456249.9000000004</v>
      </c>
      <c r="G268" t="s">
        <v>1467</v>
      </c>
      <c r="H268">
        <v>133687.5</v>
      </c>
      <c r="I268">
        <v>5396100.25</v>
      </c>
      <c r="J268" s="384">
        <v>42614.517180937502</v>
      </c>
      <c r="K268" s="384">
        <v>43346</v>
      </c>
      <c r="L268" t="s">
        <v>2854</v>
      </c>
      <c r="M268" t="s">
        <v>1280</v>
      </c>
      <c r="N268" t="s">
        <v>1280</v>
      </c>
      <c r="O268" t="s">
        <v>25</v>
      </c>
      <c r="P268" t="s">
        <v>106</v>
      </c>
      <c r="Q268" t="s">
        <v>704</v>
      </c>
      <c r="R268" t="s">
        <v>2636</v>
      </c>
      <c r="S268">
        <v>8000000</v>
      </c>
      <c r="T268">
        <v>320000000</v>
      </c>
      <c r="U268">
        <v>178249996</v>
      </c>
      <c r="Z268"/>
    </row>
    <row r="269" spans="1:26" x14ac:dyDescent="0.25">
      <c r="A269">
        <v>102803</v>
      </c>
      <c r="B269" t="s">
        <v>84</v>
      </c>
      <c r="C269" t="s">
        <v>243</v>
      </c>
      <c r="D269" t="s">
        <v>1281</v>
      </c>
      <c r="E269">
        <v>-4</v>
      </c>
      <c r="F269" s="105">
        <v>8989052.5099999998</v>
      </c>
      <c r="G269" t="s">
        <v>86</v>
      </c>
      <c r="H269">
        <v>262180.7</v>
      </c>
      <c r="I269">
        <v>10984726.640000001</v>
      </c>
      <c r="J269" s="384">
        <v>42616.578436493059</v>
      </c>
      <c r="K269" s="384">
        <v>43348</v>
      </c>
      <c r="L269" t="s">
        <v>244</v>
      </c>
      <c r="M269" t="s">
        <v>245</v>
      </c>
      <c r="N269" t="s">
        <v>1280</v>
      </c>
      <c r="O269" t="s">
        <v>25</v>
      </c>
      <c r="P269" t="s">
        <v>26</v>
      </c>
      <c r="Q269" t="s">
        <v>26</v>
      </c>
      <c r="R269" t="s">
        <v>2856</v>
      </c>
      <c r="S269">
        <v>16000000</v>
      </c>
      <c r="T269">
        <v>672000000</v>
      </c>
      <c r="U269">
        <v>377540205.42000002</v>
      </c>
      <c r="Z269"/>
    </row>
    <row r="270" spans="1:26" x14ac:dyDescent="0.25">
      <c r="A270">
        <v>102807</v>
      </c>
      <c r="B270" t="s">
        <v>993</v>
      </c>
      <c r="C270" t="s">
        <v>998</v>
      </c>
      <c r="D270" t="s">
        <v>1284</v>
      </c>
      <c r="E270">
        <v>-9</v>
      </c>
      <c r="F270" s="105">
        <v>18829491.420000002</v>
      </c>
      <c r="G270" t="s">
        <v>491</v>
      </c>
      <c r="H270">
        <v>559974.76</v>
      </c>
      <c r="I270">
        <v>26337181.809999999</v>
      </c>
      <c r="J270" s="384">
        <v>42623.615724421295</v>
      </c>
      <c r="K270" s="384">
        <v>43718</v>
      </c>
      <c r="L270" t="s">
        <v>999</v>
      </c>
      <c r="M270" t="s">
        <v>1000</v>
      </c>
      <c r="N270" t="s">
        <v>1280</v>
      </c>
      <c r="O270" t="s">
        <v>36</v>
      </c>
      <c r="P270" t="s">
        <v>97</v>
      </c>
      <c r="Q270" t="s">
        <v>98</v>
      </c>
      <c r="R270" t="s">
        <v>2856</v>
      </c>
      <c r="S270">
        <v>25000000</v>
      </c>
      <c r="T270">
        <v>900000000</v>
      </c>
      <c r="U270">
        <v>677861691.12</v>
      </c>
      <c r="Z270"/>
    </row>
    <row r="271" spans="1:26" x14ac:dyDescent="0.25">
      <c r="A271">
        <v>102809</v>
      </c>
      <c r="B271" t="s">
        <v>2233</v>
      </c>
      <c r="C271" t="s">
        <v>2238</v>
      </c>
      <c r="D271" t="s">
        <v>1281</v>
      </c>
      <c r="E271">
        <v>-12</v>
      </c>
      <c r="F271" s="105">
        <v>5626628.2199999997</v>
      </c>
      <c r="G271" t="s">
        <v>468</v>
      </c>
      <c r="H271">
        <v>356770.76</v>
      </c>
      <c r="I271">
        <v>6319466.2699999996</v>
      </c>
      <c r="J271" s="384">
        <v>42626.617915509261</v>
      </c>
      <c r="K271" s="384">
        <v>43172</v>
      </c>
      <c r="L271" t="s">
        <v>2239</v>
      </c>
      <c r="M271" t="s">
        <v>1280</v>
      </c>
      <c r="N271" t="s">
        <v>1280</v>
      </c>
      <c r="O271" t="s">
        <v>36</v>
      </c>
      <c r="P271" t="s">
        <v>97</v>
      </c>
      <c r="Q271" t="s">
        <v>98</v>
      </c>
      <c r="R271" t="s">
        <v>2856</v>
      </c>
      <c r="S271">
        <v>16000000</v>
      </c>
      <c r="T271">
        <v>768000000</v>
      </c>
      <c r="U271">
        <v>270078154.56</v>
      </c>
      <c r="Z271"/>
    </row>
    <row r="272" spans="1:26" x14ac:dyDescent="0.25">
      <c r="A272">
        <v>102812</v>
      </c>
      <c r="B272" t="s">
        <v>2910</v>
      </c>
      <c r="C272" t="s">
        <v>2911</v>
      </c>
      <c r="D272" t="s">
        <v>1282</v>
      </c>
      <c r="E272">
        <v>-14</v>
      </c>
      <c r="F272" s="105">
        <v>5883846.4699999997</v>
      </c>
      <c r="G272" t="s">
        <v>86</v>
      </c>
      <c r="H272">
        <v>132386.54999999999</v>
      </c>
      <c r="I272">
        <v>7588573.2999999998</v>
      </c>
      <c r="J272" s="384">
        <v>42628.641779942132</v>
      </c>
      <c r="K272" s="384">
        <v>43358</v>
      </c>
      <c r="L272" t="s">
        <v>2912</v>
      </c>
      <c r="M272" t="s">
        <v>1280</v>
      </c>
      <c r="N272" t="s">
        <v>1280</v>
      </c>
      <c r="O272" t="s">
        <v>36</v>
      </c>
      <c r="P272" t="s">
        <v>97</v>
      </c>
      <c r="Q272" t="s">
        <v>98</v>
      </c>
      <c r="R272" t="s">
        <v>2636</v>
      </c>
      <c r="S272">
        <v>10000000</v>
      </c>
      <c r="T272">
        <v>540000000</v>
      </c>
      <c r="U272">
        <v>317727709.38</v>
      </c>
      <c r="Z272"/>
    </row>
    <row r="273" spans="1:26" x14ac:dyDescent="0.25">
      <c r="A273">
        <v>102813</v>
      </c>
      <c r="B273" t="s">
        <v>1563</v>
      </c>
      <c r="C273" t="s">
        <v>1592</v>
      </c>
      <c r="D273" t="s">
        <v>1284</v>
      </c>
      <c r="E273">
        <v>15</v>
      </c>
      <c r="F273" s="105">
        <v>32834734.219999999</v>
      </c>
      <c r="G273" t="s">
        <v>546</v>
      </c>
      <c r="H273">
        <v>1384777.3</v>
      </c>
      <c r="I273">
        <v>54089708.719999999</v>
      </c>
      <c r="J273" s="384">
        <v>42629.37976851852</v>
      </c>
      <c r="K273" s="384">
        <v>44090</v>
      </c>
      <c r="L273" t="s">
        <v>1593</v>
      </c>
      <c r="M273" t="s">
        <v>1280</v>
      </c>
      <c r="N273" t="s">
        <v>1280</v>
      </c>
      <c r="O273" t="s">
        <v>44</v>
      </c>
      <c r="P273" t="s">
        <v>75</v>
      </c>
      <c r="Q273" t="s">
        <v>26</v>
      </c>
      <c r="R273" t="s">
        <v>2856</v>
      </c>
      <c r="S273">
        <v>38000000</v>
      </c>
      <c r="T273">
        <v>1368000000</v>
      </c>
      <c r="U273">
        <v>1182050431.9200001</v>
      </c>
      <c r="Z273"/>
    </row>
    <row r="274" spans="1:26" x14ac:dyDescent="0.25">
      <c r="A274">
        <v>102815</v>
      </c>
      <c r="B274" t="s">
        <v>2917</v>
      </c>
      <c r="C274" t="s">
        <v>2918</v>
      </c>
      <c r="D274" t="s">
        <v>1279</v>
      </c>
      <c r="E274">
        <v>45</v>
      </c>
      <c r="F274" s="105">
        <v>1973998.11</v>
      </c>
      <c r="G274" t="s">
        <v>1467</v>
      </c>
      <c r="H274">
        <v>118640.74</v>
      </c>
      <c r="I274">
        <v>2157279.86</v>
      </c>
      <c r="J274" s="384">
        <v>42629.536900312502</v>
      </c>
      <c r="K274" s="384">
        <v>43085</v>
      </c>
      <c r="L274" t="s">
        <v>2919</v>
      </c>
      <c r="M274" t="s">
        <v>2920</v>
      </c>
      <c r="N274" t="s">
        <v>1280</v>
      </c>
      <c r="O274" t="s">
        <v>25</v>
      </c>
      <c r="P274" t="s">
        <v>103</v>
      </c>
      <c r="Q274" t="s">
        <v>104</v>
      </c>
      <c r="R274" t="s">
        <v>2636</v>
      </c>
      <c r="S274">
        <v>6000000</v>
      </c>
      <c r="T274">
        <v>300000000</v>
      </c>
      <c r="U274">
        <v>98699905.5</v>
      </c>
      <c r="Z274"/>
    </row>
    <row r="275" spans="1:26" x14ac:dyDescent="0.25">
      <c r="A275">
        <v>102820</v>
      </c>
      <c r="B275" t="s">
        <v>351</v>
      </c>
      <c r="C275" t="s">
        <v>353</v>
      </c>
      <c r="D275" t="s">
        <v>1284</v>
      </c>
      <c r="E275">
        <v>-23</v>
      </c>
      <c r="F275" s="105">
        <v>21252828.609999999</v>
      </c>
      <c r="G275" t="s">
        <v>1039</v>
      </c>
      <c r="H275">
        <v>127516.97</v>
      </c>
      <c r="I275">
        <v>29726751.399999999</v>
      </c>
      <c r="J275" s="384">
        <v>42629.669620335648</v>
      </c>
      <c r="K275" s="384">
        <v>43732</v>
      </c>
      <c r="L275" t="s">
        <v>354</v>
      </c>
      <c r="M275" t="s">
        <v>1280</v>
      </c>
      <c r="N275" t="s">
        <v>1280</v>
      </c>
      <c r="O275" t="s">
        <v>44</v>
      </c>
      <c r="P275" t="s">
        <v>75</v>
      </c>
      <c r="Q275" t="s">
        <v>26</v>
      </c>
      <c r="R275" t="s">
        <v>2856</v>
      </c>
      <c r="S275">
        <v>28000000</v>
      </c>
      <c r="T275">
        <v>1008000000</v>
      </c>
      <c r="U275">
        <v>765101829.96000004</v>
      </c>
      <c r="Z275"/>
    </row>
    <row r="276" spans="1:26" x14ac:dyDescent="0.25">
      <c r="A276">
        <v>102824</v>
      </c>
      <c r="B276" t="s">
        <v>2928</v>
      </c>
      <c r="C276" t="s">
        <v>2929</v>
      </c>
      <c r="D276" t="s">
        <v>1282</v>
      </c>
      <c r="E276">
        <v>-18</v>
      </c>
      <c r="F276" s="105">
        <v>902545.23</v>
      </c>
      <c r="G276" t="s">
        <v>2538</v>
      </c>
      <c r="H276">
        <v>14892</v>
      </c>
      <c r="I276">
        <v>1027961.3</v>
      </c>
      <c r="J276" s="384">
        <v>42632.60021689815</v>
      </c>
      <c r="K276" s="384">
        <v>43178</v>
      </c>
      <c r="L276" t="s">
        <v>2930</v>
      </c>
      <c r="M276" t="s">
        <v>1280</v>
      </c>
      <c r="N276" t="s">
        <v>1280</v>
      </c>
      <c r="O276" t="s">
        <v>44</v>
      </c>
      <c r="P276" t="s">
        <v>75</v>
      </c>
      <c r="Q276" t="s">
        <v>1442</v>
      </c>
      <c r="R276" t="s">
        <v>2636</v>
      </c>
      <c r="S276">
        <v>2500000</v>
      </c>
      <c r="T276">
        <v>135000000</v>
      </c>
      <c r="U276">
        <v>48737442.420000002</v>
      </c>
      <c r="Z276"/>
    </row>
    <row r="277" spans="1:26" x14ac:dyDescent="0.25">
      <c r="A277">
        <v>102828</v>
      </c>
      <c r="B277" t="s">
        <v>694</v>
      </c>
      <c r="C277" t="s">
        <v>695</v>
      </c>
      <c r="D277" t="s">
        <v>1281</v>
      </c>
      <c r="E277">
        <v>71</v>
      </c>
      <c r="F277" s="105">
        <v>13029039.82</v>
      </c>
      <c r="G277" t="s">
        <v>468</v>
      </c>
      <c r="H277">
        <v>848132.38</v>
      </c>
      <c r="I277">
        <v>15163368.16</v>
      </c>
      <c r="J277" s="384">
        <v>42633.671304826392</v>
      </c>
      <c r="K277" s="384">
        <v>43179</v>
      </c>
      <c r="L277" t="s">
        <v>696</v>
      </c>
      <c r="M277" t="s">
        <v>1280</v>
      </c>
      <c r="N277" t="s">
        <v>1280</v>
      </c>
      <c r="O277" t="s">
        <v>25</v>
      </c>
      <c r="P277" t="s">
        <v>32</v>
      </c>
      <c r="Q277" t="s">
        <v>517</v>
      </c>
      <c r="R277" t="s">
        <v>2856</v>
      </c>
      <c r="S277">
        <v>25000000</v>
      </c>
      <c r="T277">
        <v>1050000000</v>
      </c>
      <c r="U277">
        <v>547219672.44000006</v>
      </c>
      <c r="Z277"/>
    </row>
    <row r="278" spans="1:26" x14ac:dyDescent="0.25">
      <c r="A278">
        <v>102835</v>
      </c>
      <c r="B278" t="s">
        <v>2942</v>
      </c>
      <c r="C278" t="s">
        <v>2943</v>
      </c>
      <c r="D278" t="s">
        <v>1283</v>
      </c>
      <c r="E278">
        <v>90</v>
      </c>
      <c r="F278" s="105">
        <v>27303712.030000001</v>
      </c>
      <c r="G278" t="s">
        <v>5724</v>
      </c>
      <c r="H278">
        <v>1836120.05</v>
      </c>
      <c r="I278">
        <v>35139524.329999998</v>
      </c>
      <c r="J278" s="384">
        <v>42637.580909259261</v>
      </c>
      <c r="K278" s="384">
        <v>43374</v>
      </c>
      <c r="L278" t="s">
        <v>2944</v>
      </c>
      <c r="M278" t="s">
        <v>2945</v>
      </c>
      <c r="N278" t="s">
        <v>1280</v>
      </c>
      <c r="O278" t="s">
        <v>45</v>
      </c>
      <c r="P278" t="s">
        <v>45</v>
      </c>
      <c r="Q278" t="s">
        <v>89</v>
      </c>
      <c r="R278" t="s">
        <v>2636</v>
      </c>
      <c r="S278">
        <v>38000000</v>
      </c>
      <c r="T278">
        <v>1520000000</v>
      </c>
      <c r="U278">
        <v>1092148481.2</v>
      </c>
      <c r="Z278"/>
    </row>
    <row r="279" spans="1:26" x14ac:dyDescent="0.25">
      <c r="A279">
        <v>102838</v>
      </c>
      <c r="B279" t="s">
        <v>3024</v>
      </c>
      <c r="C279" t="s">
        <v>3025</v>
      </c>
      <c r="D279" t="s">
        <v>1281</v>
      </c>
      <c r="E279">
        <v>0</v>
      </c>
      <c r="F279" s="105">
        <v>10504379.949999999</v>
      </c>
      <c r="G279" t="s">
        <v>2538</v>
      </c>
      <c r="H279">
        <v>406169.36</v>
      </c>
      <c r="I279">
        <v>13431174.109999999</v>
      </c>
      <c r="J279" s="384">
        <v>42641.698485300927</v>
      </c>
      <c r="K279" s="384">
        <v>43374</v>
      </c>
      <c r="L279" t="s">
        <v>3026</v>
      </c>
      <c r="M279" t="s">
        <v>1280</v>
      </c>
      <c r="N279" t="s">
        <v>1280</v>
      </c>
      <c r="O279" t="s">
        <v>29</v>
      </c>
      <c r="P279" t="s">
        <v>96</v>
      </c>
      <c r="Q279" t="s">
        <v>26</v>
      </c>
      <c r="R279" t="s">
        <v>2636</v>
      </c>
      <c r="S279">
        <v>17000000</v>
      </c>
      <c r="T279">
        <v>816000000</v>
      </c>
      <c r="U279">
        <v>504210237.60000002</v>
      </c>
      <c r="Z279"/>
    </row>
    <row r="280" spans="1:26" x14ac:dyDescent="0.25">
      <c r="A280">
        <v>102841</v>
      </c>
      <c r="B280" t="s">
        <v>3052</v>
      </c>
      <c r="C280" t="s">
        <v>3054</v>
      </c>
      <c r="D280" t="s">
        <v>1284</v>
      </c>
      <c r="E280">
        <v>28</v>
      </c>
      <c r="F280" s="105">
        <v>1492287.63</v>
      </c>
      <c r="G280" t="s">
        <v>491</v>
      </c>
      <c r="H280">
        <v>147624.15</v>
      </c>
      <c r="I280">
        <v>1539061.09</v>
      </c>
      <c r="J280" s="384">
        <v>42643.590179548613</v>
      </c>
      <c r="K280" s="384">
        <v>43011</v>
      </c>
      <c r="L280" t="s">
        <v>3055</v>
      </c>
      <c r="M280" t="s">
        <v>3056</v>
      </c>
      <c r="N280" t="s">
        <v>1280</v>
      </c>
      <c r="O280" t="s">
        <v>45</v>
      </c>
      <c r="P280" t="s">
        <v>45</v>
      </c>
      <c r="Q280" t="s">
        <v>89</v>
      </c>
      <c r="R280" t="s">
        <v>2636</v>
      </c>
      <c r="S280">
        <v>15000000</v>
      </c>
      <c r="T280">
        <v>600000000</v>
      </c>
      <c r="U280">
        <v>59691505.200000003</v>
      </c>
      <c r="Z280"/>
    </row>
    <row r="281" spans="1:26" x14ac:dyDescent="0.25">
      <c r="A281">
        <v>102843</v>
      </c>
      <c r="B281" t="s">
        <v>3050</v>
      </c>
      <c r="C281" t="s">
        <v>3057</v>
      </c>
      <c r="D281" t="s">
        <v>1279</v>
      </c>
      <c r="E281">
        <v>30</v>
      </c>
      <c r="F281" s="105">
        <v>226805.78</v>
      </c>
      <c r="G281" t="s">
        <v>2034</v>
      </c>
      <c r="H281">
        <v>0</v>
      </c>
      <c r="I281">
        <v>226805.78</v>
      </c>
      <c r="J281" s="384">
        <v>42643.759618668984</v>
      </c>
      <c r="K281" s="384">
        <v>43009</v>
      </c>
      <c r="L281" t="s">
        <v>3058</v>
      </c>
      <c r="M281" t="s">
        <v>3295</v>
      </c>
      <c r="N281" t="s">
        <v>1280</v>
      </c>
      <c r="O281" t="s">
        <v>44</v>
      </c>
      <c r="P281" t="s">
        <v>75</v>
      </c>
      <c r="Q281" t="s">
        <v>26</v>
      </c>
      <c r="R281" t="s">
        <v>2636</v>
      </c>
      <c r="S281">
        <v>2500000</v>
      </c>
      <c r="T281">
        <v>135000000</v>
      </c>
      <c r="U281">
        <v>12247512.119999999</v>
      </c>
      <c r="Z281"/>
    </row>
    <row r="282" spans="1:26" x14ac:dyDescent="0.25">
      <c r="A282">
        <v>102845</v>
      </c>
      <c r="B282" t="s">
        <v>3049</v>
      </c>
      <c r="C282" t="s">
        <v>3062</v>
      </c>
      <c r="D282" t="s">
        <v>1284</v>
      </c>
      <c r="E282">
        <v>-2</v>
      </c>
      <c r="F282" s="105">
        <v>9465690.0199999996</v>
      </c>
      <c r="G282" t="s">
        <v>491</v>
      </c>
      <c r="H282">
        <v>283970.7</v>
      </c>
      <c r="I282">
        <v>13900419.26</v>
      </c>
      <c r="J282" s="384">
        <v>42643.508438425924</v>
      </c>
      <c r="K282" s="384">
        <v>43741</v>
      </c>
      <c r="L282" t="s">
        <v>3063</v>
      </c>
      <c r="M282" t="s">
        <v>1280</v>
      </c>
      <c r="N282" t="s">
        <v>1280</v>
      </c>
      <c r="O282" t="s">
        <v>44</v>
      </c>
      <c r="P282" t="s">
        <v>75</v>
      </c>
      <c r="Q282" t="s">
        <v>1442</v>
      </c>
      <c r="R282" t="s">
        <v>2636</v>
      </c>
      <c r="S282">
        <v>12000000</v>
      </c>
      <c r="T282">
        <v>480000000</v>
      </c>
      <c r="U282">
        <v>378627600.80000001</v>
      </c>
      <c r="Z282"/>
    </row>
    <row r="283" spans="1:26" x14ac:dyDescent="0.25">
      <c r="A283">
        <v>102848</v>
      </c>
      <c r="B283" t="s">
        <v>185</v>
      </c>
      <c r="C283" t="s">
        <v>186</v>
      </c>
      <c r="D283" t="s">
        <v>1283</v>
      </c>
      <c r="E283">
        <v>-4</v>
      </c>
      <c r="F283" s="105">
        <v>38204283.869999997</v>
      </c>
      <c r="G283" t="s">
        <v>963</v>
      </c>
      <c r="H283">
        <v>955107.1</v>
      </c>
      <c r="I283">
        <v>46056984.359999999</v>
      </c>
      <c r="J283" s="384">
        <v>42648.49790667824</v>
      </c>
      <c r="K283" s="384">
        <v>43378</v>
      </c>
      <c r="L283" t="s">
        <v>187</v>
      </c>
      <c r="M283" t="s">
        <v>1280</v>
      </c>
      <c r="N283" t="s">
        <v>188</v>
      </c>
      <c r="O283" t="s">
        <v>27</v>
      </c>
      <c r="P283" t="s">
        <v>116</v>
      </c>
      <c r="Q283" t="s">
        <v>26</v>
      </c>
      <c r="R283" t="s">
        <v>2856</v>
      </c>
      <c r="S283">
        <v>65000000</v>
      </c>
      <c r="T283">
        <v>2340000000</v>
      </c>
      <c r="U283">
        <v>1375354219.3199999</v>
      </c>
      <c r="Z283"/>
    </row>
    <row r="284" spans="1:26" x14ac:dyDescent="0.25">
      <c r="A284">
        <v>102849</v>
      </c>
      <c r="B284" t="s">
        <v>3103</v>
      </c>
      <c r="C284" t="s">
        <v>3104</v>
      </c>
      <c r="D284" t="s">
        <v>1284</v>
      </c>
      <c r="E284">
        <v>-6</v>
      </c>
      <c r="F284" s="105">
        <v>25079025.140000001</v>
      </c>
      <c r="G284" t="s">
        <v>2494</v>
      </c>
      <c r="H284">
        <v>640908.42000000004</v>
      </c>
      <c r="I284">
        <v>30838618.739999998</v>
      </c>
      <c r="J284" s="384">
        <v>42650.479875925928</v>
      </c>
      <c r="K284" s="384">
        <v>43380</v>
      </c>
      <c r="L284" t="s">
        <v>3105</v>
      </c>
      <c r="M284" t="s">
        <v>3106</v>
      </c>
      <c r="N284" t="s">
        <v>1280</v>
      </c>
      <c r="O284" t="s">
        <v>31</v>
      </c>
      <c r="P284" t="s">
        <v>509</v>
      </c>
      <c r="Q284" t="s">
        <v>26</v>
      </c>
      <c r="R284" t="s">
        <v>2636</v>
      </c>
      <c r="S284">
        <v>42000000</v>
      </c>
      <c r="T284">
        <v>1680000000</v>
      </c>
      <c r="U284">
        <v>1003161005.6</v>
      </c>
      <c r="Z284"/>
    </row>
    <row r="285" spans="1:26" x14ac:dyDescent="0.25">
      <c r="A285">
        <v>102850</v>
      </c>
      <c r="B285" t="s">
        <v>3102</v>
      </c>
      <c r="C285" t="s">
        <v>3107</v>
      </c>
      <c r="D285" t="s">
        <v>1282</v>
      </c>
      <c r="E285">
        <v>-6</v>
      </c>
      <c r="F285" s="105">
        <v>3071598.41</v>
      </c>
      <c r="G285" t="s">
        <v>2494</v>
      </c>
      <c r="H285">
        <v>105970.15</v>
      </c>
      <c r="I285">
        <v>3352097.02</v>
      </c>
      <c r="J285" s="384">
        <v>42650.610318055558</v>
      </c>
      <c r="K285" s="384">
        <v>43107</v>
      </c>
      <c r="L285" t="s">
        <v>3108</v>
      </c>
      <c r="M285" t="s">
        <v>3109</v>
      </c>
      <c r="N285" t="s">
        <v>1280</v>
      </c>
      <c r="O285" t="s">
        <v>44</v>
      </c>
      <c r="P285" t="s">
        <v>75</v>
      </c>
      <c r="Q285" t="s">
        <v>1442</v>
      </c>
      <c r="R285" t="s">
        <v>2636</v>
      </c>
      <c r="S285">
        <v>12000000</v>
      </c>
      <c r="T285">
        <v>648000000</v>
      </c>
      <c r="U285">
        <v>165866314.13999999</v>
      </c>
      <c r="Z285"/>
    </row>
    <row r="286" spans="1:26" x14ac:dyDescent="0.25">
      <c r="A286">
        <v>102852</v>
      </c>
      <c r="B286" t="s">
        <v>1410</v>
      </c>
      <c r="C286" t="s">
        <v>2841</v>
      </c>
      <c r="D286" t="s">
        <v>1285</v>
      </c>
      <c r="E286">
        <v>-19</v>
      </c>
      <c r="F286" s="105">
        <v>2542420</v>
      </c>
      <c r="G286" t="s">
        <v>284</v>
      </c>
      <c r="H286">
        <v>17655.689999999999</v>
      </c>
      <c r="I286">
        <v>2899707.41</v>
      </c>
      <c r="J286" s="384">
        <v>42654.569900925926</v>
      </c>
      <c r="K286" s="384">
        <v>43393</v>
      </c>
      <c r="L286" t="s">
        <v>2842</v>
      </c>
      <c r="M286" t="s">
        <v>1280</v>
      </c>
      <c r="N286" t="s">
        <v>1280</v>
      </c>
      <c r="O286" t="s">
        <v>43</v>
      </c>
      <c r="P286" t="s">
        <v>338</v>
      </c>
      <c r="Q286" t="s">
        <v>339</v>
      </c>
      <c r="R286" t="s">
        <v>2636</v>
      </c>
      <c r="S286">
        <v>4500000</v>
      </c>
      <c r="T286">
        <v>112500000</v>
      </c>
      <c r="U286">
        <v>63560500</v>
      </c>
      <c r="Z286"/>
    </row>
    <row r="287" spans="1:26" x14ac:dyDescent="0.25">
      <c r="A287">
        <v>102854</v>
      </c>
      <c r="B287" t="s">
        <v>926</v>
      </c>
      <c r="C287" t="s">
        <v>942</v>
      </c>
      <c r="D287" t="s">
        <v>1283</v>
      </c>
      <c r="E287">
        <v>19</v>
      </c>
      <c r="F287" s="105">
        <v>51843235.170000002</v>
      </c>
      <c r="G287" t="s">
        <v>90</v>
      </c>
      <c r="H287">
        <v>1974620.06</v>
      </c>
      <c r="I287">
        <v>73942905.519999996</v>
      </c>
      <c r="J287" s="384">
        <v>42655.686754247683</v>
      </c>
      <c r="K287" s="384">
        <v>43750</v>
      </c>
      <c r="L287" t="s">
        <v>943</v>
      </c>
      <c r="M287" t="s">
        <v>1280</v>
      </c>
      <c r="N287" t="s">
        <v>1280</v>
      </c>
      <c r="O287" t="s">
        <v>31</v>
      </c>
      <c r="P287" t="s">
        <v>26</v>
      </c>
      <c r="Q287" t="s">
        <v>26</v>
      </c>
      <c r="R287" t="s">
        <v>2856</v>
      </c>
      <c r="S287">
        <v>65000000</v>
      </c>
      <c r="T287">
        <v>2340000000</v>
      </c>
      <c r="U287">
        <v>1866356466.1199999</v>
      </c>
      <c r="Z287"/>
    </row>
    <row r="288" spans="1:26" x14ac:dyDescent="0.25">
      <c r="A288">
        <v>102856</v>
      </c>
      <c r="B288" t="s">
        <v>974</v>
      </c>
      <c r="C288" t="s">
        <v>979</v>
      </c>
      <c r="D288" t="s">
        <v>1282</v>
      </c>
      <c r="E288">
        <v>76</v>
      </c>
      <c r="F288" s="105">
        <v>9479857.4000000004</v>
      </c>
      <c r="G288" t="s">
        <v>2538</v>
      </c>
      <c r="H288">
        <v>714099.79</v>
      </c>
      <c r="I288">
        <v>12776089.220000001</v>
      </c>
      <c r="J288" s="384">
        <v>42658.427251504632</v>
      </c>
      <c r="K288" s="384">
        <v>43388</v>
      </c>
      <c r="L288" t="s">
        <v>980</v>
      </c>
      <c r="M288" t="s">
        <v>981</v>
      </c>
      <c r="N288" t="s">
        <v>1280</v>
      </c>
      <c r="O288" t="s">
        <v>44</v>
      </c>
      <c r="P288" t="s">
        <v>92</v>
      </c>
      <c r="Q288" t="s">
        <v>26</v>
      </c>
      <c r="R288" t="s">
        <v>2856</v>
      </c>
      <c r="S288">
        <v>13000000</v>
      </c>
      <c r="T288">
        <v>624000000</v>
      </c>
      <c r="U288">
        <v>455033155.19999999</v>
      </c>
      <c r="Z288"/>
    </row>
    <row r="289" spans="1:26" x14ac:dyDescent="0.25">
      <c r="A289">
        <v>102860</v>
      </c>
      <c r="B289" t="s">
        <v>1332</v>
      </c>
      <c r="C289" t="s">
        <v>1333</v>
      </c>
      <c r="D289" t="s">
        <v>1284</v>
      </c>
      <c r="E289">
        <v>11</v>
      </c>
      <c r="F289" s="105">
        <v>14011588.01</v>
      </c>
      <c r="G289" t="s">
        <v>1039</v>
      </c>
      <c r="H289">
        <v>464459.51</v>
      </c>
      <c r="I289">
        <v>15015471.960000001</v>
      </c>
      <c r="J289" s="384">
        <v>42663.545598645833</v>
      </c>
      <c r="K289" s="384">
        <v>43120</v>
      </c>
      <c r="L289" t="s">
        <v>1334</v>
      </c>
      <c r="M289" t="s">
        <v>1280</v>
      </c>
      <c r="N289" t="s">
        <v>1280</v>
      </c>
      <c r="O289" t="s">
        <v>25</v>
      </c>
      <c r="P289" t="s">
        <v>26</v>
      </c>
      <c r="Q289" t="s">
        <v>26</v>
      </c>
      <c r="R289" t="s">
        <v>2856</v>
      </c>
      <c r="S289">
        <v>45000000</v>
      </c>
      <c r="T289">
        <v>1620000000</v>
      </c>
      <c r="U289">
        <v>504417168.36000001</v>
      </c>
      <c r="Z289"/>
    </row>
    <row r="290" spans="1:26" x14ac:dyDescent="0.25">
      <c r="A290">
        <v>102861</v>
      </c>
      <c r="B290" t="s">
        <v>3160</v>
      </c>
      <c r="C290" t="s">
        <v>3162</v>
      </c>
      <c r="D290" t="s">
        <v>1284</v>
      </c>
      <c r="E290">
        <v>-19</v>
      </c>
      <c r="F290" s="105">
        <v>11942392.939999999</v>
      </c>
      <c r="G290" t="s">
        <v>2175</v>
      </c>
      <c r="H290">
        <v>132693.25</v>
      </c>
      <c r="I290">
        <v>14685056.560000001</v>
      </c>
      <c r="J290" s="384">
        <v>42663.599580520837</v>
      </c>
      <c r="K290" s="384">
        <v>43393</v>
      </c>
      <c r="L290" t="s">
        <v>3163</v>
      </c>
      <c r="M290" t="s">
        <v>3164</v>
      </c>
      <c r="N290" t="s">
        <v>1280</v>
      </c>
      <c r="O290" t="s">
        <v>37</v>
      </c>
      <c r="P290" t="s">
        <v>26</v>
      </c>
      <c r="Q290" t="s">
        <v>26</v>
      </c>
      <c r="R290" t="s">
        <v>2636</v>
      </c>
      <c r="S290">
        <v>20000000</v>
      </c>
      <c r="T290">
        <v>800000000</v>
      </c>
      <c r="U290">
        <v>477695717.60000002</v>
      </c>
      <c r="Z290"/>
    </row>
    <row r="291" spans="1:26" x14ac:dyDescent="0.25">
      <c r="A291">
        <v>102866</v>
      </c>
      <c r="B291" t="s">
        <v>181</v>
      </c>
      <c r="C291" t="s">
        <v>182</v>
      </c>
      <c r="D291" t="s">
        <v>1284</v>
      </c>
      <c r="E291">
        <v>-20</v>
      </c>
      <c r="F291" s="105">
        <v>12023537.32</v>
      </c>
      <c r="G291" t="s">
        <v>1448</v>
      </c>
      <c r="H291">
        <v>108211.84</v>
      </c>
      <c r="I291">
        <v>17039011.420000002</v>
      </c>
      <c r="J291" s="384">
        <v>42664.717809062502</v>
      </c>
      <c r="K291" s="384">
        <v>43759</v>
      </c>
      <c r="L291" t="s">
        <v>183</v>
      </c>
      <c r="M291" t="s">
        <v>184</v>
      </c>
      <c r="N291" t="s">
        <v>1280</v>
      </c>
      <c r="O291" t="s">
        <v>44</v>
      </c>
      <c r="P291" t="s">
        <v>75</v>
      </c>
      <c r="Q291" t="s">
        <v>1442</v>
      </c>
      <c r="R291" t="s">
        <v>2856</v>
      </c>
      <c r="S291">
        <v>15500000</v>
      </c>
      <c r="T291">
        <v>558000000</v>
      </c>
      <c r="U291">
        <v>432847343.51999998</v>
      </c>
      <c r="Z291"/>
    </row>
    <row r="292" spans="1:26" x14ac:dyDescent="0.25">
      <c r="A292">
        <v>102871</v>
      </c>
      <c r="B292" t="s">
        <v>1056</v>
      </c>
      <c r="C292" t="s">
        <v>1057</v>
      </c>
      <c r="D292" t="s">
        <v>1283</v>
      </c>
      <c r="E292">
        <v>-3</v>
      </c>
      <c r="F292" s="105">
        <v>41393625.719999999</v>
      </c>
      <c r="G292" t="s">
        <v>546</v>
      </c>
      <c r="H292">
        <v>1076234.27</v>
      </c>
      <c r="I292">
        <v>69088207.930000007</v>
      </c>
      <c r="J292" s="384">
        <v>42667.551442280092</v>
      </c>
      <c r="K292" s="384">
        <v>44139</v>
      </c>
      <c r="L292" t="s">
        <v>1058</v>
      </c>
      <c r="M292" t="s">
        <v>1059</v>
      </c>
      <c r="N292" t="s">
        <v>1280</v>
      </c>
      <c r="O292" t="s">
        <v>25</v>
      </c>
      <c r="P292" t="s">
        <v>88</v>
      </c>
      <c r="Q292" t="s">
        <v>26</v>
      </c>
      <c r="R292" t="s">
        <v>2856</v>
      </c>
      <c r="S292">
        <v>46730398</v>
      </c>
      <c r="T292">
        <v>1682294328</v>
      </c>
      <c r="U292">
        <v>1490170525.9200001</v>
      </c>
      <c r="Z292"/>
    </row>
    <row r="293" spans="1:26" x14ac:dyDescent="0.25">
      <c r="A293">
        <v>102872</v>
      </c>
      <c r="B293" t="s">
        <v>2307</v>
      </c>
      <c r="C293" t="s">
        <v>2313</v>
      </c>
      <c r="D293" t="s">
        <v>1283</v>
      </c>
      <c r="E293">
        <v>27</v>
      </c>
      <c r="F293" s="105">
        <v>33407924.48</v>
      </c>
      <c r="G293" t="s">
        <v>90</v>
      </c>
      <c r="H293">
        <v>2054807.06</v>
      </c>
      <c r="I293">
        <v>50223301.07</v>
      </c>
      <c r="J293" s="384">
        <v>42668.394561689813</v>
      </c>
      <c r="K293" s="384">
        <v>43773</v>
      </c>
      <c r="L293" t="s">
        <v>2314</v>
      </c>
      <c r="M293" t="s">
        <v>1280</v>
      </c>
      <c r="N293" t="s">
        <v>1280</v>
      </c>
      <c r="O293" t="s">
        <v>37</v>
      </c>
      <c r="P293" t="s">
        <v>288</v>
      </c>
      <c r="Q293" t="s">
        <v>1829</v>
      </c>
      <c r="R293" t="s">
        <v>2856</v>
      </c>
      <c r="S293">
        <v>39962140</v>
      </c>
      <c r="T293">
        <v>1598485600</v>
      </c>
      <c r="U293">
        <v>1336316979.2</v>
      </c>
      <c r="Z293"/>
    </row>
    <row r="294" spans="1:26" x14ac:dyDescent="0.25">
      <c r="A294">
        <v>102874</v>
      </c>
      <c r="B294" t="s">
        <v>200</v>
      </c>
      <c r="C294" t="s">
        <v>201</v>
      </c>
      <c r="D294" t="s">
        <v>1281</v>
      </c>
      <c r="E294">
        <v>-24</v>
      </c>
      <c r="F294" s="105">
        <v>9327329.2699999996</v>
      </c>
      <c r="G294" t="s">
        <v>1925</v>
      </c>
      <c r="H294">
        <v>54409.42</v>
      </c>
      <c r="I294">
        <v>11582746.4</v>
      </c>
      <c r="J294" s="384">
        <v>42668.520148530093</v>
      </c>
      <c r="K294" s="384">
        <v>43398</v>
      </c>
      <c r="L294" t="s">
        <v>202</v>
      </c>
      <c r="M294" t="s">
        <v>1280</v>
      </c>
      <c r="N294" t="s">
        <v>1280</v>
      </c>
      <c r="O294" t="s">
        <v>25</v>
      </c>
      <c r="P294" t="s">
        <v>26</v>
      </c>
      <c r="Q294" t="s">
        <v>26</v>
      </c>
      <c r="R294" t="s">
        <v>2856</v>
      </c>
      <c r="S294">
        <v>15500000</v>
      </c>
      <c r="T294">
        <v>651000000</v>
      </c>
      <c r="U294">
        <v>391747829.33999997</v>
      </c>
      <c r="Z294"/>
    </row>
    <row r="295" spans="1:26" x14ac:dyDescent="0.25">
      <c r="A295">
        <v>102875</v>
      </c>
      <c r="B295" t="s">
        <v>1082</v>
      </c>
      <c r="C295" t="s">
        <v>1083</v>
      </c>
      <c r="D295" t="s">
        <v>1281</v>
      </c>
      <c r="E295">
        <v>-1</v>
      </c>
      <c r="F295" s="105">
        <v>1612374.7</v>
      </c>
      <c r="G295" t="s">
        <v>90</v>
      </c>
      <c r="H295">
        <v>52670.91</v>
      </c>
      <c r="I295">
        <v>1668807.81</v>
      </c>
      <c r="J295" s="384">
        <v>42668.643257835647</v>
      </c>
      <c r="K295" s="384">
        <v>43041</v>
      </c>
      <c r="L295" t="s">
        <v>1084</v>
      </c>
      <c r="M295" t="s">
        <v>1085</v>
      </c>
      <c r="N295" t="s">
        <v>1280</v>
      </c>
      <c r="O295" t="s">
        <v>27</v>
      </c>
      <c r="P295" t="s">
        <v>26</v>
      </c>
      <c r="Q295" t="s">
        <v>26</v>
      </c>
      <c r="R295" t="s">
        <v>2856</v>
      </c>
      <c r="S295">
        <v>16000000</v>
      </c>
      <c r="T295">
        <v>672000000</v>
      </c>
      <c r="U295">
        <v>67719737.400000006</v>
      </c>
      <c r="Z295"/>
    </row>
    <row r="296" spans="1:26" x14ac:dyDescent="0.25">
      <c r="A296">
        <v>102877</v>
      </c>
      <c r="B296" t="s">
        <v>1188</v>
      </c>
      <c r="C296" t="s">
        <v>1193</v>
      </c>
      <c r="D296" t="s">
        <v>1283</v>
      </c>
      <c r="E296">
        <v>-4</v>
      </c>
      <c r="F296" s="105">
        <v>40227872.460000001</v>
      </c>
      <c r="G296" t="s">
        <v>1191</v>
      </c>
      <c r="H296">
        <v>1005696.81</v>
      </c>
      <c r="I296">
        <v>57755026.740000002</v>
      </c>
      <c r="J296" s="384">
        <v>42669.588513807874</v>
      </c>
      <c r="K296" s="384">
        <v>43774</v>
      </c>
      <c r="L296" t="s">
        <v>1194</v>
      </c>
      <c r="M296" t="s">
        <v>1280</v>
      </c>
      <c r="N296" t="s">
        <v>1280</v>
      </c>
      <c r="O296" t="s">
        <v>41</v>
      </c>
      <c r="P296" t="s">
        <v>1189</v>
      </c>
      <c r="Q296" t="s">
        <v>1190</v>
      </c>
      <c r="R296" t="s">
        <v>2856</v>
      </c>
      <c r="S296">
        <v>50000000</v>
      </c>
      <c r="T296">
        <v>1800000000</v>
      </c>
      <c r="U296">
        <v>1448203408.5599999</v>
      </c>
      <c r="Z296"/>
    </row>
    <row r="297" spans="1:26" x14ac:dyDescent="0.25">
      <c r="A297">
        <v>102878</v>
      </c>
      <c r="B297" t="s">
        <v>927</v>
      </c>
      <c r="C297" t="s">
        <v>951</v>
      </c>
      <c r="D297" t="s">
        <v>1282</v>
      </c>
      <c r="E297">
        <v>30</v>
      </c>
      <c r="F297" s="105">
        <v>2423977.04</v>
      </c>
      <c r="G297" t="s">
        <v>2855</v>
      </c>
      <c r="H297">
        <v>239619.09</v>
      </c>
      <c r="I297">
        <v>2553985.37</v>
      </c>
      <c r="J297" s="384">
        <v>42670.607920833332</v>
      </c>
      <c r="K297" s="384">
        <v>43040</v>
      </c>
      <c r="L297" t="s">
        <v>952</v>
      </c>
      <c r="M297" t="s">
        <v>953</v>
      </c>
      <c r="N297" t="s">
        <v>1280</v>
      </c>
      <c r="O297" t="s">
        <v>25</v>
      </c>
      <c r="P297" t="s">
        <v>106</v>
      </c>
      <c r="Q297" t="s">
        <v>26</v>
      </c>
      <c r="R297" t="s">
        <v>2856</v>
      </c>
      <c r="S297">
        <v>12000000</v>
      </c>
      <c r="T297">
        <v>576000000</v>
      </c>
      <c r="U297">
        <v>116350897.92</v>
      </c>
      <c r="Z297"/>
    </row>
    <row r="298" spans="1:26" x14ac:dyDescent="0.25">
      <c r="A298">
        <v>102879</v>
      </c>
      <c r="B298" t="s">
        <v>1503</v>
      </c>
      <c r="C298" t="s">
        <v>2298</v>
      </c>
      <c r="D298" t="s">
        <v>1284</v>
      </c>
      <c r="E298">
        <v>0</v>
      </c>
      <c r="F298" s="105">
        <v>52044568.159999996</v>
      </c>
      <c r="G298" t="s">
        <v>1039</v>
      </c>
      <c r="H298">
        <v>1509292.48</v>
      </c>
      <c r="I298">
        <v>74720218.790000007</v>
      </c>
      <c r="J298" s="384">
        <v>42670.619203553244</v>
      </c>
      <c r="K298" s="384">
        <v>43770</v>
      </c>
      <c r="L298" t="s">
        <v>2299</v>
      </c>
      <c r="M298" t="s">
        <v>1280</v>
      </c>
      <c r="N298" t="s">
        <v>1280</v>
      </c>
      <c r="O298" t="s">
        <v>44</v>
      </c>
      <c r="P298" t="s">
        <v>75</v>
      </c>
      <c r="Q298" t="s">
        <v>26</v>
      </c>
      <c r="R298" t="s">
        <v>2856</v>
      </c>
      <c r="S298">
        <v>65000000</v>
      </c>
      <c r="T298">
        <v>2340000000</v>
      </c>
      <c r="U298">
        <v>1873604453.76</v>
      </c>
      <c r="Z298"/>
    </row>
    <row r="299" spans="1:26" x14ac:dyDescent="0.25">
      <c r="A299">
        <v>102881</v>
      </c>
      <c r="B299" t="s">
        <v>3202</v>
      </c>
      <c r="C299" t="s">
        <v>3206</v>
      </c>
      <c r="D299" t="s">
        <v>1281</v>
      </c>
      <c r="E299">
        <v>0</v>
      </c>
      <c r="F299" s="105">
        <v>6000843.1299999999</v>
      </c>
      <c r="G299" t="s">
        <v>1191</v>
      </c>
      <c r="H299">
        <v>203028.53</v>
      </c>
      <c r="I299">
        <v>6784333.6900000004</v>
      </c>
      <c r="J299" s="384">
        <v>42671.498852118057</v>
      </c>
      <c r="K299" s="384">
        <v>43586</v>
      </c>
      <c r="L299" t="s">
        <v>3207</v>
      </c>
      <c r="M299" t="s">
        <v>3208</v>
      </c>
      <c r="N299" t="s">
        <v>3209</v>
      </c>
      <c r="O299" t="s">
        <v>27</v>
      </c>
      <c r="P299" t="s">
        <v>116</v>
      </c>
      <c r="Q299" t="s">
        <v>26</v>
      </c>
      <c r="R299" t="s">
        <v>2856</v>
      </c>
      <c r="S299">
        <v>20000000</v>
      </c>
      <c r="T299">
        <v>840000000</v>
      </c>
      <c r="U299">
        <v>252035411.46000001</v>
      </c>
      <c r="Z299"/>
    </row>
    <row r="300" spans="1:26" x14ac:dyDescent="0.25">
      <c r="A300">
        <v>102886</v>
      </c>
      <c r="B300" t="s">
        <v>1689</v>
      </c>
      <c r="C300" t="s">
        <v>1692</v>
      </c>
      <c r="D300" t="s">
        <v>1284</v>
      </c>
      <c r="E300">
        <v>-3</v>
      </c>
      <c r="F300" s="105">
        <v>4551947.53</v>
      </c>
      <c r="G300" t="s">
        <v>86</v>
      </c>
      <c r="H300">
        <v>118350.64</v>
      </c>
      <c r="I300">
        <v>5114315.49</v>
      </c>
      <c r="J300" s="384">
        <v>42672.573115127314</v>
      </c>
      <c r="K300" s="384">
        <v>43224</v>
      </c>
      <c r="L300" t="s">
        <v>1693</v>
      </c>
      <c r="M300" t="s">
        <v>1280</v>
      </c>
      <c r="N300" t="s">
        <v>1280</v>
      </c>
      <c r="O300" t="s">
        <v>44</v>
      </c>
      <c r="P300" t="s">
        <v>75</v>
      </c>
      <c r="Q300" t="s">
        <v>26</v>
      </c>
      <c r="R300" t="s">
        <v>2856</v>
      </c>
      <c r="S300">
        <v>10000000</v>
      </c>
      <c r="T300">
        <v>360000000</v>
      </c>
      <c r="U300">
        <v>163870111.08000001</v>
      </c>
      <c r="Z300"/>
    </row>
    <row r="301" spans="1:26" x14ac:dyDescent="0.25">
      <c r="A301">
        <v>102889</v>
      </c>
      <c r="B301" t="s">
        <v>159</v>
      </c>
      <c r="C301" t="s">
        <v>160</v>
      </c>
      <c r="D301" t="s">
        <v>1281</v>
      </c>
      <c r="E301">
        <v>51</v>
      </c>
      <c r="F301" s="105">
        <v>5392061.1900000004</v>
      </c>
      <c r="G301" t="s">
        <v>5725</v>
      </c>
      <c r="H301">
        <v>198241.48</v>
      </c>
      <c r="I301">
        <v>5590302.6699999999</v>
      </c>
      <c r="J301" s="384">
        <v>42674.520662071758</v>
      </c>
      <c r="K301" s="384">
        <v>43018</v>
      </c>
      <c r="L301" t="s">
        <v>161</v>
      </c>
      <c r="M301" t="s">
        <v>162</v>
      </c>
      <c r="N301" t="s">
        <v>1280</v>
      </c>
      <c r="O301" t="s">
        <v>37</v>
      </c>
      <c r="P301" t="s">
        <v>38</v>
      </c>
      <c r="Q301" t="s">
        <v>26</v>
      </c>
      <c r="R301" t="s">
        <v>2856</v>
      </c>
      <c r="S301">
        <v>25265064</v>
      </c>
      <c r="T301">
        <v>1061132688</v>
      </c>
      <c r="U301">
        <v>226466569.97999999</v>
      </c>
      <c r="Z301"/>
    </row>
    <row r="302" spans="1:26" x14ac:dyDescent="0.25">
      <c r="A302">
        <v>102890</v>
      </c>
      <c r="B302" t="s">
        <v>2130</v>
      </c>
      <c r="C302" t="s">
        <v>2149</v>
      </c>
      <c r="D302" t="s">
        <v>1283</v>
      </c>
      <c r="E302">
        <v>0</v>
      </c>
      <c r="F302" s="105">
        <v>2493303.59</v>
      </c>
      <c r="G302" t="s">
        <v>86</v>
      </c>
      <c r="H302">
        <v>80339.78</v>
      </c>
      <c r="I302">
        <v>2576413.71</v>
      </c>
      <c r="J302" s="384">
        <v>42674.553735497684</v>
      </c>
      <c r="K302" s="384">
        <v>43040</v>
      </c>
      <c r="L302" t="s">
        <v>2150</v>
      </c>
      <c r="M302" t="s">
        <v>2151</v>
      </c>
      <c r="N302" t="s">
        <v>1280</v>
      </c>
      <c r="O302" t="s">
        <v>25</v>
      </c>
      <c r="P302" t="s">
        <v>103</v>
      </c>
      <c r="Q302" t="s">
        <v>104</v>
      </c>
      <c r="R302" t="s">
        <v>2856</v>
      </c>
      <c r="S302">
        <v>25115733</v>
      </c>
      <c r="T302">
        <v>1004629320</v>
      </c>
      <c r="U302">
        <v>99732143.599999994</v>
      </c>
      <c r="Z302"/>
    </row>
    <row r="303" spans="1:26" x14ac:dyDescent="0.25">
      <c r="A303">
        <v>102891</v>
      </c>
      <c r="B303" t="s">
        <v>690</v>
      </c>
      <c r="C303" t="s">
        <v>691</v>
      </c>
      <c r="D303" t="s">
        <v>1283</v>
      </c>
      <c r="E303">
        <v>-23</v>
      </c>
      <c r="F303" s="105">
        <v>35474895.289999999</v>
      </c>
      <c r="G303" t="s">
        <v>2855</v>
      </c>
      <c r="H303">
        <v>212849.37</v>
      </c>
      <c r="I303">
        <v>50272821.670000002</v>
      </c>
      <c r="J303" s="384">
        <v>42674.614062037035</v>
      </c>
      <c r="K303" s="384">
        <v>43762</v>
      </c>
      <c r="L303" t="s">
        <v>692</v>
      </c>
      <c r="M303" t="s">
        <v>693</v>
      </c>
      <c r="N303" t="s">
        <v>1280</v>
      </c>
      <c r="O303" t="s">
        <v>37</v>
      </c>
      <c r="P303" t="s">
        <v>288</v>
      </c>
      <c r="Q303" t="s">
        <v>1313</v>
      </c>
      <c r="R303" t="s">
        <v>2856</v>
      </c>
      <c r="S303">
        <v>46000000</v>
      </c>
      <c r="T303">
        <v>1656000000</v>
      </c>
      <c r="U303">
        <v>1277096230.4400001</v>
      </c>
      <c r="Z303"/>
    </row>
    <row r="304" spans="1:26" x14ac:dyDescent="0.25">
      <c r="A304">
        <v>102894</v>
      </c>
      <c r="B304" t="s">
        <v>1032</v>
      </c>
      <c r="C304" t="s">
        <v>1033</v>
      </c>
      <c r="D304" t="s">
        <v>1283</v>
      </c>
      <c r="E304">
        <v>-4</v>
      </c>
      <c r="F304" s="105">
        <v>51254421.719999999</v>
      </c>
      <c r="G304" t="s">
        <v>5167</v>
      </c>
      <c r="H304">
        <v>1281360.54</v>
      </c>
      <c r="I304">
        <v>85550298.420000002</v>
      </c>
      <c r="J304" s="384">
        <v>42674.689139780094</v>
      </c>
      <c r="K304" s="384">
        <v>44140</v>
      </c>
      <c r="L304" t="s">
        <v>1034</v>
      </c>
      <c r="M304" t="s">
        <v>1035</v>
      </c>
      <c r="N304" t="s">
        <v>1280</v>
      </c>
      <c r="O304" t="s">
        <v>36</v>
      </c>
      <c r="P304" t="s">
        <v>97</v>
      </c>
      <c r="Q304" t="s">
        <v>98</v>
      </c>
      <c r="R304" t="s">
        <v>2856</v>
      </c>
      <c r="S304">
        <v>58138700</v>
      </c>
      <c r="T304">
        <v>2092993200</v>
      </c>
      <c r="U304">
        <v>1845159181.9200001</v>
      </c>
      <c r="Z304"/>
    </row>
    <row r="305" spans="1:26" x14ac:dyDescent="0.25">
      <c r="A305">
        <v>102895</v>
      </c>
      <c r="B305" t="s">
        <v>1170</v>
      </c>
      <c r="C305" t="s">
        <v>1174</v>
      </c>
      <c r="D305" t="s">
        <v>1281</v>
      </c>
      <c r="E305">
        <v>0</v>
      </c>
      <c r="F305" s="105">
        <v>19966190.199999999</v>
      </c>
      <c r="G305" t="s">
        <v>86</v>
      </c>
      <c r="H305">
        <v>579019.52000000002</v>
      </c>
      <c r="I305">
        <v>28665394.949999999</v>
      </c>
      <c r="J305" s="384">
        <v>42674.712631099537</v>
      </c>
      <c r="K305" s="384">
        <v>43770</v>
      </c>
      <c r="L305" t="s">
        <v>1175</v>
      </c>
      <c r="M305" t="s">
        <v>1176</v>
      </c>
      <c r="N305" t="s">
        <v>1280</v>
      </c>
      <c r="O305" t="s">
        <v>44</v>
      </c>
      <c r="P305" t="s">
        <v>75</v>
      </c>
      <c r="Q305" t="s">
        <v>1442</v>
      </c>
      <c r="R305" t="s">
        <v>2856</v>
      </c>
      <c r="S305">
        <v>25008925</v>
      </c>
      <c r="T305">
        <v>900321300</v>
      </c>
      <c r="U305">
        <v>718782847.20000005</v>
      </c>
      <c r="Z305"/>
    </row>
    <row r="306" spans="1:26" x14ac:dyDescent="0.25">
      <c r="A306">
        <v>102898</v>
      </c>
      <c r="B306" t="s">
        <v>1955</v>
      </c>
      <c r="C306" t="s">
        <v>1981</v>
      </c>
      <c r="D306" t="s">
        <v>1283</v>
      </c>
      <c r="E306">
        <v>30</v>
      </c>
      <c r="F306" s="105">
        <v>43397347.869999997</v>
      </c>
      <c r="G306" t="s">
        <v>5725</v>
      </c>
      <c r="H306">
        <v>2478595.11</v>
      </c>
      <c r="I306">
        <v>53777124.939999998</v>
      </c>
      <c r="J306" s="384">
        <v>42674.837199421294</v>
      </c>
      <c r="K306" s="384">
        <v>43405</v>
      </c>
      <c r="L306" t="s">
        <v>1982</v>
      </c>
      <c r="M306" t="s">
        <v>1280</v>
      </c>
      <c r="N306" t="s">
        <v>1280</v>
      </c>
      <c r="O306" t="s">
        <v>25</v>
      </c>
      <c r="P306" t="s">
        <v>103</v>
      </c>
      <c r="Q306" t="s">
        <v>104</v>
      </c>
      <c r="R306" t="s">
        <v>2856</v>
      </c>
      <c r="S306">
        <v>65000000</v>
      </c>
      <c r="T306">
        <v>2340000000</v>
      </c>
      <c r="U306">
        <v>1562304523.3199999</v>
      </c>
      <c r="Z306"/>
    </row>
    <row r="307" spans="1:26" x14ac:dyDescent="0.25">
      <c r="A307">
        <v>102900</v>
      </c>
      <c r="B307" t="s">
        <v>3226</v>
      </c>
      <c r="C307" t="s">
        <v>3233</v>
      </c>
      <c r="D307" t="s">
        <v>1284</v>
      </c>
      <c r="E307">
        <v>0</v>
      </c>
      <c r="F307" s="105">
        <v>16166680.310000001</v>
      </c>
      <c r="G307" t="s">
        <v>2494</v>
      </c>
      <c r="H307">
        <v>520926.37</v>
      </c>
      <c r="I307">
        <v>24080941.25</v>
      </c>
      <c r="J307" s="384">
        <v>42674.865867476852</v>
      </c>
      <c r="K307" s="384">
        <v>43770</v>
      </c>
      <c r="L307" t="s">
        <v>3234</v>
      </c>
      <c r="M307" t="s">
        <v>1280</v>
      </c>
      <c r="N307" t="s">
        <v>1280</v>
      </c>
      <c r="O307" t="s">
        <v>44</v>
      </c>
      <c r="P307" t="s">
        <v>92</v>
      </c>
      <c r="Q307" t="s">
        <v>26</v>
      </c>
      <c r="R307" t="s">
        <v>2636</v>
      </c>
      <c r="S307">
        <v>20000000</v>
      </c>
      <c r="T307">
        <v>800000000</v>
      </c>
      <c r="U307">
        <v>646667212.39999998</v>
      </c>
      <c r="Z307"/>
    </row>
    <row r="308" spans="1:26" x14ac:dyDescent="0.25">
      <c r="A308">
        <v>102901</v>
      </c>
      <c r="B308" t="s">
        <v>3231</v>
      </c>
      <c r="C308" t="s">
        <v>3235</v>
      </c>
      <c r="D308" t="s">
        <v>1284</v>
      </c>
      <c r="E308">
        <v>0</v>
      </c>
      <c r="F308" s="105">
        <v>10508342.17</v>
      </c>
      <c r="G308" t="s">
        <v>2494</v>
      </c>
      <c r="H308">
        <v>338602.14</v>
      </c>
      <c r="I308">
        <v>15652611.689999999</v>
      </c>
      <c r="J308" s="384">
        <v>42674.895723530091</v>
      </c>
      <c r="K308" s="384">
        <v>43770</v>
      </c>
      <c r="L308" t="s">
        <v>3236</v>
      </c>
      <c r="M308" t="s">
        <v>1280</v>
      </c>
      <c r="N308" t="s">
        <v>1280</v>
      </c>
      <c r="O308" t="s">
        <v>44</v>
      </c>
      <c r="P308" t="s">
        <v>75</v>
      </c>
      <c r="Q308" t="s">
        <v>26</v>
      </c>
      <c r="R308" t="s">
        <v>2636</v>
      </c>
      <c r="S308">
        <v>13000000</v>
      </c>
      <c r="T308">
        <v>520000000</v>
      </c>
      <c r="U308">
        <v>420333686.80000001</v>
      </c>
      <c r="Z308"/>
    </row>
    <row r="309" spans="1:26" x14ac:dyDescent="0.25">
      <c r="A309">
        <v>102903</v>
      </c>
      <c r="B309" t="s">
        <v>3262</v>
      </c>
      <c r="C309" t="s">
        <v>3247</v>
      </c>
      <c r="D309" t="s">
        <v>1281</v>
      </c>
      <c r="E309">
        <v>-1</v>
      </c>
      <c r="F309" s="105">
        <v>13098539.98</v>
      </c>
      <c r="G309" t="s">
        <v>2855</v>
      </c>
      <c r="H309">
        <v>489012.16</v>
      </c>
      <c r="I309">
        <v>17052576.050000001</v>
      </c>
      <c r="J309" s="384">
        <v>42676.695485613425</v>
      </c>
      <c r="K309" s="384">
        <v>43406</v>
      </c>
      <c r="L309" t="s">
        <v>3263</v>
      </c>
      <c r="M309" t="s">
        <v>3264</v>
      </c>
      <c r="N309" t="s">
        <v>1280</v>
      </c>
      <c r="O309" t="s">
        <v>25</v>
      </c>
      <c r="P309" t="s">
        <v>106</v>
      </c>
      <c r="Q309" t="s">
        <v>704</v>
      </c>
      <c r="R309" t="s">
        <v>2636</v>
      </c>
      <c r="S309">
        <v>20000000</v>
      </c>
      <c r="T309">
        <v>960000000</v>
      </c>
      <c r="U309">
        <v>628729919.03999996</v>
      </c>
      <c r="Z309"/>
    </row>
    <row r="310" spans="1:26" x14ac:dyDescent="0.25">
      <c r="A310">
        <v>102904</v>
      </c>
      <c r="B310" t="s">
        <v>3272</v>
      </c>
      <c r="C310" t="s">
        <v>3273</v>
      </c>
      <c r="D310" t="s">
        <v>1866</v>
      </c>
      <c r="E310">
        <v>-2</v>
      </c>
      <c r="F310" s="105">
        <v>619690.30000000005</v>
      </c>
      <c r="G310" t="s">
        <v>2494</v>
      </c>
      <c r="H310">
        <v>23238.39</v>
      </c>
      <c r="I310">
        <v>645510.73</v>
      </c>
      <c r="J310" s="384">
        <v>42677.695845682872</v>
      </c>
      <c r="K310" s="384">
        <v>43042</v>
      </c>
      <c r="L310" t="s">
        <v>3274</v>
      </c>
      <c r="M310" t="s">
        <v>1280</v>
      </c>
      <c r="N310" t="s">
        <v>1280</v>
      </c>
      <c r="O310" t="s">
        <v>31</v>
      </c>
      <c r="P310" t="s">
        <v>26</v>
      </c>
      <c r="Q310" t="s">
        <v>26</v>
      </c>
      <c r="R310" t="s">
        <v>2636</v>
      </c>
      <c r="S310">
        <v>6000000</v>
      </c>
      <c r="T310">
        <v>300000000</v>
      </c>
      <c r="U310">
        <v>30984515</v>
      </c>
      <c r="Z310"/>
    </row>
    <row r="311" spans="1:26" x14ac:dyDescent="0.25">
      <c r="A311">
        <v>102905</v>
      </c>
      <c r="B311" t="s">
        <v>3268</v>
      </c>
      <c r="C311" t="s">
        <v>3275</v>
      </c>
      <c r="D311" t="s">
        <v>1282</v>
      </c>
      <c r="E311">
        <v>28</v>
      </c>
      <c r="F311" s="105">
        <v>986107.64</v>
      </c>
      <c r="G311" t="s">
        <v>1191</v>
      </c>
      <c r="H311">
        <v>21251.1</v>
      </c>
      <c r="I311">
        <v>1009719.98</v>
      </c>
      <c r="J311" s="384">
        <v>42677.736543402774</v>
      </c>
      <c r="K311" s="384">
        <v>43042</v>
      </c>
      <c r="L311" t="s">
        <v>3276</v>
      </c>
      <c r="M311" t="s">
        <v>3277</v>
      </c>
      <c r="N311" t="s">
        <v>1280</v>
      </c>
      <c r="O311" t="s">
        <v>44</v>
      </c>
      <c r="P311" t="s">
        <v>75</v>
      </c>
      <c r="Q311" t="s">
        <v>1442</v>
      </c>
      <c r="R311" t="s">
        <v>2636</v>
      </c>
      <c r="S311">
        <v>5000000</v>
      </c>
      <c r="T311">
        <v>270000000</v>
      </c>
      <c r="U311">
        <v>53249812.560000002</v>
      </c>
      <c r="Z311"/>
    </row>
    <row r="312" spans="1:26" x14ac:dyDescent="0.25">
      <c r="A312">
        <v>102909</v>
      </c>
      <c r="B312" t="s">
        <v>1287</v>
      </c>
      <c r="C312" t="s">
        <v>1288</v>
      </c>
      <c r="D312" t="s">
        <v>1283</v>
      </c>
      <c r="E312">
        <v>-4</v>
      </c>
      <c r="F312" s="105">
        <v>54191172.100000001</v>
      </c>
      <c r="G312" t="s">
        <v>1447</v>
      </c>
      <c r="H312">
        <v>1354779.3</v>
      </c>
      <c r="I312">
        <v>90452116.590000004</v>
      </c>
      <c r="J312" s="384">
        <v>42679.558800775463</v>
      </c>
      <c r="K312" s="384">
        <v>44140</v>
      </c>
      <c r="L312" t="s">
        <v>1289</v>
      </c>
      <c r="M312" t="s">
        <v>1290</v>
      </c>
      <c r="N312" t="s">
        <v>1280</v>
      </c>
      <c r="O312" t="s">
        <v>44</v>
      </c>
      <c r="P312" t="s">
        <v>75</v>
      </c>
      <c r="Q312" t="s">
        <v>1442</v>
      </c>
      <c r="R312" t="s">
        <v>2856</v>
      </c>
      <c r="S312">
        <v>61768300</v>
      </c>
      <c r="T312">
        <v>2223658800</v>
      </c>
      <c r="U312">
        <v>1950882195.5999999</v>
      </c>
      <c r="Z312"/>
    </row>
    <row r="313" spans="1:26" x14ac:dyDescent="0.25">
      <c r="A313">
        <v>102916</v>
      </c>
      <c r="B313" t="s">
        <v>3331</v>
      </c>
      <c r="C313" t="s">
        <v>3332</v>
      </c>
      <c r="D313" t="s">
        <v>1866</v>
      </c>
      <c r="E313">
        <v>-10</v>
      </c>
      <c r="F313" s="105">
        <v>604832.24</v>
      </c>
      <c r="G313" t="s">
        <v>1448</v>
      </c>
      <c r="H313">
        <v>14045.55</v>
      </c>
      <c r="I313">
        <v>627009.42000000004</v>
      </c>
      <c r="J313" s="384">
        <v>42685.65754039352</v>
      </c>
      <c r="K313" s="384">
        <v>43050</v>
      </c>
      <c r="L313" t="s">
        <v>3333</v>
      </c>
      <c r="M313" t="s">
        <v>3334</v>
      </c>
      <c r="N313" t="s">
        <v>1280</v>
      </c>
      <c r="O313" t="s">
        <v>44</v>
      </c>
      <c r="P313" t="s">
        <v>75</v>
      </c>
      <c r="Q313" t="s">
        <v>26</v>
      </c>
      <c r="R313" t="s">
        <v>2856</v>
      </c>
      <c r="S313">
        <v>6000000</v>
      </c>
      <c r="T313">
        <v>264000000</v>
      </c>
      <c r="U313">
        <v>26612618.559999999</v>
      </c>
      <c r="Z313"/>
    </row>
    <row r="314" spans="1:26" x14ac:dyDescent="0.25">
      <c r="A314">
        <v>102917</v>
      </c>
      <c r="B314" t="s">
        <v>890</v>
      </c>
      <c r="C314" t="s">
        <v>891</v>
      </c>
      <c r="D314" t="s">
        <v>1284</v>
      </c>
      <c r="E314">
        <v>-11</v>
      </c>
      <c r="F314" s="105">
        <v>39918129.57</v>
      </c>
      <c r="G314" t="s">
        <v>546</v>
      </c>
      <c r="H314">
        <v>1947959.61</v>
      </c>
      <c r="I314">
        <v>57310329.990000002</v>
      </c>
      <c r="J314" s="384">
        <v>42685.711265127313</v>
      </c>
      <c r="K314" s="384">
        <v>43781</v>
      </c>
      <c r="L314" t="s">
        <v>892</v>
      </c>
      <c r="M314" t="s">
        <v>893</v>
      </c>
      <c r="N314" t="s">
        <v>1280</v>
      </c>
      <c r="O314" t="s">
        <v>25</v>
      </c>
      <c r="P314" t="s">
        <v>26</v>
      </c>
      <c r="Q314" t="s">
        <v>26</v>
      </c>
      <c r="R314" t="s">
        <v>2856</v>
      </c>
      <c r="S314">
        <v>50000000</v>
      </c>
      <c r="T314">
        <v>1800000000</v>
      </c>
      <c r="U314">
        <v>1437052664.52</v>
      </c>
      <c r="Z314"/>
    </row>
    <row r="315" spans="1:26" x14ac:dyDescent="0.25">
      <c r="A315">
        <v>102918</v>
      </c>
      <c r="B315" t="s">
        <v>3328</v>
      </c>
      <c r="C315" t="s">
        <v>3335</v>
      </c>
      <c r="D315" t="s">
        <v>1279</v>
      </c>
      <c r="E315">
        <v>-19</v>
      </c>
      <c r="F315" s="105">
        <v>531497.32999999996</v>
      </c>
      <c r="G315" t="s">
        <v>86</v>
      </c>
      <c r="H315">
        <v>7972.46</v>
      </c>
      <c r="I315">
        <v>555414.71</v>
      </c>
      <c r="J315" s="384">
        <v>42685.73570690972</v>
      </c>
      <c r="K315" s="384">
        <v>43059</v>
      </c>
      <c r="L315" t="s">
        <v>3336</v>
      </c>
      <c r="M315" t="s">
        <v>3337</v>
      </c>
      <c r="N315" t="s">
        <v>1280</v>
      </c>
      <c r="O315" t="s">
        <v>25</v>
      </c>
      <c r="P315" t="s">
        <v>101</v>
      </c>
      <c r="Q315" t="s">
        <v>1826</v>
      </c>
      <c r="R315" t="s">
        <v>2856</v>
      </c>
      <c r="S315">
        <v>5000000</v>
      </c>
      <c r="T315">
        <v>270000000</v>
      </c>
      <c r="U315">
        <v>28700855.82</v>
      </c>
      <c r="Z315"/>
    </row>
    <row r="316" spans="1:26" x14ac:dyDescent="0.25">
      <c r="A316">
        <v>102919</v>
      </c>
      <c r="B316" t="s">
        <v>3351</v>
      </c>
      <c r="C316" t="s">
        <v>3352</v>
      </c>
      <c r="D316" t="s">
        <v>1279</v>
      </c>
      <c r="E316">
        <v>19</v>
      </c>
      <c r="F316" s="105">
        <v>821473.39</v>
      </c>
      <c r="G316" t="s">
        <v>5725</v>
      </c>
      <c r="H316">
        <v>48300.22</v>
      </c>
      <c r="I316">
        <v>877329.56</v>
      </c>
      <c r="J316" s="384">
        <v>42686.502644872686</v>
      </c>
      <c r="K316" s="384">
        <v>43051</v>
      </c>
      <c r="L316" t="s">
        <v>3353</v>
      </c>
      <c r="M316" t="s">
        <v>3354</v>
      </c>
      <c r="N316" t="s">
        <v>1280</v>
      </c>
      <c r="O316" t="s">
        <v>45</v>
      </c>
      <c r="P316" t="s">
        <v>45</v>
      </c>
      <c r="Q316" t="s">
        <v>89</v>
      </c>
      <c r="R316" t="s">
        <v>2636</v>
      </c>
      <c r="S316">
        <v>4000000</v>
      </c>
      <c r="T316">
        <v>216000000</v>
      </c>
      <c r="U316">
        <v>44359563.060000002</v>
      </c>
      <c r="Z316"/>
    </row>
    <row r="317" spans="1:26" x14ac:dyDescent="0.25">
      <c r="A317">
        <v>102920</v>
      </c>
      <c r="B317" t="s">
        <v>504</v>
      </c>
      <c r="C317" t="s">
        <v>505</v>
      </c>
      <c r="D317" t="s">
        <v>1284</v>
      </c>
      <c r="E317">
        <v>-11</v>
      </c>
      <c r="F317" s="105">
        <v>6287103.0999999996</v>
      </c>
      <c r="G317" t="s">
        <v>491</v>
      </c>
      <c r="H317">
        <v>106880.75</v>
      </c>
      <c r="I317">
        <v>6465237.6900000004</v>
      </c>
      <c r="J317" s="384">
        <v>42686.543894907409</v>
      </c>
      <c r="K317" s="384">
        <v>43051</v>
      </c>
      <c r="L317" t="s">
        <v>506</v>
      </c>
      <c r="M317" t="s">
        <v>507</v>
      </c>
      <c r="N317" t="s">
        <v>1280</v>
      </c>
      <c r="O317" t="s">
        <v>44</v>
      </c>
      <c r="P317" t="s">
        <v>75</v>
      </c>
      <c r="Q317" t="s">
        <v>26</v>
      </c>
      <c r="R317" t="s">
        <v>2856</v>
      </c>
      <c r="S317">
        <v>65000000</v>
      </c>
      <c r="T317">
        <v>2210000000</v>
      </c>
      <c r="U317">
        <v>213761505.40000001</v>
      </c>
      <c r="Z317"/>
    </row>
    <row r="318" spans="1:26" x14ac:dyDescent="0.25">
      <c r="A318">
        <v>102923</v>
      </c>
      <c r="B318" t="s">
        <v>1527</v>
      </c>
      <c r="C318" t="s">
        <v>1536</v>
      </c>
      <c r="D318" t="s">
        <v>1281</v>
      </c>
      <c r="E318">
        <v>-13</v>
      </c>
      <c r="F318" s="105">
        <v>10265291.01</v>
      </c>
      <c r="G318" t="s">
        <v>468</v>
      </c>
      <c r="H318">
        <v>191618.77</v>
      </c>
      <c r="I318">
        <v>12952748.800000001</v>
      </c>
      <c r="J318" s="384">
        <v>42688.730867858794</v>
      </c>
      <c r="K318" s="384">
        <v>43418</v>
      </c>
      <c r="L318" t="s">
        <v>1537</v>
      </c>
      <c r="M318" t="s">
        <v>1280</v>
      </c>
      <c r="N318" t="s">
        <v>1280</v>
      </c>
      <c r="O318" t="s">
        <v>25</v>
      </c>
      <c r="P318" t="s">
        <v>103</v>
      </c>
      <c r="Q318" t="s">
        <v>104</v>
      </c>
      <c r="R318" t="s">
        <v>2856</v>
      </c>
      <c r="S318">
        <v>16000000</v>
      </c>
      <c r="T318">
        <v>672000000</v>
      </c>
      <c r="U318">
        <v>431142222.42000002</v>
      </c>
      <c r="Z318"/>
    </row>
    <row r="319" spans="1:26" x14ac:dyDescent="0.25">
      <c r="A319">
        <v>102926</v>
      </c>
      <c r="B319" t="s">
        <v>3373</v>
      </c>
      <c r="C319" t="s">
        <v>3375</v>
      </c>
      <c r="D319" t="s">
        <v>1281</v>
      </c>
      <c r="E319">
        <v>16</v>
      </c>
      <c r="F319" s="105">
        <v>3215479.8</v>
      </c>
      <c r="G319" t="s">
        <v>2494</v>
      </c>
      <c r="H319">
        <v>161404.47</v>
      </c>
      <c r="I319">
        <v>3409669.56</v>
      </c>
      <c r="J319" s="384">
        <v>42689.727213576392</v>
      </c>
      <c r="K319" s="384">
        <v>43054</v>
      </c>
      <c r="L319" t="s">
        <v>3376</v>
      </c>
      <c r="M319" t="s">
        <v>1280</v>
      </c>
      <c r="N319" t="s">
        <v>1280</v>
      </c>
      <c r="O319" t="s">
        <v>37</v>
      </c>
      <c r="P319" t="s">
        <v>38</v>
      </c>
      <c r="Q319" t="s">
        <v>39</v>
      </c>
      <c r="R319" t="s">
        <v>2636</v>
      </c>
      <c r="S319">
        <v>16000000</v>
      </c>
      <c r="T319">
        <v>768000000</v>
      </c>
      <c r="U319">
        <v>154343030.40000001</v>
      </c>
      <c r="Z319"/>
    </row>
    <row r="320" spans="1:26" x14ac:dyDescent="0.25">
      <c r="A320">
        <v>102928</v>
      </c>
      <c r="B320" t="s">
        <v>3385</v>
      </c>
      <c r="C320" t="s">
        <v>3390</v>
      </c>
      <c r="D320" t="s">
        <v>1284</v>
      </c>
      <c r="E320">
        <v>15</v>
      </c>
      <c r="F320" s="105">
        <v>20699417.469999999</v>
      </c>
      <c r="G320" t="s">
        <v>491</v>
      </c>
      <c r="H320">
        <v>708118.97</v>
      </c>
      <c r="I320">
        <v>30975722.079999998</v>
      </c>
      <c r="J320" s="384">
        <v>42690.685126122684</v>
      </c>
      <c r="K320" s="384">
        <v>43785</v>
      </c>
      <c r="L320" t="s">
        <v>3391</v>
      </c>
      <c r="M320" t="s">
        <v>3392</v>
      </c>
      <c r="N320" t="s">
        <v>1280</v>
      </c>
      <c r="O320" t="s">
        <v>44</v>
      </c>
      <c r="P320" t="s">
        <v>75</v>
      </c>
      <c r="Q320" t="s">
        <v>1442</v>
      </c>
      <c r="R320" t="s">
        <v>2636</v>
      </c>
      <c r="S320">
        <v>25000000</v>
      </c>
      <c r="T320">
        <v>1000000000</v>
      </c>
      <c r="U320">
        <v>827976698.79999995</v>
      </c>
      <c r="Z320"/>
    </row>
    <row r="321" spans="1:26" x14ac:dyDescent="0.25">
      <c r="A321">
        <v>102929</v>
      </c>
      <c r="B321" t="s">
        <v>919</v>
      </c>
      <c r="C321" t="s">
        <v>920</v>
      </c>
      <c r="D321" t="s">
        <v>1284</v>
      </c>
      <c r="E321">
        <v>-16</v>
      </c>
      <c r="F321" s="105">
        <v>57026438.890000001</v>
      </c>
      <c r="G321" t="s">
        <v>90</v>
      </c>
      <c r="H321">
        <v>741343.71</v>
      </c>
      <c r="I321">
        <v>95184545.760000005</v>
      </c>
      <c r="J321" s="384">
        <v>42691.430251157406</v>
      </c>
      <c r="K321" s="384">
        <v>44152</v>
      </c>
      <c r="L321" t="s">
        <v>921</v>
      </c>
      <c r="M321" t="s">
        <v>922</v>
      </c>
      <c r="N321" t="s">
        <v>1280</v>
      </c>
      <c r="O321" t="s">
        <v>44</v>
      </c>
      <c r="P321" t="s">
        <v>75</v>
      </c>
      <c r="Q321" t="s">
        <v>26</v>
      </c>
      <c r="R321" t="s">
        <v>2856</v>
      </c>
      <c r="S321">
        <v>65000000</v>
      </c>
      <c r="T321">
        <v>2340000000</v>
      </c>
      <c r="U321">
        <v>2052951800.04</v>
      </c>
      <c r="Z321"/>
    </row>
    <row r="322" spans="1:26" x14ac:dyDescent="0.25">
      <c r="A322">
        <v>102932</v>
      </c>
      <c r="B322" t="s">
        <v>3393</v>
      </c>
      <c r="C322" t="s">
        <v>3406</v>
      </c>
      <c r="D322" t="s">
        <v>1283</v>
      </c>
      <c r="E322">
        <v>-16</v>
      </c>
      <c r="F322" s="105">
        <v>51843235.170000002</v>
      </c>
      <c r="G322" t="s">
        <v>86</v>
      </c>
      <c r="H322">
        <v>673962.06</v>
      </c>
      <c r="I322">
        <v>74431165.659999996</v>
      </c>
      <c r="J322" s="384">
        <v>42691.780292905096</v>
      </c>
      <c r="K322" s="384">
        <v>43786</v>
      </c>
      <c r="L322" t="s">
        <v>3407</v>
      </c>
      <c r="M322" t="s">
        <v>3408</v>
      </c>
      <c r="N322" t="s">
        <v>1280</v>
      </c>
      <c r="O322" t="s">
        <v>31</v>
      </c>
      <c r="P322" t="s">
        <v>298</v>
      </c>
      <c r="Q322" t="s">
        <v>298</v>
      </c>
      <c r="R322" t="s">
        <v>2856</v>
      </c>
      <c r="S322">
        <v>65000000</v>
      </c>
      <c r="T322">
        <v>2340000000</v>
      </c>
      <c r="U322">
        <v>1866356466.1199999</v>
      </c>
      <c r="Z322"/>
    </row>
    <row r="323" spans="1:26" x14ac:dyDescent="0.25">
      <c r="A323">
        <v>102933</v>
      </c>
      <c r="B323" t="s">
        <v>79</v>
      </c>
      <c r="C323" t="s">
        <v>241</v>
      </c>
      <c r="D323" t="s">
        <v>1283</v>
      </c>
      <c r="E323">
        <v>72</v>
      </c>
      <c r="F323" s="105">
        <v>37085030.789999999</v>
      </c>
      <c r="G323" t="s">
        <v>5725</v>
      </c>
      <c r="H323">
        <v>1645597.57</v>
      </c>
      <c r="I323">
        <v>46748868.259999998</v>
      </c>
      <c r="J323" s="384">
        <v>42693.545957638889</v>
      </c>
      <c r="K323" s="384">
        <v>43423</v>
      </c>
      <c r="L323" t="s">
        <v>242</v>
      </c>
      <c r="M323" t="s">
        <v>1280</v>
      </c>
      <c r="N323" t="s">
        <v>1280</v>
      </c>
      <c r="O323" t="s">
        <v>27</v>
      </c>
      <c r="P323" t="s">
        <v>116</v>
      </c>
      <c r="Q323" t="s">
        <v>3426</v>
      </c>
      <c r="R323" t="s">
        <v>2856</v>
      </c>
      <c r="S323">
        <v>50000000</v>
      </c>
      <c r="T323">
        <v>1800000000</v>
      </c>
      <c r="U323">
        <v>1335061108.4400001</v>
      </c>
      <c r="Z323"/>
    </row>
    <row r="324" spans="1:26" x14ac:dyDescent="0.25">
      <c r="A324">
        <v>102935</v>
      </c>
      <c r="B324" t="s">
        <v>1051</v>
      </c>
      <c r="C324" t="s">
        <v>1052</v>
      </c>
      <c r="D324" t="s">
        <v>1284</v>
      </c>
      <c r="E324">
        <v>-20</v>
      </c>
      <c r="F324" s="105">
        <v>15951764.710000001</v>
      </c>
      <c r="G324" t="s">
        <v>3074</v>
      </c>
      <c r="H324">
        <v>143565.88</v>
      </c>
      <c r="I324">
        <v>22901897.23</v>
      </c>
      <c r="J324" s="384">
        <v>42695.465715706021</v>
      </c>
      <c r="K324" s="384">
        <v>43790</v>
      </c>
      <c r="L324" t="s">
        <v>1053</v>
      </c>
      <c r="M324" t="s">
        <v>1280</v>
      </c>
      <c r="N324" t="s">
        <v>1280</v>
      </c>
      <c r="O324" t="s">
        <v>36</v>
      </c>
      <c r="P324" t="s">
        <v>97</v>
      </c>
      <c r="Q324" t="s">
        <v>98</v>
      </c>
      <c r="R324" t="s">
        <v>2856</v>
      </c>
      <c r="S324">
        <v>20000000</v>
      </c>
      <c r="T324">
        <v>720000000</v>
      </c>
      <c r="U324">
        <v>574263529.55999994</v>
      </c>
      <c r="Z324"/>
    </row>
    <row r="325" spans="1:26" x14ac:dyDescent="0.25">
      <c r="A325">
        <v>102936</v>
      </c>
      <c r="B325" t="s">
        <v>3446</v>
      </c>
      <c r="C325" t="s">
        <v>3447</v>
      </c>
      <c r="D325" t="s">
        <v>1282</v>
      </c>
      <c r="E325">
        <v>-21</v>
      </c>
      <c r="F325" s="105">
        <v>307362.03000000003</v>
      </c>
      <c r="G325" t="s">
        <v>90</v>
      </c>
      <c r="H325">
        <v>3278.53</v>
      </c>
      <c r="I325">
        <v>319656.51</v>
      </c>
      <c r="J325" s="384">
        <v>42696.624011689812</v>
      </c>
      <c r="K325" s="384">
        <v>43061</v>
      </c>
      <c r="L325" t="s">
        <v>3448</v>
      </c>
      <c r="M325" t="s">
        <v>3449</v>
      </c>
      <c r="N325" t="s">
        <v>1280</v>
      </c>
      <c r="O325" t="s">
        <v>44</v>
      </c>
      <c r="P325" t="s">
        <v>75</v>
      </c>
      <c r="Q325" t="s">
        <v>26</v>
      </c>
      <c r="R325" t="s">
        <v>2856</v>
      </c>
      <c r="S325">
        <v>3000000</v>
      </c>
      <c r="T325">
        <v>144000000</v>
      </c>
      <c r="U325">
        <v>14753377.439999999</v>
      </c>
      <c r="Z325"/>
    </row>
    <row r="326" spans="1:26" x14ac:dyDescent="0.25">
      <c r="A326">
        <v>102937</v>
      </c>
      <c r="B326" t="s">
        <v>1446</v>
      </c>
      <c r="C326" t="s">
        <v>1476</v>
      </c>
      <c r="D326" t="s">
        <v>1283</v>
      </c>
      <c r="E326">
        <v>-21</v>
      </c>
      <c r="F326" s="105">
        <v>21978832.079999998</v>
      </c>
      <c r="G326" t="s">
        <v>86</v>
      </c>
      <c r="H326">
        <v>175830.66</v>
      </c>
      <c r="I326">
        <v>26866574.23</v>
      </c>
      <c r="J326" s="384">
        <v>42696.410496215278</v>
      </c>
      <c r="K326" s="384">
        <v>43426</v>
      </c>
      <c r="L326" t="s">
        <v>1477</v>
      </c>
      <c r="M326" t="s">
        <v>1478</v>
      </c>
      <c r="N326" t="s">
        <v>1280</v>
      </c>
      <c r="O326" t="s">
        <v>37</v>
      </c>
      <c r="P326" t="s">
        <v>288</v>
      </c>
      <c r="Q326" t="s">
        <v>26</v>
      </c>
      <c r="R326" t="s">
        <v>2856</v>
      </c>
      <c r="S326">
        <v>35000000</v>
      </c>
      <c r="T326">
        <v>1260000000</v>
      </c>
      <c r="U326">
        <v>791237954.88</v>
      </c>
      <c r="Z326"/>
    </row>
    <row r="327" spans="1:26" x14ac:dyDescent="0.25">
      <c r="A327">
        <v>102938</v>
      </c>
      <c r="B327" t="s">
        <v>1561</v>
      </c>
      <c r="C327" t="s">
        <v>1587</v>
      </c>
      <c r="D327" t="s">
        <v>1283</v>
      </c>
      <c r="E327">
        <v>-21</v>
      </c>
      <c r="F327" s="105">
        <v>51843235.170000002</v>
      </c>
      <c r="G327" t="s">
        <v>2855</v>
      </c>
      <c r="H327">
        <v>414745.88</v>
      </c>
      <c r="I327">
        <v>74431165.659999996</v>
      </c>
      <c r="J327" s="384">
        <v>42696.446680520836</v>
      </c>
      <c r="K327" s="384">
        <v>43791</v>
      </c>
      <c r="L327" t="s">
        <v>1588</v>
      </c>
      <c r="M327" t="s">
        <v>1280</v>
      </c>
      <c r="N327" t="s">
        <v>1280</v>
      </c>
      <c r="O327" t="s">
        <v>44</v>
      </c>
      <c r="P327" t="s">
        <v>75</v>
      </c>
      <c r="Q327" t="s">
        <v>26</v>
      </c>
      <c r="R327" t="s">
        <v>2856</v>
      </c>
      <c r="S327">
        <v>65000000</v>
      </c>
      <c r="T327">
        <v>2340000000</v>
      </c>
      <c r="U327">
        <v>1866356466.1199999</v>
      </c>
      <c r="Z327"/>
    </row>
    <row r="328" spans="1:26" x14ac:dyDescent="0.25">
      <c r="A328">
        <v>102939</v>
      </c>
      <c r="B328" t="s">
        <v>1670</v>
      </c>
      <c r="C328" t="s">
        <v>1671</v>
      </c>
      <c r="D328" t="s">
        <v>1283</v>
      </c>
      <c r="E328">
        <v>-21</v>
      </c>
      <c r="F328" s="105">
        <v>24725235.219999999</v>
      </c>
      <c r="G328" t="s">
        <v>2538</v>
      </c>
      <c r="H328">
        <v>197801.88</v>
      </c>
      <c r="I328">
        <v>35497940.5</v>
      </c>
      <c r="J328" s="384">
        <v>42696.639129594907</v>
      </c>
      <c r="K328" s="384">
        <v>43791</v>
      </c>
      <c r="L328" t="s">
        <v>1672</v>
      </c>
      <c r="M328" t="s">
        <v>1280</v>
      </c>
      <c r="N328" t="s">
        <v>1280</v>
      </c>
      <c r="O328" t="s">
        <v>45</v>
      </c>
      <c r="P328" t="s">
        <v>45</v>
      </c>
      <c r="Q328" t="s">
        <v>89</v>
      </c>
      <c r="R328" t="s">
        <v>2856</v>
      </c>
      <c r="S328">
        <v>31000000</v>
      </c>
      <c r="T328">
        <v>1116000000</v>
      </c>
      <c r="U328">
        <v>890108467.91999996</v>
      </c>
      <c r="Z328"/>
    </row>
    <row r="329" spans="1:26" x14ac:dyDescent="0.25">
      <c r="A329">
        <v>102942</v>
      </c>
      <c r="B329" t="s">
        <v>1495</v>
      </c>
      <c r="C329" t="s">
        <v>1496</v>
      </c>
      <c r="D329" t="s">
        <v>1281</v>
      </c>
      <c r="E329">
        <v>-23</v>
      </c>
      <c r="F329" s="105">
        <v>24368329.510000002</v>
      </c>
      <c r="G329" t="s">
        <v>90</v>
      </c>
      <c r="H329">
        <v>170578.31</v>
      </c>
      <c r="I329">
        <v>36963122.310000002</v>
      </c>
      <c r="J329" s="384">
        <v>42698.645172337965</v>
      </c>
      <c r="K329" s="384">
        <v>43793</v>
      </c>
      <c r="L329" t="s">
        <v>1497</v>
      </c>
      <c r="M329" t="s">
        <v>1498</v>
      </c>
      <c r="N329" t="s">
        <v>1280</v>
      </c>
      <c r="O329" t="s">
        <v>25</v>
      </c>
      <c r="P329" t="s">
        <v>88</v>
      </c>
      <c r="Q329" t="s">
        <v>26</v>
      </c>
      <c r="R329" t="s">
        <v>2856</v>
      </c>
      <c r="S329">
        <v>30000000</v>
      </c>
      <c r="T329">
        <v>1260000000</v>
      </c>
      <c r="U329">
        <v>1023469839.42</v>
      </c>
      <c r="Z329"/>
    </row>
    <row r="330" spans="1:26" x14ac:dyDescent="0.25">
      <c r="A330">
        <v>102944</v>
      </c>
      <c r="B330" t="s">
        <v>1119</v>
      </c>
      <c r="C330" t="s">
        <v>1120</v>
      </c>
      <c r="D330" t="s">
        <v>1282</v>
      </c>
      <c r="E330">
        <v>-23</v>
      </c>
      <c r="F330" s="105">
        <v>524718.64</v>
      </c>
      <c r="G330" t="s">
        <v>2855</v>
      </c>
      <c r="H330">
        <v>4722.47</v>
      </c>
      <c r="I330">
        <v>548330.98</v>
      </c>
      <c r="J330" s="384">
        <v>42698.594912384258</v>
      </c>
      <c r="K330" s="384">
        <v>43063</v>
      </c>
      <c r="L330" t="s">
        <v>1121</v>
      </c>
      <c r="M330" t="s">
        <v>1122</v>
      </c>
      <c r="N330" t="s">
        <v>1280</v>
      </c>
      <c r="O330" t="s">
        <v>44</v>
      </c>
      <c r="P330" t="s">
        <v>75</v>
      </c>
      <c r="Q330" t="s">
        <v>1442</v>
      </c>
      <c r="R330" t="s">
        <v>2856</v>
      </c>
      <c r="S330">
        <v>5000000</v>
      </c>
      <c r="T330">
        <v>270000000</v>
      </c>
      <c r="U330">
        <v>28334806.559999999</v>
      </c>
      <c r="Z330"/>
    </row>
    <row r="331" spans="1:26" x14ac:dyDescent="0.25">
      <c r="A331">
        <v>102945</v>
      </c>
      <c r="B331" t="s">
        <v>1022</v>
      </c>
      <c r="C331" t="s">
        <v>1025</v>
      </c>
      <c r="D331" t="s">
        <v>1283</v>
      </c>
      <c r="E331">
        <v>-23</v>
      </c>
      <c r="F331" s="105">
        <v>43867352.810000002</v>
      </c>
      <c r="G331" t="s">
        <v>468</v>
      </c>
      <c r="H331">
        <v>263204.12</v>
      </c>
      <c r="I331">
        <v>62980217.009999998</v>
      </c>
      <c r="J331" s="384">
        <v>42698.788664467589</v>
      </c>
      <c r="K331" s="384">
        <v>43793</v>
      </c>
      <c r="L331" t="s">
        <v>1026</v>
      </c>
      <c r="M331" t="s">
        <v>1027</v>
      </c>
      <c r="N331" t="s">
        <v>1280</v>
      </c>
      <c r="O331" t="s">
        <v>36</v>
      </c>
      <c r="P331" t="s">
        <v>3461</v>
      </c>
      <c r="Q331" t="s">
        <v>3462</v>
      </c>
      <c r="R331" t="s">
        <v>2856</v>
      </c>
      <c r="S331">
        <v>55000000</v>
      </c>
      <c r="T331">
        <v>1980000000</v>
      </c>
      <c r="U331">
        <v>1579224701.1600001</v>
      </c>
      <c r="Z331"/>
    </row>
    <row r="332" spans="1:26" x14ac:dyDescent="0.25">
      <c r="A332">
        <v>102946</v>
      </c>
      <c r="B332" t="s">
        <v>776</v>
      </c>
      <c r="C332" t="s">
        <v>1870</v>
      </c>
      <c r="D332" t="s">
        <v>1282</v>
      </c>
      <c r="E332">
        <v>-1</v>
      </c>
      <c r="F332" s="105">
        <v>1419397.29</v>
      </c>
      <c r="G332" t="s">
        <v>5167</v>
      </c>
      <c r="H332">
        <v>52990.83</v>
      </c>
      <c r="I332">
        <v>1505117.75</v>
      </c>
      <c r="J332" s="384">
        <v>42699.590798611112</v>
      </c>
      <c r="K332" s="384">
        <v>43071</v>
      </c>
      <c r="L332" t="s">
        <v>1871</v>
      </c>
      <c r="M332" t="s">
        <v>1872</v>
      </c>
      <c r="N332" t="s">
        <v>1280</v>
      </c>
      <c r="O332" t="s">
        <v>25</v>
      </c>
      <c r="P332" t="s">
        <v>106</v>
      </c>
      <c r="Q332" t="s">
        <v>26</v>
      </c>
      <c r="R332" t="s">
        <v>2856</v>
      </c>
      <c r="S332">
        <v>7000000</v>
      </c>
      <c r="T332">
        <v>336000000</v>
      </c>
      <c r="U332">
        <v>68131069.920000002</v>
      </c>
      <c r="Z332"/>
    </row>
    <row r="333" spans="1:26" x14ac:dyDescent="0.25">
      <c r="A333">
        <v>102948</v>
      </c>
      <c r="B333" t="s">
        <v>457</v>
      </c>
      <c r="C333" t="s">
        <v>458</v>
      </c>
      <c r="D333" t="s">
        <v>1282</v>
      </c>
      <c r="E333">
        <v>-1</v>
      </c>
      <c r="F333" s="105">
        <v>4847941.7699999996</v>
      </c>
      <c r="G333" t="s">
        <v>963</v>
      </c>
      <c r="H333">
        <v>180989.83</v>
      </c>
      <c r="I333">
        <v>5444895.8200000003</v>
      </c>
      <c r="J333" s="384">
        <v>42699.680538541666</v>
      </c>
      <c r="K333" s="384">
        <v>43161</v>
      </c>
      <c r="L333" t="s">
        <v>459</v>
      </c>
      <c r="M333" t="s">
        <v>460</v>
      </c>
      <c r="N333" t="s">
        <v>1280</v>
      </c>
      <c r="O333" t="s">
        <v>25</v>
      </c>
      <c r="P333" t="s">
        <v>88</v>
      </c>
      <c r="Q333" t="s">
        <v>285</v>
      </c>
      <c r="R333" t="s">
        <v>2856</v>
      </c>
      <c r="S333">
        <v>12000000</v>
      </c>
      <c r="T333">
        <v>576000000</v>
      </c>
      <c r="U333">
        <v>232701204.96000001</v>
      </c>
      <c r="Z333"/>
    </row>
    <row r="334" spans="1:26" x14ac:dyDescent="0.25">
      <c r="A334">
        <v>102949</v>
      </c>
      <c r="B334" t="s">
        <v>3487</v>
      </c>
      <c r="C334" t="s">
        <v>3491</v>
      </c>
      <c r="D334" t="s">
        <v>1284</v>
      </c>
      <c r="E334">
        <v>6</v>
      </c>
      <c r="F334" s="105">
        <v>7193126.7300000004</v>
      </c>
      <c r="G334" t="s">
        <v>2855</v>
      </c>
      <c r="H334">
        <v>31699.200000000001</v>
      </c>
      <c r="I334">
        <v>7383321.9400000004</v>
      </c>
      <c r="J334" s="384">
        <v>42699.601465046297</v>
      </c>
      <c r="K334" s="384">
        <v>43064</v>
      </c>
      <c r="L334" t="s">
        <v>3492</v>
      </c>
      <c r="M334" t="s">
        <v>1280</v>
      </c>
      <c r="N334" t="s">
        <v>1280</v>
      </c>
      <c r="O334" t="s">
        <v>35</v>
      </c>
      <c r="P334" t="s">
        <v>26</v>
      </c>
      <c r="Q334" t="s">
        <v>26</v>
      </c>
      <c r="R334" t="s">
        <v>2856</v>
      </c>
      <c r="S334">
        <v>65000000</v>
      </c>
      <c r="T334">
        <v>2340000000</v>
      </c>
      <c r="U334">
        <v>258952562.28</v>
      </c>
      <c r="Z334"/>
    </row>
    <row r="335" spans="1:26" x14ac:dyDescent="0.25">
      <c r="A335">
        <v>102950</v>
      </c>
      <c r="B335" t="s">
        <v>2164</v>
      </c>
      <c r="C335" t="s">
        <v>2169</v>
      </c>
      <c r="D335" t="s">
        <v>1282</v>
      </c>
      <c r="E335">
        <v>36</v>
      </c>
      <c r="F335" s="105">
        <v>1275569.28</v>
      </c>
      <c r="G335" t="s">
        <v>4684</v>
      </c>
      <c r="H335">
        <v>40815.870000000003</v>
      </c>
      <c r="I335">
        <v>1337242.1599999999</v>
      </c>
      <c r="J335" s="384">
        <v>42702.384067974534</v>
      </c>
      <c r="K335" s="384">
        <v>43064</v>
      </c>
      <c r="L335" t="s">
        <v>2170</v>
      </c>
      <c r="M335" t="s">
        <v>2171</v>
      </c>
      <c r="N335" t="s">
        <v>1280</v>
      </c>
      <c r="O335" t="s">
        <v>27</v>
      </c>
      <c r="P335" t="s">
        <v>81</v>
      </c>
      <c r="Q335" t="s">
        <v>26</v>
      </c>
      <c r="R335" t="s">
        <v>2856</v>
      </c>
      <c r="S335">
        <v>4435650</v>
      </c>
      <c r="T335">
        <v>239525100</v>
      </c>
      <c r="U335">
        <v>68880741.120000005</v>
      </c>
      <c r="Z335"/>
    </row>
    <row r="336" spans="1:26" x14ac:dyDescent="0.25">
      <c r="A336">
        <v>102951</v>
      </c>
      <c r="B336" t="s">
        <v>651</v>
      </c>
      <c r="C336" t="s">
        <v>652</v>
      </c>
      <c r="D336" t="s">
        <v>1282</v>
      </c>
      <c r="E336">
        <v>-4</v>
      </c>
      <c r="F336" s="105">
        <v>1419397.29</v>
      </c>
      <c r="G336" t="s">
        <v>3074</v>
      </c>
      <c r="H336">
        <v>47313.24</v>
      </c>
      <c r="I336">
        <v>1505117.75</v>
      </c>
      <c r="J336" s="384">
        <v>42702.545250578703</v>
      </c>
      <c r="K336" s="384">
        <v>43074</v>
      </c>
      <c r="L336" t="s">
        <v>653</v>
      </c>
      <c r="M336" t="s">
        <v>1280</v>
      </c>
      <c r="N336" t="s">
        <v>1280</v>
      </c>
      <c r="O336" t="s">
        <v>36</v>
      </c>
      <c r="P336" t="s">
        <v>118</v>
      </c>
      <c r="Q336" t="s">
        <v>119</v>
      </c>
      <c r="R336" t="s">
        <v>2856</v>
      </c>
      <c r="S336">
        <v>7000000</v>
      </c>
      <c r="T336">
        <v>336000000</v>
      </c>
      <c r="U336">
        <v>68131069.920000002</v>
      </c>
      <c r="Z336"/>
    </row>
    <row r="337" spans="1:26" x14ac:dyDescent="0.25">
      <c r="A337">
        <v>102953</v>
      </c>
      <c r="B337" t="s">
        <v>3529</v>
      </c>
      <c r="C337" t="s">
        <v>3530</v>
      </c>
      <c r="D337" t="s">
        <v>1284</v>
      </c>
      <c r="E337">
        <v>149</v>
      </c>
      <c r="F337" s="105">
        <v>906020.09</v>
      </c>
      <c r="G337" t="s">
        <v>86</v>
      </c>
      <c r="H337">
        <v>30200.67</v>
      </c>
      <c r="I337">
        <v>936220.76</v>
      </c>
      <c r="J337" s="384">
        <v>42703.675373923608</v>
      </c>
      <c r="K337" s="384">
        <v>42888</v>
      </c>
      <c r="L337" t="s">
        <v>3531</v>
      </c>
      <c r="M337" t="s">
        <v>3532</v>
      </c>
      <c r="N337" t="s">
        <v>1280</v>
      </c>
      <c r="O337" t="s">
        <v>29</v>
      </c>
      <c r="P337" t="s">
        <v>96</v>
      </c>
      <c r="Q337" t="s">
        <v>26</v>
      </c>
      <c r="R337" t="s">
        <v>2856</v>
      </c>
      <c r="S337">
        <v>5000000</v>
      </c>
      <c r="T337">
        <v>200000000</v>
      </c>
      <c r="U337">
        <v>36240803.600000001</v>
      </c>
      <c r="Z337"/>
    </row>
    <row r="338" spans="1:26" x14ac:dyDescent="0.25">
      <c r="A338">
        <v>102954</v>
      </c>
      <c r="B338" t="s">
        <v>2135</v>
      </c>
      <c r="C338" t="s">
        <v>2152</v>
      </c>
      <c r="D338" t="s">
        <v>1284</v>
      </c>
      <c r="E338">
        <v>0</v>
      </c>
      <c r="F338" s="105">
        <v>30073458.710000001</v>
      </c>
      <c r="G338" t="s">
        <v>491</v>
      </c>
      <c r="H338">
        <v>872130.3</v>
      </c>
      <c r="I338">
        <v>37272104.799999997</v>
      </c>
      <c r="J338" s="384">
        <v>42703.748234027778</v>
      </c>
      <c r="K338" s="384">
        <v>43435</v>
      </c>
      <c r="L338" t="s">
        <v>2153</v>
      </c>
      <c r="M338" t="s">
        <v>1280</v>
      </c>
      <c r="N338" t="s">
        <v>1280</v>
      </c>
      <c r="O338" t="s">
        <v>44</v>
      </c>
      <c r="P338" t="s">
        <v>75</v>
      </c>
      <c r="Q338" t="s">
        <v>1442</v>
      </c>
      <c r="R338" t="s">
        <v>2856</v>
      </c>
      <c r="S338">
        <v>45000000</v>
      </c>
      <c r="T338">
        <v>1620000000</v>
      </c>
      <c r="U338">
        <v>1082644513.5599999</v>
      </c>
      <c r="Z338"/>
    </row>
    <row r="339" spans="1:26" x14ac:dyDescent="0.25">
      <c r="A339">
        <v>102955</v>
      </c>
      <c r="B339" t="s">
        <v>1558</v>
      </c>
      <c r="C339" t="s">
        <v>1582</v>
      </c>
      <c r="D339" t="s">
        <v>1284</v>
      </c>
      <c r="E339">
        <v>-1</v>
      </c>
      <c r="F339" s="105">
        <v>16707477.060000001</v>
      </c>
      <c r="G339" t="s">
        <v>1447</v>
      </c>
      <c r="H339">
        <v>467809.36</v>
      </c>
      <c r="I339">
        <v>20706724.890000001</v>
      </c>
      <c r="J339" s="384">
        <v>42704.745354050923</v>
      </c>
      <c r="K339" s="384">
        <v>43436</v>
      </c>
      <c r="L339" t="s">
        <v>1583</v>
      </c>
      <c r="M339" t="s">
        <v>1280</v>
      </c>
      <c r="N339" t="s">
        <v>1280</v>
      </c>
      <c r="O339" t="s">
        <v>44</v>
      </c>
      <c r="P339" t="s">
        <v>75</v>
      </c>
      <c r="Q339" t="s">
        <v>26</v>
      </c>
      <c r="R339" t="s">
        <v>2856</v>
      </c>
      <c r="S339">
        <v>25000000</v>
      </c>
      <c r="T339">
        <v>900000000</v>
      </c>
      <c r="U339">
        <v>601469174.15999997</v>
      </c>
      <c r="Z339"/>
    </row>
    <row r="340" spans="1:26" x14ac:dyDescent="0.25">
      <c r="A340">
        <v>102957</v>
      </c>
      <c r="B340" t="s">
        <v>3608</v>
      </c>
      <c r="C340" t="s">
        <v>3609</v>
      </c>
      <c r="D340" t="s">
        <v>1282</v>
      </c>
      <c r="E340">
        <v>119</v>
      </c>
      <c r="F340" s="105">
        <v>1982596.54</v>
      </c>
      <c r="G340" t="s">
        <v>1191</v>
      </c>
      <c r="H340">
        <v>162620.07999999999</v>
      </c>
      <c r="I340">
        <v>2306295.71</v>
      </c>
      <c r="J340" s="384">
        <v>42705.715405752315</v>
      </c>
      <c r="K340" s="384">
        <v>43071</v>
      </c>
      <c r="L340" t="s">
        <v>3610</v>
      </c>
      <c r="M340" t="s">
        <v>1280</v>
      </c>
      <c r="N340" t="s">
        <v>1280</v>
      </c>
      <c r="O340" t="s">
        <v>25</v>
      </c>
      <c r="P340" t="s">
        <v>94</v>
      </c>
      <c r="Q340" t="s">
        <v>1828</v>
      </c>
      <c r="R340" t="s">
        <v>2636</v>
      </c>
      <c r="S340">
        <v>3500000</v>
      </c>
      <c r="T340">
        <v>189000000</v>
      </c>
      <c r="U340">
        <v>107060213.16</v>
      </c>
      <c r="Z340"/>
    </row>
    <row r="341" spans="1:26" x14ac:dyDescent="0.25">
      <c r="A341">
        <v>102960</v>
      </c>
      <c r="B341" t="s">
        <v>3554</v>
      </c>
      <c r="C341" t="s">
        <v>3566</v>
      </c>
      <c r="D341" t="s">
        <v>1282</v>
      </c>
      <c r="E341">
        <v>-1</v>
      </c>
      <c r="F341" s="105">
        <v>2059579.07</v>
      </c>
      <c r="G341" t="s">
        <v>1447</v>
      </c>
      <c r="H341">
        <v>86502.32</v>
      </c>
      <c r="I341">
        <v>2199620.38</v>
      </c>
      <c r="J341" s="384">
        <v>42704.533907210651</v>
      </c>
      <c r="K341" s="384">
        <v>43071</v>
      </c>
      <c r="L341" t="s">
        <v>3567</v>
      </c>
      <c r="M341" t="s">
        <v>1280</v>
      </c>
      <c r="N341" t="s">
        <v>1280</v>
      </c>
      <c r="O341" t="s">
        <v>44</v>
      </c>
      <c r="P341" t="s">
        <v>75</v>
      </c>
      <c r="Q341" t="s">
        <v>1442</v>
      </c>
      <c r="R341" t="s">
        <v>2636</v>
      </c>
      <c r="S341">
        <v>10000000</v>
      </c>
      <c r="T341">
        <v>540000000</v>
      </c>
      <c r="U341">
        <v>111217269.78</v>
      </c>
      <c r="Z341"/>
    </row>
    <row r="342" spans="1:26" x14ac:dyDescent="0.25">
      <c r="A342">
        <v>102961</v>
      </c>
      <c r="B342" t="s">
        <v>3549</v>
      </c>
      <c r="C342" t="s">
        <v>3568</v>
      </c>
      <c r="D342" t="s">
        <v>1866</v>
      </c>
      <c r="E342">
        <v>89</v>
      </c>
      <c r="F342" s="105">
        <v>2867921.12</v>
      </c>
      <c r="G342" t="s">
        <v>1039</v>
      </c>
      <c r="H342">
        <v>115513.49</v>
      </c>
      <c r="I342">
        <v>3236160.42</v>
      </c>
      <c r="J342" s="384">
        <v>42704.698594525464</v>
      </c>
      <c r="K342" s="384">
        <v>43071</v>
      </c>
      <c r="L342" t="s">
        <v>3569</v>
      </c>
      <c r="M342" t="s">
        <v>3570</v>
      </c>
      <c r="N342" t="s">
        <v>1280</v>
      </c>
      <c r="O342" t="s">
        <v>25</v>
      </c>
      <c r="P342" t="s">
        <v>290</v>
      </c>
      <c r="Q342" t="s">
        <v>26</v>
      </c>
      <c r="R342" t="s">
        <v>2636</v>
      </c>
      <c r="S342">
        <v>6000000</v>
      </c>
      <c r="T342">
        <v>300000000</v>
      </c>
      <c r="U342">
        <v>143396056</v>
      </c>
      <c r="Z342"/>
    </row>
    <row r="343" spans="1:26" x14ac:dyDescent="0.25">
      <c r="A343">
        <v>102962</v>
      </c>
      <c r="B343" t="s">
        <v>492</v>
      </c>
      <c r="C343" t="s">
        <v>497</v>
      </c>
      <c r="D343" t="s">
        <v>1283</v>
      </c>
      <c r="E343">
        <v>-4</v>
      </c>
      <c r="F343" s="105">
        <v>53482136.450000003</v>
      </c>
      <c r="G343" t="s">
        <v>1191</v>
      </c>
      <c r="H343">
        <v>1337053.4099999999</v>
      </c>
      <c r="I343">
        <v>77784180.959999993</v>
      </c>
      <c r="J343" s="384">
        <v>42704.670561608793</v>
      </c>
      <c r="K343" s="384">
        <v>43804</v>
      </c>
      <c r="L343" t="s">
        <v>498</v>
      </c>
      <c r="M343" t="s">
        <v>499</v>
      </c>
      <c r="N343" t="s">
        <v>1280</v>
      </c>
      <c r="O343" t="s">
        <v>27</v>
      </c>
      <c r="P343" t="s">
        <v>116</v>
      </c>
      <c r="Q343" t="s">
        <v>1825</v>
      </c>
      <c r="R343" t="s">
        <v>2856</v>
      </c>
      <c r="S343">
        <v>65000000</v>
      </c>
      <c r="T343">
        <v>2340000000</v>
      </c>
      <c r="U343">
        <v>1925356912.2</v>
      </c>
      <c r="Z343"/>
    </row>
    <row r="344" spans="1:26" x14ac:dyDescent="0.25">
      <c r="A344">
        <v>102964</v>
      </c>
      <c r="B344" t="s">
        <v>3562</v>
      </c>
      <c r="C344" t="s">
        <v>3571</v>
      </c>
      <c r="D344" t="s">
        <v>1281</v>
      </c>
      <c r="E344">
        <v>0</v>
      </c>
      <c r="F344" s="105">
        <v>13873799.4</v>
      </c>
      <c r="G344" t="s">
        <v>2494</v>
      </c>
      <c r="H344">
        <v>536453.57999999996</v>
      </c>
      <c r="I344">
        <v>18387856.780000001</v>
      </c>
      <c r="J344" s="384">
        <v>42704.93469707176</v>
      </c>
      <c r="K344" s="384">
        <v>43435</v>
      </c>
      <c r="L344" t="s">
        <v>3572</v>
      </c>
      <c r="M344" t="s">
        <v>3573</v>
      </c>
      <c r="N344" t="s">
        <v>1280</v>
      </c>
      <c r="O344" t="s">
        <v>28</v>
      </c>
      <c r="P344" t="s">
        <v>26</v>
      </c>
      <c r="Q344" t="s">
        <v>26</v>
      </c>
      <c r="R344" t="s">
        <v>2636</v>
      </c>
      <c r="S344">
        <v>20000000</v>
      </c>
      <c r="T344">
        <v>960000000</v>
      </c>
      <c r="U344">
        <v>665942371.20000005</v>
      </c>
      <c r="Z344"/>
    </row>
    <row r="345" spans="1:26" x14ac:dyDescent="0.25">
      <c r="A345">
        <v>102965</v>
      </c>
      <c r="B345" t="s">
        <v>3557</v>
      </c>
      <c r="C345" t="s">
        <v>3574</v>
      </c>
      <c r="D345" t="s">
        <v>1284</v>
      </c>
      <c r="E345">
        <v>-1</v>
      </c>
      <c r="F345" s="105">
        <v>8126257.1500000004</v>
      </c>
      <c r="G345" t="s">
        <v>2494</v>
      </c>
      <c r="H345">
        <v>252816.89</v>
      </c>
      <c r="I345">
        <v>10301646.189999999</v>
      </c>
      <c r="J345" s="384">
        <v>42704.733085879627</v>
      </c>
      <c r="K345" s="384">
        <v>43436</v>
      </c>
      <c r="L345" t="s">
        <v>3575</v>
      </c>
      <c r="M345" t="s">
        <v>3576</v>
      </c>
      <c r="N345" t="s">
        <v>1280</v>
      </c>
      <c r="O345" t="s">
        <v>44</v>
      </c>
      <c r="P345" t="s">
        <v>75</v>
      </c>
      <c r="Q345" t="s">
        <v>1442</v>
      </c>
      <c r="R345" t="s">
        <v>2636</v>
      </c>
      <c r="S345">
        <v>12000000</v>
      </c>
      <c r="T345">
        <v>480000000</v>
      </c>
      <c r="U345">
        <v>325050286</v>
      </c>
      <c r="Z345"/>
    </row>
    <row r="346" spans="1:26" x14ac:dyDescent="0.25">
      <c r="A346">
        <v>102966</v>
      </c>
      <c r="B346" t="s">
        <v>3559</v>
      </c>
      <c r="C346" t="s">
        <v>3577</v>
      </c>
      <c r="D346" t="s">
        <v>1283</v>
      </c>
      <c r="E346">
        <v>-1</v>
      </c>
      <c r="F346" s="105">
        <v>30073458.710000001</v>
      </c>
      <c r="G346" t="s">
        <v>90</v>
      </c>
      <c r="H346">
        <v>842056.84</v>
      </c>
      <c r="I346">
        <v>37272104.799999997</v>
      </c>
      <c r="J346" s="384">
        <v>42704.840857754629</v>
      </c>
      <c r="K346" s="384">
        <v>43436</v>
      </c>
      <c r="L346" t="s">
        <v>3578</v>
      </c>
      <c r="M346" t="s">
        <v>3579</v>
      </c>
      <c r="N346" t="s">
        <v>1280</v>
      </c>
      <c r="O346" t="s">
        <v>44</v>
      </c>
      <c r="P346" t="s">
        <v>75</v>
      </c>
      <c r="Q346" t="s">
        <v>26</v>
      </c>
      <c r="R346" t="s">
        <v>2856</v>
      </c>
      <c r="S346">
        <v>45000000</v>
      </c>
      <c r="T346">
        <v>1620000000</v>
      </c>
      <c r="U346">
        <v>1082644513.5599999</v>
      </c>
      <c r="Z346"/>
    </row>
    <row r="347" spans="1:26" x14ac:dyDescent="0.25">
      <c r="A347">
        <v>102969</v>
      </c>
      <c r="B347" t="s">
        <v>3548</v>
      </c>
      <c r="C347" t="s">
        <v>3583</v>
      </c>
      <c r="D347" t="s">
        <v>1284</v>
      </c>
      <c r="E347">
        <v>-1</v>
      </c>
      <c r="F347" s="105">
        <v>10835009.51</v>
      </c>
      <c r="G347" t="s">
        <v>468</v>
      </c>
      <c r="H347">
        <v>337089.18</v>
      </c>
      <c r="I347">
        <v>13735528.220000001</v>
      </c>
      <c r="J347" s="384">
        <v>42704.872326157405</v>
      </c>
      <c r="K347" s="384">
        <v>43436</v>
      </c>
      <c r="L347" t="s">
        <v>3584</v>
      </c>
      <c r="M347" t="s">
        <v>1280</v>
      </c>
      <c r="N347" t="s">
        <v>3585</v>
      </c>
      <c r="O347" t="s">
        <v>25</v>
      </c>
      <c r="P347" t="s">
        <v>32</v>
      </c>
      <c r="Q347" t="s">
        <v>26</v>
      </c>
      <c r="R347" t="s">
        <v>2636</v>
      </c>
      <c r="S347">
        <v>16000000</v>
      </c>
      <c r="T347">
        <v>640000000</v>
      </c>
      <c r="U347">
        <v>433400380.39999998</v>
      </c>
      <c r="Z347"/>
    </row>
    <row r="348" spans="1:26" x14ac:dyDescent="0.25">
      <c r="A348">
        <v>102970</v>
      </c>
      <c r="B348" t="s">
        <v>192</v>
      </c>
      <c r="C348" t="s">
        <v>193</v>
      </c>
      <c r="D348" t="s">
        <v>1282</v>
      </c>
      <c r="E348">
        <v>-1</v>
      </c>
      <c r="F348" s="105">
        <v>2417793.4500000002</v>
      </c>
      <c r="G348" t="s">
        <v>1191</v>
      </c>
      <c r="H348">
        <v>232560.37</v>
      </c>
      <c r="I348">
        <v>2563809.21</v>
      </c>
      <c r="J348" s="384">
        <v>42704.926051736111</v>
      </c>
      <c r="K348" s="384">
        <v>43071</v>
      </c>
      <c r="L348" t="s">
        <v>194</v>
      </c>
      <c r="M348" t="s">
        <v>1280</v>
      </c>
      <c r="N348" t="s">
        <v>1280</v>
      </c>
      <c r="O348" t="s">
        <v>45</v>
      </c>
      <c r="P348" t="s">
        <v>45</v>
      </c>
      <c r="Q348" t="s">
        <v>26</v>
      </c>
      <c r="R348" t="s">
        <v>2856</v>
      </c>
      <c r="S348">
        <v>12000000</v>
      </c>
      <c r="T348">
        <v>576000000</v>
      </c>
      <c r="U348">
        <v>116054085.59999999</v>
      </c>
      <c r="Z348"/>
    </row>
    <row r="349" spans="1:26" x14ac:dyDescent="0.25">
      <c r="A349">
        <v>102971</v>
      </c>
      <c r="B349" t="s">
        <v>3558</v>
      </c>
      <c r="C349" t="s">
        <v>3586</v>
      </c>
      <c r="D349" t="s">
        <v>1284</v>
      </c>
      <c r="E349">
        <v>0</v>
      </c>
      <c r="F349" s="105">
        <v>16911537.350000001</v>
      </c>
      <c r="G349" t="s">
        <v>491</v>
      </c>
      <c r="H349">
        <v>544927.31000000006</v>
      </c>
      <c r="I349">
        <v>21438735.039999999</v>
      </c>
      <c r="J349" s="384">
        <v>42704.964472187501</v>
      </c>
      <c r="K349" s="384">
        <v>43435</v>
      </c>
      <c r="L349" t="s">
        <v>3587</v>
      </c>
      <c r="M349" t="s">
        <v>3588</v>
      </c>
      <c r="N349" t="s">
        <v>1280</v>
      </c>
      <c r="O349" t="s">
        <v>44</v>
      </c>
      <c r="P349" t="s">
        <v>75</v>
      </c>
      <c r="Q349" t="s">
        <v>1442</v>
      </c>
      <c r="R349" t="s">
        <v>2636</v>
      </c>
      <c r="S349">
        <v>25000000</v>
      </c>
      <c r="T349">
        <v>1000000000</v>
      </c>
      <c r="U349">
        <v>676461494</v>
      </c>
      <c r="Z349"/>
    </row>
    <row r="350" spans="1:26" x14ac:dyDescent="0.25">
      <c r="A350">
        <v>102972</v>
      </c>
      <c r="B350" t="s">
        <v>932</v>
      </c>
      <c r="C350" t="s">
        <v>954</v>
      </c>
      <c r="D350" t="s">
        <v>1284</v>
      </c>
      <c r="E350">
        <v>0</v>
      </c>
      <c r="F350" s="105">
        <v>15195493.560000001</v>
      </c>
      <c r="G350" t="s">
        <v>546</v>
      </c>
      <c r="H350">
        <v>440669.31</v>
      </c>
      <c r="I350">
        <v>20427517.059999999</v>
      </c>
      <c r="J350" s="384">
        <v>42704.975202430556</v>
      </c>
      <c r="K350" s="384">
        <v>43617</v>
      </c>
      <c r="L350" t="s">
        <v>955</v>
      </c>
      <c r="M350" t="s">
        <v>1280</v>
      </c>
      <c r="N350" t="s">
        <v>1280</v>
      </c>
      <c r="O350" t="s">
        <v>44</v>
      </c>
      <c r="P350" t="s">
        <v>75</v>
      </c>
      <c r="Q350" t="s">
        <v>1442</v>
      </c>
      <c r="R350" t="s">
        <v>2856</v>
      </c>
      <c r="S350">
        <v>20000000</v>
      </c>
      <c r="T350">
        <v>720000000</v>
      </c>
      <c r="U350">
        <v>547037768.15999997</v>
      </c>
      <c r="Z350"/>
    </row>
    <row r="351" spans="1:26" x14ac:dyDescent="0.25">
      <c r="A351">
        <v>102975</v>
      </c>
      <c r="B351" t="s">
        <v>731</v>
      </c>
      <c r="C351" t="s">
        <v>735</v>
      </c>
      <c r="D351" t="s">
        <v>1283</v>
      </c>
      <c r="E351">
        <v>-9</v>
      </c>
      <c r="F351" s="105">
        <v>11141234.68</v>
      </c>
      <c r="G351" t="s">
        <v>86</v>
      </c>
      <c r="H351">
        <v>259962.14</v>
      </c>
      <c r="I351">
        <v>12966315.689999999</v>
      </c>
      <c r="J351" s="384">
        <v>42705.689972488428</v>
      </c>
      <c r="K351" s="384">
        <v>43261</v>
      </c>
      <c r="L351" t="s">
        <v>736</v>
      </c>
      <c r="M351" t="s">
        <v>737</v>
      </c>
      <c r="N351" t="s">
        <v>1280</v>
      </c>
      <c r="O351" t="s">
        <v>44</v>
      </c>
      <c r="P351" t="s">
        <v>75</v>
      </c>
      <c r="Q351" t="s">
        <v>26</v>
      </c>
      <c r="R351" t="s">
        <v>2856</v>
      </c>
      <c r="S351">
        <v>21163000</v>
      </c>
      <c r="T351">
        <v>888846000</v>
      </c>
      <c r="U351">
        <v>467931856.56</v>
      </c>
      <c r="Z351"/>
    </row>
    <row r="352" spans="1:26" x14ac:dyDescent="0.25">
      <c r="A352">
        <v>102976</v>
      </c>
      <c r="B352" t="s">
        <v>615</v>
      </c>
      <c r="C352" t="s">
        <v>619</v>
      </c>
      <c r="D352" t="s">
        <v>1283</v>
      </c>
      <c r="E352">
        <v>0</v>
      </c>
      <c r="F352" s="105">
        <v>43355255.359999999</v>
      </c>
      <c r="G352" t="s">
        <v>468</v>
      </c>
      <c r="H352">
        <v>1257302.4099999999</v>
      </c>
      <c r="I352">
        <v>53733148.439999998</v>
      </c>
      <c r="J352" s="384">
        <v>42705.631719942132</v>
      </c>
      <c r="K352" s="384">
        <v>43435</v>
      </c>
      <c r="L352" t="s">
        <v>620</v>
      </c>
      <c r="M352" t="s">
        <v>1280</v>
      </c>
      <c r="N352" t="s">
        <v>1280</v>
      </c>
      <c r="O352" t="s">
        <v>45</v>
      </c>
      <c r="P352" t="s">
        <v>45</v>
      </c>
      <c r="Q352" t="s">
        <v>26</v>
      </c>
      <c r="R352" t="s">
        <v>2856</v>
      </c>
      <c r="S352">
        <v>65000000</v>
      </c>
      <c r="T352">
        <v>2340000000</v>
      </c>
      <c r="U352">
        <v>1560789192.96</v>
      </c>
      <c r="Z352"/>
    </row>
    <row r="353" spans="1:26" x14ac:dyDescent="0.25">
      <c r="A353">
        <v>102977</v>
      </c>
      <c r="B353" t="s">
        <v>3611</v>
      </c>
      <c r="C353" t="s">
        <v>3614</v>
      </c>
      <c r="D353" t="s">
        <v>1284</v>
      </c>
      <c r="E353">
        <v>29</v>
      </c>
      <c r="F353" s="105">
        <v>21394528.030000001</v>
      </c>
      <c r="G353" t="s">
        <v>1448</v>
      </c>
      <c r="H353">
        <v>1343836.83</v>
      </c>
      <c r="I353">
        <v>27534480.91</v>
      </c>
      <c r="J353" s="384">
        <v>42706.412457141203</v>
      </c>
      <c r="K353" s="384">
        <v>43436</v>
      </c>
      <c r="L353" t="s">
        <v>3615</v>
      </c>
      <c r="M353" t="s">
        <v>3616</v>
      </c>
      <c r="N353" t="s">
        <v>1280</v>
      </c>
      <c r="O353" t="s">
        <v>42</v>
      </c>
      <c r="P353" t="s">
        <v>26</v>
      </c>
      <c r="Q353" t="s">
        <v>26</v>
      </c>
      <c r="R353" t="s">
        <v>2636</v>
      </c>
      <c r="S353">
        <v>30000000</v>
      </c>
      <c r="T353">
        <v>1200000000</v>
      </c>
      <c r="U353">
        <v>855781121.20000005</v>
      </c>
      <c r="Z353"/>
    </row>
    <row r="354" spans="1:26" x14ac:dyDescent="0.25">
      <c r="A354">
        <v>102979</v>
      </c>
      <c r="B354" t="s">
        <v>3612</v>
      </c>
      <c r="C354" t="s">
        <v>3617</v>
      </c>
      <c r="D354" t="s">
        <v>1866</v>
      </c>
      <c r="E354">
        <v>29</v>
      </c>
      <c r="F354" s="105">
        <v>1785699.53</v>
      </c>
      <c r="G354" t="s">
        <v>468</v>
      </c>
      <c r="H354">
        <v>121638.32</v>
      </c>
      <c r="I354">
        <v>1936532.15</v>
      </c>
      <c r="J354" s="384">
        <v>42706.578117592595</v>
      </c>
      <c r="K354" s="384">
        <v>43071</v>
      </c>
      <c r="L354" t="s">
        <v>3618</v>
      </c>
      <c r="M354" t="s">
        <v>3619</v>
      </c>
      <c r="N354" t="s">
        <v>1280</v>
      </c>
      <c r="O354" t="s">
        <v>44</v>
      </c>
      <c r="P354" t="s">
        <v>75</v>
      </c>
      <c r="Q354" t="s">
        <v>1442</v>
      </c>
      <c r="R354" t="s">
        <v>2636</v>
      </c>
      <c r="S354">
        <v>6000000</v>
      </c>
      <c r="T354">
        <v>300000000</v>
      </c>
      <c r="U354">
        <v>89284976.5</v>
      </c>
      <c r="Z354"/>
    </row>
    <row r="355" spans="1:26" x14ac:dyDescent="0.25">
      <c r="A355">
        <v>102980</v>
      </c>
      <c r="B355" t="s">
        <v>3621</v>
      </c>
      <c r="C355" t="s">
        <v>3623</v>
      </c>
      <c r="D355" t="s">
        <v>1281</v>
      </c>
      <c r="E355">
        <v>-4</v>
      </c>
      <c r="F355" s="105">
        <v>10636838.539999999</v>
      </c>
      <c r="G355" t="s">
        <v>86</v>
      </c>
      <c r="H355">
        <v>354561.28000000003</v>
      </c>
      <c r="I355">
        <v>12638932.550000001</v>
      </c>
      <c r="J355" s="384">
        <v>42709.601917326392</v>
      </c>
      <c r="K355" s="384">
        <v>43256</v>
      </c>
      <c r="L355" t="s">
        <v>3624</v>
      </c>
      <c r="M355" t="s">
        <v>1280</v>
      </c>
      <c r="N355" t="s">
        <v>1280</v>
      </c>
      <c r="O355" t="s">
        <v>25</v>
      </c>
      <c r="P355" t="s">
        <v>101</v>
      </c>
      <c r="Q355" t="s">
        <v>26</v>
      </c>
      <c r="R355" t="s">
        <v>2636</v>
      </c>
      <c r="S355">
        <v>20000000</v>
      </c>
      <c r="T355">
        <v>960000000</v>
      </c>
      <c r="U355">
        <v>510568249.92000002</v>
      </c>
      <c r="Z355"/>
    </row>
    <row r="356" spans="1:26" x14ac:dyDescent="0.25">
      <c r="A356">
        <v>102981</v>
      </c>
      <c r="B356" t="s">
        <v>614</v>
      </c>
      <c r="C356" t="s">
        <v>616</v>
      </c>
      <c r="D356" t="s">
        <v>1281</v>
      </c>
      <c r="E356">
        <v>-4</v>
      </c>
      <c r="F356" s="105">
        <v>5919497.9699999997</v>
      </c>
      <c r="G356" t="s">
        <v>86</v>
      </c>
      <c r="H356">
        <v>172652.02</v>
      </c>
      <c r="I356">
        <v>6555292.6799999997</v>
      </c>
      <c r="J356" s="384">
        <v>42709.677225578707</v>
      </c>
      <c r="K356" s="384">
        <v>43164</v>
      </c>
      <c r="L356" t="s">
        <v>617</v>
      </c>
      <c r="M356" t="s">
        <v>618</v>
      </c>
      <c r="N356" t="s">
        <v>1280</v>
      </c>
      <c r="O356" t="s">
        <v>44</v>
      </c>
      <c r="P356" t="s">
        <v>92</v>
      </c>
      <c r="Q356" t="s">
        <v>26</v>
      </c>
      <c r="R356" t="s">
        <v>2856</v>
      </c>
      <c r="S356">
        <v>15100000</v>
      </c>
      <c r="T356">
        <v>634200000</v>
      </c>
      <c r="U356">
        <v>248618914.74000001</v>
      </c>
      <c r="Z356"/>
    </row>
    <row r="357" spans="1:26" x14ac:dyDescent="0.25">
      <c r="A357">
        <v>102982</v>
      </c>
      <c r="B357" t="s">
        <v>3622</v>
      </c>
      <c r="C357" t="s">
        <v>3625</v>
      </c>
      <c r="D357" t="s">
        <v>1284</v>
      </c>
      <c r="E357">
        <v>-13</v>
      </c>
      <c r="F357" s="105">
        <v>969554.21</v>
      </c>
      <c r="G357" t="s">
        <v>546</v>
      </c>
      <c r="H357">
        <v>15512.87</v>
      </c>
      <c r="I357">
        <v>1013399.08</v>
      </c>
      <c r="J357" s="384">
        <v>42709.676114201386</v>
      </c>
      <c r="K357" s="384">
        <v>43083</v>
      </c>
      <c r="L357" t="s">
        <v>3626</v>
      </c>
      <c r="M357" t="s">
        <v>3627</v>
      </c>
      <c r="N357" t="s">
        <v>1280</v>
      </c>
      <c r="O357" t="s">
        <v>44</v>
      </c>
      <c r="P357" t="s">
        <v>75</v>
      </c>
      <c r="Q357" t="s">
        <v>1442</v>
      </c>
      <c r="R357" t="s">
        <v>2856</v>
      </c>
      <c r="S357">
        <v>5000000</v>
      </c>
      <c r="T357">
        <v>180000000</v>
      </c>
      <c r="U357">
        <v>34903951.560000002</v>
      </c>
      <c r="Z357"/>
    </row>
    <row r="358" spans="1:26" x14ac:dyDescent="0.25">
      <c r="A358">
        <v>102985</v>
      </c>
      <c r="B358" t="s">
        <v>3681</v>
      </c>
      <c r="C358" t="s">
        <v>3684</v>
      </c>
      <c r="D358" t="s">
        <v>1282</v>
      </c>
      <c r="E358">
        <v>-12</v>
      </c>
      <c r="F358" s="105">
        <v>1026841.7</v>
      </c>
      <c r="G358" t="s">
        <v>2494</v>
      </c>
      <c r="H358">
        <v>26184.46</v>
      </c>
      <c r="I358">
        <v>1096661.92</v>
      </c>
      <c r="J358" s="384">
        <v>42717.470813113425</v>
      </c>
      <c r="K358" s="384">
        <v>43082</v>
      </c>
      <c r="L358" t="s">
        <v>3685</v>
      </c>
      <c r="M358" t="s">
        <v>1280</v>
      </c>
      <c r="N358" t="s">
        <v>1280</v>
      </c>
      <c r="O358" t="s">
        <v>25</v>
      </c>
      <c r="P358" t="s">
        <v>106</v>
      </c>
      <c r="Q358" t="s">
        <v>704</v>
      </c>
      <c r="R358" t="s">
        <v>2636</v>
      </c>
      <c r="S358">
        <v>5000000</v>
      </c>
      <c r="T358">
        <v>270000000</v>
      </c>
      <c r="U358">
        <v>55449451.799999997</v>
      </c>
      <c r="Z358"/>
    </row>
    <row r="359" spans="1:26" x14ac:dyDescent="0.25">
      <c r="A359">
        <v>102986</v>
      </c>
      <c r="B359" t="s">
        <v>3641</v>
      </c>
      <c r="C359" t="s">
        <v>3642</v>
      </c>
      <c r="D359" t="s">
        <v>1282</v>
      </c>
      <c r="E359">
        <v>23</v>
      </c>
      <c r="F359" s="105">
        <v>1808810.68</v>
      </c>
      <c r="G359" t="s">
        <v>2494</v>
      </c>
      <c r="H359">
        <v>122059.41</v>
      </c>
      <c r="I359">
        <v>1973991.42</v>
      </c>
      <c r="J359" s="384">
        <v>42712.699027083334</v>
      </c>
      <c r="K359" s="384">
        <v>43077</v>
      </c>
      <c r="L359" t="s">
        <v>3643</v>
      </c>
      <c r="M359" t="s">
        <v>3644</v>
      </c>
      <c r="N359" t="s">
        <v>1280</v>
      </c>
      <c r="O359" t="s">
        <v>44</v>
      </c>
      <c r="P359" t="s">
        <v>75</v>
      </c>
      <c r="Q359" t="s">
        <v>1442</v>
      </c>
      <c r="R359" t="s">
        <v>2636</v>
      </c>
      <c r="S359">
        <v>6000000</v>
      </c>
      <c r="T359">
        <v>324000000</v>
      </c>
      <c r="U359">
        <v>97675776.719999999</v>
      </c>
      <c r="Z359"/>
    </row>
    <row r="360" spans="1:26" x14ac:dyDescent="0.25">
      <c r="A360">
        <v>102987</v>
      </c>
      <c r="B360" t="s">
        <v>3646</v>
      </c>
      <c r="C360" t="s">
        <v>3651</v>
      </c>
      <c r="D360" t="s">
        <v>1282</v>
      </c>
      <c r="E360">
        <v>-8</v>
      </c>
      <c r="F360" s="105">
        <v>1026841.7</v>
      </c>
      <c r="G360" t="s">
        <v>1448</v>
      </c>
      <c r="H360">
        <v>32345.51</v>
      </c>
      <c r="I360">
        <v>1096661.92</v>
      </c>
      <c r="J360" s="384">
        <v>42713.562692789354</v>
      </c>
      <c r="K360" s="384">
        <v>43078</v>
      </c>
      <c r="L360" t="s">
        <v>3652</v>
      </c>
      <c r="M360" t="s">
        <v>1280</v>
      </c>
      <c r="N360" t="s">
        <v>1280</v>
      </c>
      <c r="O360" t="s">
        <v>25</v>
      </c>
      <c r="P360" t="s">
        <v>88</v>
      </c>
      <c r="Q360" t="s">
        <v>285</v>
      </c>
      <c r="R360" t="s">
        <v>2636</v>
      </c>
      <c r="S360">
        <v>5000000</v>
      </c>
      <c r="T360">
        <v>270000000</v>
      </c>
      <c r="U360">
        <v>55449451.799999997</v>
      </c>
      <c r="Z360"/>
    </row>
    <row r="361" spans="1:26" x14ac:dyDescent="0.25">
      <c r="A361">
        <v>102989</v>
      </c>
      <c r="B361" t="s">
        <v>934</v>
      </c>
      <c r="C361" t="s">
        <v>946</v>
      </c>
      <c r="D361" t="s">
        <v>1279</v>
      </c>
      <c r="E361">
        <v>22</v>
      </c>
      <c r="F361" s="105">
        <v>1425294.5</v>
      </c>
      <c r="G361" t="s">
        <v>963</v>
      </c>
      <c r="H361">
        <v>28135.45</v>
      </c>
      <c r="I361">
        <v>1485978.8</v>
      </c>
      <c r="J361" s="384">
        <v>42713.660623761571</v>
      </c>
      <c r="K361" s="384">
        <v>43078</v>
      </c>
      <c r="L361" t="s">
        <v>947</v>
      </c>
      <c r="M361" t="s">
        <v>948</v>
      </c>
      <c r="N361" t="s">
        <v>1280</v>
      </c>
      <c r="O361" t="s">
        <v>44</v>
      </c>
      <c r="P361" t="s">
        <v>75</v>
      </c>
      <c r="Q361" t="s">
        <v>1442</v>
      </c>
      <c r="R361" t="s">
        <v>2856</v>
      </c>
      <c r="S361">
        <v>5000000</v>
      </c>
      <c r="T361">
        <v>240000000</v>
      </c>
      <c r="U361">
        <v>68414136</v>
      </c>
      <c r="Z361"/>
    </row>
    <row r="362" spans="1:26" x14ac:dyDescent="0.25">
      <c r="A362">
        <v>102990</v>
      </c>
      <c r="B362" t="s">
        <v>3647</v>
      </c>
      <c r="C362" t="s">
        <v>3653</v>
      </c>
      <c r="D362" t="s">
        <v>1282</v>
      </c>
      <c r="E362">
        <v>-8</v>
      </c>
      <c r="F362" s="105">
        <v>2009674.83</v>
      </c>
      <c r="G362" t="s">
        <v>1909</v>
      </c>
      <c r="H362">
        <v>56270.9</v>
      </c>
      <c r="I362">
        <v>2131043.42</v>
      </c>
      <c r="J362" s="384">
        <v>42713.678413275462</v>
      </c>
      <c r="K362" s="384">
        <v>43078</v>
      </c>
      <c r="L362" t="s">
        <v>3654</v>
      </c>
      <c r="M362" t="s">
        <v>1280</v>
      </c>
      <c r="N362" t="s">
        <v>1280</v>
      </c>
      <c r="O362" t="s">
        <v>25</v>
      </c>
      <c r="P362" t="s">
        <v>88</v>
      </c>
      <c r="Q362" t="s">
        <v>285</v>
      </c>
      <c r="R362" t="s">
        <v>2856</v>
      </c>
      <c r="S362">
        <v>10000000</v>
      </c>
      <c r="T362">
        <v>480000000</v>
      </c>
      <c r="U362">
        <v>96464391.840000004</v>
      </c>
      <c r="Z362"/>
    </row>
    <row r="363" spans="1:26" x14ac:dyDescent="0.25">
      <c r="A363">
        <v>102996</v>
      </c>
      <c r="B363" t="s">
        <v>765</v>
      </c>
      <c r="C363" t="s">
        <v>768</v>
      </c>
      <c r="D363" t="s">
        <v>1281</v>
      </c>
      <c r="E363">
        <v>-12</v>
      </c>
      <c r="F363" s="105">
        <v>14961137.460000001</v>
      </c>
      <c r="G363" t="s">
        <v>963</v>
      </c>
      <c r="H363">
        <v>296729.23</v>
      </c>
      <c r="I363">
        <v>19180031.629999999</v>
      </c>
      <c r="J363" s="384">
        <v>42717.69995332176</v>
      </c>
      <c r="K363" s="384">
        <v>43447</v>
      </c>
      <c r="L363" t="s">
        <v>769</v>
      </c>
      <c r="M363" t="s">
        <v>770</v>
      </c>
      <c r="N363" t="s">
        <v>1280</v>
      </c>
      <c r="O363" t="s">
        <v>25</v>
      </c>
      <c r="P363" t="s">
        <v>295</v>
      </c>
      <c r="Q363" t="s">
        <v>296</v>
      </c>
      <c r="R363" t="s">
        <v>2856</v>
      </c>
      <c r="S363">
        <v>22000000</v>
      </c>
      <c r="T363">
        <v>924000000</v>
      </c>
      <c r="U363">
        <v>628367773.32000005</v>
      </c>
      <c r="Z363"/>
    </row>
    <row r="364" spans="1:26" x14ac:dyDescent="0.25">
      <c r="A364">
        <v>102997</v>
      </c>
      <c r="B364" t="s">
        <v>1411</v>
      </c>
      <c r="C364" t="s">
        <v>1412</v>
      </c>
      <c r="D364" t="s">
        <v>1281</v>
      </c>
      <c r="E364">
        <v>-12</v>
      </c>
      <c r="F364" s="105">
        <v>13029039.82</v>
      </c>
      <c r="G364" t="s">
        <v>1191</v>
      </c>
      <c r="H364">
        <v>258409.29</v>
      </c>
      <c r="I364">
        <v>15163368.16</v>
      </c>
      <c r="J364" s="384">
        <v>42717.529608645833</v>
      </c>
      <c r="K364" s="384">
        <v>43264</v>
      </c>
      <c r="L364" t="s">
        <v>1413</v>
      </c>
      <c r="M364" t="s">
        <v>1414</v>
      </c>
      <c r="N364" t="s">
        <v>1280</v>
      </c>
      <c r="O364" t="s">
        <v>37</v>
      </c>
      <c r="P364" t="s">
        <v>38</v>
      </c>
      <c r="Q364" t="s">
        <v>39</v>
      </c>
      <c r="R364" t="s">
        <v>2856</v>
      </c>
      <c r="S364">
        <v>25000000</v>
      </c>
      <c r="T364">
        <v>1050000000</v>
      </c>
      <c r="U364">
        <v>547219672.44000006</v>
      </c>
      <c r="Z364"/>
    </row>
    <row r="365" spans="1:26" x14ac:dyDescent="0.25">
      <c r="A365">
        <v>102998</v>
      </c>
      <c r="B365" t="s">
        <v>3695</v>
      </c>
      <c r="C365" t="s">
        <v>3697</v>
      </c>
      <c r="D365" t="s">
        <v>1282</v>
      </c>
      <c r="E365">
        <v>-13</v>
      </c>
      <c r="F365" s="105">
        <v>2053683.31</v>
      </c>
      <c r="G365" t="s">
        <v>2494</v>
      </c>
      <c r="H365">
        <v>49288.4</v>
      </c>
      <c r="I365">
        <v>2193323.73</v>
      </c>
      <c r="J365" s="384">
        <v>42718.660504432868</v>
      </c>
      <c r="K365" s="384">
        <v>43083</v>
      </c>
      <c r="L365" t="s">
        <v>3698</v>
      </c>
      <c r="M365" t="s">
        <v>1280</v>
      </c>
      <c r="N365" t="s">
        <v>1280</v>
      </c>
      <c r="O365" t="s">
        <v>37</v>
      </c>
      <c r="P365" t="s">
        <v>288</v>
      </c>
      <c r="Q365" t="s">
        <v>1829</v>
      </c>
      <c r="R365" t="s">
        <v>2636</v>
      </c>
      <c r="S365">
        <v>10000000</v>
      </c>
      <c r="T365">
        <v>540000000</v>
      </c>
      <c r="U365">
        <v>110898898.73999999</v>
      </c>
      <c r="Z365"/>
    </row>
    <row r="366" spans="1:26" x14ac:dyDescent="0.25">
      <c r="A366">
        <v>102999</v>
      </c>
      <c r="B366" t="s">
        <v>3705</v>
      </c>
      <c r="C366" t="s">
        <v>3709</v>
      </c>
      <c r="D366" t="s">
        <v>1284</v>
      </c>
      <c r="E366">
        <v>16</v>
      </c>
      <c r="F366" s="105">
        <v>54564092.57</v>
      </c>
      <c r="G366" t="s">
        <v>491</v>
      </c>
      <c r="H366">
        <v>2435279.31</v>
      </c>
      <c r="I366">
        <v>80385658.900000006</v>
      </c>
      <c r="J366" s="384">
        <v>42719.47424841435</v>
      </c>
      <c r="K366" s="384">
        <v>43814</v>
      </c>
      <c r="L366" t="s">
        <v>3710</v>
      </c>
      <c r="M366" t="s">
        <v>3711</v>
      </c>
      <c r="N366" t="s">
        <v>1280</v>
      </c>
      <c r="O366" t="s">
        <v>44</v>
      </c>
      <c r="P366" t="s">
        <v>75</v>
      </c>
      <c r="Q366" t="s">
        <v>1442</v>
      </c>
      <c r="R366" t="s">
        <v>2856</v>
      </c>
      <c r="S366">
        <v>65000000</v>
      </c>
      <c r="T366">
        <v>2340000000</v>
      </c>
      <c r="U366">
        <v>1964307332.52</v>
      </c>
      <c r="Z366"/>
    </row>
    <row r="367" spans="1:26" x14ac:dyDescent="0.25">
      <c r="A367">
        <v>103000</v>
      </c>
      <c r="B367" t="s">
        <v>3703</v>
      </c>
      <c r="C367" t="s">
        <v>3712</v>
      </c>
      <c r="D367" t="s">
        <v>1284</v>
      </c>
      <c r="E367">
        <v>-19</v>
      </c>
      <c r="F367" s="105">
        <v>16984196.989999998</v>
      </c>
      <c r="G367" t="s">
        <v>86</v>
      </c>
      <c r="H367">
        <v>188713.3</v>
      </c>
      <c r="I367">
        <v>21530845.550000001</v>
      </c>
      <c r="J367" s="384">
        <v>42719.680272303238</v>
      </c>
      <c r="K367" s="384">
        <v>43454</v>
      </c>
      <c r="L367" t="s">
        <v>3713</v>
      </c>
      <c r="M367" t="s">
        <v>1280</v>
      </c>
      <c r="N367" t="s">
        <v>1280</v>
      </c>
      <c r="O367" t="s">
        <v>25</v>
      </c>
      <c r="P367" t="s">
        <v>289</v>
      </c>
      <c r="Q367" t="s">
        <v>3704</v>
      </c>
      <c r="R367" t="s">
        <v>2636</v>
      </c>
      <c r="S367">
        <v>25000000</v>
      </c>
      <c r="T367">
        <v>1000000000</v>
      </c>
      <c r="U367">
        <v>679367879.60000002</v>
      </c>
      <c r="Z367"/>
    </row>
    <row r="368" spans="1:26" x14ac:dyDescent="0.25">
      <c r="A368">
        <v>103001</v>
      </c>
      <c r="B368" t="s">
        <v>3706</v>
      </c>
      <c r="C368" t="s">
        <v>3714</v>
      </c>
      <c r="D368" t="s">
        <v>1281</v>
      </c>
      <c r="E368">
        <v>76</v>
      </c>
      <c r="F368" s="105">
        <v>15224422.66</v>
      </c>
      <c r="G368" t="s">
        <v>5725</v>
      </c>
      <c r="H368">
        <v>1154004.7</v>
      </c>
      <c r="I368">
        <v>19116385.420000002</v>
      </c>
      <c r="J368" s="384">
        <v>42719.749187303241</v>
      </c>
      <c r="K368" s="384">
        <v>43266</v>
      </c>
      <c r="L368" t="s">
        <v>3715</v>
      </c>
      <c r="M368" t="s">
        <v>3716</v>
      </c>
      <c r="N368" t="s">
        <v>1280</v>
      </c>
      <c r="O368" t="s">
        <v>44</v>
      </c>
      <c r="P368" t="s">
        <v>75</v>
      </c>
      <c r="Q368" t="s">
        <v>26</v>
      </c>
      <c r="R368" t="s">
        <v>2636</v>
      </c>
      <c r="S368">
        <v>22000000</v>
      </c>
      <c r="T368">
        <v>1056000000</v>
      </c>
      <c r="U368">
        <v>730772287.67999995</v>
      </c>
      <c r="Z368"/>
    </row>
    <row r="369" spans="1:26" x14ac:dyDescent="0.25">
      <c r="A369">
        <v>103002</v>
      </c>
      <c r="B369" t="s">
        <v>390</v>
      </c>
      <c r="C369" t="s">
        <v>393</v>
      </c>
      <c r="D369" t="s">
        <v>1283</v>
      </c>
      <c r="E369">
        <v>37</v>
      </c>
      <c r="F369" s="105">
        <v>37337461.75</v>
      </c>
      <c r="G369" t="s">
        <v>1447</v>
      </c>
      <c r="H369">
        <v>1065568.81</v>
      </c>
      <c r="I369">
        <v>46448029.130000003</v>
      </c>
      <c r="J369" s="384">
        <v>42720.486729861113</v>
      </c>
      <c r="K369" s="384">
        <v>43458</v>
      </c>
      <c r="L369" t="s">
        <v>394</v>
      </c>
      <c r="M369" t="s">
        <v>1280</v>
      </c>
      <c r="N369" t="s">
        <v>1280</v>
      </c>
      <c r="O369" t="s">
        <v>37</v>
      </c>
      <c r="P369" t="s">
        <v>288</v>
      </c>
      <c r="Q369" t="s">
        <v>1313</v>
      </c>
      <c r="R369" t="s">
        <v>2856</v>
      </c>
      <c r="S369">
        <v>50000000</v>
      </c>
      <c r="T369">
        <v>1800000000</v>
      </c>
      <c r="U369">
        <v>1344148623</v>
      </c>
      <c r="Z369"/>
    </row>
    <row r="370" spans="1:26" x14ac:dyDescent="0.25">
      <c r="A370">
        <v>103005</v>
      </c>
      <c r="B370" t="s">
        <v>913</v>
      </c>
      <c r="C370" t="s">
        <v>2424</v>
      </c>
      <c r="D370" t="s">
        <v>1285</v>
      </c>
      <c r="E370">
        <v>-20</v>
      </c>
      <c r="F370" s="105">
        <v>10156399.689999999</v>
      </c>
      <c r="G370" t="s">
        <v>284</v>
      </c>
      <c r="H370">
        <v>63477.5</v>
      </c>
      <c r="I370">
        <v>14016923.060000001</v>
      </c>
      <c r="J370" s="384">
        <v>42723.521864155089</v>
      </c>
      <c r="K370" s="384">
        <v>44003</v>
      </c>
      <c r="L370" t="s">
        <v>2425</v>
      </c>
      <c r="M370" t="s">
        <v>1280</v>
      </c>
      <c r="N370" t="s">
        <v>1280</v>
      </c>
      <c r="O370" t="s">
        <v>43</v>
      </c>
      <c r="P370" t="s">
        <v>338</v>
      </c>
      <c r="Q370" t="s">
        <v>339</v>
      </c>
      <c r="R370" t="s">
        <v>2636</v>
      </c>
      <c r="S370">
        <v>12165000</v>
      </c>
      <c r="T370">
        <v>304125000</v>
      </c>
      <c r="U370">
        <v>253909992.25</v>
      </c>
      <c r="Z370"/>
    </row>
    <row r="371" spans="1:26" x14ac:dyDescent="0.25">
      <c r="A371">
        <v>103007</v>
      </c>
      <c r="B371" t="s">
        <v>2925</v>
      </c>
      <c r="C371" t="s">
        <v>2926</v>
      </c>
      <c r="D371" t="s">
        <v>1281</v>
      </c>
      <c r="E371">
        <v>71</v>
      </c>
      <c r="F371" s="105">
        <v>7475767.21</v>
      </c>
      <c r="G371" t="s">
        <v>1467</v>
      </c>
      <c r="H371">
        <v>467415.22</v>
      </c>
      <c r="I371">
        <v>8278715.9400000004</v>
      </c>
      <c r="J371" s="384">
        <v>42724.610130636574</v>
      </c>
      <c r="K371" s="384">
        <v>43089</v>
      </c>
      <c r="L371" t="s">
        <v>2927</v>
      </c>
      <c r="M371" t="s">
        <v>1280</v>
      </c>
      <c r="N371" t="s">
        <v>1280</v>
      </c>
      <c r="O371" t="s">
        <v>27</v>
      </c>
      <c r="P371" t="s">
        <v>116</v>
      </c>
      <c r="Q371" t="s">
        <v>26</v>
      </c>
      <c r="R371" t="s">
        <v>2856</v>
      </c>
      <c r="S371">
        <v>16000000</v>
      </c>
      <c r="T371">
        <v>672000000</v>
      </c>
      <c r="U371">
        <v>313982222.81999999</v>
      </c>
      <c r="Z371"/>
    </row>
    <row r="372" spans="1:26" x14ac:dyDescent="0.25">
      <c r="A372">
        <v>103009</v>
      </c>
      <c r="B372" t="s">
        <v>1604</v>
      </c>
      <c r="C372" t="s">
        <v>1609</v>
      </c>
      <c r="D372" t="s">
        <v>1284</v>
      </c>
      <c r="E372">
        <v>-23</v>
      </c>
      <c r="F372" s="105">
        <v>49385354.020000003</v>
      </c>
      <c r="G372" t="s">
        <v>491</v>
      </c>
      <c r="H372">
        <v>296312.12</v>
      </c>
      <c r="I372">
        <v>66389430.270000003</v>
      </c>
      <c r="J372" s="384">
        <v>42727.369213576392</v>
      </c>
      <c r="K372" s="384">
        <v>43640</v>
      </c>
      <c r="L372" t="s">
        <v>1610</v>
      </c>
      <c r="M372" t="s">
        <v>1611</v>
      </c>
      <c r="N372" t="s">
        <v>1280</v>
      </c>
      <c r="O372" t="s">
        <v>46</v>
      </c>
      <c r="P372" t="s">
        <v>46</v>
      </c>
      <c r="Q372" t="s">
        <v>112</v>
      </c>
      <c r="R372" t="s">
        <v>2856</v>
      </c>
      <c r="S372">
        <v>65000000</v>
      </c>
      <c r="T372">
        <v>2340000000</v>
      </c>
      <c r="U372">
        <v>1777872744.72</v>
      </c>
      <c r="Z372"/>
    </row>
    <row r="373" spans="1:26" x14ac:dyDescent="0.25">
      <c r="A373">
        <v>103011</v>
      </c>
      <c r="B373" t="s">
        <v>3781</v>
      </c>
      <c r="C373" t="s">
        <v>3784</v>
      </c>
      <c r="D373" t="s">
        <v>1282</v>
      </c>
      <c r="E373">
        <v>-22</v>
      </c>
      <c r="F373" s="105">
        <v>1540262.57</v>
      </c>
      <c r="G373" t="s">
        <v>5167</v>
      </c>
      <c r="H373">
        <v>16172.76</v>
      </c>
      <c r="I373">
        <v>1644992.9</v>
      </c>
      <c r="J373" s="384">
        <v>42727.653175810185</v>
      </c>
      <c r="K373" s="384">
        <v>43092</v>
      </c>
      <c r="L373" t="s">
        <v>3785</v>
      </c>
      <c r="M373" t="s">
        <v>1280</v>
      </c>
      <c r="N373" t="s">
        <v>1280</v>
      </c>
      <c r="O373" t="s">
        <v>37</v>
      </c>
      <c r="P373" t="s">
        <v>38</v>
      </c>
      <c r="Q373" t="s">
        <v>26</v>
      </c>
      <c r="R373" t="s">
        <v>2636</v>
      </c>
      <c r="S373">
        <v>7500000</v>
      </c>
      <c r="T373">
        <v>405000000</v>
      </c>
      <c r="U373">
        <v>83174178.780000001</v>
      </c>
      <c r="Z373"/>
    </row>
    <row r="374" spans="1:26" x14ac:dyDescent="0.25">
      <c r="A374">
        <v>103013</v>
      </c>
      <c r="B374" t="s">
        <v>3782</v>
      </c>
      <c r="C374" t="s">
        <v>3786</v>
      </c>
      <c r="D374" t="s">
        <v>1282</v>
      </c>
      <c r="E374">
        <v>-23</v>
      </c>
      <c r="F374" s="105">
        <v>1026841.7</v>
      </c>
      <c r="G374" t="s">
        <v>2494</v>
      </c>
      <c r="H374">
        <v>9241.58</v>
      </c>
      <c r="I374">
        <v>1096661.92</v>
      </c>
      <c r="J374" s="384">
        <v>42728.535344097225</v>
      </c>
      <c r="K374" s="384">
        <v>43093</v>
      </c>
      <c r="L374" t="s">
        <v>3787</v>
      </c>
      <c r="M374" t="s">
        <v>3788</v>
      </c>
      <c r="N374" t="s">
        <v>1280</v>
      </c>
      <c r="O374" t="s">
        <v>37</v>
      </c>
      <c r="P374" t="s">
        <v>26</v>
      </c>
      <c r="Q374" t="s">
        <v>26</v>
      </c>
      <c r="R374" t="s">
        <v>2636</v>
      </c>
      <c r="S374">
        <v>5000000</v>
      </c>
      <c r="T374">
        <v>270000000</v>
      </c>
      <c r="U374">
        <v>55449451.799999997</v>
      </c>
      <c r="Z374"/>
    </row>
    <row r="375" spans="1:26" x14ac:dyDescent="0.25">
      <c r="A375">
        <v>103014</v>
      </c>
      <c r="B375" t="s">
        <v>861</v>
      </c>
      <c r="C375" t="s">
        <v>865</v>
      </c>
      <c r="D375" t="s">
        <v>1284</v>
      </c>
      <c r="E375">
        <v>7</v>
      </c>
      <c r="F375" s="105">
        <v>34121138.359999999</v>
      </c>
      <c r="G375" t="s">
        <v>1039</v>
      </c>
      <c r="H375">
        <v>1257457.51</v>
      </c>
      <c r="I375">
        <v>42104133.049999997</v>
      </c>
      <c r="J375" s="384">
        <v>42728.544728125002</v>
      </c>
      <c r="K375" s="384">
        <v>43458</v>
      </c>
      <c r="L375" t="s">
        <v>866</v>
      </c>
      <c r="M375" t="s">
        <v>867</v>
      </c>
      <c r="N375" t="s">
        <v>1280</v>
      </c>
      <c r="O375" t="s">
        <v>44</v>
      </c>
      <c r="P375" t="s">
        <v>75</v>
      </c>
      <c r="Q375" t="s">
        <v>1442</v>
      </c>
      <c r="R375" t="s">
        <v>2856</v>
      </c>
      <c r="S375">
        <v>50000000</v>
      </c>
      <c r="T375">
        <v>1800000000</v>
      </c>
      <c r="U375">
        <v>1228360980.96</v>
      </c>
      <c r="Z375"/>
    </row>
    <row r="376" spans="1:26" x14ac:dyDescent="0.25">
      <c r="A376">
        <v>103018</v>
      </c>
      <c r="B376" t="s">
        <v>3808</v>
      </c>
      <c r="C376" t="s">
        <v>3811</v>
      </c>
      <c r="D376" t="s">
        <v>1279</v>
      </c>
      <c r="E376">
        <v>-1</v>
      </c>
      <c r="F376" s="105">
        <v>605533.28</v>
      </c>
      <c r="G376" t="s">
        <v>2034</v>
      </c>
      <c r="H376">
        <v>25432.400000000001</v>
      </c>
      <c r="I376">
        <v>660830.63</v>
      </c>
      <c r="J376" s="384">
        <v>42733.488834525466</v>
      </c>
      <c r="K376" s="384">
        <v>43102</v>
      </c>
      <c r="L376" t="s">
        <v>3812</v>
      </c>
      <c r="M376" t="s">
        <v>1280</v>
      </c>
      <c r="N376" t="s">
        <v>1280</v>
      </c>
      <c r="O376" t="s">
        <v>25</v>
      </c>
      <c r="P376" t="s">
        <v>88</v>
      </c>
      <c r="Q376" t="s">
        <v>285</v>
      </c>
      <c r="R376" t="s">
        <v>2636</v>
      </c>
      <c r="S376">
        <v>2000000</v>
      </c>
      <c r="T376">
        <v>108000000</v>
      </c>
      <c r="U376">
        <v>32698797.120000001</v>
      </c>
      <c r="Z376"/>
    </row>
    <row r="377" spans="1:26" x14ac:dyDescent="0.25">
      <c r="A377">
        <v>103019</v>
      </c>
      <c r="B377" t="s">
        <v>3807</v>
      </c>
      <c r="C377" t="s">
        <v>3813</v>
      </c>
      <c r="D377" t="s">
        <v>1282</v>
      </c>
      <c r="E377">
        <v>-1</v>
      </c>
      <c r="F377" s="105">
        <v>1211066.54</v>
      </c>
      <c r="G377" t="s">
        <v>468</v>
      </c>
      <c r="H377">
        <v>50864.79</v>
      </c>
      <c r="I377">
        <v>1321661.23</v>
      </c>
      <c r="J377" s="384">
        <v>42733.711408298608</v>
      </c>
      <c r="K377" s="384">
        <v>43102</v>
      </c>
      <c r="L377" t="s">
        <v>3814</v>
      </c>
      <c r="M377" t="s">
        <v>3815</v>
      </c>
      <c r="N377" t="s">
        <v>1280</v>
      </c>
      <c r="O377" t="s">
        <v>35</v>
      </c>
      <c r="P377" t="s">
        <v>121</v>
      </c>
      <c r="Q377" t="s">
        <v>26</v>
      </c>
      <c r="R377" t="s">
        <v>2636</v>
      </c>
      <c r="S377">
        <v>4000000</v>
      </c>
      <c r="T377">
        <v>216000000</v>
      </c>
      <c r="U377">
        <v>65397593.159999996</v>
      </c>
      <c r="Z377"/>
    </row>
    <row r="378" spans="1:26" x14ac:dyDescent="0.25">
      <c r="A378">
        <v>103021</v>
      </c>
      <c r="B378" t="s">
        <v>709</v>
      </c>
      <c r="C378" t="s">
        <v>711</v>
      </c>
      <c r="D378" t="s">
        <v>1283</v>
      </c>
      <c r="E378">
        <v>0</v>
      </c>
      <c r="F378" s="105">
        <v>54617067.43</v>
      </c>
      <c r="G378" t="s">
        <v>90</v>
      </c>
      <c r="H378">
        <v>1583894.96</v>
      </c>
      <c r="I378">
        <v>80463703.269999996</v>
      </c>
      <c r="J378" s="384">
        <v>42734.610254942127</v>
      </c>
      <c r="K378" s="384">
        <v>43831</v>
      </c>
      <c r="L378" t="s">
        <v>712</v>
      </c>
      <c r="M378" t="s">
        <v>713</v>
      </c>
      <c r="N378" t="s">
        <v>1280</v>
      </c>
      <c r="O378" t="s">
        <v>27</v>
      </c>
      <c r="P378" t="s">
        <v>26</v>
      </c>
      <c r="Q378" t="s">
        <v>26</v>
      </c>
      <c r="R378" t="s">
        <v>2856</v>
      </c>
      <c r="S378">
        <v>65000000</v>
      </c>
      <c r="T378">
        <v>2340000000</v>
      </c>
      <c r="U378">
        <v>1966214427.48</v>
      </c>
      <c r="Z378"/>
    </row>
    <row r="379" spans="1:26" x14ac:dyDescent="0.25">
      <c r="A379">
        <v>103022</v>
      </c>
      <c r="B379" t="s">
        <v>1491</v>
      </c>
      <c r="C379" t="s">
        <v>1492</v>
      </c>
      <c r="D379" t="s">
        <v>1281</v>
      </c>
      <c r="E379">
        <v>-6</v>
      </c>
      <c r="F379" s="105">
        <v>10464154.68</v>
      </c>
      <c r="G379" t="s">
        <v>86</v>
      </c>
      <c r="H379">
        <v>280788.15000000002</v>
      </c>
      <c r="I379">
        <v>12379241.99</v>
      </c>
      <c r="J379" s="384">
        <v>42734.642636886572</v>
      </c>
      <c r="K379" s="384">
        <v>43288</v>
      </c>
      <c r="L379" t="s">
        <v>1493</v>
      </c>
      <c r="M379" t="s">
        <v>1494</v>
      </c>
      <c r="N379" t="s">
        <v>1280</v>
      </c>
      <c r="O379" t="s">
        <v>25</v>
      </c>
      <c r="P379" t="s">
        <v>289</v>
      </c>
      <c r="Q379" t="s">
        <v>1771</v>
      </c>
      <c r="R379" t="s">
        <v>2856</v>
      </c>
      <c r="S379">
        <v>18000000</v>
      </c>
      <c r="T379">
        <v>756000000</v>
      </c>
      <c r="U379">
        <v>439494496.56</v>
      </c>
      <c r="Z379"/>
    </row>
    <row r="380" spans="1:26" x14ac:dyDescent="0.25">
      <c r="A380">
        <v>103024</v>
      </c>
      <c r="B380" t="s">
        <v>806</v>
      </c>
      <c r="C380" t="s">
        <v>807</v>
      </c>
      <c r="D380" t="s">
        <v>1282</v>
      </c>
      <c r="E380">
        <v>60</v>
      </c>
      <c r="F380" s="105">
        <v>4749594.84</v>
      </c>
      <c r="G380" t="s">
        <v>468</v>
      </c>
      <c r="H380">
        <v>344891.42</v>
      </c>
      <c r="I380">
        <v>5334438.88</v>
      </c>
      <c r="J380" s="384">
        <v>42735.676254317128</v>
      </c>
      <c r="K380" s="384">
        <v>43101</v>
      </c>
      <c r="L380" t="s">
        <v>808</v>
      </c>
      <c r="M380" t="s">
        <v>1280</v>
      </c>
      <c r="N380" t="s">
        <v>1280</v>
      </c>
      <c r="O380" t="s">
        <v>25</v>
      </c>
      <c r="P380" t="s">
        <v>26</v>
      </c>
      <c r="Q380" t="s">
        <v>26</v>
      </c>
      <c r="R380" t="s">
        <v>2856</v>
      </c>
      <c r="S380">
        <v>10000000</v>
      </c>
      <c r="T380">
        <v>480000000</v>
      </c>
      <c r="U380">
        <v>227980552.31999999</v>
      </c>
      <c r="Z380"/>
    </row>
    <row r="381" spans="1:26" x14ac:dyDescent="0.25">
      <c r="A381">
        <v>103027</v>
      </c>
      <c r="B381" t="s">
        <v>1142</v>
      </c>
      <c r="C381" t="s">
        <v>2349</v>
      </c>
      <c r="D381" t="s">
        <v>1282</v>
      </c>
      <c r="E381">
        <v>0</v>
      </c>
      <c r="F381" s="105">
        <v>4441066.08</v>
      </c>
      <c r="G381" t="s">
        <v>468</v>
      </c>
      <c r="H381">
        <v>171721.22</v>
      </c>
      <c r="I381">
        <v>4800995.0199999996</v>
      </c>
      <c r="J381" s="384">
        <v>42735.800914467596</v>
      </c>
      <c r="K381" s="384">
        <v>43101</v>
      </c>
      <c r="L381" t="s">
        <v>2350</v>
      </c>
      <c r="M381" t="s">
        <v>1280</v>
      </c>
      <c r="N381" t="s">
        <v>1280</v>
      </c>
      <c r="O381" t="s">
        <v>44</v>
      </c>
      <c r="P381" t="s">
        <v>75</v>
      </c>
      <c r="Q381" t="s">
        <v>1442</v>
      </c>
      <c r="R381" t="s">
        <v>2856</v>
      </c>
      <c r="S381">
        <v>15000000</v>
      </c>
      <c r="T381">
        <v>720000000</v>
      </c>
      <c r="U381">
        <v>213171171.84</v>
      </c>
      <c r="Z381"/>
    </row>
    <row r="382" spans="1:26" x14ac:dyDescent="0.25">
      <c r="A382">
        <v>103032</v>
      </c>
      <c r="B382" t="s">
        <v>638</v>
      </c>
      <c r="C382" t="s">
        <v>642</v>
      </c>
      <c r="D382" t="s">
        <v>1283</v>
      </c>
      <c r="E382">
        <v>-8</v>
      </c>
      <c r="F382" s="105">
        <v>38341211.009999998</v>
      </c>
      <c r="G382" t="s">
        <v>1191</v>
      </c>
      <c r="H382">
        <v>805165.43</v>
      </c>
      <c r="I382">
        <v>65560028.549999997</v>
      </c>
      <c r="J382" s="384">
        <v>42744.597391631942</v>
      </c>
      <c r="K382" s="384">
        <v>44205</v>
      </c>
      <c r="L382" t="s">
        <v>643</v>
      </c>
      <c r="M382" t="s">
        <v>644</v>
      </c>
      <c r="N382" t="s">
        <v>1280</v>
      </c>
      <c r="O382" t="s">
        <v>27</v>
      </c>
      <c r="P382" t="s">
        <v>26</v>
      </c>
      <c r="Q382" t="s">
        <v>26</v>
      </c>
      <c r="R382" t="s">
        <v>2856</v>
      </c>
      <c r="S382">
        <v>42474000</v>
      </c>
      <c r="T382">
        <v>1529064000</v>
      </c>
      <c r="U382">
        <v>1380283596.3599999</v>
      </c>
      <c r="Z382"/>
    </row>
    <row r="383" spans="1:26" x14ac:dyDescent="0.25">
      <c r="A383">
        <v>103033</v>
      </c>
      <c r="B383" t="s">
        <v>1443</v>
      </c>
      <c r="C383" t="s">
        <v>1451</v>
      </c>
      <c r="D383" t="s">
        <v>1283</v>
      </c>
      <c r="E383">
        <v>-8</v>
      </c>
      <c r="F383" s="105">
        <v>54564092.57</v>
      </c>
      <c r="G383" t="s">
        <v>86</v>
      </c>
      <c r="H383">
        <v>1145845.94</v>
      </c>
      <c r="I383">
        <v>80385658.900000006</v>
      </c>
      <c r="J383" s="384">
        <v>42744.666961030096</v>
      </c>
      <c r="K383" s="384">
        <v>43839</v>
      </c>
      <c r="L383" t="s">
        <v>1452</v>
      </c>
      <c r="M383" t="s">
        <v>1453</v>
      </c>
      <c r="N383" t="s">
        <v>1280</v>
      </c>
      <c r="O383" t="s">
        <v>37</v>
      </c>
      <c r="P383" t="s">
        <v>288</v>
      </c>
      <c r="Q383" t="s">
        <v>26</v>
      </c>
      <c r="R383" t="s">
        <v>2856</v>
      </c>
      <c r="S383">
        <v>65000000</v>
      </c>
      <c r="T383">
        <v>2340000000</v>
      </c>
      <c r="U383">
        <v>1964307332.52</v>
      </c>
      <c r="Z383"/>
    </row>
    <row r="384" spans="1:26" x14ac:dyDescent="0.25">
      <c r="A384">
        <v>103034</v>
      </c>
      <c r="B384" t="s">
        <v>3849</v>
      </c>
      <c r="C384" t="s">
        <v>3852</v>
      </c>
      <c r="D384" t="s">
        <v>1283</v>
      </c>
      <c r="E384">
        <v>-14</v>
      </c>
      <c r="F384" s="105">
        <v>51318627.119999997</v>
      </c>
      <c r="G384" t="s">
        <v>2855</v>
      </c>
      <c r="H384">
        <v>769779.41</v>
      </c>
      <c r="I384">
        <v>69911740.719999999</v>
      </c>
      <c r="J384" s="384">
        <v>42746.718805671298</v>
      </c>
      <c r="K384" s="384">
        <v>43661</v>
      </c>
      <c r="L384" t="s">
        <v>3853</v>
      </c>
      <c r="M384" t="s">
        <v>3854</v>
      </c>
      <c r="N384" t="s">
        <v>1280</v>
      </c>
      <c r="O384" t="s">
        <v>44</v>
      </c>
      <c r="P384" t="s">
        <v>75</v>
      </c>
      <c r="Q384" t="s">
        <v>1442</v>
      </c>
      <c r="R384" t="s">
        <v>2856</v>
      </c>
      <c r="S384">
        <v>65000000</v>
      </c>
      <c r="T384">
        <v>2340000000</v>
      </c>
      <c r="U384">
        <v>1847470576.3199999</v>
      </c>
      <c r="Z384"/>
    </row>
    <row r="385" spans="1:26" x14ac:dyDescent="0.25">
      <c r="A385">
        <v>103035</v>
      </c>
      <c r="B385" t="s">
        <v>3861</v>
      </c>
      <c r="C385" t="s">
        <v>3862</v>
      </c>
      <c r="D385" t="s">
        <v>1281</v>
      </c>
      <c r="E385">
        <v>-12</v>
      </c>
      <c r="F385" s="105">
        <v>7410775.8899999997</v>
      </c>
      <c r="G385" t="s">
        <v>468</v>
      </c>
      <c r="H385">
        <v>146980.39000000001</v>
      </c>
      <c r="I385">
        <v>8344602.2199999997</v>
      </c>
      <c r="J385" s="384">
        <v>42747.567707326387</v>
      </c>
      <c r="K385" s="384">
        <v>43203</v>
      </c>
      <c r="L385" t="s">
        <v>3863</v>
      </c>
      <c r="M385" t="s">
        <v>3864</v>
      </c>
      <c r="N385" t="s">
        <v>1280</v>
      </c>
      <c r="O385" t="s">
        <v>36</v>
      </c>
      <c r="P385" t="s">
        <v>97</v>
      </c>
      <c r="Q385" t="s">
        <v>98</v>
      </c>
      <c r="R385" t="s">
        <v>2856</v>
      </c>
      <c r="S385">
        <v>16000000</v>
      </c>
      <c r="T385">
        <v>672000000</v>
      </c>
      <c r="U385">
        <v>311252587.38</v>
      </c>
      <c r="Z385"/>
    </row>
    <row r="386" spans="1:26" x14ac:dyDescent="0.25">
      <c r="A386">
        <v>103036</v>
      </c>
      <c r="B386" t="s">
        <v>685</v>
      </c>
      <c r="C386" t="s">
        <v>1760</v>
      </c>
      <c r="D386" t="s">
        <v>1284</v>
      </c>
      <c r="E386">
        <v>-11</v>
      </c>
      <c r="F386" s="105">
        <v>5683363.9000000004</v>
      </c>
      <c r="G386" t="s">
        <v>86</v>
      </c>
      <c r="H386">
        <v>102300.55</v>
      </c>
      <c r="I386">
        <v>6027725.1100000003</v>
      </c>
      <c r="J386" s="384">
        <v>42747.564159062502</v>
      </c>
      <c r="K386" s="384">
        <v>43112</v>
      </c>
      <c r="L386" t="s">
        <v>1761</v>
      </c>
      <c r="M386" t="s">
        <v>1832</v>
      </c>
      <c r="N386" t="s">
        <v>1280</v>
      </c>
      <c r="O386" t="s">
        <v>37</v>
      </c>
      <c r="P386" t="s">
        <v>288</v>
      </c>
      <c r="Q386" t="s">
        <v>1313</v>
      </c>
      <c r="R386" t="s">
        <v>2856</v>
      </c>
      <c r="S386">
        <v>20000000</v>
      </c>
      <c r="T386">
        <v>720000000</v>
      </c>
      <c r="U386">
        <v>204601100.40000001</v>
      </c>
      <c r="Z386"/>
    </row>
    <row r="387" spans="1:26" x14ac:dyDescent="0.25">
      <c r="A387">
        <v>103037</v>
      </c>
      <c r="B387" t="s">
        <v>1356</v>
      </c>
      <c r="C387" t="s">
        <v>1357</v>
      </c>
      <c r="D387" t="s">
        <v>1284</v>
      </c>
      <c r="E387">
        <v>-22</v>
      </c>
      <c r="F387" s="105">
        <v>38769731.990000002</v>
      </c>
      <c r="G387" t="s">
        <v>90</v>
      </c>
      <c r="H387">
        <v>271388.12</v>
      </c>
      <c r="I387">
        <v>48714118.109999999</v>
      </c>
      <c r="J387" s="384">
        <v>42758.473323611113</v>
      </c>
      <c r="K387" s="384">
        <v>43488</v>
      </c>
      <c r="L387" t="s">
        <v>1358</v>
      </c>
      <c r="M387" t="s">
        <v>1280</v>
      </c>
      <c r="N387" t="s">
        <v>1280</v>
      </c>
      <c r="O387" t="s">
        <v>44</v>
      </c>
      <c r="P387" t="s">
        <v>75</v>
      </c>
      <c r="Q387" t="s">
        <v>26</v>
      </c>
      <c r="R387" t="s">
        <v>2856</v>
      </c>
      <c r="S387">
        <v>55000000</v>
      </c>
      <c r="T387">
        <v>1980000000</v>
      </c>
      <c r="U387">
        <v>1395710351.6400001</v>
      </c>
      <c r="Z387"/>
    </row>
    <row r="388" spans="1:26" x14ac:dyDescent="0.25">
      <c r="A388">
        <v>103038</v>
      </c>
      <c r="B388" t="s">
        <v>3867</v>
      </c>
      <c r="C388" t="s">
        <v>3868</v>
      </c>
      <c r="D388" t="s">
        <v>1284</v>
      </c>
      <c r="E388">
        <v>-12</v>
      </c>
      <c r="F388" s="105">
        <v>24960282.780000001</v>
      </c>
      <c r="G388" t="s">
        <v>468</v>
      </c>
      <c r="H388">
        <v>471472.01</v>
      </c>
      <c r="I388">
        <v>32123561.239999998</v>
      </c>
      <c r="J388" s="384">
        <v>42748.569454629629</v>
      </c>
      <c r="K388" s="384">
        <v>43478</v>
      </c>
      <c r="L388" t="s">
        <v>3869</v>
      </c>
      <c r="M388" t="s">
        <v>3870</v>
      </c>
      <c r="N388" t="s">
        <v>1280</v>
      </c>
      <c r="O388" t="s">
        <v>27</v>
      </c>
      <c r="P388" t="s">
        <v>81</v>
      </c>
      <c r="Q388" t="s">
        <v>26</v>
      </c>
      <c r="R388" t="s">
        <v>2636</v>
      </c>
      <c r="S388">
        <v>35000000</v>
      </c>
      <c r="T388">
        <v>1400000000</v>
      </c>
      <c r="U388">
        <v>998411311.20000005</v>
      </c>
      <c r="Z388"/>
    </row>
    <row r="389" spans="1:26" x14ac:dyDescent="0.25">
      <c r="A389">
        <v>103041</v>
      </c>
      <c r="B389" t="s">
        <v>2060</v>
      </c>
      <c r="C389" t="s">
        <v>2062</v>
      </c>
      <c r="D389" t="s">
        <v>1283</v>
      </c>
      <c r="E389">
        <v>78</v>
      </c>
      <c r="F389" s="105">
        <v>58355347.810000002</v>
      </c>
      <c r="G389" t="s">
        <v>5725</v>
      </c>
      <c r="H389">
        <v>3244475.11</v>
      </c>
      <c r="I389">
        <v>89154479.349999994</v>
      </c>
      <c r="J389" s="384">
        <v>42748.729617824072</v>
      </c>
      <c r="K389" s="384">
        <v>43843</v>
      </c>
      <c r="L389" t="s">
        <v>2063</v>
      </c>
      <c r="M389" t="s">
        <v>1280</v>
      </c>
      <c r="N389" t="s">
        <v>1280</v>
      </c>
      <c r="O389" t="s">
        <v>25</v>
      </c>
      <c r="P389" t="s">
        <v>26</v>
      </c>
      <c r="Q389" t="s">
        <v>26</v>
      </c>
      <c r="R389" t="s">
        <v>2856</v>
      </c>
      <c r="S389">
        <v>65000000</v>
      </c>
      <c r="T389">
        <v>2340000000</v>
      </c>
      <c r="U389">
        <v>2100792521.1600001</v>
      </c>
      <c r="Z389"/>
    </row>
    <row r="390" spans="1:26" x14ac:dyDescent="0.25">
      <c r="A390">
        <v>103042</v>
      </c>
      <c r="B390" t="s">
        <v>3877</v>
      </c>
      <c r="C390" t="s">
        <v>3879</v>
      </c>
      <c r="D390" t="s">
        <v>1279</v>
      </c>
      <c r="E390">
        <v>-13</v>
      </c>
      <c r="F390" s="105">
        <v>1478459.94</v>
      </c>
      <c r="G390" t="s">
        <v>5167</v>
      </c>
      <c r="H390">
        <v>31540.48</v>
      </c>
      <c r="I390">
        <v>1598282.64</v>
      </c>
      <c r="J390" s="384">
        <v>42749.543612303241</v>
      </c>
      <c r="K390" s="384">
        <v>43114</v>
      </c>
      <c r="L390" t="s">
        <v>3880</v>
      </c>
      <c r="M390" t="s">
        <v>3881</v>
      </c>
      <c r="N390" t="s">
        <v>3882</v>
      </c>
      <c r="O390" t="s">
        <v>25</v>
      </c>
      <c r="P390" t="s">
        <v>295</v>
      </c>
      <c r="Q390" t="s">
        <v>3613</v>
      </c>
      <c r="R390" t="s">
        <v>2856</v>
      </c>
      <c r="S390">
        <v>5000000</v>
      </c>
      <c r="T390">
        <v>240000000</v>
      </c>
      <c r="U390">
        <v>70966077.120000005</v>
      </c>
      <c r="Z390"/>
    </row>
    <row r="391" spans="1:26" x14ac:dyDescent="0.25">
      <c r="A391">
        <v>103044</v>
      </c>
      <c r="B391" t="s">
        <v>1939</v>
      </c>
      <c r="C391" t="s">
        <v>1940</v>
      </c>
      <c r="D391" t="s">
        <v>1282</v>
      </c>
      <c r="E391">
        <v>-13</v>
      </c>
      <c r="F391" s="105">
        <v>1182767.92</v>
      </c>
      <c r="G391" t="s">
        <v>1447</v>
      </c>
      <c r="H391">
        <v>61883.72</v>
      </c>
      <c r="I391">
        <v>1278626.08</v>
      </c>
      <c r="J391" s="384">
        <v>42749.609014085647</v>
      </c>
      <c r="K391" s="384">
        <v>43114</v>
      </c>
      <c r="L391" t="s">
        <v>1941</v>
      </c>
      <c r="M391" t="s">
        <v>1280</v>
      </c>
      <c r="N391" t="s">
        <v>1280</v>
      </c>
      <c r="O391" t="s">
        <v>25</v>
      </c>
      <c r="P391" t="s">
        <v>88</v>
      </c>
      <c r="Q391" t="s">
        <v>285</v>
      </c>
      <c r="R391" t="s">
        <v>2856</v>
      </c>
      <c r="S391">
        <v>4000000</v>
      </c>
      <c r="T391">
        <v>192000000</v>
      </c>
      <c r="U391">
        <v>56772860.159999996</v>
      </c>
      <c r="Z391"/>
    </row>
    <row r="392" spans="1:26" x14ac:dyDescent="0.25">
      <c r="A392">
        <v>103045</v>
      </c>
      <c r="B392" t="s">
        <v>3888</v>
      </c>
      <c r="C392" t="s">
        <v>3889</v>
      </c>
      <c r="D392" t="s">
        <v>1281</v>
      </c>
      <c r="E392">
        <v>-15</v>
      </c>
      <c r="F392" s="105">
        <v>10572148.58</v>
      </c>
      <c r="G392" t="s">
        <v>468</v>
      </c>
      <c r="H392">
        <v>197346.77</v>
      </c>
      <c r="I392">
        <v>12796919.1</v>
      </c>
      <c r="J392" s="384">
        <v>42751.566293634256</v>
      </c>
      <c r="K392" s="384">
        <v>43297</v>
      </c>
      <c r="L392" t="s">
        <v>3890</v>
      </c>
      <c r="M392" t="s">
        <v>3891</v>
      </c>
      <c r="N392" t="s">
        <v>1280</v>
      </c>
      <c r="O392" t="s">
        <v>45</v>
      </c>
      <c r="P392" t="s">
        <v>45</v>
      </c>
      <c r="Q392" t="s">
        <v>89</v>
      </c>
      <c r="R392" t="s">
        <v>2636</v>
      </c>
      <c r="S392">
        <v>18000000</v>
      </c>
      <c r="T392">
        <v>864000000</v>
      </c>
      <c r="U392">
        <v>507463131.83999997</v>
      </c>
      <c r="Z392"/>
    </row>
    <row r="393" spans="1:26" x14ac:dyDescent="0.25">
      <c r="A393">
        <v>103046</v>
      </c>
      <c r="B393" t="s">
        <v>3887</v>
      </c>
      <c r="C393" t="s">
        <v>3892</v>
      </c>
      <c r="D393" t="s">
        <v>1283</v>
      </c>
      <c r="E393">
        <v>-15</v>
      </c>
      <c r="F393" s="105">
        <v>41972378.890000001</v>
      </c>
      <c r="G393" t="s">
        <v>4684</v>
      </c>
      <c r="H393">
        <v>587613.30000000005</v>
      </c>
      <c r="I393">
        <v>61835122.159999996</v>
      </c>
      <c r="J393" s="384">
        <v>42751.604390127315</v>
      </c>
      <c r="K393" s="384">
        <v>43846</v>
      </c>
      <c r="L393" t="s">
        <v>3893</v>
      </c>
      <c r="M393" t="s">
        <v>1280</v>
      </c>
      <c r="N393" t="s">
        <v>1280</v>
      </c>
      <c r="O393" t="s">
        <v>25</v>
      </c>
      <c r="P393" t="s">
        <v>289</v>
      </c>
      <c r="Q393" t="s">
        <v>26</v>
      </c>
      <c r="R393" t="s">
        <v>2856</v>
      </c>
      <c r="S393">
        <v>50000000</v>
      </c>
      <c r="T393">
        <v>1800000000</v>
      </c>
      <c r="U393">
        <v>1511005640.04</v>
      </c>
      <c r="Z393"/>
    </row>
    <row r="394" spans="1:26" x14ac:dyDescent="0.25">
      <c r="A394">
        <v>103047</v>
      </c>
      <c r="B394" t="s">
        <v>91</v>
      </c>
      <c r="C394" t="s">
        <v>252</v>
      </c>
      <c r="D394" t="s">
        <v>1279</v>
      </c>
      <c r="E394">
        <v>-16</v>
      </c>
      <c r="F394" s="105">
        <v>604683.37</v>
      </c>
      <c r="G394" t="s">
        <v>1667</v>
      </c>
      <c r="H394">
        <v>11791.33</v>
      </c>
      <c r="I394">
        <v>631894.12</v>
      </c>
      <c r="J394" s="384">
        <v>42752.591254664352</v>
      </c>
      <c r="K394" s="384">
        <v>43056</v>
      </c>
      <c r="L394" t="s">
        <v>253</v>
      </c>
      <c r="M394" t="s">
        <v>254</v>
      </c>
      <c r="N394" t="s">
        <v>1280</v>
      </c>
      <c r="O394" t="s">
        <v>44</v>
      </c>
      <c r="P394" t="s">
        <v>75</v>
      </c>
      <c r="Q394" t="s">
        <v>1442</v>
      </c>
      <c r="R394" t="s">
        <v>2856</v>
      </c>
      <c r="S394">
        <v>5000000</v>
      </c>
      <c r="T394">
        <v>270000000</v>
      </c>
      <c r="U394">
        <v>32652901.98</v>
      </c>
      <c r="Z394"/>
    </row>
    <row r="395" spans="1:26" x14ac:dyDescent="0.25">
      <c r="A395">
        <v>103048</v>
      </c>
      <c r="B395" t="s">
        <v>3897</v>
      </c>
      <c r="C395" t="s">
        <v>3903</v>
      </c>
      <c r="D395" t="s">
        <v>1279</v>
      </c>
      <c r="E395">
        <v>-14</v>
      </c>
      <c r="F395" s="105">
        <v>1202411.95</v>
      </c>
      <c r="G395" t="s">
        <v>1448</v>
      </c>
      <c r="H395">
        <v>27054.27</v>
      </c>
      <c r="I395">
        <v>1312216.31</v>
      </c>
      <c r="J395" s="384">
        <v>42752.6407056713</v>
      </c>
      <c r="K395" s="384">
        <v>43115</v>
      </c>
      <c r="L395" t="s">
        <v>3904</v>
      </c>
      <c r="M395" t="s">
        <v>3905</v>
      </c>
      <c r="N395" t="s">
        <v>1280</v>
      </c>
      <c r="O395" t="s">
        <v>25</v>
      </c>
      <c r="P395" t="s">
        <v>103</v>
      </c>
      <c r="Q395" t="s">
        <v>104</v>
      </c>
      <c r="R395" t="s">
        <v>2636</v>
      </c>
      <c r="S395">
        <v>4000000</v>
      </c>
      <c r="T395">
        <v>216000000</v>
      </c>
      <c r="U395">
        <v>64930245.299999997</v>
      </c>
      <c r="Z395"/>
    </row>
    <row r="396" spans="1:26" x14ac:dyDescent="0.25">
      <c r="A396">
        <v>103049</v>
      </c>
      <c r="B396" t="s">
        <v>1605</v>
      </c>
      <c r="C396" t="s">
        <v>1617</v>
      </c>
      <c r="D396" t="s">
        <v>1283</v>
      </c>
      <c r="E396">
        <v>-16</v>
      </c>
      <c r="F396" s="105">
        <v>28196168.73</v>
      </c>
      <c r="G396" t="s">
        <v>468</v>
      </c>
      <c r="H396">
        <v>366550.19</v>
      </c>
      <c r="I396">
        <v>35428449.539999999</v>
      </c>
      <c r="J396" s="384">
        <v>42752.741705243054</v>
      </c>
      <c r="K396" s="384">
        <v>43482</v>
      </c>
      <c r="L396" t="s">
        <v>1618</v>
      </c>
      <c r="M396" t="s">
        <v>1280</v>
      </c>
      <c r="N396" t="s">
        <v>1619</v>
      </c>
      <c r="O396" t="s">
        <v>25</v>
      </c>
      <c r="P396" t="s">
        <v>88</v>
      </c>
      <c r="Q396" t="s">
        <v>285</v>
      </c>
      <c r="R396" t="s">
        <v>2856</v>
      </c>
      <c r="S396">
        <v>40000000</v>
      </c>
      <c r="T396">
        <v>1440000000</v>
      </c>
      <c r="U396">
        <v>1015062074.28</v>
      </c>
      <c r="Z396"/>
    </row>
    <row r="397" spans="1:26" x14ac:dyDescent="0.25">
      <c r="A397">
        <v>103051</v>
      </c>
      <c r="B397" t="s">
        <v>3921</v>
      </c>
      <c r="C397" t="s">
        <v>3926</v>
      </c>
      <c r="D397" t="s">
        <v>1281</v>
      </c>
      <c r="E397">
        <v>-17</v>
      </c>
      <c r="F397" s="105">
        <v>7543736.8899999997</v>
      </c>
      <c r="G397" t="s">
        <v>2538</v>
      </c>
      <c r="H397">
        <v>120699.79</v>
      </c>
      <c r="I397">
        <v>8634345.5999999996</v>
      </c>
      <c r="J397" s="384">
        <v>42753.750005520837</v>
      </c>
      <c r="K397" s="384">
        <v>43208</v>
      </c>
      <c r="L397" t="s">
        <v>3927</v>
      </c>
      <c r="M397" t="s">
        <v>3928</v>
      </c>
      <c r="N397" t="s">
        <v>1280</v>
      </c>
      <c r="O397" t="s">
        <v>25</v>
      </c>
      <c r="P397" t="s">
        <v>32</v>
      </c>
      <c r="Q397" t="s">
        <v>517</v>
      </c>
      <c r="R397" t="s">
        <v>2636</v>
      </c>
      <c r="S397">
        <v>16000000</v>
      </c>
      <c r="T397">
        <v>768000000</v>
      </c>
      <c r="U397">
        <v>362099370.72000003</v>
      </c>
      <c r="Z397"/>
    </row>
    <row r="398" spans="1:26" x14ac:dyDescent="0.25">
      <c r="A398">
        <v>103052</v>
      </c>
      <c r="B398" t="s">
        <v>2758</v>
      </c>
      <c r="C398" t="s">
        <v>2761</v>
      </c>
      <c r="D398" t="s">
        <v>1283</v>
      </c>
      <c r="E398">
        <v>73</v>
      </c>
      <c r="F398" s="105">
        <v>58355347.810000002</v>
      </c>
      <c r="G398" t="s">
        <v>5724</v>
      </c>
      <c r="H398">
        <v>3324672.35</v>
      </c>
      <c r="I398">
        <v>89234676.590000004</v>
      </c>
      <c r="J398" s="384">
        <v>42753.754402546299</v>
      </c>
      <c r="K398" s="384">
        <v>43848</v>
      </c>
      <c r="L398" t="s">
        <v>2762</v>
      </c>
      <c r="M398" t="s">
        <v>2763</v>
      </c>
      <c r="N398" t="s">
        <v>1280</v>
      </c>
      <c r="O398" t="s">
        <v>37</v>
      </c>
      <c r="P398" t="s">
        <v>38</v>
      </c>
      <c r="Q398" t="s">
        <v>26</v>
      </c>
      <c r="R398" t="s">
        <v>2856</v>
      </c>
      <c r="S398">
        <v>65000000</v>
      </c>
      <c r="T398">
        <v>2340000000</v>
      </c>
      <c r="U398">
        <v>2100792521.1600001</v>
      </c>
      <c r="Z398"/>
    </row>
    <row r="399" spans="1:26" x14ac:dyDescent="0.25">
      <c r="A399">
        <v>103054</v>
      </c>
      <c r="B399" t="s">
        <v>408</v>
      </c>
      <c r="C399" t="s">
        <v>412</v>
      </c>
      <c r="D399" t="s">
        <v>1283</v>
      </c>
      <c r="E399">
        <v>13</v>
      </c>
      <c r="F399" s="105">
        <v>21707697.300000001</v>
      </c>
      <c r="G399" t="s">
        <v>1191</v>
      </c>
      <c r="H399">
        <v>839609.13</v>
      </c>
      <c r="I399">
        <v>25398652.219999999</v>
      </c>
      <c r="J399" s="384">
        <v>42753.798224386577</v>
      </c>
      <c r="K399" s="384">
        <v>43299</v>
      </c>
      <c r="L399" t="s">
        <v>413</v>
      </c>
      <c r="M399" t="s">
        <v>414</v>
      </c>
      <c r="N399" t="s">
        <v>1280</v>
      </c>
      <c r="O399" t="s">
        <v>31</v>
      </c>
      <c r="P399" t="s">
        <v>416</v>
      </c>
      <c r="Q399" t="s">
        <v>3920</v>
      </c>
      <c r="R399" t="s">
        <v>2856</v>
      </c>
      <c r="S399">
        <v>35000000</v>
      </c>
      <c r="T399">
        <v>1260000000</v>
      </c>
      <c r="U399">
        <v>781477102.79999995</v>
      </c>
      <c r="Z399"/>
    </row>
    <row r="400" spans="1:26" x14ac:dyDescent="0.25">
      <c r="A400">
        <v>103057</v>
      </c>
      <c r="B400" t="s">
        <v>3941</v>
      </c>
      <c r="C400" t="s">
        <v>3945</v>
      </c>
      <c r="D400" t="s">
        <v>1279</v>
      </c>
      <c r="E400">
        <v>-19</v>
      </c>
      <c r="F400" s="105">
        <v>1356607.98</v>
      </c>
      <c r="G400" t="s">
        <v>468</v>
      </c>
      <c r="H400">
        <v>20349.12</v>
      </c>
      <c r="I400">
        <v>1480493.53</v>
      </c>
      <c r="J400" s="384">
        <v>42755.644958530094</v>
      </c>
      <c r="K400" s="384">
        <v>43120</v>
      </c>
      <c r="L400" t="s">
        <v>3946</v>
      </c>
      <c r="M400" t="s">
        <v>1280</v>
      </c>
      <c r="N400" t="s">
        <v>1280</v>
      </c>
      <c r="O400" t="s">
        <v>27</v>
      </c>
      <c r="P400" t="s">
        <v>81</v>
      </c>
      <c r="Q400" t="s">
        <v>26</v>
      </c>
      <c r="R400" t="s">
        <v>2636</v>
      </c>
      <c r="S400">
        <v>4500000</v>
      </c>
      <c r="T400">
        <v>243000000</v>
      </c>
      <c r="U400">
        <v>73256830.920000002</v>
      </c>
      <c r="Z400"/>
    </row>
    <row r="401" spans="1:26" x14ac:dyDescent="0.25">
      <c r="A401">
        <v>103058</v>
      </c>
      <c r="B401" t="s">
        <v>3939</v>
      </c>
      <c r="C401" t="s">
        <v>3947</v>
      </c>
      <c r="D401" t="s">
        <v>1282</v>
      </c>
      <c r="E401">
        <v>-19</v>
      </c>
      <c r="F401" s="105">
        <v>1507342.24</v>
      </c>
      <c r="G401" t="s">
        <v>5167</v>
      </c>
      <c r="H401">
        <v>22610.13</v>
      </c>
      <c r="I401">
        <v>1644992.86</v>
      </c>
      <c r="J401" s="384">
        <v>42755.545407523146</v>
      </c>
      <c r="K401" s="384">
        <v>43120</v>
      </c>
      <c r="L401" t="s">
        <v>3948</v>
      </c>
      <c r="M401" t="s">
        <v>3949</v>
      </c>
      <c r="N401" t="s">
        <v>1280</v>
      </c>
      <c r="O401" t="s">
        <v>35</v>
      </c>
      <c r="P401" t="s">
        <v>121</v>
      </c>
      <c r="Q401" t="s">
        <v>26</v>
      </c>
      <c r="R401" t="s">
        <v>2636</v>
      </c>
      <c r="S401">
        <v>5000000</v>
      </c>
      <c r="T401">
        <v>270000000</v>
      </c>
      <c r="U401">
        <v>81396480.959999993</v>
      </c>
      <c r="Z401"/>
    </row>
    <row r="402" spans="1:26" x14ac:dyDescent="0.25">
      <c r="A402">
        <v>103059</v>
      </c>
      <c r="B402" t="s">
        <v>3964</v>
      </c>
      <c r="C402" t="s">
        <v>3968</v>
      </c>
      <c r="D402" t="s">
        <v>1281</v>
      </c>
      <c r="E402">
        <v>-22</v>
      </c>
      <c r="F402" s="105">
        <v>9429671.0999999996</v>
      </c>
      <c r="G402" t="s">
        <v>2494</v>
      </c>
      <c r="H402">
        <v>88010.26</v>
      </c>
      <c r="I402">
        <v>10792931.98</v>
      </c>
      <c r="J402" s="384">
        <v>42758.605742858796</v>
      </c>
      <c r="K402" s="384">
        <v>43213</v>
      </c>
      <c r="L402" t="s">
        <v>3969</v>
      </c>
      <c r="M402" t="s">
        <v>1280</v>
      </c>
      <c r="N402" t="s">
        <v>1280</v>
      </c>
      <c r="O402" t="s">
        <v>25</v>
      </c>
      <c r="P402" t="s">
        <v>295</v>
      </c>
      <c r="Q402" t="s">
        <v>296</v>
      </c>
      <c r="R402" t="s">
        <v>2636</v>
      </c>
      <c r="S402">
        <v>20000000</v>
      </c>
      <c r="T402">
        <v>960000000</v>
      </c>
      <c r="U402">
        <v>452624212.80000001</v>
      </c>
      <c r="Z402"/>
    </row>
    <row r="403" spans="1:26" x14ac:dyDescent="0.25">
      <c r="A403">
        <v>103060</v>
      </c>
      <c r="B403" t="s">
        <v>732</v>
      </c>
      <c r="C403" t="s">
        <v>2069</v>
      </c>
      <c r="D403" t="s">
        <v>1282</v>
      </c>
      <c r="E403">
        <v>-24</v>
      </c>
      <c r="F403" s="105">
        <v>1774151.84</v>
      </c>
      <c r="G403" t="s">
        <v>2861</v>
      </c>
      <c r="H403">
        <v>11827.68</v>
      </c>
      <c r="I403">
        <v>1917939.06</v>
      </c>
      <c r="J403" s="384">
        <v>42760.566499189816</v>
      </c>
      <c r="K403" s="384">
        <v>43125</v>
      </c>
      <c r="L403" t="s">
        <v>2070</v>
      </c>
      <c r="M403" t="s">
        <v>1280</v>
      </c>
      <c r="N403" t="s">
        <v>1280</v>
      </c>
      <c r="O403" t="s">
        <v>44</v>
      </c>
      <c r="P403" t="s">
        <v>75</v>
      </c>
      <c r="Q403" t="s">
        <v>1442</v>
      </c>
      <c r="R403" t="s">
        <v>2856</v>
      </c>
      <c r="S403">
        <v>6000000</v>
      </c>
      <c r="T403">
        <v>288000000</v>
      </c>
      <c r="U403">
        <v>85159288.319999993</v>
      </c>
      <c r="Z403"/>
    </row>
    <row r="404" spans="1:26" x14ac:dyDescent="0.25">
      <c r="A404">
        <v>103061</v>
      </c>
      <c r="B404" t="s">
        <v>3986</v>
      </c>
      <c r="C404" t="s">
        <v>3987</v>
      </c>
      <c r="D404" t="s">
        <v>1283</v>
      </c>
      <c r="E404">
        <v>0</v>
      </c>
      <c r="F404" s="105">
        <v>26060335.260000002</v>
      </c>
      <c r="G404" t="s">
        <v>963</v>
      </c>
      <c r="H404">
        <v>755749.72</v>
      </c>
      <c r="I404">
        <v>33194966.75</v>
      </c>
      <c r="J404" s="384">
        <v>42762.731174305554</v>
      </c>
      <c r="K404" s="384">
        <v>43497</v>
      </c>
      <c r="L404" t="s">
        <v>3988</v>
      </c>
      <c r="M404" t="s">
        <v>1280</v>
      </c>
      <c r="N404" t="s">
        <v>1280</v>
      </c>
      <c r="O404" t="s">
        <v>37</v>
      </c>
      <c r="P404" t="s">
        <v>38</v>
      </c>
      <c r="Q404" t="s">
        <v>26</v>
      </c>
      <c r="R404" t="s">
        <v>2856</v>
      </c>
      <c r="S404">
        <v>35000000</v>
      </c>
      <c r="T404">
        <v>1260000000</v>
      </c>
      <c r="U404">
        <v>938172069.36000001</v>
      </c>
      <c r="Z404"/>
    </row>
    <row r="405" spans="1:26" x14ac:dyDescent="0.25">
      <c r="A405">
        <v>103063</v>
      </c>
      <c r="B405" t="s">
        <v>579</v>
      </c>
      <c r="C405" t="s">
        <v>584</v>
      </c>
      <c r="D405" t="s">
        <v>1284</v>
      </c>
      <c r="E405">
        <v>0</v>
      </c>
      <c r="F405" s="105">
        <v>56028092.560000002</v>
      </c>
      <c r="G405" t="s">
        <v>963</v>
      </c>
      <c r="H405">
        <v>1624814.68</v>
      </c>
      <c r="I405">
        <v>83605710.140000001</v>
      </c>
      <c r="J405" s="384">
        <v>42763.488965046294</v>
      </c>
      <c r="K405" s="384">
        <v>43862</v>
      </c>
      <c r="L405" t="s">
        <v>585</v>
      </c>
      <c r="M405" t="s">
        <v>586</v>
      </c>
      <c r="N405" t="s">
        <v>1280</v>
      </c>
      <c r="O405" t="s">
        <v>35</v>
      </c>
      <c r="P405" t="s">
        <v>121</v>
      </c>
      <c r="Q405" t="s">
        <v>26</v>
      </c>
      <c r="R405" t="s">
        <v>2856</v>
      </c>
      <c r="S405">
        <v>65000000</v>
      </c>
      <c r="T405">
        <v>2340000000</v>
      </c>
      <c r="U405">
        <v>2017011332.1600001</v>
      </c>
      <c r="Z405"/>
    </row>
    <row r="406" spans="1:26" x14ac:dyDescent="0.25">
      <c r="A406">
        <v>103064</v>
      </c>
      <c r="B406" t="s">
        <v>3989</v>
      </c>
      <c r="C406" t="s">
        <v>3992</v>
      </c>
      <c r="D406" t="s">
        <v>1281</v>
      </c>
      <c r="E406">
        <v>-2</v>
      </c>
      <c r="F406" s="105">
        <v>7735464.4800000004</v>
      </c>
      <c r="G406" t="s">
        <v>86</v>
      </c>
      <c r="H406">
        <v>278476.71999999997</v>
      </c>
      <c r="I406">
        <v>8524173.8399999999</v>
      </c>
      <c r="J406" s="384">
        <v>42763.562554895834</v>
      </c>
      <c r="K406" s="384">
        <v>43134</v>
      </c>
      <c r="L406" t="s">
        <v>3993</v>
      </c>
      <c r="M406" t="s">
        <v>1280</v>
      </c>
      <c r="N406" t="s">
        <v>1280</v>
      </c>
      <c r="O406" t="s">
        <v>25</v>
      </c>
      <c r="P406" t="s">
        <v>88</v>
      </c>
      <c r="Q406" t="s">
        <v>26</v>
      </c>
      <c r="R406" t="s">
        <v>2636</v>
      </c>
      <c r="S406">
        <v>20000000</v>
      </c>
      <c r="T406">
        <v>960000000</v>
      </c>
      <c r="U406">
        <v>371302295.04000002</v>
      </c>
      <c r="Z406"/>
    </row>
    <row r="407" spans="1:26" x14ac:dyDescent="0.25">
      <c r="A407">
        <v>103065</v>
      </c>
      <c r="B407" t="s">
        <v>1124</v>
      </c>
      <c r="C407" t="s">
        <v>1127</v>
      </c>
      <c r="D407" t="s">
        <v>1285</v>
      </c>
      <c r="E407">
        <v>-20</v>
      </c>
      <c r="F407" s="105">
        <v>35285965.060000002</v>
      </c>
      <c r="G407" t="s">
        <v>284</v>
      </c>
      <c r="H407">
        <v>194072.81</v>
      </c>
      <c r="I407">
        <v>54616287.030000001</v>
      </c>
      <c r="J407" s="384">
        <v>42763.603369560187</v>
      </c>
      <c r="K407" s="384">
        <v>44582</v>
      </c>
      <c r="L407" t="s">
        <v>1128</v>
      </c>
      <c r="M407" t="s">
        <v>1280</v>
      </c>
      <c r="N407" t="s">
        <v>1280</v>
      </c>
      <c r="O407" t="s">
        <v>43</v>
      </c>
      <c r="P407" t="s">
        <v>338</v>
      </c>
      <c r="Q407" t="s">
        <v>26</v>
      </c>
      <c r="R407" t="s">
        <v>2636</v>
      </c>
      <c r="S407">
        <v>38938000</v>
      </c>
      <c r="T407">
        <v>856636000</v>
      </c>
      <c r="U407">
        <v>776291231.32000005</v>
      </c>
      <c r="Z407"/>
    </row>
    <row r="408" spans="1:26" x14ac:dyDescent="0.25">
      <c r="A408">
        <v>103066</v>
      </c>
      <c r="B408" t="s">
        <v>2104</v>
      </c>
      <c r="C408" t="s">
        <v>2109</v>
      </c>
      <c r="D408" t="s">
        <v>1282</v>
      </c>
      <c r="E408">
        <v>-2</v>
      </c>
      <c r="F408" s="105">
        <v>1294859.76</v>
      </c>
      <c r="G408" t="s">
        <v>468</v>
      </c>
      <c r="H408">
        <v>50067.91</v>
      </c>
      <c r="I408">
        <v>1350107.11</v>
      </c>
      <c r="J408" s="384">
        <v>42765.530551701391</v>
      </c>
      <c r="K408" s="384">
        <v>43042</v>
      </c>
      <c r="L408" t="s">
        <v>2110</v>
      </c>
      <c r="M408" t="s">
        <v>1280</v>
      </c>
      <c r="N408" t="s">
        <v>1280</v>
      </c>
      <c r="O408" t="s">
        <v>25</v>
      </c>
      <c r="P408" t="s">
        <v>103</v>
      </c>
      <c r="Q408" t="s">
        <v>26</v>
      </c>
      <c r="R408" t="s">
        <v>2856</v>
      </c>
      <c r="S408">
        <v>10000000</v>
      </c>
      <c r="T408">
        <v>480000000</v>
      </c>
      <c r="U408">
        <v>62153268.479999997</v>
      </c>
      <c r="Z408"/>
    </row>
    <row r="409" spans="1:26" x14ac:dyDescent="0.25">
      <c r="A409">
        <v>103067</v>
      </c>
      <c r="B409" t="s">
        <v>665</v>
      </c>
      <c r="C409" t="s">
        <v>666</v>
      </c>
      <c r="D409" t="s">
        <v>1281</v>
      </c>
      <c r="E409">
        <v>0</v>
      </c>
      <c r="F409" s="105">
        <v>12624989.9</v>
      </c>
      <c r="G409" t="s">
        <v>86</v>
      </c>
      <c r="H409">
        <v>427145.49</v>
      </c>
      <c r="I409">
        <v>15183882.890000001</v>
      </c>
      <c r="J409" s="384">
        <v>42765.62096990741</v>
      </c>
      <c r="K409" s="384">
        <v>43315</v>
      </c>
      <c r="L409" t="s">
        <v>667</v>
      </c>
      <c r="M409" t="s">
        <v>668</v>
      </c>
      <c r="N409" t="s">
        <v>1280</v>
      </c>
      <c r="O409" t="s">
        <v>29</v>
      </c>
      <c r="P409" t="s">
        <v>30</v>
      </c>
      <c r="Q409" t="s">
        <v>26</v>
      </c>
      <c r="R409" t="s">
        <v>2856</v>
      </c>
      <c r="S409">
        <v>20000000</v>
      </c>
      <c r="T409">
        <v>840000000</v>
      </c>
      <c r="U409">
        <v>530249575.80000001</v>
      </c>
      <c r="Z409"/>
    </row>
    <row r="410" spans="1:26" x14ac:dyDescent="0.25">
      <c r="A410">
        <v>103068</v>
      </c>
      <c r="B410" t="s">
        <v>811</v>
      </c>
      <c r="C410" t="s">
        <v>1894</v>
      </c>
      <c r="D410" t="s">
        <v>1279</v>
      </c>
      <c r="E410">
        <v>60</v>
      </c>
      <c r="F410" s="105">
        <v>1398192.91</v>
      </c>
      <c r="G410" t="s">
        <v>2538</v>
      </c>
      <c r="H410">
        <v>88770.55</v>
      </c>
      <c r="I410">
        <v>1586362.43</v>
      </c>
      <c r="J410" s="384">
        <v>42765.675759456019</v>
      </c>
      <c r="K410" s="384">
        <v>43134</v>
      </c>
      <c r="L410" t="s">
        <v>1895</v>
      </c>
      <c r="M410" t="s">
        <v>1280</v>
      </c>
      <c r="N410" t="s">
        <v>1280</v>
      </c>
      <c r="O410" t="s">
        <v>25</v>
      </c>
      <c r="P410" t="s">
        <v>26</v>
      </c>
      <c r="Q410" t="s">
        <v>26</v>
      </c>
      <c r="R410" t="s">
        <v>2856</v>
      </c>
      <c r="S410">
        <v>2500000</v>
      </c>
      <c r="T410">
        <v>120000000</v>
      </c>
      <c r="U410">
        <v>67113259.680000007</v>
      </c>
      <c r="Z410"/>
    </row>
    <row r="411" spans="1:26" x14ac:dyDescent="0.25">
      <c r="A411">
        <v>103069</v>
      </c>
      <c r="B411" t="s">
        <v>639</v>
      </c>
      <c r="C411" t="s">
        <v>640</v>
      </c>
      <c r="D411" t="s">
        <v>1284</v>
      </c>
      <c r="E411">
        <v>30</v>
      </c>
      <c r="F411" s="105">
        <v>3993945.48</v>
      </c>
      <c r="G411" t="s">
        <v>86</v>
      </c>
      <c r="H411">
        <v>108399.1</v>
      </c>
      <c r="I411">
        <v>4280382.88</v>
      </c>
      <c r="J411" s="384">
        <v>42765.716487962964</v>
      </c>
      <c r="K411" s="384">
        <v>43134</v>
      </c>
      <c r="L411" t="s">
        <v>641</v>
      </c>
      <c r="M411" t="s">
        <v>1280</v>
      </c>
      <c r="N411" t="s">
        <v>1280</v>
      </c>
      <c r="O411" t="s">
        <v>44</v>
      </c>
      <c r="P411" t="s">
        <v>75</v>
      </c>
      <c r="Q411" t="s">
        <v>4000</v>
      </c>
      <c r="R411" t="s">
        <v>2856</v>
      </c>
      <c r="S411">
        <v>10000000</v>
      </c>
      <c r="T411">
        <v>360000000</v>
      </c>
      <c r="U411">
        <v>143782037.28</v>
      </c>
      <c r="Z411"/>
    </row>
    <row r="412" spans="1:26" x14ac:dyDescent="0.25">
      <c r="A412">
        <v>103070</v>
      </c>
      <c r="B412" t="s">
        <v>4012</v>
      </c>
      <c r="C412" t="s">
        <v>4017</v>
      </c>
      <c r="D412" t="s">
        <v>1283</v>
      </c>
      <c r="E412">
        <v>180</v>
      </c>
      <c r="F412" s="105">
        <v>48442901.219999999</v>
      </c>
      <c r="G412" t="s">
        <v>5725</v>
      </c>
      <c r="H412">
        <v>1680044.28</v>
      </c>
      <c r="I412">
        <v>76792747.760000005</v>
      </c>
      <c r="J412" s="384">
        <v>42766.59911087963</v>
      </c>
      <c r="K412" s="384">
        <v>43864</v>
      </c>
      <c r="L412" t="s">
        <v>4018</v>
      </c>
      <c r="M412" t="s">
        <v>1280</v>
      </c>
      <c r="N412" t="s">
        <v>1280</v>
      </c>
      <c r="O412" t="s">
        <v>25</v>
      </c>
      <c r="P412" t="s">
        <v>26</v>
      </c>
      <c r="Q412" t="s">
        <v>26</v>
      </c>
      <c r="R412" t="s">
        <v>2856</v>
      </c>
      <c r="S412">
        <v>50000000</v>
      </c>
      <c r="T412">
        <v>1800000000</v>
      </c>
      <c r="U412">
        <v>1743944443.9200001</v>
      </c>
      <c r="Z412"/>
    </row>
    <row r="413" spans="1:26" x14ac:dyDescent="0.25">
      <c r="A413">
        <v>103071</v>
      </c>
      <c r="B413" t="s">
        <v>93</v>
      </c>
      <c r="C413" t="s">
        <v>255</v>
      </c>
      <c r="D413" t="s">
        <v>1866</v>
      </c>
      <c r="E413">
        <v>0</v>
      </c>
      <c r="F413" s="105">
        <v>2679456.13</v>
      </c>
      <c r="G413" t="s">
        <v>1447</v>
      </c>
      <c r="H413">
        <v>94971.83</v>
      </c>
      <c r="I413">
        <v>2931220.62</v>
      </c>
      <c r="J413" s="384">
        <v>42766.770023611112</v>
      </c>
      <c r="K413" s="384">
        <v>43134</v>
      </c>
      <c r="L413" t="s">
        <v>256</v>
      </c>
      <c r="M413" t="s">
        <v>257</v>
      </c>
      <c r="N413" t="s">
        <v>1280</v>
      </c>
      <c r="O413" t="s">
        <v>25</v>
      </c>
      <c r="P413" t="s">
        <v>94</v>
      </c>
      <c r="Q413" t="s">
        <v>95</v>
      </c>
      <c r="R413" t="s">
        <v>2856</v>
      </c>
      <c r="S413">
        <v>7000000</v>
      </c>
      <c r="T413">
        <v>308000000</v>
      </c>
      <c r="U413">
        <v>117896069.72</v>
      </c>
      <c r="Z413"/>
    </row>
    <row r="414" spans="1:26" x14ac:dyDescent="0.25">
      <c r="A414">
        <v>103072</v>
      </c>
      <c r="B414" t="s">
        <v>4015</v>
      </c>
      <c r="C414" t="s">
        <v>4019</v>
      </c>
      <c r="D414" t="s">
        <v>1279</v>
      </c>
      <c r="E414">
        <v>0</v>
      </c>
      <c r="F414" s="105">
        <v>1549076.36</v>
      </c>
      <c r="G414" t="s">
        <v>963</v>
      </c>
      <c r="H414">
        <v>135891.14000000001</v>
      </c>
      <c r="I414">
        <v>1708114.7</v>
      </c>
      <c r="J414" s="384">
        <v>42766.783886226855</v>
      </c>
      <c r="K414" s="384">
        <v>43134</v>
      </c>
      <c r="L414" t="s">
        <v>4020</v>
      </c>
      <c r="M414" t="s">
        <v>4021</v>
      </c>
      <c r="N414" t="s">
        <v>1280</v>
      </c>
      <c r="O414" t="s">
        <v>44</v>
      </c>
      <c r="P414" t="s">
        <v>75</v>
      </c>
      <c r="Q414" t="s">
        <v>1442</v>
      </c>
      <c r="R414" t="s">
        <v>2856</v>
      </c>
      <c r="S414">
        <v>4000000</v>
      </c>
      <c r="T414">
        <v>192000000</v>
      </c>
      <c r="U414">
        <v>74355665.280000001</v>
      </c>
      <c r="Z414"/>
    </row>
    <row r="415" spans="1:26" x14ac:dyDescent="0.25">
      <c r="A415">
        <v>103073</v>
      </c>
      <c r="B415" t="s">
        <v>1899</v>
      </c>
      <c r="C415" t="s">
        <v>1901</v>
      </c>
      <c r="D415" t="s">
        <v>1283</v>
      </c>
      <c r="E415">
        <v>26</v>
      </c>
      <c r="F415" s="105">
        <v>50377873.240000002</v>
      </c>
      <c r="G415" t="s">
        <v>1447</v>
      </c>
      <c r="H415">
        <v>1211114.3</v>
      </c>
      <c r="I415">
        <v>63648206.280000001</v>
      </c>
      <c r="J415" s="384">
        <v>42766.845477395836</v>
      </c>
      <c r="K415" s="384">
        <v>43503</v>
      </c>
      <c r="L415" t="s">
        <v>1902</v>
      </c>
      <c r="M415" t="s">
        <v>1280</v>
      </c>
      <c r="N415" t="s">
        <v>1903</v>
      </c>
      <c r="O415" t="s">
        <v>35</v>
      </c>
      <c r="P415" t="s">
        <v>121</v>
      </c>
      <c r="Q415" t="s">
        <v>122</v>
      </c>
      <c r="R415" t="s">
        <v>2856</v>
      </c>
      <c r="S415">
        <v>65000000</v>
      </c>
      <c r="T415">
        <v>2340000000</v>
      </c>
      <c r="U415">
        <v>1813603436.6400001</v>
      </c>
      <c r="Z415"/>
    </row>
    <row r="416" spans="1:26" x14ac:dyDescent="0.25">
      <c r="A416">
        <v>103074</v>
      </c>
      <c r="B416" t="s">
        <v>130</v>
      </c>
      <c r="C416" t="s">
        <v>131</v>
      </c>
      <c r="D416" t="s">
        <v>1283</v>
      </c>
      <c r="E416">
        <v>0</v>
      </c>
      <c r="F416" s="105">
        <v>52902140.829999998</v>
      </c>
      <c r="G416" t="s">
        <v>90</v>
      </c>
      <c r="H416">
        <v>1534162.08</v>
      </c>
      <c r="I416">
        <v>73034818.890000001</v>
      </c>
      <c r="J416" s="384">
        <v>42766.894392326387</v>
      </c>
      <c r="K416" s="384">
        <v>43680</v>
      </c>
      <c r="L416" t="s">
        <v>132</v>
      </c>
      <c r="M416" t="s">
        <v>133</v>
      </c>
      <c r="N416" t="s">
        <v>1280</v>
      </c>
      <c r="O416" t="s">
        <v>25</v>
      </c>
      <c r="P416" t="s">
        <v>26</v>
      </c>
      <c r="Q416" t="s">
        <v>26</v>
      </c>
      <c r="R416" t="s">
        <v>2856</v>
      </c>
      <c r="S416">
        <v>65000000</v>
      </c>
      <c r="T416">
        <v>2340000000</v>
      </c>
      <c r="U416">
        <v>1904477069.8800001</v>
      </c>
      <c r="Z416"/>
    </row>
    <row r="417" spans="1:26" x14ac:dyDescent="0.25">
      <c r="A417">
        <v>103075</v>
      </c>
      <c r="B417" t="s">
        <v>4010</v>
      </c>
      <c r="C417" t="s">
        <v>4022</v>
      </c>
      <c r="D417" t="s">
        <v>1282</v>
      </c>
      <c r="E417">
        <v>0</v>
      </c>
      <c r="F417" s="105">
        <v>984987.52</v>
      </c>
      <c r="G417" t="s">
        <v>2494</v>
      </c>
      <c r="H417">
        <v>42846.96</v>
      </c>
      <c r="I417">
        <v>1099024.26</v>
      </c>
      <c r="J417" s="384">
        <v>42766.930841747686</v>
      </c>
      <c r="K417" s="384">
        <v>43134</v>
      </c>
      <c r="L417" t="s">
        <v>4023</v>
      </c>
      <c r="M417" t="s">
        <v>4024</v>
      </c>
      <c r="N417" t="s">
        <v>1280</v>
      </c>
      <c r="O417" t="s">
        <v>25</v>
      </c>
      <c r="P417" t="s">
        <v>26</v>
      </c>
      <c r="Q417" t="s">
        <v>26</v>
      </c>
      <c r="R417" t="s">
        <v>2636</v>
      </c>
      <c r="S417">
        <v>2500000</v>
      </c>
      <c r="T417">
        <v>135000000</v>
      </c>
      <c r="U417">
        <v>53189326.079999998</v>
      </c>
      <c r="Z417"/>
    </row>
    <row r="418" spans="1:26" x14ac:dyDescent="0.25">
      <c r="A418">
        <v>103076</v>
      </c>
      <c r="B418" t="s">
        <v>4041</v>
      </c>
      <c r="C418" t="s">
        <v>4043</v>
      </c>
      <c r="D418" t="s">
        <v>1282</v>
      </c>
      <c r="E418">
        <v>-1</v>
      </c>
      <c r="F418" s="105">
        <v>1395230.32</v>
      </c>
      <c r="G418" t="s">
        <v>5725</v>
      </c>
      <c r="H418">
        <v>52088.6</v>
      </c>
      <c r="I418">
        <v>1479491.28</v>
      </c>
      <c r="J418" s="384">
        <v>42768.689616203701</v>
      </c>
      <c r="K418" s="384">
        <v>43071</v>
      </c>
      <c r="L418" t="s">
        <v>4044</v>
      </c>
      <c r="M418" t="s">
        <v>1280</v>
      </c>
      <c r="N418" t="s">
        <v>1280</v>
      </c>
      <c r="O418" t="s">
        <v>36</v>
      </c>
      <c r="P418" t="s">
        <v>97</v>
      </c>
      <c r="Q418" t="s">
        <v>98</v>
      </c>
      <c r="R418" t="s">
        <v>2856</v>
      </c>
      <c r="S418">
        <v>6000000</v>
      </c>
      <c r="T418">
        <v>288000000</v>
      </c>
      <c r="U418">
        <v>66971055.359999999</v>
      </c>
      <c r="Z418"/>
    </row>
    <row r="419" spans="1:26" x14ac:dyDescent="0.25">
      <c r="A419">
        <v>103077</v>
      </c>
      <c r="B419" t="s">
        <v>1015</v>
      </c>
      <c r="C419" t="s">
        <v>1019</v>
      </c>
      <c r="D419" t="s">
        <v>1283</v>
      </c>
      <c r="E419">
        <v>-2</v>
      </c>
      <c r="F419" s="105">
        <v>14937098.289999999</v>
      </c>
      <c r="G419" t="s">
        <v>2855</v>
      </c>
      <c r="H419">
        <v>403301.65</v>
      </c>
      <c r="I419">
        <v>16073933.67</v>
      </c>
      <c r="J419" s="384">
        <v>42769.700199687497</v>
      </c>
      <c r="K419" s="384">
        <v>43134</v>
      </c>
      <c r="L419" t="s">
        <v>1020</v>
      </c>
      <c r="M419" t="s">
        <v>1021</v>
      </c>
      <c r="N419" t="s">
        <v>1280</v>
      </c>
      <c r="O419" t="s">
        <v>25</v>
      </c>
      <c r="P419" t="s">
        <v>88</v>
      </c>
      <c r="Q419" t="s">
        <v>285</v>
      </c>
      <c r="R419" t="s">
        <v>2856</v>
      </c>
      <c r="S419">
        <v>40000000</v>
      </c>
      <c r="T419">
        <v>1440000000</v>
      </c>
      <c r="U419">
        <v>537735538.44000006</v>
      </c>
      <c r="Z419"/>
    </row>
    <row r="420" spans="1:26" x14ac:dyDescent="0.25">
      <c r="A420">
        <v>103078</v>
      </c>
      <c r="B420" t="s">
        <v>1947</v>
      </c>
      <c r="C420" t="s">
        <v>1949</v>
      </c>
      <c r="D420" t="s">
        <v>1281</v>
      </c>
      <c r="E420">
        <v>-2</v>
      </c>
      <c r="F420" s="105">
        <v>12610774.810000001</v>
      </c>
      <c r="G420" t="s">
        <v>4684</v>
      </c>
      <c r="H420">
        <v>397239.41</v>
      </c>
      <c r="I420">
        <v>15163368.109999999</v>
      </c>
      <c r="J420" s="384">
        <v>42769.714571296296</v>
      </c>
      <c r="K420" s="384">
        <v>43315</v>
      </c>
      <c r="L420" t="s">
        <v>1950</v>
      </c>
      <c r="M420" t="s">
        <v>1951</v>
      </c>
      <c r="N420" t="s">
        <v>1280</v>
      </c>
      <c r="O420" t="s">
        <v>25</v>
      </c>
      <c r="P420" t="s">
        <v>88</v>
      </c>
      <c r="Q420" t="s">
        <v>26</v>
      </c>
      <c r="R420" t="s">
        <v>2856</v>
      </c>
      <c r="S420">
        <v>20000000</v>
      </c>
      <c r="T420">
        <v>840000000</v>
      </c>
      <c r="U420">
        <v>529652542.01999998</v>
      </c>
      <c r="Z420"/>
    </row>
    <row r="421" spans="1:26" x14ac:dyDescent="0.25">
      <c r="A421">
        <v>103079</v>
      </c>
      <c r="B421" t="s">
        <v>4046</v>
      </c>
      <c r="C421" t="s">
        <v>4047</v>
      </c>
      <c r="D421" t="s">
        <v>1281</v>
      </c>
      <c r="E421">
        <v>-2</v>
      </c>
      <c r="F421" s="105">
        <v>6081675.8700000001</v>
      </c>
      <c r="G421" t="s">
        <v>5167</v>
      </c>
      <c r="H421">
        <v>191572.79</v>
      </c>
      <c r="I421">
        <v>6622972.75</v>
      </c>
      <c r="J421" s="384">
        <v>42769.727911192131</v>
      </c>
      <c r="K421" s="384">
        <v>43134</v>
      </c>
      <c r="L421" t="s">
        <v>4048</v>
      </c>
      <c r="M421" t="s">
        <v>1280</v>
      </c>
      <c r="N421" t="s">
        <v>1280</v>
      </c>
      <c r="O421" t="s">
        <v>29</v>
      </c>
      <c r="P421" t="s">
        <v>26</v>
      </c>
      <c r="Q421" t="s">
        <v>26</v>
      </c>
      <c r="R421" t="s">
        <v>2856</v>
      </c>
      <c r="S421">
        <v>16000000</v>
      </c>
      <c r="T421">
        <v>672000000</v>
      </c>
      <c r="U421">
        <v>255430386.53999999</v>
      </c>
      <c r="Z421"/>
    </row>
    <row r="422" spans="1:26" x14ac:dyDescent="0.25">
      <c r="A422">
        <v>103081</v>
      </c>
      <c r="B422" t="s">
        <v>4056</v>
      </c>
      <c r="C422" t="s">
        <v>4057</v>
      </c>
      <c r="D422" t="s">
        <v>1282</v>
      </c>
      <c r="E422">
        <v>-6</v>
      </c>
      <c r="F422" s="105">
        <v>3867732.21</v>
      </c>
      <c r="G422" t="s">
        <v>2494</v>
      </c>
      <c r="H422">
        <v>308350.99</v>
      </c>
      <c r="I422">
        <v>4262086.88</v>
      </c>
      <c r="J422" s="384">
        <v>42773.480308715276</v>
      </c>
      <c r="K422" s="384">
        <v>43138</v>
      </c>
      <c r="L422" t="s">
        <v>4058</v>
      </c>
      <c r="M422" t="s">
        <v>4059</v>
      </c>
      <c r="N422" t="s">
        <v>1280</v>
      </c>
      <c r="O422" t="s">
        <v>25</v>
      </c>
      <c r="P422" t="s">
        <v>286</v>
      </c>
      <c r="Q422" t="s">
        <v>26</v>
      </c>
      <c r="R422" t="s">
        <v>2856</v>
      </c>
      <c r="S422">
        <v>10000000</v>
      </c>
      <c r="T422">
        <v>480000000</v>
      </c>
      <c r="U422">
        <v>185651146.08000001</v>
      </c>
      <c r="Z422"/>
    </row>
    <row r="423" spans="1:26" x14ac:dyDescent="0.25">
      <c r="A423">
        <v>103082</v>
      </c>
      <c r="B423" t="s">
        <v>478</v>
      </c>
      <c r="C423" t="s">
        <v>479</v>
      </c>
      <c r="D423" t="s">
        <v>1284</v>
      </c>
      <c r="E423">
        <v>-6</v>
      </c>
      <c r="F423" s="105">
        <v>14834012.310000001</v>
      </c>
      <c r="G423" t="s">
        <v>86</v>
      </c>
      <c r="H423">
        <v>734715.35</v>
      </c>
      <c r="I423">
        <v>18895173.079999998</v>
      </c>
      <c r="J423" s="384">
        <v>42773.655355821757</v>
      </c>
      <c r="K423" s="384">
        <v>43503</v>
      </c>
      <c r="L423" t="s">
        <v>480</v>
      </c>
      <c r="M423" t="s">
        <v>1280</v>
      </c>
      <c r="N423" t="s">
        <v>1280</v>
      </c>
      <c r="O423" t="s">
        <v>36</v>
      </c>
      <c r="P423" t="s">
        <v>1023</v>
      </c>
      <c r="Q423" t="s">
        <v>4042</v>
      </c>
      <c r="R423" t="s">
        <v>2856</v>
      </c>
      <c r="S423">
        <v>20000000</v>
      </c>
      <c r="T423">
        <v>720000000</v>
      </c>
      <c r="U423">
        <v>534024443.16000003</v>
      </c>
      <c r="Z423"/>
    </row>
    <row r="424" spans="1:26" x14ac:dyDescent="0.25">
      <c r="A424">
        <v>103083</v>
      </c>
      <c r="B424" t="s">
        <v>4060</v>
      </c>
      <c r="C424" t="s">
        <v>4062</v>
      </c>
      <c r="D424" t="s">
        <v>1282</v>
      </c>
      <c r="E424">
        <v>-7</v>
      </c>
      <c r="F424" s="105">
        <v>724076.12</v>
      </c>
      <c r="G424" t="s">
        <v>2855</v>
      </c>
      <c r="H424">
        <v>23894.51</v>
      </c>
      <c r="I424">
        <v>756659.55</v>
      </c>
      <c r="J424" s="384">
        <v>42774.582986076392</v>
      </c>
      <c r="K424" s="384">
        <v>43047</v>
      </c>
      <c r="L424" t="s">
        <v>4063</v>
      </c>
      <c r="M424" t="s">
        <v>4064</v>
      </c>
      <c r="N424" t="s">
        <v>1280</v>
      </c>
      <c r="O424" t="s">
        <v>36</v>
      </c>
      <c r="P424" t="s">
        <v>97</v>
      </c>
      <c r="Q424" t="s">
        <v>98</v>
      </c>
      <c r="R424" t="s">
        <v>2636</v>
      </c>
      <c r="S424">
        <v>5500000</v>
      </c>
      <c r="T424">
        <v>297000000</v>
      </c>
      <c r="U424">
        <v>39100110.479999997</v>
      </c>
      <c r="Z424"/>
    </row>
    <row r="425" spans="1:26" x14ac:dyDescent="0.25">
      <c r="A425">
        <v>103084</v>
      </c>
      <c r="B425" t="s">
        <v>1064</v>
      </c>
      <c r="C425" t="s">
        <v>1065</v>
      </c>
      <c r="D425" t="s">
        <v>1284</v>
      </c>
      <c r="E425">
        <v>-8</v>
      </c>
      <c r="F425" s="105">
        <v>9303298.8499999996</v>
      </c>
      <c r="G425" t="s">
        <v>1039</v>
      </c>
      <c r="H425">
        <v>195369.28</v>
      </c>
      <c r="I425">
        <v>10906304.380000001</v>
      </c>
      <c r="J425" s="384">
        <v>42775.522620833333</v>
      </c>
      <c r="K425" s="384">
        <v>43321</v>
      </c>
      <c r="L425" t="s">
        <v>1066</v>
      </c>
      <c r="M425" t="s">
        <v>1280</v>
      </c>
      <c r="N425" t="s">
        <v>1280</v>
      </c>
      <c r="O425" t="s">
        <v>27</v>
      </c>
      <c r="P425" t="s">
        <v>26</v>
      </c>
      <c r="Q425" t="s">
        <v>26</v>
      </c>
      <c r="R425" t="s">
        <v>2856</v>
      </c>
      <c r="S425">
        <v>15000000</v>
      </c>
      <c r="T425">
        <v>540000000</v>
      </c>
      <c r="U425">
        <v>334918758.60000002</v>
      </c>
      <c r="Z425"/>
    </row>
    <row r="426" spans="1:26" x14ac:dyDescent="0.25">
      <c r="A426">
        <v>103085</v>
      </c>
      <c r="B426" t="s">
        <v>1542</v>
      </c>
      <c r="C426" t="s">
        <v>1544</v>
      </c>
      <c r="D426" t="s">
        <v>1281</v>
      </c>
      <c r="E426">
        <v>-14</v>
      </c>
      <c r="F426" s="105">
        <v>11109056.92</v>
      </c>
      <c r="G426" t="s">
        <v>1191</v>
      </c>
      <c r="H426">
        <v>194408.5</v>
      </c>
      <c r="I426">
        <v>13357681.98</v>
      </c>
      <c r="J426" s="384">
        <v>42775.669208182873</v>
      </c>
      <c r="K426" s="384">
        <v>43327</v>
      </c>
      <c r="L426" t="s">
        <v>1545</v>
      </c>
      <c r="M426" t="s">
        <v>1546</v>
      </c>
      <c r="N426" t="s">
        <v>1280</v>
      </c>
      <c r="O426" t="s">
        <v>25</v>
      </c>
      <c r="P426" t="s">
        <v>103</v>
      </c>
      <c r="Q426" t="s">
        <v>26</v>
      </c>
      <c r="R426" t="s">
        <v>2856</v>
      </c>
      <c r="S426">
        <v>17500000</v>
      </c>
      <c r="T426">
        <v>735000000</v>
      </c>
      <c r="U426">
        <v>466580390.63999999</v>
      </c>
      <c r="Z426"/>
    </row>
    <row r="427" spans="1:26" x14ac:dyDescent="0.25">
      <c r="A427">
        <v>103086</v>
      </c>
      <c r="B427" t="s">
        <v>1028</v>
      </c>
      <c r="C427" t="s">
        <v>1029</v>
      </c>
      <c r="D427" t="s">
        <v>1284</v>
      </c>
      <c r="E427">
        <v>-9</v>
      </c>
      <c r="F427" s="105">
        <v>10233628.779999999</v>
      </c>
      <c r="G427" t="s">
        <v>963</v>
      </c>
      <c r="H427">
        <v>204672.58</v>
      </c>
      <c r="I427">
        <v>11996934.869999999</v>
      </c>
      <c r="J427" s="384">
        <v>42776.647220682869</v>
      </c>
      <c r="K427" s="384">
        <v>43322</v>
      </c>
      <c r="L427" t="s">
        <v>1030</v>
      </c>
      <c r="M427" t="s">
        <v>1031</v>
      </c>
      <c r="N427" t="s">
        <v>1280</v>
      </c>
      <c r="O427" t="s">
        <v>25</v>
      </c>
      <c r="P427" t="s">
        <v>88</v>
      </c>
      <c r="Q427" t="s">
        <v>285</v>
      </c>
      <c r="R427" t="s">
        <v>2856</v>
      </c>
      <c r="S427">
        <v>16500000</v>
      </c>
      <c r="T427">
        <v>594000000</v>
      </c>
      <c r="U427">
        <v>368410636.07999998</v>
      </c>
      <c r="Z427"/>
    </row>
    <row r="428" spans="1:26" x14ac:dyDescent="0.25">
      <c r="A428">
        <v>103088</v>
      </c>
      <c r="B428" t="s">
        <v>2124</v>
      </c>
      <c r="C428" t="s">
        <v>2126</v>
      </c>
      <c r="D428" t="s">
        <v>1283</v>
      </c>
      <c r="E428">
        <v>18</v>
      </c>
      <c r="F428" s="105">
        <v>24071158.579999998</v>
      </c>
      <c r="G428" t="s">
        <v>1447</v>
      </c>
      <c r="H428">
        <v>732862.28</v>
      </c>
      <c r="I428">
        <v>30365957.829999998</v>
      </c>
      <c r="J428" s="384">
        <v>42779.397830173613</v>
      </c>
      <c r="K428" s="384">
        <v>43509</v>
      </c>
      <c r="L428" t="s">
        <v>2127</v>
      </c>
      <c r="M428" t="s">
        <v>1280</v>
      </c>
      <c r="N428" t="s">
        <v>1280</v>
      </c>
      <c r="O428" t="s">
        <v>35</v>
      </c>
      <c r="P428" t="s">
        <v>121</v>
      </c>
      <c r="Q428" t="s">
        <v>26</v>
      </c>
      <c r="R428" t="s">
        <v>2856</v>
      </c>
      <c r="S428">
        <v>31000000</v>
      </c>
      <c r="T428">
        <v>1116000000</v>
      </c>
      <c r="U428">
        <v>866561708.88</v>
      </c>
      <c r="Z428"/>
    </row>
    <row r="429" spans="1:26" x14ac:dyDescent="0.25">
      <c r="A429">
        <v>103089</v>
      </c>
      <c r="B429" t="s">
        <v>4104</v>
      </c>
      <c r="C429" t="s">
        <v>4105</v>
      </c>
      <c r="D429" t="s">
        <v>1282</v>
      </c>
      <c r="E429">
        <v>-13</v>
      </c>
      <c r="F429" s="105">
        <v>2754011.9</v>
      </c>
      <c r="G429" t="s">
        <v>5167</v>
      </c>
      <c r="H429">
        <v>66096.289999999994</v>
      </c>
      <c r="I429">
        <v>3070653.3</v>
      </c>
      <c r="J429" s="384">
        <v>42780.510733530093</v>
      </c>
      <c r="K429" s="384">
        <v>43145</v>
      </c>
      <c r="L429" t="s">
        <v>4106</v>
      </c>
      <c r="M429" t="s">
        <v>4107</v>
      </c>
      <c r="N429" t="s">
        <v>1280</v>
      </c>
      <c r="O429" t="s">
        <v>44</v>
      </c>
      <c r="P429" t="s">
        <v>75</v>
      </c>
      <c r="Q429" t="s">
        <v>26</v>
      </c>
      <c r="R429" t="s">
        <v>2636</v>
      </c>
      <c r="S429">
        <v>7000000</v>
      </c>
      <c r="T429">
        <v>378000000</v>
      </c>
      <c r="U429">
        <v>148716642.59999999</v>
      </c>
      <c r="Z429"/>
    </row>
    <row r="430" spans="1:26" x14ac:dyDescent="0.25">
      <c r="A430">
        <v>103091</v>
      </c>
      <c r="B430" t="s">
        <v>841</v>
      </c>
      <c r="C430" t="s">
        <v>842</v>
      </c>
      <c r="D430" t="s">
        <v>1283</v>
      </c>
      <c r="E430">
        <v>-13</v>
      </c>
      <c r="F430" s="105">
        <v>37944964.439999998</v>
      </c>
      <c r="G430" t="s">
        <v>86</v>
      </c>
      <c r="H430">
        <v>607119.43000000005</v>
      </c>
      <c r="I430">
        <v>46383320.100000001</v>
      </c>
      <c r="J430" s="384">
        <v>42780.685994212959</v>
      </c>
      <c r="K430" s="384">
        <v>43418</v>
      </c>
      <c r="L430" t="s">
        <v>843</v>
      </c>
      <c r="M430" t="s">
        <v>1280</v>
      </c>
      <c r="N430" t="s">
        <v>1280</v>
      </c>
      <c r="O430" t="s">
        <v>25</v>
      </c>
      <c r="P430" t="s">
        <v>26</v>
      </c>
      <c r="Q430" t="s">
        <v>26</v>
      </c>
      <c r="R430" t="s">
        <v>2856</v>
      </c>
      <c r="S430">
        <v>55000000</v>
      </c>
      <c r="T430">
        <v>1980000000</v>
      </c>
      <c r="U430">
        <v>1366018719.8399999</v>
      </c>
      <c r="Z430"/>
    </row>
    <row r="431" spans="1:26" x14ac:dyDescent="0.25">
      <c r="A431">
        <v>103092</v>
      </c>
      <c r="B431" t="s">
        <v>1529</v>
      </c>
      <c r="C431" t="s">
        <v>1538</v>
      </c>
      <c r="D431" t="s">
        <v>1283</v>
      </c>
      <c r="E431">
        <v>-13</v>
      </c>
      <c r="F431" s="105">
        <v>24808796.93</v>
      </c>
      <c r="G431" t="s">
        <v>90</v>
      </c>
      <c r="H431">
        <v>396940.75</v>
      </c>
      <c r="I431">
        <v>29083478.32</v>
      </c>
      <c r="J431" s="384">
        <v>42780.734529895832</v>
      </c>
      <c r="K431" s="384">
        <v>43326</v>
      </c>
      <c r="L431" t="s">
        <v>1539</v>
      </c>
      <c r="M431" t="s">
        <v>1280</v>
      </c>
      <c r="N431" t="s">
        <v>1280</v>
      </c>
      <c r="O431" t="s">
        <v>25</v>
      </c>
      <c r="P431" t="s">
        <v>88</v>
      </c>
      <c r="Q431" t="s">
        <v>26</v>
      </c>
      <c r="R431" t="s">
        <v>2856</v>
      </c>
      <c r="S431">
        <v>40000000</v>
      </c>
      <c r="T431">
        <v>1440000000</v>
      </c>
      <c r="U431">
        <v>893116689.48000002</v>
      </c>
      <c r="Z431"/>
    </row>
    <row r="432" spans="1:26" x14ac:dyDescent="0.25">
      <c r="A432">
        <v>103093</v>
      </c>
      <c r="B432" t="s">
        <v>174</v>
      </c>
      <c r="C432" t="s">
        <v>175</v>
      </c>
      <c r="D432" t="s">
        <v>1279</v>
      </c>
      <c r="E432">
        <v>-14</v>
      </c>
      <c r="F432" s="105">
        <v>1160319.6599999999</v>
      </c>
      <c r="G432" t="s">
        <v>90</v>
      </c>
      <c r="H432">
        <v>23206.39</v>
      </c>
      <c r="I432">
        <v>1278626.07</v>
      </c>
      <c r="J432" s="384">
        <v>42781.736808333335</v>
      </c>
      <c r="K432" s="384">
        <v>43146</v>
      </c>
      <c r="L432" t="s">
        <v>176</v>
      </c>
      <c r="M432" t="s">
        <v>1280</v>
      </c>
      <c r="N432" t="s">
        <v>1280</v>
      </c>
      <c r="O432" t="s">
        <v>25</v>
      </c>
      <c r="P432" t="s">
        <v>88</v>
      </c>
      <c r="Q432" t="s">
        <v>285</v>
      </c>
      <c r="R432" t="s">
        <v>2856</v>
      </c>
      <c r="S432">
        <v>3000000</v>
      </c>
      <c r="T432">
        <v>144000000</v>
      </c>
      <c r="U432">
        <v>55695343.68</v>
      </c>
      <c r="Z432"/>
    </row>
    <row r="433" spans="1:26" x14ac:dyDescent="0.25">
      <c r="A433">
        <v>103094</v>
      </c>
      <c r="B433" t="s">
        <v>4110</v>
      </c>
      <c r="C433" t="s">
        <v>4112</v>
      </c>
      <c r="D433" t="s">
        <v>1283</v>
      </c>
      <c r="E433">
        <v>-14</v>
      </c>
      <c r="F433" s="105">
        <v>13069961.02</v>
      </c>
      <c r="G433" t="s">
        <v>468</v>
      </c>
      <c r="H433">
        <v>196049.42</v>
      </c>
      <c r="I433">
        <v>14064691.98</v>
      </c>
      <c r="J433" s="384">
        <v>42781.798640624998</v>
      </c>
      <c r="K433" s="384">
        <v>43146</v>
      </c>
      <c r="L433" t="s">
        <v>4113</v>
      </c>
      <c r="M433" t="s">
        <v>4114</v>
      </c>
      <c r="N433" t="s">
        <v>1280</v>
      </c>
      <c r="O433" t="s">
        <v>44</v>
      </c>
      <c r="P433" t="s">
        <v>75</v>
      </c>
      <c r="Q433" t="s">
        <v>1442</v>
      </c>
      <c r="R433" t="s">
        <v>2856</v>
      </c>
      <c r="S433">
        <v>35000000</v>
      </c>
      <c r="T433">
        <v>1260000000</v>
      </c>
      <c r="U433">
        <v>470518596.72000003</v>
      </c>
      <c r="Z433"/>
    </row>
    <row r="434" spans="1:26" x14ac:dyDescent="0.25">
      <c r="A434">
        <v>103095</v>
      </c>
      <c r="B434" t="s">
        <v>415</v>
      </c>
      <c r="C434" t="s">
        <v>417</v>
      </c>
      <c r="D434" t="s">
        <v>1283</v>
      </c>
      <c r="E434">
        <v>-16</v>
      </c>
      <c r="F434" s="105">
        <v>36589035.710000001</v>
      </c>
      <c r="G434" t="s">
        <v>1925</v>
      </c>
      <c r="H434">
        <v>475657.46</v>
      </c>
      <c r="I434">
        <v>50509066.710000001</v>
      </c>
      <c r="J434" s="384">
        <v>42783.688062303241</v>
      </c>
      <c r="K434" s="384">
        <v>43694</v>
      </c>
      <c r="L434" t="s">
        <v>418</v>
      </c>
      <c r="M434" t="s">
        <v>419</v>
      </c>
      <c r="N434" t="s">
        <v>1280</v>
      </c>
      <c r="O434" t="s">
        <v>35</v>
      </c>
      <c r="P434" t="s">
        <v>26</v>
      </c>
      <c r="Q434" t="s">
        <v>26</v>
      </c>
      <c r="R434" t="s">
        <v>2856</v>
      </c>
      <c r="S434">
        <v>45000000</v>
      </c>
      <c r="T434">
        <v>1620000000</v>
      </c>
      <c r="U434">
        <v>1317205285.5599999</v>
      </c>
      <c r="Z434"/>
    </row>
    <row r="435" spans="1:26" x14ac:dyDescent="0.25">
      <c r="A435">
        <v>103096</v>
      </c>
      <c r="B435" t="s">
        <v>230</v>
      </c>
      <c r="C435" t="s">
        <v>231</v>
      </c>
      <c r="D435" t="s">
        <v>1283</v>
      </c>
      <c r="E435">
        <v>-19</v>
      </c>
      <c r="F435" s="105">
        <v>40793533.850000001</v>
      </c>
      <c r="G435" t="s">
        <v>86</v>
      </c>
      <c r="H435">
        <v>407935.34</v>
      </c>
      <c r="I435">
        <v>51961725.990000002</v>
      </c>
      <c r="J435" s="384">
        <v>42786.551654629628</v>
      </c>
      <c r="K435" s="384">
        <v>43516</v>
      </c>
      <c r="L435" t="s">
        <v>232</v>
      </c>
      <c r="M435" t="s">
        <v>1280</v>
      </c>
      <c r="N435" t="s">
        <v>1280</v>
      </c>
      <c r="O435" t="s">
        <v>35</v>
      </c>
      <c r="P435" t="s">
        <v>121</v>
      </c>
      <c r="Q435" t="s">
        <v>26</v>
      </c>
      <c r="R435" t="s">
        <v>2856</v>
      </c>
      <c r="S435">
        <v>55000000</v>
      </c>
      <c r="T435">
        <v>1980000000</v>
      </c>
      <c r="U435">
        <v>1468567218.5999999</v>
      </c>
      <c r="Z435"/>
    </row>
    <row r="436" spans="1:26" x14ac:dyDescent="0.25">
      <c r="A436">
        <v>103097</v>
      </c>
      <c r="B436" t="s">
        <v>4128</v>
      </c>
      <c r="C436" t="s">
        <v>4131</v>
      </c>
      <c r="D436" t="s">
        <v>1283</v>
      </c>
      <c r="E436">
        <v>11</v>
      </c>
      <c r="F436" s="105">
        <v>43142057.140000001</v>
      </c>
      <c r="G436" t="s">
        <v>4684</v>
      </c>
      <c r="H436">
        <v>1346010.8</v>
      </c>
      <c r="I436">
        <v>56660532.770000003</v>
      </c>
      <c r="J436" s="384">
        <v>42786.513189849538</v>
      </c>
      <c r="K436" s="384">
        <v>43516</v>
      </c>
      <c r="L436" t="s">
        <v>4132</v>
      </c>
      <c r="M436" t="s">
        <v>4133</v>
      </c>
      <c r="N436" t="s">
        <v>1280</v>
      </c>
      <c r="O436" t="s">
        <v>44</v>
      </c>
      <c r="P436" t="s">
        <v>75</v>
      </c>
      <c r="Q436" t="s">
        <v>26</v>
      </c>
      <c r="R436" t="s">
        <v>2636</v>
      </c>
      <c r="S436">
        <v>55000000</v>
      </c>
      <c r="T436">
        <v>2200000000</v>
      </c>
      <c r="U436">
        <v>1725682285.5999999</v>
      </c>
      <c r="Z436"/>
    </row>
    <row r="437" spans="1:26" x14ac:dyDescent="0.25">
      <c r="A437">
        <v>103098</v>
      </c>
      <c r="B437" t="s">
        <v>1116</v>
      </c>
      <c r="C437" t="s">
        <v>1117</v>
      </c>
      <c r="D437" t="s">
        <v>1282</v>
      </c>
      <c r="E437">
        <v>-19</v>
      </c>
      <c r="F437" s="105">
        <v>9610599.8000000007</v>
      </c>
      <c r="G437" t="s">
        <v>1447</v>
      </c>
      <c r="H437">
        <v>128141.33</v>
      </c>
      <c r="I437">
        <v>11848999.26</v>
      </c>
      <c r="J437" s="384">
        <v>42786.562125231481</v>
      </c>
      <c r="K437" s="384">
        <v>43332</v>
      </c>
      <c r="L437" t="s">
        <v>1118</v>
      </c>
      <c r="M437" t="s">
        <v>1280</v>
      </c>
      <c r="N437" t="s">
        <v>1280</v>
      </c>
      <c r="O437" t="s">
        <v>46</v>
      </c>
      <c r="P437" t="s">
        <v>46</v>
      </c>
      <c r="Q437" t="s">
        <v>26</v>
      </c>
      <c r="R437" t="s">
        <v>2856</v>
      </c>
      <c r="S437">
        <v>15000000</v>
      </c>
      <c r="T437">
        <v>720000000</v>
      </c>
      <c r="U437">
        <v>461308790.39999998</v>
      </c>
      <c r="Z437"/>
    </row>
    <row r="438" spans="1:26" x14ac:dyDescent="0.25">
      <c r="A438">
        <v>103099</v>
      </c>
      <c r="B438" t="s">
        <v>4352</v>
      </c>
      <c r="C438" t="s">
        <v>4353</v>
      </c>
      <c r="D438" t="s">
        <v>1283</v>
      </c>
      <c r="E438">
        <v>30</v>
      </c>
      <c r="F438" s="105">
        <v>47114080.979999997</v>
      </c>
      <c r="G438" t="s">
        <v>1039</v>
      </c>
      <c r="H438">
        <v>1946719.32</v>
      </c>
      <c r="I438">
        <v>63270370.829999998</v>
      </c>
      <c r="J438" s="384">
        <v>42819.574463344907</v>
      </c>
      <c r="K438" s="384">
        <v>43556</v>
      </c>
      <c r="L438" t="s">
        <v>4354</v>
      </c>
      <c r="M438" t="s">
        <v>4355</v>
      </c>
      <c r="N438" t="s">
        <v>1280</v>
      </c>
      <c r="O438" t="s">
        <v>25</v>
      </c>
      <c r="P438" t="s">
        <v>88</v>
      </c>
      <c r="Q438" t="s">
        <v>285</v>
      </c>
      <c r="R438" t="s">
        <v>2636</v>
      </c>
      <c r="S438">
        <v>55000000</v>
      </c>
      <c r="T438">
        <v>2200000000</v>
      </c>
      <c r="U438">
        <v>1884563239.2</v>
      </c>
      <c r="Z438"/>
    </row>
    <row r="439" spans="1:26" x14ac:dyDescent="0.25">
      <c r="A439">
        <v>103100</v>
      </c>
      <c r="B439" t="s">
        <v>1024</v>
      </c>
      <c r="C439" t="s">
        <v>2332</v>
      </c>
      <c r="D439" t="s">
        <v>1283</v>
      </c>
      <c r="E439">
        <v>11</v>
      </c>
      <c r="F439" s="105">
        <v>17796140</v>
      </c>
      <c r="G439" t="s">
        <v>86</v>
      </c>
      <c r="H439">
        <v>149370.98000000001</v>
      </c>
      <c r="I439">
        <v>18932975.379999999</v>
      </c>
      <c r="J439" s="384">
        <v>42786.588575462963</v>
      </c>
      <c r="K439" s="384">
        <v>43151</v>
      </c>
      <c r="L439" t="s">
        <v>2333</v>
      </c>
      <c r="M439" t="s">
        <v>2334</v>
      </c>
      <c r="N439" t="s">
        <v>1280</v>
      </c>
      <c r="O439" t="s">
        <v>37</v>
      </c>
      <c r="P439" t="s">
        <v>26</v>
      </c>
      <c r="Q439" t="s">
        <v>26</v>
      </c>
      <c r="R439" t="s">
        <v>2856</v>
      </c>
      <c r="S439">
        <v>40000000</v>
      </c>
      <c r="T439">
        <v>1440000000</v>
      </c>
      <c r="U439">
        <v>640661040</v>
      </c>
      <c r="Z439"/>
    </row>
    <row r="440" spans="1:26" x14ac:dyDescent="0.25">
      <c r="A440">
        <v>103101</v>
      </c>
      <c r="B440" t="s">
        <v>4122</v>
      </c>
      <c r="C440" t="s">
        <v>4134</v>
      </c>
      <c r="D440" t="s">
        <v>1282</v>
      </c>
      <c r="E440">
        <v>41</v>
      </c>
      <c r="F440" s="105">
        <v>851743.54</v>
      </c>
      <c r="G440" t="s">
        <v>4684</v>
      </c>
      <c r="H440">
        <v>57914.400000000001</v>
      </c>
      <c r="I440">
        <v>909657.94</v>
      </c>
      <c r="J440" s="384">
        <v>42786.700476157406</v>
      </c>
      <c r="K440" s="384">
        <v>43028</v>
      </c>
      <c r="L440" t="s">
        <v>4135</v>
      </c>
      <c r="M440" t="s">
        <v>4136</v>
      </c>
      <c r="N440" t="s">
        <v>1280</v>
      </c>
      <c r="O440" t="s">
        <v>25</v>
      </c>
      <c r="P440" t="s">
        <v>94</v>
      </c>
      <c r="Q440" t="s">
        <v>26</v>
      </c>
      <c r="R440" t="s">
        <v>2636</v>
      </c>
      <c r="S440">
        <v>3000000</v>
      </c>
      <c r="T440">
        <v>162000000</v>
      </c>
      <c r="U440">
        <v>45994151.159999996</v>
      </c>
      <c r="Z440"/>
    </row>
    <row r="441" spans="1:26" x14ac:dyDescent="0.25">
      <c r="A441">
        <v>103102</v>
      </c>
      <c r="B441" t="s">
        <v>4123</v>
      </c>
      <c r="C441" t="s">
        <v>4137</v>
      </c>
      <c r="D441" t="s">
        <v>1282</v>
      </c>
      <c r="E441">
        <v>-19</v>
      </c>
      <c r="F441" s="105">
        <v>1967151.37</v>
      </c>
      <c r="G441" t="s">
        <v>2494</v>
      </c>
      <c r="H441">
        <v>29507.27</v>
      </c>
      <c r="I441">
        <v>2193323.7999999998</v>
      </c>
      <c r="J441" s="384">
        <v>42786.695248414355</v>
      </c>
      <c r="K441" s="384">
        <v>43151</v>
      </c>
      <c r="L441" t="s">
        <v>4138</v>
      </c>
      <c r="M441" t="s">
        <v>4139</v>
      </c>
      <c r="N441" t="s">
        <v>1280</v>
      </c>
      <c r="O441" t="s">
        <v>25</v>
      </c>
      <c r="P441" t="s">
        <v>88</v>
      </c>
      <c r="Q441" t="s">
        <v>285</v>
      </c>
      <c r="R441" t="s">
        <v>2636</v>
      </c>
      <c r="S441">
        <v>5000000</v>
      </c>
      <c r="T441">
        <v>270000000</v>
      </c>
      <c r="U441">
        <v>106226173.98</v>
      </c>
      <c r="Z441"/>
    </row>
    <row r="442" spans="1:26" x14ac:dyDescent="0.25">
      <c r="A442">
        <v>103103</v>
      </c>
      <c r="B442" t="s">
        <v>4126</v>
      </c>
      <c r="C442" t="s">
        <v>4140</v>
      </c>
      <c r="D442" t="s">
        <v>1279</v>
      </c>
      <c r="E442">
        <v>-19</v>
      </c>
      <c r="F442" s="105">
        <v>1967151.37</v>
      </c>
      <c r="G442" t="s">
        <v>4684</v>
      </c>
      <c r="H442">
        <v>29507.27</v>
      </c>
      <c r="I442">
        <v>2193323.7999999998</v>
      </c>
      <c r="J442" s="384">
        <v>42786.698819942132</v>
      </c>
      <c r="K442" s="384">
        <v>43151</v>
      </c>
      <c r="L442" t="s">
        <v>4141</v>
      </c>
      <c r="M442" t="s">
        <v>4142</v>
      </c>
      <c r="N442" t="s">
        <v>1280</v>
      </c>
      <c r="O442" t="s">
        <v>44</v>
      </c>
      <c r="P442" t="s">
        <v>75</v>
      </c>
      <c r="Q442" t="s">
        <v>1442</v>
      </c>
      <c r="R442" t="s">
        <v>2636</v>
      </c>
      <c r="S442">
        <v>5000000</v>
      </c>
      <c r="T442">
        <v>270000000</v>
      </c>
      <c r="U442">
        <v>106226173.98</v>
      </c>
      <c r="Z442"/>
    </row>
    <row r="443" spans="1:26" x14ac:dyDescent="0.25">
      <c r="A443">
        <v>103104</v>
      </c>
      <c r="B443" t="s">
        <v>4161</v>
      </c>
      <c r="C443" t="s">
        <v>4162</v>
      </c>
      <c r="D443" t="s">
        <v>1279</v>
      </c>
      <c r="E443">
        <v>-20</v>
      </c>
      <c r="F443" s="105">
        <v>983575.67</v>
      </c>
      <c r="G443" t="s">
        <v>1191</v>
      </c>
      <c r="H443">
        <v>13278.27</v>
      </c>
      <c r="I443">
        <v>1096661.8899999999</v>
      </c>
      <c r="J443" s="384">
        <v>42787.723566932873</v>
      </c>
      <c r="K443" s="384">
        <v>43152</v>
      </c>
      <c r="L443" t="s">
        <v>4163</v>
      </c>
      <c r="M443" t="s">
        <v>1280</v>
      </c>
      <c r="N443" t="s">
        <v>1280</v>
      </c>
      <c r="O443" t="s">
        <v>44</v>
      </c>
      <c r="P443" t="s">
        <v>92</v>
      </c>
      <c r="Q443" t="s">
        <v>26</v>
      </c>
      <c r="R443" t="s">
        <v>2636</v>
      </c>
      <c r="S443">
        <v>2500000</v>
      </c>
      <c r="T443">
        <v>135000000</v>
      </c>
      <c r="U443">
        <v>53113086.18</v>
      </c>
      <c r="Z443"/>
    </row>
    <row r="444" spans="1:26" x14ac:dyDescent="0.25">
      <c r="A444">
        <v>103105</v>
      </c>
      <c r="B444" t="s">
        <v>1135</v>
      </c>
      <c r="C444" t="s">
        <v>1136</v>
      </c>
      <c r="D444" t="s">
        <v>1282</v>
      </c>
      <c r="E444">
        <v>0</v>
      </c>
      <c r="F444" s="105">
        <v>8698654.6600000001</v>
      </c>
      <c r="G444" t="s">
        <v>468</v>
      </c>
      <c r="H444">
        <v>706435.25</v>
      </c>
      <c r="I444">
        <v>11094749.5</v>
      </c>
      <c r="J444" s="384">
        <v>42787.705114351855</v>
      </c>
      <c r="K444" s="384">
        <v>43344</v>
      </c>
      <c r="L444" t="s">
        <v>1137</v>
      </c>
      <c r="M444" t="s">
        <v>1138</v>
      </c>
      <c r="N444" t="s">
        <v>1280</v>
      </c>
      <c r="O444" t="s">
        <v>44</v>
      </c>
      <c r="P444" t="s">
        <v>75</v>
      </c>
      <c r="Q444" t="s">
        <v>1442</v>
      </c>
      <c r="R444" t="s">
        <v>2856</v>
      </c>
      <c r="S444">
        <v>12000000</v>
      </c>
      <c r="T444">
        <v>576000000</v>
      </c>
      <c r="U444">
        <v>417535423.68000001</v>
      </c>
      <c r="Z444"/>
    </row>
    <row r="445" spans="1:26" x14ac:dyDescent="0.25">
      <c r="A445">
        <v>103106</v>
      </c>
      <c r="B445" t="s">
        <v>2189</v>
      </c>
      <c r="C445" t="s">
        <v>2196</v>
      </c>
      <c r="D445" t="s">
        <v>1283</v>
      </c>
      <c r="E445">
        <v>-20</v>
      </c>
      <c r="F445" s="105">
        <v>24808796.93</v>
      </c>
      <c r="G445" t="s">
        <v>468</v>
      </c>
      <c r="H445">
        <v>223279.17</v>
      </c>
      <c r="I445">
        <v>29083478.32</v>
      </c>
      <c r="J445" s="384">
        <v>42787.732135335646</v>
      </c>
      <c r="K445" s="384">
        <v>43333</v>
      </c>
      <c r="L445" t="s">
        <v>2197</v>
      </c>
      <c r="M445" t="s">
        <v>1280</v>
      </c>
      <c r="N445" t="s">
        <v>1280</v>
      </c>
      <c r="O445" t="s">
        <v>35</v>
      </c>
      <c r="P445" t="s">
        <v>26</v>
      </c>
      <c r="Q445" t="s">
        <v>26</v>
      </c>
      <c r="R445" t="s">
        <v>2856</v>
      </c>
      <c r="S445">
        <v>40000000</v>
      </c>
      <c r="T445">
        <v>1440000000</v>
      </c>
      <c r="U445">
        <v>893116689.48000002</v>
      </c>
      <c r="Z445"/>
    </row>
    <row r="446" spans="1:26" x14ac:dyDescent="0.25">
      <c r="A446">
        <v>103108</v>
      </c>
      <c r="B446" t="s">
        <v>4183</v>
      </c>
      <c r="C446" t="s">
        <v>4185</v>
      </c>
      <c r="D446" t="s">
        <v>1283</v>
      </c>
      <c r="E446">
        <v>7</v>
      </c>
      <c r="F446" s="105">
        <v>11605983.99</v>
      </c>
      <c r="G446" t="s">
        <v>1447</v>
      </c>
      <c r="H446">
        <v>395286.09</v>
      </c>
      <c r="I446">
        <v>12309203.210000001</v>
      </c>
      <c r="J446" s="384">
        <v>42790.731250810182</v>
      </c>
      <c r="K446" s="384">
        <v>43093</v>
      </c>
      <c r="L446" t="s">
        <v>4186</v>
      </c>
      <c r="M446" t="s">
        <v>1280</v>
      </c>
      <c r="N446" t="s">
        <v>1280</v>
      </c>
      <c r="O446" t="s">
        <v>27</v>
      </c>
      <c r="P446" t="s">
        <v>116</v>
      </c>
      <c r="Q446" t="s">
        <v>26</v>
      </c>
      <c r="R446" t="s">
        <v>2856</v>
      </c>
      <c r="S446">
        <v>35000000</v>
      </c>
      <c r="T446">
        <v>1260000000</v>
      </c>
      <c r="U446">
        <v>417815423.63999999</v>
      </c>
      <c r="Z446"/>
    </row>
    <row r="447" spans="1:26" x14ac:dyDescent="0.25">
      <c r="A447">
        <v>103109</v>
      </c>
      <c r="B447" t="s">
        <v>173</v>
      </c>
      <c r="C447" t="s">
        <v>1989</v>
      </c>
      <c r="D447" t="s">
        <v>1282</v>
      </c>
      <c r="E447">
        <v>0</v>
      </c>
      <c r="F447" s="105">
        <v>3337487.38</v>
      </c>
      <c r="G447" t="s">
        <v>5167</v>
      </c>
      <c r="H447">
        <v>129049.51</v>
      </c>
      <c r="I447">
        <v>3748450.79</v>
      </c>
      <c r="J447" s="384">
        <v>42793.752921446758</v>
      </c>
      <c r="K447" s="384">
        <v>43160</v>
      </c>
      <c r="L447" t="s">
        <v>1990</v>
      </c>
      <c r="M447" t="s">
        <v>1991</v>
      </c>
      <c r="N447" t="s">
        <v>1280</v>
      </c>
      <c r="O447" t="s">
        <v>44</v>
      </c>
      <c r="P447" t="s">
        <v>75</v>
      </c>
      <c r="Q447" t="s">
        <v>4000</v>
      </c>
      <c r="R447" t="s">
        <v>2856</v>
      </c>
      <c r="S447">
        <v>7000000</v>
      </c>
      <c r="T447">
        <v>336000000</v>
      </c>
      <c r="U447">
        <v>160199394.24000001</v>
      </c>
      <c r="Z447"/>
    </row>
    <row r="448" spans="1:26" x14ac:dyDescent="0.25">
      <c r="A448">
        <v>103110</v>
      </c>
      <c r="B448" t="s">
        <v>366</v>
      </c>
      <c r="C448" t="s">
        <v>387</v>
      </c>
      <c r="D448" t="s">
        <v>1281</v>
      </c>
      <c r="E448">
        <v>-4</v>
      </c>
      <c r="F448" s="105">
        <v>20645298.440000001</v>
      </c>
      <c r="G448" t="s">
        <v>2538</v>
      </c>
      <c r="H448">
        <v>602154.54</v>
      </c>
      <c r="I448">
        <v>27741773.809999999</v>
      </c>
      <c r="J448" s="384">
        <v>42794.581930787041</v>
      </c>
      <c r="K448" s="384">
        <v>43529</v>
      </c>
      <c r="L448" t="s">
        <v>388</v>
      </c>
      <c r="M448" t="s">
        <v>389</v>
      </c>
      <c r="N448" t="s">
        <v>1280</v>
      </c>
      <c r="O448" t="s">
        <v>25</v>
      </c>
      <c r="P448" t="s">
        <v>88</v>
      </c>
      <c r="Q448" t="s">
        <v>285</v>
      </c>
      <c r="R448" t="s">
        <v>2856</v>
      </c>
      <c r="S448">
        <v>26000000</v>
      </c>
      <c r="T448">
        <v>1092000000</v>
      </c>
      <c r="U448">
        <v>867102534.48000002</v>
      </c>
      <c r="Z448"/>
    </row>
    <row r="449" spans="1:26" x14ac:dyDescent="0.25">
      <c r="A449">
        <v>103112</v>
      </c>
      <c r="B449" t="s">
        <v>4209</v>
      </c>
      <c r="C449" t="s">
        <v>4210</v>
      </c>
      <c r="D449" t="s">
        <v>1284</v>
      </c>
      <c r="E449">
        <v>0</v>
      </c>
      <c r="F449" s="105">
        <v>9228539.8699999992</v>
      </c>
      <c r="G449" t="s">
        <v>4684</v>
      </c>
      <c r="H449">
        <v>267627.65999999997</v>
      </c>
      <c r="I449">
        <v>10075469.34</v>
      </c>
      <c r="J449" s="384">
        <v>42794.806688159719</v>
      </c>
      <c r="K449" s="384">
        <v>43160</v>
      </c>
      <c r="L449" t="s">
        <v>4211</v>
      </c>
      <c r="M449" t="s">
        <v>4212</v>
      </c>
      <c r="N449" t="s">
        <v>1280</v>
      </c>
      <c r="O449" t="s">
        <v>25</v>
      </c>
      <c r="P449" t="s">
        <v>94</v>
      </c>
      <c r="Q449" t="s">
        <v>95</v>
      </c>
      <c r="R449" t="s">
        <v>2856</v>
      </c>
      <c r="S449">
        <v>20000000</v>
      </c>
      <c r="T449">
        <v>720000000</v>
      </c>
      <c r="U449">
        <v>332227435.31999999</v>
      </c>
      <c r="Z449"/>
    </row>
    <row r="450" spans="1:26" x14ac:dyDescent="0.25">
      <c r="A450">
        <v>103113</v>
      </c>
      <c r="B450" t="s">
        <v>2337</v>
      </c>
      <c r="C450" t="s">
        <v>2339</v>
      </c>
      <c r="D450" t="s">
        <v>1282</v>
      </c>
      <c r="E450">
        <v>0</v>
      </c>
      <c r="F450" s="105">
        <v>2380878.88</v>
      </c>
      <c r="G450" t="s">
        <v>1447</v>
      </c>
      <c r="H450">
        <v>92060.65</v>
      </c>
      <c r="I450">
        <v>2674049.7599999998</v>
      </c>
      <c r="J450" s="384">
        <v>42794.808092974534</v>
      </c>
      <c r="K450" s="384">
        <v>43160</v>
      </c>
      <c r="L450" t="s">
        <v>2340</v>
      </c>
      <c r="M450" t="s">
        <v>1280</v>
      </c>
      <c r="N450" t="s">
        <v>1280</v>
      </c>
      <c r="O450" t="s">
        <v>44</v>
      </c>
      <c r="P450" t="s">
        <v>75</v>
      </c>
      <c r="Q450" t="s">
        <v>26</v>
      </c>
      <c r="R450" t="s">
        <v>2856</v>
      </c>
      <c r="S450">
        <v>5000000</v>
      </c>
      <c r="T450">
        <v>240000000</v>
      </c>
      <c r="U450">
        <v>114282186.23999999</v>
      </c>
      <c r="Z450"/>
    </row>
    <row r="451" spans="1:26" x14ac:dyDescent="0.25">
      <c r="A451">
        <v>103114</v>
      </c>
      <c r="B451" t="s">
        <v>432</v>
      </c>
      <c r="C451" t="s">
        <v>433</v>
      </c>
      <c r="D451" t="s">
        <v>1283</v>
      </c>
      <c r="E451">
        <v>0</v>
      </c>
      <c r="F451" s="105">
        <v>46276133.030000001</v>
      </c>
      <c r="G451" t="s">
        <v>468</v>
      </c>
      <c r="H451">
        <v>1342007.8600000001</v>
      </c>
      <c r="I451">
        <v>64727341.770000003</v>
      </c>
      <c r="J451" s="384">
        <v>42794.908129085648</v>
      </c>
      <c r="K451" s="384">
        <v>43709</v>
      </c>
      <c r="L451" t="s">
        <v>434</v>
      </c>
      <c r="M451" t="s">
        <v>435</v>
      </c>
      <c r="N451" t="s">
        <v>1280</v>
      </c>
      <c r="O451" t="s">
        <v>27</v>
      </c>
      <c r="P451" t="s">
        <v>26</v>
      </c>
      <c r="Q451" t="s">
        <v>26</v>
      </c>
      <c r="R451" t="s">
        <v>2856</v>
      </c>
      <c r="S451">
        <v>55000000</v>
      </c>
      <c r="T451">
        <v>1980000000</v>
      </c>
      <c r="U451">
        <v>1665940789.0799999</v>
      </c>
      <c r="Z451"/>
    </row>
    <row r="452" spans="1:26" x14ac:dyDescent="0.25">
      <c r="A452">
        <v>103117</v>
      </c>
      <c r="B452" t="s">
        <v>4206</v>
      </c>
      <c r="C452" t="s">
        <v>4213</v>
      </c>
      <c r="D452" t="s">
        <v>1282</v>
      </c>
      <c r="E452">
        <v>89</v>
      </c>
      <c r="F452" s="105">
        <v>1903662.33</v>
      </c>
      <c r="G452" t="s">
        <v>1448</v>
      </c>
      <c r="H452">
        <v>149117.96</v>
      </c>
      <c r="I452">
        <v>2122535.12</v>
      </c>
      <c r="J452" s="384">
        <v>42796.546903969909</v>
      </c>
      <c r="K452" s="384">
        <v>43041</v>
      </c>
      <c r="L452" t="s">
        <v>5833</v>
      </c>
      <c r="M452" t="s">
        <v>1280</v>
      </c>
      <c r="N452" t="s">
        <v>1280</v>
      </c>
      <c r="O452" t="s">
        <v>44</v>
      </c>
      <c r="P452" t="s">
        <v>75</v>
      </c>
      <c r="Q452" t="s">
        <v>26</v>
      </c>
      <c r="R452" t="s">
        <v>2636</v>
      </c>
      <c r="S452">
        <v>3500000</v>
      </c>
      <c r="T452">
        <v>189000000</v>
      </c>
      <c r="U452">
        <v>102797765.81999999</v>
      </c>
      <c r="Z452"/>
    </row>
    <row r="453" spans="1:26" x14ac:dyDescent="0.25">
      <c r="A453">
        <v>103119</v>
      </c>
      <c r="B453" t="s">
        <v>2269</v>
      </c>
      <c r="C453" t="s">
        <v>2271</v>
      </c>
      <c r="D453" t="s">
        <v>1279</v>
      </c>
      <c r="E453">
        <v>-6</v>
      </c>
      <c r="F453" s="105">
        <v>1660229.73</v>
      </c>
      <c r="G453" t="s">
        <v>1447</v>
      </c>
      <c r="H453">
        <v>50913.71</v>
      </c>
      <c r="I453">
        <v>1864663.06</v>
      </c>
      <c r="J453" s="384">
        <v>42801.556260300924</v>
      </c>
      <c r="K453" s="384">
        <v>43166</v>
      </c>
      <c r="L453" t="s">
        <v>2272</v>
      </c>
      <c r="M453" t="s">
        <v>1280</v>
      </c>
      <c r="N453" t="s">
        <v>1280</v>
      </c>
      <c r="O453" t="s">
        <v>25</v>
      </c>
      <c r="P453" t="s">
        <v>94</v>
      </c>
      <c r="Q453" t="s">
        <v>26</v>
      </c>
      <c r="R453" t="s">
        <v>2856</v>
      </c>
      <c r="S453">
        <v>3500000</v>
      </c>
      <c r="T453">
        <v>168000000</v>
      </c>
      <c r="U453">
        <v>79691027.040000007</v>
      </c>
      <c r="Z453"/>
    </row>
    <row r="454" spans="1:26" x14ac:dyDescent="0.25">
      <c r="A454">
        <v>103122</v>
      </c>
      <c r="B454" t="s">
        <v>4240</v>
      </c>
      <c r="C454" t="s">
        <v>4241</v>
      </c>
      <c r="D454" t="s">
        <v>1282</v>
      </c>
      <c r="E454">
        <v>51</v>
      </c>
      <c r="F454" s="105">
        <v>2302403.92</v>
      </c>
      <c r="G454" t="s">
        <v>963</v>
      </c>
      <c r="H454">
        <v>101669.81</v>
      </c>
      <c r="I454">
        <v>2671285.33</v>
      </c>
      <c r="J454" s="384">
        <v>42805.452683599535</v>
      </c>
      <c r="K454" s="384">
        <v>43169</v>
      </c>
      <c r="L454" t="s">
        <v>4242</v>
      </c>
      <c r="M454" t="s">
        <v>1280</v>
      </c>
      <c r="N454" t="s">
        <v>1280</v>
      </c>
      <c r="O454" t="s">
        <v>45</v>
      </c>
      <c r="P454" t="s">
        <v>45</v>
      </c>
      <c r="Q454" t="s">
        <v>26</v>
      </c>
      <c r="R454" t="s">
        <v>2856</v>
      </c>
      <c r="S454">
        <v>4000000</v>
      </c>
      <c r="T454">
        <v>216000000</v>
      </c>
      <c r="U454">
        <v>124329811.68000001</v>
      </c>
      <c r="Z454"/>
    </row>
    <row r="455" spans="1:26" x14ac:dyDescent="0.25">
      <c r="A455">
        <v>103123</v>
      </c>
      <c r="B455" t="s">
        <v>1488</v>
      </c>
      <c r="C455" t="s">
        <v>1489</v>
      </c>
      <c r="D455" t="s">
        <v>1284</v>
      </c>
      <c r="E455">
        <v>-10</v>
      </c>
      <c r="F455" s="105">
        <v>18508318.760000002</v>
      </c>
      <c r="G455" t="s">
        <v>546</v>
      </c>
      <c r="H455">
        <v>351658.06</v>
      </c>
      <c r="I455">
        <v>20206880.039999999</v>
      </c>
      <c r="J455" s="384">
        <v>42805.507712268518</v>
      </c>
      <c r="K455" s="384">
        <v>43170</v>
      </c>
      <c r="L455" t="s">
        <v>1490</v>
      </c>
      <c r="M455" t="s">
        <v>1280</v>
      </c>
      <c r="N455" t="s">
        <v>1280</v>
      </c>
      <c r="O455" t="s">
        <v>44</v>
      </c>
      <c r="P455" t="s">
        <v>75</v>
      </c>
      <c r="Q455" t="s">
        <v>26</v>
      </c>
      <c r="R455" t="s">
        <v>2856</v>
      </c>
      <c r="S455">
        <v>40227873</v>
      </c>
      <c r="T455">
        <v>1448203428</v>
      </c>
      <c r="U455">
        <v>666299475.36000001</v>
      </c>
      <c r="Z455"/>
    </row>
    <row r="456" spans="1:26" x14ac:dyDescent="0.25">
      <c r="A456">
        <v>103125</v>
      </c>
      <c r="B456" t="s">
        <v>2442</v>
      </c>
      <c r="C456" t="s">
        <v>2443</v>
      </c>
      <c r="D456" t="s">
        <v>1866</v>
      </c>
      <c r="E456">
        <v>-15</v>
      </c>
      <c r="F456" s="105">
        <v>3756889.31</v>
      </c>
      <c r="G456" t="s">
        <v>1925</v>
      </c>
      <c r="H456">
        <v>64284.55</v>
      </c>
      <c r="I456">
        <v>4180062.62</v>
      </c>
      <c r="J456" s="384">
        <v>42810.643248958331</v>
      </c>
      <c r="K456" s="384">
        <v>43175</v>
      </c>
      <c r="L456" t="s">
        <v>2444</v>
      </c>
      <c r="M456" t="s">
        <v>2445</v>
      </c>
      <c r="N456" t="s">
        <v>1280</v>
      </c>
      <c r="O456" t="s">
        <v>25</v>
      </c>
      <c r="P456" t="s">
        <v>88</v>
      </c>
      <c r="Q456" t="s">
        <v>285</v>
      </c>
      <c r="R456" t="s">
        <v>2856</v>
      </c>
      <c r="S456">
        <v>8000000</v>
      </c>
      <c r="T456">
        <v>352000000</v>
      </c>
      <c r="U456">
        <v>165303129.63999999</v>
      </c>
      <c r="Z456"/>
    </row>
    <row r="457" spans="1:26" x14ac:dyDescent="0.25">
      <c r="A457">
        <v>103126</v>
      </c>
      <c r="B457" t="s">
        <v>1608</v>
      </c>
      <c r="C457" t="s">
        <v>1628</v>
      </c>
      <c r="D457" t="s">
        <v>1284</v>
      </c>
      <c r="E457">
        <v>-16</v>
      </c>
      <c r="F457" s="105">
        <v>4600869.3899999997</v>
      </c>
      <c r="G457" t="s">
        <v>1467</v>
      </c>
      <c r="H457">
        <v>59811.3</v>
      </c>
      <c r="I457">
        <v>5023104.32</v>
      </c>
      <c r="J457" s="384">
        <v>42811.458580868057</v>
      </c>
      <c r="K457" s="384">
        <v>43176</v>
      </c>
      <c r="L457" t="s">
        <v>1629</v>
      </c>
      <c r="M457" t="s">
        <v>1280</v>
      </c>
      <c r="N457" t="s">
        <v>1630</v>
      </c>
      <c r="O457" t="s">
        <v>35</v>
      </c>
      <c r="P457" t="s">
        <v>121</v>
      </c>
      <c r="Q457" t="s">
        <v>26</v>
      </c>
      <c r="R457" t="s">
        <v>2856</v>
      </c>
      <c r="S457">
        <v>10000000</v>
      </c>
      <c r="T457">
        <v>360000000</v>
      </c>
      <c r="U457">
        <v>165631298.03999999</v>
      </c>
      <c r="Z457"/>
    </row>
    <row r="458" spans="1:26" x14ac:dyDescent="0.25">
      <c r="A458">
        <v>103129</v>
      </c>
      <c r="B458" t="s">
        <v>4271</v>
      </c>
      <c r="C458" t="s">
        <v>4275</v>
      </c>
      <c r="D458" t="s">
        <v>1279</v>
      </c>
      <c r="E458">
        <v>-19</v>
      </c>
      <c r="F458" s="105">
        <v>694821.79</v>
      </c>
      <c r="G458" t="s">
        <v>963</v>
      </c>
      <c r="H458">
        <v>10422.33</v>
      </c>
      <c r="I458">
        <v>758272.97</v>
      </c>
      <c r="J458" s="384">
        <v>42814.751309525462</v>
      </c>
      <c r="K458" s="384">
        <v>43120</v>
      </c>
      <c r="L458" t="s">
        <v>4276</v>
      </c>
      <c r="M458" t="s">
        <v>1280</v>
      </c>
      <c r="N458" t="s">
        <v>1280</v>
      </c>
      <c r="O458" t="s">
        <v>44</v>
      </c>
      <c r="P458" t="s">
        <v>75</v>
      </c>
      <c r="Q458" t="s">
        <v>26</v>
      </c>
      <c r="R458" t="s">
        <v>2636</v>
      </c>
      <c r="S458">
        <v>2000000</v>
      </c>
      <c r="T458">
        <v>108000000</v>
      </c>
      <c r="U458">
        <v>37520376.659999996</v>
      </c>
      <c r="Z458"/>
    </row>
    <row r="459" spans="1:26" x14ac:dyDescent="0.25">
      <c r="A459">
        <v>103130</v>
      </c>
      <c r="B459" t="s">
        <v>4307</v>
      </c>
      <c r="C459" t="s">
        <v>4310</v>
      </c>
      <c r="D459" t="s">
        <v>1279</v>
      </c>
      <c r="E459">
        <v>38</v>
      </c>
      <c r="F459" s="105">
        <v>834735.54</v>
      </c>
      <c r="G459" t="s">
        <v>1039</v>
      </c>
      <c r="H459">
        <v>63152.08</v>
      </c>
      <c r="I459">
        <v>910963.65</v>
      </c>
      <c r="J459" s="384">
        <v>42816.715197534722</v>
      </c>
      <c r="K459" s="384">
        <v>43062</v>
      </c>
      <c r="L459" t="s">
        <v>4311</v>
      </c>
      <c r="M459" t="s">
        <v>1280</v>
      </c>
      <c r="N459" t="s">
        <v>1280</v>
      </c>
      <c r="O459" t="s">
        <v>25</v>
      </c>
      <c r="P459" t="s">
        <v>26</v>
      </c>
      <c r="Q459" t="s">
        <v>26</v>
      </c>
      <c r="R459" t="s">
        <v>2636</v>
      </c>
      <c r="S459">
        <v>2000000</v>
      </c>
      <c r="T459">
        <v>108000000</v>
      </c>
      <c r="U459">
        <v>45075719.159999996</v>
      </c>
      <c r="Z459"/>
    </row>
    <row r="460" spans="1:26" x14ac:dyDescent="0.25">
      <c r="A460">
        <v>103131</v>
      </c>
      <c r="B460" t="s">
        <v>4278</v>
      </c>
      <c r="C460" t="s">
        <v>4285</v>
      </c>
      <c r="D460" t="s">
        <v>1282</v>
      </c>
      <c r="E460">
        <v>40</v>
      </c>
      <c r="F460" s="105">
        <v>2195477.5099999998</v>
      </c>
      <c r="G460" t="s">
        <v>1467</v>
      </c>
      <c r="H460">
        <v>152588.19</v>
      </c>
      <c r="I460">
        <v>2458982.65</v>
      </c>
      <c r="J460" s="384">
        <v>42815.560575694442</v>
      </c>
      <c r="K460" s="384">
        <v>43121</v>
      </c>
      <c r="L460" t="s">
        <v>4286</v>
      </c>
      <c r="M460" t="s">
        <v>4287</v>
      </c>
      <c r="N460" t="s">
        <v>1280</v>
      </c>
      <c r="O460" t="s">
        <v>36</v>
      </c>
      <c r="P460" t="s">
        <v>1023</v>
      </c>
      <c r="Q460" t="s">
        <v>26</v>
      </c>
      <c r="R460" t="s">
        <v>2856</v>
      </c>
      <c r="S460">
        <v>4000000</v>
      </c>
      <c r="T460">
        <v>192000000</v>
      </c>
      <c r="U460">
        <v>105382920.48</v>
      </c>
      <c r="Z460"/>
    </row>
    <row r="461" spans="1:26" x14ac:dyDescent="0.25">
      <c r="A461">
        <v>103132</v>
      </c>
      <c r="B461" t="s">
        <v>4282</v>
      </c>
      <c r="C461" t="s">
        <v>4288</v>
      </c>
      <c r="D461" t="s">
        <v>1866</v>
      </c>
      <c r="E461">
        <v>-20</v>
      </c>
      <c r="F461" s="105">
        <v>4767156.04</v>
      </c>
      <c r="G461" t="s">
        <v>2034</v>
      </c>
      <c r="H461">
        <v>59589.45</v>
      </c>
      <c r="I461">
        <v>5379255.9100000001</v>
      </c>
      <c r="J461" s="384">
        <v>42815.719858946759</v>
      </c>
      <c r="K461" s="384">
        <v>43180</v>
      </c>
      <c r="L461" t="s">
        <v>4289</v>
      </c>
      <c r="M461" t="s">
        <v>1280</v>
      </c>
      <c r="N461" t="s">
        <v>1280</v>
      </c>
      <c r="O461" t="s">
        <v>25</v>
      </c>
      <c r="P461" t="s">
        <v>88</v>
      </c>
      <c r="Q461" t="s">
        <v>285</v>
      </c>
      <c r="R461" t="s">
        <v>2636</v>
      </c>
      <c r="S461">
        <v>10000000</v>
      </c>
      <c r="T461">
        <v>500000000</v>
      </c>
      <c r="U461">
        <v>238357802</v>
      </c>
      <c r="Z461"/>
    </row>
    <row r="462" spans="1:26" x14ac:dyDescent="0.25">
      <c r="A462">
        <v>103134</v>
      </c>
      <c r="B462" t="s">
        <v>4331</v>
      </c>
      <c r="C462" t="s">
        <v>4333</v>
      </c>
      <c r="D462" t="s">
        <v>1283</v>
      </c>
      <c r="E462">
        <v>-23</v>
      </c>
      <c r="F462" s="105">
        <v>16269963.73</v>
      </c>
      <c r="G462" t="s">
        <v>1448</v>
      </c>
      <c r="H462">
        <v>108466.42</v>
      </c>
      <c r="I462">
        <v>17932509.489999998</v>
      </c>
      <c r="J462" s="384">
        <v>42818.553093368057</v>
      </c>
      <c r="K462" s="384">
        <v>43183</v>
      </c>
      <c r="L462" t="s">
        <v>4334</v>
      </c>
      <c r="M462" t="s">
        <v>4335</v>
      </c>
      <c r="N462" t="s">
        <v>1280</v>
      </c>
      <c r="O462" t="s">
        <v>37</v>
      </c>
      <c r="P462" t="s">
        <v>38</v>
      </c>
      <c r="Q462" t="s">
        <v>39</v>
      </c>
      <c r="R462" t="s">
        <v>2636</v>
      </c>
      <c r="S462">
        <v>35000000</v>
      </c>
      <c r="T462">
        <v>1400000000</v>
      </c>
      <c r="U462">
        <v>650798549.20000005</v>
      </c>
      <c r="Z462"/>
    </row>
    <row r="463" spans="1:26" x14ac:dyDescent="0.25">
      <c r="A463">
        <v>103135</v>
      </c>
      <c r="B463" t="s">
        <v>4326</v>
      </c>
      <c r="C463" t="s">
        <v>4336</v>
      </c>
      <c r="D463" t="s">
        <v>1282</v>
      </c>
      <c r="E463">
        <v>127</v>
      </c>
      <c r="F463" s="105">
        <v>3750488.76</v>
      </c>
      <c r="G463" t="s">
        <v>546</v>
      </c>
      <c r="H463">
        <v>149751.64000000001</v>
      </c>
      <c r="I463">
        <v>4212915.82</v>
      </c>
      <c r="J463" s="384">
        <v>42818.509962847224</v>
      </c>
      <c r="K463" s="384">
        <v>43063</v>
      </c>
      <c r="L463" t="s">
        <v>4337</v>
      </c>
      <c r="M463" t="s">
        <v>4338</v>
      </c>
      <c r="N463" t="s">
        <v>1280</v>
      </c>
      <c r="O463" t="s">
        <v>25</v>
      </c>
      <c r="P463" t="s">
        <v>295</v>
      </c>
      <c r="Q463" t="s">
        <v>26</v>
      </c>
      <c r="R463" t="s">
        <v>2636</v>
      </c>
      <c r="S463">
        <v>5000000</v>
      </c>
      <c r="T463">
        <v>270000000</v>
      </c>
      <c r="U463">
        <v>202526393.03999999</v>
      </c>
      <c r="Z463"/>
    </row>
    <row r="464" spans="1:26" x14ac:dyDescent="0.25">
      <c r="A464">
        <v>103136</v>
      </c>
      <c r="B464" t="s">
        <v>853</v>
      </c>
      <c r="C464" t="s">
        <v>858</v>
      </c>
      <c r="D464" t="s">
        <v>1282</v>
      </c>
      <c r="E464">
        <v>-23</v>
      </c>
      <c r="F464" s="105">
        <v>3794810.74</v>
      </c>
      <c r="G464" t="s">
        <v>90</v>
      </c>
      <c r="H464">
        <v>30358.49</v>
      </c>
      <c r="I464">
        <v>4262086.91</v>
      </c>
      <c r="J464" s="384">
        <v>42818.624222951388</v>
      </c>
      <c r="K464" s="384">
        <v>43183</v>
      </c>
      <c r="L464" t="s">
        <v>859</v>
      </c>
      <c r="M464" t="s">
        <v>1280</v>
      </c>
      <c r="N464" t="s">
        <v>1280</v>
      </c>
      <c r="O464" t="s">
        <v>25</v>
      </c>
      <c r="P464" t="s">
        <v>88</v>
      </c>
      <c r="Q464" t="s">
        <v>26</v>
      </c>
      <c r="R464" t="s">
        <v>2856</v>
      </c>
      <c r="S464">
        <v>8000000</v>
      </c>
      <c r="T464">
        <v>384000000</v>
      </c>
      <c r="U464">
        <v>182150915.52000001</v>
      </c>
      <c r="Z464"/>
    </row>
    <row r="465" spans="1:26" x14ac:dyDescent="0.25">
      <c r="A465">
        <v>103137</v>
      </c>
      <c r="B465" t="s">
        <v>1011</v>
      </c>
      <c r="C465" t="s">
        <v>1012</v>
      </c>
      <c r="D465" t="s">
        <v>1282</v>
      </c>
      <c r="E465">
        <v>-23</v>
      </c>
      <c r="F465" s="105">
        <v>3320459.39</v>
      </c>
      <c r="G465" t="s">
        <v>468</v>
      </c>
      <c r="H465">
        <v>26563.68</v>
      </c>
      <c r="I465">
        <v>3729326.04</v>
      </c>
      <c r="J465" s="384">
        <v>42818.652881828704</v>
      </c>
      <c r="K465" s="384">
        <v>43183</v>
      </c>
      <c r="L465" t="s">
        <v>1013</v>
      </c>
      <c r="M465" t="s">
        <v>1014</v>
      </c>
      <c r="N465" t="s">
        <v>1280</v>
      </c>
      <c r="O465" t="s">
        <v>44</v>
      </c>
      <c r="P465" t="s">
        <v>75</v>
      </c>
      <c r="Q465" t="s">
        <v>1442</v>
      </c>
      <c r="R465" t="s">
        <v>2856</v>
      </c>
      <c r="S465">
        <v>7000000</v>
      </c>
      <c r="T465">
        <v>336000000</v>
      </c>
      <c r="U465">
        <v>159382050.72</v>
      </c>
      <c r="Z465"/>
    </row>
    <row r="466" spans="1:26" x14ac:dyDescent="0.25">
      <c r="A466">
        <v>103138</v>
      </c>
      <c r="B466" t="s">
        <v>4330</v>
      </c>
      <c r="C466" t="s">
        <v>4339</v>
      </c>
      <c r="D466" t="s">
        <v>1866</v>
      </c>
      <c r="E466">
        <v>-23</v>
      </c>
      <c r="F466" s="105">
        <v>3095098.46</v>
      </c>
      <c r="G466" t="s">
        <v>468</v>
      </c>
      <c r="H466">
        <v>25792.49</v>
      </c>
      <c r="I466">
        <v>3356532.03</v>
      </c>
      <c r="J466" s="384">
        <v>42818.790010416669</v>
      </c>
      <c r="K466" s="384">
        <v>43124</v>
      </c>
      <c r="L466" t="s">
        <v>4340</v>
      </c>
      <c r="M466" t="s">
        <v>4341</v>
      </c>
      <c r="N466" t="s">
        <v>1280</v>
      </c>
      <c r="O466" t="s">
        <v>25</v>
      </c>
      <c r="P466" t="s">
        <v>26</v>
      </c>
      <c r="Q466" t="s">
        <v>26</v>
      </c>
      <c r="R466" t="s">
        <v>2636</v>
      </c>
      <c r="S466">
        <v>9000000</v>
      </c>
      <c r="T466">
        <v>450000000</v>
      </c>
      <c r="U466">
        <v>154754923</v>
      </c>
      <c r="Z466"/>
    </row>
    <row r="467" spans="1:26" x14ac:dyDescent="0.25">
      <c r="A467">
        <v>103139</v>
      </c>
      <c r="B467" t="s">
        <v>2921</v>
      </c>
      <c r="C467" t="s">
        <v>2922</v>
      </c>
      <c r="D467" t="s">
        <v>1282</v>
      </c>
      <c r="E467">
        <v>-23</v>
      </c>
      <c r="F467" s="105">
        <v>2737148.79</v>
      </c>
      <c r="G467" t="s">
        <v>90</v>
      </c>
      <c r="H467">
        <v>50068.13</v>
      </c>
      <c r="I467">
        <v>2958982.71</v>
      </c>
      <c r="J467" s="384">
        <v>42818.802715590275</v>
      </c>
      <c r="K467" s="384">
        <v>43124</v>
      </c>
      <c r="L467" t="s">
        <v>2923</v>
      </c>
      <c r="M467" t="s">
        <v>2924</v>
      </c>
      <c r="N467" t="s">
        <v>1280</v>
      </c>
      <c r="O467" t="s">
        <v>37</v>
      </c>
      <c r="P467" t="s">
        <v>38</v>
      </c>
      <c r="Q467" t="s">
        <v>39</v>
      </c>
      <c r="R467" t="s">
        <v>2856</v>
      </c>
      <c r="S467">
        <v>8000000</v>
      </c>
      <c r="T467">
        <v>384000000</v>
      </c>
      <c r="U467">
        <v>131383141.92</v>
      </c>
      <c r="Z467"/>
    </row>
    <row r="468" spans="1:26" x14ac:dyDescent="0.25">
      <c r="A468">
        <v>103141</v>
      </c>
      <c r="B468" t="s">
        <v>4356</v>
      </c>
      <c r="C468" t="s">
        <v>4361</v>
      </c>
      <c r="D468" t="s">
        <v>1283</v>
      </c>
      <c r="E468">
        <v>0</v>
      </c>
      <c r="F468" s="105">
        <v>27316791.77</v>
      </c>
      <c r="G468" t="s">
        <v>86</v>
      </c>
      <c r="H468">
        <v>792186.96</v>
      </c>
      <c r="I468">
        <v>30255668.879999999</v>
      </c>
      <c r="J468" s="384">
        <v>42821.535370682868</v>
      </c>
      <c r="K468" s="384">
        <v>43191</v>
      </c>
      <c r="L468" t="s">
        <v>4362</v>
      </c>
      <c r="M468" t="s">
        <v>1280</v>
      </c>
      <c r="N468" t="s">
        <v>1280</v>
      </c>
      <c r="O468" t="s">
        <v>25</v>
      </c>
      <c r="P468" t="s">
        <v>106</v>
      </c>
      <c r="Q468" t="s">
        <v>4357</v>
      </c>
      <c r="R468" t="s">
        <v>2856</v>
      </c>
      <c r="S468">
        <v>50000000</v>
      </c>
      <c r="T468">
        <v>1800000000</v>
      </c>
      <c r="U468">
        <v>983404503.72000003</v>
      </c>
      <c r="Z468"/>
    </row>
    <row r="469" spans="1:26" x14ac:dyDescent="0.25">
      <c r="A469">
        <v>103142</v>
      </c>
      <c r="B469" t="s">
        <v>4360</v>
      </c>
      <c r="C469" t="s">
        <v>4363</v>
      </c>
      <c r="D469" t="s">
        <v>1279</v>
      </c>
      <c r="E469">
        <v>0</v>
      </c>
      <c r="F469" s="105">
        <v>428316.96</v>
      </c>
      <c r="G469" t="s">
        <v>2494</v>
      </c>
      <c r="H469">
        <v>18631.79</v>
      </c>
      <c r="I469">
        <v>457440.42</v>
      </c>
      <c r="J469" s="384">
        <v>42821.547604201391</v>
      </c>
      <c r="K469" s="384">
        <v>43070</v>
      </c>
      <c r="L469" t="s">
        <v>4364</v>
      </c>
      <c r="M469" t="s">
        <v>1280</v>
      </c>
      <c r="N469" t="s">
        <v>1280</v>
      </c>
      <c r="O469" t="s">
        <v>25</v>
      </c>
      <c r="P469" t="s">
        <v>26</v>
      </c>
      <c r="Q469" t="s">
        <v>26</v>
      </c>
      <c r="R469" t="s">
        <v>2636</v>
      </c>
      <c r="S469">
        <v>1500000</v>
      </c>
      <c r="T469">
        <v>81000000</v>
      </c>
      <c r="U469">
        <v>23129115.84</v>
      </c>
      <c r="Z469"/>
    </row>
    <row r="470" spans="1:26" x14ac:dyDescent="0.25">
      <c r="A470">
        <v>103143</v>
      </c>
      <c r="B470" t="s">
        <v>4358</v>
      </c>
      <c r="C470" t="s">
        <v>4365</v>
      </c>
      <c r="D470" t="s">
        <v>1282</v>
      </c>
      <c r="E470">
        <v>7</v>
      </c>
      <c r="F470" s="105">
        <v>3092574.59</v>
      </c>
      <c r="G470" t="s">
        <v>2175</v>
      </c>
      <c r="H470">
        <v>25885.38</v>
      </c>
      <c r="I470">
        <v>3492239.65</v>
      </c>
      <c r="J470" s="384">
        <v>42821.581233136574</v>
      </c>
      <c r="K470" s="384">
        <v>43183</v>
      </c>
      <c r="L470" t="s">
        <v>4366</v>
      </c>
      <c r="M470" t="s">
        <v>4367</v>
      </c>
      <c r="N470" t="s">
        <v>1280</v>
      </c>
      <c r="O470" t="s">
        <v>25</v>
      </c>
      <c r="P470" t="s">
        <v>32</v>
      </c>
      <c r="Q470" t="s">
        <v>517</v>
      </c>
      <c r="R470" t="s">
        <v>2636</v>
      </c>
      <c r="S470">
        <v>6000000</v>
      </c>
      <c r="T470">
        <v>324000000</v>
      </c>
      <c r="U470">
        <v>166999027.86000001</v>
      </c>
      <c r="Z470"/>
    </row>
    <row r="471" spans="1:26" x14ac:dyDescent="0.25">
      <c r="A471">
        <v>103144</v>
      </c>
      <c r="B471" t="s">
        <v>2931</v>
      </c>
      <c r="C471" t="s">
        <v>2932</v>
      </c>
      <c r="D471" t="s">
        <v>1279</v>
      </c>
      <c r="E471">
        <v>0</v>
      </c>
      <c r="F471" s="105">
        <v>2243403.6800000002</v>
      </c>
      <c r="G471" t="s">
        <v>2494</v>
      </c>
      <c r="H471">
        <v>86744.94</v>
      </c>
      <c r="I471">
        <v>2472141.5299999998</v>
      </c>
      <c r="J471" s="384">
        <v>42823.50057758102</v>
      </c>
      <c r="K471" s="384">
        <v>43132</v>
      </c>
      <c r="L471" t="s">
        <v>2933</v>
      </c>
      <c r="M471" t="s">
        <v>2934</v>
      </c>
      <c r="N471" t="s">
        <v>1280</v>
      </c>
      <c r="O471" t="s">
        <v>25</v>
      </c>
      <c r="P471" t="s">
        <v>88</v>
      </c>
      <c r="Q471" t="s">
        <v>285</v>
      </c>
      <c r="R471" t="s">
        <v>2856</v>
      </c>
      <c r="S471">
        <v>5000000</v>
      </c>
      <c r="T471">
        <v>240000000</v>
      </c>
      <c r="U471">
        <v>107683376.64</v>
      </c>
      <c r="Z471"/>
    </row>
    <row r="472" spans="1:26" x14ac:dyDescent="0.25">
      <c r="A472">
        <v>103145</v>
      </c>
      <c r="B472" t="s">
        <v>4375</v>
      </c>
      <c r="C472" t="s">
        <v>4376</v>
      </c>
      <c r="D472" t="s">
        <v>1866</v>
      </c>
      <c r="E472">
        <v>0</v>
      </c>
      <c r="F472" s="105">
        <v>5557652.9699999997</v>
      </c>
      <c r="G472" t="s">
        <v>4684</v>
      </c>
      <c r="H472">
        <v>196987.92</v>
      </c>
      <c r="I472">
        <v>6292271.1699999999</v>
      </c>
      <c r="J472" s="384">
        <v>42822.714810034726</v>
      </c>
      <c r="K472" s="384">
        <v>43191</v>
      </c>
      <c r="L472" t="s">
        <v>4377</v>
      </c>
      <c r="M472" t="s">
        <v>1280</v>
      </c>
      <c r="N472" t="s">
        <v>1280</v>
      </c>
      <c r="O472" t="s">
        <v>29</v>
      </c>
      <c r="P472" t="s">
        <v>96</v>
      </c>
      <c r="Q472" t="s">
        <v>96</v>
      </c>
      <c r="R472" t="s">
        <v>2856</v>
      </c>
      <c r="S472">
        <v>10000000</v>
      </c>
      <c r="T472">
        <v>440000000</v>
      </c>
      <c r="U472">
        <v>244536730.68000001</v>
      </c>
      <c r="Z472"/>
    </row>
    <row r="473" spans="1:26" x14ac:dyDescent="0.25">
      <c r="A473">
        <v>103146</v>
      </c>
      <c r="B473" t="s">
        <v>4374</v>
      </c>
      <c r="C473" t="s">
        <v>4378</v>
      </c>
      <c r="D473" t="s">
        <v>1279</v>
      </c>
      <c r="E473">
        <v>30</v>
      </c>
      <c r="F473" s="105">
        <v>465821.2</v>
      </c>
      <c r="G473" t="s">
        <v>90</v>
      </c>
      <c r="H473">
        <v>61983.19</v>
      </c>
      <c r="I473">
        <v>486783.15</v>
      </c>
      <c r="J473" s="384">
        <v>42822.749953356484</v>
      </c>
      <c r="K473" s="384">
        <v>43009</v>
      </c>
      <c r="L473" t="s">
        <v>4379</v>
      </c>
      <c r="M473" t="s">
        <v>1280</v>
      </c>
      <c r="N473" t="s">
        <v>1280</v>
      </c>
      <c r="O473" t="s">
        <v>46</v>
      </c>
      <c r="P473" t="s">
        <v>46</v>
      </c>
      <c r="Q473" t="s">
        <v>112</v>
      </c>
      <c r="R473" t="s">
        <v>2636</v>
      </c>
      <c r="S473">
        <v>2500000</v>
      </c>
      <c r="T473">
        <v>135000000</v>
      </c>
      <c r="U473">
        <v>25154344.800000001</v>
      </c>
      <c r="Z473"/>
    </row>
    <row r="474" spans="1:26" x14ac:dyDescent="0.25">
      <c r="A474">
        <v>103147</v>
      </c>
      <c r="B474" t="s">
        <v>1520</v>
      </c>
      <c r="C474" t="s">
        <v>1524</v>
      </c>
      <c r="D474" t="s">
        <v>1283</v>
      </c>
      <c r="E474">
        <v>0</v>
      </c>
      <c r="F474" s="105">
        <v>44752747.549999997</v>
      </c>
      <c r="G474" t="s">
        <v>1925</v>
      </c>
      <c r="H474">
        <v>1297829.68</v>
      </c>
      <c r="I474">
        <v>58570450.420000002</v>
      </c>
      <c r="J474" s="384">
        <v>42823.728314814813</v>
      </c>
      <c r="K474" s="384">
        <v>43556</v>
      </c>
      <c r="L474" t="s">
        <v>1525</v>
      </c>
      <c r="M474" t="s">
        <v>1526</v>
      </c>
      <c r="N474" t="s">
        <v>1280</v>
      </c>
      <c r="O474" t="s">
        <v>25</v>
      </c>
      <c r="P474" t="s">
        <v>88</v>
      </c>
      <c r="Q474" t="s">
        <v>285</v>
      </c>
      <c r="R474" t="s">
        <v>2856</v>
      </c>
      <c r="S474">
        <v>55000000</v>
      </c>
      <c r="T474">
        <v>1980000000</v>
      </c>
      <c r="U474">
        <v>1611098911.8</v>
      </c>
      <c r="Z474"/>
    </row>
    <row r="475" spans="1:26" x14ac:dyDescent="0.25">
      <c r="A475">
        <v>103148</v>
      </c>
      <c r="B475" t="s">
        <v>634</v>
      </c>
      <c r="C475" t="s">
        <v>635</v>
      </c>
      <c r="D475" t="s">
        <v>1283</v>
      </c>
      <c r="E475">
        <v>0</v>
      </c>
      <c r="F475" s="105">
        <v>28451425.239999998</v>
      </c>
      <c r="G475" t="s">
        <v>86</v>
      </c>
      <c r="H475">
        <v>1368659.13</v>
      </c>
      <c r="I475">
        <v>37235988.490000002</v>
      </c>
      <c r="J475" s="384">
        <v>42824.69433283565</v>
      </c>
      <c r="K475" s="384">
        <v>43556</v>
      </c>
      <c r="L475" t="s">
        <v>636</v>
      </c>
      <c r="M475" t="s">
        <v>637</v>
      </c>
      <c r="N475" t="s">
        <v>1280</v>
      </c>
      <c r="O475" t="s">
        <v>25</v>
      </c>
      <c r="P475" t="s">
        <v>94</v>
      </c>
      <c r="Q475" t="s">
        <v>26</v>
      </c>
      <c r="R475" t="s">
        <v>2856</v>
      </c>
      <c r="S475">
        <v>35000000</v>
      </c>
      <c r="T475">
        <v>1260000000</v>
      </c>
      <c r="U475">
        <v>1024251308.64</v>
      </c>
      <c r="Z475"/>
    </row>
    <row r="476" spans="1:26" x14ac:dyDescent="0.25">
      <c r="A476">
        <v>103149</v>
      </c>
      <c r="B476" t="s">
        <v>4420</v>
      </c>
      <c r="C476" t="s">
        <v>4424</v>
      </c>
      <c r="D476" t="s">
        <v>1281</v>
      </c>
      <c r="E476">
        <v>30</v>
      </c>
      <c r="F476" s="105">
        <v>12807037.58</v>
      </c>
      <c r="G476" t="s">
        <v>2861</v>
      </c>
      <c r="H476">
        <v>944789.18</v>
      </c>
      <c r="I476">
        <v>14939164.550000001</v>
      </c>
      <c r="J476" s="384">
        <v>42825.540685879627</v>
      </c>
      <c r="K476" s="384">
        <v>43192</v>
      </c>
      <c r="L476" t="s">
        <v>4425</v>
      </c>
      <c r="M476" t="s">
        <v>1280</v>
      </c>
      <c r="N476" t="s">
        <v>1280</v>
      </c>
      <c r="O476" t="s">
        <v>25</v>
      </c>
      <c r="P476" t="s">
        <v>101</v>
      </c>
      <c r="Q476" t="s">
        <v>95</v>
      </c>
      <c r="R476" t="s">
        <v>2636</v>
      </c>
      <c r="S476">
        <v>20000000</v>
      </c>
      <c r="T476">
        <v>960000000</v>
      </c>
      <c r="U476">
        <v>614737803.84000003</v>
      </c>
      <c r="Z476"/>
    </row>
    <row r="477" spans="1:26" x14ac:dyDescent="0.25">
      <c r="A477">
        <v>103151</v>
      </c>
      <c r="B477" t="s">
        <v>1143</v>
      </c>
      <c r="C477" t="s">
        <v>2351</v>
      </c>
      <c r="D477" t="s">
        <v>1282</v>
      </c>
      <c r="E477">
        <v>0</v>
      </c>
      <c r="F477" s="105">
        <v>2799966.38</v>
      </c>
      <c r="G477" t="s">
        <v>1909</v>
      </c>
      <c r="H477">
        <v>108265.37</v>
      </c>
      <c r="I477">
        <v>3204761.48</v>
      </c>
      <c r="J477" s="384">
        <v>42823.699560844907</v>
      </c>
      <c r="K477" s="384">
        <v>43191</v>
      </c>
      <c r="L477" t="s">
        <v>2352</v>
      </c>
      <c r="M477" t="s">
        <v>2353</v>
      </c>
      <c r="N477" t="s">
        <v>1280</v>
      </c>
      <c r="O477" t="s">
        <v>44</v>
      </c>
      <c r="P477" t="s">
        <v>75</v>
      </c>
      <c r="Q477" t="s">
        <v>26</v>
      </c>
      <c r="R477" t="s">
        <v>2856</v>
      </c>
      <c r="S477">
        <v>5000000</v>
      </c>
      <c r="T477">
        <v>240000000</v>
      </c>
      <c r="U477">
        <v>134398386.24000001</v>
      </c>
      <c r="Z477"/>
    </row>
    <row r="478" spans="1:26" x14ac:dyDescent="0.25">
      <c r="A478">
        <v>103152</v>
      </c>
      <c r="B478" t="s">
        <v>4417</v>
      </c>
      <c r="C478" t="s">
        <v>4426</v>
      </c>
      <c r="D478" t="s">
        <v>1282</v>
      </c>
      <c r="E478">
        <v>0</v>
      </c>
      <c r="F478" s="105">
        <v>3398736.85</v>
      </c>
      <c r="G478" t="s">
        <v>1039</v>
      </c>
      <c r="H478">
        <v>147845.04999999999</v>
      </c>
      <c r="I478">
        <v>3953649.72</v>
      </c>
      <c r="J478" s="384">
        <v>42825.540231712963</v>
      </c>
      <c r="K478" s="384">
        <v>43191</v>
      </c>
      <c r="L478" t="s">
        <v>4427</v>
      </c>
      <c r="M478" t="s">
        <v>1280</v>
      </c>
      <c r="N478" t="s">
        <v>1280</v>
      </c>
      <c r="O478" t="s">
        <v>27</v>
      </c>
      <c r="P478" t="s">
        <v>26</v>
      </c>
      <c r="Q478" t="s">
        <v>26</v>
      </c>
      <c r="R478" t="s">
        <v>2636</v>
      </c>
      <c r="S478">
        <v>6000000</v>
      </c>
      <c r="T478">
        <v>324000000</v>
      </c>
      <c r="U478">
        <v>183531789.90000001</v>
      </c>
      <c r="Z478"/>
    </row>
    <row r="479" spans="1:26" x14ac:dyDescent="0.25">
      <c r="A479">
        <v>103155</v>
      </c>
      <c r="B479" t="s">
        <v>211</v>
      </c>
      <c r="C479" t="s">
        <v>212</v>
      </c>
      <c r="D479" t="s">
        <v>1279</v>
      </c>
      <c r="E479">
        <v>30</v>
      </c>
      <c r="F479" s="105">
        <v>1600879.67</v>
      </c>
      <c r="G479" t="s">
        <v>1448</v>
      </c>
      <c r="H479">
        <v>84820.6</v>
      </c>
      <c r="I479">
        <v>1833775.54</v>
      </c>
      <c r="J479" s="384">
        <v>42825.804170289353</v>
      </c>
      <c r="K479" s="384">
        <v>43191</v>
      </c>
      <c r="L479" t="s">
        <v>213</v>
      </c>
      <c r="M479" t="s">
        <v>214</v>
      </c>
      <c r="N479" t="s">
        <v>1280</v>
      </c>
      <c r="O479" t="s">
        <v>25</v>
      </c>
      <c r="P479" t="s">
        <v>26</v>
      </c>
      <c r="Q479" t="s">
        <v>26</v>
      </c>
      <c r="R479" t="s">
        <v>2856</v>
      </c>
      <c r="S479">
        <v>2500000</v>
      </c>
      <c r="T479">
        <v>120000000</v>
      </c>
      <c r="U479">
        <v>76842224.159999996</v>
      </c>
      <c r="Z479"/>
    </row>
    <row r="480" spans="1:26" x14ac:dyDescent="0.25">
      <c r="A480">
        <v>103158</v>
      </c>
      <c r="B480" t="s">
        <v>102</v>
      </c>
      <c r="C480" t="s">
        <v>261</v>
      </c>
      <c r="D480" t="s">
        <v>1866</v>
      </c>
      <c r="E480">
        <v>-2</v>
      </c>
      <c r="F480" s="105">
        <v>5538064.9800000004</v>
      </c>
      <c r="G480" t="s">
        <v>90</v>
      </c>
      <c r="H480">
        <v>182756.14</v>
      </c>
      <c r="I480">
        <v>6270094.0099999998</v>
      </c>
      <c r="J480" s="384">
        <v>42828.694925266202</v>
      </c>
      <c r="K480" s="384">
        <v>43193</v>
      </c>
      <c r="L480" t="s">
        <v>262</v>
      </c>
      <c r="M480" t="s">
        <v>263</v>
      </c>
      <c r="N480" t="s">
        <v>1280</v>
      </c>
      <c r="O480" t="s">
        <v>27</v>
      </c>
      <c r="P480" t="s">
        <v>26</v>
      </c>
      <c r="Q480" t="s">
        <v>26</v>
      </c>
      <c r="R480" t="s">
        <v>2856</v>
      </c>
      <c r="S480">
        <v>10000000</v>
      </c>
      <c r="T480">
        <v>440000000</v>
      </c>
      <c r="U480">
        <v>243674859.12</v>
      </c>
      <c r="Z480"/>
    </row>
    <row r="481" spans="1:26" x14ac:dyDescent="0.25">
      <c r="A481">
        <v>103160</v>
      </c>
      <c r="B481" t="s">
        <v>4471</v>
      </c>
      <c r="C481" t="s">
        <v>4472</v>
      </c>
      <c r="D481" t="s">
        <v>1284</v>
      </c>
      <c r="E481">
        <v>-6</v>
      </c>
      <c r="F481" s="105">
        <v>40133337.729999997</v>
      </c>
      <c r="G481" t="s">
        <v>2175</v>
      </c>
      <c r="H481">
        <v>1025629.74</v>
      </c>
      <c r="I481">
        <v>49350271.549999997</v>
      </c>
      <c r="J481" s="384">
        <v>42832.668168750002</v>
      </c>
      <c r="K481" s="384">
        <v>43380</v>
      </c>
      <c r="L481" t="s">
        <v>4473</v>
      </c>
      <c r="M481" t="s">
        <v>1280</v>
      </c>
      <c r="N481" t="s">
        <v>1280</v>
      </c>
      <c r="O481" t="s">
        <v>27</v>
      </c>
      <c r="P481" t="s">
        <v>81</v>
      </c>
      <c r="Q481" t="s">
        <v>1706</v>
      </c>
      <c r="R481" t="s">
        <v>2636</v>
      </c>
      <c r="S481">
        <v>55000000</v>
      </c>
      <c r="T481">
        <v>2200000000</v>
      </c>
      <c r="U481">
        <v>1605333509.2</v>
      </c>
      <c r="Z481"/>
    </row>
    <row r="482" spans="1:26" x14ac:dyDescent="0.25">
      <c r="A482">
        <v>103161</v>
      </c>
      <c r="B482" t="s">
        <v>4486</v>
      </c>
      <c r="C482" t="s">
        <v>4487</v>
      </c>
      <c r="D482" t="s">
        <v>1279</v>
      </c>
      <c r="E482">
        <v>-9</v>
      </c>
      <c r="F482" s="105">
        <v>1135658.06</v>
      </c>
      <c r="G482" t="s">
        <v>2494</v>
      </c>
      <c r="H482">
        <v>34069.74</v>
      </c>
      <c r="I482">
        <v>1212877.25</v>
      </c>
      <c r="J482" s="384">
        <v>42835.743929548611</v>
      </c>
      <c r="K482" s="384">
        <v>43079</v>
      </c>
      <c r="L482" t="s">
        <v>4488</v>
      </c>
      <c r="M482" t="s">
        <v>4489</v>
      </c>
      <c r="N482" t="s">
        <v>1280</v>
      </c>
      <c r="O482" t="s">
        <v>25</v>
      </c>
      <c r="P482" t="s">
        <v>88</v>
      </c>
      <c r="Q482" t="s">
        <v>285</v>
      </c>
      <c r="R482" t="s">
        <v>2636</v>
      </c>
      <c r="S482">
        <v>4000000</v>
      </c>
      <c r="T482">
        <v>216000000</v>
      </c>
      <c r="U482">
        <v>61325535.240000002</v>
      </c>
      <c r="Z482"/>
    </row>
    <row r="483" spans="1:26" x14ac:dyDescent="0.25">
      <c r="A483">
        <v>103162</v>
      </c>
      <c r="B483" t="s">
        <v>2035</v>
      </c>
      <c r="C483" t="s">
        <v>2039</v>
      </c>
      <c r="D483" t="s">
        <v>1283</v>
      </c>
      <c r="E483">
        <v>20</v>
      </c>
      <c r="F483" s="105">
        <v>34796417.969999999</v>
      </c>
      <c r="G483" t="s">
        <v>5725</v>
      </c>
      <c r="H483">
        <v>2243614.96</v>
      </c>
      <c r="I483">
        <v>42534369.700000003</v>
      </c>
      <c r="J483" s="384">
        <v>42836.656538773146</v>
      </c>
      <c r="K483" s="384">
        <v>43384</v>
      </c>
      <c r="L483" t="s">
        <v>2040</v>
      </c>
      <c r="M483" t="s">
        <v>2041</v>
      </c>
      <c r="N483" t="s">
        <v>1280</v>
      </c>
      <c r="O483" t="s">
        <v>25</v>
      </c>
      <c r="P483" t="s">
        <v>88</v>
      </c>
      <c r="Q483" t="s">
        <v>285</v>
      </c>
      <c r="R483" t="s">
        <v>2856</v>
      </c>
      <c r="S483">
        <v>45000000</v>
      </c>
      <c r="T483">
        <v>1620000000</v>
      </c>
      <c r="U483">
        <v>1252671046.9200001</v>
      </c>
      <c r="Z483"/>
    </row>
    <row r="484" spans="1:26" x14ac:dyDescent="0.25">
      <c r="A484">
        <v>103163</v>
      </c>
      <c r="B484" t="s">
        <v>845</v>
      </c>
      <c r="C484" t="s">
        <v>850</v>
      </c>
      <c r="D484" t="s">
        <v>1283</v>
      </c>
      <c r="E484">
        <v>-10</v>
      </c>
      <c r="F484" s="105">
        <v>40605470.369999997</v>
      </c>
      <c r="G484" t="s">
        <v>86</v>
      </c>
      <c r="H484">
        <v>1241130.45</v>
      </c>
      <c r="I484">
        <v>53142674.329999998</v>
      </c>
      <c r="J484" s="384">
        <v>42836.70204290509</v>
      </c>
      <c r="K484" s="384">
        <v>43566</v>
      </c>
      <c r="L484" t="s">
        <v>851</v>
      </c>
      <c r="M484" t="s">
        <v>852</v>
      </c>
      <c r="N484" t="s">
        <v>1280</v>
      </c>
      <c r="O484" t="s">
        <v>27</v>
      </c>
      <c r="P484" t="s">
        <v>26</v>
      </c>
      <c r="Q484" t="s">
        <v>26</v>
      </c>
      <c r="R484" t="s">
        <v>2856</v>
      </c>
      <c r="S484">
        <v>50000000</v>
      </c>
      <c r="T484">
        <v>1800000000</v>
      </c>
      <c r="U484">
        <v>1461796933.3199999</v>
      </c>
      <c r="Z484"/>
    </row>
    <row r="485" spans="1:26" x14ac:dyDescent="0.25">
      <c r="A485">
        <v>103164</v>
      </c>
      <c r="B485" t="s">
        <v>747</v>
      </c>
      <c r="C485" t="s">
        <v>751</v>
      </c>
      <c r="D485" t="s">
        <v>1283</v>
      </c>
      <c r="E485">
        <v>20</v>
      </c>
      <c r="F485" s="105">
        <v>36108753.939999998</v>
      </c>
      <c r="G485" t="s">
        <v>1191</v>
      </c>
      <c r="H485">
        <v>1732148.34</v>
      </c>
      <c r="I485">
        <v>45370309.490000002</v>
      </c>
      <c r="J485" s="384">
        <v>42836.730920254631</v>
      </c>
      <c r="K485" s="384">
        <v>43445</v>
      </c>
      <c r="L485" t="s">
        <v>752</v>
      </c>
      <c r="M485" t="s">
        <v>1280</v>
      </c>
      <c r="N485" t="s">
        <v>1280</v>
      </c>
      <c r="O485" t="s">
        <v>37</v>
      </c>
      <c r="P485" t="s">
        <v>288</v>
      </c>
      <c r="Q485" t="s">
        <v>1313</v>
      </c>
      <c r="R485" t="s">
        <v>2856</v>
      </c>
      <c r="S485">
        <v>45000000</v>
      </c>
      <c r="T485">
        <v>1620000000</v>
      </c>
      <c r="U485">
        <v>1299915141.8399999</v>
      </c>
      <c r="Z485"/>
    </row>
    <row r="486" spans="1:26" x14ac:dyDescent="0.25">
      <c r="A486">
        <v>103167</v>
      </c>
      <c r="B486" t="s">
        <v>2716</v>
      </c>
      <c r="C486" t="s">
        <v>2717</v>
      </c>
      <c r="D486" t="s">
        <v>1282</v>
      </c>
      <c r="E486">
        <v>-11</v>
      </c>
      <c r="F486" s="105">
        <v>1954963.78</v>
      </c>
      <c r="G486" t="s">
        <v>2494</v>
      </c>
      <c r="H486">
        <v>46919.13</v>
      </c>
      <c r="I486">
        <v>2237595.66</v>
      </c>
      <c r="J486" s="384">
        <v>42837.703277581022</v>
      </c>
      <c r="K486" s="384">
        <v>43202</v>
      </c>
      <c r="L486" t="s">
        <v>2718</v>
      </c>
      <c r="M486" t="s">
        <v>2719</v>
      </c>
      <c r="N486" t="s">
        <v>1280</v>
      </c>
      <c r="O486" t="s">
        <v>25</v>
      </c>
      <c r="P486" t="s">
        <v>295</v>
      </c>
      <c r="Q486" t="s">
        <v>26</v>
      </c>
      <c r="R486" t="s">
        <v>2856</v>
      </c>
      <c r="S486">
        <v>3500000</v>
      </c>
      <c r="T486">
        <v>168000000</v>
      </c>
      <c r="U486">
        <v>93838261.439999998</v>
      </c>
      <c r="Z486"/>
    </row>
    <row r="487" spans="1:26" x14ac:dyDescent="0.25">
      <c r="A487">
        <v>103168</v>
      </c>
      <c r="B487" t="s">
        <v>4502</v>
      </c>
      <c r="C487" t="s">
        <v>4505</v>
      </c>
      <c r="D487" t="s">
        <v>1282</v>
      </c>
      <c r="E487">
        <v>-14</v>
      </c>
      <c r="F487" s="105">
        <v>709786.29</v>
      </c>
      <c r="G487" t="s">
        <v>468</v>
      </c>
      <c r="H487">
        <v>15970.19</v>
      </c>
      <c r="I487">
        <v>758048.28</v>
      </c>
      <c r="J487" s="384">
        <v>42840.496137534719</v>
      </c>
      <c r="K487" s="384">
        <v>43084</v>
      </c>
      <c r="L487" t="s">
        <v>4506</v>
      </c>
      <c r="M487" t="s">
        <v>1280</v>
      </c>
      <c r="N487" t="s">
        <v>1280</v>
      </c>
      <c r="O487" t="s">
        <v>44</v>
      </c>
      <c r="P487" t="s">
        <v>75</v>
      </c>
      <c r="Q487" t="s">
        <v>1442</v>
      </c>
      <c r="R487" t="s">
        <v>2636</v>
      </c>
      <c r="S487">
        <v>2500000</v>
      </c>
      <c r="T487">
        <v>135000000</v>
      </c>
      <c r="U487">
        <v>38328459.659999996</v>
      </c>
      <c r="Z487"/>
    </row>
    <row r="488" spans="1:26" x14ac:dyDescent="0.25">
      <c r="A488">
        <v>103169</v>
      </c>
      <c r="B488" t="s">
        <v>4503</v>
      </c>
      <c r="C488" t="s">
        <v>4507</v>
      </c>
      <c r="D488" t="s">
        <v>1284</v>
      </c>
      <c r="E488">
        <v>-12</v>
      </c>
      <c r="F488" s="105">
        <v>20457792.91</v>
      </c>
      <c r="G488" t="s">
        <v>1925</v>
      </c>
      <c r="H488">
        <v>386424.98</v>
      </c>
      <c r="I488">
        <v>27534480.949999999</v>
      </c>
      <c r="J488" s="384">
        <v>42838.697300960652</v>
      </c>
      <c r="K488" s="384">
        <v>43568</v>
      </c>
      <c r="L488" t="s">
        <v>4508</v>
      </c>
      <c r="M488" t="s">
        <v>4509</v>
      </c>
      <c r="N488" t="s">
        <v>1280</v>
      </c>
      <c r="O488" t="s">
        <v>44</v>
      </c>
      <c r="P488" t="s">
        <v>75</v>
      </c>
      <c r="Q488" t="s">
        <v>4000</v>
      </c>
      <c r="R488" t="s">
        <v>2636</v>
      </c>
      <c r="S488">
        <v>25000000</v>
      </c>
      <c r="T488">
        <v>1000000000</v>
      </c>
      <c r="U488">
        <v>818311716.39999998</v>
      </c>
      <c r="Z488"/>
    </row>
    <row r="489" spans="1:26" x14ac:dyDescent="0.25">
      <c r="A489">
        <v>103170</v>
      </c>
      <c r="B489" t="s">
        <v>4501</v>
      </c>
      <c r="C489" t="s">
        <v>4510</v>
      </c>
      <c r="D489" t="s">
        <v>1284</v>
      </c>
      <c r="E489">
        <v>-12</v>
      </c>
      <c r="F489" s="105">
        <v>31626489.760000002</v>
      </c>
      <c r="G489" t="s">
        <v>468</v>
      </c>
      <c r="H489">
        <v>597389.25</v>
      </c>
      <c r="I489">
        <v>50515658.460000001</v>
      </c>
      <c r="J489" s="384">
        <v>42838.715688738426</v>
      </c>
      <c r="K489" s="384">
        <v>43934</v>
      </c>
      <c r="L489" t="s">
        <v>4511</v>
      </c>
      <c r="M489" t="s">
        <v>4512</v>
      </c>
      <c r="N489" t="s">
        <v>1280</v>
      </c>
      <c r="O489" t="s">
        <v>27</v>
      </c>
      <c r="P489" t="s">
        <v>26</v>
      </c>
      <c r="Q489" t="s">
        <v>26</v>
      </c>
      <c r="R489" t="s">
        <v>2636</v>
      </c>
      <c r="S489">
        <v>35000000</v>
      </c>
      <c r="T489">
        <v>1400000000</v>
      </c>
      <c r="U489">
        <v>1265059590.4000001</v>
      </c>
      <c r="Z489"/>
    </row>
    <row r="490" spans="1:26" x14ac:dyDescent="0.25">
      <c r="A490">
        <v>103171</v>
      </c>
      <c r="B490" t="s">
        <v>611</v>
      </c>
      <c r="C490" t="s">
        <v>612</v>
      </c>
      <c r="D490" t="s">
        <v>1283</v>
      </c>
      <c r="E490">
        <v>-18</v>
      </c>
      <c r="F490" s="105">
        <v>36544923.329999998</v>
      </c>
      <c r="G490" t="s">
        <v>1925</v>
      </c>
      <c r="H490">
        <v>401994.16</v>
      </c>
      <c r="I490">
        <v>47828406.880000003</v>
      </c>
      <c r="J490" s="384">
        <v>42844.408231597219</v>
      </c>
      <c r="K490" s="384">
        <v>43574</v>
      </c>
      <c r="L490" t="s">
        <v>613</v>
      </c>
      <c r="M490" t="s">
        <v>1280</v>
      </c>
      <c r="N490" t="s">
        <v>1280</v>
      </c>
      <c r="O490" t="s">
        <v>27</v>
      </c>
      <c r="P490" t="s">
        <v>81</v>
      </c>
      <c r="Q490" t="s">
        <v>26</v>
      </c>
      <c r="R490" t="s">
        <v>2856</v>
      </c>
      <c r="S490">
        <v>45000000</v>
      </c>
      <c r="T490">
        <v>1620000000</v>
      </c>
      <c r="U490">
        <v>1315617239.8800001</v>
      </c>
      <c r="Z490"/>
    </row>
    <row r="491" spans="1:26" x14ac:dyDescent="0.25">
      <c r="A491">
        <v>103172</v>
      </c>
      <c r="B491" t="s">
        <v>4524</v>
      </c>
      <c r="C491" t="s">
        <v>4525</v>
      </c>
      <c r="D491" t="s">
        <v>1282</v>
      </c>
      <c r="E491">
        <v>13</v>
      </c>
      <c r="F491" s="105">
        <v>3877380.33</v>
      </c>
      <c r="G491" t="s">
        <v>1039</v>
      </c>
      <c r="H491">
        <v>367779.71</v>
      </c>
      <c r="I491">
        <v>4605979.9400000004</v>
      </c>
      <c r="J491" s="384">
        <v>42843.689945798615</v>
      </c>
      <c r="K491" s="384">
        <v>43208</v>
      </c>
      <c r="L491" t="s">
        <v>4526</v>
      </c>
      <c r="M491" t="s">
        <v>4527</v>
      </c>
      <c r="N491" t="s">
        <v>1280</v>
      </c>
      <c r="O491" t="s">
        <v>25</v>
      </c>
      <c r="P491" t="s">
        <v>88</v>
      </c>
      <c r="Q491" t="s">
        <v>285</v>
      </c>
      <c r="R491" t="s">
        <v>2636</v>
      </c>
      <c r="S491">
        <v>6000000</v>
      </c>
      <c r="T491">
        <v>324000000</v>
      </c>
      <c r="U491">
        <v>209378537.81999999</v>
      </c>
      <c r="Z491"/>
    </row>
    <row r="492" spans="1:26" x14ac:dyDescent="0.25">
      <c r="A492">
        <v>103173</v>
      </c>
      <c r="B492" t="s">
        <v>4523</v>
      </c>
      <c r="C492" t="s">
        <v>4528</v>
      </c>
      <c r="D492" t="s">
        <v>1283</v>
      </c>
      <c r="E492">
        <v>-17</v>
      </c>
      <c r="F492" s="105">
        <v>19215934.48</v>
      </c>
      <c r="G492" t="s">
        <v>1191</v>
      </c>
      <c r="H492">
        <v>256212.46</v>
      </c>
      <c r="I492">
        <v>21519011.390000001</v>
      </c>
      <c r="J492" s="384">
        <v>42843.712621377315</v>
      </c>
      <c r="K492" s="384">
        <v>43208</v>
      </c>
      <c r="L492" t="s">
        <v>4529</v>
      </c>
      <c r="M492" t="s">
        <v>4530</v>
      </c>
      <c r="N492" t="s">
        <v>1280</v>
      </c>
      <c r="O492" t="s">
        <v>27</v>
      </c>
      <c r="P492" t="s">
        <v>81</v>
      </c>
      <c r="Q492" t="s">
        <v>4000</v>
      </c>
      <c r="R492" t="s">
        <v>2636</v>
      </c>
      <c r="S492">
        <v>35000000</v>
      </c>
      <c r="T492">
        <v>1400000000</v>
      </c>
      <c r="U492">
        <v>768637379.20000005</v>
      </c>
      <c r="Z492"/>
    </row>
    <row r="493" spans="1:26" x14ac:dyDescent="0.25">
      <c r="A493">
        <v>103175</v>
      </c>
      <c r="B493" t="s">
        <v>4531</v>
      </c>
      <c r="C493" t="s">
        <v>4532</v>
      </c>
      <c r="D493" t="s">
        <v>1281</v>
      </c>
      <c r="E493">
        <v>-19</v>
      </c>
      <c r="F493" s="105">
        <v>16561238.32</v>
      </c>
      <c r="G493" t="s">
        <v>546</v>
      </c>
      <c r="H493">
        <v>193214.45</v>
      </c>
      <c r="I493">
        <v>18648107.559999999</v>
      </c>
      <c r="J493" s="384">
        <v>42844.763246956019</v>
      </c>
      <c r="K493" s="384">
        <v>43210</v>
      </c>
      <c r="L493" t="s">
        <v>4533</v>
      </c>
      <c r="M493" t="s">
        <v>1280</v>
      </c>
      <c r="N493" t="s">
        <v>4534</v>
      </c>
      <c r="O493" t="s">
        <v>37</v>
      </c>
      <c r="P493" t="s">
        <v>288</v>
      </c>
      <c r="Q493" t="s">
        <v>1829</v>
      </c>
      <c r="R493" t="s">
        <v>2856</v>
      </c>
      <c r="S493">
        <v>30000000</v>
      </c>
      <c r="T493">
        <v>1260000000</v>
      </c>
      <c r="U493">
        <v>695572009.44000006</v>
      </c>
      <c r="Z493"/>
    </row>
    <row r="494" spans="1:26" x14ac:dyDescent="0.25">
      <c r="A494">
        <v>103176</v>
      </c>
      <c r="B494" t="s">
        <v>4536</v>
      </c>
      <c r="C494" t="s">
        <v>4538</v>
      </c>
      <c r="D494" t="s">
        <v>1279</v>
      </c>
      <c r="E494">
        <v>-19</v>
      </c>
      <c r="F494" s="105">
        <v>2262576.9</v>
      </c>
      <c r="G494" t="s">
        <v>2034</v>
      </c>
      <c r="H494">
        <v>33938.65</v>
      </c>
      <c r="I494">
        <v>2631988.56</v>
      </c>
      <c r="J494" s="384">
        <v>42845.790484872683</v>
      </c>
      <c r="K494" s="384">
        <v>43210</v>
      </c>
      <c r="L494" t="s">
        <v>4539</v>
      </c>
      <c r="M494" t="s">
        <v>4540</v>
      </c>
      <c r="N494" t="s">
        <v>1280</v>
      </c>
      <c r="O494" t="s">
        <v>25</v>
      </c>
      <c r="P494" t="s">
        <v>101</v>
      </c>
      <c r="Q494" t="s">
        <v>26</v>
      </c>
      <c r="R494" t="s">
        <v>2636</v>
      </c>
      <c r="S494">
        <v>4000000</v>
      </c>
      <c r="T494">
        <v>216000000</v>
      </c>
      <c r="U494">
        <v>122179152.59999999</v>
      </c>
      <c r="Z494"/>
    </row>
    <row r="495" spans="1:26" x14ac:dyDescent="0.25">
      <c r="A495">
        <v>103177</v>
      </c>
      <c r="B495" t="s">
        <v>4535</v>
      </c>
      <c r="C495" t="s">
        <v>4541</v>
      </c>
      <c r="D495" t="s">
        <v>1282</v>
      </c>
      <c r="E495">
        <v>11</v>
      </c>
      <c r="F495" s="105">
        <v>4523610.37</v>
      </c>
      <c r="G495" t="s">
        <v>5167</v>
      </c>
      <c r="H495">
        <v>230618.43</v>
      </c>
      <c r="I495">
        <v>5341306.58</v>
      </c>
      <c r="J495" s="384">
        <v>42845.712040509257</v>
      </c>
      <c r="K495" s="384">
        <v>43210</v>
      </c>
      <c r="L495" t="s">
        <v>4542</v>
      </c>
      <c r="M495" t="s">
        <v>4543</v>
      </c>
      <c r="N495" t="s">
        <v>1280</v>
      </c>
      <c r="O495" t="s">
        <v>35</v>
      </c>
      <c r="P495" t="s">
        <v>121</v>
      </c>
      <c r="Q495" t="s">
        <v>299</v>
      </c>
      <c r="R495" t="s">
        <v>2636</v>
      </c>
      <c r="S495">
        <v>7000000</v>
      </c>
      <c r="T495">
        <v>378000000</v>
      </c>
      <c r="U495">
        <v>244274959.97999999</v>
      </c>
      <c r="Z495"/>
    </row>
    <row r="496" spans="1:26" x14ac:dyDescent="0.25">
      <c r="A496">
        <v>103178</v>
      </c>
      <c r="B496" t="s">
        <v>601</v>
      </c>
      <c r="C496" t="s">
        <v>1914</v>
      </c>
      <c r="D496" t="s">
        <v>1281</v>
      </c>
      <c r="E496">
        <v>-19</v>
      </c>
      <c r="F496" s="105">
        <v>11028394.18</v>
      </c>
      <c r="G496" t="s">
        <v>2855</v>
      </c>
      <c r="H496">
        <v>128664.6</v>
      </c>
      <c r="I496">
        <v>12418073.869999999</v>
      </c>
      <c r="J496" s="384">
        <v>42845.736991701386</v>
      </c>
      <c r="K496" s="384">
        <v>43210</v>
      </c>
      <c r="L496" t="s">
        <v>1915</v>
      </c>
      <c r="M496" t="s">
        <v>1916</v>
      </c>
      <c r="N496" t="s">
        <v>1280</v>
      </c>
      <c r="O496" t="s">
        <v>25</v>
      </c>
      <c r="P496" t="s">
        <v>26</v>
      </c>
      <c r="Q496" t="s">
        <v>26</v>
      </c>
      <c r="R496" t="s">
        <v>2856</v>
      </c>
      <c r="S496">
        <v>20000000</v>
      </c>
      <c r="T496">
        <v>840000000</v>
      </c>
      <c r="U496">
        <v>463192555.56</v>
      </c>
      <c r="Z496"/>
    </row>
    <row r="497" spans="1:26" x14ac:dyDescent="0.25">
      <c r="A497">
        <v>103180</v>
      </c>
      <c r="B497" t="s">
        <v>1641</v>
      </c>
      <c r="C497" t="s">
        <v>1643</v>
      </c>
      <c r="D497" t="s">
        <v>1285</v>
      </c>
      <c r="E497">
        <v>-20</v>
      </c>
      <c r="F497" s="105">
        <v>4296496.2</v>
      </c>
      <c r="G497" t="s">
        <v>284</v>
      </c>
      <c r="H497">
        <v>23630.73</v>
      </c>
      <c r="I497">
        <v>4825534.7699999996</v>
      </c>
      <c r="J497" s="384">
        <v>42846.412896608796</v>
      </c>
      <c r="K497" s="384">
        <v>43394</v>
      </c>
      <c r="L497" t="s">
        <v>1644</v>
      </c>
      <c r="M497" t="s">
        <v>1280</v>
      </c>
      <c r="N497" t="s">
        <v>1280</v>
      </c>
      <c r="O497" t="s">
        <v>43</v>
      </c>
      <c r="P497" t="s">
        <v>338</v>
      </c>
      <c r="Q497" t="s">
        <v>339</v>
      </c>
      <c r="R497" t="s">
        <v>2636</v>
      </c>
      <c r="S497">
        <v>6118000</v>
      </c>
      <c r="T497">
        <v>134596000</v>
      </c>
      <c r="U497">
        <v>94522916.400000006</v>
      </c>
      <c r="Z497"/>
    </row>
    <row r="498" spans="1:26" x14ac:dyDescent="0.25">
      <c r="A498">
        <v>103181</v>
      </c>
      <c r="B498" t="s">
        <v>4565</v>
      </c>
      <c r="C498" t="s">
        <v>4568</v>
      </c>
      <c r="D498" t="s">
        <v>1279</v>
      </c>
      <c r="E498">
        <v>-23</v>
      </c>
      <c r="F498" s="105">
        <v>283914.53999999998</v>
      </c>
      <c r="G498" t="s">
        <v>2494</v>
      </c>
      <c r="H498">
        <v>2555.23</v>
      </c>
      <c r="I498">
        <v>303219.34000000003</v>
      </c>
      <c r="J498" s="384">
        <v>42849.712158020833</v>
      </c>
      <c r="K498" s="384">
        <v>43093</v>
      </c>
      <c r="L498" t="s">
        <v>4569</v>
      </c>
      <c r="M498" t="s">
        <v>1280</v>
      </c>
      <c r="N498" t="s">
        <v>1280</v>
      </c>
      <c r="O498" t="s">
        <v>25</v>
      </c>
      <c r="P498" t="s">
        <v>88</v>
      </c>
      <c r="Q498" t="s">
        <v>285</v>
      </c>
      <c r="R498" t="s">
        <v>2856</v>
      </c>
      <c r="S498">
        <v>1000000</v>
      </c>
      <c r="T498">
        <v>54000000</v>
      </c>
      <c r="U498">
        <v>15331385.16</v>
      </c>
      <c r="Z498"/>
    </row>
    <row r="499" spans="1:26" x14ac:dyDescent="0.25">
      <c r="A499">
        <v>103182</v>
      </c>
      <c r="B499" t="s">
        <v>4577</v>
      </c>
      <c r="C499" t="s">
        <v>4578</v>
      </c>
      <c r="D499" t="s">
        <v>1284</v>
      </c>
      <c r="E499">
        <v>-24</v>
      </c>
      <c r="F499" s="105">
        <v>28949705.949999999</v>
      </c>
      <c r="G499" t="s">
        <v>5167</v>
      </c>
      <c r="H499">
        <v>144748.53</v>
      </c>
      <c r="I499">
        <v>34900174</v>
      </c>
      <c r="J499" s="384">
        <v>42850.729542013891</v>
      </c>
      <c r="K499" s="384">
        <v>43398</v>
      </c>
      <c r="L499" t="s">
        <v>4579</v>
      </c>
      <c r="M499" t="s">
        <v>4580</v>
      </c>
      <c r="N499" t="s">
        <v>1280</v>
      </c>
      <c r="O499" t="s">
        <v>44</v>
      </c>
      <c r="P499" t="s">
        <v>75</v>
      </c>
      <c r="Q499" t="s">
        <v>1442</v>
      </c>
      <c r="R499" t="s">
        <v>2856</v>
      </c>
      <c r="S499">
        <v>40000000</v>
      </c>
      <c r="T499">
        <v>1440000000</v>
      </c>
      <c r="U499">
        <v>1042189414.2</v>
      </c>
      <c r="Z499"/>
    </row>
    <row r="500" spans="1:26" x14ac:dyDescent="0.25">
      <c r="A500">
        <v>103183</v>
      </c>
      <c r="B500" t="s">
        <v>4576</v>
      </c>
      <c r="C500" t="s">
        <v>4581</v>
      </c>
      <c r="D500" t="s">
        <v>1282</v>
      </c>
      <c r="E500">
        <v>0</v>
      </c>
      <c r="F500" s="105">
        <v>1261076.79</v>
      </c>
      <c r="G500" t="s">
        <v>2175</v>
      </c>
      <c r="H500">
        <v>54856.84</v>
      </c>
      <c r="I500">
        <v>1376238.43</v>
      </c>
      <c r="J500" s="384">
        <v>42850.732010648149</v>
      </c>
      <c r="K500" s="384">
        <v>43101</v>
      </c>
      <c r="L500" t="s">
        <v>4582</v>
      </c>
      <c r="M500" t="s">
        <v>1280</v>
      </c>
      <c r="N500" t="s">
        <v>1280</v>
      </c>
      <c r="O500" t="s">
        <v>25</v>
      </c>
      <c r="P500" t="s">
        <v>26</v>
      </c>
      <c r="Q500" t="s">
        <v>26</v>
      </c>
      <c r="R500" t="s">
        <v>2636</v>
      </c>
      <c r="S500">
        <v>3000000</v>
      </c>
      <c r="T500">
        <v>162000000</v>
      </c>
      <c r="U500">
        <v>68098146.659999996</v>
      </c>
      <c r="Z500"/>
    </row>
    <row r="501" spans="1:26" x14ac:dyDescent="0.25">
      <c r="A501">
        <v>103185</v>
      </c>
      <c r="B501" t="s">
        <v>4596</v>
      </c>
      <c r="C501" t="s">
        <v>4597</v>
      </c>
      <c r="D501" t="s">
        <v>1283</v>
      </c>
      <c r="E501">
        <v>0</v>
      </c>
      <c r="F501" s="105">
        <v>50928630.68</v>
      </c>
      <c r="G501" t="s">
        <v>468</v>
      </c>
      <c r="H501">
        <v>1641033.66</v>
      </c>
      <c r="I501">
        <v>82468816.870000005</v>
      </c>
      <c r="J501" s="384">
        <v>42851.579203969908</v>
      </c>
      <c r="K501" s="384">
        <v>43952</v>
      </c>
      <c r="L501" t="s">
        <v>4598</v>
      </c>
      <c r="M501" t="s">
        <v>4599</v>
      </c>
      <c r="N501" t="s">
        <v>1280</v>
      </c>
      <c r="O501" t="s">
        <v>46</v>
      </c>
      <c r="P501" t="s">
        <v>46</v>
      </c>
      <c r="Q501" t="s">
        <v>112</v>
      </c>
      <c r="R501" t="s">
        <v>2636</v>
      </c>
      <c r="S501">
        <v>55000000</v>
      </c>
      <c r="T501">
        <v>2200000000</v>
      </c>
      <c r="U501">
        <v>2037145227.2</v>
      </c>
      <c r="Z501"/>
    </row>
    <row r="502" spans="1:26" x14ac:dyDescent="0.25">
      <c r="A502">
        <v>103187</v>
      </c>
      <c r="B502" t="s">
        <v>4620</v>
      </c>
      <c r="C502" t="s">
        <v>4624</v>
      </c>
      <c r="D502" t="s">
        <v>1282</v>
      </c>
      <c r="E502">
        <v>0</v>
      </c>
      <c r="F502" s="105">
        <v>5029949.62</v>
      </c>
      <c r="G502" t="s">
        <v>90</v>
      </c>
      <c r="H502">
        <v>218802.81</v>
      </c>
      <c r="I502">
        <v>5489285.0300000003</v>
      </c>
      <c r="J502" s="384">
        <v>42852.668469062497</v>
      </c>
      <c r="K502" s="384">
        <v>43101</v>
      </c>
      <c r="L502" t="s">
        <v>4625</v>
      </c>
      <c r="M502" t="s">
        <v>4626</v>
      </c>
      <c r="N502" t="s">
        <v>4627</v>
      </c>
      <c r="O502" t="s">
        <v>25</v>
      </c>
      <c r="P502" t="s">
        <v>26</v>
      </c>
      <c r="Q502" t="s">
        <v>26</v>
      </c>
      <c r="R502" t="s">
        <v>2636</v>
      </c>
      <c r="S502">
        <v>12000000</v>
      </c>
      <c r="T502">
        <v>648000000</v>
      </c>
      <c r="U502">
        <v>271617279.48000002</v>
      </c>
      <c r="Z502"/>
    </row>
    <row r="503" spans="1:26" x14ac:dyDescent="0.25">
      <c r="A503">
        <v>103188</v>
      </c>
      <c r="B503" t="s">
        <v>4631</v>
      </c>
      <c r="C503" t="s">
        <v>4635</v>
      </c>
      <c r="D503" t="s">
        <v>1279</v>
      </c>
      <c r="E503">
        <v>0</v>
      </c>
      <c r="F503" s="105">
        <v>279492.7</v>
      </c>
      <c r="G503" t="s">
        <v>2175</v>
      </c>
      <c r="H503">
        <v>12157.93</v>
      </c>
      <c r="I503">
        <v>292069.87</v>
      </c>
      <c r="J503" s="384">
        <v>42853.672854085649</v>
      </c>
      <c r="K503" s="384">
        <v>43040</v>
      </c>
      <c r="L503" t="s">
        <v>4636</v>
      </c>
      <c r="M503" t="s">
        <v>1280</v>
      </c>
      <c r="N503" t="s">
        <v>1280</v>
      </c>
      <c r="O503" t="s">
        <v>25</v>
      </c>
      <c r="P503" t="s">
        <v>289</v>
      </c>
      <c r="Q503" t="s">
        <v>26</v>
      </c>
      <c r="R503" t="s">
        <v>2636</v>
      </c>
      <c r="S503">
        <v>1500000</v>
      </c>
      <c r="T503">
        <v>81000000</v>
      </c>
      <c r="U503">
        <v>15092605.800000001</v>
      </c>
      <c r="Z503"/>
    </row>
    <row r="504" spans="1:26" x14ac:dyDescent="0.25">
      <c r="A504">
        <v>103189</v>
      </c>
      <c r="B504" t="s">
        <v>1606</v>
      </c>
      <c r="C504" t="s">
        <v>1612</v>
      </c>
      <c r="D504" t="s">
        <v>1284</v>
      </c>
      <c r="E504">
        <v>-16</v>
      </c>
      <c r="F504" s="105">
        <v>16915666.48</v>
      </c>
      <c r="G504" t="s">
        <v>86</v>
      </c>
      <c r="H504">
        <v>219903.66</v>
      </c>
      <c r="I504">
        <v>22438018.039999999</v>
      </c>
      <c r="J504" s="384">
        <v>42872.613226273148</v>
      </c>
      <c r="K504" s="384">
        <v>43602</v>
      </c>
      <c r="L504" t="s">
        <v>1613</v>
      </c>
      <c r="M504" t="s">
        <v>1280</v>
      </c>
      <c r="N504" t="s">
        <v>1280</v>
      </c>
      <c r="O504" t="s">
        <v>29</v>
      </c>
      <c r="P504" t="s">
        <v>30</v>
      </c>
      <c r="Q504" t="s">
        <v>26</v>
      </c>
      <c r="R504" t="s">
        <v>2856</v>
      </c>
      <c r="S504">
        <v>20000000</v>
      </c>
      <c r="T504">
        <v>720000000</v>
      </c>
      <c r="U504">
        <v>608963993.27999997</v>
      </c>
      <c r="Z504"/>
    </row>
    <row r="505" spans="1:26" x14ac:dyDescent="0.25">
      <c r="A505">
        <v>103190</v>
      </c>
      <c r="B505" t="s">
        <v>1528</v>
      </c>
      <c r="C505" t="s">
        <v>1531</v>
      </c>
      <c r="D505" t="s">
        <v>1283</v>
      </c>
      <c r="E505">
        <v>0</v>
      </c>
      <c r="F505" s="105">
        <v>34863983.869999997</v>
      </c>
      <c r="G505" t="s">
        <v>963</v>
      </c>
      <c r="H505">
        <v>1011055.53</v>
      </c>
      <c r="I505">
        <v>42620361.32</v>
      </c>
      <c r="J505" s="384">
        <v>42854.553883449073</v>
      </c>
      <c r="K505" s="384">
        <v>43406</v>
      </c>
      <c r="L505" t="s">
        <v>1532</v>
      </c>
      <c r="M505" t="s">
        <v>1280</v>
      </c>
      <c r="N505" t="s">
        <v>1280</v>
      </c>
      <c r="O505" t="s">
        <v>25</v>
      </c>
      <c r="P505" t="s">
        <v>289</v>
      </c>
      <c r="Q505" t="s">
        <v>26</v>
      </c>
      <c r="R505" t="s">
        <v>2856</v>
      </c>
      <c r="S505">
        <v>45000000</v>
      </c>
      <c r="T505">
        <v>1620000000</v>
      </c>
      <c r="U505">
        <v>1255103419.3199999</v>
      </c>
      <c r="Z505"/>
    </row>
    <row r="506" spans="1:26" x14ac:dyDescent="0.25">
      <c r="A506">
        <v>103192</v>
      </c>
      <c r="B506" t="s">
        <v>4650</v>
      </c>
      <c r="C506" t="s">
        <v>4653</v>
      </c>
      <c r="D506" t="s">
        <v>1281</v>
      </c>
      <c r="E506">
        <v>0</v>
      </c>
      <c r="F506" s="105">
        <v>19235153.739999998</v>
      </c>
      <c r="G506" t="s">
        <v>86</v>
      </c>
      <c r="H506">
        <v>743759.28</v>
      </c>
      <c r="I506">
        <v>22437439.190000001</v>
      </c>
      <c r="J506" s="384">
        <v>42854.47204980324</v>
      </c>
      <c r="K506" s="384">
        <v>43222</v>
      </c>
      <c r="L506" t="s">
        <v>4654</v>
      </c>
      <c r="M506" t="s">
        <v>1280</v>
      </c>
      <c r="N506" t="s">
        <v>1280</v>
      </c>
      <c r="O506" t="s">
        <v>37</v>
      </c>
      <c r="P506" t="s">
        <v>38</v>
      </c>
      <c r="Q506" t="s">
        <v>39</v>
      </c>
      <c r="R506" t="s">
        <v>2636</v>
      </c>
      <c r="S506">
        <v>30000000</v>
      </c>
      <c r="T506">
        <v>1440000000</v>
      </c>
      <c r="U506">
        <v>923287379.51999998</v>
      </c>
      <c r="Z506"/>
    </row>
    <row r="507" spans="1:26" x14ac:dyDescent="0.25">
      <c r="A507">
        <v>103193</v>
      </c>
      <c r="B507" t="s">
        <v>4632</v>
      </c>
      <c r="C507" t="s">
        <v>4637</v>
      </c>
      <c r="D507" t="s">
        <v>1279</v>
      </c>
      <c r="E507">
        <v>150</v>
      </c>
      <c r="F507" s="105">
        <v>5000000</v>
      </c>
      <c r="G507" t="s">
        <v>2494</v>
      </c>
      <c r="H507">
        <v>449378.43</v>
      </c>
      <c r="I507">
        <v>6090500.7199999997</v>
      </c>
      <c r="J507" s="384">
        <v>42853.803187233796</v>
      </c>
      <c r="K507" s="384">
        <v>43101</v>
      </c>
      <c r="L507" t="s">
        <v>4638</v>
      </c>
      <c r="M507" t="s">
        <v>1280</v>
      </c>
      <c r="N507" t="s">
        <v>1280</v>
      </c>
      <c r="O507" t="s">
        <v>25</v>
      </c>
      <c r="P507" t="s">
        <v>26</v>
      </c>
      <c r="Q507" t="s">
        <v>26</v>
      </c>
      <c r="R507" t="s">
        <v>2636</v>
      </c>
      <c r="S507">
        <v>5000000</v>
      </c>
      <c r="T507">
        <v>270000000</v>
      </c>
      <c r="U507">
        <v>270000000</v>
      </c>
      <c r="Z507"/>
    </row>
    <row r="508" spans="1:26" x14ac:dyDescent="0.25">
      <c r="A508">
        <v>103195</v>
      </c>
      <c r="B508" t="s">
        <v>4648</v>
      </c>
      <c r="C508" t="s">
        <v>4655</v>
      </c>
      <c r="D508" t="s">
        <v>1282</v>
      </c>
      <c r="E508">
        <v>0</v>
      </c>
      <c r="F508" s="105">
        <v>3205858.94</v>
      </c>
      <c r="G508" t="s">
        <v>2861</v>
      </c>
      <c r="H508">
        <v>123959.88</v>
      </c>
      <c r="I508">
        <v>3738888.4</v>
      </c>
      <c r="J508" s="384">
        <v>42854.724098032406</v>
      </c>
      <c r="K508" s="384">
        <v>43221</v>
      </c>
      <c r="L508" t="s">
        <v>4656</v>
      </c>
      <c r="M508" t="s">
        <v>1280</v>
      </c>
      <c r="N508" t="s">
        <v>1280</v>
      </c>
      <c r="O508" t="s">
        <v>25</v>
      </c>
      <c r="P508" t="s">
        <v>88</v>
      </c>
      <c r="Q508" t="s">
        <v>26</v>
      </c>
      <c r="R508" t="s">
        <v>2856</v>
      </c>
      <c r="S508">
        <v>5000000</v>
      </c>
      <c r="T508">
        <v>240000000</v>
      </c>
      <c r="U508">
        <v>153881229.12</v>
      </c>
      <c r="Z508"/>
    </row>
    <row r="509" spans="1:26" x14ac:dyDescent="0.25">
      <c r="A509">
        <v>103196</v>
      </c>
      <c r="B509" t="s">
        <v>1338</v>
      </c>
      <c r="C509" t="s">
        <v>1339</v>
      </c>
      <c r="D509" t="s">
        <v>1283</v>
      </c>
      <c r="E509">
        <v>0</v>
      </c>
      <c r="F509" s="105">
        <v>34491741.5</v>
      </c>
      <c r="G509" t="s">
        <v>2494</v>
      </c>
      <c r="H509">
        <v>1000260.5</v>
      </c>
      <c r="I509">
        <v>38753005.640000001</v>
      </c>
      <c r="J509" s="384">
        <v>42854.692172997682</v>
      </c>
      <c r="K509" s="384">
        <v>43221</v>
      </c>
      <c r="L509" t="s">
        <v>1340</v>
      </c>
      <c r="M509" t="s">
        <v>1280</v>
      </c>
      <c r="N509" t="s">
        <v>1341</v>
      </c>
      <c r="O509" t="s">
        <v>25</v>
      </c>
      <c r="P509" t="s">
        <v>26</v>
      </c>
      <c r="Q509" t="s">
        <v>26</v>
      </c>
      <c r="R509" t="s">
        <v>2856</v>
      </c>
      <c r="S509">
        <v>55000000</v>
      </c>
      <c r="T509">
        <v>1980000000</v>
      </c>
      <c r="U509">
        <v>1241702694</v>
      </c>
      <c r="Z509"/>
    </row>
    <row r="510" spans="1:26" x14ac:dyDescent="0.25">
      <c r="A510">
        <v>103197</v>
      </c>
      <c r="B510" t="s">
        <v>4647</v>
      </c>
      <c r="C510" t="s">
        <v>4657</v>
      </c>
      <c r="D510" t="s">
        <v>1284</v>
      </c>
      <c r="E510">
        <v>0</v>
      </c>
      <c r="F510" s="105">
        <v>15603875.48</v>
      </c>
      <c r="G510" t="s">
        <v>468</v>
      </c>
      <c r="H510">
        <v>502791.54</v>
      </c>
      <c r="I510">
        <v>19482824.739999998</v>
      </c>
      <c r="J510" s="384">
        <v>42854.752476076392</v>
      </c>
      <c r="K510" s="384">
        <v>43405</v>
      </c>
      <c r="L510" t="s">
        <v>4658</v>
      </c>
      <c r="M510" t="s">
        <v>1280</v>
      </c>
      <c r="N510" t="s">
        <v>1280</v>
      </c>
      <c r="O510" t="s">
        <v>25</v>
      </c>
      <c r="P510" t="s">
        <v>88</v>
      </c>
      <c r="Q510" t="s">
        <v>285</v>
      </c>
      <c r="R510" t="s">
        <v>2636</v>
      </c>
      <c r="S510">
        <v>20000000</v>
      </c>
      <c r="T510">
        <v>800000000</v>
      </c>
      <c r="U510">
        <v>624155019.20000005</v>
      </c>
      <c r="Z510"/>
    </row>
    <row r="511" spans="1:26" x14ac:dyDescent="0.25">
      <c r="A511">
        <v>103199</v>
      </c>
      <c r="B511" t="s">
        <v>764</v>
      </c>
      <c r="C511" t="s">
        <v>773</v>
      </c>
      <c r="D511" t="s">
        <v>1282</v>
      </c>
      <c r="E511">
        <v>-2</v>
      </c>
      <c r="F511" s="105">
        <v>7674383.5999999996</v>
      </c>
      <c r="G511" t="s">
        <v>963</v>
      </c>
      <c r="H511">
        <v>276277.81</v>
      </c>
      <c r="I511">
        <v>8950382.5099999998</v>
      </c>
      <c r="J511" s="384">
        <v>42858.693313425923</v>
      </c>
      <c r="K511" s="384">
        <v>43223</v>
      </c>
      <c r="L511" t="s">
        <v>774</v>
      </c>
      <c r="M511" t="s">
        <v>775</v>
      </c>
      <c r="N511" t="s">
        <v>1280</v>
      </c>
      <c r="O511" t="s">
        <v>25</v>
      </c>
      <c r="P511" t="s">
        <v>26</v>
      </c>
      <c r="Q511" t="s">
        <v>26</v>
      </c>
      <c r="R511" t="s">
        <v>2856</v>
      </c>
      <c r="S511">
        <v>12000000</v>
      </c>
      <c r="T511">
        <v>576000000</v>
      </c>
      <c r="U511">
        <v>368370412.80000001</v>
      </c>
      <c r="Z511"/>
    </row>
    <row r="512" spans="1:26" x14ac:dyDescent="0.25">
      <c r="A512">
        <v>103200</v>
      </c>
      <c r="B512" t="s">
        <v>4677</v>
      </c>
      <c r="C512" t="s">
        <v>4678</v>
      </c>
      <c r="D512" t="s">
        <v>1281</v>
      </c>
      <c r="E512">
        <v>-3</v>
      </c>
      <c r="F512" s="105">
        <v>15988299.130000001</v>
      </c>
      <c r="G512" t="s">
        <v>2494</v>
      </c>
      <c r="H512">
        <v>554261.04</v>
      </c>
      <c r="I512">
        <v>18646630.199999999</v>
      </c>
      <c r="J512" s="384">
        <v>42859.722962268519</v>
      </c>
      <c r="K512" s="384">
        <v>43224</v>
      </c>
      <c r="L512" t="s">
        <v>4679</v>
      </c>
      <c r="M512" t="s">
        <v>4680</v>
      </c>
      <c r="N512" t="s">
        <v>1280</v>
      </c>
      <c r="O512" t="s">
        <v>31</v>
      </c>
      <c r="P512" t="s">
        <v>1815</v>
      </c>
      <c r="Q512" t="s">
        <v>1815</v>
      </c>
      <c r="R512" t="s">
        <v>2636</v>
      </c>
      <c r="S512">
        <v>25000000</v>
      </c>
      <c r="T512">
        <v>1200000000</v>
      </c>
      <c r="U512">
        <v>767438358.24000001</v>
      </c>
      <c r="Z512"/>
    </row>
    <row r="513" spans="1:26" x14ac:dyDescent="0.25">
      <c r="A513">
        <v>103204</v>
      </c>
      <c r="B513" t="s">
        <v>4694</v>
      </c>
      <c r="C513" t="s">
        <v>4699</v>
      </c>
      <c r="D513" t="s">
        <v>1279</v>
      </c>
      <c r="E513">
        <v>23</v>
      </c>
      <c r="F513" s="105">
        <v>290873.24</v>
      </c>
      <c r="G513" t="s">
        <v>3074</v>
      </c>
      <c r="H513">
        <v>6122.47</v>
      </c>
      <c r="I513">
        <v>299222.07</v>
      </c>
      <c r="J513" s="384">
        <v>42863.729602083331</v>
      </c>
      <c r="K513" s="384">
        <v>43047</v>
      </c>
      <c r="L513" t="s">
        <v>4700</v>
      </c>
      <c r="M513" t="s">
        <v>1280</v>
      </c>
      <c r="N513" t="s">
        <v>1280</v>
      </c>
      <c r="O513" t="s">
        <v>25</v>
      </c>
      <c r="P513" t="s">
        <v>88</v>
      </c>
      <c r="Q513" t="s">
        <v>285</v>
      </c>
      <c r="R513" t="s">
        <v>2636</v>
      </c>
      <c r="S513">
        <v>1000000</v>
      </c>
      <c r="T513">
        <v>54000000</v>
      </c>
      <c r="U513">
        <v>15707154.960000001</v>
      </c>
      <c r="Z513"/>
    </row>
    <row r="514" spans="1:26" x14ac:dyDescent="0.25">
      <c r="A514">
        <v>103206</v>
      </c>
      <c r="B514" t="s">
        <v>4723</v>
      </c>
      <c r="C514" t="s">
        <v>4725</v>
      </c>
      <c r="D514" t="s">
        <v>1285</v>
      </c>
      <c r="E514">
        <v>-20</v>
      </c>
      <c r="F514" s="105">
        <v>12648526.73</v>
      </c>
      <c r="G514" t="s">
        <v>284</v>
      </c>
      <c r="H514">
        <v>69566.899999999994</v>
      </c>
      <c r="I514">
        <v>16694015.949999999</v>
      </c>
      <c r="J514" s="384">
        <v>42864.697911261574</v>
      </c>
      <c r="K514" s="384">
        <v>43972</v>
      </c>
      <c r="L514" t="s">
        <v>4726</v>
      </c>
      <c r="M514" t="s">
        <v>1280</v>
      </c>
      <c r="N514" t="s">
        <v>1280</v>
      </c>
      <c r="O514" t="s">
        <v>43</v>
      </c>
      <c r="P514" t="s">
        <v>338</v>
      </c>
      <c r="Q514" t="s">
        <v>4724</v>
      </c>
      <c r="R514" t="s">
        <v>2636</v>
      </c>
      <c r="S514">
        <v>14000000</v>
      </c>
      <c r="T514">
        <v>308000000</v>
      </c>
      <c r="U514">
        <v>278267588.06</v>
      </c>
      <c r="Z514"/>
    </row>
    <row r="515" spans="1:26" x14ac:dyDescent="0.25">
      <c r="A515">
        <v>103207</v>
      </c>
      <c r="B515" t="s">
        <v>4730</v>
      </c>
      <c r="C515" t="s">
        <v>4732</v>
      </c>
      <c r="D515" t="s">
        <v>1282</v>
      </c>
      <c r="E515">
        <v>21</v>
      </c>
      <c r="F515" s="105">
        <v>2607383.38</v>
      </c>
      <c r="G515" t="s">
        <v>2175</v>
      </c>
      <c r="H515">
        <v>150129.82</v>
      </c>
      <c r="I515">
        <v>3028271.58</v>
      </c>
      <c r="J515" s="384">
        <v>42865.59297716435</v>
      </c>
      <c r="K515" s="384">
        <v>43169</v>
      </c>
      <c r="L515" t="s">
        <v>4733</v>
      </c>
      <c r="M515" t="s">
        <v>1280</v>
      </c>
      <c r="N515" t="s">
        <v>1280</v>
      </c>
      <c r="O515" t="s">
        <v>25</v>
      </c>
      <c r="P515" t="s">
        <v>26</v>
      </c>
      <c r="Q515" t="s">
        <v>26</v>
      </c>
      <c r="R515" t="s">
        <v>2636</v>
      </c>
      <c r="S515">
        <v>4000000</v>
      </c>
      <c r="T515">
        <v>216000000</v>
      </c>
      <c r="U515">
        <v>140798702.52000001</v>
      </c>
      <c r="Z515"/>
    </row>
    <row r="516" spans="1:26" x14ac:dyDescent="0.25">
      <c r="A516">
        <v>103209</v>
      </c>
      <c r="B516" t="s">
        <v>4737</v>
      </c>
      <c r="C516" t="s">
        <v>4741</v>
      </c>
      <c r="D516" t="s">
        <v>1283</v>
      </c>
      <c r="E516">
        <v>-10</v>
      </c>
      <c r="F516" s="105">
        <v>25219284.5</v>
      </c>
      <c r="G516" t="s">
        <v>468</v>
      </c>
      <c r="H516">
        <v>532407.12</v>
      </c>
      <c r="I516">
        <v>28692015.23</v>
      </c>
      <c r="J516" s="384">
        <v>42866.529079629632</v>
      </c>
      <c r="K516" s="384">
        <v>43231</v>
      </c>
      <c r="L516" t="s">
        <v>4742</v>
      </c>
      <c r="M516" t="s">
        <v>1280</v>
      </c>
      <c r="N516" t="s">
        <v>1280</v>
      </c>
      <c r="O516" t="s">
        <v>27</v>
      </c>
      <c r="P516" t="s">
        <v>26</v>
      </c>
      <c r="Q516" t="s">
        <v>26</v>
      </c>
      <c r="R516" t="s">
        <v>2636</v>
      </c>
      <c r="S516">
        <v>40000000</v>
      </c>
      <c r="T516">
        <v>1600000000</v>
      </c>
      <c r="U516">
        <v>1008771380</v>
      </c>
      <c r="Z516"/>
    </row>
    <row r="517" spans="1:26" x14ac:dyDescent="0.25">
      <c r="A517">
        <v>103210</v>
      </c>
      <c r="B517" t="s">
        <v>4738</v>
      </c>
      <c r="C517" t="s">
        <v>4743</v>
      </c>
      <c r="D517" t="s">
        <v>1282</v>
      </c>
      <c r="E517">
        <v>-10</v>
      </c>
      <c r="F517" s="105">
        <v>4523610.37</v>
      </c>
      <c r="G517" t="s">
        <v>5167</v>
      </c>
      <c r="H517">
        <v>128922.9</v>
      </c>
      <c r="I517">
        <v>5373643.2599999998</v>
      </c>
      <c r="J517" s="384">
        <v>42866.691571412041</v>
      </c>
      <c r="K517" s="384">
        <v>43231</v>
      </c>
      <c r="L517" t="s">
        <v>4744</v>
      </c>
      <c r="M517" t="s">
        <v>1280</v>
      </c>
      <c r="N517" t="s">
        <v>1280</v>
      </c>
      <c r="O517" t="s">
        <v>25</v>
      </c>
      <c r="P517" t="s">
        <v>26</v>
      </c>
      <c r="Q517" t="s">
        <v>26</v>
      </c>
      <c r="R517" t="s">
        <v>2636</v>
      </c>
      <c r="S517">
        <v>7000000</v>
      </c>
      <c r="T517">
        <v>378000000</v>
      </c>
      <c r="U517">
        <v>244274959.97999999</v>
      </c>
      <c r="Z517"/>
    </row>
    <row r="518" spans="1:26" x14ac:dyDescent="0.25">
      <c r="A518">
        <v>103211</v>
      </c>
      <c r="B518" t="s">
        <v>4751</v>
      </c>
      <c r="C518" t="s">
        <v>4752</v>
      </c>
      <c r="D518" t="s">
        <v>1284</v>
      </c>
      <c r="E518">
        <v>-11</v>
      </c>
      <c r="F518" s="105">
        <v>4835445.09</v>
      </c>
      <c r="G518" t="s">
        <v>86</v>
      </c>
      <c r="H518">
        <v>87038.01</v>
      </c>
      <c r="I518">
        <v>5128429.97</v>
      </c>
      <c r="J518" s="384">
        <v>42867.662933217594</v>
      </c>
      <c r="K518" s="384">
        <v>43112</v>
      </c>
      <c r="L518" t="s">
        <v>4753</v>
      </c>
      <c r="M518" t="s">
        <v>1280</v>
      </c>
      <c r="N518" t="s">
        <v>1280</v>
      </c>
      <c r="O518" t="s">
        <v>25</v>
      </c>
      <c r="P518" t="s">
        <v>26</v>
      </c>
      <c r="Q518" t="s">
        <v>26</v>
      </c>
      <c r="R518" t="s">
        <v>2856</v>
      </c>
      <c r="S518">
        <v>12000000</v>
      </c>
      <c r="T518">
        <v>432000000</v>
      </c>
      <c r="U518">
        <v>174076023.24000001</v>
      </c>
      <c r="Z518"/>
    </row>
    <row r="519" spans="1:26" x14ac:dyDescent="0.25">
      <c r="A519">
        <v>103212</v>
      </c>
      <c r="B519" t="s">
        <v>4754</v>
      </c>
      <c r="C519" t="s">
        <v>4756</v>
      </c>
      <c r="D519" t="s">
        <v>1282</v>
      </c>
      <c r="E519">
        <v>18</v>
      </c>
      <c r="F519" s="105">
        <v>3616728.44</v>
      </c>
      <c r="G519" t="s">
        <v>2494</v>
      </c>
      <c r="H519">
        <v>245147.11</v>
      </c>
      <c r="I519">
        <v>4353255.6900000004</v>
      </c>
      <c r="J519" s="384">
        <v>42868.464225613425</v>
      </c>
      <c r="K519" s="384">
        <v>43233</v>
      </c>
      <c r="L519" t="s">
        <v>4757</v>
      </c>
      <c r="M519" t="s">
        <v>4758</v>
      </c>
      <c r="N519" t="s">
        <v>1280</v>
      </c>
      <c r="O519" t="s">
        <v>25</v>
      </c>
      <c r="P519" t="s">
        <v>26</v>
      </c>
      <c r="Q519" t="s">
        <v>26</v>
      </c>
      <c r="R519" t="s">
        <v>2636</v>
      </c>
      <c r="S519">
        <v>5000000</v>
      </c>
      <c r="T519">
        <v>270000000</v>
      </c>
      <c r="U519">
        <v>195303335.75999999</v>
      </c>
      <c r="Z519"/>
    </row>
    <row r="520" spans="1:26" x14ac:dyDescent="0.25">
      <c r="A520">
        <v>103213</v>
      </c>
      <c r="B520" t="s">
        <v>440</v>
      </c>
      <c r="C520" t="s">
        <v>448</v>
      </c>
      <c r="D520" t="s">
        <v>1281</v>
      </c>
      <c r="E520">
        <v>-14</v>
      </c>
      <c r="F520" s="105">
        <v>12655143.16</v>
      </c>
      <c r="G520" t="s">
        <v>1667</v>
      </c>
      <c r="H520">
        <v>221465.01</v>
      </c>
      <c r="I520">
        <v>14487752.859999999</v>
      </c>
      <c r="J520" s="384">
        <v>42870.572094293981</v>
      </c>
      <c r="K520" s="384">
        <v>43235</v>
      </c>
      <c r="L520" t="s">
        <v>449</v>
      </c>
      <c r="M520" t="s">
        <v>450</v>
      </c>
      <c r="N520" t="s">
        <v>1280</v>
      </c>
      <c r="O520" t="s">
        <v>27</v>
      </c>
      <c r="P520" t="s">
        <v>26</v>
      </c>
      <c r="Q520" t="s">
        <v>26</v>
      </c>
      <c r="R520" t="s">
        <v>2856</v>
      </c>
      <c r="S520">
        <v>20000000</v>
      </c>
      <c r="T520">
        <v>840000000</v>
      </c>
      <c r="U520">
        <v>531516012.72000003</v>
      </c>
      <c r="Z520"/>
    </row>
    <row r="521" spans="1:26" x14ac:dyDescent="0.25">
      <c r="A521">
        <v>103216</v>
      </c>
      <c r="B521" t="s">
        <v>3296</v>
      </c>
      <c r="C521" t="s">
        <v>3297</v>
      </c>
      <c r="D521" t="s">
        <v>1866</v>
      </c>
      <c r="E521">
        <v>15</v>
      </c>
      <c r="F521" s="105">
        <v>3751638.15</v>
      </c>
      <c r="G521" t="s">
        <v>2538</v>
      </c>
      <c r="H521">
        <v>137560.07</v>
      </c>
      <c r="I521">
        <v>4101728.04</v>
      </c>
      <c r="J521" s="384">
        <v>42871.590581400465</v>
      </c>
      <c r="K521" s="384">
        <v>43116</v>
      </c>
      <c r="L521" t="s">
        <v>3298</v>
      </c>
      <c r="M521" t="s">
        <v>3299</v>
      </c>
      <c r="N521" t="s">
        <v>1280</v>
      </c>
      <c r="O521" t="s">
        <v>25</v>
      </c>
      <c r="P521" t="s">
        <v>88</v>
      </c>
      <c r="Q521" t="s">
        <v>26</v>
      </c>
      <c r="R521" t="s">
        <v>2856</v>
      </c>
      <c r="S521">
        <v>7000000</v>
      </c>
      <c r="T521">
        <v>308000000</v>
      </c>
      <c r="U521">
        <v>165072078.59999999</v>
      </c>
      <c r="Z521"/>
    </row>
    <row r="522" spans="1:26" x14ac:dyDescent="0.25">
      <c r="A522">
        <v>103219</v>
      </c>
      <c r="B522" t="s">
        <v>4778</v>
      </c>
      <c r="C522" t="s">
        <v>4781</v>
      </c>
      <c r="D522" t="s">
        <v>1282</v>
      </c>
      <c r="E522">
        <v>14</v>
      </c>
      <c r="F522" s="105">
        <v>7233456.8399999999</v>
      </c>
      <c r="G522" t="s">
        <v>1039</v>
      </c>
      <c r="H522">
        <v>451182.31</v>
      </c>
      <c r="I522">
        <v>8772956.9600000009</v>
      </c>
      <c r="J522" s="384">
        <v>42872.656395949074</v>
      </c>
      <c r="K522" s="384">
        <v>43237</v>
      </c>
      <c r="L522" t="s">
        <v>4782</v>
      </c>
      <c r="M522" t="s">
        <v>4783</v>
      </c>
      <c r="N522" t="s">
        <v>1280</v>
      </c>
      <c r="O522" t="s">
        <v>25</v>
      </c>
      <c r="P522" t="s">
        <v>26</v>
      </c>
      <c r="Q522" t="s">
        <v>26</v>
      </c>
      <c r="R522" t="s">
        <v>2636</v>
      </c>
      <c r="S522">
        <v>10000000</v>
      </c>
      <c r="T522">
        <v>540000000</v>
      </c>
      <c r="U522">
        <v>390606669.36000001</v>
      </c>
      <c r="Z522"/>
    </row>
    <row r="523" spans="1:26" x14ac:dyDescent="0.25">
      <c r="A523">
        <v>103220</v>
      </c>
      <c r="B523" t="s">
        <v>4798</v>
      </c>
      <c r="C523" t="s">
        <v>4802</v>
      </c>
      <c r="D523" t="s">
        <v>1282</v>
      </c>
      <c r="E523">
        <v>73</v>
      </c>
      <c r="F523" s="105">
        <v>3444235.58</v>
      </c>
      <c r="G523" t="s">
        <v>2034</v>
      </c>
      <c r="H523">
        <v>138702.46</v>
      </c>
      <c r="I523">
        <v>4203656.17</v>
      </c>
      <c r="J523" s="384">
        <v>42873.577588541666</v>
      </c>
      <c r="K523" s="384">
        <v>43238</v>
      </c>
      <c r="L523" t="s">
        <v>4803</v>
      </c>
      <c r="M523" t="s">
        <v>4804</v>
      </c>
      <c r="N523" t="s">
        <v>1280</v>
      </c>
      <c r="O523" t="s">
        <v>44</v>
      </c>
      <c r="P523" t="s">
        <v>75</v>
      </c>
      <c r="Q523" t="s">
        <v>26</v>
      </c>
      <c r="R523" t="s">
        <v>2636</v>
      </c>
      <c r="S523">
        <v>4000000</v>
      </c>
      <c r="T523">
        <v>216000000</v>
      </c>
      <c r="U523">
        <v>185988721.31999999</v>
      </c>
      <c r="Z523"/>
    </row>
    <row r="524" spans="1:26" x14ac:dyDescent="0.25">
      <c r="A524">
        <v>103221</v>
      </c>
      <c r="B524" t="s">
        <v>911</v>
      </c>
      <c r="C524" t="s">
        <v>2217</v>
      </c>
      <c r="D524" t="s">
        <v>1866</v>
      </c>
      <c r="E524">
        <v>13</v>
      </c>
      <c r="F524" s="105">
        <v>4280211.46</v>
      </c>
      <c r="G524" t="s">
        <v>963</v>
      </c>
      <c r="H524">
        <v>212823.19</v>
      </c>
      <c r="I524">
        <v>5016075.22</v>
      </c>
      <c r="J524" s="384">
        <v>42873.523146331019</v>
      </c>
      <c r="K524" s="384">
        <v>43238</v>
      </c>
      <c r="L524" t="s">
        <v>2218</v>
      </c>
      <c r="M524" t="s">
        <v>2219</v>
      </c>
      <c r="N524" t="s">
        <v>1280</v>
      </c>
      <c r="O524" t="s">
        <v>25</v>
      </c>
      <c r="P524" t="s">
        <v>26</v>
      </c>
      <c r="Q524" t="s">
        <v>26</v>
      </c>
      <c r="R524" t="s">
        <v>2856</v>
      </c>
      <c r="S524">
        <v>6000000</v>
      </c>
      <c r="T524">
        <v>264000000</v>
      </c>
      <c r="U524">
        <v>188329304.24000001</v>
      </c>
      <c r="Z524"/>
    </row>
    <row r="525" spans="1:26" x14ac:dyDescent="0.25">
      <c r="A525">
        <v>103222</v>
      </c>
      <c r="B525" t="s">
        <v>4814</v>
      </c>
      <c r="C525" t="s">
        <v>4815</v>
      </c>
      <c r="D525" t="s">
        <v>1283</v>
      </c>
      <c r="E525">
        <v>-18</v>
      </c>
      <c r="F525" s="105">
        <v>7224854.54</v>
      </c>
      <c r="G525" t="s">
        <v>1191</v>
      </c>
      <c r="H525">
        <v>88303.78</v>
      </c>
      <c r="I525">
        <v>7465683.0199999996</v>
      </c>
      <c r="J525" s="384">
        <v>42874.597573611114</v>
      </c>
      <c r="K525" s="384">
        <v>43058</v>
      </c>
      <c r="L525" t="s">
        <v>4816</v>
      </c>
      <c r="M525" t="s">
        <v>4817</v>
      </c>
      <c r="N525" t="s">
        <v>1280</v>
      </c>
      <c r="O525" t="s">
        <v>37</v>
      </c>
      <c r="P525" t="s">
        <v>288</v>
      </c>
      <c r="Q525" t="s">
        <v>26</v>
      </c>
      <c r="R525" t="s">
        <v>2636</v>
      </c>
      <c r="S525">
        <v>40000000</v>
      </c>
      <c r="T525">
        <v>1600000000</v>
      </c>
      <c r="U525">
        <v>288994181.60000002</v>
      </c>
      <c r="Z525"/>
    </row>
    <row r="526" spans="1:26" x14ac:dyDescent="0.25">
      <c r="A526">
        <v>103223</v>
      </c>
      <c r="B526" t="s">
        <v>462</v>
      </c>
      <c r="C526" t="s">
        <v>465</v>
      </c>
      <c r="D526" t="s">
        <v>1281</v>
      </c>
      <c r="E526">
        <v>-18</v>
      </c>
      <c r="F526" s="105">
        <v>19528027.09</v>
      </c>
      <c r="G526" t="s">
        <v>1447</v>
      </c>
      <c r="H526">
        <v>250609.68</v>
      </c>
      <c r="I526">
        <v>24640473.260000002</v>
      </c>
      <c r="J526" s="384">
        <v>42874.675922800925</v>
      </c>
      <c r="K526" s="384">
        <v>43423</v>
      </c>
      <c r="L526" t="s">
        <v>466</v>
      </c>
      <c r="M526" t="s">
        <v>467</v>
      </c>
      <c r="N526" t="s">
        <v>1280</v>
      </c>
      <c r="O526" t="s">
        <v>25</v>
      </c>
      <c r="P526" t="s">
        <v>88</v>
      </c>
      <c r="Q526" t="s">
        <v>285</v>
      </c>
      <c r="R526" t="s">
        <v>2856</v>
      </c>
      <c r="S526">
        <v>25000000</v>
      </c>
      <c r="T526">
        <v>1050000000</v>
      </c>
      <c r="U526">
        <v>820177137.77999997</v>
      </c>
      <c r="Z526"/>
    </row>
    <row r="527" spans="1:26" x14ac:dyDescent="0.25">
      <c r="A527">
        <v>103224</v>
      </c>
      <c r="B527" t="s">
        <v>113</v>
      </c>
      <c r="C527" t="s">
        <v>273</v>
      </c>
      <c r="D527" t="s">
        <v>1284</v>
      </c>
      <c r="E527">
        <v>-19</v>
      </c>
      <c r="F527" s="105">
        <v>33831332.939999998</v>
      </c>
      <c r="G527" t="s">
        <v>1039</v>
      </c>
      <c r="H527">
        <v>338313.33</v>
      </c>
      <c r="I527">
        <v>44876036.100000001</v>
      </c>
      <c r="J527" s="384">
        <v>42875.655063391205</v>
      </c>
      <c r="K527" s="384">
        <v>43605</v>
      </c>
      <c r="L527" t="s">
        <v>274</v>
      </c>
      <c r="M527" t="s">
        <v>275</v>
      </c>
      <c r="N527" t="s">
        <v>1280</v>
      </c>
      <c r="O527" t="s">
        <v>44</v>
      </c>
      <c r="P527" t="s">
        <v>75</v>
      </c>
      <c r="Q527" t="s">
        <v>4000</v>
      </c>
      <c r="R527" t="s">
        <v>2856</v>
      </c>
      <c r="S527">
        <v>40000000</v>
      </c>
      <c r="T527">
        <v>1440000000</v>
      </c>
      <c r="U527">
        <v>1217927985.8399999</v>
      </c>
      <c r="Z527"/>
    </row>
    <row r="528" spans="1:26" x14ac:dyDescent="0.25">
      <c r="A528">
        <v>103226</v>
      </c>
      <c r="B528" t="s">
        <v>3286</v>
      </c>
      <c r="C528" t="s">
        <v>3287</v>
      </c>
      <c r="D528" t="s">
        <v>1284</v>
      </c>
      <c r="E528">
        <v>-21</v>
      </c>
      <c r="F528" s="105">
        <v>15465074.65</v>
      </c>
      <c r="G528" t="s">
        <v>491</v>
      </c>
      <c r="H528">
        <v>123720.6</v>
      </c>
      <c r="I528">
        <v>18904260.899999999</v>
      </c>
      <c r="J528" s="384">
        <v>42877.711354976855</v>
      </c>
      <c r="K528" s="384">
        <v>43426</v>
      </c>
      <c r="L528" t="s">
        <v>3288</v>
      </c>
      <c r="M528" t="s">
        <v>1280</v>
      </c>
      <c r="N528" t="s">
        <v>1280</v>
      </c>
      <c r="O528" t="s">
        <v>25</v>
      </c>
      <c r="P528" t="s">
        <v>26</v>
      </c>
      <c r="Q528" t="s">
        <v>26</v>
      </c>
      <c r="R528" t="s">
        <v>2856</v>
      </c>
      <c r="S528">
        <v>20000000</v>
      </c>
      <c r="T528">
        <v>720000000</v>
      </c>
      <c r="U528">
        <v>556742687.39999998</v>
      </c>
      <c r="Z528"/>
    </row>
    <row r="529" spans="1:26" x14ac:dyDescent="0.25">
      <c r="A529">
        <v>103228</v>
      </c>
      <c r="B529" t="s">
        <v>4832</v>
      </c>
      <c r="C529" t="s">
        <v>4835</v>
      </c>
      <c r="D529" t="s">
        <v>1282</v>
      </c>
      <c r="E529">
        <v>-22</v>
      </c>
      <c r="F529" s="105">
        <v>6395319.6399999997</v>
      </c>
      <c r="G529" t="s">
        <v>2538</v>
      </c>
      <c r="H529">
        <v>59689.65</v>
      </c>
      <c r="I529">
        <v>7458652.0700000003</v>
      </c>
      <c r="J529" s="384">
        <v>42878.671710416667</v>
      </c>
      <c r="K529" s="384">
        <v>43243</v>
      </c>
      <c r="L529" t="s">
        <v>4836</v>
      </c>
      <c r="M529" t="s">
        <v>1280</v>
      </c>
      <c r="N529" t="s">
        <v>1280</v>
      </c>
      <c r="O529" t="s">
        <v>25</v>
      </c>
      <c r="P529" t="s">
        <v>26</v>
      </c>
      <c r="Q529" t="s">
        <v>26</v>
      </c>
      <c r="R529" t="s">
        <v>2856</v>
      </c>
      <c r="S529">
        <v>10000000</v>
      </c>
      <c r="T529">
        <v>480000000</v>
      </c>
      <c r="U529">
        <v>306975342.72000003</v>
      </c>
      <c r="Z529"/>
    </row>
    <row r="530" spans="1:26" x14ac:dyDescent="0.25">
      <c r="A530">
        <v>103229</v>
      </c>
      <c r="B530" t="s">
        <v>2938</v>
      </c>
      <c r="C530" t="s">
        <v>2939</v>
      </c>
      <c r="D530" t="s">
        <v>1866</v>
      </c>
      <c r="E530">
        <v>-21</v>
      </c>
      <c r="F530" s="105">
        <v>3810143.15</v>
      </c>
      <c r="G530" t="s">
        <v>2494</v>
      </c>
      <c r="H530">
        <v>37254.730000000003</v>
      </c>
      <c r="I530">
        <v>4389065.82</v>
      </c>
      <c r="J530" s="384">
        <v>42877.588088622688</v>
      </c>
      <c r="K530" s="384">
        <v>43242</v>
      </c>
      <c r="L530" t="s">
        <v>2940</v>
      </c>
      <c r="M530" t="s">
        <v>2941</v>
      </c>
      <c r="N530" t="s">
        <v>1280</v>
      </c>
      <c r="O530" t="s">
        <v>25</v>
      </c>
      <c r="P530" t="s">
        <v>88</v>
      </c>
      <c r="Q530" t="s">
        <v>285</v>
      </c>
      <c r="R530" t="s">
        <v>2856</v>
      </c>
      <c r="S530">
        <v>6000000</v>
      </c>
      <c r="T530">
        <v>264000000</v>
      </c>
      <c r="U530">
        <v>167646298.59999999</v>
      </c>
      <c r="Z530"/>
    </row>
    <row r="531" spans="1:26" x14ac:dyDescent="0.25">
      <c r="A531">
        <v>103230</v>
      </c>
      <c r="B531" t="s">
        <v>4831</v>
      </c>
      <c r="C531" t="s">
        <v>4837</v>
      </c>
      <c r="D531" t="s">
        <v>1282</v>
      </c>
      <c r="E531">
        <v>-22</v>
      </c>
      <c r="F531" s="105">
        <v>2467759.7200000002</v>
      </c>
      <c r="G531" t="s">
        <v>1467</v>
      </c>
      <c r="H531">
        <v>25911.48</v>
      </c>
      <c r="I531">
        <v>2751489.4</v>
      </c>
      <c r="J531" s="384">
        <v>42878.627374571763</v>
      </c>
      <c r="K531" s="384">
        <v>43154</v>
      </c>
      <c r="L531" t="s">
        <v>4838</v>
      </c>
      <c r="M531" t="s">
        <v>1280</v>
      </c>
      <c r="N531" t="s">
        <v>1280</v>
      </c>
      <c r="O531" t="s">
        <v>25</v>
      </c>
      <c r="P531" t="s">
        <v>88</v>
      </c>
      <c r="Q531" t="s">
        <v>285</v>
      </c>
      <c r="R531" t="s">
        <v>2636</v>
      </c>
      <c r="S531">
        <v>5000000</v>
      </c>
      <c r="T531">
        <v>270000000</v>
      </c>
      <c r="U531">
        <v>133259024.88</v>
      </c>
      <c r="Z531"/>
    </row>
    <row r="532" spans="1:26" x14ac:dyDescent="0.25">
      <c r="A532">
        <v>103231</v>
      </c>
      <c r="B532" t="s">
        <v>436</v>
      </c>
      <c r="C532" t="s">
        <v>1921</v>
      </c>
      <c r="D532" t="s">
        <v>1282</v>
      </c>
      <c r="E532">
        <v>0</v>
      </c>
      <c r="F532" s="105">
        <v>10025832</v>
      </c>
      <c r="G532" t="s">
        <v>90</v>
      </c>
      <c r="H532">
        <v>387665.5</v>
      </c>
      <c r="I532">
        <v>13287893.050000001</v>
      </c>
      <c r="J532" s="384">
        <v>42885.689436111112</v>
      </c>
      <c r="K532" s="384">
        <v>43435</v>
      </c>
      <c r="L532" t="s">
        <v>1922</v>
      </c>
      <c r="M532" t="s">
        <v>1280</v>
      </c>
      <c r="N532" t="s">
        <v>1280</v>
      </c>
      <c r="O532" t="s">
        <v>44</v>
      </c>
      <c r="P532" t="s">
        <v>75</v>
      </c>
      <c r="Q532" t="s">
        <v>26</v>
      </c>
      <c r="R532" t="s">
        <v>2856</v>
      </c>
      <c r="S532">
        <v>12000000</v>
      </c>
      <c r="T532">
        <v>576000000</v>
      </c>
      <c r="U532">
        <v>481239936</v>
      </c>
      <c r="Z532"/>
    </row>
    <row r="533" spans="1:26" x14ac:dyDescent="0.25">
      <c r="A533">
        <v>103232</v>
      </c>
      <c r="B533" t="s">
        <v>4862</v>
      </c>
      <c r="C533" t="s">
        <v>4863</v>
      </c>
      <c r="D533" t="s">
        <v>1286</v>
      </c>
      <c r="E533">
        <v>-20</v>
      </c>
      <c r="F533" s="105">
        <v>256222.25</v>
      </c>
      <c r="G533" t="s">
        <v>284</v>
      </c>
      <c r="H533">
        <v>1601.39</v>
      </c>
      <c r="I533">
        <v>261560.21</v>
      </c>
      <c r="J533" s="384">
        <v>42886.706072106484</v>
      </c>
      <c r="K533" s="384">
        <v>43060</v>
      </c>
      <c r="L533" t="s">
        <v>4864</v>
      </c>
      <c r="M533" t="s">
        <v>1280</v>
      </c>
      <c r="N533" t="s">
        <v>1280</v>
      </c>
      <c r="O533" t="s">
        <v>28</v>
      </c>
      <c r="P533" t="s">
        <v>26</v>
      </c>
      <c r="Q533" t="s">
        <v>26</v>
      </c>
      <c r="R533" t="s">
        <v>2636</v>
      </c>
      <c r="S533">
        <v>1470000</v>
      </c>
      <c r="T533">
        <v>36750000</v>
      </c>
      <c r="U533">
        <v>6405556.25</v>
      </c>
      <c r="Z533"/>
    </row>
    <row r="534" spans="1:26" x14ac:dyDescent="0.25">
      <c r="A534">
        <v>103233</v>
      </c>
      <c r="B534" t="s">
        <v>778</v>
      </c>
      <c r="C534" t="s">
        <v>780</v>
      </c>
      <c r="D534" t="s">
        <v>1866</v>
      </c>
      <c r="E534">
        <v>0</v>
      </c>
      <c r="F534" s="105">
        <v>4993580.03</v>
      </c>
      <c r="G534" t="s">
        <v>1448</v>
      </c>
      <c r="H534">
        <v>176994.67</v>
      </c>
      <c r="I534">
        <v>5852087.75</v>
      </c>
      <c r="J534" s="384">
        <v>42887.506757442126</v>
      </c>
      <c r="K534" s="384">
        <v>43252</v>
      </c>
      <c r="L534" t="s">
        <v>781</v>
      </c>
      <c r="M534" t="s">
        <v>782</v>
      </c>
      <c r="N534" t="s">
        <v>1280</v>
      </c>
      <c r="O534" t="s">
        <v>25</v>
      </c>
      <c r="P534" t="s">
        <v>88</v>
      </c>
      <c r="Q534" t="s">
        <v>285</v>
      </c>
      <c r="R534" t="s">
        <v>2856</v>
      </c>
      <c r="S534">
        <v>7000000</v>
      </c>
      <c r="T534">
        <v>308000000</v>
      </c>
      <c r="U534">
        <v>219717521.31999999</v>
      </c>
      <c r="Z534"/>
    </row>
    <row r="535" spans="1:26" x14ac:dyDescent="0.25">
      <c r="A535">
        <v>103234</v>
      </c>
      <c r="B535" t="s">
        <v>4877</v>
      </c>
      <c r="C535" t="s">
        <v>4878</v>
      </c>
      <c r="D535" t="s">
        <v>1282</v>
      </c>
      <c r="E535">
        <v>-1</v>
      </c>
      <c r="F535" s="105">
        <v>11912399</v>
      </c>
      <c r="G535" t="s">
        <v>546</v>
      </c>
      <c r="H535">
        <v>500320.76</v>
      </c>
      <c r="I535">
        <v>15363778.359999999</v>
      </c>
      <c r="J535" s="384">
        <v>42888.546742592589</v>
      </c>
      <c r="K535" s="384">
        <v>43345</v>
      </c>
      <c r="L535" t="s">
        <v>4879</v>
      </c>
      <c r="M535" t="s">
        <v>4880</v>
      </c>
      <c r="N535" t="s">
        <v>1280</v>
      </c>
      <c r="O535" t="s">
        <v>37</v>
      </c>
      <c r="P535" t="s">
        <v>288</v>
      </c>
      <c r="Q535" t="s">
        <v>1313</v>
      </c>
      <c r="R535" t="s">
        <v>2636</v>
      </c>
      <c r="S535">
        <v>15000000</v>
      </c>
      <c r="T535">
        <v>810000000</v>
      </c>
      <c r="U535">
        <v>643269546</v>
      </c>
      <c r="Z535"/>
    </row>
    <row r="536" spans="1:26" x14ac:dyDescent="0.25">
      <c r="A536">
        <v>103236</v>
      </c>
      <c r="B536" t="s">
        <v>2946</v>
      </c>
      <c r="C536" t="s">
        <v>2947</v>
      </c>
      <c r="D536" t="s">
        <v>1281</v>
      </c>
      <c r="E536">
        <v>24</v>
      </c>
      <c r="F536" s="105">
        <v>17464274.16</v>
      </c>
      <c r="G536" t="s">
        <v>1447</v>
      </c>
      <c r="H536">
        <v>1055587.78</v>
      </c>
      <c r="I536">
        <v>22745052.210000001</v>
      </c>
      <c r="J536" s="384">
        <v>42893.679667048615</v>
      </c>
      <c r="K536" s="384">
        <v>43441</v>
      </c>
      <c r="L536" t="s">
        <v>2948</v>
      </c>
      <c r="M536" t="s">
        <v>2949</v>
      </c>
      <c r="N536" t="s">
        <v>1280</v>
      </c>
      <c r="O536" t="s">
        <v>25</v>
      </c>
      <c r="P536" t="s">
        <v>26</v>
      </c>
      <c r="Q536" t="s">
        <v>26</v>
      </c>
      <c r="R536" t="s">
        <v>2856</v>
      </c>
      <c r="S536">
        <v>20000000</v>
      </c>
      <c r="T536">
        <v>840000000</v>
      </c>
      <c r="U536">
        <v>733499514.72000003</v>
      </c>
      <c r="Z536"/>
    </row>
    <row r="537" spans="1:26" x14ac:dyDescent="0.25">
      <c r="A537">
        <v>103237</v>
      </c>
      <c r="B537" t="s">
        <v>931</v>
      </c>
      <c r="C537" t="s">
        <v>939</v>
      </c>
      <c r="D537" t="s">
        <v>1866</v>
      </c>
      <c r="E537">
        <v>-9</v>
      </c>
      <c r="F537" s="105">
        <v>4280211.46</v>
      </c>
      <c r="G537" t="s">
        <v>86</v>
      </c>
      <c r="H537">
        <v>104627.39</v>
      </c>
      <c r="I537">
        <v>5016075.22</v>
      </c>
      <c r="J537" s="384">
        <v>42896.482501967592</v>
      </c>
      <c r="K537" s="384">
        <v>43261</v>
      </c>
      <c r="L537" t="s">
        <v>940</v>
      </c>
      <c r="M537" t="s">
        <v>941</v>
      </c>
      <c r="N537" t="s">
        <v>1280</v>
      </c>
      <c r="O537" t="s">
        <v>25</v>
      </c>
      <c r="P537" t="s">
        <v>286</v>
      </c>
      <c r="Q537" t="s">
        <v>4463</v>
      </c>
      <c r="R537" t="s">
        <v>2856</v>
      </c>
      <c r="S537">
        <v>6000000</v>
      </c>
      <c r="T537">
        <v>264000000</v>
      </c>
      <c r="U537">
        <v>188329304.24000001</v>
      </c>
      <c r="Z537"/>
    </row>
    <row r="538" spans="1:26" x14ac:dyDescent="0.25">
      <c r="A538">
        <v>103238</v>
      </c>
      <c r="B538" t="s">
        <v>4887</v>
      </c>
      <c r="C538" t="s">
        <v>4888</v>
      </c>
      <c r="D538" t="s">
        <v>1279</v>
      </c>
      <c r="E538">
        <v>-11</v>
      </c>
      <c r="F538" s="105">
        <v>1938924.03</v>
      </c>
      <c r="G538" t="s">
        <v>86</v>
      </c>
      <c r="H538">
        <v>46534.18</v>
      </c>
      <c r="I538">
        <v>2219237.0299999998</v>
      </c>
      <c r="J538" s="384">
        <v>42898.650460185185</v>
      </c>
      <c r="K538" s="384">
        <v>43202</v>
      </c>
      <c r="L538" t="s">
        <v>4889</v>
      </c>
      <c r="M538" t="s">
        <v>4890</v>
      </c>
      <c r="N538" t="s">
        <v>1280</v>
      </c>
      <c r="O538" t="s">
        <v>25</v>
      </c>
      <c r="P538" t="s">
        <v>88</v>
      </c>
      <c r="Q538" t="s">
        <v>26</v>
      </c>
      <c r="R538" t="s">
        <v>2856</v>
      </c>
      <c r="S538">
        <v>3000000</v>
      </c>
      <c r="T538">
        <v>144000000</v>
      </c>
      <c r="U538">
        <v>93068353.439999998</v>
      </c>
      <c r="Z538"/>
    </row>
    <row r="539" spans="1:26" x14ac:dyDescent="0.25">
      <c r="A539">
        <v>103240</v>
      </c>
      <c r="B539" t="s">
        <v>787</v>
      </c>
      <c r="C539" t="s">
        <v>790</v>
      </c>
      <c r="D539" t="s">
        <v>1283</v>
      </c>
      <c r="E539">
        <v>16</v>
      </c>
      <c r="F539" s="105">
        <v>27775734.129999999</v>
      </c>
      <c r="G539" t="s">
        <v>1447</v>
      </c>
      <c r="H539">
        <v>1227506.94</v>
      </c>
      <c r="I539">
        <v>34900174.009999998</v>
      </c>
      <c r="J539" s="384">
        <v>42901.710854594909</v>
      </c>
      <c r="K539" s="384">
        <v>43449</v>
      </c>
      <c r="L539" t="s">
        <v>791</v>
      </c>
      <c r="M539" t="s">
        <v>1280</v>
      </c>
      <c r="N539" t="s">
        <v>1280</v>
      </c>
      <c r="O539" t="s">
        <v>27</v>
      </c>
      <c r="P539" t="s">
        <v>26</v>
      </c>
      <c r="Q539" t="s">
        <v>26</v>
      </c>
      <c r="R539" t="s">
        <v>2856</v>
      </c>
      <c r="S539">
        <v>32000000</v>
      </c>
      <c r="T539">
        <v>1152000000</v>
      </c>
      <c r="U539">
        <v>999926428.67999995</v>
      </c>
      <c r="Z539"/>
    </row>
    <row r="540" spans="1:26" x14ac:dyDescent="0.25">
      <c r="A540">
        <v>103242</v>
      </c>
      <c r="B540" t="s">
        <v>2530</v>
      </c>
      <c r="C540" t="s">
        <v>2532</v>
      </c>
      <c r="D540" t="s">
        <v>1283</v>
      </c>
      <c r="E540">
        <v>-15</v>
      </c>
      <c r="F540" s="105">
        <v>35139057.840000004</v>
      </c>
      <c r="G540" t="s">
        <v>468</v>
      </c>
      <c r="H540">
        <v>491946.81</v>
      </c>
      <c r="I540">
        <v>47237932.740000002</v>
      </c>
      <c r="J540" s="384">
        <v>42902.657832442128</v>
      </c>
      <c r="K540" s="384">
        <v>43632</v>
      </c>
      <c r="L540" t="s">
        <v>2533</v>
      </c>
      <c r="M540" t="s">
        <v>1280</v>
      </c>
      <c r="N540" t="s">
        <v>1280</v>
      </c>
      <c r="O540" t="s">
        <v>27</v>
      </c>
      <c r="P540" t="s">
        <v>81</v>
      </c>
      <c r="Q540" t="s">
        <v>26</v>
      </c>
      <c r="R540" t="s">
        <v>2856</v>
      </c>
      <c r="S540">
        <v>40000000</v>
      </c>
      <c r="T540">
        <v>1440000000</v>
      </c>
      <c r="U540">
        <v>1265006082.24</v>
      </c>
      <c r="Z540"/>
    </row>
    <row r="541" spans="1:26" x14ac:dyDescent="0.25">
      <c r="A541">
        <v>103243</v>
      </c>
      <c r="B541" t="s">
        <v>1725</v>
      </c>
      <c r="C541" t="s">
        <v>1726</v>
      </c>
      <c r="D541" t="s">
        <v>1284</v>
      </c>
      <c r="E541">
        <v>-19</v>
      </c>
      <c r="F541" s="105">
        <v>30866080.199999999</v>
      </c>
      <c r="G541" t="s">
        <v>86</v>
      </c>
      <c r="H541">
        <v>308660.8</v>
      </c>
      <c r="I541">
        <v>41493708.43</v>
      </c>
      <c r="J541" s="384">
        <v>42902.556814467593</v>
      </c>
      <c r="K541" s="384">
        <v>43636</v>
      </c>
      <c r="L541" t="s">
        <v>1727</v>
      </c>
      <c r="M541" t="s">
        <v>1280</v>
      </c>
      <c r="N541" t="s">
        <v>1280</v>
      </c>
      <c r="O541" t="s">
        <v>44</v>
      </c>
      <c r="P541" t="s">
        <v>75</v>
      </c>
      <c r="Q541" t="s">
        <v>26</v>
      </c>
      <c r="R541" t="s">
        <v>2856</v>
      </c>
      <c r="S541">
        <v>35000000</v>
      </c>
      <c r="T541">
        <v>1260000000</v>
      </c>
      <c r="U541">
        <v>1111178887.2</v>
      </c>
      <c r="Z541"/>
    </row>
    <row r="542" spans="1:26" x14ac:dyDescent="0.25">
      <c r="A542">
        <v>103244</v>
      </c>
      <c r="B542" t="s">
        <v>4903</v>
      </c>
      <c r="C542" t="s">
        <v>4905</v>
      </c>
      <c r="D542" t="s">
        <v>1284</v>
      </c>
      <c r="E542">
        <v>-19</v>
      </c>
      <c r="F542" s="105">
        <v>15574935.359999999</v>
      </c>
      <c r="G542" t="s">
        <v>2494</v>
      </c>
      <c r="H542">
        <v>155749.35</v>
      </c>
      <c r="I542">
        <v>17749992.379999999</v>
      </c>
      <c r="J542" s="384">
        <v>42902.535563807869</v>
      </c>
      <c r="K542" s="384">
        <v>43271</v>
      </c>
      <c r="L542" t="s">
        <v>4906</v>
      </c>
      <c r="M542" t="s">
        <v>1280</v>
      </c>
      <c r="N542" t="s">
        <v>1280</v>
      </c>
      <c r="O542" t="s">
        <v>44</v>
      </c>
      <c r="P542" t="s">
        <v>26</v>
      </c>
      <c r="Q542" t="s">
        <v>26</v>
      </c>
      <c r="R542" t="s">
        <v>2856</v>
      </c>
      <c r="S542">
        <v>22000000</v>
      </c>
      <c r="T542">
        <v>792000000</v>
      </c>
      <c r="U542">
        <v>560697672.96000004</v>
      </c>
      <c r="Z542"/>
    </row>
    <row r="543" spans="1:26" x14ac:dyDescent="0.25">
      <c r="A543">
        <v>103245</v>
      </c>
      <c r="B543" t="s">
        <v>3822</v>
      </c>
      <c r="C543" t="s">
        <v>3823</v>
      </c>
      <c r="D543" t="s">
        <v>1282</v>
      </c>
      <c r="E543">
        <v>12</v>
      </c>
      <c r="F543" s="105">
        <v>3169002.95</v>
      </c>
      <c r="G543" t="s">
        <v>468</v>
      </c>
      <c r="H543">
        <v>237177.05</v>
      </c>
      <c r="I543">
        <v>3827227.2</v>
      </c>
      <c r="J543" s="384">
        <v>42905.720340162035</v>
      </c>
      <c r="K543" s="384">
        <v>43270</v>
      </c>
      <c r="L543" t="s">
        <v>3824</v>
      </c>
      <c r="M543" t="s">
        <v>3825</v>
      </c>
      <c r="N543" t="s">
        <v>1280</v>
      </c>
      <c r="O543" t="s">
        <v>25</v>
      </c>
      <c r="P543" t="s">
        <v>289</v>
      </c>
      <c r="Q543" t="s">
        <v>26</v>
      </c>
      <c r="R543" t="s">
        <v>2856</v>
      </c>
      <c r="S543">
        <v>4000000</v>
      </c>
      <c r="T543">
        <v>192000000</v>
      </c>
      <c r="U543">
        <v>152112141.59999999</v>
      </c>
      <c r="Z543"/>
    </row>
    <row r="544" spans="1:26" x14ac:dyDescent="0.25">
      <c r="A544">
        <v>103246</v>
      </c>
      <c r="B544" t="s">
        <v>4927</v>
      </c>
      <c r="C544" t="s">
        <v>4930</v>
      </c>
      <c r="D544" t="s">
        <v>1282</v>
      </c>
      <c r="E544">
        <v>-20</v>
      </c>
      <c r="F544" s="105">
        <v>1955537.52</v>
      </c>
      <c r="G544" t="s">
        <v>2538</v>
      </c>
      <c r="H544">
        <v>26399.759999999998</v>
      </c>
      <c r="I544">
        <v>2274818.77</v>
      </c>
      <c r="J544" s="384">
        <v>42907.661151273147</v>
      </c>
      <c r="K544" s="384">
        <v>43211</v>
      </c>
      <c r="L544" t="s">
        <v>4931</v>
      </c>
      <c r="M544" t="s">
        <v>1280</v>
      </c>
      <c r="N544" t="s">
        <v>1280</v>
      </c>
      <c r="O544" t="s">
        <v>27</v>
      </c>
      <c r="P544" t="s">
        <v>26</v>
      </c>
      <c r="Q544" t="s">
        <v>26</v>
      </c>
      <c r="R544" t="s">
        <v>2636</v>
      </c>
      <c r="S544">
        <v>3000000</v>
      </c>
      <c r="T544">
        <v>162000000</v>
      </c>
      <c r="U544">
        <v>105599026.08</v>
      </c>
      <c r="Z544"/>
    </row>
    <row r="545" spans="1:26" x14ac:dyDescent="0.25">
      <c r="A545">
        <v>103247</v>
      </c>
      <c r="B545" t="s">
        <v>3157</v>
      </c>
      <c r="C545" t="s">
        <v>3158</v>
      </c>
      <c r="D545" t="s">
        <v>1282</v>
      </c>
      <c r="E545">
        <v>-19</v>
      </c>
      <c r="F545" s="105">
        <v>10760828.92</v>
      </c>
      <c r="G545" t="s">
        <v>2175</v>
      </c>
      <c r="H545">
        <v>143477.72</v>
      </c>
      <c r="I545">
        <v>12786260.73</v>
      </c>
      <c r="J545" s="384">
        <v>42906.645920254632</v>
      </c>
      <c r="K545" s="384">
        <v>43271</v>
      </c>
      <c r="L545" t="s">
        <v>3159</v>
      </c>
      <c r="M545" t="s">
        <v>1280</v>
      </c>
      <c r="N545" t="s">
        <v>1280</v>
      </c>
      <c r="O545" t="s">
        <v>25</v>
      </c>
      <c r="P545" t="s">
        <v>26</v>
      </c>
      <c r="Q545" t="s">
        <v>26</v>
      </c>
      <c r="R545" t="s">
        <v>2856</v>
      </c>
      <c r="S545">
        <v>15000000</v>
      </c>
      <c r="T545">
        <v>720000000</v>
      </c>
      <c r="U545">
        <v>516519788.16000003</v>
      </c>
      <c r="Z545"/>
    </row>
    <row r="546" spans="1:26" x14ac:dyDescent="0.25">
      <c r="A546">
        <v>103249</v>
      </c>
      <c r="B546" t="s">
        <v>4928</v>
      </c>
      <c r="C546" t="s">
        <v>4932</v>
      </c>
      <c r="D546" t="s">
        <v>1279</v>
      </c>
      <c r="E546">
        <v>-20</v>
      </c>
      <c r="F546" s="105">
        <v>2531709.91</v>
      </c>
      <c r="G546" t="s">
        <v>1191</v>
      </c>
      <c r="H546">
        <v>34178.080000000002</v>
      </c>
      <c r="I546">
        <v>3070653.29</v>
      </c>
      <c r="J546" s="384">
        <v>42907.708400844909</v>
      </c>
      <c r="K546" s="384">
        <v>43272</v>
      </c>
      <c r="L546" t="s">
        <v>4933</v>
      </c>
      <c r="M546" t="s">
        <v>4934</v>
      </c>
      <c r="N546" t="s">
        <v>1280</v>
      </c>
      <c r="O546" t="s">
        <v>25</v>
      </c>
      <c r="P546" t="s">
        <v>26</v>
      </c>
      <c r="Q546" t="s">
        <v>26</v>
      </c>
      <c r="R546" t="s">
        <v>2636</v>
      </c>
      <c r="S546">
        <v>3500000</v>
      </c>
      <c r="T546">
        <v>189000000</v>
      </c>
      <c r="U546">
        <v>136712335.13999999</v>
      </c>
      <c r="Z546"/>
    </row>
    <row r="547" spans="1:26" x14ac:dyDescent="0.25">
      <c r="A547">
        <v>103252</v>
      </c>
      <c r="B547" t="s">
        <v>1380</v>
      </c>
      <c r="C547" t="s">
        <v>1381</v>
      </c>
      <c r="D547" t="s">
        <v>1284</v>
      </c>
      <c r="E547">
        <v>-22</v>
      </c>
      <c r="F547" s="105">
        <v>16426454.92</v>
      </c>
      <c r="G547" t="s">
        <v>963</v>
      </c>
      <c r="H547">
        <v>114985.18</v>
      </c>
      <c r="I547">
        <v>20358434.82</v>
      </c>
      <c r="J547" s="384">
        <v>42909.574963113424</v>
      </c>
      <c r="K547" s="384">
        <v>43457</v>
      </c>
      <c r="L547" t="s">
        <v>1382</v>
      </c>
      <c r="M547" t="s">
        <v>1280</v>
      </c>
      <c r="N547" t="s">
        <v>1383</v>
      </c>
      <c r="O547" t="s">
        <v>44</v>
      </c>
      <c r="P547" t="s">
        <v>75</v>
      </c>
      <c r="Q547" t="s">
        <v>1442</v>
      </c>
      <c r="R547" t="s">
        <v>2856</v>
      </c>
      <c r="S547">
        <v>20000000</v>
      </c>
      <c r="T547">
        <v>720000000</v>
      </c>
      <c r="U547">
        <v>591352377.12</v>
      </c>
      <c r="Z547"/>
    </row>
    <row r="548" spans="1:26" x14ac:dyDescent="0.25">
      <c r="A548">
        <v>103253</v>
      </c>
      <c r="B548" t="s">
        <v>4954</v>
      </c>
      <c r="C548" t="s">
        <v>4956</v>
      </c>
      <c r="D548" t="s">
        <v>1279</v>
      </c>
      <c r="E548">
        <v>0</v>
      </c>
      <c r="F548" s="105">
        <v>3327290.52</v>
      </c>
      <c r="G548" t="s">
        <v>1448</v>
      </c>
      <c r="H548">
        <v>128655.23</v>
      </c>
      <c r="I548">
        <v>3736998.32</v>
      </c>
      <c r="J548" s="384">
        <v>42912.611653206019</v>
      </c>
      <c r="K548" s="384">
        <v>43160</v>
      </c>
      <c r="L548" t="s">
        <v>4957</v>
      </c>
      <c r="M548" t="s">
        <v>4958</v>
      </c>
      <c r="N548" t="s">
        <v>1280</v>
      </c>
      <c r="O548" t="s">
        <v>25</v>
      </c>
      <c r="P548" t="s">
        <v>26</v>
      </c>
      <c r="Q548" t="s">
        <v>26</v>
      </c>
      <c r="R548" t="s">
        <v>2856</v>
      </c>
      <c r="S548">
        <v>5000000</v>
      </c>
      <c r="T548">
        <v>240000000</v>
      </c>
      <c r="U548">
        <v>159709944.96000001</v>
      </c>
      <c r="Z548"/>
    </row>
    <row r="549" spans="1:26" x14ac:dyDescent="0.25">
      <c r="A549">
        <v>103254</v>
      </c>
      <c r="B549" t="s">
        <v>365</v>
      </c>
      <c r="C549" t="s">
        <v>373</v>
      </c>
      <c r="D549" t="s">
        <v>1279</v>
      </c>
      <c r="E549">
        <v>0</v>
      </c>
      <c r="F549" s="105">
        <v>3185254.24</v>
      </c>
      <c r="G549" t="s">
        <v>1448</v>
      </c>
      <c r="H549">
        <v>123163.16</v>
      </c>
      <c r="I549">
        <v>3855549.38</v>
      </c>
      <c r="J549" s="384">
        <v>42913.651675497684</v>
      </c>
      <c r="K549" s="384">
        <v>43282</v>
      </c>
      <c r="L549" t="s">
        <v>374</v>
      </c>
      <c r="M549" t="s">
        <v>1280</v>
      </c>
      <c r="N549" t="s">
        <v>1280</v>
      </c>
      <c r="O549" t="s">
        <v>25</v>
      </c>
      <c r="P549" t="s">
        <v>26</v>
      </c>
      <c r="Q549" t="s">
        <v>26</v>
      </c>
      <c r="R549" t="s">
        <v>2856</v>
      </c>
      <c r="S549">
        <v>4000000</v>
      </c>
      <c r="T549">
        <v>192000000</v>
      </c>
      <c r="U549">
        <v>152892203.52000001</v>
      </c>
      <c r="Z549"/>
    </row>
    <row r="550" spans="1:26" x14ac:dyDescent="0.25">
      <c r="A550">
        <v>103255</v>
      </c>
      <c r="B550" t="s">
        <v>83</v>
      </c>
      <c r="C550" t="s">
        <v>2426</v>
      </c>
      <c r="D550" t="s">
        <v>1282</v>
      </c>
      <c r="E550">
        <v>30</v>
      </c>
      <c r="F550" s="105">
        <v>3999826.78</v>
      </c>
      <c r="G550" t="s">
        <v>1447</v>
      </c>
      <c r="H550">
        <v>154150.32</v>
      </c>
      <c r="I550">
        <v>4838764.41</v>
      </c>
      <c r="J550" s="384">
        <v>42912.638030983799</v>
      </c>
      <c r="K550" s="384">
        <v>43282</v>
      </c>
      <c r="L550" t="s">
        <v>2427</v>
      </c>
      <c r="M550" t="s">
        <v>2428</v>
      </c>
      <c r="N550" t="s">
        <v>1280</v>
      </c>
      <c r="O550" t="s">
        <v>25</v>
      </c>
      <c r="P550" t="s">
        <v>26</v>
      </c>
      <c r="Q550" t="s">
        <v>26</v>
      </c>
      <c r="R550" t="s">
        <v>2856</v>
      </c>
      <c r="S550">
        <v>5000000</v>
      </c>
      <c r="T550">
        <v>240000000</v>
      </c>
      <c r="U550">
        <v>191991685.44</v>
      </c>
      <c r="Z550"/>
    </row>
    <row r="551" spans="1:26" x14ac:dyDescent="0.25">
      <c r="A551">
        <v>103256</v>
      </c>
      <c r="B551" t="s">
        <v>4982</v>
      </c>
      <c r="C551" t="s">
        <v>4983</v>
      </c>
      <c r="D551" t="s">
        <v>1282</v>
      </c>
      <c r="E551">
        <v>0</v>
      </c>
      <c r="F551" s="105">
        <v>7982847.71</v>
      </c>
      <c r="G551" t="s">
        <v>1191</v>
      </c>
      <c r="H551">
        <v>347253.88</v>
      </c>
      <c r="I551">
        <v>9884124.4000000004</v>
      </c>
      <c r="J551" s="384">
        <v>42916.532879861108</v>
      </c>
      <c r="K551" s="384">
        <v>43282</v>
      </c>
      <c r="L551" t="s">
        <v>4984</v>
      </c>
      <c r="M551" t="s">
        <v>1280</v>
      </c>
      <c r="N551" t="s">
        <v>1280</v>
      </c>
      <c r="O551" t="s">
        <v>44</v>
      </c>
      <c r="P551" t="s">
        <v>92</v>
      </c>
      <c r="Q551" t="s">
        <v>92</v>
      </c>
      <c r="R551" t="s">
        <v>2636</v>
      </c>
      <c r="S551">
        <v>10000000</v>
      </c>
      <c r="T551">
        <v>540000000</v>
      </c>
      <c r="U551">
        <v>431073776.33999997</v>
      </c>
      <c r="Z551"/>
    </row>
    <row r="552" spans="1:26" x14ac:dyDescent="0.25">
      <c r="A552">
        <v>103257</v>
      </c>
      <c r="B552" t="s">
        <v>3196</v>
      </c>
      <c r="C552" t="s">
        <v>3197</v>
      </c>
      <c r="D552" t="s">
        <v>1282</v>
      </c>
      <c r="E552">
        <v>-4</v>
      </c>
      <c r="F552" s="105">
        <v>3547750.49</v>
      </c>
      <c r="G552" t="s">
        <v>491</v>
      </c>
      <c r="H552">
        <v>118258.35</v>
      </c>
      <c r="I552">
        <v>4060653.79</v>
      </c>
      <c r="J552" s="384">
        <v>42916.649968831021</v>
      </c>
      <c r="K552" s="384">
        <v>43195</v>
      </c>
      <c r="L552" t="s">
        <v>3198</v>
      </c>
      <c r="M552" t="s">
        <v>1280</v>
      </c>
      <c r="N552" t="s">
        <v>1280</v>
      </c>
      <c r="O552" t="s">
        <v>25</v>
      </c>
      <c r="P552" t="s">
        <v>88</v>
      </c>
      <c r="Q552" t="s">
        <v>285</v>
      </c>
      <c r="R552" t="s">
        <v>2856</v>
      </c>
      <c r="S552">
        <v>5000000</v>
      </c>
      <c r="T552">
        <v>240000000</v>
      </c>
      <c r="U552">
        <v>170292023.52000001</v>
      </c>
      <c r="Z552"/>
    </row>
    <row r="553" spans="1:26" x14ac:dyDescent="0.25">
      <c r="A553">
        <v>103258</v>
      </c>
      <c r="B553" t="s">
        <v>4994</v>
      </c>
      <c r="C553" t="s">
        <v>4995</v>
      </c>
      <c r="D553" t="s">
        <v>1286</v>
      </c>
      <c r="E553">
        <v>-20</v>
      </c>
      <c r="F553" s="105">
        <v>687727.38</v>
      </c>
      <c r="G553" t="s">
        <v>284</v>
      </c>
      <c r="H553">
        <v>4298.3</v>
      </c>
      <c r="I553">
        <v>709292.71</v>
      </c>
      <c r="J553" s="384">
        <v>42921.436926539354</v>
      </c>
      <c r="K553" s="384">
        <v>43090</v>
      </c>
      <c r="L553" t="s">
        <v>4996</v>
      </c>
      <c r="M553" t="s">
        <v>1280</v>
      </c>
      <c r="N553" t="s">
        <v>1280</v>
      </c>
      <c r="O553" t="s">
        <v>28</v>
      </c>
      <c r="P553" t="s">
        <v>26</v>
      </c>
      <c r="Q553" t="s">
        <v>26</v>
      </c>
      <c r="R553" t="s">
        <v>2636</v>
      </c>
      <c r="S553">
        <v>2000000</v>
      </c>
      <c r="T553">
        <v>50000000</v>
      </c>
      <c r="U553">
        <v>17193184.5</v>
      </c>
      <c r="Z553"/>
    </row>
    <row r="554" spans="1:26" x14ac:dyDescent="0.25">
      <c r="A554">
        <v>103259</v>
      </c>
      <c r="B554" t="s">
        <v>3550</v>
      </c>
      <c r="C554" t="s">
        <v>3580</v>
      </c>
      <c r="D554" t="s">
        <v>1866</v>
      </c>
      <c r="E554">
        <v>-10</v>
      </c>
      <c r="F554" s="105">
        <v>4733653.5599999996</v>
      </c>
      <c r="G554" t="s">
        <v>2034</v>
      </c>
      <c r="H554">
        <v>109925.95</v>
      </c>
      <c r="I554">
        <v>5643084.6200000001</v>
      </c>
      <c r="J554" s="384">
        <v>42927.551533831022</v>
      </c>
      <c r="K554" s="384">
        <v>43292</v>
      </c>
      <c r="L554" t="s">
        <v>3581</v>
      </c>
      <c r="M554" t="s">
        <v>3582</v>
      </c>
      <c r="N554" t="s">
        <v>1280</v>
      </c>
      <c r="O554" t="s">
        <v>25</v>
      </c>
      <c r="P554" t="s">
        <v>88</v>
      </c>
      <c r="Q554" t="s">
        <v>285</v>
      </c>
      <c r="R554" t="s">
        <v>2856</v>
      </c>
      <c r="S554">
        <v>6000000</v>
      </c>
      <c r="T554">
        <v>264000000</v>
      </c>
      <c r="U554">
        <v>208280756.63999999</v>
      </c>
      <c r="Z554"/>
    </row>
    <row r="555" spans="1:26" x14ac:dyDescent="0.25">
      <c r="A555">
        <v>103260</v>
      </c>
      <c r="B555" t="s">
        <v>5024</v>
      </c>
      <c r="C555" t="s">
        <v>5027</v>
      </c>
      <c r="D555" t="s">
        <v>1282</v>
      </c>
      <c r="E555">
        <v>-11</v>
      </c>
      <c r="F555" s="105">
        <v>4468275.6100000003</v>
      </c>
      <c r="G555" t="s">
        <v>491</v>
      </c>
      <c r="H555">
        <v>120643.44</v>
      </c>
      <c r="I555">
        <v>5307910.51</v>
      </c>
      <c r="J555" s="384">
        <v>42928.569796956021</v>
      </c>
      <c r="K555" s="384">
        <v>43232</v>
      </c>
      <c r="L555" t="s">
        <v>5028</v>
      </c>
      <c r="M555" t="s">
        <v>1280</v>
      </c>
      <c r="N555" t="s">
        <v>1280</v>
      </c>
      <c r="O555" t="s">
        <v>25</v>
      </c>
      <c r="P555" t="s">
        <v>26</v>
      </c>
      <c r="Q555" t="s">
        <v>26</v>
      </c>
      <c r="R555" t="s">
        <v>2636</v>
      </c>
      <c r="S555">
        <v>6000000</v>
      </c>
      <c r="T555">
        <v>324000000</v>
      </c>
      <c r="U555">
        <v>241286882.94</v>
      </c>
      <c r="Z555"/>
    </row>
    <row r="556" spans="1:26" x14ac:dyDescent="0.25">
      <c r="A556">
        <v>103261</v>
      </c>
      <c r="B556" t="s">
        <v>5026</v>
      </c>
      <c r="C556" t="s">
        <v>5029</v>
      </c>
      <c r="D556" t="s">
        <v>1284</v>
      </c>
      <c r="E556">
        <v>-11</v>
      </c>
      <c r="F556" s="105">
        <v>7855949.1500000004</v>
      </c>
      <c r="G556" t="s">
        <v>1191</v>
      </c>
      <c r="H556">
        <v>157118.98000000001</v>
      </c>
      <c r="I556">
        <v>9222433.4299999997</v>
      </c>
      <c r="J556" s="384">
        <v>42928.637483252314</v>
      </c>
      <c r="K556" s="384">
        <v>43293</v>
      </c>
      <c r="L556" t="s">
        <v>5030</v>
      </c>
      <c r="M556" t="s">
        <v>5031</v>
      </c>
      <c r="N556" t="s">
        <v>1280</v>
      </c>
      <c r="O556" t="s">
        <v>25</v>
      </c>
      <c r="P556" t="s">
        <v>88</v>
      </c>
      <c r="Q556" t="s">
        <v>285</v>
      </c>
      <c r="R556" t="s">
        <v>2636</v>
      </c>
      <c r="S556">
        <v>10000000</v>
      </c>
      <c r="T556">
        <v>400000000</v>
      </c>
      <c r="U556">
        <v>314237966</v>
      </c>
      <c r="Z556"/>
    </row>
    <row r="557" spans="1:26" x14ac:dyDescent="0.25">
      <c r="A557">
        <v>103262</v>
      </c>
      <c r="B557" t="s">
        <v>3682</v>
      </c>
      <c r="C557" t="s">
        <v>3686</v>
      </c>
      <c r="D557" t="s">
        <v>1282</v>
      </c>
      <c r="E557">
        <v>-13</v>
      </c>
      <c r="F557" s="105">
        <v>2772877.6</v>
      </c>
      <c r="G557" t="s">
        <v>86</v>
      </c>
      <c r="H557">
        <v>59154.720000000001</v>
      </c>
      <c r="I557">
        <v>3356393.46</v>
      </c>
      <c r="J557" s="384">
        <v>42930.724245289355</v>
      </c>
      <c r="K557" s="384">
        <v>43295</v>
      </c>
      <c r="L557" t="s">
        <v>3687</v>
      </c>
      <c r="M557" t="s">
        <v>1280</v>
      </c>
      <c r="N557" t="s">
        <v>1280</v>
      </c>
      <c r="O557" t="s">
        <v>25</v>
      </c>
      <c r="P557" t="s">
        <v>88</v>
      </c>
      <c r="Q557" t="s">
        <v>285</v>
      </c>
      <c r="R557" t="s">
        <v>2856</v>
      </c>
      <c r="S557">
        <v>3500000</v>
      </c>
      <c r="T557">
        <v>168000000</v>
      </c>
      <c r="U557">
        <v>133098124.8</v>
      </c>
      <c r="Z557"/>
    </row>
    <row r="558" spans="1:26" x14ac:dyDescent="0.25">
      <c r="A558">
        <v>103263</v>
      </c>
      <c r="B558" t="s">
        <v>5042</v>
      </c>
      <c r="C558" t="s">
        <v>5044</v>
      </c>
      <c r="D558" t="s">
        <v>1282</v>
      </c>
      <c r="E558">
        <v>-16</v>
      </c>
      <c r="F558" s="105">
        <v>5579983.8499999996</v>
      </c>
      <c r="G558" t="s">
        <v>1039</v>
      </c>
      <c r="H558">
        <v>108809.69</v>
      </c>
      <c r="I558">
        <v>6908969.9000000004</v>
      </c>
      <c r="J558" s="384">
        <v>42933.649654201392</v>
      </c>
      <c r="K558" s="384">
        <v>43298</v>
      </c>
      <c r="L558" t="s">
        <v>5045</v>
      </c>
      <c r="M558" t="s">
        <v>1280</v>
      </c>
      <c r="N558" t="s">
        <v>1280</v>
      </c>
      <c r="O558" t="s">
        <v>25</v>
      </c>
      <c r="P558" t="s">
        <v>88</v>
      </c>
      <c r="Q558" t="s">
        <v>285</v>
      </c>
      <c r="R558" t="s">
        <v>2636</v>
      </c>
      <c r="S558">
        <v>7000000</v>
      </c>
      <c r="T558">
        <v>378000000</v>
      </c>
      <c r="U558">
        <v>301319127.89999998</v>
      </c>
      <c r="Z558"/>
    </row>
    <row r="559" spans="1:26" x14ac:dyDescent="0.25">
      <c r="A559">
        <v>103264</v>
      </c>
      <c r="B559" t="s">
        <v>901</v>
      </c>
      <c r="C559" t="s">
        <v>2436</v>
      </c>
      <c r="D559" t="s">
        <v>1866</v>
      </c>
      <c r="E559">
        <v>-14</v>
      </c>
      <c r="F559" s="105">
        <v>4733653.5599999996</v>
      </c>
      <c r="G559" t="s">
        <v>86</v>
      </c>
      <c r="H559">
        <v>86783.65</v>
      </c>
      <c r="I559">
        <v>5643084.6200000001</v>
      </c>
      <c r="J559" s="384">
        <v>42931.511849884257</v>
      </c>
      <c r="K559" s="384">
        <v>43296</v>
      </c>
      <c r="L559" t="s">
        <v>2437</v>
      </c>
      <c r="M559" t="s">
        <v>2438</v>
      </c>
      <c r="N559" t="s">
        <v>1280</v>
      </c>
      <c r="O559" t="s">
        <v>25</v>
      </c>
      <c r="P559" t="s">
        <v>26</v>
      </c>
      <c r="Q559" t="s">
        <v>26</v>
      </c>
      <c r="R559" t="s">
        <v>2856</v>
      </c>
      <c r="S559">
        <v>6000000</v>
      </c>
      <c r="T559">
        <v>264000000</v>
      </c>
      <c r="U559">
        <v>208280756.63999999</v>
      </c>
      <c r="Z559"/>
    </row>
    <row r="560" spans="1:26" x14ac:dyDescent="0.25">
      <c r="A560">
        <v>103265</v>
      </c>
      <c r="B560" t="s">
        <v>1600</v>
      </c>
      <c r="C560" t="s">
        <v>1923</v>
      </c>
      <c r="D560" t="s">
        <v>1285</v>
      </c>
      <c r="E560">
        <v>-20</v>
      </c>
      <c r="F560" s="105">
        <v>10200890.539999999</v>
      </c>
      <c r="G560" t="s">
        <v>284</v>
      </c>
      <c r="H560">
        <v>56104.9</v>
      </c>
      <c r="I560">
        <v>13024416.15</v>
      </c>
      <c r="J560" s="384">
        <v>42933.644140509263</v>
      </c>
      <c r="K560" s="384">
        <v>43851</v>
      </c>
      <c r="L560" t="s">
        <v>1924</v>
      </c>
      <c r="M560" t="s">
        <v>1280</v>
      </c>
      <c r="N560" t="s">
        <v>1280</v>
      </c>
      <c r="O560" t="s">
        <v>43</v>
      </c>
      <c r="P560" t="s">
        <v>338</v>
      </c>
      <c r="Q560" t="s">
        <v>339</v>
      </c>
      <c r="R560" t="s">
        <v>2636</v>
      </c>
      <c r="S560">
        <v>11029000</v>
      </c>
      <c r="T560">
        <v>242638000</v>
      </c>
      <c r="U560">
        <v>224419591.88</v>
      </c>
      <c r="Z560"/>
    </row>
    <row r="561" spans="1:26" x14ac:dyDescent="0.25">
      <c r="A561">
        <v>103266</v>
      </c>
      <c r="B561" t="s">
        <v>3180</v>
      </c>
      <c r="C561" t="s">
        <v>3181</v>
      </c>
      <c r="D561" t="s">
        <v>1866</v>
      </c>
      <c r="E561">
        <v>-17</v>
      </c>
      <c r="F561" s="105">
        <v>7889422.5999999996</v>
      </c>
      <c r="G561" t="s">
        <v>2855</v>
      </c>
      <c r="H561">
        <v>115711.53</v>
      </c>
      <c r="I561">
        <v>9405141.0199999996</v>
      </c>
      <c r="J561" s="384">
        <v>42934.646169641201</v>
      </c>
      <c r="K561" s="384">
        <v>43299</v>
      </c>
      <c r="L561" t="s">
        <v>3182</v>
      </c>
      <c r="M561" t="s">
        <v>1280</v>
      </c>
      <c r="N561" t="s">
        <v>1280</v>
      </c>
      <c r="O561" t="s">
        <v>25</v>
      </c>
      <c r="P561" t="s">
        <v>290</v>
      </c>
      <c r="Q561" t="s">
        <v>1822</v>
      </c>
      <c r="R561" t="s">
        <v>2856</v>
      </c>
      <c r="S561">
        <v>10000000</v>
      </c>
      <c r="T561">
        <v>440000000</v>
      </c>
      <c r="U561">
        <v>347134594.39999998</v>
      </c>
      <c r="Z561"/>
    </row>
    <row r="562" spans="1:26" x14ac:dyDescent="0.25">
      <c r="A562">
        <v>103267</v>
      </c>
      <c r="B562" t="s">
        <v>5051</v>
      </c>
      <c r="C562" t="s">
        <v>5054</v>
      </c>
      <c r="D562" t="s">
        <v>1282</v>
      </c>
      <c r="E562">
        <v>-19</v>
      </c>
      <c r="F562" s="105">
        <v>7971405.4800000004</v>
      </c>
      <c r="G562" t="s">
        <v>1191</v>
      </c>
      <c r="H562">
        <v>119571.08</v>
      </c>
      <c r="I562">
        <v>9869956.9600000009</v>
      </c>
      <c r="J562" s="384">
        <v>42936.509644131947</v>
      </c>
      <c r="K562" s="384">
        <v>43301</v>
      </c>
      <c r="L562" t="s">
        <v>5055</v>
      </c>
      <c r="M562" t="s">
        <v>5056</v>
      </c>
      <c r="N562" t="s">
        <v>1280</v>
      </c>
      <c r="O562" t="s">
        <v>25</v>
      </c>
      <c r="P562" t="s">
        <v>88</v>
      </c>
      <c r="Q562" t="s">
        <v>285</v>
      </c>
      <c r="R562" t="s">
        <v>2636</v>
      </c>
      <c r="S562">
        <v>10000000</v>
      </c>
      <c r="T562">
        <v>540000000</v>
      </c>
      <c r="U562">
        <v>430455895.92000002</v>
      </c>
      <c r="Z562"/>
    </row>
    <row r="563" spans="1:26" x14ac:dyDescent="0.25">
      <c r="A563">
        <v>103268</v>
      </c>
      <c r="B563" t="s">
        <v>5052</v>
      </c>
      <c r="C563" t="s">
        <v>5057</v>
      </c>
      <c r="D563" t="s">
        <v>1866</v>
      </c>
      <c r="E563">
        <v>-19</v>
      </c>
      <c r="F563" s="105">
        <v>7938903.96</v>
      </c>
      <c r="G563" t="s">
        <v>2175</v>
      </c>
      <c r="H563">
        <v>110262.56</v>
      </c>
      <c r="I563">
        <v>9682660.6699999999</v>
      </c>
      <c r="J563" s="384">
        <v>42936.650801469907</v>
      </c>
      <c r="K563" s="384">
        <v>43301</v>
      </c>
      <c r="L563" t="s">
        <v>5058</v>
      </c>
      <c r="M563" t="s">
        <v>5059</v>
      </c>
      <c r="N563" t="s">
        <v>1280</v>
      </c>
      <c r="O563" t="s">
        <v>25</v>
      </c>
      <c r="P563" t="s">
        <v>88</v>
      </c>
      <c r="Q563" t="s">
        <v>285</v>
      </c>
      <c r="R563" t="s">
        <v>2636</v>
      </c>
      <c r="S563">
        <v>10000000</v>
      </c>
      <c r="T563">
        <v>500000000</v>
      </c>
      <c r="U563">
        <v>396945198</v>
      </c>
      <c r="Z563"/>
    </row>
    <row r="564" spans="1:26" x14ac:dyDescent="0.25">
      <c r="A564">
        <v>103269</v>
      </c>
      <c r="B564" t="s">
        <v>5102</v>
      </c>
      <c r="C564" t="s">
        <v>5103</v>
      </c>
      <c r="D564" t="s">
        <v>1281</v>
      </c>
      <c r="E564">
        <v>0</v>
      </c>
      <c r="F564" s="105">
        <v>17309715.289999999</v>
      </c>
      <c r="G564" t="s">
        <v>963</v>
      </c>
      <c r="H564">
        <v>585645.37</v>
      </c>
      <c r="I564">
        <v>20813438.469999999</v>
      </c>
      <c r="J564" s="384">
        <v>42942.4851346875</v>
      </c>
      <c r="K564" s="384">
        <v>43313</v>
      </c>
      <c r="L564" t="s">
        <v>5104</v>
      </c>
      <c r="M564" t="s">
        <v>5105</v>
      </c>
      <c r="N564" t="s">
        <v>1280</v>
      </c>
      <c r="O564" t="s">
        <v>25</v>
      </c>
      <c r="P564" t="s">
        <v>88</v>
      </c>
      <c r="Q564" t="s">
        <v>285</v>
      </c>
      <c r="R564" t="s">
        <v>2856</v>
      </c>
      <c r="S564">
        <v>20000000</v>
      </c>
      <c r="T564">
        <v>840000000</v>
      </c>
      <c r="U564">
        <v>727008042.17999995</v>
      </c>
      <c r="Z564"/>
    </row>
    <row r="565" spans="1:26" x14ac:dyDescent="0.25">
      <c r="A565">
        <v>103270</v>
      </c>
      <c r="B565" t="s">
        <v>935</v>
      </c>
      <c r="C565" t="s">
        <v>1336</v>
      </c>
      <c r="D565" t="s">
        <v>1282</v>
      </c>
      <c r="E565">
        <v>40</v>
      </c>
      <c r="F565" s="105">
        <v>11692958.02</v>
      </c>
      <c r="G565" t="s">
        <v>1191</v>
      </c>
      <c r="H565">
        <v>922663.69</v>
      </c>
      <c r="I565">
        <v>18101965.350000001</v>
      </c>
      <c r="J565" s="384">
        <v>42937.715785185188</v>
      </c>
      <c r="K565" s="384">
        <v>43667</v>
      </c>
      <c r="L565" t="s">
        <v>1337</v>
      </c>
      <c r="M565" t="s">
        <v>1280</v>
      </c>
      <c r="N565" t="s">
        <v>1280</v>
      </c>
      <c r="O565" t="s">
        <v>25</v>
      </c>
      <c r="P565" t="s">
        <v>88</v>
      </c>
      <c r="Q565" t="s">
        <v>285</v>
      </c>
      <c r="R565" t="s">
        <v>2856</v>
      </c>
      <c r="S565">
        <v>12000000</v>
      </c>
      <c r="T565">
        <v>576000000</v>
      </c>
      <c r="U565">
        <v>561261984.96000004</v>
      </c>
      <c r="Z565"/>
    </row>
    <row r="566" spans="1:26" x14ac:dyDescent="0.25">
      <c r="A566">
        <v>103271</v>
      </c>
      <c r="B566" t="s">
        <v>5063</v>
      </c>
      <c r="C566" t="s">
        <v>5067</v>
      </c>
      <c r="D566" t="s">
        <v>1282</v>
      </c>
      <c r="E566">
        <v>-20</v>
      </c>
      <c r="F566" s="105">
        <v>6655628.54</v>
      </c>
      <c r="G566" t="s">
        <v>1667</v>
      </c>
      <c r="H566">
        <v>89850.99</v>
      </c>
      <c r="I566">
        <v>7580482.6799999997</v>
      </c>
      <c r="J566" s="384">
        <v>42937.581503587964</v>
      </c>
      <c r="K566" s="384">
        <v>43180</v>
      </c>
      <c r="L566" t="s">
        <v>5068</v>
      </c>
      <c r="M566" t="s">
        <v>1280</v>
      </c>
      <c r="N566" t="s">
        <v>1280</v>
      </c>
      <c r="O566" t="s">
        <v>27</v>
      </c>
      <c r="P566" t="s">
        <v>26</v>
      </c>
      <c r="Q566" t="s">
        <v>26</v>
      </c>
      <c r="R566" t="s">
        <v>2636</v>
      </c>
      <c r="S566">
        <v>10000000</v>
      </c>
      <c r="T566">
        <v>540000000</v>
      </c>
      <c r="U566">
        <v>359403941.16000003</v>
      </c>
      <c r="Z566"/>
    </row>
    <row r="567" spans="1:26" x14ac:dyDescent="0.25">
      <c r="A567">
        <v>103272</v>
      </c>
      <c r="B567" t="s">
        <v>5064</v>
      </c>
      <c r="C567" t="s">
        <v>5069</v>
      </c>
      <c r="D567" t="s">
        <v>1282</v>
      </c>
      <c r="E567">
        <v>-20</v>
      </c>
      <c r="F567" s="105">
        <v>6377124.3899999997</v>
      </c>
      <c r="G567" t="s">
        <v>491</v>
      </c>
      <c r="H567">
        <v>86091.18</v>
      </c>
      <c r="I567">
        <v>7895965.5899999999</v>
      </c>
      <c r="J567" s="384">
        <v>42937.69081940972</v>
      </c>
      <c r="K567" s="384">
        <v>43302</v>
      </c>
      <c r="L567" t="s">
        <v>5070</v>
      </c>
      <c r="M567" t="s">
        <v>5071</v>
      </c>
      <c r="N567" t="s">
        <v>1280</v>
      </c>
      <c r="O567" t="s">
        <v>25</v>
      </c>
      <c r="P567" t="s">
        <v>26</v>
      </c>
      <c r="Q567" t="s">
        <v>26</v>
      </c>
      <c r="R567" t="s">
        <v>2636</v>
      </c>
      <c r="S567">
        <v>8000000</v>
      </c>
      <c r="T567">
        <v>432000000</v>
      </c>
      <c r="U567">
        <v>344364717.06</v>
      </c>
      <c r="Z567"/>
    </row>
    <row r="568" spans="1:26" x14ac:dyDescent="0.25">
      <c r="A568">
        <v>103273</v>
      </c>
      <c r="B568" t="s">
        <v>562</v>
      </c>
      <c r="C568" t="s">
        <v>563</v>
      </c>
      <c r="D568" t="s">
        <v>1282</v>
      </c>
      <c r="E568">
        <v>-23</v>
      </c>
      <c r="F568" s="105">
        <v>10299259.609999999</v>
      </c>
      <c r="G568" t="s">
        <v>4684</v>
      </c>
      <c r="H568">
        <v>82394.080000000002</v>
      </c>
      <c r="I568">
        <v>12466604.23</v>
      </c>
      <c r="J568" s="384">
        <v>42940.558297488424</v>
      </c>
      <c r="K568" s="384">
        <v>43305</v>
      </c>
      <c r="L568" t="s">
        <v>564</v>
      </c>
      <c r="M568" t="s">
        <v>565</v>
      </c>
      <c r="N568" t="s">
        <v>1280</v>
      </c>
      <c r="O568" t="s">
        <v>25</v>
      </c>
      <c r="P568" t="s">
        <v>88</v>
      </c>
      <c r="Q568" t="s">
        <v>285</v>
      </c>
      <c r="R568" t="s">
        <v>2856</v>
      </c>
      <c r="S568">
        <v>13000000</v>
      </c>
      <c r="T568">
        <v>624000000</v>
      </c>
      <c r="U568">
        <v>494364461.27999997</v>
      </c>
      <c r="Z568"/>
    </row>
    <row r="569" spans="1:26" x14ac:dyDescent="0.25">
      <c r="A569">
        <v>103274</v>
      </c>
      <c r="B569" t="s">
        <v>5117</v>
      </c>
      <c r="C569" t="s">
        <v>5118</v>
      </c>
      <c r="D569" t="s">
        <v>1279</v>
      </c>
      <c r="E569">
        <v>30</v>
      </c>
      <c r="F569" s="105">
        <v>854786.73</v>
      </c>
      <c r="G569" t="s">
        <v>1191</v>
      </c>
      <c r="H569">
        <v>68851.839999999997</v>
      </c>
      <c r="I569">
        <v>973566.35</v>
      </c>
      <c r="J569" s="384">
        <v>42944.603416516205</v>
      </c>
      <c r="K569" s="384">
        <v>43132</v>
      </c>
      <c r="L569" t="s">
        <v>5119</v>
      </c>
      <c r="M569" t="s">
        <v>1280</v>
      </c>
      <c r="N569" t="s">
        <v>1280</v>
      </c>
      <c r="O569" t="s">
        <v>25</v>
      </c>
      <c r="P569" t="s">
        <v>88</v>
      </c>
      <c r="Q569" t="s">
        <v>26</v>
      </c>
      <c r="R569" t="s">
        <v>2636</v>
      </c>
      <c r="S569">
        <v>1000000</v>
      </c>
      <c r="T569">
        <v>54000000</v>
      </c>
      <c r="U569">
        <v>46158483.420000002</v>
      </c>
      <c r="Z569"/>
    </row>
    <row r="570" spans="1:26" x14ac:dyDescent="0.25">
      <c r="A570">
        <v>103275</v>
      </c>
      <c r="B570" t="s">
        <v>2770</v>
      </c>
      <c r="C570" t="s">
        <v>2772</v>
      </c>
      <c r="D570" t="s">
        <v>1282</v>
      </c>
      <c r="E570">
        <v>0</v>
      </c>
      <c r="F570" s="105">
        <v>13029983.02</v>
      </c>
      <c r="G570" t="s">
        <v>1191</v>
      </c>
      <c r="H570">
        <v>503826.01</v>
      </c>
      <c r="I570">
        <v>16064789.119999999</v>
      </c>
      <c r="J570" s="384">
        <v>42943.421116435187</v>
      </c>
      <c r="K570" s="384">
        <v>43313</v>
      </c>
      <c r="L570" t="s">
        <v>2773</v>
      </c>
      <c r="M570" t="s">
        <v>1280</v>
      </c>
      <c r="N570" t="s">
        <v>1280</v>
      </c>
      <c r="O570" t="s">
        <v>27</v>
      </c>
      <c r="P570" t="s">
        <v>81</v>
      </c>
      <c r="Q570" t="s">
        <v>26</v>
      </c>
      <c r="R570" t="s">
        <v>2856</v>
      </c>
      <c r="S570">
        <v>15000000</v>
      </c>
      <c r="T570">
        <v>720000000</v>
      </c>
      <c r="U570">
        <v>625439184.96000004</v>
      </c>
      <c r="Z570"/>
    </row>
    <row r="571" spans="1:26" x14ac:dyDescent="0.25">
      <c r="A571">
        <v>103276</v>
      </c>
      <c r="B571" t="s">
        <v>5110</v>
      </c>
      <c r="C571" t="s">
        <v>5111</v>
      </c>
      <c r="D571" t="s">
        <v>1866</v>
      </c>
      <c r="E571">
        <v>0</v>
      </c>
      <c r="F571" s="105">
        <v>5014145.8899999997</v>
      </c>
      <c r="G571" t="s">
        <v>5124</v>
      </c>
      <c r="H571">
        <v>201958.65</v>
      </c>
      <c r="I571">
        <v>5998993.0099999998</v>
      </c>
      <c r="J571" s="384">
        <v>42943.604014502314</v>
      </c>
      <c r="K571" s="384">
        <v>43252</v>
      </c>
      <c r="L571" t="s">
        <v>5112</v>
      </c>
      <c r="M571" t="s">
        <v>1280</v>
      </c>
      <c r="N571" t="s">
        <v>1280</v>
      </c>
      <c r="O571" t="s">
        <v>25</v>
      </c>
      <c r="P571" t="s">
        <v>88</v>
      </c>
      <c r="Q571" t="s">
        <v>285</v>
      </c>
      <c r="R571" t="s">
        <v>2636</v>
      </c>
      <c r="S571">
        <v>6000000</v>
      </c>
      <c r="T571">
        <v>300000000</v>
      </c>
      <c r="U571">
        <v>250707294.5</v>
      </c>
      <c r="Z571"/>
    </row>
    <row r="572" spans="1:26" x14ac:dyDescent="0.25">
      <c r="A572">
        <v>103277</v>
      </c>
      <c r="B572" t="s">
        <v>1541</v>
      </c>
      <c r="C572" t="s">
        <v>1551</v>
      </c>
      <c r="D572" t="s">
        <v>1281</v>
      </c>
      <c r="E572">
        <v>30</v>
      </c>
      <c r="F572" s="105">
        <v>23314151.719999999</v>
      </c>
      <c r="G572" t="s">
        <v>5167</v>
      </c>
      <c r="H572">
        <v>1544769.78</v>
      </c>
      <c r="I572">
        <v>28490164.390000001</v>
      </c>
      <c r="J572" s="384">
        <v>42947.694353125</v>
      </c>
      <c r="K572" s="384">
        <v>43313</v>
      </c>
      <c r="L572" t="s">
        <v>1552</v>
      </c>
      <c r="M572" t="s">
        <v>1280</v>
      </c>
      <c r="N572" t="s">
        <v>1280</v>
      </c>
      <c r="O572" t="s">
        <v>44</v>
      </c>
      <c r="P572" t="s">
        <v>92</v>
      </c>
      <c r="Q572" t="s">
        <v>92</v>
      </c>
      <c r="R572" t="s">
        <v>2856</v>
      </c>
      <c r="S572">
        <v>25000000</v>
      </c>
      <c r="T572">
        <v>1050000000</v>
      </c>
      <c r="U572">
        <v>979194372.24000001</v>
      </c>
      <c r="Z572"/>
    </row>
    <row r="573" spans="1:26" x14ac:dyDescent="0.25">
      <c r="A573">
        <v>103278</v>
      </c>
      <c r="B573" t="s">
        <v>5123</v>
      </c>
      <c r="C573" t="s">
        <v>5128</v>
      </c>
      <c r="D573" t="s">
        <v>1279</v>
      </c>
      <c r="E573">
        <v>0</v>
      </c>
      <c r="F573" s="105">
        <v>1174658.5900000001</v>
      </c>
      <c r="G573" t="s">
        <v>5124</v>
      </c>
      <c r="H573">
        <v>51097.65</v>
      </c>
      <c r="I573">
        <v>1366445.5</v>
      </c>
      <c r="J573" s="384">
        <v>42947.548754085648</v>
      </c>
      <c r="K573" s="384">
        <v>43191</v>
      </c>
      <c r="L573" t="s">
        <v>5129</v>
      </c>
      <c r="M573" t="s">
        <v>1280</v>
      </c>
      <c r="N573" t="s">
        <v>1280</v>
      </c>
      <c r="O573" t="s">
        <v>25</v>
      </c>
      <c r="P573" t="s">
        <v>88</v>
      </c>
      <c r="Q573" t="s">
        <v>285</v>
      </c>
      <c r="R573" t="s">
        <v>2636</v>
      </c>
      <c r="S573">
        <v>1500000</v>
      </c>
      <c r="T573">
        <v>81000000</v>
      </c>
      <c r="U573">
        <v>63431563.859999999</v>
      </c>
      <c r="Z573"/>
    </row>
    <row r="574" spans="1:26" x14ac:dyDescent="0.25">
      <c r="A574">
        <v>103279</v>
      </c>
      <c r="B574" t="s">
        <v>5122</v>
      </c>
      <c r="C574" t="s">
        <v>5130</v>
      </c>
      <c r="D574" t="s">
        <v>1282</v>
      </c>
      <c r="E574">
        <v>0</v>
      </c>
      <c r="F574" s="105">
        <v>4345016.1500000004</v>
      </c>
      <c r="G574" t="s">
        <v>4683</v>
      </c>
      <c r="H574">
        <v>189008.2</v>
      </c>
      <c r="I574">
        <v>5491180.21</v>
      </c>
      <c r="J574" s="384">
        <v>42947.689028935187</v>
      </c>
      <c r="K574" s="384">
        <v>43313</v>
      </c>
      <c r="L574" t="s">
        <v>5131</v>
      </c>
      <c r="M574" t="s">
        <v>1280</v>
      </c>
      <c r="N574" t="s">
        <v>1280</v>
      </c>
      <c r="O574" t="s">
        <v>36</v>
      </c>
      <c r="P574" t="s">
        <v>118</v>
      </c>
      <c r="Q574" t="s">
        <v>119</v>
      </c>
      <c r="R574" t="s">
        <v>2636</v>
      </c>
      <c r="S574">
        <v>5000000</v>
      </c>
      <c r="T574">
        <v>270000000</v>
      </c>
      <c r="U574">
        <v>234630872.09999999</v>
      </c>
      <c r="Z574"/>
    </row>
    <row r="575" spans="1:26" x14ac:dyDescent="0.25">
      <c r="A575">
        <v>103280</v>
      </c>
      <c r="B575" t="s">
        <v>5125</v>
      </c>
      <c r="C575" t="s">
        <v>5132</v>
      </c>
      <c r="D575" t="s">
        <v>1281</v>
      </c>
      <c r="E575">
        <v>30</v>
      </c>
      <c r="F575" s="105">
        <v>25509805.93</v>
      </c>
      <c r="G575" t="s">
        <v>2175</v>
      </c>
      <c r="H575">
        <v>1824659.07</v>
      </c>
      <c r="I575">
        <v>28650970.359999999</v>
      </c>
      <c r="J575" s="384">
        <v>42947.675540972225</v>
      </c>
      <c r="K575" s="384">
        <v>43132</v>
      </c>
      <c r="L575" t="s">
        <v>5133</v>
      </c>
      <c r="M575" t="s">
        <v>5134</v>
      </c>
      <c r="N575" t="s">
        <v>1280</v>
      </c>
      <c r="O575" t="s">
        <v>25</v>
      </c>
      <c r="P575" t="s">
        <v>88</v>
      </c>
      <c r="Q575" t="s">
        <v>285</v>
      </c>
      <c r="R575" t="s">
        <v>2636</v>
      </c>
      <c r="S575">
        <v>30000000</v>
      </c>
      <c r="T575">
        <v>1440000000</v>
      </c>
      <c r="U575">
        <v>1224470684.6400001</v>
      </c>
      <c r="Z575"/>
    </row>
    <row r="576" spans="1:26" x14ac:dyDescent="0.25">
      <c r="A576">
        <v>103281</v>
      </c>
      <c r="B576" t="s">
        <v>5142</v>
      </c>
      <c r="C576" t="s">
        <v>5144</v>
      </c>
      <c r="D576" t="s">
        <v>1282</v>
      </c>
      <c r="E576">
        <v>-2</v>
      </c>
      <c r="F576" s="105">
        <v>4167901.55</v>
      </c>
      <c r="G576" t="s">
        <v>2175</v>
      </c>
      <c r="H576">
        <v>168800.01</v>
      </c>
      <c r="I576">
        <v>5055152.8899999997</v>
      </c>
      <c r="J576" s="384">
        <v>42950.703443483799</v>
      </c>
      <c r="K576" s="384">
        <v>43254</v>
      </c>
      <c r="L576" t="s">
        <v>5145</v>
      </c>
      <c r="M576" t="s">
        <v>1280</v>
      </c>
      <c r="N576" t="s">
        <v>1280</v>
      </c>
      <c r="O576" t="s">
        <v>27</v>
      </c>
      <c r="P576" t="s">
        <v>116</v>
      </c>
      <c r="Q576" t="s">
        <v>1825</v>
      </c>
      <c r="R576" t="s">
        <v>2636</v>
      </c>
      <c r="S576">
        <v>5000000</v>
      </c>
      <c r="T576">
        <v>270000000</v>
      </c>
      <c r="U576">
        <v>225066683.69999999</v>
      </c>
      <c r="Z576"/>
    </row>
    <row r="577" spans="1:26" x14ac:dyDescent="0.25">
      <c r="A577">
        <v>103282</v>
      </c>
      <c r="B577" t="s">
        <v>2789</v>
      </c>
      <c r="C577" t="s">
        <v>2793</v>
      </c>
      <c r="D577" t="s">
        <v>1279</v>
      </c>
      <c r="E577">
        <v>-3</v>
      </c>
      <c r="F577" s="105">
        <v>2077337.15</v>
      </c>
      <c r="G577" t="s">
        <v>2538</v>
      </c>
      <c r="H577">
        <v>72014.350000000006</v>
      </c>
      <c r="I577">
        <v>2289142.83</v>
      </c>
      <c r="J577" s="384">
        <v>42951.56538148148</v>
      </c>
      <c r="K577" s="384">
        <v>43135</v>
      </c>
      <c r="L577" t="s">
        <v>2794</v>
      </c>
      <c r="M577" t="s">
        <v>1280</v>
      </c>
      <c r="N577" t="s">
        <v>1280</v>
      </c>
      <c r="O577" t="s">
        <v>25</v>
      </c>
      <c r="P577" t="s">
        <v>88</v>
      </c>
      <c r="Q577" t="s">
        <v>285</v>
      </c>
      <c r="R577" t="s">
        <v>2856</v>
      </c>
      <c r="S577">
        <v>3000000</v>
      </c>
      <c r="T577">
        <v>144000000</v>
      </c>
      <c r="U577">
        <v>99712183.200000003</v>
      </c>
      <c r="Z577"/>
    </row>
    <row r="578" spans="1:26" x14ac:dyDescent="0.25">
      <c r="A578">
        <v>103283</v>
      </c>
      <c r="B578" t="s">
        <v>5141</v>
      </c>
      <c r="C578" t="s">
        <v>5146</v>
      </c>
      <c r="D578" t="s">
        <v>1282</v>
      </c>
      <c r="E578">
        <v>-2</v>
      </c>
      <c r="F578" s="105">
        <v>3037151.76</v>
      </c>
      <c r="G578" t="s">
        <v>1039</v>
      </c>
      <c r="H578">
        <v>123004.65</v>
      </c>
      <c r="I578">
        <v>3838316.61</v>
      </c>
      <c r="J578" s="384">
        <v>42950.647246643515</v>
      </c>
      <c r="K578" s="384">
        <v>43315</v>
      </c>
      <c r="L578" t="s">
        <v>5147</v>
      </c>
      <c r="M578" t="s">
        <v>1280</v>
      </c>
      <c r="N578" t="s">
        <v>1280</v>
      </c>
      <c r="O578" t="s">
        <v>25</v>
      </c>
      <c r="P578" t="s">
        <v>88</v>
      </c>
      <c r="Q578" t="s">
        <v>285</v>
      </c>
      <c r="R578" t="s">
        <v>2636</v>
      </c>
      <c r="S578">
        <v>3500000</v>
      </c>
      <c r="T578">
        <v>189000000</v>
      </c>
      <c r="U578">
        <v>164006195.03999999</v>
      </c>
      <c r="Z578"/>
    </row>
    <row r="579" spans="1:26" x14ac:dyDescent="0.25">
      <c r="A579">
        <v>103284</v>
      </c>
      <c r="B579" t="s">
        <v>5151</v>
      </c>
      <c r="C579" t="s">
        <v>5153</v>
      </c>
      <c r="D579" t="s">
        <v>1286</v>
      </c>
      <c r="E579">
        <v>-20</v>
      </c>
      <c r="F579" s="105">
        <v>1172652.92</v>
      </c>
      <c r="G579" t="s">
        <v>284</v>
      </c>
      <c r="H579">
        <v>7329.08</v>
      </c>
      <c r="I579">
        <v>1221849.26</v>
      </c>
      <c r="J579" s="384">
        <v>42954.633464432867</v>
      </c>
      <c r="K579" s="384">
        <v>43121</v>
      </c>
      <c r="L579" t="s">
        <v>5154</v>
      </c>
      <c r="M579" t="s">
        <v>1280</v>
      </c>
      <c r="N579" t="s">
        <v>1280</v>
      </c>
      <c r="O579" t="s">
        <v>28</v>
      </c>
      <c r="P579" t="s">
        <v>26</v>
      </c>
      <c r="Q579" t="s">
        <v>26</v>
      </c>
      <c r="R579" t="s">
        <v>2636</v>
      </c>
      <c r="S579">
        <v>2300000</v>
      </c>
      <c r="T579">
        <v>57500000</v>
      </c>
      <c r="U579">
        <v>29316323</v>
      </c>
      <c r="Z579"/>
    </row>
    <row r="580" spans="1:26" x14ac:dyDescent="0.25">
      <c r="A580">
        <v>103286</v>
      </c>
      <c r="B580" t="s">
        <v>5161</v>
      </c>
      <c r="C580" t="s">
        <v>5162</v>
      </c>
      <c r="D580" t="s">
        <v>1279</v>
      </c>
      <c r="E580">
        <v>-7</v>
      </c>
      <c r="F580" s="105">
        <v>2434402.9300000002</v>
      </c>
      <c r="G580" t="s">
        <v>5124</v>
      </c>
      <c r="H580">
        <v>80335.3</v>
      </c>
      <c r="I580">
        <v>2714297.4</v>
      </c>
      <c r="J580" s="384">
        <v>42955.56868434028</v>
      </c>
      <c r="K580" s="384">
        <v>43139</v>
      </c>
      <c r="L580" t="s">
        <v>5163</v>
      </c>
      <c r="M580" t="s">
        <v>1280</v>
      </c>
      <c r="N580" t="s">
        <v>1280</v>
      </c>
      <c r="O580" t="s">
        <v>25</v>
      </c>
      <c r="P580" t="s">
        <v>103</v>
      </c>
      <c r="Q580" t="s">
        <v>104</v>
      </c>
      <c r="R580" t="s">
        <v>2636</v>
      </c>
      <c r="S580">
        <v>3500000</v>
      </c>
      <c r="T580">
        <v>189000000</v>
      </c>
      <c r="U580">
        <v>131457758.22</v>
      </c>
      <c r="Z580"/>
    </row>
    <row r="581" spans="1:26" x14ac:dyDescent="0.25">
      <c r="A581">
        <v>103287</v>
      </c>
      <c r="B581" t="s">
        <v>5164</v>
      </c>
      <c r="C581" t="s">
        <v>5168</v>
      </c>
      <c r="D581" t="s">
        <v>1282</v>
      </c>
      <c r="E581">
        <v>-8</v>
      </c>
      <c r="F581" s="105">
        <v>2345949.7799999998</v>
      </c>
      <c r="G581" t="s">
        <v>1925</v>
      </c>
      <c r="H581">
        <v>73897.42</v>
      </c>
      <c r="I581">
        <v>2728973.78</v>
      </c>
      <c r="J581" s="384">
        <v>42956.540528437501</v>
      </c>
      <c r="K581" s="384">
        <v>43199</v>
      </c>
      <c r="L581" t="s">
        <v>5169</v>
      </c>
      <c r="M581" t="s">
        <v>5170</v>
      </c>
      <c r="N581" t="s">
        <v>1280</v>
      </c>
      <c r="O581" t="s">
        <v>25</v>
      </c>
      <c r="P581" t="s">
        <v>88</v>
      </c>
      <c r="Q581" t="s">
        <v>285</v>
      </c>
      <c r="R581" t="s">
        <v>2636</v>
      </c>
      <c r="S581">
        <v>3000000</v>
      </c>
      <c r="T581">
        <v>162000000</v>
      </c>
      <c r="U581">
        <v>126681288.12</v>
      </c>
      <c r="Z581"/>
    </row>
    <row r="582" spans="1:26" x14ac:dyDescent="0.25">
      <c r="A582">
        <v>103288</v>
      </c>
      <c r="B582" t="s">
        <v>1565</v>
      </c>
      <c r="C582" t="s">
        <v>1594</v>
      </c>
      <c r="D582" t="s">
        <v>1867</v>
      </c>
      <c r="E582">
        <v>-8</v>
      </c>
      <c r="F582" s="105">
        <v>12055985.689999999</v>
      </c>
      <c r="G582" t="s">
        <v>963</v>
      </c>
      <c r="H582">
        <v>769737.5</v>
      </c>
      <c r="I582">
        <v>13801830.529999999</v>
      </c>
      <c r="J582" s="384">
        <v>42956.716109641202</v>
      </c>
      <c r="K582" s="384">
        <v>43229</v>
      </c>
      <c r="L582" t="s">
        <v>1595</v>
      </c>
      <c r="M582" t="s">
        <v>1596</v>
      </c>
      <c r="N582" t="s">
        <v>1280</v>
      </c>
      <c r="O582" t="s">
        <v>45</v>
      </c>
      <c r="P582" t="s">
        <v>45</v>
      </c>
      <c r="Q582" t="s">
        <v>89</v>
      </c>
      <c r="R582" t="s">
        <v>2856</v>
      </c>
      <c r="S582">
        <v>15000000</v>
      </c>
      <c r="T582">
        <v>630000000</v>
      </c>
      <c r="U582">
        <v>506351398.98000002</v>
      </c>
      <c r="Z582"/>
    </row>
    <row r="583" spans="1:26" x14ac:dyDescent="0.25">
      <c r="A583">
        <v>103289</v>
      </c>
      <c r="B583" t="s">
        <v>547</v>
      </c>
      <c r="C583" t="s">
        <v>548</v>
      </c>
      <c r="D583" t="s">
        <v>1281</v>
      </c>
      <c r="E583">
        <v>-13</v>
      </c>
      <c r="F583" s="105">
        <v>27689256.879999999</v>
      </c>
      <c r="G583" t="s">
        <v>1448</v>
      </c>
      <c r="H583">
        <v>516866.13</v>
      </c>
      <c r="I583">
        <v>36706151.859999999</v>
      </c>
      <c r="J583" s="384">
        <v>42956.687870405091</v>
      </c>
      <c r="K583" s="384">
        <v>43510</v>
      </c>
      <c r="L583" t="s">
        <v>549</v>
      </c>
      <c r="M583" t="s">
        <v>550</v>
      </c>
      <c r="N583" t="s">
        <v>1280</v>
      </c>
      <c r="O583" t="s">
        <v>25</v>
      </c>
      <c r="P583" t="s">
        <v>88</v>
      </c>
      <c r="Q583" t="s">
        <v>285</v>
      </c>
      <c r="R583" t="s">
        <v>2856</v>
      </c>
      <c r="S583">
        <v>30000000</v>
      </c>
      <c r="T583">
        <v>1260000000</v>
      </c>
      <c r="U583">
        <v>1162948788.96</v>
      </c>
      <c r="Z583"/>
    </row>
    <row r="584" spans="1:26" x14ac:dyDescent="0.25">
      <c r="A584">
        <v>103290</v>
      </c>
      <c r="B584" t="s">
        <v>1384</v>
      </c>
      <c r="C584" t="s">
        <v>1385</v>
      </c>
      <c r="D584" t="s">
        <v>1281</v>
      </c>
      <c r="E584">
        <v>-10</v>
      </c>
      <c r="F584" s="105">
        <v>19679791.640000001</v>
      </c>
      <c r="G584" t="s">
        <v>963</v>
      </c>
      <c r="H584">
        <v>436235.38</v>
      </c>
      <c r="I584">
        <v>24831969.829999998</v>
      </c>
      <c r="J584" s="384">
        <v>42958.6777147338</v>
      </c>
      <c r="K584" s="384">
        <v>43415</v>
      </c>
      <c r="L584" t="s">
        <v>1386</v>
      </c>
      <c r="M584" t="s">
        <v>1387</v>
      </c>
      <c r="N584" t="s">
        <v>1280</v>
      </c>
      <c r="O584" t="s">
        <v>25</v>
      </c>
      <c r="P584" t="s">
        <v>101</v>
      </c>
      <c r="Q584" t="s">
        <v>26</v>
      </c>
      <c r="R584" t="s">
        <v>2856</v>
      </c>
      <c r="S584">
        <v>22000000</v>
      </c>
      <c r="T584">
        <v>924000000</v>
      </c>
      <c r="U584">
        <v>826551248.88</v>
      </c>
      <c r="Z584"/>
    </row>
    <row r="585" spans="1:26" x14ac:dyDescent="0.25">
      <c r="A585">
        <v>103291</v>
      </c>
      <c r="B585" t="s">
        <v>5183</v>
      </c>
      <c r="C585" t="s">
        <v>5184</v>
      </c>
      <c r="D585" t="s">
        <v>1283</v>
      </c>
      <c r="E585">
        <v>-11</v>
      </c>
      <c r="F585" s="105">
        <v>29993668.829999998</v>
      </c>
      <c r="G585" t="s">
        <v>1467</v>
      </c>
      <c r="H585">
        <v>539886.04</v>
      </c>
      <c r="I585">
        <v>35161729.920000002</v>
      </c>
      <c r="J585" s="384">
        <v>42959.445603969907</v>
      </c>
      <c r="K585" s="384">
        <v>43324</v>
      </c>
      <c r="L585" t="s">
        <v>5185</v>
      </c>
      <c r="M585" t="s">
        <v>5186</v>
      </c>
      <c r="N585" t="s">
        <v>1280</v>
      </c>
      <c r="O585" t="s">
        <v>25</v>
      </c>
      <c r="P585" t="s">
        <v>88</v>
      </c>
      <c r="Q585" t="s">
        <v>285</v>
      </c>
      <c r="R585" t="s">
        <v>2856</v>
      </c>
      <c r="S585">
        <v>35000000</v>
      </c>
      <c r="T585">
        <v>1260000000</v>
      </c>
      <c r="U585">
        <v>1079772077.8800001</v>
      </c>
      <c r="Z585"/>
    </row>
    <row r="586" spans="1:26" x14ac:dyDescent="0.25">
      <c r="A586">
        <v>103292</v>
      </c>
      <c r="B586" t="s">
        <v>2234</v>
      </c>
      <c r="C586" t="s">
        <v>2240</v>
      </c>
      <c r="D586" t="s">
        <v>1281</v>
      </c>
      <c r="E586">
        <v>-13</v>
      </c>
      <c r="F586" s="105">
        <v>17212703.260000002</v>
      </c>
      <c r="G586" t="s">
        <v>90</v>
      </c>
      <c r="H586">
        <v>321303.78999999998</v>
      </c>
      <c r="I586">
        <v>20696789.829999998</v>
      </c>
      <c r="J586" s="384">
        <v>42961.548503900463</v>
      </c>
      <c r="K586" s="384">
        <v>43326</v>
      </c>
      <c r="L586" t="s">
        <v>2241</v>
      </c>
      <c r="M586" t="s">
        <v>2242</v>
      </c>
      <c r="N586" t="s">
        <v>1280</v>
      </c>
      <c r="O586" t="s">
        <v>25</v>
      </c>
      <c r="P586" t="s">
        <v>103</v>
      </c>
      <c r="Q586" t="s">
        <v>104</v>
      </c>
      <c r="R586" t="s">
        <v>2856</v>
      </c>
      <c r="S586">
        <v>20000000</v>
      </c>
      <c r="T586">
        <v>840000000</v>
      </c>
      <c r="U586">
        <v>722933536.91999996</v>
      </c>
      <c r="Z586"/>
    </row>
    <row r="587" spans="1:26" x14ac:dyDescent="0.25">
      <c r="A587">
        <v>103293</v>
      </c>
      <c r="B587" t="s">
        <v>5191</v>
      </c>
      <c r="C587" t="s">
        <v>5194</v>
      </c>
      <c r="D587" t="s">
        <v>1282</v>
      </c>
      <c r="E587">
        <v>-13</v>
      </c>
      <c r="F587" s="105">
        <v>13016364.66</v>
      </c>
      <c r="G587" t="s">
        <v>4683</v>
      </c>
      <c r="H587">
        <v>312392.75</v>
      </c>
      <c r="I587">
        <v>16449928.300000001</v>
      </c>
      <c r="J587" s="384">
        <v>42961.705719097219</v>
      </c>
      <c r="K587" s="384">
        <v>43326</v>
      </c>
      <c r="L587" t="s">
        <v>5195</v>
      </c>
      <c r="M587" t="s">
        <v>5196</v>
      </c>
      <c r="N587" t="s">
        <v>1280</v>
      </c>
      <c r="O587" t="s">
        <v>25</v>
      </c>
      <c r="P587" t="s">
        <v>88</v>
      </c>
      <c r="Q587" t="s">
        <v>285</v>
      </c>
      <c r="R587" t="s">
        <v>2636</v>
      </c>
      <c r="S587">
        <v>15000000</v>
      </c>
      <c r="T587">
        <v>810000000</v>
      </c>
      <c r="U587">
        <v>702883691.63999999</v>
      </c>
      <c r="Z587"/>
    </row>
    <row r="588" spans="1:26" x14ac:dyDescent="0.25">
      <c r="A588">
        <v>103294</v>
      </c>
      <c r="B588" t="s">
        <v>305</v>
      </c>
      <c r="C588" t="s">
        <v>306</v>
      </c>
      <c r="D588" t="s">
        <v>1282</v>
      </c>
      <c r="E588">
        <v>-14</v>
      </c>
      <c r="F588" s="105">
        <v>4980518.83</v>
      </c>
      <c r="G588" t="s">
        <v>468</v>
      </c>
      <c r="H588">
        <v>99610.38</v>
      </c>
      <c r="I588">
        <v>5917965.2999999998</v>
      </c>
      <c r="J588" s="384">
        <v>42962.466988194443</v>
      </c>
      <c r="K588" s="384">
        <v>43266</v>
      </c>
      <c r="L588" t="s">
        <v>307</v>
      </c>
      <c r="M588" t="s">
        <v>1280</v>
      </c>
      <c r="N588" t="s">
        <v>1280</v>
      </c>
      <c r="O588" t="s">
        <v>25</v>
      </c>
      <c r="P588" t="s">
        <v>88</v>
      </c>
      <c r="Q588" t="s">
        <v>285</v>
      </c>
      <c r="R588" t="s">
        <v>2856</v>
      </c>
      <c r="S588">
        <v>6000000</v>
      </c>
      <c r="T588">
        <v>288000000</v>
      </c>
      <c r="U588">
        <v>239064903.84</v>
      </c>
      <c r="Z588"/>
    </row>
    <row r="589" spans="1:26" x14ac:dyDescent="0.25">
      <c r="A589">
        <v>103295</v>
      </c>
      <c r="B589" t="s">
        <v>5190</v>
      </c>
      <c r="C589" t="s">
        <v>5197</v>
      </c>
      <c r="D589" t="s">
        <v>1279</v>
      </c>
      <c r="E589">
        <v>-13</v>
      </c>
      <c r="F589" s="105">
        <v>834652.43</v>
      </c>
      <c r="G589" t="s">
        <v>5124</v>
      </c>
      <c r="H589">
        <v>20031.66</v>
      </c>
      <c r="I589">
        <v>930616.26</v>
      </c>
      <c r="J589" s="384">
        <v>42961.61328391204</v>
      </c>
      <c r="K589" s="384">
        <v>43145</v>
      </c>
      <c r="L589" t="s">
        <v>5198</v>
      </c>
      <c r="M589" t="s">
        <v>5199</v>
      </c>
      <c r="N589" t="s">
        <v>1280</v>
      </c>
      <c r="O589" t="s">
        <v>25</v>
      </c>
      <c r="P589" t="s">
        <v>290</v>
      </c>
      <c r="Q589" t="s">
        <v>1768</v>
      </c>
      <c r="R589" t="s">
        <v>2636</v>
      </c>
      <c r="S589">
        <v>1200000</v>
      </c>
      <c r="T589">
        <v>64800000</v>
      </c>
      <c r="U589">
        <v>45071231.219999999</v>
      </c>
      <c r="Z589"/>
    </row>
    <row r="590" spans="1:26" x14ac:dyDescent="0.25">
      <c r="A590">
        <v>103296</v>
      </c>
      <c r="B590" t="s">
        <v>5193</v>
      </c>
      <c r="C590" t="s">
        <v>5200</v>
      </c>
      <c r="D590" t="s">
        <v>1281</v>
      </c>
      <c r="E590">
        <v>-13</v>
      </c>
      <c r="F590" s="105">
        <v>17212703.260000002</v>
      </c>
      <c r="G590" t="s">
        <v>1909</v>
      </c>
      <c r="H590">
        <v>321303.78999999998</v>
      </c>
      <c r="I590">
        <v>20696789.829999998</v>
      </c>
      <c r="J590" s="384">
        <v>42961.64805625</v>
      </c>
      <c r="K590" s="384">
        <v>43326</v>
      </c>
      <c r="L590" t="s">
        <v>5201</v>
      </c>
      <c r="M590" t="s">
        <v>5202</v>
      </c>
      <c r="N590" t="s">
        <v>5203</v>
      </c>
      <c r="O590" t="s">
        <v>25</v>
      </c>
      <c r="P590" t="s">
        <v>88</v>
      </c>
      <c r="Q590" t="s">
        <v>285</v>
      </c>
      <c r="R590" t="s">
        <v>2856</v>
      </c>
      <c r="S590">
        <v>20000000</v>
      </c>
      <c r="T590">
        <v>840000000</v>
      </c>
      <c r="U590">
        <v>722933536.91999996</v>
      </c>
      <c r="Z590"/>
    </row>
    <row r="591" spans="1:26" x14ac:dyDescent="0.25">
      <c r="A591">
        <v>103297</v>
      </c>
      <c r="B591" t="s">
        <v>5189</v>
      </c>
      <c r="C591" t="s">
        <v>5204</v>
      </c>
      <c r="D591" t="s">
        <v>1282</v>
      </c>
      <c r="E591">
        <v>-13</v>
      </c>
      <c r="F591" s="105">
        <v>4167901.55</v>
      </c>
      <c r="G591" t="s">
        <v>3074</v>
      </c>
      <c r="H591">
        <v>100029.64</v>
      </c>
      <c r="I591">
        <v>5055152.8899999997</v>
      </c>
      <c r="J591" s="384">
        <v>42961.702593136572</v>
      </c>
      <c r="K591" s="384">
        <v>43265</v>
      </c>
      <c r="L591" t="s">
        <v>5205</v>
      </c>
      <c r="M591" t="s">
        <v>5206</v>
      </c>
      <c r="N591" t="s">
        <v>1280</v>
      </c>
      <c r="O591" t="s">
        <v>25</v>
      </c>
      <c r="P591" t="s">
        <v>103</v>
      </c>
      <c r="Q591" t="s">
        <v>104</v>
      </c>
      <c r="R591" t="s">
        <v>2636</v>
      </c>
      <c r="S591">
        <v>5000000</v>
      </c>
      <c r="T591">
        <v>270000000</v>
      </c>
      <c r="U591">
        <v>225066683.69999999</v>
      </c>
      <c r="Z591"/>
    </row>
    <row r="592" spans="1:26" x14ac:dyDescent="0.25">
      <c r="A592">
        <v>103298</v>
      </c>
      <c r="B592" t="s">
        <v>5209</v>
      </c>
      <c r="C592" t="s">
        <v>5212</v>
      </c>
      <c r="D592" t="s">
        <v>1282</v>
      </c>
      <c r="E592">
        <v>-14</v>
      </c>
      <c r="F592" s="105">
        <v>3471030.59</v>
      </c>
      <c r="G592" t="s">
        <v>5352</v>
      </c>
      <c r="H592">
        <v>78098.19</v>
      </c>
      <c r="I592">
        <v>4386647.5599999996</v>
      </c>
      <c r="J592" s="384">
        <v>42962.635241203701</v>
      </c>
      <c r="K592" s="384">
        <v>43327</v>
      </c>
      <c r="L592" t="s">
        <v>5213</v>
      </c>
      <c r="M592" t="s">
        <v>5214</v>
      </c>
      <c r="N592" t="s">
        <v>1280</v>
      </c>
      <c r="O592" t="s">
        <v>25</v>
      </c>
      <c r="P592" t="s">
        <v>88</v>
      </c>
      <c r="Q592" t="s">
        <v>285</v>
      </c>
      <c r="R592" t="s">
        <v>2636</v>
      </c>
      <c r="S592">
        <v>4000000</v>
      </c>
      <c r="T592">
        <v>216000000</v>
      </c>
      <c r="U592">
        <v>187435651.86000001</v>
      </c>
      <c r="Z592"/>
    </row>
    <row r="593" spans="1:26" x14ac:dyDescent="0.25">
      <c r="A593">
        <v>103299</v>
      </c>
      <c r="B593" t="s">
        <v>5211</v>
      </c>
      <c r="C593" t="s">
        <v>5215</v>
      </c>
      <c r="D593" t="s">
        <v>1279</v>
      </c>
      <c r="E593">
        <v>-14</v>
      </c>
      <c r="F593" s="105">
        <v>2603272.92</v>
      </c>
      <c r="G593" t="s">
        <v>546</v>
      </c>
      <c r="H593">
        <v>58573.64</v>
      </c>
      <c r="I593">
        <v>3289985.63</v>
      </c>
      <c r="J593" s="384">
        <v>42962.688732025461</v>
      </c>
      <c r="K593" s="384">
        <v>43327</v>
      </c>
      <c r="L593" t="s">
        <v>5216</v>
      </c>
      <c r="M593" t="s">
        <v>5217</v>
      </c>
      <c r="N593" t="s">
        <v>1280</v>
      </c>
      <c r="O593" t="s">
        <v>25</v>
      </c>
      <c r="P593" t="s">
        <v>88</v>
      </c>
      <c r="Q593" t="s">
        <v>285</v>
      </c>
      <c r="R593" t="s">
        <v>2636</v>
      </c>
      <c r="S593">
        <v>3000000</v>
      </c>
      <c r="T593">
        <v>162000000</v>
      </c>
      <c r="U593">
        <v>140576737.68000001</v>
      </c>
      <c r="Z593"/>
    </row>
    <row r="594" spans="1:26" x14ac:dyDescent="0.25">
      <c r="A594">
        <v>103300</v>
      </c>
      <c r="B594" t="s">
        <v>1040</v>
      </c>
      <c r="C594" t="s">
        <v>1041</v>
      </c>
      <c r="D594" t="s">
        <v>1284</v>
      </c>
      <c r="E594">
        <v>-14</v>
      </c>
      <c r="F594" s="105">
        <v>10690246.09</v>
      </c>
      <c r="G594" t="s">
        <v>963</v>
      </c>
      <c r="H594">
        <v>160353.69</v>
      </c>
      <c r="I594">
        <v>13067586.539999999</v>
      </c>
      <c r="J594" s="384">
        <v>42962.698615740737</v>
      </c>
      <c r="K594" s="384">
        <v>43419</v>
      </c>
      <c r="L594" t="s">
        <v>1042</v>
      </c>
      <c r="M594" t="s">
        <v>1043</v>
      </c>
      <c r="N594" t="s">
        <v>1280</v>
      </c>
      <c r="O594" t="s">
        <v>29</v>
      </c>
      <c r="P594" t="s">
        <v>30</v>
      </c>
      <c r="Q594" t="s">
        <v>1819</v>
      </c>
      <c r="R594" t="s">
        <v>2856</v>
      </c>
      <c r="S594">
        <v>12000000</v>
      </c>
      <c r="T594">
        <v>432000000</v>
      </c>
      <c r="U594">
        <v>384848859.24000001</v>
      </c>
      <c r="Z594"/>
    </row>
    <row r="595" spans="1:26" x14ac:dyDescent="0.25">
      <c r="A595">
        <v>103302</v>
      </c>
      <c r="B595" t="s">
        <v>4263</v>
      </c>
      <c r="C595" t="s">
        <v>4265</v>
      </c>
      <c r="D595" t="s">
        <v>1282</v>
      </c>
      <c r="E595">
        <v>-15</v>
      </c>
      <c r="F595" s="105">
        <v>3320345.89</v>
      </c>
      <c r="G595" t="s">
        <v>2538</v>
      </c>
      <c r="H595">
        <v>61979.79</v>
      </c>
      <c r="I595">
        <v>3945310.21</v>
      </c>
      <c r="J595" s="384">
        <v>42963.622981099536</v>
      </c>
      <c r="K595" s="384">
        <v>43267</v>
      </c>
      <c r="L595" t="s">
        <v>4266</v>
      </c>
      <c r="M595" t="s">
        <v>4267</v>
      </c>
      <c r="N595" t="s">
        <v>1280</v>
      </c>
      <c r="O595" t="s">
        <v>44</v>
      </c>
      <c r="P595" t="s">
        <v>75</v>
      </c>
      <c r="Q595" t="s">
        <v>1442</v>
      </c>
      <c r="R595" t="s">
        <v>2856</v>
      </c>
      <c r="S595">
        <v>4000000</v>
      </c>
      <c r="T595">
        <v>192000000</v>
      </c>
      <c r="U595">
        <v>159376602.72</v>
      </c>
      <c r="Z595"/>
    </row>
    <row r="596" spans="1:26" x14ac:dyDescent="0.25">
      <c r="A596">
        <v>103303</v>
      </c>
      <c r="B596" t="s">
        <v>5243</v>
      </c>
      <c r="C596" t="s">
        <v>5245</v>
      </c>
      <c r="D596" t="s">
        <v>1282</v>
      </c>
      <c r="E596">
        <v>-18</v>
      </c>
      <c r="F596" s="105">
        <v>3477718.48</v>
      </c>
      <c r="G596" t="s">
        <v>1925</v>
      </c>
      <c r="H596">
        <v>57382.35</v>
      </c>
      <c r="I596">
        <v>3877567.74</v>
      </c>
      <c r="J596" s="384">
        <v>42966.501115196763</v>
      </c>
      <c r="K596" s="384">
        <v>43150</v>
      </c>
      <c r="L596" t="s">
        <v>5246</v>
      </c>
      <c r="M596" t="s">
        <v>1280</v>
      </c>
      <c r="N596" t="s">
        <v>1280</v>
      </c>
      <c r="O596" t="s">
        <v>31</v>
      </c>
      <c r="P596" t="s">
        <v>509</v>
      </c>
      <c r="Q596" t="s">
        <v>26</v>
      </c>
      <c r="R596" t="s">
        <v>2636</v>
      </c>
      <c r="S596">
        <v>5000000</v>
      </c>
      <c r="T596">
        <v>270000000</v>
      </c>
      <c r="U596">
        <v>187796797.91999999</v>
      </c>
      <c r="Z596"/>
    </row>
    <row r="597" spans="1:26" x14ac:dyDescent="0.25">
      <c r="A597">
        <v>103304</v>
      </c>
      <c r="B597" t="s">
        <v>85</v>
      </c>
      <c r="C597" t="s">
        <v>246</v>
      </c>
      <c r="D597" t="s">
        <v>1282</v>
      </c>
      <c r="E597">
        <v>-18</v>
      </c>
      <c r="F597" s="105">
        <v>6049634.9699999997</v>
      </c>
      <c r="G597" t="s">
        <v>86</v>
      </c>
      <c r="H597">
        <v>88727.98</v>
      </c>
      <c r="I597">
        <v>7458652.0899999999</v>
      </c>
      <c r="J597" s="384">
        <v>42966.547201238427</v>
      </c>
      <c r="K597" s="384">
        <v>43331</v>
      </c>
      <c r="L597" t="s">
        <v>247</v>
      </c>
      <c r="M597" t="s">
        <v>248</v>
      </c>
      <c r="N597" t="s">
        <v>1280</v>
      </c>
      <c r="O597" t="s">
        <v>25</v>
      </c>
      <c r="P597" t="s">
        <v>88</v>
      </c>
      <c r="Q597" t="s">
        <v>285</v>
      </c>
      <c r="R597" t="s">
        <v>2856</v>
      </c>
      <c r="S597">
        <v>7000000</v>
      </c>
      <c r="T597">
        <v>336000000</v>
      </c>
      <c r="U597">
        <v>290382478.56</v>
      </c>
      <c r="Z597"/>
    </row>
    <row r="598" spans="1:26" x14ac:dyDescent="0.25">
      <c r="A598">
        <v>103305</v>
      </c>
      <c r="B598" t="s">
        <v>5252</v>
      </c>
      <c r="C598" t="s">
        <v>5258</v>
      </c>
      <c r="D598" t="s">
        <v>1282</v>
      </c>
      <c r="E598">
        <v>-20</v>
      </c>
      <c r="F598" s="105">
        <v>2345949.7799999998</v>
      </c>
      <c r="G598" t="s">
        <v>546</v>
      </c>
      <c r="H598">
        <v>31670.32</v>
      </c>
      <c r="I598">
        <v>2728973.78</v>
      </c>
      <c r="J598" s="384">
        <v>42968.717358368056</v>
      </c>
      <c r="K598" s="384">
        <v>43211</v>
      </c>
      <c r="L598" t="s">
        <v>5259</v>
      </c>
      <c r="M598" t="s">
        <v>5260</v>
      </c>
      <c r="N598" t="s">
        <v>1280</v>
      </c>
      <c r="O598" t="s">
        <v>25</v>
      </c>
      <c r="P598" t="s">
        <v>88</v>
      </c>
      <c r="Q598" t="s">
        <v>285</v>
      </c>
      <c r="R598" t="s">
        <v>2636</v>
      </c>
      <c r="S598">
        <v>3000000</v>
      </c>
      <c r="T598">
        <v>162000000</v>
      </c>
      <c r="U598">
        <v>126681288.12</v>
      </c>
      <c r="Z598"/>
    </row>
    <row r="599" spans="1:26" x14ac:dyDescent="0.25">
      <c r="A599">
        <v>103306</v>
      </c>
      <c r="B599" t="s">
        <v>5254</v>
      </c>
      <c r="C599" t="s">
        <v>5261</v>
      </c>
      <c r="D599" t="s">
        <v>1282</v>
      </c>
      <c r="E599">
        <v>-20</v>
      </c>
      <c r="F599" s="105">
        <v>7085432.6399999997</v>
      </c>
      <c r="G599" t="s">
        <v>1039</v>
      </c>
      <c r="H599">
        <v>95653.34</v>
      </c>
      <c r="I599">
        <v>8593759.9000000004</v>
      </c>
      <c r="J599" s="384">
        <v>42968.609788622685</v>
      </c>
      <c r="K599" s="384">
        <v>43272</v>
      </c>
      <c r="L599" t="s">
        <v>5262</v>
      </c>
      <c r="M599" t="s">
        <v>1280</v>
      </c>
      <c r="N599" t="s">
        <v>1280</v>
      </c>
      <c r="O599" t="s">
        <v>37</v>
      </c>
      <c r="P599" t="s">
        <v>288</v>
      </c>
      <c r="Q599" t="s">
        <v>1829</v>
      </c>
      <c r="R599" t="s">
        <v>2636</v>
      </c>
      <c r="S599">
        <v>8500000</v>
      </c>
      <c r="T599">
        <v>459000000</v>
      </c>
      <c r="U599">
        <v>382613362.56</v>
      </c>
      <c r="Z599"/>
    </row>
    <row r="600" spans="1:26" x14ac:dyDescent="0.25">
      <c r="A600">
        <v>103307</v>
      </c>
      <c r="B600" t="s">
        <v>5256</v>
      </c>
      <c r="C600" t="s">
        <v>5263</v>
      </c>
      <c r="D600" t="s">
        <v>1282</v>
      </c>
      <c r="E600">
        <v>-20</v>
      </c>
      <c r="F600" s="105">
        <v>3477718.48</v>
      </c>
      <c r="G600" t="s">
        <v>1039</v>
      </c>
      <c r="H600">
        <v>46949.2</v>
      </c>
      <c r="I600">
        <v>3877567.74</v>
      </c>
      <c r="J600" s="384">
        <v>42968.741020104164</v>
      </c>
      <c r="K600" s="384">
        <v>43152</v>
      </c>
      <c r="L600" t="s">
        <v>5264</v>
      </c>
      <c r="M600" t="s">
        <v>1280</v>
      </c>
      <c r="N600" t="s">
        <v>1280</v>
      </c>
      <c r="O600" t="s">
        <v>29</v>
      </c>
      <c r="P600" t="s">
        <v>30</v>
      </c>
      <c r="Q600" t="s">
        <v>1819</v>
      </c>
      <c r="R600" t="s">
        <v>2636</v>
      </c>
      <c r="S600">
        <v>5000000</v>
      </c>
      <c r="T600">
        <v>270000000</v>
      </c>
      <c r="U600">
        <v>187796797.91999999</v>
      </c>
      <c r="Z600"/>
    </row>
    <row r="601" spans="1:26" x14ac:dyDescent="0.25">
      <c r="A601">
        <v>103308</v>
      </c>
      <c r="B601" t="s">
        <v>1314</v>
      </c>
      <c r="C601" t="s">
        <v>1315</v>
      </c>
      <c r="D601" t="s">
        <v>1282</v>
      </c>
      <c r="E601">
        <v>-21</v>
      </c>
      <c r="F601" s="105">
        <v>6913868.54</v>
      </c>
      <c r="G601" t="s">
        <v>963</v>
      </c>
      <c r="H601">
        <v>73747.929999999993</v>
      </c>
      <c r="I601">
        <v>8524173.8100000005</v>
      </c>
      <c r="J601" s="384">
        <v>42969.451779976851</v>
      </c>
      <c r="K601" s="384">
        <v>43334</v>
      </c>
      <c r="L601" t="s">
        <v>1316</v>
      </c>
      <c r="M601" t="s">
        <v>1280</v>
      </c>
      <c r="N601" t="s">
        <v>1280</v>
      </c>
      <c r="O601" t="s">
        <v>25</v>
      </c>
      <c r="P601" t="s">
        <v>88</v>
      </c>
      <c r="Q601" t="s">
        <v>285</v>
      </c>
      <c r="R601" t="s">
        <v>2856</v>
      </c>
      <c r="S601">
        <v>8000000</v>
      </c>
      <c r="T601">
        <v>384000000</v>
      </c>
      <c r="U601">
        <v>331865689.92000002</v>
      </c>
      <c r="Z601"/>
    </row>
    <row r="602" spans="1:26" x14ac:dyDescent="0.25">
      <c r="A602">
        <v>103310</v>
      </c>
      <c r="B602" t="s">
        <v>5283</v>
      </c>
      <c r="C602" t="s">
        <v>5286</v>
      </c>
      <c r="D602" t="s">
        <v>1282</v>
      </c>
      <c r="E602">
        <v>-22</v>
      </c>
      <c r="F602" s="105">
        <v>2169394.11</v>
      </c>
      <c r="G602" t="s">
        <v>4684</v>
      </c>
      <c r="H602">
        <v>22778.639999999999</v>
      </c>
      <c r="I602">
        <v>2741654.71</v>
      </c>
      <c r="J602" s="384">
        <v>42970.699644444445</v>
      </c>
      <c r="K602" s="384">
        <v>43335</v>
      </c>
      <c r="L602" t="s">
        <v>5287</v>
      </c>
      <c r="M602" t="s">
        <v>1280</v>
      </c>
      <c r="N602" t="s">
        <v>1280</v>
      </c>
      <c r="O602" t="s">
        <v>25</v>
      </c>
      <c r="P602" t="s">
        <v>88</v>
      </c>
      <c r="Q602" t="s">
        <v>285</v>
      </c>
      <c r="R602" t="s">
        <v>2636</v>
      </c>
      <c r="S602">
        <v>2500000</v>
      </c>
      <c r="T602">
        <v>135000000</v>
      </c>
      <c r="U602">
        <v>117147281.94</v>
      </c>
      <c r="Z602"/>
    </row>
    <row r="603" spans="1:26" x14ac:dyDescent="0.25">
      <c r="A603">
        <v>103311</v>
      </c>
      <c r="B603" t="s">
        <v>5293</v>
      </c>
      <c r="C603" t="s">
        <v>5296</v>
      </c>
      <c r="D603" t="s">
        <v>1866</v>
      </c>
      <c r="E603">
        <v>-23</v>
      </c>
      <c r="F603" s="105">
        <v>8312576.0700000003</v>
      </c>
      <c r="G603" t="s">
        <v>5124</v>
      </c>
      <c r="H603">
        <v>69271.47</v>
      </c>
      <c r="I603">
        <v>9945280.1600000001</v>
      </c>
      <c r="J603" s="384">
        <v>42971.706171412035</v>
      </c>
      <c r="K603" s="384">
        <v>43275</v>
      </c>
      <c r="L603" t="s">
        <v>5297</v>
      </c>
      <c r="M603" t="s">
        <v>5298</v>
      </c>
      <c r="N603" t="s">
        <v>1280</v>
      </c>
      <c r="O603" t="s">
        <v>25</v>
      </c>
      <c r="P603" t="s">
        <v>88</v>
      </c>
      <c r="Q603" t="s">
        <v>285</v>
      </c>
      <c r="R603" t="s">
        <v>2636</v>
      </c>
      <c r="S603">
        <v>10000000</v>
      </c>
      <c r="T603">
        <v>500000000</v>
      </c>
      <c r="U603">
        <v>415628803.5</v>
      </c>
      <c r="Z603"/>
    </row>
    <row r="604" spans="1:26" x14ac:dyDescent="0.25">
      <c r="A604">
        <v>103312</v>
      </c>
      <c r="B604" t="s">
        <v>5304</v>
      </c>
      <c r="C604" t="s">
        <v>5308</v>
      </c>
      <c r="D604" t="s">
        <v>1281</v>
      </c>
      <c r="E604">
        <v>-24</v>
      </c>
      <c r="F604" s="105">
        <v>23255400.719999999</v>
      </c>
      <c r="G604" t="s">
        <v>2175</v>
      </c>
      <c r="H604">
        <v>135656.5</v>
      </c>
      <c r="I604">
        <v>26185796.370000001</v>
      </c>
      <c r="J604" s="384">
        <v>42972.434798379632</v>
      </c>
      <c r="K604" s="384">
        <v>43215</v>
      </c>
      <c r="L604" t="s">
        <v>5309</v>
      </c>
      <c r="M604" t="s">
        <v>5310</v>
      </c>
      <c r="N604" t="s">
        <v>1280</v>
      </c>
      <c r="O604" t="s">
        <v>27</v>
      </c>
      <c r="P604" t="s">
        <v>81</v>
      </c>
      <c r="Q604" t="s">
        <v>26</v>
      </c>
      <c r="R604" t="s">
        <v>2856</v>
      </c>
      <c r="S604">
        <v>30000000</v>
      </c>
      <c r="T604">
        <v>1260000000</v>
      </c>
      <c r="U604">
        <v>976726830.24000001</v>
      </c>
      <c r="Z604"/>
    </row>
    <row r="605" spans="1:26" x14ac:dyDescent="0.25">
      <c r="A605">
        <v>103313</v>
      </c>
      <c r="B605" t="s">
        <v>5307</v>
      </c>
      <c r="C605" t="s">
        <v>5311</v>
      </c>
      <c r="D605" t="s">
        <v>1282</v>
      </c>
      <c r="E605">
        <v>-24</v>
      </c>
      <c r="F605" s="105">
        <v>6228825.7699999996</v>
      </c>
      <c r="G605" t="s">
        <v>2855</v>
      </c>
      <c r="H605">
        <v>41525.51</v>
      </c>
      <c r="I605">
        <v>7129335.9299999997</v>
      </c>
      <c r="J605" s="384">
        <v>42972.497745833331</v>
      </c>
      <c r="K605" s="384">
        <v>43215</v>
      </c>
      <c r="L605" t="s">
        <v>5312</v>
      </c>
      <c r="M605" t="s">
        <v>5313</v>
      </c>
      <c r="N605" t="s">
        <v>1280</v>
      </c>
      <c r="O605" t="s">
        <v>28</v>
      </c>
      <c r="P605" t="s">
        <v>26</v>
      </c>
      <c r="Q605" t="s">
        <v>26</v>
      </c>
      <c r="R605" t="s">
        <v>2856</v>
      </c>
      <c r="S605">
        <v>8000000</v>
      </c>
      <c r="T605">
        <v>384000000</v>
      </c>
      <c r="U605">
        <v>298983636.95999998</v>
      </c>
      <c r="Z605"/>
    </row>
    <row r="606" spans="1:26" x14ac:dyDescent="0.25">
      <c r="A606">
        <v>103314</v>
      </c>
      <c r="B606" t="s">
        <v>5306</v>
      </c>
      <c r="C606" t="s">
        <v>5314</v>
      </c>
      <c r="D606" t="s">
        <v>1282</v>
      </c>
      <c r="E606">
        <v>0</v>
      </c>
      <c r="F606" s="105">
        <v>5200804.0599999996</v>
      </c>
      <c r="G606" t="s">
        <v>1191</v>
      </c>
      <c r="H606">
        <v>226234.98</v>
      </c>
      <c r="I606">
        <v>5952448.8300000001</v>
      </c>
      <c r="J606" s="384">
        <v>42972.678314583332</v>
      </c>
      <c r="K606" s="384">
        <v>43160</v>
      </c>
      <c r="L606" t="s">
        <v>5315</v>
      </c>
      <c r="M606" t="s">
        <v>5316</v>
      </c>
      <c r="N606" t="s">
        <v>1280</v>
      </c>
      <c r="O606" t="s">
        <v>25</v>
      </c>
      <c r="P606" t="s">
        <v>88</v>
      </c>
      <c r="Q606" t="s">
        <v>285</v>
      </c>
      <c r="R606" t="s">
        <v>2636</v>
      </c>
      <c r="S606">
        <v>6000000</v>
      </c>
      <c r="T606">
        <v>324000000</v>
      </c>
      <c r="U606">
        <v>280843419.24000001</v>
      </c>
      <c r="Z606"/>
    </row>
    <row r="607" spans="1:26" x14ac:dyDescent="0.25">
      <c r="A607">
        <v>103315</v>
      </c>
      <c r="B607" t="s">
        <v>114</v>
      </c>
      <c r="C607" t="s">
        <v>276</v>
      </c>
      <c r="D607" t="s">
        <v>1282</v>
      </c>
      <c r="E607">
        <v>0</v>
      </c>
      <c r="F607" s="105">
        <v>10307418.119999999</v>
      </c>
      <c r="G607" t="s">
        <v>90</v>
      </c>
      <c r="H607">
        <v>398553.5</v>
      </c>
      <c r="I607">
        <v>12942400.630000001</v>
      </c>
      <c r="J607" s="384">
        <v>42975.555813460647</v>
      </c>
      <c r="K607" s="384">
        <v>43344</v>
      </c>
      <c r="L607" t="s">
        <v>277</v>
      </c>
      <c r="M607" t="s">
        <v>278</v>
      </c>
      <c r="N607" t="s">
        <v>1280</v>
      </c>
      <c r="O607" t="s">
        <v>25</v>
      </c>
      <c r="P607" t="s">
        <v>88</v>
      </c>
      <c r="Q607" t="s">
        <v>285</v>
      </c>
      <c r="R607" t="s">
        <v>2856</v>
      </c>
      <c r="S607">
        <v>11000000</v>
      </c>
      <c r="T607">
        <v>528000000</v>
      </c>
      <c r="U607">
        <v>494756069.75999999</v>
      </c>
      <c r="Z607"/>
    </row>
    <row r="608" spans="1:26" x14ac:dyDescent="0.25">
      <c r="A608">
        <v>103316</v>
      </c>
      <c r="B608" t="s">
        <v>5330</v>
      </c>
      <c r="C608" t="s">
        <v>5336</v>
      </c>
      <c r="D608" t="s">
        <v>1866</v>
      </c>
      <c r="E608">
        <v>0</v>
      </c>
      <c r="F608" s="105">
        <v>5119607.59</v>
      </c>
      <c r="G608" t="s">
        <v>5124</v>
      </c>
      <c r="H608">
        <v>206206.42</v>
      </c>
      <c r="I608">
        <v>5776962.0199999996</v>
      </c>
      <c r="J608" s="384">
        <v>42975.539610914355</v>
      </c>
      <c r="K608" s="384">
        <v>43160</v>
      </c>
      <c r="L608" t="s">
        <v>5337</v>
      </c>
      <c r="M608" t="s">
        <v>5338</v>
      </c>
      <c r="N608" t="s">
        <v>1280</v>
      </c>
      <c r="O608" t="s">
        <v>25</v>
      </c>
      <c r="P608" t="s">
        <v>88</v>
      </c>
      <c r="Q608" t="s">
        <v>285</v>
      </c>
      <c r="R608" t="s">
        <v>2636</v>
      </c>
      <c r="S608">
        <v>6000000</v>
      </c>
      <c r="T608">
        <v>300000000</v>
      </c>
      <c r="U608">
        <v>255980379.5</v>
      </c>
      <c r="Z608"/>
    </row>
    <row r="609" spans="1:26" x14ac:dyDescent="0.25">
      <c r="A609">
        <v>103317</v>
      </c>
      <c r="B609" t="s">
        <v>5332</v>
      </c>
      <c r="C609" t="s">
        <v>5339</v>
      </c>
      <c r="D609" t="s">
        <v>1282</v>
      </c>
      <c r="E609">
        <v>30</v>
      </c>
      <c r="F609" s="105">
        <v>5692511.4699999997</v>
      </c>
      <c r="G609" t="s">
        <v>3074</v>
      </c>
      <c r="H609">
        <v>537792.59</v>
      </c>
      <c r="I609">
        <v>7010893.6699999999</v>
      </c>
      <c r="J609" s="384">
        <v>42975.650625347225</v>
      </c>
      <c r="K609" s="384">
        <v>43282</v>
      </c>
      <c r="L609" t="s">
        <v>5340</v>
      </c>
      <c r="M609" t="s">
        <v>5341</v>
      </c>
      <c r="N609" t="s">
        <v>1280</v>
      </c>
      <c r="O609" t="s">
        <v>25</v>
      </c>
      <c r="P609" t="s">
        <v>88</v>
      </c>
      <c r="Q609" t="s">
        <v>285</v>
      </c>
      <c r="R609" t="s">
        <v>2636</v>
      </c>
      <c r="S609">
        <v>6000000</v>
      </c>
      <c r="T609">
        <v>324000000</v>
      </c>
      <c r="U609">
        <v>307395619.38</v>
      </c>
      <c r="Z609"/>
    </row>
    <row r="610" spans="1:26" x14ac:dyDescent="0.25">
      <c r="A610">
        <v>103318</v>
      </c>
      <c r="B610" t="s">
        <v>5331</v>
      </c>
      <c r="C610" t="s">
        <v>5342</v>
      </c>
      <c r="D610" t="s">
        <v>1279</v>
      </c>
      <c r="E610">
        <v>0</v>
      </c>
      <c r="F610" s="105">
        <v>1025744.08</v>
      </c>
      <c r="G610" t="s">
        <v>4844</v>
      </c>
      <c r="H610">
        <v>44619.87</v>
      </c>
      <c r="I610">
        <v>1168279.6299999999</v>
      </c>
      <c r="J610" s="384">
        <v>42975.660906168981</v>
      </c>
      <c r="K610" s="384">
        <v>43160</v>
      </c>
      <c r="L610" t="s">
        <v>5343</v>
      </c>
      <c r="M610" t="s">
        <v>1280</v>
      </c>
      <c r="N610" t="s">
        <v>1280</v>
      </c>
      <c r="O610" t="s">
        <v>25</v>
      </c>
      <c r="P610" t="s">
        <v>88</v>
      </c>
      <c r="Q610" t="s">
        <v>285</v>
      </c>
      <c r="R610" t="s">
        <v>2636</v>
      </c>
      <c r="S610">
        <v>1200000</v>
      </c>
      <c r="T610">
        <v>64800000</v>
      </c>
      <c r="U610">
        <v>55390180.32</v>
      </c>
      <c r="Z610"/>
    </row>
    <row r="611" spans="1:26" x14ac:dyDescent="0.25">
      <c r="A611">
        <v>103319</v>
      </c>
      <c r="B611" t="s">
        <v>5333</v>
      </c>
      <c r="C611" t="s">
        <v>5344</v>
      </c>
      <c r="D611" t="s">
        <v>1282</v>
      </c>
      <c r="E611">
        <v>0</v>
      </c>
      <c r="F611" s="105">
        <v>12916077.49</v>
      </c>
      <c r="G611" t="s">
        <v>1191</v>
      </c>
      <c r="H611">
        <v>561849.37</v>
      </c>
      <c r="I611">
        <v>15992302.640000001</v>
      </c>
      <c r="J611" s="384">
        <v>42975.715995138889</v>
      </c>
      <c r="K611" s="384">
        <v>43282</v>
      </c>
      <c r="L611" t="s">
        <v>5345</v>
      </c>
      <c r="M611" t="s">
        <v>5346</v>
      </c>
      <c r="N611" t="s">
        <v>1280</v>
      </c>
      <c r="O611" t="s">
        <v>37</v>
      </c>
      <c r="P611" t="s">
        <v>38</v>
      </c>
      <c r="Q611" t="s">
        <v>39</v>
      </c>
      <c r="R611" t="s">
        <v>2636</v>
      </c>
      <c r="S611">
        <v>14000000</v>
      </c>
      <c r="T611">
        <v>756000000</v>
      </c>
      <c r="U611">
        <v>697468184.46000004</v>
      </c>
      <c r="Z611"/>
    </row>
    <row r="612" spans="1:26" x14ac:dyDescent="0.25">
      <c r="A612">
        <v>103320</v>
      </c>
      <c r="B612" t="s">
        <v>5353</v>
      </c>
      <c r="C612" t="s">
        <v>5356</v>
      </c>
      <c r="D612" t="s">
        <v>1282</v>
      </c>
      <c r="E612">
        <v>0</v>
      </c>
      <c r="F612" s="105">
        <v>4690094.9000000004</v>
      </c>
      <c r="G612" t="s">
        <v>4844</v>
      </c>
      <c r="H612">
        <v>204019.13</v>
      </c>
      <c r="I612">
        <v>6048956.0800000001</v>
      </c>
      <c r="J612" s="384">
        <v>42976.521201967589</v>
      </c>
      <c r="K612" s="384">
        <v>43344</v>
      </c>
      <c r="L612" t="s">
        <v>5357</v>
      </c>
      <c r="M612" t="s">
        <v>1280</v>
      </c>
      <c r="N612" t="s">
        <v>1280</v>
      </c>
      <c r="O612" t="s">
        <v>25</v>
      </c>
      <c r="P612" t="s">
        <v>88</v>
      </c>
      <c r="Q612" t="s">
        <v>285</v>
      </c>
      <c r="R612" t="s">
        <v>2636</v>
      </c>
      <c r="S612">
        <v>5000000</v>
      </c>
      <c r="T612">
        <v>270000000</v>
      </c>
      <c r="U612">
        <v>253265124.59999999</v>
      </c>
      <c r="Z612"/>
    </row>
    <row r="613" spans="1:26" x14ac:dyDescent="0.25">
      <c r="A613">
        <v>103321</v>
      </c>
      <c r="B613" t="s">
        <v>5351</v>
      </c>
      <c r="C613" t="s">
        <v>5358</v>
      </c>
      <c r="D613" t="s">
        <v>1282</v>
      </c>
      <c r="E613">
        <v>0</v>
      </c>
      <c r="F613" s="105">
        <v>2560695.0699999998</v>
      </c>
      <c r="G613" t="s">
        <v>5352</v>
      </c>
      <c r="H613">
        <v>111390.24</v>
      </c>
      <c r="I613">
        <v>2916524.63</v>
      </c>
      <c r="J613" s="384">
        <v>42976.540823842595</v>
      </c>
      <c r="K613" s="384">
        <v>43160</v>
      </c>
      <c r="L613" t="s">
        <v>5359</v>
      </c>
      <c r="M613" t="s">
        <v>5360</v>
      </c>
      <c r="N613" t="s">
        <v>1280</v>
      </c>
      <c r="O613" t="s">
        <v>25</v>
      </c>
      <c r="P613" t="s">
        <v>94</v>
      </c>
      <c r="Q613" t="s">
        <v>95</v>
      </c>
      <c r="R613" t="s">
        <v>2636</v>
      </c>
      <c r="S613">
        <v>3000000</v>
      </c>
      <c r="T613">
        <v>162000000</v>
      </c>
      <c r="U613">
        <v>138277533.78</v>
      </c>
      <c r="Z613"/>
    </row>
    <row r="614" spans="1:26" x14ac:dyDescent="0.25">
      <c r="A614">
        <v>103322</v>
      </c>
      <c r="B614" t="s">
        <v>5367</v>
      </c>
      <c r="C614" t="s">
        <v>5368</v>
      </c>
      <c r="D614" t="s">
        <v>1866</v>
      </c>
      <c r="E614">
        <v>0</v>
      </c>
      <c r="F614" s="105">
        <v>5359826.62</v>
      </c>
      <c r="G614" t="s">
        <v>5124</v>
      </c>
      <c r="H614">
        <v>215881.91</v>
      </c>
      <c r="I614">
        <v>6290745</v>
      </c>
      <c r="J614" s="384">
        <v>42977.493870914353</v>
      </c>
      <c r="K614" s="384">
        <v>43222</v>
      </c>
      <c r="L614" t="s">
        <v>5369</v>
      </c>
      <c r="M614" t="s">
        <v>1280</v>
      </c>
      <c r="N614" t="s">
        <v>1280</v>
      </c>
      <c r="O614" t="s">
        <v>25</v>
      </c>
      <c r="P614" t="s">
        <v>88</v>
      </c>
      <c r="Q614" t="s">
        <v>285</v>
      </c>
      <c r="R614" t="s">
        <v>2636</v>
      </c>
      <c r="S614">
        <v>6000000</v>
      </c>
      <c r="T614">
        <v>300000000</v>
      </c>
      <c r="U614">
        <v>267991331</v>
      </c>
      <c r="Z614"/>
    </row>
    <row r="615" spans="1:26" x14ac:dyDescent="0.25">
      <c r="A615">
        <v>103323</v>
      </c>
      <c r="B615" t="s">
        <v>4083</v>
      </c>
      <c r="C615" t="s">
        <v>4085</v>
      </c>
      <c r="D615" t="s">
        <v>1281</v>
      </c>
      <c r="E615">
        <v>0</v>
      </c>
      <c r="F615" s="105">
        <v>14921057.1</v>
      </c>
      <c r="G615" t="s">
        <v>491</v>
      </c>
      <c r="H615">
        <v>504829.1</v>
      </c>
      <c r="I615">
        <v>18233705.23</v>
      </c>
      <c r="J615" s="384">
        <v>42977.530860300925</v>
      </c>
      <c r="K615" s="384">
        <v>43344</v>
      </c>
      <c r="L615" t="s">
        <v>4086</v>
      </c>
      <c r="M615" t="s">
        <v>4087</v>
      </c>
      <c r="N615" t="s">
        <v>1280</v>
      </c>
      <c r="O615" t="s">
        <v>25</v>
      </c>
      <c r="P615" t="s">
        <v>88</v>
      </c>
      <c r="Q615" t="s">
        <v>285</v>
      </c>
      <c r="R615" t="s">
        <v>2856</v>
      </c>
      <c r="S615">
        <v>16000000</v>
      </c>
      <c r="T615">
        <v>672000000</v>
      </c>
      <c r="U615">
        <v>626684398.20000005</v>
      </c>
      <c r="Z615"/>
    </row>
    <row r="616" spans="1:26" x14ac:dyDescent="0.25">
      <c r="A616">
        <v>103324</v>
      </c>
      <c r="B616" t="s">
        <v>3185</v>
      </c>
      <c r="C616" t="s">
        <v>3188</v>
      </c>
      <c r="D616" t="s">
        <v>1282</v>
      </c>
      <c r="E616">
        <v>0</v>
      </c>
      <c r="F616" s="105">
        <v>5140545.05</v>
      </c>
      <c r="G616" t="s">
        <v>1039</v>
      </c>
      <c r="H616">
        <v>198767.74</v>
      </c>
      <c r="I616">
        <v>6454671.0700000003</v>
      </c>
      <c r="J616" s="384">
        <v>42977.704196030092</v>
      </c>
      <c r="K616" s="384">
        <v>43344</v>
      </c>
      <c r="L616" t="s">
        <v>3189</v>
      </c>
      <c r="M616" t="s">
        <v>1280</v>
      </c>
      <c r="N616" t="s">
        <v>1280</v>
      </c>
      <c r="O616" t="s">
        <v>25</v>
      </c>
      <c r="P616" t="s">
        <v>88</v>
      </c>
      <c r="Q616" t="s">
        <v>285</v>
      </c>
      <c r="R616" t="s">
        <v>2856</v>
      </c>
      <c r="S616">
        <v>5500000</v>
      </c>
      <c r="T616">
        <v>264000000</v>
      </c>
      <c r="U616">
        <v>246746162.40000001</v>
      </c>
      <c r="Z616"/>
    </row>
    <row r="617" spans="1:26" x14ac:dyDescent="0.25">
      <c r="A617">
        <v>103325</v>
      </c>
      <c r="B617" t="s">
        <v>868</v>
      </c>
      <c r="C617" t="s">
        <v>869</v>
      </c>
      <c r="D617" t="s">
        <v>1284</v>
      </c>
      <c r="E617">
        <v>0</v>
      </c>
      <c r="F617" s="105">
        <v>25871959.25</v>
      </c>
      <c r="G617" t="s">
        <v>86</v>
      </c>
      <c r="H617">
        <v>750286.82</v>
      </c>
      <c r="I617">
        <v>33405692.629999999</v>
      </c>
      <c r="J617" s="384">
        <v>42978.51465853009</v>
      </c>
      <c r="K617" s="384">
        <v>43525</v>
      </c>
      <c r="L617" t="s">
        <v>870</v>
      </c>
      <c r="M617" t="s">
        <v>871</v>
      </c>
      <c r="N617" t="s">
        <v>1280</v>
      </c>
      <c r="O617" t="s">
        <v>25</v>
      </c>
      <c r="P617" t="s">
        <v>88</v>
      </c>
      <c r="Q617" t="s">
        <v>285</v>
      </c>
      <c r="R617" t="s">
        <v>2856</v>
      </c>
      <c r="S617">
        <v>27000000</v>
      </c>
      <c r="T617">
        <v>972000000</v>
      </c>
      <c r="U617">
        <v>931390533</v>
      </c>
      <c r="Z617"/>
    </row>
    <row r="618" spans="1:26" x14ac:dyDescent="0.25">
      <c r="A618">
        <v>103326</v>
      </c>
      <c r="B618" t="s">
        <v>5370</v>
      </c>
      <c r="C618" t="s">
        <v>5374</v>
      </c>
      <c r="D618" t="s">
        <v>1282</v>
      </c>
      <c r="E618">
        <v>0</v>
      </c>
      <c r="F618" s="105">
        <v>4599698.87</v>
      </c>
      <c r="G618" t="s">
        <v>1191</v>
      </c>
      <c r="H618">
        <v>200086.9</v>
      </c>
      <c r="I618">
        <v>5695210.21</v>
      </c>
      <c r="J618" s="384">
        <v>42978.663012650461</v>
      </c>
      <c r="K618" s="384">
        <v>43282</v>
      </c>
      <c r="L618" t="s">
        <v>5375</v>
      </c>
      <c r="M618" t="s">
        <v>1280</v>
      </c>
      <c r="N618" t="s">
        <v>1280</v>
      </c>
      <c r="O618" t="s">
        <v>27</v>
      </c>
      <c r="P618" t="s">
        <v>81</v>
      </c>
      <c r="Q618" t="s">
        <v>5371</v>
      </c>
      <c r="R618" t="s">
        <v>2636</v>
      </c>
      <c r="S618">
        <v>5000000</v>
      </c>
      <c r="T618">
        <v>270000000</v>
      </c>
      <c r="U618">
        <v>248383738.97999999</v>
      </c>
      <c r="Z618"/>
    </row>
    <row r="619" spans="1:26" x14ac:dyDescent="0.25">
      <c r="A619">
        <v>103327</v>
      </c>
      <c r="B619" t="s">
        <v>5373</v>
      </c>
      <c r="C619" t="s">
        <v>5376</v>
      </c>
      <c r="D619" t="s">
        <v>1282</v>
      </c>
      <c r="E619">
        <v>0</v>
      </c>
      <c r="F619" s="105">
        <v>4599698.87</v>
      </c>
      <c r="G619" t="s">
        <v>5352</v>
      </c>
      <c r="H619">
        <v>200086.9</v>
      </c>
      <c r="I619">
        <v>5695210.21</v>
      </c>
      <c r="J619" s="384">
        <v>42978.741225428239</v>
      </c>
      <c r="K619" s="384">
        <v>43282</v>
      </c>
      <c r="L619" t="s">
        <v>5377</v>
      </c>
      <c r="M619" t="s">
        <v>5378</v>
      </c>
      <c r="N619" t="s">
        <v>1280</v>
      </c>
      <c r="O619" t="s">
        <v>25</v>
      </c>
      <c r="P619" t="s">
        <v>88</v>
      </c>
      <c r="Q619" t="s">
        <v>285</v>
      </c>
      <c r="R619" t="s">
        <v>2636</v>
      </c>
      <c r="S619">
        <v>5000000</v>
      </c>
      <c r="T619">
        <v>270000000</v>
      </c>
      <c r="U619">
        <v>248383738.97999999</v>
      </c>
      <c r="Z619"/>
    </row>
    <row r="620" spans="1:26" x14ac:dyDescent="0.25">
      <c r="A620">
        <v>103328</v>
      </c>
      <c r="B620" t="s">
        <v>5372</v>
      </c>
      <c r="C620" t="s">
        <v>5379</v>
      </c>
      <c r="D620" t="s">
        <v>1282</v>
      </c>
      <c r="E620">
        <v>0</v>
      </c>
      <c r="F620" s="105">
        <v>11080463.140000001</v>
      </c>
      <c r="G620" t="s">
        <v>2175</v>
      </c>
      <c r="H620">
        <v>482000.15</v>
      </c>
      <c r="I620">
        <v>12620184.32</v>
      </c>
      <c r="J620" s="384">
        <v>42978.731462037038</v>
      </c>
      <c r="K620" s="384">
        <v>43160</v>
      </c>
      <c r="L620" t="s">
        <v>5380</v>
      </c>
      <c r="M620" t="s">
        <v>5381</v>
      </c>
      <c r="N620" t="s">
        <v>1280</v>
      </c>
      <c r="O620" t="s">
        <v>25</v>
      </c>
      <c r="P620" t="s">
        <v>88</v>
      </c>
      <c r="Q620" t="s">
        <v>285</v>
      </c>
      <c r="R620" t="s">
        <v>2636</v>
      </c>
      <c r="S620">
        <v>13000000</v>
      </c>
      <c r="T620">
        <v>702000000</v>
      </c>
      <c r="U620">
        <v>598345009.55999994</v>
      </c>
      <c r="Z620"/>
    </row>
    <row r="621" spans="1:26" x14ac:dyDescent="0.25">
      <c r="A621">
        <v>103329</v>
      </c>
      <c r="B621" t="s">
        <v>5388</v>
      </c>
      <c r="C621" t="s">
        <v>5392</v>
      </c>
      <c r="D621" t="s">
        <v>1281</v>
      </c>
      <c r="E621">
        <v>-3</v>
      </c>
      <c r="F621" s="105">
        <v>15584053.949999999</v>
      </c>
      <c r="G621" t="s">
        <v>2175</v>
      </c>
      <c r="H621">
        <v>540247.19999999995</v>
      </c>
      <c r="I621">
        <v>18863514.48</v>
      </c>
      <c r="J621" s="384">
        <v>42982.679339236114</v>
      </c>
      <c r="K621" s="384">
        <v>43285</v>
      </c>
      <c r="L621" t="s">
        <v>5393</v>
      </c>
      <c r="M621" t="s">
        <v>5394</v>
      </c>
      <c r="N621" t="s">
        <v>1280</v>
      </c>
      <c r="O621" t="s">
        <v>25</v>
      </c>
      <c r="P621" t="s">
        <v>88</v>
      </c>
      <c r="Q621" t="s">
        <v>285</v>
      </c>
      <c r="R621" t="s">
        <v>2636</v>
      </c>
      <c r="S621">
        <v>17000000</v>
      </c>
      <c r="T621">
        <v>816000000</v>
      </c>
      <c r="U621">
        <v>748034589.60000002</v>
      </c>
      <c r="Z621"/>
    </row>
    <row r="622" spans="1:26" x14ac:dyDescent="0.25">
      <c r="A622">
        <v>103330</v>
      </c>
      <c r="B622" t="s">
        <v>5400</v>
      </c>
      <c r="C622" t="s">
        <v>5402</v>
      </c>
      <c r="D622" t="s">
        <v>1284</v>
      </c>
      <c r="E622">
        <v>-5</v>
      </c>
      <c r="F622" s="105">
        <v>33505195.640000001</v>
      </c>
      <c r="G622" t="s">
        <v>2855</v>
      </c>
      <c r="H622">
        <v>804124.7</v>
      </c>
      <c r="I622">
        <v>43261674.020000003</v>
      </c>
      <c r="J622" s="384">
        <v>42984.636498807871</v>
      </c>
      <c r="K622" s="384">
        <v>43530</v>
      </c>
      <c r="L622" t="s">
        <v>5403</v>
      </c>
      <c r="M622" t="s">
        <v>5404</v>
      </c>
      <c r="N622" t="s">
        <v>1280</v>
      </c>
      <c r="O622" t="s">
        <v>44</v>
      </c>
      <c r="P622" t="s">
        <v>75</v>
      </c>
      <c r="Q622" t="s">
        <v>1442</v>
      </c>
      <c r="R622" t="s">
        <v>2856</v>
      </c>
      <c r="S622">
        <v>35000000</v>
      </c>
      <c r="T622">
        <v>1260000000</v>
      </c>
      <c r="U622">
        <v>1206187043.04</v>
      </c>
      <c r="Z622"/>
    </row>
    <row r="623" spans="1:26" x14ac:dyDescent="0.25">
      <c r="A623">
        <v>103331</v>
      </c>
      <c r="B623" t="s">
        <v>3386</v>
      </c>
      <c r="C623" t="s">
        <v>3387</v>
      </c>
      <c r="D623" t="s">
        <v>1866</v>
      </c>
      <c r="E623">
        <v>20</v>
      </c>
      <c r="F623" s="105">
        <v>10000000</v>
      </c>
      <c r="G623" t="s">
        <v>1191</v>
      </c>
      <c r="H623">
        <v>571978.18999999994</v>
      </c>
      <c r="I623">
        <v>12529030.1</v>
      </c>
      <c r="J623" s="384">
        <v>42989.615845219909</v>
      </c>
      <c r="K623" s="384">
        <v>43354</v>
      </c>
      <c r="L623" t="s">
        <v>3388</v>
      </c>
      <c r="M623" t="s">
        <v>3389</v>
      </c>
      <c r="N623" t="s">
        <v>1280</v>
      </c>
      <c r="O623" t="s">
        <v>25</v>
      </c>
      <c r="P623" t="s">
        <v>88</v>
      </c>
      <c r="Q623" t="s">
        <v>285</v>
      </c>
      <c r="R623" t="s">
        <v>2856</v>
      </c>
      <c r="S623">
        <v>10000000</v>
      </c>
      <c r="T623">
        <v>440000000</v>
      </c>
      <c r="U623">
        <v>440000000</v>
      </c>
      <c r="Z623"/>
    </row>
    <row r="624" spans="1:26" x14ac:dyDescent="0.25">
      <c r="A624">
        <v>103332</v>
      </c>
      <c r="B624" t="s">
        <v>5542</v>
      </c>
      <c r="C624" t="s">
        <v>5544</v>
      </c>
      <c r="D624" t="s">
        <v>1284</v>
      </c>
      <c r="E624">
        <v>-21</v>
      </c>
      <c r="F624" s="105">
        <v>18950683.91</v>
      </c>
      <c r="G624" t="s">
        <v>2494</v>
      </c>
      <c r="H624">
        <v>168450.52</v>
      </c>
      <c r="I624">
        <v>24023758.609999999</v>
      </c>
      <c r="J624" s="384">
        <v>43000.551402893521</v>
      </c>
      <c r="K624" s="384">
        <v>43456</v>
      </c>
      <c r="L624" t="s">
        <v>5545</v>
      </c>
      <c r="M624" t="s">
        <v>1280</v>
      </c>
      <c r="N624" t="s">
        <v>1280</v>
      </c>
      <c r="O624" t="s">
        <v>44</v>
      </c>
      <c r="P624" t="s">
        <v>75</v>
      </c>
      <c r="Q624" t="s">
        <v>4000</v>
      </c>
      <c r="R624" t="s">
        <v>2636</v>
      </c>
      <c r="S624">
        <v>20000000</v>
      </c>
      <c r="T624">
        <v>800000000</v>
      </c>
      <c r="U624">
        <v>758027356.39999998</v>
      </c>
      <c r="Z624"/>
    </row>
    <row r="625" spans="1:26" x14ac:dyDescent="0.25">
      <c r="A625">
        <v>103333</v>
      </c>
      <c r="B625" t="s">
        <v>5431</v>
      </c>
      <c r="C625" t="s">
        <v>5434</v>
      </c>
      <c r="D625" t="s">
        <v>1282</v>
      </c>
      <c r="E625">
        <v>-11</v>
      </c>
      <c r="F625" s="105">
        <v>2296552.9500000002</v>
      </c>
      <c r="G625" t="s">
        <v>2175</v>
      </c>
      <c r="H625">
        <v>62006.93</v>
      </c>
      <c r="I625">
        <v>2843523.52</v>
      </c>
      <c r="J625" s="384">
        <v>42990.502439895834</v>
      </c>
      <c r="K625" s="384">
        <v>43293</v>
      </c>
      <c r="L625" t="s">
        <v>5435</v>
      </c>
      <c r="M625" t="s">
        <v>5436</v>
      </c>
      <c r="N625" t="s">
        <v>1280</v>
      </c>
      <c r="O625" t="s">
        <v>25</v>
      </c>
      <c r="P625" t="s">
        <v>88</v>
      </c>
      <c r="Q625" t="s">
        <v>285</v>
      </c>
      <c r="R625" t="s">
        <v>2636</v>
      </c>
      <c r="S625">
        <v>2500000</v>
      </c>
      <c r="T625">
        <v>135000000</v>
      </c>
      <c r="U625">
        <v>124013859.3</v>
      </c>
      <c r="Z625"/>
    </row>
    <row r="626" spans="1:26" x14ac:dyDescent="0.25">
      <c r="A626">
        <v>103334</v>
      </c>
      <c r="B626" t="s">
        <v>5432</v>
      </c>
      <c r="C626" t="s">
        <v>5437</v>
      </c>
      <c r="D626" t="s">
        <v>1282</v>
      </c>
      <c r="E626">
        <v>-11</v>
      </c>
      <c r="F626" s="105">
        <v>5511727.0700000003</v>
      </c>
      <c r="G626" t="s">
        <v>5124</v>
      </c>
      <c r="H626">
        <v>148816.63</v>
      </c>
      <c r="I626">
        <v>6824456.3700000001</v>
      </c>
      <c r="J626" s="384">
        <v>42990.598106481484</v>
      </c>
      <c r="K626" s="384">
        <v>43293</v>
      </c>
      <c r="L626" t="s">
        <v>5438</v>
      </c>
      <c r="M626" t="s">
        <v>5439</v>
      </c>
      <c r="N626" t="s">
        <v>1280</v>
      </c>
      <c r="O626" t="s">
        <v>25</v>
      </c>
      <c r="P626" t="s">
        <v>88</v>
      </c>
      <c r="Q626" t="s">
        <v>285</v>
      </c>
      <c r="R626" t="s">
        <v>2636</v>
      </c>
      <c r="S626">
        <v>6000000</v>
      </c>
      <c r="T626">
        <v>324000000</v>
      </c>
      <c r="U626">
        <v>297633261.77999997</v>
      </c>
      <c r="Z626"/>
    </row>
    <row r="627" spans="1:26" x14ac:dyDescent="0.25">
      <c r="A627">
        <v>103335</v>
      </c>
      <c r="B627" t="s">
        <v>5443</v>
      </c>
      <c r="C627" t="s">
        <v>5446</v>
      </c>
      <c r="D627" t="s">
        <v>1281</v>
      </c>
      <c r="E627">
        <v>-12</v>
      </c>
      <c r="F627" s="105">
        <v>28445247.920000002</v>
      </c>
      <c r="G627" t="s">
        <v>90</v>
      </c>
      <c r="H627">
        <v>564164.07999999996</v>
      </c>
      <c r="I627">
        <v>36466529.140000001</v>
      </c>
      <c r="J627" s="384">
        <v>42991.676158298615</v>
      </c>
      <c r="K627" s="384">
        <v>43447</v>
      </c>
      <c r="L627" t="s">
        <v>5447</v>
      </c>
      <c r="M627" t="s">
        <v>1280</v>
      </c>
      <c r="N627" t="s">
        <v>1280</v>
      </c>
      <c r="O627" t="s">
        <v>46</v>
      </c>
      <c r="P627" t="s">
        <v>46</v>
      </c>
      <c r="Q627" t="s">
        <v>112</v>
      </c>
      <c r="R627" t="s">
        <v>2856</v>
      </c>
      <c r="S627">
        <v>30000000</v>
      </c>
      <c r="T627">
        <v>1260000000</v>
      </c>
      <c r="U627">
        <v>1194700412.6400001</v>
      </c>
      <c r="Z627"/>
    </row>
    <row r="628" spans="1:26" x14ac:dyDescent="0.25">
      <c r="A628">
        <v>103336</v>
      </c>
      <c r="B628" t="s">
        <v>5445</v>
      </c>
      <c r="C628" t="s">
        <v>5448</v>
      </c>
      <c r="D628" t="s">
        <v>1866</v>
      </c>
      <c r="E628">
        <v>-12</v>
      </c>
      <c r="F628" s="105">
        <v>7338805.3099999996</v>
      </c>
      <c r="G628" t="s">
        <v>5124</v>
      </c>
      <c r="H628">
        <v>173277.35</v>
      </c>
      <c r="I628">
        <v>8950752.1199999992</v>
      </c>
      <c r="J628" s="384">
        <v>42991.640739548609</v>
      </c>
      <c r="K628" s="384">
        <v>43294</v>
      </c>
      <c r="L628" t="s">
        <v>5449</v>
      </c>
      <c r="M628" t="s">
        <v>5450</v>
      </c>
      <c r="N628" t="s">
        <v>1280</v>
      </c>
      <c r="O628" t="s">
        <v>25</v>
      </c>
      <c r="P628" t="s">
        <v>88</v>
      </c>
      <c r="Q628" t="s">
        <v>285</v>
      </c>
      <c r="R628" t="s">
        <v>2636</v>
      </c>
      <c r="S628">
        <v>8000000</v>
      </c>
      <c r="T628">
        <v>400000000</v>
      </c>
      <c r="U628">
        <v>366940265.5</v>
      </c>
      <c r="Z628"/>
    </row>
    <row r="629" spans="1:26" x14ac:dyDescent="0.25">
      <c r="A629">
        <v>103337</v>
      </c>
      <c r="B629" t="s">
        <v>1437</v>
      </c>
      <c r="C629" t="s">
        <v>1438</v>
      </c>
      <c r="D629" t="s">
        <v>1281</v>
      </c>
      <c r="E629">
        <v>-14</v>
      </c>
      <c r="F629" s="105">
        <v>19183663.18</v>
      </c>
      <c r="G629" t="s">
        <v>963</v>
      </c>
      <c r="H629">
        <v>335714.11</v>
      </c>
      <c r="I629">
        <v>25777725.850000001</v>
      </c>
      <c r="J629" s="384">
        <v>42993.718332986115</v>
      </c>
      <c r="K629" s="384">
        <v>43539</v>
      </c>
      <c r="L629" t="s">
        <v>1439</v>
      </c>
      <c r="M629" t="s">
        <v>1280</v>
      </c>
      <c r="N629" t="s">
        <v>1440</v>
      </c>
      <c r="O629" t="s">
        <v>37</v>
      </c>
      <c r="P629" t="s">
        <v>38</v>
      </c>
      <c r="Q629" t="s">
        <v>39</v>
      </c>
      <c r="R629" t="s">
        <v>2856</v>
      </c>
      <c r="S629">
        <v>20000000</v>
      </c>
      <c r="T629">
        <v>840000000</v>
      </c>
      <c r="U629">
        <v>805713853.55999994</v>
      </c>
      <c r="Z629"/>
    </row>
    <row r="630" spans="1:26" x14ac:dyDescent="0.25">
      <c r="A630">
        <v>103338</v>
      </c>
      <c r="B630" t="s">
        <v>3397</v>
      </c>
      <c r="C630" t="s">
        <v>3403</v>
      </c>
      <c r="D630" t="s">
        <v>1282</v>
      </c>
      <c r="E630">
        <v>-13</v>
      </c>
      <c r="F630" s="105">
        <v>4583545.28</v>
      </c>
      <c r="G630" t="s">
        <v>1447</v>
      </c>
      <c r="H630">
        <v>97782.3</v>
      </c>
      <c r="I630">
        <v>5548092.5</v>
      </c>
      <c r="J630" s="384">
        <v>42992.475522997687</v>
      </c>
      <c r="K630" s="384">
        <v>43295</v>
      </c>
      <c r="L630" t="s">
        <v>3404</v>
      </c>
      <c r="M630" t="s">
        <v>3405</v>
      </c>
      <c r="N630" t="s">
        <v>1280</v>
      </c>
      <c r="O630" t="s">
        <v>44</v>
      </c>
      <c r="P630" t="s">
        <v>75</v>
      </c>
      <c r="Q630" t="s">
        <v>4834</v>
      </c>
      <c r="R630" t="s">
        <v>2856</v>
      </c>
      <c r="S630">
        <v>5000000</v>
      </c>
      <c r="T630">
        <v>240000000</v>
      </c>
      <c r="U630">
        <v>220010173.44</v>
      </c>
      <c r="Z630"/>
    </row>
    <row r="631" spans="1:26" x14ac:dyDescent="0.25">
      <c r="A631">
        <v>103339</v>
      </c>
      <c r="B631" t="s">
        <v>5453</v>
      </c>
      <c r="C631" t="s">
        <v>5459</v>
      </c>
      <c r="D631" t="s">
        <v>1281</v>
      </c>
      <c r="E631">
        <v>-13</v>
      </c>
      <c r="F631" s="105">
        <v>16767288.91</v>
      </c>
      <c r="G631" t="s">
        <v>2855</v>
      </c>
      <c r="H631">
        <v>312989.39</v>
      </c>
      <c r="I631">
        <v>20489821.940000001</v>
      </c>
      <c r="J631" s="384">
        <v>42992.532625196756</v>
      </c>
      <c r="K631" s="384">
        <v>43357</v>
      </c>
      <c r="L631" t="s">
        <v>5460</v>
      </c>
      <c r="M631" t="s">
        <v>1280</v>
      </c>
      <c r="N631" t="s">
        <v>5461</v>
      </c>
      <c r="O631" t="s">
        <v>27</v>
      </c>
      <c r="P631" t="s">
        <v>116</v>
      </c>
      <c r="Q631" t="s">
        <v>1825</v>
      </c>
      <c r="R631" t="s">
        <v>2856</v>
      </c>
      <c r="S631">
        <v>18000000</v>
      </c>
      <c r="T631">
        <v>756000000</v>
      </c>
      <c r="U631">
        <v>704226134.22000003</v>
      </c>
      <c r="Z631"/>
    </row>
    <row r="632" spans="1:26" x14ac:dyDescent="0.25">
      <c r="A632">
        <v>103340</v>
      </c>
      <c r="B632" t="s">
        <v>5458</v>
      </c>
      <c r="C632" t="s">
        <v>576</v>
      </c>
      <c r="D632" t="s">
        <v>1284</v>
      </c>
      <c r="E632">
        <v>-13</v>
      </c>
      <c r="F632" s="105">
        <v>11170342.210000001</v>
      </c>
      <c r="G632" t="s">
        <v>491</v>
      </c>
      <c r="H632">
        <v>198583.86</v>
      </c>
      <c r="I632">
        <v>13526235.75</v>
      </c>
      <c r="J632" s="384">
        <v>42992.651779201391</v>
      </c>
      <c r="K632" s="384">
        <v>43357</v>
      </c>
      <c r="L632" t="s">
        <v>5462</v>
      </c>
      <c r="M632" t="s">
        <v>5463</v>
      </c>
      <c r="N632" t="s">
        <v>1280</v>
      </c>
      <c r="O632" t="s">
        <v>44</v>
      </c>
      <c r="P632" t="s">
        <v>92</v>
      </c>
      <c r="Q632" t="s">
        <v>92</v>
      </c>
      <c r="R632" t="s">
        <v>2636</v>
      </c>
      <c r="S632">
        <v>12000000</v>
      </c>
      <c r="T632">
        <v>480000000</v>
      </c>
      <c r="U632">
        <v>446813688.39999998</v>
      </c>
      <c r="Z632"/>
    </row>
    <row r="633" spans="1:26" x14ac:dyDescent="0.25">
      <c r="A633">
        <v>103341</v>
      </c>
      <c r="B633" t="s">
        <v>4049</v>
      </c>
      <c r="C633" t="s">
        <v>4050</v>
      </c>
      <c r="D633" t="s">
        <v>1867</v>
      </c>
      <c r="E633">
        <v>-13</v>
      </c>
      <c r="F633" s="105">
        <v>12709976.869999999</v>
      </c>
      <c r="G633" t="s">
        <v>90</v>
      </c>
      <c r="H633">
        <v>237252.9</v>
      </c>
      <c r="I633">
        <v>14075115.65</v>
      </c>
      <c r="J633" s="384">
        <v>42992.725817858794</v>
      </c>
      <c r="K633" s="384">
        <v>43173</v>
      </c>
      <c r="L633" t="s">
        <v>4051</v>
      </c>
      <c r="M633" t="s">
        <v>1280</v>
      </c>
      <c r="N633" t="s">
        <v>1280</v>
      </c>
      <c r="O633" t="s">
        <v>25</v>
      </c>
      <c r="P633" t="s">
        <v>88</v>
      </c>
      <c r="Q633" t="s">
        <v>285</v>
      </c>
      <c r="R633" t="s">
        <v>2856</v>
      </c>
      <c r="S633">
        <v>15000000</v>
      </c>
      <c r="T633">
        <v>630000000</v>
      </c>
      <c r="U633">
        <v>533819028.54000002</v>
      </c>
      <c r="Z633"/>
    </row>
    <row r="634" spans="1:26" x14ac:dyDescent="0.25">
      <c r="A634">
        <v>103342</v>
      </c>
      <c r="B634" t="s">
        <v>5473</v>
      </c>
      <c r="C634" t="s">
        <v>5476</v>
      </c>
      <c r="D634" t="s">
        <v>1867</v>
      </c>
      <c r="E634">
        <v>-14</v>
      </c>
      <c r="F634" s="105">
        <v>14001717.41</v>
      </c>
      <c r="G634" t="s">
        <v>1039</v>
      </c>
      <c r="H634">
        <v>280034.34999999998</v>
      </c>
      <c r="I634">
        <v>17581108.5</v>
      </c>
      <c r="J634" s="384">
        <v>42993.698568599539</v>
      </c>
      <c r="K634" s="384">
        <v>43358</v>
      </c>
      <c r="L634" t="s">
        <v>5477</v>
      </c>
      <c r="M634" t="s">
        <v>5478</v>
      </c>
      <c r="N634" t="s">
        <v>1280</v>
      </c>
      <c r="O634" t="s">
        <v>25</v>
      </c>
      <c r="P634" t="s">
        <v>94</v>
      </c>
      <c r="Q634" t="s">
        <v>26</v>
      </c>
      <c r="R634" t="s">
        <v>2636</v>
      </c>
      <c r="S634">
        <v>15000000</v>
      </c>
      <c r="T634">
        <v>720000000</v>
      </c>
      <c r="U634">
        <v>672082435.67999995</v>
      </c>
      <c r="Z634"/>
    </row>
    <row r="635" spans="1:26" x14ac:dyDescent="0.25">
      <c r="A635">
        <v>103343</v>
      </c>
      <c r="B635" t="s">
        <v>5474</v>
      </c>
      <c r="C635" t="s">
        <v>5479</v>
      </c>
      <c r="D635" t="s">
        <v>1281</v>
      </c>
      <c r="E635">
        <v>-14</v>
      </c>
      <c r="F635" s="105">
        <v>16802060.890000001</v>
      </c>
      <c r="G635" t="s">
        <v>2175</v>
      </c>
      <c r="H635">
        <v>336041.22</v>
      </c>
      <c r="I635">
        <v>21097330.199999999</v>
      </c>
      <c r="J635" s="384">
        <v>42993.773849502315</v>
      </c>
      <c r="K635" s="384">
        <v>43358</v>
      </c>
      <c r="L635" t="s">
        <v>5480</v>
      </c>
      <c r="M635" t="s">
        <v>1280</v>
      </c>
      <c r="N635" t="s">
        <v>1280</v>
      </c>
      <c r="O635" t="s">
        <v>25</v>
      </c>
      <c r="P635" t="s">
        <v>88</v>
      </c>
      <c r="Q635" t="s">
        <v>285</v>
      </c>
      <c r="R635" t="s">
        <v>2636</v>
      </c>
      <c r="S635">
        <v>18000000</v>
      </c>
      <c r="T635">
        <v>864000000</v>
      </c>
      <c r="U635">
        <v>806498922.72000003</v>
      </c>
      <c r="Z635"/>
    </row>
    <row r="636" spans="1:26" x14ac:dyDescent="0.25">
      <c r="A636">
        <v>103344</v>
      </c>
      <c r="B636" t="s">
        <v>2128</v>
      </c>
      <c r="C636" t="s">
        <v>2139</v>
      </c>
      <c r="D636" t="s">
        <v>1283</v>
      </c>
      <c r="E636">
        <v>-14</v>
      </c>
      <c r="F636" s="105">
        <v>29280444.309999999</v>
      </c>
      <c r="G636" t="s">
        <v>1467</v>
      </c>
      <c r="H636">
        <v>439206.66</v>
      </c>
      <c r="I636">
        <v>34810112.630000003</v>
      </c>
      <c r="J636" s="384">
        <v>42993.785429317133</v>
      </c>
      <c r="K636" s="384">
        <v>43358</v>
      </c>
      <c r="L636" t="s">
        <v>2140</v>
      </c>
      <c r="M636" t="s">
        <v>1280</v>
      </c>
      <c r="N636" t="s">
        <v>2141</v>
      </c>
      <c r="O636" t="s">
        <v>25</v>
      </c>
      <c r="P636" t="s">
        <v>88</v>
      </c>
      <c r="Q636" t="s">
        <v>285</v>
      </c>
      <c r="R636" t="s">
        <v>2856</v>
      </c>
      <c r="S636">
        <v>31500000</v>
      </c>
      <c r="T636">
        <v>1134000000</v>
      </c>
      <c r="U636">
        <v>1054095995.16</v>
      </c>
      <c r="Z636"/>
    </row>
    <row r="637" spans="1:26" x14ac:dyDescent="0.25">
      <c r="A637">
        <v>103345</v>
      </c>
      <c r="B637" t="s">
        <v>5490</v>
      </c>
      <c r="C637" t="s">
        <v>5492</v>
      </c>
      <c r="D637" t="s">
        <v>1282</v>
      </c>
      <c r="E637">
        <v>-15</v>
      </c>
      <c r="F637" s="105">
        <v>4676669.0599999996</v>
      </c>
      <c r="G637" t="s">
        <v>5491</v>
      </c>
      <c r="H637">
        <v>98210.05</v>
      </c>
      <c r="I637">
        <v>6031640.3799999999</v>
      </c>
      <c r="J637" s="384">
        <v>42994.53301929398</v>
      </c>
      <c r="K637" s="384">
        <v>43359</v>
      </c>
      <c r="L637" t="s">
        <v>5493</v>
      </c>
      <c r="M637" t="s">
        <v>5494</v>
      </c>
      <c r="N637" t="s">
        <v>1280</v>
      </c>
      <c r="O637" t="s">
        <v>25</v>
      </c>
      <c r="P637" t="s">
        <v>88</v>
      </c>
      <c r="Q637" t="s">
        <v>285</v>
      </c>
      <c r="R637" t="s">
        <v>2636</v>
      </c>
      <c r="S637">
        <v>5000000</v>
      </c>
      <c r="T637">
        <v>270000000</v>
      </c>
      <c r="U637">
        <v>252540129.24000001</v>
      </c>
      <c r="Z637"/>
    </row>
    <row r="638" spans="1:26" x14ac:dyDescent="0.25">
      <c r="A638">
        <v>103346</v>
      </c>
      <c r="B638" t="s">
        <v>5497</v>
      </c>
      <c r="C638" t="s">
        <v>5498</v>
      </c>
      <c r="D638" t="s">
        <v>1284</v>
      </c>
      <c r="E638">
        <v>-17</v>
      </c>
      <c r="F638" s="105">
        <v>19145826.079999998</v>
      </c>
      <c r="G638" t="s">
        <v>2855</v>
      </c>
      <c r="H638">
        <v>229749.91</v>
      </c>
      <c r="I638">
        <v>24720956.579999998</v>
      </c>
      <c r="J638" s="384">
        <v>42996.512122650463</v>
      </c>
      <c r="K638" s="384">
        <v>43542</v>
      </c>
      <c r="L638" t="s">
        <v>5499</v>
      </c>
      <c r="M638" t="s">
        <v>5500</v>
      </c>
      <c r="N638" t="s">
        <v>1280</v>
      </c>
      <c r="O638" t="s">
        <v>44</v>
      </c>
      <c r="P638" t="s">
        <v>75</v>
      </c>
      <c r="Q638" t="s">
        <v>1442</v>
      </c>
      <c r="R638" t="s">
        <v>2856</v>
      </c>
      <c r="S638">
        <v>20000000</v>
      </c>
      <c r="T638">
        <v>720000000</v>
      </c>
      <c r="U638">
        <v>689249738.88</v>
      </c>
      <c r="Z638"/>
    </row>
    <row r="639" spans="1:26" x14ac:dyDescent="0.25">
      <c r="A639">
        <v>103347</v>
      </c>
      <c r="B639" t="s">
        <v>5495</v>
      </c>
      <c r="C639" t="s">
        <v>5501</v>
      </c>
      <c r="D639" t="s">
        <v>1282</v>
      </c>
      <c r="E639">
        <v>-17</v>
      </c>
      <c r="F639" s="105">
        <v>2296552.9500000002</v>
      </c>
      <c r="G639" t="s">
        <v>4684</v>
      </c>
      <c r="H639">
        <v>41337.949999999997</v>
      </c>
      <c r="I639">
        <v>2843523.52</v>
      </c>
      <c r="J639" s="384">
        <v>42996.667852777777</v>
      </c>
      <c r="K639" s="384">
        <v>43299</v>
      </c>
      <c r="L639" t="s">
        <v>5502</v>
      </c>
      <c r="M639" t="s">
        <v>5503</v>
      </c>
      <c r="N639" t="s">
        <v>1280</v>
      </c>
      <c r="O639" t="s">
        <v>25</v>
      </c>
      <c r="P639" t="s">
        <v>103</v>
      </c>
      <c r="Q639" t="s">
        <v>104</v>
      </c>
      <c r="R639" t="s">
        <v>2636</v>
      </c>
      <c r="S639">
        <v>2500000</v>
      </c>
      <c r="T639">
        <v>135000000</v>
      </c>
      <c r="U639">
        <v>124013859.3</v>
      </c>
      <c r="Z639"/>
    </row>
    <row r="640" spans="1:26" x14ac:dyDescent="0.25">
      <c r="A640">
        <v>103348</v>
      </c>
      <c r="B640" t="s">
        <v>493</v>
      </c>
      <c r="C640" t="s">
        <v>494</v>
      </c>
      <c r="D640" t="s">
        <v>1281</v>
      </c>
      <c r="E640">
        <v>11</v>
      </c>
      <c r="F640" s="105">
        <v>20000000</v>
      </c>
      <c r="G640" t="s">
        <v>2175</v>
      </c>
      <c r="H640">
        <v>669435.31000000006</v>
      </c>
      <c r="I640">
        <v>25612185.73</v>
      </c>
      <c r="J640" s="384">
        <v>42998.502675231481</v>
      </c>
      <c r="K640" s="384">
        <v>43454</v>
      </c>
      <c r="L640" t="s">
        <v>495</v>
      </c>
      <c r="M640" t="s">
        <v>496</v>
      </c>
      <c r="N640" t="s">
        <v>1280</v>
      </c>
      <c r="O640" t="s">
        <v>25</v>
      </c>
      <c r="P640" t="s">
        <v>88</v>
      </c>
      <c r="Q640" t="s">
        <v>285</v>
      </c>
      <c r="R640" t="s">
        <v>2856</v>
      </c>
      <c r="S640">
        <v>20000000</v>
      </c>
      <c r="T640">
        <v>840000000</v>
      </c>
      <c r="U640">
        <v>840000000</v>
      </c>
      <c r="Z640"/>
    </row>
    <row r="641" spans="1:26" x14ac:dyDescent="0.25">
      <c r="A641">
        <v>103349</v>
      </c>
      <c r="B641" t="s">
        <v>3053</v>
      </c>
      <c r="C641" t="s">
        <v>3059</v>
      </c>
      <c r="D641" t="s">
        <v>1284</v>
      </c>
      <c r="E641">
        <v>-19</v>
      </c>
      <c r="F641" s="105">
        <v>18590758.289999999</v>
      </c>
      <c r="G641" t="s">
        <v>491</v>
      </c>
      <c r="H641">
        <v>185907.58</v>
      </c>
      <c r="I641">
        <v>22101658.789999999</v>
      </c>
      <c r="J641" s="384">
        <v>42998.574405590276</v>
      </c>
      <c r="K641" s="384">
        <v>43363</v>
      </c>
      <c r="L641" t="s">
        <v>3060</v>
      </c>
      <c r="M641" t="s">
        <v>3061</v>
      </c>
      <c r="N641" t="s">
        <v>1280</v>
      </c>
      <c r="O641" t="s">
        <v>44</v>
      </c>
      <c r="P641" t="s">
        <v>75</v>
      </c>
      <c r="Q641" t="s">
        <v>1442</v>
      </c>
      <c r="R641" t="s">
        <v>2856</v>
      </c>
      <c r="S641">
        <v>20000000</v>
      </c>
      <c r="T641">
        <v>720000000</v>
      </c>
      <c r="U641">
        <v>669267298.44000006</v>
      </c>
      <c r="Z641"/>
    </row>
    <row r="642" spans="1:26" x14ac:dyDescent="0.25">
      <c r="A642">
        <v>103350</v>
      </c>
      <c r="B642" t="s">
        <v>5506</v>
      </c>
      <c r="C642" t="s">
        <v>5510</v>
      </c>
      <c r="D642" t="s">
        <v>1279</v>
      </c>
      <c r="E642">
        <v>-18</v>
      </c>
      <c r="F642" s="105">
        <v>2296552.9500000002</v>
      </c>
      <c r="G642" t="s">
        <v>963</v>
      </c>
      <c r="H642">
        <v>37893.120000000003</v>
      </c>
      <c r="I642">
        <v>2843523.52</v>
      </c>
      <c r="J642" s="384">
        <v>42997.547181909722</v>
      </c>
      <c r="K642" s="384">
        <v>43300</v>
      </c>
      <c r="L642" t="s">
        <v>5511</v>
      </c>
      <c r="M642" t="s">
        <v>1280</v>
      </c>
      <c r="N642" t="s">
        <v>1280</v>
      </c>
      <c r="O642" t="s">
        <v>25</v>
      </c>
      <c r="P642" t="s">
        <v>94</v>
      </c>
      <c r="Q642" t="s">
        <v>5507</v>
      </c>
      <c r="R642" t="s">
        <v>2636</v>
      </c>
      <c r="S642">
        <v>2500000</v>
      </c>
      <c r="T642">
        <v>135000000</v>
      </c>
      <c r="U642">
        <v>124013859.3</v>
      </c>
      <c r="Z642"/>
    </row>
    <row r="643" spans="1:26" x14ac:dyDescent="0.25">
      <c r="A643">
        <v>103351</v>
      </c>
      <c r="B643" t="s">
        <v>5484</v>
      </c>
      <c r="C643" t="s">
        <v>5485</v>
      </c>
      <c r="D643" t="s">
        <v>1282</v>
      </c>
      <c r="E643">
        <v>-18</v>
      </c>
      <c r="F643" s="105">
        <v>9334478.2699999996</v>
      </c>
      <c r="G643" t="s">
        <v>2034</v>
      </c>
      <c r="H643">
        <v>136905.68</v>
      </c>
      <c r="I643">
        <v>11720738.99</v>
      </c>
      <c r="J643" s="384">
        <v>42997.603942627313</v>
      </c>
      <c r="K643" s="384">
        <v>43362</v>
      </c>
      <c r="L643" t="s">
        <v>5486</v>
      </c>
      <c r="M643" t="s">
        <v>1280</v>
      </c>
      <c r="N643" t="s">
        <v>1280</v>
      </c>
      <c r="O643" t="s">
        <v>44</v>
      </c>
      <c r="P643" t="s">
        <v>92</v>
      </c>
      <c r="Q643" t="s">
        <v>92</v>
      </c>
      <c r="R643" t="s">
        <v>2856</v>
      </c>
      <c r="S643">
        <v>10000000</v>
      </c>
      <c r="T643">
        <v>480000000</v>
      </c>
      <c r="U643">
        <v>448054956.95999998</v>
      </c>
      <c r="Z643"/>
    </row>
    <row r="644" spans="1:26" x14ac:dyDescent="0.25">
      <c r="A644">
        <v>103352</v>
      </c>
      <c r="B644" t="s">
        <v>1366</v>
      </c>
      <c r="C644" t="s">
        <v>1367</v>
      </c>
      <c r="D644" t="s">
        <v>1284</v>
      </c>
      <c r="E644">
        <v>-18</v>
      </c>
      <c r="F644" s="105">
        <v>12923432.609999999</v>
      </c>
      <c r="G644" t="s">
        <v>2494</v>
      </c>
      <c r="H644">
        <v>142157.76000000001</v>
      </c>
      <c r="I644">
        <v>16686645.74</v>
      </c>
      <c r="J644" s="384">
        <v>42997.615128321762</v>
      </c>
      <c r="K644" s="384">
        <v>43543</v>
      </c>
      <c r="L644" t="s">
        <v>1368</v>
      </c>
      <c r="M644" t="s">
        <v>1369</v>
      </c>
      <c r="N644" t="s">
        <v>1280</v>
      </c>
      <c r="O644" t="s">
        <v>44</v>
      </c>
      <c r="P644" t="s">
        <v>75</v>
      </c>
      <c r="Q644" t="s">
        <v>26</v>
      </c>
      <c r="R644" t="s">
        <v>2856</v>
      </c>
      <c r="S644">
        <v>13500000</v>
      </c>
      <c r="T644">
        <v>486000000</v>
      </c>
      <c r="U644">
        <v>465243573.95999998</v>
      </c>
      <c r="Z644"/>
    </row>
    <row r="645" spans="1:26" x14ac:dyDescent="0.25">
      <c r="A645">
        <v>103353</v>
      </c>
      <c r="B645" t="s">
        <v>5508</v>
      </c>
      <c r="C645" t="s">
        <v>5512</v>
      </c>
      <c r="D645" t="s">
        <v>1282</v>
      </c>
      <c r="E645">
        <v>-18</v>
      </c>
      <c r="F645" s="105">
        <v>2680171.04</v>
      </c>
      <c r="G645" t="s">
        <v>2175</v>
      </c>
      <c r="H645">
        <v>44222.82</v>
      </c>
      <c r="I645">
        <v>3183802.74</v>
      </c>
      <c r="J645" s="384">
        <v>42997.658450381947</v>
      </c>
      <c r="K645" s="384">
        <v>43239</v>
      </c>
      <c r="L645" t="s">
        <v>5513</v>
      </c>
      <c r="M645" t="s">
        <v>1280</v>
      </c>
      <c r="N645" t="s">
        <v>1280</v>
      </c>
      <c r="O645" t="s">
        <v>25</v>
      </c>
      <c r="P645" t="s">
        <v>88</v>
      </c>
      <c r="Q645" t="s">
        <v>285</v>
      </c>
      <c r="R645" t="s">
        <v>2636</v>
      </c>
      <c r="S645">
        <v>3000000</v>
      </c>
      <c r="T645">
        <v>162000000</v>
      </c>
      <c r="U645">
        <v>144729236.16</v>
      </c>
      <c r="Z645"/>
    </row>
    <row r="646" spans="1:26" x14ac:dyDescent="0.25">
      <c r="A646">
        <v>103354</v>
      </c>
      <c r="B646" t="s">
        <v>2785</v>
      </c>
      <c r="C646" t="s">
        <v>2791</v>
      </c>
      <c r="D646" t="s">
        <v>1279</v>
      </c>
      <c r="E646">
        <v>-19</v>
      </c>
      <c r="F646" s="105">
        <v>1782944.34</v>
      </c>
      <c r="G646" t="s">
        <v>2538</v>
      </c>
      <c r="H646">
        <v>23772.59</v>
      </c>
      <c r="I646">
        <v>2079389.66</v>
      </c>
      <c r="J646" s="384">
        <v>42998.67493429398</v>
      </c>
      <c r="K646" s="384">
        <v>43240</v>
      </c>
      <c r="L646" t="s">
        <v>2792</v>
      </c>
      <c r="M646" t="s">
        <v>1280</v>
      </c>
      <c r="N646" t="s">
        <v>1280</v>
      </c>
      <c r="O646" t="s">
        <v>25</v>
      </c>
      <c r="P646" t="s">
        <v>88</v>
      </c>
      <c r="Q646" t="s">
        <v>285</v>
      </c>
      <c r="R646" t="s">
        <v>2856</v>
      </c>
      <c r="S646">
        <v>2000000</v>
      </c>
      <c r="T646">
        <v>96000000</v>
      </c>
      <c r="U646">
        <v>85581328.319999993</v>
      </c>
      <c r="Z646"/>
    </row>
    <row r="647" spans="1:26" x14ac:dyDescent="0.25">
      <c r="A647">
        <v>103355</v>
      </c>
      <c r="B647" t="s">
        <v>5519</v>
      </c>
      <c r="C647" t="s">
        <v>5520</v>
      </c>
      <c r="D647" t="s">
        <v>1279</v>
      </c>
      <c r="E647">
        <v>11</v>
      </c>
      <c r="F647" s="105">
        <v>3500000</v>
      </c>
      <c r="G647" t="s">
        <v>546</v>
      </c>
      <c r="H647">
        <v>196727.61</v>
      </c>
      <c r="I647">
        <v>4335925.03</v>
      </c>
      <c r="J647" s="384">
        <v>42998.555043865737</v>
      </c>
      <c r="K647" s="384">
        <v>43301</v>
      </c>
      <c r="L647" t="s">
        <v>5521</v>
      </c>
      <c r="M647" t="s">
        <v>1280</v>
      </c>
      <c r="N647" t="s">
        <v>1280</v>
      </c>
      <c r="O647" t="s">
        <v>44</v>
      </c>
      <c r="P647" t="s">
        <v>92</v>
      </c>
      <c r="Q647" t="s">
        <v>92</v>
      </c>
      <c r="R647" t="s">
        <v>2636</v>
      </c>
      <c r="S647">
        <v>3500000</v>
      </c>
      <c r="T647">
        <v>189000000</v>
      </c>
      <c r="U647">
        <v>189000000</v>
      </c>
      <c r="Z647"/>
    </row>
    <row r="648" spans="1:26" x14ac:dyDescent="0.25">
      <c r="A648">
        <v>103356</v>
      </c>
      <c r="B648" t="s">
        <v>4400</v>
      </c>
      <c r="C648" t="s">
        <v>4402</v>
      </c>
      <c r="D648" t="s">
        <v>1281</v>
      </c>
      <c r="E648">
        <v>11</v>
      </c>
      <c r="F648" s="105">
        <v>21608830.239999998</v>
      </c>
      <c r="G648" t="s">
        <v>1039</v>
      </c>
      <c r="H648">
        <v>560820.57999999996</v>
      </c>
      <c r="I648">
        <v>28862299.18</v>
      </c>
      <c r="J648" s="384">
        <v>42998.62777835648</v>
      </c>
      <c r="K648" s="384">
        <v>43544</v>
      </c>
      <c r="L648" t="s">
        <v>4403</v>
      </c>
      <c r="M648" t="s">
        <v>1280</v>
      </c>
      <c r="N648" t="s">
        <v>1280</v>
      </c>
      <c r="O648" t="s">
        <v>25</v>
      </c>
      <c r="P648" t="s">
        <v>88</v>
      </c>
      <c r="Q648" t="s">
        <v>26</v>
      </c>
      <c r="R648" t="s">
        <v>2856</v>
      </c>
      <c r="S648">
        <v>22000000</v>
      </c>
      <c r="T648">
        <v>924000000</v>
      </c>
      <c r="U648">
        <v>907570870.08000004</v>
      </c>
      <c r="Z648"/>
    </row>
    <row r="649" spans="1:26" x14ac:dyDescent="0.25">
      <c r="A649">
        <v>103357</v>
      </c>
      <c r="B649" t="s">
        <v>2935</v>
      </c>
      <c r="C649" t="s">
        <v>2936</v>
      </c>
      <c r="D649" t="s">
        <v>1282</v>
      </c>
      <c r="E649">
        <v>-19</v>
      </c>
      <c r="F649" s="105">
        <v>9334478.2699999996</v>
      </c>
      <c r="G649" t="s">
        <v>2538</v>
      </c>
      <c r="H649">
        <v>124459.71</v>
      </c>
      <c r="I649">
        <v>11720738.99</v>
      </c>
      <c r="J649" s="384">
        <v>42998.699082951389</v>
      </c>
      <c r="K649" s="384">
        <v>43363</v>
      </c>
      <c r="L649" t="s">
        <v>2937</v>
      </c>
      <c r="M649" t="s">
        <v>1280</v>
      </c>
      <c r="N649" t="s">
        <v>1280</v>
      </c>
      <c r="O649" t="s">
        <v>25</v>
      </c>
      <c r="P649" t="s">
        <v>32</v>
      </c>
      <c r="Q649" t="s">
        <v>3369</v>
      </c>
      <c r="R649" t="s">
        <v>2856</v>
      </c>
      <c r="S649">
        <v>10000000</v>
      </c>
      <c r="T649">
        <v>480000000</v>
      </c>
      <c r="U649">
        <v>448054956.95999998</v>
      </c>
      <c r="Z649"/>
    </row>
    <row r="650" spans="1:26" x14ac:dyDescent="0.25">
      <c r="A650">
        <v>103358</v>
      </c>
      <c r="B650" t="s">
        <v>5530</v>
      </c>
      <c r="C650" t="s">
        <v>5533</v>
      </c>
      <c r="D650" t="s">
        <v>1279</v>
      </c>
      <c r="E650">
        <v>-20</v>
      </c>
      <c r="F650" s="105">
        <v>3126866.21</v>
      </c>
      <c r="G650" t="s">
        <v>5385</v>
      </c>
      <c r="H650">
        <v>42212.69</v>
      </c>
      <c r="I650">
        <v>3714436.49</v>
      </c>
      <c r="J650" s="384">
        <v>42999.724034340281</v>
      </c>
      <c r="K650" s="384">
        <v>43241</v>
      </c>
      <c r="L650" t="s">
        <v>5534</v>
      </c>
      <c r="M650" t="s">
        <v>1280</v>
      </c>
      <c r="N650" t="s">
        <v>1280</v>
      </c>
      <c r="O650" t="s">
        <v>25</v>
      </c>
      <c r="P650" t="s">
        <v>290</v>
      </c>
      <c r="Q650" t="s">
        <v>297</v>
      </c>
      <c r="R650" t="s">
        <v>2636</v>
      </c>
      <c r="S650">
        <v>3500000</v>
      </c>
      <c r="T650">
        <v>189000000</v>
      </c>
      <c r="U650">
        <v>168850775.34</v>
      </c>
      <c r="Z650"/>
    </row>
    <row r="651" spans="1:26" x14ac:dyDescent="0.25">
      <c r="A651">
        <v>103359</v>
      </c>
      <c r="B651" t="s">
        <v>5539</v>
      </c>
      <c r="C651" t="s">
        <v>5546</v>
      </c>
      <c r="D651" t="s">
        <v>1282</v>
      </c>
      <c r="E651">
        <v>-21</v>
      </c>
      <c r="F651" s="105">
        <v>2755863.53</v>
      </c>
      <c r="G651" t="s">
        <v>4684</v>
      </c>
      <c r="H651">
        <v>33070.36</v>
      </c>
      <c r="I651">
        <v>3412228.18</v>
      </c>
      <c r="J651" s="384">
        <v>43000.423390821757</v>
      </c>
      <c r="K651" s="384">
        <v>43303</v>
      </c>
      <c r="L651" t="s">
        <v>5547</v>
      </c>
      <c r="M651" t="s">
        <v>5548</v>
      </c>
      <c r="N651" t="s">
        <v>1280</v>
      </c>
      <c r="O651" t="s">
        <v>25</v>
      </c>
      <c r="P651" t="s">
        <v>103</v>
      </c>
      <c r="Q651" t="s">
        <v>104</v>
      </c>
      <c r="R651" t="s">
        <v>2636</v>
      </c>
      <c r="S651">
        <v>3000000</v>
      </c>
      <c r="T651">
        <v>162000000</v>
      </c>
      <c r="U651">
        <v>148816630.62</v>
      </c>
      <c r="Z651"/>
    </row>
    <row r="652" spans="1:26" x14ac:dyDescent="0.25">
      <c r="A652">
        <v>103360</v>
      </c>
      <c r="B652" t="s">
        <v>2913</v>
      </c>
      <c r="C652" t="s">
        <v>2914</v>
      </c>
      <c r="D652" t="s">
        <v>1282</v>
      </c>
      <c r="E652">
        <v>-21</v>
      </c>
      <c r="F652" s="105">
        <v>4200515.22</v>
      </c>
      <c r="G652" t="s">
        <v>963</v>
      </c>
      <c r="H652">
        <v>44805.5</v>
      </c>
      <c r="I652">
        <v>5274332.53</v>
      </c>
      <c r="J652" s="384">
        <v>43000.569336574074</v>
      </c>
      <c r="K652" s="384">
        <v>43365</v>
      </c>
      <c r="L652" t="s">
        <v>2915</v>
      </c>
      <c r="M652" t="s">
        <v>2916</v>
      </c>
      <c r="N652" t="s">
        <v>1280</v>
      </c>
      <c r="O652" t="s">
        <v>44</v>
      </c>
      <c r="P652" t="s">
        <v>75</v>
      </c>
      <c r="Q652" t="s">
        <v>26</v>
      </c>
      <c r="R652" t="s">
        <v>2856</v>
      </c>
      <c r="S652">
        <v>4500000</v>
      </c>
      <c r="T652">
        <v>216000000</v>
      </c>
      <c r="U652">
        <v>201624730.56</v>
      </c>
      <c r="Z652"/>
    </row>
    <row r="653" spans="1:26" x14ac:dyDescent="0.25">
      <c r="A653">
        <v>103361</v>
      </c>
      <c r="B653" t="s">
        <v>1144</v>
      </c>
      <c r="C653" t="s">
        <v>1318</v>
      </c>
      <c r="D653" t="s">
        <v>1285</v>
      </c>
      <c r="E653">
        <v>-20</v>
      </c>
      <c r="F653" s="105">
        <v>9520330.1400000006</v>
      </c>
      <c r="G653" t="s">
        <v>284</v>
      </c>
      <c r="H653">
        <v>52361.82</v>
      </c>
      <c r="I653">
        <v>11167165.32</v>
      </c>
      <c r="J653" s="384">
        <v>43000.651462499998</v>
      </c>
      <c r="K653" s="384">
        <v>43545</v>
      </c>
      <c r="L653" t="s">
        <v>1319</v>
      </c>
      <c r="M653" t="s">
        <v>1280</v>
      </c>
      <c r="N653" t="s">
        <v>1280</v>
      </c>
      <c r="O653" t="s">
        <v>43</v>
      </c>
      <c r="P653" t="s">
        <v>338</v>
      </c>
      <c r="Q653" t="s">
        <v>339</v>
      </c>
      <c r="R653" t="s">
        <v>2636</v>
      </c>
      <c r="S653">
        <v>10000000</v>
      </c>
      <c r="T653">
        <v>220000000</v>
      </c>
      <c r="U653">
        <v>209447263.08000001</v>
      </c>
      <c r="Z653"/>
    </row>
    <row r="654" spans="1:26" x14ac:dyDescent="0.25">
      <c r="A654">
        <v>103363</v>
      </c>
      <c r="B654" t="s">
        <v>5540</v>
      </c>
      <c r="C654" t="s">
        <v>5549</v>
      </c>
      <c r="D654" t="s">
        <v>1279</v>
      </c>
      <c r="E654">
        <v>-21</v>
      </c>
      <c r="F654" s="105">
        <v>1377931.77</v>
      </c>
      <c r="G654" t="s">
        <v>5124</v>
      </c>
      <c r="H654">
        <v>16535.18</v>
      </c>
      <c r="I654">
        <v>1706114.12</v>
      </c>
      <c r="J654" s="384">
        <v>43000.727458530091</v>
      </c>
      <c r="K654" s="384">
        <v>43303</v>
      </c>
      <c r="L654" t="s">
        <v>5550</v>
      </c>
      <c r="M654" t="s">
        <v>1280</v>
      </c>
      <c r="N654" t="s">
        <v>1280</v>
      </c>
      <c r="O654" t="s">
        <v>25</v>
      </c>
      <c r="P654" t="s">
        <v>101</v>
      </c>
      <c r="Q654" t="s">
        <v>26</v>
      </c>
      <c r="R654" t="s">
        <v>2636</v>
      </c>
      <c r="S654">
        <v>1500000</v>
      </c>
      <c r="T654">
        <v>81000000</v>
      </c>
      <c r="U654">
        <v>74408315.579999998</v>
      </c>
      <c r="Z654"/>
    </row>
    <row r="655" spans="1:26" x14ac:dyDescent="0.25">
      <c r="A655">
        <v>103364</v>
      </c>
      <c r="B655" t="s">
        <v>5556</v>
      </c>
      <c r="C655" t="s">
        <v>5557</v>
      </c>
      <c r="D655" t="s">
        <v>1282</v>
      </c>
      <c r="E655">
        <v>-22</v>
      </c>
      <c r="F655" s="105">
        <v>13779317.67</v>
      </c>
      <c r="G655" t="s">
        <v>5382</v>
      </c>
      <c r="H655">
        <v>144682.84</v>
      </c>
      <c r="I655">
        <v>17061140.940000001</v>
      </c>
      <c r="J655" s="384">
        <v>43001.43780659722</v>
      </c>
      <c r="K655" s="384">
        <v>43304</v>
      </c>
      <c r="L655" t="s">
        <v>5558</v>
      </c>
      <c r="M655" t="s">
        <v>5559</v>
      </c>
      <c r="N655" t="s">
        <v>1280</v>
      </c>
      <c r="O655" t="s">
        <v>29</v>
      </c>
      <c r="P655" t="s">
        <v>30</v>
      </c>
      <c r="Q655" t="s">
        <v>437</v>
      </c>
      <c r="R655" t="s">
        <v>2636</v>
      </c>
      <c r="S655">
        <v>15000000</v>
      </c>
      <c r="T655">
        <v>810000000</v>
      </c>
      <c r="U655">
        <v>744083154.17999995</v>
      </c>
      <c r="Z655"/>
    </row>
    <row r="656" spans="1:26" x14ac:dyDescent="0.25">
      <c r="A656">
        <v>103365</v>
      </c>
      <c r="B656" t="s">
        <v>4327</v>
      </c>
      <c r="C656" t="s">
        <v>1357</v>
      </c>
      <c r="D656" t="s">
        <v>1282</v>
      </c>
      <c r="E656">
        <v>-22</v>
      </c>
      <c r="F656" s="105">
        <v>12134821.76</v>
      </c>
      <c r="G656" t="s">
        <v>2175</v>
      </c>
      <c r="H656">
        <v>113258.34</v>
      </c>
      <c r="I656">
        <v>15236960.710000001</v>
      </c>
      <c r="J656" s="384">
        <v>43001.462453125001</v>
      </c>
      <c r="K656" s="384">
        <v>43366</v>
      </c>
      <c r="L656" t="s">
        <v>4342</v>
      </c>
      <c r="M656" t="s">
        <v>1280</v>
      </c>
      <c r="N656" t="s">
        <v>1280</v>
      </c>
      <c r="O656" t="s">
        <v>25</v>
      </c>
      <c r="P656" t="s">
        <v>103</v>
      </c>
      <c r="Q656" t="s">
        <v>104</v>
      </c>
      <c r="R656" t="s">
        <v>2856</v>
      </c>
      <c r="S656">
        <v>13000000</v>
      </c>
      <c r="T656">
        <v>624000000</v>
      </c>
      <c r="U656">
        <v>582471444.48000002</v>
      </c>
      <c r="Z656"/>
    </row>
    <row r="657" spans="1:26" x14ac:dyDescent="0.25">
      <c r="A657">
        <v>103366</v>
      </c>
      <c r="B657" t="s">
        <v>5564</v>
      </c>
      <c r="C657" t="s">
        <v>5568</v>
      </c>
      <c r="D657" t="s">
        <v>1282</v>
      </c>
      <c r="E657">
        <v>-24</v>
      </c>
      <c r="F657" s="105">
        <v>9353338.1099999994</v>
      </c>
      <c r="G657" t="s">
        <v>5382</v>
      </c>
      <c r="H657">
        <v>136156.20000000001</v>
      </c>
      <c r="I657">
        <v>12063280.74</v>
      </c>
      <c r="J657" s="384">
        <v>43003.566039664351</v>
      </c>
      <c r="K657" s="384">
        <v>43368</v>
      </c>
      <c r="L657" t="s">
        <v>5569</v>
      </c>
      <c r="M657" t="s">
        <v>5570</v>
      </c>
      <c r="N657" t="s">
        <v>1280</v>
      </c>
      <c r="O657" t="s">
        <v>37</v>
      </c>
      <c r="P657" t="s">
        <v>38</v>
      </c>
      <c r="Q657" t="s">
        <v>39</v>
      </c>
      <c r="R657" t="s">
        <v>2636</v>
      </c>
      <c r="S657">
        <v>10000000</v>
      </c>
      <c r="T657">
        <v>540000000</v>
      </c>
      <c r="U657">
        <v>505080257.94</v>
      </c>
      <c r="Z657"/>
    </row>
    <row r="658" spans="1:26" x14ac:dyDescent="0.25">
      <c r="A658">
        <v>103367</v>
      </c>
      <c r="B658" t="s">
        <v>5565</v>
      </c>
      <c r="C658" t="s">
        <v>5571</v>
      </c>
      <c r="D658" t="s">
        <v>1282</v>
      </c>
      <c r="E658">
        <v>-24</v>
      </c>
      <c r="F658" s="105">
        <v>5612002.8700000001</v>
      </c>
      <c r="G658" t="s">
        <v>1039</v>
      </c>
      <c r="H658">
        <v>274090.02</v>
      </c>
      <c r="I658">
        <v>7237968.46</v>
      </c>
      <c r="J658" s="384">
        <v>43003.651829629627</v>
      </c>
      <c r="K658" s="384">
        <v>43368</v>
      </c>
      <c r="L658" t="s">
        <v>5572</v>
      </c>
      <c r="M658" t="s">
        <v>5573</v>
      </c>
      <c r="N658" t="s">
        <v>1280</v>
      </c>
      <c r="O658" t="s">
        <v>44</v>
      </c>
      <c r="P658" t="s">
        <v>92</v>
      </c>
      <c r="Q658" t="s">
        <v>92</v>
      </c>
      <c r="R658" t="s">
        <v>2636</v>
      </c>
      <c r="S658">
        <v>6000000</v>
      </c>
      <c r="T658">
        <v>324000000</v>
      </c>
      <c r="U658">
        <v>303048154.98000002</v>
      </c>
      <c r="Z658"/>
    </row>
    <row r="659" spans="1:26" x14ac:dyDescent="0.25">
      <c r="A659">
        <v>103368</v>
      </c>
      <c r="B659" t="s">
        <v>438</v>
      </c>
      <c r="C659" t="s">
        <v>1228</v>
      </c>
      <c r="D659" t="s">
        <v>1282</v>
      </c>
      <c r="E659">
        <v>-24</v>
      </c>
      <c r="F659" s="105">
        <v>9334478.2699999996</v>
      </c>
      <c r="G659" t="s">
        <v>1191</v>
      </c>
      <c r="H659">
        <v>62229.86</v>
      </c>
      <c r="I659">
        <v>11720738.99</v>
      </c>
      <c r="J659" s="384">
        <v>43003.6607721412</v>
      </c>
      <c r="K659" s="384">
        <v>43368</v>
      </c>
      <c r="L659" t="s">
        <v>1229</v>
      </c>
      <c r="M659" t="s">
        <v>1230</v>
      </c>
      <c r="N659" t="s">
        <v>1280</v>
      </c>
      <c r="O659" t="s">
        <v>44</v>
      </c>
      <c r="P659" t="s">
        <v>75</v>
      </c>
      <c r="Q659" t="s">
        <v>26</v>
      </c>
      <c r="R659" t="s">
        <v>2856</v>
      </c>
      <c r="S659">
        <v>10000000</v>
      </c>
      <c r="T659">
        <v>480000000</v>
      </c>
      <c r="U659">
        <v>448054956.95999998</v>
      </c>
      <c r="Z659"/>
    </row>
    <row r="660" spans="1:26" x14ac:dyDescent="0.25">
      <c r="A660">
        <v>103369</v>
      </c>
      <c r="B660" t="s">
        <v>423</v>
      </c>
      <c r="C660" t="s">
        <v>424</v>
      </c>
      <c r="D660" t="s">
        <v>1282</v>
      </c>
      <c r="E660">
        <v>-1</v>
      </c>
      <c r="F660" s="105">
        <v>5000000</v>
      </c>
      <c r="G660" t="s">
        <v>1191</v>
      </c>
      <c r="H660">
        <v>220000</v>
      </c>
      <c r="I660">
        <v>620406.35</v>
      </c>
      <c r="J660" s="384">
        <v>43005.528888460649</v>
      </c>
      <c r="K660" s="384">
        <v>43314</v>
      </c>
      <c r="L660" t="s">
        <v>425</v>
      </c>
      <c r="M660" t="s">
        <v>426</v>
      </c>
      <c r="N660" t="s">
        <v>1280</v>
      </c>
      <c r="O660" t="s">
        <v>25</v>
      </c>
      <c r="P660" t="s">
        <v>88</v>
      </c>
      <c r="Q660" t="s">
        <v>285</v>
      </c>
      <c r="R660" t="s">
        <v>2856</v>
      </c>
      <c r="S660">
        <v>5000000</v>
      </c>
      <c r="T660">
        <v>240000000</v>
      </c>
      <c r="U660">
        <v>240000000</v>
      </c>
      <c r="Z660"/>
    </row>
    <row r="661" spans="1:26" x14ac:dyDescent="0.25">
      <c r="A661">
        <v>103370</v>
      </c>
      <c r="B661" t="s">
        <v>5579</v>
      </c>
      <c r="C661" t="s">
        <v>5583</v>
      </c>
      <c r="D661" t="s">
        <v>1279</v>
      </c>
      <c r="E661">
        <v>-1</v>
      </c>
      <c r="F661" s="105">
        <v>1000000</v>
      </c>
      <c r="G661" t="s">
        <v>5385</v>
      </c>
      <c r="H661">
        <v>51000</v>
      </c>
      <c r="I661">
        <v>127467.25</v>
      </c>
      <c r="J661" s="384">
        <v>43004.608470254629</v>
      </c>
      <c r="K661" s="384">
        <v>43314</v>
      </c>
      <c r="L661" t="s">
        <v>5584</v>
      </c>
      <c r="M661" t="s">
        <v>5585</v>
      </c>
      <c r="N661" t="s">
        <v>1280</v>
      </c>
      <c r="O661" t="s">
        <v>25</v>
      </c>
      <c r="P661" t="s">
        <v>88</v>
      </c>
      <c r="Q661" t="s">
        <v>285</v>
      </c>
      <c r="R661" t="s">
        <v>2636</v>
      </c>
      <c r="S661">
        <v>1000000</v>
      </c>
      <c r="T661">
        <v>54000000</v>
      </c>
      <c r="U661">
        <v>54000000</v>
      </c>
      <c r="Z661"/>
    </row>
    <row r="662" spans="1:26" x14ac:dyDescent="0.25">
      <c r="A662">
        <v>103371</v>
      </c>
      <c r="B662" t="s">
        <v>4305</v>
      </c>
      <c r="C662" t="s">
        <v>4312</v>
      </c>
      <c r="D662" t="s">
        <v>1279</v>
      </c>
      <c r="E662">
        <v>-1</v>
      </c>
      <c r="F662" s="105">
        <v>5000000</v>
      </c>
      <c r="G662" t="s">
        <v>4684</v>
      </c>
      <c r="H662">
        <v>226666.67</v>
      </c>
      <c r="I662">
        <v>536859.02</v>
      </c>
      <c r="J662" s="384">
        <v>43004.666905243059</v>
      </c>
      <c r="K662" s="384">
        <v>43375</v>
      </c>
      <c r="L662" t="s">
        <v>4313</v>
      </c>
      <c r="M662" t="s">
        <v>1280</v>
      </c>
      <c r="N662" t="s">
        <v>1280</v>
      </c>
      <c r="O662" t="s">
        <v>44</v>
      </c>
      <c r="P662" t="s">
        <v>75</v>
      </c>
      <c r="Q662" t="s">
        <v>4000</v>
      </c>
      <c r="R662" t="s">
        <v>2856</v>
      </c>
      <c r="S662">
        <v>5000000</v>
      </c>
      <c r="T662">
        <v>240000000</v>
      </c>
      <c r="U662">
        <v>240000000</v>
      </c>
      <c r="Z662"/>
    </row>
    <row r="663" spans="1:26" x14ac:dyDescent="0.25">
      <c r="A663">
        <v>103372</v>
      </c>
      <c r="B663" t="s">
        <v>5595</v>
      </c>
      <c r="C663" t="s">
        <v>5597</v>
      </c>
      <c r="D663" t="s">
        <v>1279</v>
      </c>
      <c r="E663">
        <v>-1</v>
      </c>
      <c r="F663" s="105">
        <v>4000000</v>
      </c>
      <c r="G663" t="s">
        <v>5124</v>
      </c>
      <c r="H663">
        <v>198000</v>
      </c>
      <c r="I663">
        <v>509143.39</v>
      </c>
      <c r="J663" s="384">
        <v>43005.701929594907</v>
      </c>
      <c r="K663" s="384">
        <v>43314</v>
      </c>
      <c r="L663" t="s">
        <v>5598</v>
      </c>
      <c r="M663" t="s">
        <v>1280</v>
      </c>
      <c r="N663" t="s">
        <v>1280</v>
      </c>
      <c r="O663" t="s">
        <v>25</v>
      </c>
      <c r="P663" t="s">
        <v>88</v>
      </c>
      <c r="Q663" t="s">
        <v>285</v>
      </c>
      <c r="R663" t="s">
        <v>2636</v>
      </c>
      <c r="S663">
        <v>4000000</v>
      </c>
      <c r="T663">
        <v>216000000</v>
      </c>
      <c r="U663">
        <v>216000000</v>
      </c>
      <c r="Z663"/>
    </row>
    <row r="664" spans="1:26" x14ac:dyDescent="0.25">
      <c r="A664">
        <v>103373</v>
      </c>
      <c r="B664" t="s">
        <v>5592</v>
      </c>
      <c r="C664" t="s">
        <v>5599</v>
      </c>
      <c r="D664" t="s">
        <v>1279</v>
      </c>
      <c r="E664">
        <v>-1</v>
      </c>
      <c r="F664" s="105">
        <v>4000000</v>
      </c>
      <c r="G664" t="s">
        <v>5352</v>
      </c>
      <c r="H664">
        <v>198000</v>
      </c>
      <c r="I664">
        <v>509143.39</v>
      </c>
      <c r="J664" s="384">
        <v>43005.713250196757</v>
      </c>
      <c r="K664" s="384">
        <v>43314</v>
      </c>
      <c r="L664" t="s">
        <v>5600</v>
      </c>
      <c r="M664" t="s">
        <v>5601</v>
      </c>
      <c r="N664" t="s">
        <v>1280</v>
      </c>
      <c r="O664" t="s">
        <v>25</v>
      </c>
      <c r="P664" t="s">
        <v>286</v>
      </c>
      <c r="Q664" t="s">
        <v>287</v>
      </c>
      <c r="R664" t="s">
        <v>2636</v>
      </c>
      <c r="S664">
        <v>4000000</v>
      </c>
      <c r="T664">
        <v>216000000</v>
      </c>
      <c r="U664">
        <v>216000000</v>
      </c>
      <c r="Z664"/>
    </row>
    <row r="665" spans="1:26" x14ac:dyDescent="0.25">
      <c r="A665">
        <v>103374</v>
      </c>
      <c r="B665" t="s">
        <v>3667</v>
      </c>
      <c r="C665" t="s">
        <v>3671</v>
      </c>
      <c r="D665" t="s">
        <v>1279</v>
      </c>
      <c r="E665">
        <v>-1</v>
      </c>
      <c r="F665" s="105">
        <v>3500000</v>
      </c>
      <c r="G665" t="s">
        <v>1039</v>
      </c>
      <c r="H665">
        <v>149333.34</v>
      </c>
      <c r="I665">
        <v>374845.08</v>
      </c>
      <c r="J665" s="384">
        <v>43006.684353240744</v>
      </c>
      <c r="K665" s="384">
        <v>43375</v>
      </c>
      <c r="L665" t="s">
        <v>3672</v>
      </c>
      <c r="M665" t="s">
        <v>3673</v>
      </c>
      <c r="N665" t="s">
        <v>1280</v>
      </c>
      <c r="O665" t="s">
        <v>44</v>
      </c>
      <c r="P665" t="s">
        <v>75</v>
      </c>
      <c r="Q665" t="s">
        <v>1442</v>
      </c>
      <c r="R665" t="s">
        <v>2856</v>
      </c>
      <c r="S665">
        <v>3500000</v>
      </c>
      <c r="T665">
        <v>168000000</v>
      </c>
      <c r="U665">
        <v>168000000</v>
      </c>
      <c r="Z665"/>
    </row>
    <row r="666" spans="1:26" x14ac:dyDescent="0.25">
      <c r="A666">
        <v>103375</v>
      </c>
      <c r="B666" t="s">
        <v>3866</v>
      </c>
      <c r="C666" t="s">
        <v>3871</v>
      </c>
      <c r="D666" t="s">
        <v>1284</v>
      </c>
      <c r="E666">
        <v>-1</v>
      </c>
      <c r="F666" s="105">
        <v>25000000</v>
      </c>
      <c r="G666" t="s">
        <v>2861</v>
      </c>
      <c r="H666">
        <v>800000</v>
      </c>
      <c r="I666">
        <v>2521305.7400000002</v>
      </c>
      <c r="J666" s="384">
        <v>43006.724725729167</v>
      </c>
      <c r="K666" s="384">
        <v>43375</v>
      </c>
      <c r="L666" t="s">
        <v>3872</v>
      </c>
      <c r="M666" t="s">
        <v>3873</v>
      </c>
      <c r="N666" t="s">
        <v>1280</v>
      </c>
      <c r="O666" t="s">
        <v>37</v>
      </c>
      <c r="P666" t="s">
        <v>686</v>
      </c>
      <c r="Q666" t="s">
        <v>686</v>
      </c>
      <c r="R666" t="s">
        <v>2856</v>
      </c>
      <c r="S666">
        <v>25000000</v>
      </c>
      <c r="T666">
        <v>900000000</v>
      </c>
      <c r="U666">
        <v>900000000</v>
      </c>
      <c r="Z666"/>
    </row>
    <row r="667" spans="1:26" x14ac:dyDescent="0.25">
      <c r="A667">
        <v>103376</v>
      </c>
      <c r="B667" t="s">
        <v>5608</v>
      </c>
      <c r="C667" t="s">
        <v>5615</v>
      </c>
      <c r="D667" t="s">
        <v>1282</v>
      </c>
      <c r="E667">
        <v>-1</v>
      </c>
      <c r="F667" s="105">
        <v>3000000</v>
      </c>
      <c r="G667" t="s">
        <v>5124</v>
      </c>
      <c r="H667">
        <v>144000</v>
      </c>
      <c r="I667">
        <v>381313.33</v>
      </c>
      <c r="J667" s="384">
        <v>43006.714477974536</v>
      </c>
      <c r="K667" s="384">
        <v>43314</v>
      </c>
      <c r="L667" t="s">
        <v>5616</v>
      </c>
      <c r="M667" t="s">
        <v>5617</v>
      </c>
      <c r="N667" t="s">
        <v>1280</v>
      </c>
      <c r="O667" t="s">
        <v>25</v>
      </c>
      <c r="P667" t="s">
        <v>88</v>
      </c>
      <c r="Q667" t="s">
        <v>285</v>
      </c>
      <c r="R667" t="s">
        <v>2636</v>
      </c>
      <c r="S667">
        <v>3000000</v>
      </c>
      <c r="T667">
        <v>162000000</v>
      </c>
      <c r="U667">
        <v>162000000</v>
      </c>
      <c r="Z667"/>
    </row>
    <row r="668" spans="1:26" x14ac:dyDescent="0.25">
      <c r="A668">
        <v>103377</v>
      </c>
      <c r="B668" t="s">
        <v>5610</v>
      </c>
      <c r="C668" t="s">
        <v>5618</v>
      </c>
      <c r="D668" t="s">
        <v>1279</v>
      </c>
      <c r="E668">
        <v>-1</v>
      </c>
      <c r="F668" s="105">
        <v>5000000</v>
      </c>
      <c r="G668" t="s">
        <v>468</v>
      </c>
      <c r="H668">
        <v>240000</v>
      </c>
      <c r="I668">
        <v>551479.25</v>
      </c>
      <c r="J668" s="384">
        <v>43006.690618981484</v>
      </c>
      <c r="K668" s="384">
        <v>43375</v>
      </c>
      <c r="L668" t="s">
        <v>5619</v>
      </c>
      <c r="M668" t="s">
        <v>5620</v>
      </c>
      <c r="N668" t="s">
        <v>1280</v>
      </c>
      <c r="O668" t="s">
        <v>25</v>
      </c>
      <c r="P668" t="s">
        <v>88</v>
      </c>
      <c r="Q668" t="s">
        <v>285</v>
      </c>
      <c r="R668" t="s">
        <v>2636</v>
      </c>
      <c r="S668">
        <v>5000000</v>
      </c>
      <c r="T668">
        <v>270000000</v>
      </c>
      <c r="U668">
        <v>270000000</v>
      </c>
      <c r="Z668"/>
    </row>
    <row r="669" spans="1:26" x14ac:dyDescent="0.25">
      <c r="A669">
        <v>103378</v>
      </c>
      <c r="B669" t="s">
        <v>5613</v>
      </c>
      <c r="C669" t="s">
        <v>5621</v>
      </c>
      <c r="D669" t="s">
        <v>1282</v>
      </c>
      <c r="E669">
        <v>-1</v>
      </c>
      <c r="F669" s="105">
        <v>3000000</v>
      </c>
      <c r="G669" t="s">
        <v>4684</v>
      </c>
      <c r="H669">
        <v>144000</v>
      </c>
      <c r="I669">
        <v>330887.55</v>
      </c>
      <c r="J669" s="384">
        <v>43006.734178472223</v>
      </c>
      <c r="K669" s="384">
        <v>43375</v>
      </c>
      <c r="L669" t="s">
        <v>5622</v>
      </c>
      <c r="M669" t="s">
        <v>1280</v>
      </c>
      <c r="N669" t="s">
        <v>1280</v>
      </c>
      <c r="O669" t="s">
        <v>44</v>
      </c>
      <c r="P669" t="s">
        <v>75</v>
      </c>
      <c r="Q669" t="s">
        <v>1442</v>
      </c>
      <c r="R669" t="s">
        <v>2636</v>
      </c>
      <c r="S669">
        <v>3000000</v>
      </c>
      <c r="T669">
        <v>162000000</v>
      </c>
      <c r="U669">
        <v>162000000</v>
      </c>
      <c r="Z669"/>
    </row>
    <row r="670" spans="1:26" x14ac:dyDescent="0.25">
      <c r="A670">
        <v>103379</v>
      </c>
      <c r="B670" t="s">
        <v>5673</v>
      </c>
      <c r="C670" t="s">
        <v>5676</v>
      </c>
      <c r="D670" t="s">
        <v>1282</v>
      </c>
      <c r="E670">
        <v>-1</v>
      </c>
      <c r="F670" s="105">
        <v>14000000</v>
      </c>
      <c r="G670" t="s">
        <v>4844</v>
      </c>
      <c r="H670">
        <v>630000</v>
      </c>
      <c r="I670">
        <v>1539734.28</v>
      </c>
      <c r="J670" s="384">
        <v>43008.50186921296</v>
      </c>
      <c r="K670" s="384">
        <v>43375</v>
      </c>
      <c r="L670" t="s">
        <v>5677</v>
      </c>
      <c r="M670" t="s">
        <v>5678</v>
      </c>
      <c r="N670" t="s">
        <v>1280</v>
      </c>
      <c r="O670" t="s">
        <v>25</v>
      </c>
      <c r="P670" t="s">
        <v>88</v>
      </c>
      <c r="Q670" t="s">
        <v>285</v>
      </c>
      <c r="R670" t="s">
        <v>2636</v>
      </c>
      <c r="S670">
        <v>14000000</v>
      </c>
      <c r="T670">
        <v>756000000</v>
      </c>
      <c r="U670">
        <v>756000000</v>
      </c>
      <c r="Z670"/>
    </row>
    <row r="671" spans="1:26" x14ac:dyDescent="0.25">
      <c r="A671">
        <v>103380</v>
      </c>
      <c r="B671" t="s">
        <v>4001</v>
      </c>
      <c r="C671" t="s">
        <v>4002</v>
      </c>
      <c r="D671" t="s">
        <v>1282</v>
      </c>
      <c r="E671">
        <v>-5</v>
      </c>
      <c r="F671" s="105">
        <v>10000000</v>
      </c>
      <c r="G671" t="s">
        <v>90</v>
      </c>
      <c r="H671">
        <v>413333.33</v>
      </c>
      <c r="I671">
        <v>1075084.1000000001</v>
      </c>
      <c r="J671" s="384">
        <v>43007.603788738423</v>
      </c>
      <c r="K671" s="384">
        <v>43379</v>
      </c>
      <c r="L671" t="s">
        <v>4003</v>
      </c>
      <c r="M671" t="s">
        <v>4004</v>
      </c>
      <c r="N671" t="s">
        <v>4005</v>
      </c>
      <c r="O671" t="s">
        <v>25</v>
      </c>
      <c r="P671" t="s">
        <v>88</v>
      </c>
      <c r="Q671" t="s">
        <v>285</v>
      </c>
      <c r="R671" t="s">
        <v>2856</v>
      </c>
      <c r="S671">
        <v>10000000</v>
      </c>
      <c r="T671">
        <v>480000000</v>
      </c>
      <c r="U671">
        <v>480000000</v>
      </c>
      <c r="Z671"/>
    </row>
    <row r="672" spans="1:26" x14ac:dyDescent="0.25">
      <c r="A672">
        <v>103381</v>
      </c>
      <c r="B672" t="s">
        <v>5636</v>
      </c>
      <c r="C672" t="s">
        <v>5643</v>
      </c>
      <c r="D672" t="s">
        <v>1282</v>
      </c>
      <c r="E672">
        <v>-1</v>
      </c>
      <c r="F672" s="105">
        <v>8000000</v>
      </c>
      <c r="G672" t="s">
        <v>2034</v>
      </c>
      <c r="H672">
        <v>372000</v>
      </c>
      <c r="I672">
        <v>1015384.29</v>
      </c>
      <c r="J672" s="384">
        <v>43007.669438854165</v>
      </c>
      <c r="K672" s="384">
        <v>43314</v>
      </c>
      <c r="L672" t="s">
        <v>5644</v>
      </c>
      <c r="M672" t="s">
        <v>1280</v>
      </c>
      <c r="N672" t="s">
        <v>1280</v>
      </c>
      <c r="O672" t="s">
        <v>25</v>
      </c>
      <c r="P672" t="s">
        <v>94</v>
      </c>
      <c r="Q672" t="s">
        <v>5507</v>
      </c>
      <c r="R672" t="s">
        <v>2636</v>
      </c>
      <c r="S672">
        <v>8000000</v>
      </c>
      <c r="T672">
        <v>432000000</v>
      </c>
      <c r="U672">
        <v>432000000</v>
      </c>
      <c r="Z672"/>
    </row>
    <row r="673" spans="1:26" x14ac:dyDescent="0.25">
      <c r="A673">
        <v>103382</v>
      </c>
      <c r="B673" t="s">
        <v>369</v>
      </c>
      <c r="C673" t="s">
        <v>381</v>
      </c>
      <c r="D673" t="s">
        <v>1281</v>
      </c>
      <c r="E673">
        <v>-1</v>
      </c>
      <c r="F673" s="105">
        <v>18000000</v>
      </c>
      <c r="G673" t="s">
        <v>1191</v>
      </c>
      <c r="H673">
        <v>651000</v>
      </c>
      <c r="I673">
        <v>1369318.07</v>
      </c>
      <c r="J673" s="384">
        <v>43007.60738105324</v>
      </c>
      <c r="K673" s="384">
        <v>43557</v>
      </c>
      <c r="L673" t="s">
        <v>382</v>
      </c>
      <c r="M673" t="s">
        <v>383</v>
      </c>
      <c r="N673" t="s">
        <v>1280</v>
      </c>
      <c r="O673" t="s">
        <v>25</v>
      </c>
      <c r="P673" t="s">
        <v>88</v>
      </c>
      <c r="Q673" t="s">
        <v>285</v>
      </c>
      <c r="R673" t="s">
        <v>2856</v>
      </c>
      <c r="S673">
        <v>18000000</v>
      </c>
      <c r="T673">
        <v>756000000</v>
      </c>
      <c r="U673">
        <v>756000000</v>
      </c>
      <c r="Z673"/>
    </row>
    <row r="674" spans="1:26" x14ac:dyDescent="0.25">
      <c r="A674">
        <v>103383</v>
      </c>
      <c r="B674" t="s">
        <v>5635</v>
      </c>
      <c r="C674" t="s">
        <v>5645</v>
      </c>
      <c r="D674" t="s">
        <v>1279</v>
      </c>
      <c r="E674">
        <v>-1</v>
      </c>
      <c r="F674" s="105">
        <v>4000000</v>
      </c>
      <c r="G674" t="s">
        <v>5385</v>
      </c>
      <c r="H674">
        <v>186000</v>
      </c>
      <c r="I674">
        <v>440553.74</v>
      </c>
      <c r="J674" s="384">
        <v>43007.676541053239</v>
      </c>
      <c r="K674" s="384">
        <v>43375</v>
      </c>
      <c r="L674" t="s">
        <v>5646</v>
      </c>
      <c r="M674" t="s">
        <v>5647</v>
      </c>
      <c r="N674" t="s">
        <v>1280</v>
      </c>
      <c r="O674" t="s">
        <v>25</v>
      </c>
      <c r="P674" t="s">
        <v>101</v>
      </c>
      <c r="Q674" t="s">
        <v>1826</v>
      </c>
      <c r="R674" t="s">
        <v>2636</v>
      </c>
      <c r="S674">
        <v>4000000</v>
      </c>
      <c r="T674">
        <v>216000000</v>
      </c>
      <c r="U674">
        <v>216000000</v>
      </c>
      <c r="Z674"/>
    </row>
    <row r="675" spans="1:26" x14ac:dyDescent="0.25">
      <c r="A675">
        <v>103384</v>
      </c>
      <c r="B675" t="s">
        <v>5675</v>
      </c>
      <c r="C675" t="s">
        <v>5679</v>
      </c>
      <c r="D675" t="s">
        <v>1281</v>
      </c>
      <c r="E675">
        <v>-1</v>
      </c>
      <c r="F675" s="105">
        <v>25000000</v>
      </c>
      <c r="G675" t="s">
        <v>1039</v>
      </c>
      <c r="H675">
        <v>1000000</v>
      </c>
      <c r="I675">
        <v>2670634.58</v>
      </c>
      <c r="J675" s="384">
        <v>43008.542422685183</v>
      </c>
      <c r="K675" s="384">
        <v>43375</v>
      </c>
      <c r="L675" t="s">
        <v>5680</v>
      </c>
      <c r="M675" t="s">
        <v>5681</v>
      </c>
      <c r="N675" t="s">
        <v>1280</v>
      </c>
      <c r="O675" t="s">
        <v>37</v>
      </c>
      <c r="P675" t="s">
        <v>38</v>
      </c>
      <c r="Q675" t="s">
        <v>1681</v>
      </c>
      <c r="R675" t="s">
        <v>2636</v>
      </c>
      <c r="S675">
        <v>25000000</v>
      </c>
      <c r="T675">
        <v>1200000000</v>
      </c>
      <c r="U675">
        <v>1200000000</v>
      </c>
      <c r="Z675"/>
    </row>
    <row r="676" spans="1:26" x14ac:dyDescent="0.25">
      <c r="A676">
        <v>103385</v>
      </c>
      <c r="B676" t="s">
        <v>5639</v>
      </c>
      <c r="C676" t="s">
        <v>5648</v>
      </c>
      <c r="D676" t="s">
        <v>1279</v>
      </c>
      <c r="E676">
        <v>-1</v>
      </c>
      <c r="F676" s="105">
        <v>5000000</v>
      </c>
      <c r="G676" t="s">
        <v>1039</v>
      </c>
      <c r="H676">
        <v>232500</v>
      </c>
      <c r="I676">
        <v>1143862.8</v>
      </c>
      <c r="J676" s="384">
        <v>43007.794188391206</v>
      </c>
      <c r="K676" s="384">
        <v>43161</v>
      </c>
      <c r="L676" t="s">
        <v>5649</v>
      </c>
      <c r="M676" t="s">
        <v>5650</v>
      </c>
      <c r="N676" t="s">
        <v>1280</v>
      </c>
      <c r="O676" t="s">
        <v>25</v>
      </c>
      <c r="P676" t="s">
        <v>88</v>
      </c>
      <c r="Q676" t="s">
        <v>285</v>
      </c>
      <c r="R676" t="s">
        <v>2636</v>
      </c>
      <c r="S676">
        <v>5000000</v>
      </c>
      <c r="T676">
        <v>270000000</v>
      </c>
      <c r="U676">
        <v>270000000</v>
      </c>
      <c r="Z676"/>
    </row>
    <row r="677" spans="1:26" x14ac:dyDescent="0.25">
      <c r="A677">
        <v>103386</v>
      </c>
      <c r="B677" t="s">
        <v>5633</v>
      </c>
      <c r="C677" t="s">
        <v>5651</v>
      </c>
      <c r="D677" t="s">
        <v>1282</v>
      </c>
      <c r="E677">
        <v>-1</v>
      </c>
      <c r="F677" s="105">
        <v>5000000</v>
      </c>
      <c r="G677" t="s">
        <v>5385</v>
      </c>
      <c r="H677">
        <v>232500</v>
      </c>
      <c r="I677">
        <v>634615.18000000005</v>
      </c>
      <c r="J677" s="384">
        <v>43007.759531284719</v>
      </c>
      <c r="K677" s="384">
        <v>43314</v>
      </c>
      <c r="L677" t="s">
        <v>5652</v>
      </c>
      <c r="M677" t="s">
        <v>5653</v>
      </c>
      <c r="N677" t="s">
        <v>1280</v>
      </c>
      <c r="O677" t="s">
        <v>27</v>
      </c>
      <c r="P677" t="s">
        <v>81</v>
      </c>
      <c r="Q677" t="s">
        <v>5634</v>
      </c>
      <c r="R677" t="s">
        <v>2636</v>
      </c>
      <c r="S677">
        <v>5000000</v>
      </c>
      <c r="T677">
        <v>270000000</v>
      </c>
      <c r="U677">
        <v>270000000</v>
      </c>
      <c r="Z677"/>
    </row>
    <row r="678" spans="1:26" x14ac:dyDescent="0.25">
      <c r="A678">
        <v>103387</v>
      </c>
      <c r="B678" t="s">
        <v>5641</v>
      </c>
      <c r="C678" t="s">
        <v>5654</v>
      </c>
      <c r="D678" t="s">
        <v>1281</v>
      </c>
      <c r="E678">
        <v>-1</v>
      </c>
      <c r="F678" s="105">
        <v>24000000</v>
      </c>
      <c r="G678" t="s">
        <v>5124</v>
      </c>
      <c r="H678">
        <v>992000</v>
      </c>
      <c r="I678">
        <v>2567087.73</v>
      </c>
      <c r="J678" s="384">
        <v>43007.720409988426</v>
      </c>
      <c r="K678" s="384">
        <v>43375</v>
      </c>
      <c r="L678" t="s">
        <v>5655</v>
      </c>
      <c r="M678" t="s">
        <v>1280</v>
      </c>
      <c r="N678" t="s">
        <v>1280</v>
      </c>
      <c r="O678" t="s">
        <v>44</v>
      </c>
      <c r="P678" t="s">
        <v>75</v>
      </c>
      <c r="Q678" t="s">
        <v>1442</v>
      </c>
      <c r="R678" t="s">
        <v>2636</v>
      </c>
      <c r="S678">
        <v>24000000</v>
      </c>
      <c r="T678">
        <v>1152000000</v>
      </c>
      <c r="U678">
        <v>1152000000</v>
      </c>
      <c r="Z678"/>
    </row>
    <row r="679" spans="1:26" x14ac:dyDescent="0.25">
      <c r="A679">
        <v>103388</v>
      </c>
      <c r="B679" t="s">
        <v>5637</v>
      </c>
      <c r="C679" t="s">
        <v>5656</v>
      </c>
      <c r="D679" t="s">
        <v>1282</v>
      </c>
      <c r="E679">
        <v>-1</v>
      </c>
      <c r="F679" s="105">
        <v>4000000</v>
      </c>
      <c r="G679" t="s">
        <v>1039</v>
      </c>
      <c r="H679">
        <v>186000</v>
      </c>
      <c r="I679">
        <v>507692.15</v>
      </c>
      <c r="J679" s="384">
        <v>43007.829713657404</v>
      </c>
      <c r="K679" s="384">
        <v>43314</v>
      </c>
      <c r="L679" t="s">
        <v>5657</v>
      </c>
      <c r="M679" t="s">
        <v>5658</v>
      </c>
      <c r="N679" t="s">
        <v>1280</v>
      </c>
      <c r="O679" t="s">
        <v>25</v>
      </c>
      <c r="P679" t="s">
        <v>88</v>
      </c>
      <c r="Q679" t="s">
        <v>285</v>
      </c>
      <c r="R679" t="s">
        <v>2636</v>
      </c>
      <c r="S679">
        <v>4000000</v>
      </c>
      <c r="T679">
        <v>216000000</v>
      </c>
      <c r="U679">
        <v>216000000</v>
      </c>
      <c r="Z679"/>
    </row>
    <row r="680" spans="1:26" x14ac:dyDescent="0.25">
      <c r="A680">
        <v>103389</v>
      </c>
      <c r="B680" t="s">
        <v>1274</v>
      </c>
      <c r="C680" t="s">
        <v>1275</v>
      </c>
      <c r="D680" t="s">
        <v>1282</v>
      </c>
      <c r="E680">
        <v>-1</v>
      </c>
      <c r="F680" s="105">
        <v>7000000</v>
      </c>
      <c r="G680" t="s">
        <v>5167</v>
      </c>
      <c r="H680">
        <v>280000</v>
      </c>
      <c r="I680">
        <v>554371.13</v>
      </c>
      <c r="J680" s="384">
        <v>43008.509689120372</v>
      </c>
      <c r="K680" s="384">
        <v>43557</v>
      </c>
      <c r="L680" t="s">
        <v>1276</v>
      </c>
      <c r="M680" t="s">
        <v>1280</v>
      </c>
      <c r="N680" t="s">
        <v>1280</v>
      </c>
      <c r="O680" t="s">
        <v>25</v>
      </c>
      <c r="P680" t="s">
        <v>88</v>
      </c>
      <c r="Q680" t="s">
        <v>285</v>
      </c>
      <c r="R680" t="s">
        <v>2856</v>
      </c>
      <c r="S680">
        <v>7000000</v>
      </c>
      <c r="T680">
        <v>336000000</v>
      </c>
      <c r="U680">
        <v>336000000</v>
      </c>
      <c r="Z680"/>
    </row>
    <row r="681" spans="1:26" x14ac:dyDescent="0.25">
      <c r="A681">
        <v>103390</v>
      </c>
      <c r="B681" t="s">
        <v>5666</v>
      </c>
      <c r="C681" t="s">
        <v>5682</v>
      </c>
      <c r="D681" t="s">
        <v>1284</v>
      </c>
      <c r="E681">
        <v>-1</v>
      </c>
      <c r="F681" s="105">
        <v>6000000</v>
      </c>
      <c r="G681" t="s">
        <v>1467</v>
      </c>
      <c r="H681">
        <v>180000</v>
      </c>
      <c r="I681">
        <v>603942.93999999994</v>
      </c>
      <c r="J681" s="384">
        <v>43008.53713290509</v>
      </c>
      <c r="K681" s="384">
        <v>43375</v>
      </c>
      <c r="L681" t="s">
        <v>5683</v>
      </c>
      <c r="M681" t="s">
        <v>1280</v>
      </c>
      <c r="N681" t="s">
        <v>5684</v>
      </c>
      <c r="O681" t="s">
        <v>25</v>
      </c>
      <c r="P681" t="s">
        <v>94</v>
      </c>
      <c r="Q681" t="s">
        <v>5507</v>
      </c>
      <c r="R681" t="s">
        <v>2856</v>
      </c>
      <c r="S681">
        <v>6000000</v>
      </c>
      <c r="T681">
        <v>216000000</v>
      </c>
      <c r="U681">
        <v>216000000</v>
      </c>
      <c r="Z681"/>
    </row>
    <row r="682" spans="1:26" x14ac:dyDescent="0.25">
      <c r="A682">
        <v>103391</v>
      </c>
      <c r="B682" t="s">
        <v>5671</v>
      </c>
      <c r="C682" t="s">
        <v>5685</v>
      </c>
      <c r="D682" t="s">
        <v>1279</v>
      </c>
      <c r="E682">
        <v>-1</v>
      </c>
      <c r="F682" s="105">
        <v>3500000</v>
      </c>
      <c r="G682" t="s">
        <v>5352</v>
      </c>
      <c r="H682">
        <v>157500</v>
      </c>
      <c r="I682">
        <v>384933.57</v>
      </c>
      <c r="J682" s="384">
        <v>43008.581624189814</v>
      </c>
      <c r="K682" s="384">
        <v>43375</v>
      </c>
      <c r="L682" t="s">
        <v>5686</v>
      </c>
      <c r="M682" t="s">
        <v>5687</v>
      </c>
      <c r="N682" t="s">
        <v>1280</v>
      </c>
      <c r="O682" t="s">
        <v>25</v>
      </c>
      <c r="P682" t="s">
        <v>88</v>
      </c>
      <c r="Q682" t="s">
        <v>285</v>
      </c>
      <c r="R682" t="s">
        <v>2636</v>
      </c>
      <c r="S682">
        <v>3500000</v>
      </c>
      <c r="T682">
        <v>189000000</v>
      </c>
      <c r="U682">
        <v>189000000</v>
      </c>
      <c r="Z682"/>
    </row>
    <row r="683" spans="1:26" x14ac:dyDescent="0.25">
      <c r="A683">
        <v>103392</v>
      </c>
      <c r="B683" t="s">
        <v>5669</v>
      </c>
      <c r="C683" t="s">
        <v>5688</v>
      </c>
      <c r="D683" t="s">
        <v>1866</v>
      </c>
      <c r="E683">
        <v>-1</v>
      </c>
      <c r="F683" s="105">
        <v>6000000</v>
      </c>
      <c r="G683" t="s">
        <v>5352</v>
      </c>
      <c r="H683">
        <v>250000</v>
      </c>
      <c r="I683">
        <v>899703.13</v>
      </c>
      <c r="J683" s="384">
        <v>43008.621397766205</v>
      </c>
      <c r="K683" s="384">
        <v>43253</v>
      </c>
      <c r="L683" t="s">
        <v>5689</v>
      </c>
      <c r="M683" t="s">
        <v>1280</v>
      </c>
      <c r="N683" t="s">
        <v>1280</v>
      </c>
      <c r="O683" t="s">
        <v>25</v>
      </c>
      <c r="P683" t="s">
        <v>88</v>
      </c>
      <c r="Q683" t="s">
        <v>285</v>
      </c>
      <c r="R683" t="s">
        <v>2636</v>
      </c>
      <c r="S683">
        <v>6000000</v>
      </c>
      <c r="T683">
        <v>300000000</v>
      </c>
      <c r="U683">
        <v>300000000</v>
      </c>
      <c r="Z683"/>
    </row>
    <row r="684" spans="1:26" x14ac:dyDescent="0.25">
      <c r="A684">
        <v>103393</v>
      </c>
      <c r="B684" t="s">
        <v>5670</v>
      </c>
      <c r="C684" t="s">
        <v>5690</v>
      </c>
      <c r="D684" t="s">
        <v>1279</v>
      </c>
      <c r="E684">
        <v>-1</v>
      </c>
      <c r="F684" s="105">
        <v>1800000</v>
      </c>
      <c r="G684" t="s">
        <v>4683</v>
      </c>
      <c r="H684">
        <v>81000</v>
      </c>
      <c r="I684">
        <v>228134.94</v>
      </c>
      <c r="J684" s="384">
        <v>43008.724388310184</v>
      </c>
      <c r="K684" s="384">
        <v>43314</v>
      </c>
      <c r="L684" t="s">
        <v>5691</v>
      </c>
      <c r="M684" t="s">
        <v>1280</v>
      </c>
      <c r="N684" t="s">
        <v>1280</v>
      </c>
      <c r="O684" t="s">
        <v>25</v>
      </c>
      <c r="P684" t="s">
        <v>88</v>
      </c>
      <c r="Q684" t="s">
        <v>285</v>
      </c>
      <c r="R684" t="s">
        <v>2636</v>
      </c>
      <c r="S684">
        <v>1800000</v>
      </c>
      <c r="T684">
        <v>97200000</v>
      </c>
      <c r="U684">
        <v>97200000</v>
      </c>
      <c r="Z684"/>
    </row>
    <row r="685" spans="1:26" x14ac:dyDescent="0.25">
      <c r="A685">
        <v>103394</v>
      </c>
      <c r="B685" t="s">
        <v>405</v>
      </c>
      <c r="C685" t="s">
        <v>406</v>
      </c>
      <c r="D685" t="s">
        <v>1866</v>
      </c>
      <c r="E685">
        <v>-1</v>
      </c>
      <c r="F685" s="105">
        <v>7000000</v>
      </c>
      <c r="G685" t="s">
        <v>90</v>
      </c>
      <c r="H685">
        <v>256666.67</v>
      </c>
      <c r="I685">
        <v>733235.86</v>
      </c>
      <c r="J685" s="384">
        <v>43008.719984108793</v>
      </c>
      <c r="K685" s="384">
        <v>43375</v>
      </c>
      <c r="L685" t="s">
        <v>407</v>
      </c>
      <c r="M685" t="s">
        <v>1280</v>
      </c>
      <c r="N685" t="s">
        <v>1280</v>
      </c>
      <c r="O685" t="s">
        <v>45</v>
      </c>
      <c r="P685" t="s">
        <v>45</v>
      </c>
      <c r="Q685" t="s">
        <v>1658</v>
      </c>
      <c r="R685" t="s">
        <v>2856</v>
      </c>
      <c r="S685">
        <v>7000000</v>
      </c>
      <c r="T685">
        <v>308000000</v>
      </c>
      <c r="U685">
        <v>308000000</v>
      </c>
      <c r="Z685"/>
    </row>
    <row r="686" spans="1:26" x14ac:dyDescent="0.25">
      <c r="A686">
        <v>103395</v>
      </c>
      <c r="B686" t="s">
        <v>5665</v>
      </c>
      <c r="C686" t="s">
        <v>5692</v>
      </c>
      <c r="D686" t="s">
        <v>1866</v>
      </c>
      <c r="E686">
        <v>-1</v>
      </c>
      <c r="F686" s="105">
        <v>8000000</v>
      </c>
      <c r="G686" t="s">
        <v>5382</v>
      </c>
      <c r="H686">
        <v>333333.34000000003</v>
      </c>
      <c r="I686">
        <v>997180.09</v>
      </c>
      <c r="J686" s="384">
        <v>43008.778982094911</v>
      </c>
      <c r="K686" s="384">
        <v>43314</v>
      </c>
      <c r="L686" t="s">
        <v>5693</v>
      </c>
      <c r="M686" t="s">
        <v>1280</v>
      </c>
      <c r="N686" t="s">
        <v>1280</v>
      </c>
      <c r="O686" t="s">
        <v>25</v>
      </c>
      <c r="P686" t="s">
        <v>103</v>
      </c>
      <c r="Q686" t="s">
        <v>104</v>
      </c>
      <c r="R686" t="s">
        <v>2636</v>
      </c>
      <c r="S686">
        <v>8000000</v>
      </c>
      <c r="T686">
        <v>400000000</v>
      </c>
      <c r="U686">
        <v>400000000</v>
      </c>
      <c r="Z686"/>
    </row>
    <row r="687" spans="1:26" x14ac:dyDescent="0.25">
      <c r="A687">
        <v>103396</v>
      </c>
      <c r="B687" t="s">
        <v>5706</v>
      </c>
      <c r="C687" t="s">
        <v>5707</v>
      </c>
      <c r="D687" t="s">
        <v>1279</v>
      </c>
      <c r="E687">
        <v>-1</v>
      </c>
      <c r="F687" s="105">
        <v>3500000</v>
      </c>
      <c r="G687" t="s">
        <v>5491</v>
      </c>
      <c r="H687">
        <v>147000</v>
      </c>
      <c r="I687">
        <v>442325.88</v>
      </c>
      <c r="J687" s="384">
        <v>43010.702141516202</v>
      </c>
      <c r="K687" s="384">
        <v>43314</v>
      </c>
      <c r="L687" t="s">
        <v>5708</v>
      </c>
      <c r="M687" t="s">
        <v>1280</v>
      </c>
      <c r="N687" t="s">
        <v>1280</v>
      </c>
      <c r="O687" t="s">
        <v>25</v>
      </c>
      <c r="P687" t="s">
        <v>88</v>
      </c>
      <c r="Q687" t="s">
        <v>285</v>
      </c>
      <c r="R687" t="s">
        <v>2636</v>
      </c>
      <c r="S687">
        <v>3500000</v>
      </c>
      <c r="T687">
        <v>189000000</v>
      </c>
      <c r="U687">
        <v>189000000</v>
      </c>
      <c r="Z687"/>
    </row>
    <row r="688" spans="1:26" x14ac:dyDescent="0.25">
      <c r="A688">
        <v>103397</v>
      </c>
      <c r="B688" t="s">
        <v>5714</v>
      </c>
      <c r="C688" t="s">
        <v>5715</v>
      </c>
      <c r="D688" t="s">
        <v>1284</v>
      </c>
      <c r="E688">
        <v>-3</v>
      </c>
      <c r="F688" s="105">
        <v>25000000</v>
      </c>
      <c r="G688" t="s">
        <v>546</v>
      </c>
      <c r="H688">
        <v>722222.22</v>
      </c>
      <c r="I688">
        <v>2144978.4500000002</v>
      </c>
      <c r="J688" s="384">
        <v>43012.753689618054</v>
      </c>
      <c r="K688" s="384">
        <v>43469</v>
      </c>
      <c r="L688" t="s">
        <v>5716</v>
      </c>
      <c r="M688" t="s">
        <v>5717</v>
      </c>
      <c r="N688" t="s">
        <v>1280</v>
      </c>
      <c r="O688" t="s">
        <v>44</v>
      </c>
      <c r="P688" t="s">
        <v>92</v>
      </c>
      <c r="Q688" t="s">
        <v>92</v>
      </c>
      <c r="R688" t="s">
        <v>2636</v>
      </c>
      <c r="S688">
        <v>25000000</v>
      </c>
      <c r="T688">
        <v>1000000000</v>
      </c>
      <c r="U688">
        <v>1000000000</v>
      </c>
      <c r="Z688"/>
    </row>
    <row r="689" spans="1:26" x14ac:dyDescent="0.25">
      <c r="A689">
        <v>103398</v>
      </c>
      <c r="B689" t="s">
        <v>5729</v>
      </c>
      <c r="C689" t="s">
        <v>5734</v>
      </c>
      <c r="D689" t="s">
        <v>1282</v>
      </c>
      <c r="E689">
        <v>-5</v>
      </c>
      <c r="F689" s="105">
        <v>9000000</v>
      </c>
      <c r="G689" t="s">
        <v>86</v>
      </c>
      <c r="H689">
        <v>288000</v>
      </c>
      <c r="I689">
        <v>958969.55</v>
      </c>
      <c r="J689" s="384">
        <v>43014.58796099537</v>
      </c>
      <c r="K689" s="384">
        <v>43379</v>
      </c>
      <c r="L689" t="s">
        <v>5735</v>
      </c>
      <c r="M689" t="s">
        <v>1280</v>
      </c>
      <c r="N689" t="s">
        <v>1280</v>
      </c>
      <c r="O689" t="s">
        <v>25</v>
      </c>
      <c r="P689" t="s">
        <v>88</v>
      </c>
      <c r="Q689" t="s">
        <v>285</v>
      </c>
      <c r="R689" t="s">
        <v>2856</v>
      </c>
      <c r="S689">
        <v>9000000</v>
      </c>
      <c r="T689">
        <v>432000000</v>
      </c>
      <c r="U689">
        <v>432000000</v>
      </c>
      <c r="Z689"/>
    </row>
    <row r="690" spans="1:26" x14ac:dyDescent="0.25">
      <c r="A690">
        <v>103399</v>
      </c>
      <c r="B690" t="s">
        <v>5733</v>
      </c>
      <c r="C690" t="s">
        <v>5736</v>
      </c>
      <c r="D690" t="s">
        <v>1866</v>
      </c>
      <c r="E690">
        <v>-5</v>
      </c>
      <c r="F690" s="105">
        <v>6000000</v>
      </c>
      <c r="G690" t="s">
        <v>3074</v>
      </c>
      <c r="H690">
        <v>200000</v>
      </c>
      <c r="I690">
        <v>645510.71</v>
      </c>
      <c r="J690" s="384">
        <v>43014.588256481482</v>
      </c>
      <c r="K690" s="384">
        <v>43379</v>
      </c>
      <c r="L690" t="s">
        <v>5737</v>
      </c>
      <c r="M690" t="s">
        <v>1280</v>
      </c>
      <c r="N690" t="s">
        <v>1280</v>
      </c>
      <c r="O690" t="s">
        <v>25</v>
      </c>
      <c r="P690" t="s">
        <v>101</v>
      </c>
      <c r="Q690" t="s">
        <v>5507</v>
      </c>
      <c r="R690" t="s">
        <v>2636</v>
      </c>
      <c r="S690">
        <v>6000000</v>
      </c>
      <c r="T690">
        <v>300000000</v>
      </c>
      <c r="U690">
        <v>300000000</v>
      </c>
      <c r="Z690"/>
    </row>
    <row r="691" spans="1:26" x14ac:dyDescent="0.25">
      <c r="A691">
        <v>103400</v>
      </c>
      <c r="B691" t="s">
        <v>5747</v>
      </c>
      <c r="C691" t="s">
        <v>5752</v>
      </c>
      <c r="D691" t="s">
        <v>1282</v>
      </c>
      <c r="E691">
        <v>-9</v>
      </c>
      <c r="F691" s="105">
        <v>6000000</v>
      </c>
      <c r="G691" t="s">
        <v>5385</v>
      </c>
      <c r="H691">
        <v>180000</v>
      </c>
      <c r="I691">
        <v>909657.92</v>
      </c>
      <c r="J691" s="384">
        <v>43018.732764780092</v>
      </c>
      <c r="K691" s="384">
        <v>43261</v>
      </c>
      <c r="L691" t="s">
        <v>5753</v>
      </c>
      <c r="M691" t="s">
        <v>1280</v>
      </c>
      <c r="N691" t="s">
        <v>1280</v>
      </c>
      <c r="O691" t="s">
        <v>25</v>
      </c>
      <c r="P691" t="s">
        <v>88</v>
      </c>
      <c r="Q691" t="s">
        <v>285</v>
      </c>
      <c r="R691" t="s">
        <v>2636</v>
      </c>
      <c r="S691">
        <v>6000000</v>
      </c>
      <c r="T691">
        <v>324000000</v>
      </c>
      <c r="U691">
        <v>324000000</v>
      </c>
      <c r="Z691"/>
    </row>
    <row r="692" spans="1:26" x14ac:dyDescent="0.25">
      <c r="A692">
        <v>103401</v>
      </c>
      <c r="B692" t="s">
        <v>5730</v>
      </c>
      <c r="C692" t="s">
        <v>5738</v>
      </c>
      <c r="D692" t="s">
        <v>1281</v>
      </c>
      <c r="E692">
        <v>-5</v>
      </c>
      <c r="F692" s="105">
        <v>25000000</v>
      </c>
      <c r="G692" t="s">
        <v>5167</v>
      </c>
      <c r="H692">
        <v>800000</v>
      </c>
      <c r="I692">
        <v>2663804.3199999998</v>
      </c>
      <c r="J692" s="384">
        <v>43014.726949652781</v>
      </c>
      <c r="K692" s="384">
        <v>43379</v>
      </c>
      <c r="L692" t="s">
        <v>5739</v>
      </c>
      <c r="M692" t="s">
        <v>5740</v>
      </c>
      <c r="N692" t="s">
        <v>1280</v>
      </c>
      <c r="O692" t="s">
        <v>44</v>
      </c>
      <c r="P692" t="s">
        <v>75</v>
      </c>
      <c r="Q692" t="s">
        <v>26</v>
      </c>
      <c r="R692" t="s">
        <v>2636</v>
      </c>
      <c r="S692">
        <v>25000000</v>
      </c>
      <c r="T692">
        <v>1200000000</v>
      </c>
      <c r="U692">
        <v>1200000000</v>
      </c>
      <c r="Z692"/>
    </row>
    <row r="693" spans="1:26" x14ac:dyDescent="0.25">
      <c r="A693">
        <v>103403</v>
      </c>
      <c r="B693" t="s">
        <v>3553</v>
      </c>
      <c r="C693" t="s">
        <v>3563</v>
      </c>
      <c r="D693" t="s">
        <v>1282</v>
      </c>
      <c r="E693">
        <v>-9</v>
      </c>
      <c r="F693" s="105">
        <v>4500000</v>
      </c>
      <c r="G693" t="s">
        <v>1039</v>
      </c>
      <c r="H693">
        <v>120000</v>
      </c>
      <c r="I693">
        <v>479484.78</v>
      </c>
      <c r="J693" s="384">
        <v>43018.615223726854</v>
      </c>
      <c r="K693" s="384">
        <v>43383</v>
      </c>
      <c r="L693" t="s">
        <v>3564</v>
      </c>
      <c r="M693" t="s">
        <v>1280</v>
      </c>
      <c r="N693" t="s">
        <v>3565</v>
      </c>
      <c r="O693" t="s">
        <v>25</v>
      </c>
      <c r="P693" t="s">
        <v>88</v>
      </c>
      <c r="Q693" t="s">
        <v>285</v>
      </c>
      <c r="R693" t="s">
        <v>2856</v>
      </c>
      <c r="S693">
        <v>4500000</v>
      </c>
      <c r="T693">
        <v>216000000</v>
      </c>
      <c r="U693">
        <v>216000000</v>
      </c>
      <c r="Z693"/>
    </row>
    <row r="694" spans="1:26" x14ac:dyDescent="0.25">
      <c r="A694">
        <v>103404</v>
      </c>
      <c r="B694" t="s">
        <v>5751</v>
      </c>
      <c r="C694" t="s">
        <v>5754</v>
      </c>
      <c r="D694" t="s">
        <v>1866</v>
      </c>
      <c r="E694">
        <v>-9</v>
      </c>
      <c r="F694" s="105">
        <v>6000000</v>
      </c>
      <c r="G694" t="s">
        <v>468</v>
      </c>
      <c r="H694">
        <v>146666.67000000001</v>
      </c>
      <c r="I694">
        <v>727521.67</v>
      </c>
      <c r="J694" s="384">
        <v>43018.723705902776</v>
      </c>
      <c r="K694" s="384">
        <v>43322</v>
      </c>
      <c r="L694" t="s">
        <v>5755</v>
      </c>
      <c r="M694" t="s">
        <v>1280</v>
      </c>
      <c r="N694" t="s">
        <v>1280</v>
      </c>
      <c r="O694" t="s">
        <v>37</v>
      </c>
      <c r="P694" t="s">
        <v>38</v>
      </c>
      <c r="Q694" t="s">
        <v>39</v>
      </c>
      <c r="R694" t="s">
        <v>2856</v>
      </c>
      <c r="S694">
        <v>6000000</v>
      </c>
      <c r="T694">
        <v>264000000</v>
      </c>
      <c r="U694">
        <v>264000000</v>
      </c>
      <c r="Z694"/>
    </row>
    <row r="695" spans="1:26" x14ac:dyDescent="0.25">
      <c r="A695">
        <v>103405</v>
      </c>
      <c r="B695" t="s">
        <v>5766</v>
      </c>
      <c r="C695" t="s">
        <v>5767</v>
      </c>
      <c r="D695" t="s">
        <v>1279</v>
      </c>
      <c r="E695">
        <v>-10</v>
      </c>
      <c r="F695" s="105">
        <v>4000000</v>
      </c>
      <c r="G695" t="s">
        <v>1039</v>
      </c>
      <c r="H695">
        <v>114000</v>
      </c>
      <c r="I695">
        <v>438664.75</v>
      </c>
      <c r="J695" s="384">
        <v>43019.550980555556</v>
      </c>
      <c r="K695" s="384">
        <v>43384</v>
      </c>
      <c r="L695" t="s">
        <v>5768</v>
      </c>
      <c r="M695" t="s">
        <v>1280</v>
      </c>
      <c r="N695" t="s">
        <v>1280</v>
      </c>
      <c r="O695" t="s">
        <v>25</v>
      </c>
      <c r="P695" t="s">
        <v>88</v>
      </c>
      <c r="Q695" t="s">
        <v>285</v>
      </c>
      <c r="R695" t="s">
        <v>2636</v>
      </c>
      <c r="S695">
        <v>4000000</v>
      </c>
      <c r="T695">
        <v>216000000</v>
      </c>
      <c r="U695">
        <v>216000000</v>
      </c>
      <c r="Z695"/>
    </row>
    <row r="696" spans="1:26" x14ac:dyDescent="0.25">
      <c r="A696">
        <v>103406</v>
      </c>
      <c r="B696" t="s">
        <v>5765</v>
      </c>
      <c r="C696" t="s">
        <v>5769</v>
      </c>
      <c r="D696" t="s">
        <v>1282</v>
      </c>
      <c r="E696">
        <v>-10</v>
      </c>
      <c r="F696" s="105">
        <v>12000000</v>
      </c>
      <c r="G696" t="s">
        <v>468</v>
      </c>
      <c r="H696">
        <v>342000</v>
      </c>
      <c r="I696">
        <v>1516545.86</v>
      </c>
      <c r="J696" s="384">
        <v>43019.650154016206</v>
      </c>
      <c r="K696" s="384">
        <v>43323</v>
      </c>
      <c r="L696" t="s">
        <v>5770</v>
      </c>
      <c r="M696" t="s">
        <v>5771</v>
      </c>
      <c r="N696" t="s">
        <v>1280</v>
      </c>
      <c r="O696" t="s">
        <v>25</v>
      </c>
      <c r="P696" t="s">
        <v>94</v>
      </c>
      <c r="Q696" t="s">
        <v>95</v>
      </c>
      <c r="R696" t="s">
        <v>2636</v>
      </c>
      <c r="S696">
        <v>12000000</v>
      </c>
      <c r="T696">
        <v>648000000</v>
      </c>
      <c r="U696">
        <v>648000000</v>
      </c>
      <c r="Z696"/>
    </row>
    <row r="697" spans="1:26" x14ac:dyDescent="0.25">
      <c r="A697">
        <v>103407</v>
      </c>
      <c r="B697" t="s">
        <v>5764</v>
      </c>
      <c r="C697" t="s">
        <v>5772</v>
      </c>
      <c r="D697" t="s">
        <v>1282</v>
      </c>
      <c r="E697">
        <v>-10</v>
      </c>
      <c r="F697" s="105">
        <v>2000000</v>
      </c>
      <c r="G697" t="s">
        <v>5124</v>
      </c>
      <c r="H697">
        <v>57000</v>
      </c>
      <c r="I697">
        <v>252757.64</v>
      </c>
      <c r="J697" s="384">
        <v>43019.696723148147</v>
      </c>
      <c r="K697" s="384">
        <v>43323</v>
      </c>
      <c r="L697" t="s">
        <v>5773</v>
      </c>
      <c r="M697" t="s">
        <v>1280</v>
      </c>
      <c r="N697" t="s">
        <v>1280</v>
      </c>
      <c r="O697" t="s">
        <v>25</v>
      </c>
      <c r="P697" t="s">
        <v>88</v>
      </c>
      <c r="Q697" t="s">
        <v>285</v>
      </c>
      <c r="R697" t="s">
        <v>2636</v>
      </c>
      <c r="S697">
        <v>2000000</v>
      </c>
      <c r="T697">
        <v>108000000</v>
      </c>
      <c r="U697">
        <v>108000000</v>
      </c>
      <c r="Z697"/>
    </row>
    <row r="698" spans="1:26" x14ac:dyDescent="0.25">
      <c r="A698">
        <v>103409</v>
      </c>
      <c r="B698" t="s">
        <v>5774</v>
      </c>
      <c r="C698" t="s">
        <v>5782</v>
      </c>
      <c r="D698" t="s">
        <v>1282</v>
      </c>
      <c r="E698">
        <v>-11</v>
      </c>
      <c r="F698" s="105">
        <v>5000000</v>
      </c>
      <c r="G698" t="s">
        <v>5124</v>
      </c>
      <c r="H698">
        <v>135000</v>
      </c>
      <c r="I698">
        <v>548330.93999999994</v>
      </c>
      <c r="J698" s="384">
        <v>43020.53792318287</v>
      </c>
      <c r="K698" s="384">
        <v>43385</v>
      </c>
      <c r="L698" t="s">
        <v>5783</v>
      </c>
      <c r="M698" t="s">
        <v>1280</v>
      </c>
      <c r="N698" t="s">
        <v>1280</v>
      </c>
      <c r="O698" t="s">
        <v>25</v>
      </c>
      <c r="P698" t="s">
        <v>94</v>
      </c>
      <c r="Q698" t="s">
        <v>95</v>
      </c>
      <c r="R698" t="s">
        <v>2636</v>
      </c>
      <c r="S698">
        <v>5000000</v>
      </c>
      <c r="T698">
        <v>270000000</v>
      </c>
      <c r="U698">
        <v>270000000</v>
      </c>
      <c r="Z698"/>
    </row>
    <row r="699" spans="1:26" x14ac:dyDescent="0.25">
      <c r="A699">
        <v>103410</v>
      </c>
      <c r="B699" t="s">
        <v>5776</v>
      </c>
      <c r="C699" t="s">
        <v>5784</v>
      </c>
      <c r="D699" t="s">
        <v>1282</v>
      </c>
      <c r="E699">
        <v>-11</v>
      </c>
      <c r="F699" s="105">
        <v>6000000</v>
      </c>
      <c r="G699" t="s">
        <v>1039</v>
      </c>
      <c r="H699">
        <v>162000</v>
      </c>
      <c r="I699">
        <v>909657.92</v>
      </c>
      <c r="J699" s="384">
        <v>43020.652944756941</v>
      </c>
      <c r="K699" s="384">
        <v>43263</v>
      </c>
      <c r="L699" t="s">
        <v>5785</v>
      </c>
      <c r="M699" t="s">
        <v>5786</v>
      </c>
      <c r="N699" t="s">
        <v>1280</v>
      </c>
      <c r="O699" t="s">
        <v>25</v>
      </c>
      <c r="P699" t="s">
        <v>88</v>
      </c>
      <c r="Q699" t="s">
        <v>285</v>
      </c>
      <c r="R699" t="s">
        <v>2856</v>
      </c>
      <c r="S699">
        <v>6000000</v>
      </c>
      <c r="T699">
        <v>324000000</v>
      </c>
      <c r="U699">
        <v>324000000</v>
      </c>
      <c r="Z699"/>
    </row>
    <row r="700" spans="1:26" x14ac:dyDescent="0.25">
      <c r="A700">
        <v>103411</v>
      </c>
      <c r="B700" t="s">
        <v>5804</v>
      </c>
      <c r="C700" t="s">
        <v>5807</v>
      </c>
      <c r="D700" t="s">
        <v>1282</v>
      </c>
      <c r="E700">
        <v>-12</v>
      </c>
      <c r="F700" s="105">
        <v>7000000</v>
      </c>
      <c r="G700" t="s">
        <v>5382</v>
      </c>
      <c r="H700">
        <v>178500</v>
      </c>
      <c r="I700">
        <v>884651.75</v>
      </c>
      <c r="J700" s="384">
        <v>43021.708743553238</v>
      </c>
      <c r="K700" s="384">
        <v>43325</v>
      </c>
      <c r="L700" t="s">
        <v>5808</v>
      </c>
      <c r="M700" t="s">
        <v>1280</v>
      </c>
      <c r="N700" t="s">
        <v>1280</v>
      </c>
      <c r="O700" t="s">
        <v>25</v>
      </c>
      <c r="P700" t="s">
        <v>88</v>
      </c>
      <c r="Q700" t="s">
        <v>285</v>
      </c>
      <c r="R700" t="s">
        <v>2636</v>
      </c>
      <c r="S700">
        <v>7000000</v>
      </c>
      <c r="T700">
        <v>378000000</v>
      </c>
      <c r="U700">
        <v>378000000</v>
      </c>
      <c r="Z700"/>
    </row>
    <row r="701" spans="1:26" x14ac:dyDescent="0.25">
      <c r="A701">
        <v>103412</v>
      </c>
      <c r="B701" t="s">
        <v>5805</v>
      </c>
      <c r="C701" t="s">
        <v>5809</v>
      </c>
      <c r="D701" t="s">
        <v>1867</v>
      </c>
      <c r="E701">
        <v>-12</v>
      </c>
      <c r="F701" s="105">
        <v>12000000</v>
      </c>
      <c r="G701" t="s">
        <v>2175</v>
      </c>
      <c r="H701">
        <v>272000</v>
      </c>
      <c r="I701">
        <v>1278626.07</v>
      </c>
      <c r="J701" s="384">
        <v>43021.701740509263</v>
      </c>
      <c r="K701" s="384">
        <v>43386</v>
      </c>
      <c r="L701" t="s">
        <v>5810</v>
      </c>
      <c r="M701" t="s">
        <v>5811</v>
      </c>
      <c r="N701" t="s">
        <v>1280</v>
      </c>
      <c r="O701" t="s">
        <v>25</v>
      </c>
      <c r="P701" t="s">
        <v>88</v>
      </c>
      <c r="Q701" t="s">
        <v>285</v>
      </c>
      <c r="R701" t="s">
        <v>2636</v>
      </c>
      <c r="S701">
        <v>12000000</v>
      </c>
      <c r="T701">
        <v>576000000</v>
      </c>
      <c r="U701">
        <v>576000000</v>
      </c>
      <c r="Z701"/>
    </row>
    <row r="702" spans="1:26" x14ac:dyDescent="0.25">
      <c r="A702">
        <v>103413</v>
      </c>
      <c r="B702" t="s">
        <v>5803</v>
      </c>
      <c r="C702" t="s">
        <v>5812</v>
      </c>
      <c r="D702" t="s">
        <v>1282</v>
      </c>
      <c r="E702">
        <v>-13</v>
      </c>
      <c r="F702" s="105">
        <v>3000000</v>
      </c>
      <c r="G702" t="s">
        <v>5385</v>
      </c>
      <c r="H702">
        <v>72000</v>
      </c>
      <c r="I702">
        <v>454828.96</v>
      </c>
      <c r="J702" s="384">
        <v>43022.524741319445</v>
      </c>
      <c r="K702" s="384">
        <v>43265</v>
      </c>
      <c r="L702" t="s">
        <v>5813</v>
      </c>
      <c r="M702" t="s">
        <v>5814</v>
      </c>
      <c r="N702" t="s">
        <v>1280</v>
      </c>
      <c r="O702" t="s">
        <v>25</v>
      </c>
      <c r="P702" t="s">
        <v>88</v>
      </c>
      <c r="Q702" t="s">
        <v>285</v>
      </c>
      <c r="R702" t="s">
        <v>2636</v>
      </c>
      <c r="S702">
        <v>3000000</v>
      </c>
      <c r="T702">
        <v>162000000</v>
      </c>
      <c r="U702">
        <v>162000000</v>
      </c>
      <c r="Z702"/>
    </row>
    <row r="703" spans="1:26" x14ac:dyDescent="0.25">
      <c r="A703">
        <v>103414</v>
      </c>
      <c r="B703" t="s">
        <v>189</v>
      </c>
      <c r="C703" t="s">
        <v>190</v>
      </c>
      <c r="D703" t="s">
        <v>1282</v>
      </c>
      <c r="E703">
        <v>-16</v>
      </c>
      <c r="F703" s="105">
        <v>15000000</v>
      </c>
      <c r="G703" t="s">
        <v>90</v>
      </c>
      <c r="H703">
        <v>260000</v>
      </c>
      <c r="I703">
        <v>1349116.51</v>
      </c>
      <c r="J703" s="384">
        <v>43025.674368483793</v>
      </c>
      <c r="K703" s="384">
        <v>43482</v>
      </c>
      <c r="L703" t="s">
        <v>191</v>
      </c>
      <c r="M703" t="s">
        <v>1280</v>
      </c>
      <c r="N703" t="s">
        <v>1280</v>
      </c>
      <c r="O703" t="s">
        <v>25</v>
      </c>
      <c r="P703" t="s">
        <v>88</v>
      </c>
      <c r="Q703" t="s">
        <v>285</v>
      </c>
      <c r="R703" t="s">
        <v>2856</v>
      </c>
      <c r="S703">
        <v>15000000</v>
      </c>
      <c r="T703">
        <v>720000000</v>
      </c>
      <c r="U703">
        <v>720000000</v>
      </c>
      <c r="Z703"/>
    </row>
    <row r="704" spans="1:26" x14ac:dyDescent="0.25">
      <c r="A704">
        <v>103416</v>
      </c>
      <c r="B704" t="s">
        <v>792</v>
      </c>
      <c r="C704" t="s">
        <v>793</v>
      </c>
      <c r="D704" t="s">
        <v>1866</v>
      </c>
      <c r="E704">
        <v>-15</v>
      </c>
      <c r="F704" s="105">
        <v>9000000</v>
      </c>
      <c r="G704" t="s">
        <v>2855</v>
      </c>
      <c r="H704">
        <v>154000</v>
      </c>
      <c r="I704">
        <v>940514.1</v>
      </c>
      <c r="J704" s="384">
        <v>43024.674112997687</v>
      </c>
      <c r="K704" s="384">
        <v>43389</v>
      </c>
      <c r="L704" t="s">
        <v>794</v>
      </c>
      <c r="M704" t="s">
        <v>1280</v>
      </c>
      <c r="N704" t="s">
        <v>1280</v>
      </c>
      <c r="O704" t="s">
        <v>25</v>
      </c>
      <c r="P704" t="s">
        <v>88</v>
      </c>
      <c r="Q704" t="s">
        <v>285</v>
      </c>
      <c r="R704" t="s">
        <v>2856</v>
      </c>
      <c r="S704">
        <v>9000000</v>
      </c>
      <c r="T704">
        <v>396000000</v>
      </c>
      <c r="U704">
        <v>396000000</v>
      </c>
      <c r="Z704"/>
    </row>
    <row r="705" spans="1:26" x14ac:dyDescent="0.25">
      <c r="A705">
        <v>103417</v>
      </c>
      <c r="B705" t="s">
        <v>5820</v>
      </c>
      <c r="C705" t="s">
        <v>5823</v>
      </c>
      <c r="D705" t="s">
        <v>1282</v>
      </c>
      <c r="E705">
        <v>-15</v>
      </c>
      <c r="F705" s="105">
        <v>7000000</v>
      </c>
      <c r="G705" t="s">
        <v>2034</v>
      </c>
      <c r="H705">
        <v>147000</v>
      </c>
      <c r="I705">
        <v>884651.75</v>
      </c>
      <c r="J705" s="384">
        <v>43024.682983877312</v>
      </c>
      <c r="K705" s="384">
        <v>43328</v>
      </c>
      <c r="L705" t="s">
        <v>5824</v>
      </c>
      <c r="M705" t="s">
        <v>1280</v>
      </c>
      <c r="N705" t="s">
        <v>1280</v>
      </c>
      <c r="O705" t="s">
        <v>25</v>
      </c>
      <c r="P705" t="s">
        <v>94</v>
      </c>
      <c r="Q705" t="s">
        <v>95</v>
      </c>
      <c r="R705" t="s">
        <v>2636</v>
      </c>
      <c r="S705">
        <v>7000000</v>
      </c>
      <c r="T705">
        <v>378000000</v>
      </c>
      <c r="U705">
        <v>378000000</v>
      </c>
      <c r="Z705"/>
    </row>
    <row r="706" spans="1:26" x14ac:dyDescent="0.25">
      <c r="A706">
        <v>103418</v>
      </c>
      <c r="B706" t="s">
        <v>4270</v>
      </c>
      <c r="C706" t="s">
        <v>4272</v>
      </c>
      <c r="D706" t="s">
        <v>1282</v>
      </c>
      <c r="E706">
        <v>-15</v>
      </c>
      <c r="F706" s="105">
        <v>7000000</v>
      </c>
      <c r="G706" t="s">
        <v>546</v>
      </c>
      <c r="H706">
        <v>130666.67</v>
      </c>
      <c r="I706">
        <v>745865.21</v>
      </c>
      <c r="J706" s="384">
        <v>43024.724898379631</v>
      </c>
      <c r="K706" s="384">
        <v>43389</v>
      </c>
      <c r="L706" t="s">
        <v>4273</v>
      </c>
      <c r="M706" t="s">
        <v>4274</v>
      </c>
      <c r="N706" t="s">
        <v>1280</v>
      </c>
      <c r="O706" t="s">
        <v>25</v>
      </c>
      <c r="P706" t="s">
        <v>88</v>
      </c>
      <c r="Q706" t="s">
        <v>285</v>
      </c>
      <c r="R706" t="s">
        <v>2856</v>
      </c>
      <c r="S706">
        <v>7000000</v>
      </c>
      <c r="T706">
        <v>336000000</v>
      </c>
      <c r="U706">
        <v>336000000</v>
      </c>
      <c r="Z706"/>
    </row>
    <row r="707" spans="1:26" x14ac:dyDescent="0.25">
      <c r="A707">
        <v>103419</v>
      </c>
      <c r="B707" t="s">
        <v>5832</v>
      </c>
      <c r="C707" t="s">
        <v>5834</v>
      </c>
      <c r="D707" t="s">
        <v>1284</v>
      </c>
      <c r="E707">
        <v>-16</v>
      </c>
      <c r="F707" s="105">
        <v>27000000</v>
      </c>
      <c r="G707" t="s">
        <v>1039</v>
      </c>
      <c r="H707">
        <v>390000</v>
      </c>
      <c r="I707">
        <v>2018874.75</v>
      </c>
      <c r="J707" s="384">
        <v>43025.590373692132</v>
      </c>
      <c r="K707" s="384">
        <v>43572</v>
      </c>
      <c r="L707" t="s">
        <v>5835</v>
      </c>
      <c r="M707" t="s">
        <v>5836</v>
      </c>
      <c r="N707" t="s">
        <v>1280</v>
      </c>
      <c r="O707" t="s">
        <v>44</v>
      </c>
      <c r="P707" t="s">
        <v>75</v>
      </c>
      <c r="Q707" t="s">
        <v>1442</v>
      </c>
      <c r="R707" t="s">
        <v>2636</v>
      </c>
      <c r="S707">
        <v>27000000</v>
      </c>
      <c r="T707">
        <v>1080000000</v>
      </c>
      <c r="U707">
        <v>1080000000</v>
      </c>
      <c r="Z707"/>
    </row>
    <row r="708" spans="1:26" x14ac:dyDescent="0.25">
      <c r="A708">
        <v>103420</v>
      </c>
      <c r="B708" t="s">
        <v>5830</v>
      </c>
      <c r="C708" t="s">
        <v>5837</v>
      </c>
      <c r="D708" t="s">
        <v>1284</v>
      </c>
      <c r="E708">
        <v>-16</v>
      </c>
      <c r="F708" s="105">
        <v>20000000</v>
      </c>
      <c r="G708" t="s">
        <v>86</v>
      </c>
      <c r="H708">
        <v>288888.89</v>
      </c>
      <c r="I708">
        <v>1715982.76</v>
      </c>
      <c r="J708" s="384">
        <v>43025.550861076386</v>
      </c>
      <c r="K708" s="384">
        <v>43482</v>
      </c>
      <c r="L708" t="s">
        <v>5838</v>
      </c>
      <c r="M708" t="s">
        <v>1280</v>
      </c>
      <c r="N708" t="s">
        <v>1280</v>
      </c>
      <c r="O708" t="s">
        <v>25</v>
      </c>
      <c r="P708" t="s">
        <v>88</v>
      </c>
      <c r="Q708" t="s">
        <v>285</v>
      </c>
      <c r="R708" t="s">
        <v>2636</v>
      </c>
      <c r="S708">
        <v>20000000</v>
      </c>
      <c r="T708">
        <v>800000000</v>
      </c>
      <c r="U708">
        <v>800000000</v>
      </c>
      <c r="Z708"/>
    </row>
    <row r="709" spans="1:26" x14ac:dyDescent="0.25">
      <c r="A709">
        <v>103421</v>
      </c>
      <c r="B709" t="s">
        <v>5955</v>
      </c>
      <c r="C709" t="s">
        <v>5958</v>
      </c>
      <c r="D709" t="s">
        <v>1867</v>
      </c>
      <c r="E709">
        <v>-31</v>
      </c>
      <c r="F709" s="105">
        <v>13000000</v>
      </c>
      <c r="G709" t="s">
        <v>491</v>
      </c>
      <c r="H709">
        <v>52000</v>
      </c>
      <c r="I709">
        <v>1613056.52</v>
      </c>
      <c r="J709" s="384">
        <v>43035.645899965275</v>
      </c>
      <c r="K709" s="384">
        <v>43345</v>
      </c>
      <c r="L709" t="s">
        <v>5959</v>
      </c>
      <c r="M709" t="s">
        <v>1280</v>
      </c>
      <c r="N709" t="s">
        <v>1280</v>
      </c>
      <c r="O709" t="s">
        <v>25</v>
      </c>
      <c r="P709" t="s">
        <v>103</v>
      </c>
      <c r="Q709" t="s">
        <v>104</v>
      </c>
      <c r="R709" t="s">
        <v>2636</v>
      </c>
      <c r="S709">
        <v>13000000</v>
      </c>
      <c r="T709">
        <v>624000000</v>
      </c>
      <c r="U709">
        <v>624000000</v>
      </c>
      <c r="Z709"/>
    </row>
    <row r="710" spans="1:26" x14ac:dyDescent="0.25">
      <c r="A710">
        <v>103422</v>
      </c>
      <c r="B710" t="s">
        <v>5842</v>
      </c>
      <c r="C710" t="s">
        <v>5843</v>
      </c>
      <c r="D710" t="s">
        <v>1282</v>
      </c>
      <c r="E710">
        <v>-17</v>
      </c>
      <c r="F710" s="105">
        <v>3000000</v>
      </c>
      <c r="G710" t="s">
        <v>2034</v>
      </c>
      <c r="H710">
        <v>54000</v>
      </c>
      <c r="I710">
        <v>328998.57</v>
      </c>
      <c r="J710" s="384">
        <v>43026.725895567128</v>
      </c>
      <c r="K710" s="384">
        <v>43391</v>
      </c>
      <c r="L710" t="s">
        <v>5844</v>
      </c>
      <c r="M710" t="s">
        <v>5845</v>
      </c>
      <c r="N710" t="s">
        <v>1280</v>
      </c>
      <c r="O710" t="s">
        <v>25</v>
      </c>
      <c r="P710" t="s">
        <v>88</v>
      </c>
      <c r="Q710" t="s">
        <v>285</v>
      </c>
      <c r="R710" t="s">
        <v>2636</v>
      </c>
      <c r="S710">
        <v>3000000</v>
      </c>
      <c r="T710">
        <v>162000000</v>
      </c>
      <c r="U710">
        <v>162000000</v>
      </c>
      <c r="Z710"/>
    </row>
    <row r="711" spans="1:26" x14ac:dyDescent="0.25">
      <c r="A711">
        <v>103423</v>
      </c>
      <c r="B711" t="s">
        <v>4691</v>
      </c>
      <c r="C711" t="s">
        <v>4697</v>
      </c>
      <c r="D711" t="s">
        <v>1282</v>
      </c>
      <c r="E711">
        <v>-18</v>
      </c>
      <c r="F711" s="105">
        <v>5000000</v>
      </c>
      <c r="G711" t="s">
        <v>546</v>
      </c>
      <c r="H711">
        <v>73333.33</v>
      </c>
      <c r="I711">
        <v>532760.86</v>
      </c>
      <c r="J711" s="384">
        <v>43027.536510995371</v>
      </c>
      <c r="K711" s="384">
        <v>43392</v>
      </c>
      <c r="L711" t="s">
        <v>4698</v>
      </c>
      <c r="M711" t="s">
        <v>1280</v>
      </c>
      <c r="N711" t="s">
        <v>1280</v>
      </c>
      <c r="O711" t="s">
        <v>25</v>
      </c>
      <c r="P711" t="s">
        <v>88</v>
      </c>
      <c r="Q711" t="s">
        <v>285</v>
      </c>
      <c r="R711" t="s">
        <v>2856</v>
      </c>
      <c r="S711">
        <v>5000000</v>
      </c>
      <c r="T711">
        <v>240000000</v>
      </c>
      <c r="U711">
        <v>240000000</v>
      </c>
      <c r="Z711"/>
    </row>
    <row r="712" spans="1:26" x14ac:dyDescent="0.25">
      <c r="A712">
        <v>103424</v>
      </c>
      <c r="B712" t="s">
        <v>5847</v>
      </c>
      <c r="C712" t="s">
        <v>5852</v>
      </c>
      <c r="D712" t="s">
        <v>1279</v>
      </c>
      <c r="E712">
        <v>-18</v>
      </c>
      <c r="F712" s="105">
        <v>4000000</v>
      </c>
      <c r="G712" t="s">
        <v>5352</v>
      </c>
      <c r="H712">
        <v>66000</v>
      </c>
      <c r="I712">
        <v>606438.61</v>
      </c>
      <c r="J712" s="384">
        <v>43027.549113078705</v>
      </c>
      <c r="K712" s="384">
        <v>43270</v>
      </c>
      <c r="L712" t="s">
        <v>5853</v>
      </c>
      <c r="M712" t="s">
        <v>5854</v>
      </c>
      <c r="N712" t="s">
        <v>1280</v>
      </c>
      <c r="O712" t="s">
        <v>25</v>
      </c>
      <c r="P712" t="s">
        <v>88</v>
      </c>
      <c r="Q712" t="s">
        <v>285</v>
      </c>
      <c r="R712" t="s">
        <v>2636</v>
      </c>
      <c r="S712">
        <v>4000000</v>
      </c>
      <c r="T712">
        <v>216000000</v>
      </c>
      <c r="U712">
        <v>216000000</v>
      </c>
      <c r="Z712"/>
    </row>
    <row r="713" spans="1:26" x14ac:dyDescent="0.25">
      <c r="A713">
        <v>103425</v>
      </c>
      <c r="B713" t="s">
        <v>3119</v>
      </c>
      <c r="C713" t="s">
        <v>3120</v>
      </c>
      <c r="D713" t="s">
        <v>1866</v>
      </c>
      <c r="E713">
        <v>-19</v>
      </c>
      <c r="F713" s="105">
        <v>7000000</v>
      </c>
      <c r="G713" t="s">
        <v>2494</v>
      </c>
      <c r="H713">
        <v>85555.56</v>
      </c>
      <c r="I713">
        <v>731510.97</v>
      </c>
      <c r="J713" s="384">
        <v>43028.727197488428</v>
      </c>
      <c r="K713" s="384">
        <v>43393</v>
      </c>
      <c r="L713" t="s">
        <v>3121</v>
      </c>
      <c r="M713" t="s">
        <v>3122</v>
      </c>
      <c r="N713" t="s">
        <v>1280</v>
      </c>
      <c r="O713" t="s">
        <v>25</v>
      </c>
      <c r="P713" t="s">
        <v>88</v>
      </c>
      <c r="Q713" t="s">
        <v>285</v>
      </c>
      <c r="R713" t="s">
        <v>2856</v>
      </c>
      <c r="S713">
        <v>7000000</v>
      </c>
      <c r="T713">
        <v>308000000</v>
      </c>
      <c r="U713">
        <v>308000000</v>
      </c>
      <c r="Z713"/>
    </row>
    <row r="714" spans="1:26" x14ac:dyDescent="0.25">
      <c r="A714">
        <v>103426</v>
      </c>
      <c r="B714" t="s">
        <v>914</v>
      </c>
      <c r="C714" t="s">
        <v>1307</v>
      </c>
      <c r="D714" t="s">
        <v>1285</v>
      </c>
      <c r="E714">
        <v>-20</v>
      </c>
      <c r="F714" s="105">
        <v>6233767.6600000001</v>
      </c>
      <c r="G714" t="s">
        <v>284</v>
      </c>
      <c r="H714">
        <v>41904.769999999997</v>
      </c>
      <c r="I714">
        <v>410228.92</v>
      </c>
      <c r="J714" s="384">
        <v>43027.722257789355</v>
      </c>
      <c r="K714" s="384">
        <v>43576</v>
      </c>
      <c r="L714" t="s">
        <v>1308</v>
      </c>
      <c r="M714" t="s">
        <v>1280</v>
      </c>
      <c r="N714" t="s">
        <v>1280</v>
      </c>
      <c r="O714" t="s">
        <v>25</v>
      </c>
      <c r="P714" t="s">
        <v>88</v>
      </c>
      <c r="Q714" t="s">
        <v>285</v>
      </c>
      <c r="R714" t="s">
        <v>2636</v>
      </c>
      <c r="S714">
        <v>6233767.6600000001</v>
      </c>
      <c r="T714">
        <v>137142888.52000001</v>
      </c>
      <c r="U714">
        <v>137142888.52000001</v>
      </c>
      <c r="Z714"/>
    </row>
    <row r="715" spans="1:26" x14ac:dyDescent="0.25">
      <c r="A715">
        <v>103427</v>
      </c>
      <c r="B715" t="s">
        <v>4761</v>
      </c>
      <c r="C715" t="s">
        <v>4763</v>
      </c>
      <c r="D715" t="s">
        <v>1279</v>
      </c>
      <c r="E715">
        <v>-19</v>
      </c>
      <c r="F715" s="105">
        <v>2000000</v>
      </c>
      <c r="G715" t="s">
        <v>1039</v>
      </c>
      <c r="H715">
        <v>26666.67</v>
      </c>
      <c r="I715">
        <v>297055.65999999997</v>
      </c>
      <c r="J715" s="384">
        <v>43028.644662500003</v>
      </c>
      <c r="K715" s="384">
        <v>43271</v>
      </c>
      <c r="L715" t="s">
        <v>4764</v>
      </c>
      <c r="M715" t="s">
        <v>1280</v>
      </c>
      <c r="N715" t="s">
        <v>1280</v>
      </c>
      <c r="O715" t="s">
        <v>25</v>
      </c>
      <c r="P715" t="s">
        <v>88</v>
      </c>
      <c r="Q715" t="s">
        <v>285</v>
      </c>
      <c r="R715" t="s">
        <v>2856</v>
      </c>
      <c r="S715">
        <v>2000000</v>
      </c>
      <c r="T715">
        <v>96000000</v>
      </c>
      <c r="U715">
        <v>96000000</v>
      </c>
      <c r="Z715"/>
    </row>
    <row r="716" spans="1:26" x14ac:dyDescent="0.25">
      <c r="A716">
        <v>103428</v>
      </c>
      <c r="B716" t="s">
        <v>5869</v>
      </c>
      <c r="C716" t="s">
        <v>5873</v>
      </c>
      <c r="D716" t="s">
        <v>1279</v>
      </c>
      <c r="E716">
        <v>-19</v>
      </c>
      <c r="F716" s="105">
        <v>3000000</v>
      </c>
      <c r="G716" t="s">
        <v>5385</v>
      </c>
      <c r="H716">
        <v>45000</v>
      </c>
      <c r="I716">
        <v>379136.47</v>
      </c>
      <c r="J716" s="384">
        <v>43028.627366469904</v>
      </c>
      <c r="K716" s="384">
        <v>43332</v>
      </c>
      <c r="L716" t="s">
        <v>5874</v>
      </c>
      <c r="M716" t="s">
        <v>1280</v>
      </c>
      <c r="N716" t="s">
        <v>1280</v>
      </c>
      <c r="O716" t="s">
        <v>25</v>
      </c>
      <c r="P716" t="s">
        <v>88</v>
      </c>
      <c r="Q716" t="s">
        <v>285</v>
      </c>
      <c r="R716" t="s">
        <v>2636</v>
      </c>
      <c r="S716">
        <v>3000000</v>
      </c>
      <c r="T716">
        <v>162000000</v>
      </c>
      <c r="U716">
        <v>162000000</v>
      </c>
      <c r="Z716"/>
    </row>
    <row r="717" spans="1:26" x14ac:dyDescent="0.25">
      <c r="A717">
        <v>103429</v>
      </c>
      <c r="B717" t="s">
        <v>3925</v>
      </c>
      <c r="C717" t="s">
        <v>3929</v>
      </c>
      <c r="D717" t="s">
        <v>1282</v>
      </c>
      <c r="E717">
        <v>-19</v>
      </c>
      <c r="F717" s="105">
        <v>11000000</v>
      </c>
      <c r="G717" t="s">
        <v>2855</v>
      </c>
      <c r="H717">
        <v>146666.67000000001</v>
      </c>
      <c r="I717">
        <v>1633806.15</v>
      </c>
      <c r="J717" s="384">
        <v>43028.712508252313</v>
      </c>
      <c r="K717" s="384">
        <v>43271</v>
      </c>
      <c r="L717" t="s">
        <v>3930</v>
      </c>
      <c r="M717" t="s">
        <v>3931</v>
      </c>
      <c r="N717" t="s">
        <v>3932</v>
      </c>
      <c r="O717" t="s">
        <v>44</v>
      </c>
      <c r="P717" t="s">
        <v>92</v>
      </c>
      <c r="Q717" t="s">
        <v>92</v>
      </c>
      <c r="R717" t="s">
        <v>2856</v>
      </c>
      <c r="S717">
        <v>11000000</v>
      </c>
      <c r="T717">
        <v>528000000</v>
      </c>
      <c r="U717">
        <v>528000000</v>
      </c>
      <c r="Z717"/>
    </row>
    <row r="718" spans="1:26" x14ac:dyDescent="0.25">
      <c r="A718">
        <v>103430</v>
      </c>
      <c r="B718" t="s">
        <v>4618</v>
      </c>
      <c r="C718" t="s">
        <v>4621</v>
      </c>
      <c r="D718" t="s">
        <v>1282</v>
      </c>
      <c r="E718">
        <v>-20</v>
      </c>
      <c r="F718" s="105">
        <v>6500000</v>
      </c>
      <c r="G718" t="s">
        <v>2494</v>
      </c>
      <c r="H718">
        <v>78000</v>
      </c>
      <c r="I718">
        <v>692589.12</v>
      </c>
      <c r="J718" s="384">
        <v>43029.572978738426</v>
      </c>
      <c r="K718" s="384">
        <v>43394</v>
      </c>
      <c r="L718" t="s">
        <v>4622</v>
      </c>
      <c r="M718" t="s">
        <v>4623</v>
      </c>
      <c r="N718" t="s">
        <v>1280</v>
      </c>
      <c r="O718" t="s">
        <v>25</v>
      </c>
      <c r="P718" t="s">
        <v>88</v>
      </c>
      <c r="Q718" t="s">
        <v>26</v>
      </c>
      <c r="R718" t="s">
        <v>2856</v>
      </c>
      <c r="S718">
        <v>6500000</v>
      </c>
      <c r="T718">
        <v>312000000</v>
      </c>
      <c r="U718">
        <v>312000000</v>
      </c>
      <c r="Z718"/>
    </row>
    <row r="719" spans="1:26" x14ac:dyDescent="0.25">
      <c r="A719">
        <v>103431</v>
      </c>
      <c r="B719" t="s">
        <v>4687</v>
      </c>
      <c r="C719" t="s">
        <v>4688</v>
      </c>
      <c r="D719" t="s">
        <v>1282</v>
      </c>
      <c r="E719">
        <v>-20</v>
      </c>
      <c r="F719" s="105">
        <v>3500000</v>
      </c>
      <c r="G719" t="s">
        <v>1191</v>
      </c>
      <c r="H719">
        <v>42000</v>
      </c>
      <c r="I719">
        <v>372932.6</v>
      </c>
      <c r="J719" s="384">
        <v>43029.566491585647</v>
      </c>
      <c r="K719" s="384">
        <v>43394</v>
      </c>
      <c r="L719" t="s">
        <v>4689</v>
      </c>
      <c r="M719" t="s">
        <v>4690</v>
      </c>
      <c r="N719" t="s">
        <v>1280</v>
      </c>
      <c r="O719" t="s">
        <v>25</v>
      </c>
      <c r="P719" t="s">
        <v>88</v>
      </c>
      <c r="Q719" t="s">
        <v>285</v>
      </c>
      <c r="R719" t="s">
        <v>2856</v>
      </c>
      <c r="S719">
        <v>3500000</v>
      </c>
      <c r="T719">
        <v>168000000</v>
      </c>
      <c r="U719">
        <v>168000000</v>
      </c>
      <c r="Z719"/>
    </row>
    <row r="720" spans="1:26" x14ac:dyDescent="0.25">
      <c r="A720">
        <v>103432</v>
      </c>
      <c r="B720" t="s">
        <v>5896</v>
      </c>
      <c r="C720" t="s">
        <v>5897</v>
      </c>
      <c r="D720" t="s">
        <v>1282</v>
      </c>
      <c r="E720">
        <v>-22</v>
      </c>
      <c r="F720" s="105">
        <v>2500000</v>
      </c>
      <c r="G720" t="s">
        <v>3074</v>
      </c>
      <c r="H720">
        <v>26250</v>
      </c>
      <c r="I720">
        <v>315947.05</v>
      </c>
      <c r="J720" s="384">
        <v>43031.460546030095</v>
      </c>
      <c r="K720" s="384">
        <v>43335</v>
      </c>
      <c r="L720" t="s">
        <v>5898</v>
      </c>
      <c r="M720" t="s">
        <v>5899</v>
      </c>
      <c r="N720" t="s">
        <v>1280</v>
      </c>
      <c r="O720" t="s">
        <v>29</v>
      </c>
      <c r="P720" t="s">
        <v>30</v>
      </c>
      <c r="Q720" t="s">
        <v>437</v>
      </c>
      <c r="R720" t="s">
        <v>2636</v>
      </c>
      <c r="S720">
        <v>2500000</v>
      </c>
      <c r="T720">
        <v>135000000</v>
      </c>
      <c r="U720">
        <v>135000000</v>
      </c>
      <c r="Z720"/>
    </row>
    <row r="721" spans="1:26" x14ac:dyDescent="0.25">
      <c r="A721">
        <v>103433</v>
      </c>
      <c r="B721" t="s">
        <v>5890</v>
      </c>
      <c r="C721" t="s">
        <v>5900</v>
      </c>
      <c r="D721" t="s">
        <v>1282</v>
      </c>
      <c r="E721">
        <v>-22</v>
      </c>
      <c r="F721" s="105">
        <v>2500000</v>
      </c>
      <c r="G721" t="s">
        <v>5124</v>
      </c>
      <c r="H721">
        <v>26250</v>
      </c>
      <c r="I721">
        <v>315947.05</v>
      </c>
      <c r="J721" s="384">
        <v>43031.583880555554</v>
      </c>
      <c r="K721" s="384">
        <v>43335</v>
      </c>
      <c r="L721" t="s">
        <v>5901</v>
      </c>
      <c r="M721" t="s">
        <v>1280</v>
      </c>
      <c r="N721" t="s">
        <v>1280</v>
      </c>
      <c r="O721" t="s">
        <v>25</v>
      </c>
      <c r="P721" t="s">
        <v>88</v>
      </c>
      <c r="Q721" t="s">
        <v>285</v>
      </c>
      <c r="R721" t="s">
        <v>2636</v>
      </c>
      <c r="S721">
        <v>2500000</v>
      </c>
      <c r="T721">
        <v>135000000</v>
      </c>
      <c r="U721">
        <v>135000000</v>
      </c>
      <c r="Z721"/>
    </row>
    <row r="722" spans="1:26" x14ac:dyDescent="0.25">
      <c r="A722">
        <v>103434</v>
      </c>
      <c r="B722" t="s">
        <v>5891</v>
      </c>
      <c r="C722" t="s">
        <v>5902</v>
      </c>
      <c r="D722" t="s">
        <v>1866</v>
      </c>
      <c r="E722">
        <v>-22</v>
      </c>
      <c r="F722" s="105">
        <v>6500000</v>
      </c>
      <c r="G722" t="s">
        <v>2494</v>
      </c>
      <c r="H722">
        <v>63194.44</v>
      </c>
      <c r="I722">
        <v>699303.27</v>
      </c>
      <c r="J722" s="384">
        <v>43031.636988541664</v>
      </c>
      <c r="K722" s="384">
        <v>43396</v>
      </c>
      <c r="L722" t="s">
        <v>5903</v>
      </c>
      <c r="M722" t="s">
        <v>1280</v>
      </c>
      <c r="N722" t="s">
        <v>1280</v>
      </c>
      <c r="O722" t="s">
        <v>25</v>
      </c>
      <c r="P722" t="s">
        <v>88</v>
      </c>
      <c r="Q722" t="s">
        <v>285</v>
      </c>
      <c r="R722" t="s">
        <v>2636</v>
      </c>
      <c r="S722">
        <v>6500000</v>
      </c>
      <c r="T722">
        <v>325000000</v>
      </c>
      <c r="U722">
        <v>325000000</v>
      </c>
      <c r="Z722"/>
    </row>
    <row r="723" spans="1:26" x14ac:dyDescent="0.25">
      <c r="A723">
        <v>103435</v>
      </c>
      <c r="B723" t="s">
        <v>5892</v>
      </c>
      <c r="C723" t="s">
        <v>5904</v>
      </c>
      <c r="D723" t="s">
        <v>1281</v>
      </c>
      <c r="E723">
        <v>-22</v>
      </c>
      <c r="F723" s="105">
        <v>28000000</v>
      </c>
      <c r="G723" t="s">
        <v>2861</v>
      </c>
      <c r="H723">
        <v>261333.33</v>
      </c>
      <c r="I723">
        <v>5341333.2699999996</v>
      </c>
      <c r="J723" s="384">
        <v>43031.669717395831</v>
      </c>
      <c r="K723" s="384">
        <v>43213</v>
      </c>
      <c r="L723" t="s">
        <v>5905</v>
      </c>
      <c r="M723" t="s">
        <v>1280</v>
      </c>
      <c r="N723" t="s">
        <v>1280</v>
      </c>
      <c r="O723" t="s">
        <v>25</v>
      </c>
      <c r="P723" t="s">
        <v>88</v>
      </c>
      <c r="Q723" t="s">
        <v>285</v>
      </c>
      <c r="R723" t="s">
        <v>2636</v>
      </c>
      <c r="S723">
        <v>28000000</v>
      </c>
      <c r="T723">
        <v>1344000000</v>
      </c>
      <c r="U723">
        <v>1344000000</v>
      </c>
      <c r="Z723"/>
    </row>
    <row r="724" spans="1:26" x14ac:dyDescent="0.25">
      <c r="A724">
        <v>103436</v>
      </c>
      <c r="B724" t="s">
        <v>5889</v>
      </c>
      <c r="C724" t="s">
        <v>5906</v>
      </c>
      <c r="D724" t="s">
        <v>1281</v>
      </c>
      <c r="E724">
        <v>-22</v>
      </c>
      <c r="F724" s="105">
        <v>18000000</v>
      </c>
      <c r="G724" t="s">
        <v>468</v>
      </c>
      <c r="H724">
        <v>147000</v>
      </c>
      <c r="I724">
        <v>1862711.09</v>
      </c>
      <c r="J724" s="384">
        <v>43031.534003009256</v>
      </c>
      <c r="K724" s="384">
        <v>43396</v>
      </c>
      <c r="L724" t="s">
        <v>5907</v>
      </c>
      <c r="M724" t="s">
        <v>5908</v>
      </c>
      <c r="N724" t="s">
        <v>1280</v>
      </c>
      <c r="O724" t="s">
        <v>25</v>
      </c>
      <c r="P724" t="s">
        <v>103</v>
      </c>
      <c r="Q724" t="s">
        <v>104</v>
      </c>
      <c r="R724" t="s">
        <v>2856</v>
      </c>
      <c r="S724">
        <v>18000000</v>
      </c>
      <c r="T724">
        <v>756000000</v>
      </c>
      <c r="U724">
        <v>756000000</v>
      </c>
      <c r="Z724"/>
    </row>
    <row r="725" spans="1:26" x14ac:dyDescent="0.25">
      <c r="A725">
        <v>103437</v>
      </c>
      <c r="B725" t="s">
        <v>5921</v>
      </c>
      <c r="C725" t="s">
        <v>5923</v>
      </c>
      <c r="D725" t="s">
        <v>1279</v>
      </c>
      <c r="E725">
        <v>-23</v>
      </c>
      <c r="F725" s="105">
        <v>4000000</v>
      </c>
      <c r="G725" t="s">
        <v>86</v>
      </c>
      <c r="H725">
        <v>32000</v>
      </c>
      <c r="I725">
        <v>493163.78</v>
      </c>
      <c r="J725" s="384">
        <v>43032.714318715276</v>
      </c>
      <c r="K725" s="384">
        <v>43336</v>
      </c>
      <c r="L725" t="s">
        <v>5924</v>
      </c>
      <c r="M725" t="s">
        <v>5925</v>
      </c>
      <c r="N725" t="s">
        <v>1280</v>
      </c>
      <c r="O725" t="s">
        <v>25</v>
      </c>
      <c r="P725" t="s">
        <v>88</v>
      </c>
      <c r="Q725" t="s">
        <v>285</v>
      </c>
      <c r="R725" t="s">
        <v>2856</v>
      </c>
      <c r="S725">
        <v>4000000</v>
      </c>
      <c r="T725">
        <v>192000000</v>
      </c>
      <c r="U725">
        <v>192000000</v>
      </c>
      <c r="Z725"/>
    </row>
    <row r="726" spans="1:26" x14ac:dyDescent="0.25">
      <c r="A726">
        <v>103438</v>
      </c>
      <c r="B726" t="s">
        <v>2083</v>
      </c>
      <c r="C726" t="s">
        <v>2086</v>
      </c>
      <c r="D726" t="s">
        <v>1284</v>
      </c>
      <c r="E726">
        <v>-22</v>
      </c>
      <c r="F726" s="105">
        <v>10000000</v>
      </c>
      <c r="G726" t="s">
        <v>86</v>
      </c>
      <c r="H726">
        <v>70000</v>
      </c>
      <c r="I726">
        <v>1004620.85</v>
      </c>
      <c r="J726" s="384">
        <v>43031.701143020837</v>
      </c>
      <c r="K726" s="384">
        <v>43396</v>
      </c>
      <c r="L726" t="s">
        <v>2087</v>
      </c>
      <c r="M726" t="s">
        <v>2088</v>
      </c>
      <c r="N726" t="s">
        <v>1280</v>
      </c>
      <c r="O726" t="s">
        <v>25</v>
      </c>
      <c r="P726" t="s">
        <v>88</v>
      </c>
      <c r="Q726" t="s">
        <v>285</v>
      </c>
      <c r="R726" t="s">
        <v>2856</v>
      </c>
      <c r="S726">
        <v>10000000</v>
      </c>
      <c r="T726">
        <v>360000000</v>
      </c>
      <c r="U726">
        <v>360000000</v>
      </c>
      <c r="Z726"/>
    </row>
    <row r="727" spans="1:26" x14ac:dyDescent="0.25">
      <c r="A727">
        <v>103439</v>
      </c>
      <c r="B727" t="s">
        <v>972</v>
      </c>
      <c r="C727" t="s">
        <v>2167</v>
      </c>
      <c r="D727" t="s">
        <v>1282</v>
      </c>
      <c r="E727">
        <v>-31</v>
      </c>
      <c r="F727" s="105">
        <v>2500000</v>
      </c>
      <c r="G727" t="s">
        <v>1191</v>
      </c>
      <c r="H727">
        <v>10000</v>
      </c>
      <c r="I727">
        <v>268088</v>
      </c>
      <c r="J727" s="384">
        <v>43035.715470289353</v>
      </c>
      <c r="K727" s="384">
        <v>43406</v>
      </c>
      <c r="L727" t="s">
        <v>2168</v>
      </c>
      <c r="M727" t="s">
        <v>1280</v>
      </c>
      <c r="N727" t="s">
        <v>1280</v>
      </c>
      <c r="O727" t="s">
        <v>25</v>
      </c>
      <c r="P727" t="s">
        <v>88</v>
      </c>
      <c r="Q727" t="s">
        <v>285</v>
      </c>
      <c r="R727" t="s">
        <v>2856</v>
      </c>
      <c r="S727">
        <v>2500000</v>
      </c>
      <c r="T727">
        <v>120000000</v>
      </c>
      <c r="U727">
        <v>120000000</v>
      </c>
      <c r="Z727"/>
    </row>
    <row r="728" spans="1:26" x14ac:dyDescent="0.25">
      <c r="A728">
        <v>103440</v>
      </c>
      <c r="B728" t="s">
        <v>5918</v>
      </c>
      <c r="C728" t="s">
        <v>5926</v>
      </c>
      <c r="D728" t="s">
        <v>1282</v>
      </c>
      <c r="E728">
        <v>-23</v>
      </c>
      <c r="F728" s="105">
        <v>3500000</v>
      </c>
      <c r="G728" t="s">
        <v>468</v>
      </c>
      <c r="H728">
        <v>31500</v>
      </c>
      <c r="I728">
        <v>530633.79</v>
      </c>
      <c r="J728" s="384">
        <v>43032.635776354167</v>
      </c>
      <c r="K728" s="384">
        <v>43275</v>
      </c>
      <c r="L728" t="s">
        <v>5927</v>
      </c>
      <c r="M728" t="s">
        <v>5928</v>
      </c>
      <c r="N728" t="s">
        <v>1280</v>
      </c>
      <c r="O728" t="s">
        <v>25</v>
      </c>
      <c r="P728" t="s">
        <v>88</v>
      </c>
      <c r="Q728" t="s">
        <v>285</v>
      </c>
      <c r="R728" t="s">
        <v>2636</v>
      </c>
      <c r="S728">
        <v>3500000</v>
      </c>
      <c r="T728">
        <v>189000000</v>
      </c>
      <c r="U728">
        <v>189000000</v>
      </c>
      <c r="Z728"/>
    </row>
    <row r="729" spans="1:26" x14ac:dyDescent="0.25">
      <c r="A729">
        <v>103441</v>
      </c>
      <c r="B729" t="s">
        <v>5917</v>
      </c>
      <c r="C729" t="s">
        <v>5929</v>
      </c>
      <c r="D729" t="s">
        <v>1279</v>
      </c>
      <c r="E729">
        <v>-23</v>
      </c>
      <c r="F729" s="105">
        <v>1800000</v>
      </c>
      <c r="G729" t="s">
        <v>5385</v>
      </c>
      <c r="H729">
        <v>16200</v>
      </c>
      <c r="I729">
        <v>272897.38</v>
      </c>
      <c r="J729" s="384">
        <v>43032.747680057873</v>
      </c>
      <c r="K729" s="384">
        <v>43275</v>
      </c>
      <c r="L729" t="s">
        <v>5930</v>
      </c>
      <c r="M729" t="s">
        <v>1280</v>
      </c>
      <c r="N729" t="s">
        <v>1280</v>
      </c>
      <c r="O729" t="s">
        <v>25</v>
      </c>
      <c r="P729" t="s">
        <v>94</v>
      </c>
      <c r="Q729" t="s">
        <v>1826</v>
      </c>
      <c r="R729" t="s">
        <v>2636</v>
      </c>
      <c r="S729">
        <v>1800000</v>
      </c>
      <c r="T729">
        <v>97200000</v>
      </c>
      <c r="U729">
        <v>97200000</v>
      </c>
      <c r="Z729"/>
    </row>
    <row r="730" spans="1:26" x14ac:dyDescent="0.25">
      <c r="A730">
        <v>103442</v>
      </c>
      <c r="B730" t="s">
        <v>5943</v>
      </c>
      <c r="C730" t="s">
        <v>5945</v>
      </c>
      <c r="D730" t="s">
        <v>1281</v>
      </c>
      <c r="E730">
        <v>-24</v>
      </c>
      <c r="F730" s="105">
        <v>16000000</v>
      </c>
      <c r="G730" t="s">
        <v>1039</v>
      </c>
      <c r="H730">
        <v>93333.33</v>
      </c>
      <c r="I730">
        <v>1923861.89</v>
      </c>
      <c r="J730" s="384">
        <v>43033.586344363423</v>
      </c>
      <c r="K730" s="384">
        <v>43337</v>
      </c>
      <c r="L730" t="s">
        <v>5946</v>
      </c>
      <c r="M730" t="s">
        <v>5947</v>
      </c>
      <c r="N730" t="s">
        <v>1280</v>
      </c>
      <c r="O730" t="s">
        <v>25</v>
      </c>
      <c r="P730" t="s">
        <v>88</v>
      </c>
      <c r="Q730" t="s">
        <v>285</v>
      </c>
      <c r="R730" t="s">
        <v>2856</v>
      </c>
      <c r="S730">
        <v>16000000</v>
      </c>
      <c r="T730">
        <v>672000000</v>
      </c>
      <c r="U730">
        <v>672000000</v>
      </c>
      <c r="Z730"/>
    </row>
    <row r="731" spans="1:26" x14ac:dyDescent="0.25">
      <c r="A731">
        <v>103443</v>
      </c>
      <c r="B731" t="s">
        <v>4565</v>
      </c>
      <c r="C731" t="s">
        <v>4568</v>
      </c>
      <c r="D731" t="s">
        <v>1279</v>
      </c>
      <c r="E731">
        <v>-24</v>
      </c>
      <c r="F731" s="105">
        <v>1500000</v>
      </c>
      <c r="G731" t="s">
        <v>2494</v>
      </c>
      <c r="H731">
        <v>8000</v>
      </c>
      <c r="I731">
        <v>285776</v>
      </c>
      <c r="J731" s="384">
        <v>43034.504942395833</v>
      </c>
      <c r="K731" s="384">
        <v>43215</v>
      </c>
      <c r="L731" t="s">
        <v>4569</v>
      </c>
      <c r="M731" t="s">
        <v>1280</v>
      </c>
      <c r="N731" t="s">
        <v>1280</v>
      </c>
      <c r="O731" t="s">
        <v>25</v>
      </c>
      <c r="P731" t="s">
        <v>88</v>
      </c>
      <c r="Q731" t="s">
        <v>285</v>
      </c>
      <c r="R731" t="s">
        <v>2856</v>
      </c>
      <c r="S731">
        <v>1500000</v>
      </c>
      <c r="T731">
        <v>72000000</v>
      </c>
      <c r="U731">
        <v>72000000</v>
      </c>
      <c r="Z731"/>
    </row>
    <row r="732" spans="1:26" x14ac:dyDescent="0.25">
      <c r="A732">
        <v>103444</v>
      </c>
      <c r="B732" t="s">
        <v>1747</v>
      </c>
      <c r="C732" t="s">
        <v>1958</v>
      </c>
      <c r="D732" t="s">
        <v>1286</v>
      </c>
      <c r="E732">
        <v>-20</v>
      </c>
      <c r="F732" s="105">
        <v>4000000</v>
      </c>
      <c r="G732" t="s">
        <v>284</v>
      </c>
      <c r="H732">
        <v>13888.89</v>
      </c>
      <c r="I732">
        <v>714164.22</v>
      </c>
      <c r="J732" s="384">
        <v>43033.706176122687</v>
      </c>
      <c r="K732" s="384">
        <v>43211</v>
      </c>
      <c r="L732" t="s">
        <v>1959</v>
      </c>
      <c r="M732" t="s">
        <v>1280</v>
      </c>
      <c r="N732" t="s">
        <v>1280</v>
      </c>
      <c r="O732" t="s">
        <v>28</v>
      </c>
      <c r="P732" t="s">
        <v>26</v>
      </c>
      <c r="Q732" t="s">
        <v>26</v>
      </c>
      <c r="R732" t="s">
        <v>2636</v>
      </c>
      <c r="S732">
        <v>4000000</v>
      </c>
      <c r="T732">
        <v>100000000</v>
      </c>
      <c r="U732">
        <v>100000000</v>
      </c>
      <c r="Z732"/>
    </row>
    <row r="733" spans="1:26" x14ac:dyDescent="0.25">
      <c r="A733">
        <v>103445</v>
      </c>
      <c r="B733" t="s">
        <v>5957</v>
      </c>
      <c r="C733" t="s">
        <v>5960</v>
      </c>
      <c r="D733" t="s">
        <v>1282</v>
      </c>
      <c r="E733">
        <v>-31</v>
      </c>
      <c r="F733" s="105">
        <v>9000000</v>
      </c>
      <c r="G733" t="s">
        <v>468</v>
      </c>
      <c r="H733">
        <v>40500</v>
      </c>
      <c r="I733">
        <v>994079.4</v>
      </c>
      <c r="J733" s="384">
        <v>43035.561631793978</v>
      </c>
      <c r="K733" s="384">
        <v>43406</v>
      </c>
      <c r="L733" t="s">
        <v>5961</v>
      </c>
      <c r="M733" t="s">
        <v>5962</v>
      </c>
      <c r="N733" t="s">
        <v>1280</v>
      </c>
      <c r="O733" t="s">
        <v>29</v>
      </c>
      <c r="P733" t="s">
        <v>30</v>
      </c>
      <c r="Q733" t="s">
        <v>1819</v>
      </c>
      <c r="R733" t="s">
        <v>2636</v>
      </c>
      <c r="S733">
        <v>9000000</v>
      </c>
      <c r="T733">
        <v>486000000</v>
      </c>
      <c r="U733">
        <v>486000000</v>
      </c>
      <c r="Z733"/>
    </row>
    <row r="734" spans="1:26" x14ac:dyDescent="0.25">
      <c r="A734">
        <v>103446</v>
      </c>
      <c r="B734" t="s">
        <v>5956</v>
      </c>
      <c r="C734" t="s">
        <v>5963</v>
      </c>
      <c r="D734" t="s">
        <v>1282</v>
      </c>
      <c r="E734">
        <v>-31</v>
      </c>
      <c r="F734" s="105">
        <v>3000000</v>
      </c>
      <c r="G734" t="s">
        <v>5491</v>
      </c>
      <c r="H734">
        <v>13500</v>
      </c>
      <c r="I734">
        <v>381857.54</v>
      </c>
      <c r="J734" s="384">
        <v>43035.696272719906</v>
      </c>
      <c r="K734" s="384">
        <v>43345</v>
      </c>
      <c r="L734" t="s">
        <v>5964</v>
      </c>
      <c r="M734" t="s">
        <v>1280</v>
      </c>
      <c r="N734" t="s">
        <v>1280</v>
      </c>
      <c r="O734" t="s">
        <v>44</v>
      </c>
      <c r="P734" t="s">
        <v>75</v>
      </c>
      <c r="Q734" t="s">
        <v>1442</v>
      </c>
      <c r="R734" t="s">
        <v>2636</v>
      </c>
      <c r="S734">
        <v>3000000</v>
      </c>
      <c r="T734">
        <v>162000000</v>
      </c>
      <c r="U734">
        <v>162000000</v>
      </c>
      <c r="Z734"/>
    </row>
    <row r="735" spans="1:26" x14ac:dyDescent="0.25">
      <c r="A735">
        <v>103447</v>
      </c>
      <c r="B735" t="s">
        <v>5972</v>
      </c>
      <c r="C735" t="s">
        <v>5975</v>
      </c>
      <c r="D735" t="s">
        <v>1282</v>
      </c>
      <c r="E735">
        <v>-31</v>
      </c>
      <c r="F735" s="105">
        <v>6000000</v>
      </c>
      <c r="G735" t="s">
        <v>5352</v>
      </c>
      <c r="I735">
        <v>760449.79</v>
      </c>
      <c r="J735" s="384">
        <v>43039.617964895835</v>
      </c>
      <c r="K735" s="384">
        <v>43345</v>
      </c>
      <c r="L735" t="s">
        <v>5976</v>
      </c>
      <c r="M735" t="s">
        <v>1280</v>
      </c>
      <c r="N735" t="s">
        <v>1280</v>
      </c>
      <c r="O735" t="s">
        <v>25</v>
      </c>
      <c r="P735" t="s">
        <v>88</v>
      </c>
      <c r="Q735" t="s">
        <v>285</v>
      </c>
      <c r="R735" t="s">
        <v>2636</v>
      </c>
      <c r="S735">
        <v>6000000</v>
      </c>
      <c r="T735">
        <v>324000000</v>
      </c>
      <c r="U735">
        <v>324000000</v>
      </c>
      <c r="Z735"/>
    </row>
    <row r="736" spans="1:26" x14ac:dyDescent="0.25">
      <c r="A736">
        <v>103449</v>
      </c>
      <c r="B736" t="s">
        <v>4465</v>
      </c>
      <c r="C736" t="s">
        <v>4466</v>
      </c>
      <c r="D736" t="s">
        <v>1279</v>
      </c>
      <c r="E736">
        <v>-31</v>
      </c>
      <c r="F736" s="105">
        <v>2000000</v>
      </c>
      <c r="G736" t="s">
        <v>5124</v>
      </c>
      <c r="I736">
        <v>247214.15</v>
      </c>
      <c r="J736" s="384">
        <v>43039.540177314811</v>
      </c>
      <c r="K736" s="384">
        <v>43345</v>
      </c>
      <c r="L736" t="s">
        <v>4467</v>
      </c>
      <c r="M736" t="s">
        <v>1280</v>
      </c>
      <c r="N736" t="s">
        <v>1280</v>
      </c>
      <c r="O736" t="s">
        <v>25</v>
      </c>
      <c r="P736" t="s">
        <v>88</v>
      </c>
      <c r="Q736" t="s">
        <v>26</v>
      </c>
      <c r="R736" t="s">
        <v>2856</v>
      </c>
      <c r="S736">
        <v>2000000</v>
      </c>
      <c r="T736">
        <v>96000000</v>
      </c>
      <c r="U736">
        <v>96000000</v>
      </c>
      <c r="Z736"/>
    </row>
    <row r="737" spans="1:26" x14ac:dyDescent="0.25">
      <c r="A737">
        <v>103450</v>
      </c>
      <c r="B737" t="s">
        <v>5968</v>
      </c>
      <c r="C737" t="s">
        <v>5977</v>
      </c>
      <c r="D737" t="s">
        <v>1282</v>
      </c>
      <c r="E737">
        <v>-31</v>
      </c>
      <c r="F737" s="105">
        <v>1200000</v>
      </c>
      <c r="G737" t="s">
        <v>5124</v>
      </c>
      <c r="I737">
        <v>233321.97</v>
      </c>
      <c r="J737" s="384">
        <v>43039.546280127317</v>
      </c>
      <c r="K737" s="384">
        <v>43222</v>
      </c>
      <c r="L737" t="s">
        <v>5978</v>
      </c>
      <c r="M737" t="s">
        <v>5979</v>
      </c>
      <c r="N737" t="s">
        <v>1280</v>
      </c>
      <c r="O737" t="s">
        <v>25</v>
      </c>
      <c r="P737" t="s">
        <v>88</v>
      </c>
      <c r="Q737" t="s">
        <v>285</v>
      </c>
      <c r="R737" t="s">
        <v>2636</v>
      </c>
      <c r="S737">
        <v>1200000</v>
      </c>
      <c r="T737">
        <v>64800000</v>
      </c>
      <c r="U737">
        <v>64800000</v>
      </c>
      <c r="Z737"/>
    </row>
    <row r="738" spans="1:26" x14ac:dyDescent="0.25">
      <c r="A738">
        <v>103451</v>
      </c>
      <c r="B738" t="s">
        <v>5974</v>
      </c>
      <c r="C738" t="s">
        <v>5980</v>
      </c>
      <c r="D738" t="s">
        <v>1286</v>
      </c>
      <c r="E738">
        <v>-20</v>
      </c>
      <c r="F738" s="105">
        <v>1000000</v>
      </c>
      <c r="G738" t="s">
        <v>284</v>
      </c>
      <c r="I738">
        <v>261543.9</v>
      </c>
      <c r="J738" s="384">
        <v>43039.655609571761</v>
      </c>
      <c r="K738" s="384">
        <v>43152</v>
      </c>
      <c r="L738" t="s">
        <v>5981</v>
      </c>
      <c r="M738" t="s">
        <v>5982</v>
      </c>
      <c r="N738" t="s">
        <v>1280</v>
      </c>
      <c r="O738" t="s">
        <v>28</v>
      </c>
      <c r="P738" t="s">
        <v>26</v>
      </c>
      <c r="Q738" t="s">
        <v>26</v>
      </c>
      <c r="R738" t="s">
        <v>2636</v>
      </c>
      <c r="S738">
        <v>1000000</v>
      </c>
      <c r="T738">
        <v>25000000</v>
      </c>
      <c r="U738">
        <v>25000000</v>
      </c>
      <c r="Z738"/>
    </row>
    <row r="739" spans="1:26" x14ac:dyDescent="0.25">
      <c r="A739">
        <v>200008</v>
      </c>
      <c r="B739" t="s">
        <v>1680</v>
      </c>
      <c r="C739" t="s">
        <v>1682</v>
      </c>
      <c r="D739" t="s">
        <v>1282</v>
      </c>
      <c r="E739">
        <v>9</v>
      </c>
      <c r="F739" s="105">
        <v>2751142.53</v>
      </c>
      <c r="G739" t="s">
        <v>963</v>
      </c>
      <c r="H739">
        <v>89926.23</v>
      </c>
      <c r="I739">
        <v>2934046.37</v>
      </c>
      <c r="J739" s="711">
        <v>42354.515555821759</v>
      </c>
      <c r="K739" s="711">
        <v>43091</v>
      </c>
      <c r="L739" t="s">
        <v>1683</v>
      </c>
      <c r="M739" t="s">
        <v>1684</v>
      </c>
      <c r="N739" t="s">
        <v>1280</v>
      </c>
      <c r="O739" t="s">
        <v>37</v>
      </c>
      <c r="P739" t="s">
        <v>38</v>
      </c>
      <c r="Q739" t="s">
        <v>1681</v>
      </c>
      <c r="R739" t="s">
        <v>2636</v>
      </c>
      <c r="S739">
        <v>15000000</v>
      </c>
      <c r="T739">
        <v>720000000</v>
      </c>
      <c r="U739">
        <v>132054841.44</v>
      </c>
      <c r="Z739"/>
    </row>
    <row r="740" spans="1:26" x14ac:dyDescent="0.25">
      <c r="A740">
        <v>200035</v>
      </c>
      <c r="B740" t="s">
        <v>1698</v>
      </c>
      <c r="C740" t="s">
        <v>1699</v>
      </c>
      <c r="D740" t="s">
        <v>1284</v>
      </c>
      <c r="E740">
        <v>-4</v>
      </c>
      <c r="F740" s="105">
        <v>11463343.02</v>
      </c>
      <c r="G740" t="s">
        <v>1467</v>
      </c>
      <c r="H740">
        <v>286583.58</v>
      </c>
      <c r="I740">
        <v>14601703.640000001</v>
      </c>
      <c r="J740" s="711">
        <v>42397.512360763889</v>
      </c>
      <c r="K740" s="711">
        <v>43501</v>
      </c>
      <c r="L740" t="s">
        <v>1700</v>
      </c>
      <c r="M740" t="s">
        <v>1701</v>
      </c>
      <c r="N740" t="s">
        <v>1280</v>
      </c>
      <c r="O740" t="s">
        <v>44</v>
      </c>
      <c r="P740" t="s">
        <v>92</v>
      </c>
      <c r="Q740" t="s">
        <v>26</v>
      </c>
      <c r="R740" t="s">
        <v>2856</v>
      </c>
      <c r="S740">
        <v>19789761.23</v>
      </c>
      <c r="T740">
        <v>712431404.27999997</v>
      </c>
      <c r="U740">
        <v>412680348.72000003</v>
      </c>
      <c r="Z740"/>
    </row>
    <row r="741" spans="1:26" x14ac:dyDescent="0.25">
      <c r="A741">
        <v>200058</v>
      </c>
      <c r="B741" t="s">
        <v>1843</v>
      </c>
      <c r="C741" t="s">
        <v>1844</v>
      </c>
      <c r="D741" t="s">
        <v>1283</v>
      </c>
      <c r="E741">
        <v>-24</v>
      </c>
      <c r="F741" s="105">
        <v>20137114.530000001</v>
      </c>
      <c r="G741" t="s">
        <v>2855</v>
      </c>
      <c r="H741">
        <v>100685.57</v>
      </c>
      <c r="I741">
        <v>25650124.579999998</v>
      </c>
      <c r="J741" s="711">
        <v>42425.682359340281</v>
      </c>
      <c r="K741" s="711">
        <v>43521</v>
      </c>
      <c r="L741" t="s">
        <v>1845</v>
      </c>
      <c r="M741" t="s">
        <v>1280</v>
      </c>
      <c r="N741" t="s">
        <v>1280</v>
      </c>
      <c r="O741" t="s">
        <v>45</v>
      </c>
      <c r="P741" t="s">
        <v>45</v>
      </c>
      <c r="Q741" t="s">
        <v>26</v>
      </c>
      <c r="R741" t="s">
        <v>2636</v>
      </c>
      <c r="S741">
        <v>35000000</v>
      </c>
      <c r="T741">
        <v>1260000000</v>
      </c>
      <c r="U741">
        <v>724936123.08000004</v>
      </c>
      <c r="Z741"/>
    </row>
    <row r="742" spans="1:26" x14ac:dyDescent="0.25">
      <c r="A742">
        <v>200071</v>
      </c>
      <c r="B742" t="s">
        <v>1863</v>
      </c>
      <c r="C742" t="s">
        <v>1864</v>
      </c>
      <c r="D742" t="s">
        <v>1284</v>
      </c>
      <c r="E742">
        <v>-11</v>
      </c>
      <c r="F742" s="105">
        <v>13267280.039999999</v>
      </c>
      <c r="G742" t="s">
        <v>491</v>
      </c>
      <c r="H742">
        <v>238811.04</v>
      </c>
      <c r="I742">
        <v>17130619.140000001</v>
      </c>
      <c r="J742" s="711">
        <v>42441.469613194444</v>
      </c>
      <c r="K742" s="711">
        <v>43536</v>
      </c>
      <c r="L742" t="s">
        <v>1865</v>
      </c>
      <c r="M742" t="s">
        <v>1280</v>
      </c>
      <c r="N742" t="s">
        <v>1280</v>
      </c>
      <c r="O742" t="s">
        <v>44</v>
      </c>
      <c r="P742" t="s">
        <v>75</v>
      </c>
      <c r="Q742" t="s">
        <v>26</v>
      </c>
      <c r="R742" t="s">
        <v>2636</v>
      </c>
      <c r="S742">
        <v>22000000</v>
      </c>
      <c r="T742">
        <v>792000000</v>
      </c>
      <c r="U742">
        <v>477622081.44</v>
      </c>
      <c r="Z742"/>
    </row>
    <row r="743" spans="1:26" x14ac:dyDescent="0.25">
      <c r="A743">
        <v>200081</v>
      </c>
      <c r="B743" t="s">
        <v>1896</v>
      </c>
      <c r="C743" t="s">
        <v>1897</v>
      </c>
      <c r="D743" t="s">
        <v>1284</v>
      </c>
      <c r="E743">
        <v>0</v>
      </c>
      <c r="F743" s="105">
        <v>30273016.640000001</v>
      </c>
      <c r="G743" t="s">
        <v>546</v>
      </c>
      <c r="H743">
        <v>975463.87</v>
      </c>
      <c r="I743">
        <v>40744952.590000004</v>
      </c>
      <c r="J743" s="711">
        <v>42459.710820219909</v>
      </c>
      <c r="K743" s="711">
        <v>43556</v>
      </c>
      <c r="L743" t="s">
        <v>1898</v>
      </c>
      <c r="M743" t="s">
        <v>1280</v>
      </c>
      <c r="N743" t="s">
        <v>1280</v>
      </c>
      <c r="O743" t="s">
        <v>27</v>
      </c>
      <c r="P743" t="s">
        <v>116</v>
      </c>
      <c r="Q743" t="s">
        <v>1830</v>
      </c>
      <c r="R743" t="s">
        <v>2636</v>
      </c>
      <c r="S743">
        <v>47000000</v>
      </c>
      <c r="T743">
        <v>1880000000</v>
      </c>
      <c r="U743">
        <v>1210920665.5999999</v>
      </c>
      <c r="Z743"/>
    </row>
    <row r="744" spans="1:26" x14ac:dyDescent="0.25">
      <c r="A744">
        <v>200089</v>
      </c>
      <c r="B744" t="s">
        <v>1910</v>
      </c>
      <c r="C744" t="s">
        <v>1911</v>
      </c>
      <c r="D744" t="s">
        <v>1284</v>
      </c>
      <c r="E744">
        <v>-4</v>
      </c>
      <c r="F744" s="105">
        <v>3934015.46</v>
      </c>
      <c r="G744" t="s">
        <v>1467</v>
      </c>
      <c r="H744">
        <v>109278.21</v>
      </c>
      <c r="I744">
        <v>4405516.8600000003</v>
      </c>
      <c r="J744" s="711">
        <v>42465.41413449074</v>
      </c>
      <c r="K744" s="711">
        <v>43195</v>
      </c>
      <c r="L744" t="s">
        <v>1912</v>
      </c>
      <c r="M744" t="s">
        <v>1280</v>
      </c>
      <c r="N744" t="s">
        <v>1280</v>
      </c>
      <c r="O744" t="s">
        <v>44</v>
      </c>
      <c r="P744" t="s">
        <v>75</v>
      </c>
      <c r="Q744" t="s">
        <v>26</v>
      </c>
      <c r="R744" t="s">
        <v>2636</v>
      </c>
      <c r="S744">
        <v>12000000</v>
      </c>
      <c r="T744">
        <v>480000000</v>
      </c>
      <c r="U744">
        <v>157360618.40000001</v>
      </c>
      <c r="Z744"/>
    </row>
    <row r="745" spans="1:26" x14ac:dyDescent="0.25">
      <c r="A745">
        <v>200091</v>
      </c>
      <c r="B745" t="s">
        <v>1917</v>
      </c>
      <c r="C745" t="s">
        <v>1918</v>
      </c>
      <c r="D745" t="s">
        <v>1281</v>
      </c>
      <c r="E745">
        <v>-7</v>
      </c>
      <c r="F745" s="105">
        <v>5329134.6500000004</v>
      </c>
      <c r="G745" t="s">
        <v>1925</v>
      </c>
      <c r="H745">
        <v>156321.28</v>
      </c>
      <c r="I745">
        <v>6099575.1900000004</v>
      </c>
      <c r="J745" s="711">
        <v>42468.666712418984</v>
      </c>
      <c r="K745" s="711">
        <v>43198</v>
      </c>
      <c r="L745" t="s">
        <v>1919</v>
      </c>
      <c r="M745" t="s">
        <v>1280</v>
      </c>
      <c r="N745" t="s">
        <v>1920</v>
      </c>
      <c r="O745" t="s">
        <v>37</v>
      </c>
      <c r="P745" t="s">
        <v>686</v>
      </c>
      <c r="Q745" t="s">
        <v>686</v>
      </c>
      <c r="R745" t="s">
        <v>2636</v>
      </c>
      <c r="S745">
        <v>15500000</v>
      </c>
      <c r="T745">
        <v>744000000</v>
      </c>
      <c r="U745">
        <v>255798463.19999999</v>
      </c>
      <c r="Z745"/>
    </row>
    <row r="746" spans="1:26" x14ac:dyDescent="0.25">
      <c r="A746">
        <v>200098</v>
      </c>
      <c r="B746" t="s">
        <v>1934</v>
      </c>
      <c r="C746" t="s">
        <v>1935</v>
      </c>
      <c r="D746" t="s">
        <v>1281</v>
      </c>
      <c r="E746">
        <v>-24</v>
      </c>
      <c r="F746" s="105">
        <v>16845060.75</v>
      </c>
      <c r="G746" t="s">
        <v>90</v>
      </c>
      <c r="H746">
        <v>112300.41</v>
      </c>
      <c r="I746">
        <v>23951653.420000002</v>
      </c>
      <c r="J746" s="711">
        <v>42480.684143020837</v>
      </c>
      <c r="K746" s="711">
        <v>43580</v>
      </c>
      <c r="L746" t="s">
        <v>1936</v>
      </c>
      <c r="M746" t="s">
        <v>1280</v>
      </c>
      <c r="N746" t="s">
        <v>1280</v>
      </c>
      <c r="O746" t="s">
        <v>25</v>
      </c>
      <c r="P746" t="s">
        <v>286</v>
      </c>
      <c r="Q746" t="s">
        <v>26</v>
      </c>
      <c r="R746" t="s">
        <v>2636</v>
      </c>
      <c r="S746">
        <v>25000000</v>
      </c>
      <c r="T746">
        <v>1200000000</v>
      </c>
      <c r="U746">
        <v>808562916</v>
      </c>
      <c r="Z746"/>
    </row>
    <row r="747" spans="1:26" x14ac:dyDescent="0.25">
      <c r="A747">
        <v>200099</v>
      </c>
      <c r="B747" t="s">
        <v>1938</v>
      </c>
      <c r="C747" t="s">
        <v>1942</v>
      </c>
      <c r="D747" t="s">
        <v>1284</v>
      </c>
      <c r="E747">
        <v>-23</v>
      </c>
      <c r="F747" s="105">
        <v>12909808.369999999</v>
      </c>
      <c r="G747" t="s">
        <v>2861</v>
      </c>
      <c r="H747">
        <v>86065.39</v>
      </c>
      <c r="I747">
        <v>17375524.010000002</v>
      </c>
      <c r="J747" s="711">
        <v>42481.548824652775</v>
      </c>
      <c r="K747" s="711">
        <v>43579</v>
      </c>
      <c r="L747" t="s">
        <v>1943</v>
      </c>
      <c r="M747" t="s">
        <v>1280</v>
      </c>
      <c r="N747" t="s">
        <v>1280</v>
      </c>
      <c r="O747" t="s">
        <v>25</v>
      </c>
      <c r="P747" t="s">
        <v>88</v>
      </c>
      <c r="Q747" t="s">
        <v>26</v>
      </c>
      <c r="R747" t="s">
        <v>2636</v>
      </c>
      <c r="S747">
        <v>20000000</v>
      </c>
      <c r="T747">
        <v>800000000</v>
      </c>
      <c r="U747">
        <v>516392334.80000001</v>
      </c>
      <c r="Z747"/>
    </row>
    <row r="748" spans="1:26" x14ac:dyDescent="0.25">
      <c r="A748">
        <v>200105</v>
      </c>
      <c r="B748" t="s">
        <v>1995</v>
      </c>
      <c r="C748" t="s">
        <v>1996</v>
      </c>
      <c r="D748" t="s">
        <v>1281</v>
      </c>
      <c r="E748">
        <v>-24</v>
      </c>
      <c r="F748" s="105">
        <v>16737767.310000001</v>
      </c>
      <c r="G748" t="s">
        <v>4684</v>
      </c>
      <c r="H748">
        <v>125938.57</v>
      </c>
      <c r="I748">
        <v>23799094.969999999</v>
      </c>
      <c r="J748" s="711">
        <v>42485.720724270832</v>
      </c>
      <c r="K748" s="711">
        <v>43580</v>
      </c>
      <c r="L748" t="s">
        <v>1997</v>
      </c>
      <c r="M748" t="s">
        <v>1280</v>
      </c>
      <c r="N748" t="s">
        <v>1998</v>
      </c>
      <c r="O748" t="s">
        <v>44</v>
      </c>
      <c r="P748" t="s">
        <v>92</v>
      </c>
      <c r="Q748" t="s">
        <v>92</v>
      </c>
      <c r="R748" t="s">
        <v>2636</v>
      </c>
      <c r="S748">
        <v>25000000</v>
      </c>
      <c r="T748">
        <v>1200000000</v>
      </c>
      <c r="U748">
        <v>803412830.88</v>
      </c>
      <c r="Z748"/>
    </row>
    <row r="749" spans="1:26" x14ac:dyDescent="0.25">
      <c r="A749">
        <v>200107</v>
      </c>
      <c r="B749" t="s">
        <v>1705</v>
      </c>
      <c r="C749" t="s">
        <v>1906</v>
      </c>
      <c r="D749" t="s">
        <v>1285</v>
      </c>
      <c r="E749">
        <v>-20</v>
      </c>
      <c r="F749" s="105">
        <v>4658815.1100000003</v>
      </c>
      <c r="G749" t="s">
        <v>284</v>
      </c>
      <c r="H749">
        <v>29117.59</v>
      </c>
      <c r="I749">
        <v>5634616.4000000004</v>
      </c>
      <c r="J749" s="711">
        <v>42486.63441712963</v>
      </c>
      <c r="K749" s="711">
        <v>43576</v>
      </c>
      <c r="L749" t="s">
        <v>1907</v>
      </c>
      <c r="M749" t="s">
        <v>1280</v>
      </c>
      <c r="N749" t="s">
        <v>1908</v>
      </c>
      <c r="O749" t="s">
        <v>44</v>
      </c>
      <c r="P749" t="s">
        <v>26</v>
      </c>
      <c r="Q749" t="s">
        <v>26</v>
      </c>
      <c r="R749" t="s">
        <v>2636</v>
      </c>
      <c r="S749">
        <v>7900000</v>
      </c>
      <c r="T749">
        <v>197500000</v>
      </c>
      <c r="U749">
        <v>116470377.75</v>
      </c>
      <c r="Z749"/>
    </row>
    <row r="750" spans="1:26" x14ac:dyDescent="0.25">
      <c r="A750">
        <v>200111</v>
      </c>
      <c r="B750" t="s">
        <v>2005</v>
      </c>
      <c r="C750" t="s">
        <v>2006</v>
      </c>
      <c r="D750" t="s">
        <v>1283</v>
      </c>
      <c r="E750">
        <v>-4</v>
      </c>
      <c r="F750" s="105">
        <v>18519114.02</v>
      </c>
      <c r="G750" t="s">
        <v>2855</v>
      </c>
      <c r="H750">
        <v>462977.85</v>
      </c>
      <c r="I750">
        <v>20807048.27</v>
      </c>
      <c r="J750" s="711">
        <v>42488.544714965275</v>
      </c>
      <c r="K750" s="711">
        <v>43225</v>
      </c>
      <c r="L750" t="s">
        <v>1570</v>
      </c>
      <c r="M750" t="s">
        <v>1280</v>
      </c>
      <c r="N750" t="s">
        <v>1280</v>
      </c>
      <c r="O750" t="s">
        <v>27</v>
      </c>
      <c r="P750" t="s">
        <v>81</v>
      </c>
      <c r="Q750" t="s">
        <v>1685</v>
      </c>
      <c r="R750" t="s">
        <v>2636</v>
      </c>
      <c r="S750">
        <v>50000000</v>
      </c>
      <c r="T750">
        <v>1800000000</v>
      </c>
      <c r="U750">
        <v>666688104.72000003</v>
      </c>
      <c r="Z750"/>
    </row>
    <row r="751" spans="1:26" x14ac:dyDescent="0.25">
      <c r="A751">
        <v>200119</v>
      </c>
      <c r="B751" t="s">
        <v>2017</v>
      </c>
      <c r="C751" t="s">
        <v>2018</v>
      </c>
      <c r="D751" t="s">
        <v>1283</v>
      </c>
      <c r="E751">
        <v>120</v>
      </c>
      <c r="F751" s="105">
        <v>38300691.909999996</v>
      </c>
      <c r="G751" t="s">
        <v>1909</v>
      </c>
      <c r="H751">
        <v>1399540.56</v>
      </c>
      <c r="I751">
        <v>54370912.640000001</v>
      </c>
      <c r="J751" s="711">
        <v>42489.806193321761</v>
      </c>
      <c r="K751" s="711">
        <v>43586</v>
      </c>
      <c r="L751" t="s">
        <v>2019</v>
      </c>
      <c r="M751" t="s">
        <v>1280</v>
      </c>
      <c r="N751" t="s">
        <v>1280</v>
      </c>
      <c r="O751" t="s">
        <v>25</v>
      </c>
      <c r="P751" t="s">
        <v>88</v>
      </c>
      <c r="Q751" t="s">
        <v>285</v>
      </c>
      <c r="R751" t="s">
        <v>2636</v>
      </c>
      <c r="S751">
        <v>50000000</v>
      </c>
      <c r="T751">
        <v>2000000000</v>
      </c>
      <c r="U751">
        <v>1532027676.4000001</v>
      </c>
      <c r="Z751"/>
    </row>
    <row r="752" spans="1:26" x14ac:dyDescent="0.25">
      <c r="A752">
        <v>200122</v>
      </c>
      <c r="B752" t="s">
        <v>2020</v>
      </c>
      <c r="C752" t="s">
        <v>2021</v>
      </c>
      <c r="D752" t="s">
        <v>1283</v>
      </c>
      <c r="E752">
        <v>-19</v>
      </c>
      <c r="F752" s="105">
        <v>39061983.729999997</v>
      </c>
      <c r="G752" t="s">
        <v>1447</v>
      </c>
      <c r="H752">
        <v>434022.04</v>
      </c>
      <c r="I752">
        <v>62392059.240000002</v>
      </c>
      <c r="J752" s="711">
        <v>42490.746087997686</v>
      </c>
      <c r="K752" s="711">
        <v>43941</v>
      </c>
      <c r="L752" t="s">
        <v>2022</v>
      </c>
      <c r="M752" t="s">
        <v>1280</v>
      </c>
      <c r="N752" t="s">
        <v>1280</v>
      </c>
      <c r="O752" t="s">
        <v>45</v>
      </c>
      <c r="P752" t="s">
        <v>45</v>
      </c>
      <c r="Q752" t="s">
        <v>89</v>
      </c>
      <c r="R752" t="s">
        <v>2636</v>
      </c>
      <c r="S752">
        <v>50000000</v>
      </c>
      <c r="T752">
        <v>2000000000</v>
      </c>
      <c r="U752">
        <v>1562479349.2</v>
      </c>
      <c r="Z752"/>
    </row>
    <row r="753" spans="1:26" x14ac:dyDescent="0.25">
      <c r="A753">
        <v>200123</v>
      </c>
      <c r="B753" t="s">
        <v>2023</v>
      </c>
      <c r="C753" t="s">
        <v>2024</v>
      </c>
      <c r="D753" t="s">
        <v>1282</v>
      </c>
      <c r="E753">
        <v>86</v>
      </c>
      <c r="F753" s="105">
        <v>5259874.79</v>
      </c>
      <c r="G753" t="s">
        <v>5724</v>
      </c>
      <c r="H753">
        <v>219697.28</v>
      </c>
      <c r="I753">
        <v>6462756.4299999997</v>
      </c>
      <c r="J753" s="711">
        <v>42490.775684641201</v>
      </c>
      <c r="K753" s="711">
        <v>43225</v>
      </c>
      <c r="L753" t="s">
        <v>2025</v>
      </c>
      <c r="M753" t="s">
        <v>1280</v>
      </c>
      <c r="N753" t="s">
        <v>1280</v>
      </c>
      <c r="O753" t="s">
        <v>44</v>
      </c>
      <c r="P753" t="s">
        <v>26</v>
      </c>
      <c r="Q753" t="s">
        <v>26</v>
      </c>
      <c r="R753" t="s">
        <v>2636</v>
      </c>
      <c r="S753">
        <v>10000000</v>
      </c>
      <c r="T753">
        <v>540000000</v>
      </c>
      <c r="U753">
        <v>284033238.66000003</v>
      </c>
      <c r="Z753"/>
    </row>
    <row r="754" spans="1:26" x14ac:dyDescent="0.25">
      <c r="A754">
        <v>200126</v>
      </c>
      <c r="B754" t="s">
        <v>1702</v>
      </c>
      <c r="C754" t="s">
        <v>1703</v>
      </c>
      <c r="D754" t="s">
        <v>1284</v>
      </c>
      <c r="E754">
        <v>-9</v>
      </c>
      <c r="F754" s="105">
        <v>33471986.190000001</v>
      </c>
      <c r="G754" t="s">
        <v>546</v>
      </c>
      <c r="H754">
        <v>669439.72</v>
      </c>
      <c r="I754">
        <v>51880466.939999998</v>
      </c>
      <c r="J754" s="711">
        <v>42493.687899502314</v>
      </c>
      <c r="K754" s="711">
        <v>43961</v>
      </c>
      <c r="L754" t="s">
        <v>1704</v>
      </c>
      <c r="M754" t="s">
        <v>1280</v>
      </c>
      <c r="N754" t="s">
        <v>1280</v>
      </c>
      <c r="O754" t="s">
        <v>44</v>
      </c>
      <c r="P754" t="s">
        <v>75</v>
      </c>
      <c r="Q754" t="s">
        <v>26</v>
      </c>
      <c r="R754" t="s">
        <v>2856</v>
      </c>
      <c r="S754">
        <v>42000000</v>
      </c>
      <c r="T754">
        <v>1512000000</v>
      </c>
      <c r="U754">
        <v>1204991502.8399999</v>
      </c>
      <c r="Z754"/>
    </row>
    <row r="755" spans="1:26" x14ac:dyDescent="0.25">
      <c r="A755">
        <v>200130</v>
      </c>
      <c r="B755" t="s">
        <v>1954</v>
      </c>
      <c r="C755" t="s">
        <v>2028</v>
      </c>
      <c r="D755" t="s">
        <v>1281</v>
      </c>
      <c r="E755">
        <v>-8</v>
      </c>
      <c r="F755" s="105">
        <v>14107220.75</v>
      </c>
      <c r="G755" t="s">
        <v>1909</v>
      </c>
      <c r="H755">
        <v>395002.18</v>
      </c>
      <c r="I755">
        <v>24864201.16</v>
      </c>
      <c r="J755" s="711">
        <v>42499.721652546294</v>
      </c>
      <c r="K755" s="711">
        <v>43960</v>
      </c>
      <c r="L755" t="s">
        <v>2029</v>
      </c>
      <c r="M755" t="s">
        <v>1280</v>
      </c>
      <c r="N755" t="s">
        <v>1280</v>
      </c>
      <c r="O755" t="s">
        <v>25</v>
      </c>
      <c r="P755" t="s">
        <v>88</v>
      </c>
      <c r="Q755" t="s">
        <v>285</v>
      </c>
      <c r="R755" t="s">
        <v>2636</v>
      </c>
      <c r="S755">
        <v>17000000</v>
      </c>
      <c r="T755">
        <v>816000000</v>
      </c>
      <c r="U755">
        <v>677146596</v>
      </c>
      <c r="Z755"/>
    </row>
    <row r="756" spans="1:26" x14ac:dyDescent="0.25">
      <c r="A756">
        <v>200135</v>
      </c>
      <c r="B756" t="s">
        <v>2038</v>
      </c>
      <c r="C756" t="s">
        <v>2044</v>
      </c>
      <c r="D756" t="s">
        <v>1284</v>
      </c>
      <c r="E756">
        <v>-9</v>
      </c>
      <c r="F756" s="105">
        <v>28173133.870000001</v>
      </c>
      <c r="G756" t="s">
        <v>491</v>
      </c>
      <c r="H756">
        <v>626069.64</v>
      </c>
      <c r="I756">
        <v>45620803.140000001</v>
      </c>
      <c r="J756" s="711">
        <v>42500.65796809028</v>
      </c>
      <c r="K756" s="711">
        <v>43961</v>
      </c>
      <c r="L756" t="s">
        <v>2045</v>
      </c>
      <c r="M756" t="s">
        <v>1280</v>
      </c>
      <c r="N756" t="s">
        <v>2046</v>
      </c>
      <c r="O756" t="s">
        <v>25</v>
      </c>
      <c r="P756" t="s">
        <v>88</v>
      </c>
      <c r="Q756" t="s">
        <v>26</v>
      </c>
      <c r="R756" t="s">
        <v>2636</v>
      </c>
      <c r="S756">
        <v>35000000</v>
      </c>
      <c r="T756">
        <v>1400000000</v>
      </c>
      <c r="U756">
        <v>1126925354.8</v>
      </c>
      <c r="Z756"/>
    </row>
    <row r="757" spans="1:26" x14ac:dyDescent="0.25">
      <c r="A757">
        <v>200137</v>
      </c>
      <c r="B757" t="s">
        <v>2048</v>
      </c>
      <c r="C757" t="s">
        <v>2054</v>
      </c>
      <c r="D757" t="s">
        <v>1284</v>
      </c>
      <c r="E757">
        <v>16</v>
      </c>
      <c r="F757" s="105">
        <v>21268229.210000001</v>
      </c>
      <c r="G757" t="s">
        <v>1467</v>
      </c>
      <c r="H757">
        <v>890282.59</v>
      </c>
      <c r="I757">
        <v>24446627.98</v>
      </c>
      <c r="J757" s="711">
        <v>42501.640024386572</v>
      </c>
      <c r="K757" s="711">
        <v>43235</v>
      </c>
      <c r="L757" t="s">
        <v>2055</v>
      </c>
      <c r="M757" t="s">
        <v>1280</v>
      </c>
      <c r="N757" t="s">
        <v>1280</v>
      </c>
      <c r="O757" t="s">
        <v>35</v>
      </c>
      <c r="P757" t="s">
        <v>121</v>
      </c>
      <c r="Q757" t="s">
        <v>122</v>
      </c>
      <c r="R757" t="s">
        <v>2636</v>
      </c>
      <c r="S757">
        <v>50000000</v>
      </c>
      <c r="T757">
        <v>2000000000</v>
      </c>
      <c r="U757">
        <v>850729168.39999998</v>
      </c>
      <c r="Z757"/>
    </row>
    <row r="758" spans="1:26" x14ac:dyDescent="0.25">
      <c r="A758">
        <v>200138</v>
      </c>
      <c r="B758" t="s">
        <v>2049</v>
      </c>
      <c r="C758" t="s">
        <v>2056</v>
      </c>
      <c r="D758" t="s">
        <v>1281</v>
      </c>
      <c r="E758">
        <v>16</v>
      </c>
      <c r="F758" s="105">
        <v>8876878.2699999996</v>
      </c>
      <c r="G758" t="s">
        <v>90</v>
      </c>
      <c r="H758">
        <v>513344.93</v>
      </c>
      <c r="I758">
        <v>10547707.890000001</v>
      </c>
      <c r="J758" s="711">
        <v>42501.670679166666</v>
      </c>
      <c r="K758" s="711">
        <v>43235</v>
      </c>
      <c r="L758" t="s">
        <v>2057</v>
      </c>
      <c r="M758" t="s">
        <v>1280</v>
      </c>
      <c r="N758" t="s">
        <v>2058</v>
      </c>
      <c r="O758" t="s">
        <v>25</v>
      </c>
      <c r="P758" t="s">
        <v>26</v>
      </c>
      <c r="Q758" t="s">
        <v>26</v>
      </c>
      <c r="R758" t="s">
        <v>2636</v>
      </c>
      <c r="S758">
        <v>20000000</v>
      </c>
      <c r="T758">
        <v>960000000</v>
      </c>
      <c r="U758">
        <v>426090156.95999998</v>
      </c>
      <c r="Z758"/>
    </row>
    <row r="759" spans="1:26" x14ac:dyDescent="0.25">
      <c r="A759">
        <v>200140</v>
      </c>
      <c r="B759" t="s">
        <v>2059</v>
      </c>
      <c r="C759" t="s">
        <v>2066</v>
      </c>
      <c r="D759" t="s">
        <v>1284</v>
      </c>
      <c r="E759">
        <v>17</v>
      </c>
      <c r="F759" s="105">
        <v>8339217.0599999996</v>
      </c>
      <c r="G759" t="s">
        <v>1039</v>
      </c>
      <c r="H759">
        <v>420893.87</v>
      </c>
      <c r="I759">
        <v>11558851.560000001</v>
      </c>
      <c r="J759" s="711">
        <v>42503.7178915162</v>
      </c>
      <c r="K759" s="711">
        <v>43599</v>
      </c>
      <c r="L759" t="s">
        <v>2067</v>
      </c>
      <c r="M759" t="s">
        <v>1280</v>
      </c>
      <c r="N759" t="s">
        <v>1280</v>
      </c>
      <c r="O759" t="s">
        <v>25</v>
      </c>
      <c r="P759" t="s">
        <v>88</v>
      </c>
      <c r="Q759" t="s">
        <v>285</v>
      </c>
      <c r="R759" t="s">
        <v>2636</v>
      </c>
      <c r="S759">
        <v>12000000</v>
      </c>
      <c r="T759">
        <v>480000000</v>
      </c>
      <c r="U759">
        <v>333568682.39999998</v>
      </c>
      <c r="Z759"/>
    </row>
    <row r="760" spans="1:26" x14ac:dyDescent="0.25">
      <c r="A760">
        <v>200141</v>
      </c>
      <c r="B760" t="s">
        <v>2068</v>
      </c>
      <c r="C760" t="s">
        <v>2071</v>
      </c>
      <c r="D760" t="s">
        <v>1284</v>
      </c>
      <c r="E760">
        <v>-22</v>
      </c>
      <c r="F760" s="105">
        <v>23649292.989999998</v>
      </c>
      <c r="G760" t="s">
        <v>546</v>
      </c>
      <c r="H760">
        <v>183938.95</v>
      </c>
      <c r="I760">
        <v>32302862.620000001</v>
      </c>
      <c r="J760" s="711">
        <v>42504.434353321762</v>
      </c>
      <c r="K760" s="711">
        <v>43608</v>
      </c>
      <c r="L760" t="s">
        <v>2072</v>
      </c>
      <c r="M760" t="s">
        <v>1280</v>
      </c>
      <c r="N760" t="s">
        <v>1280</v>
      </c>
      <c r="O760" t="s">
        <v>44</v>
      </c>
      <c r="P760" t="s">
        <v>75</v>
      </c>
      <c r="Q760" t="s">
        <v>26</v>
      </c>
      <c r="R760" t="s">
        <v>2636</v>
      </c>
      <c r="S760">
        <v>35000000</v>
      </c>
      <c r="T760">
        <v>1400000000</v>
      </c>
      <c r="U760">
        <v>945971719.60000002</v>
      </c>
      <c r="Z760"/>
    </row>
    <row r="761" spans="1:26" x14ac:dyDescent="0.25">
      <c r="A761">
        <v>200142</v>
      </c>
      <c r="B761" t="s">
        <v>2074</v>
      </c>
      <c r="C761" t="s">
        <v>2077</v>
      </c>
      <c r="D761" t="s">
        <v>1281</v>
      </c>
      <c r="E761">
        <v>15</v>
      </c>
      <c r="F761" s="105">
        <v>11499998.859999999</v>
      </c>
      <c r="G761" t="s">
        <v>1448</v>
      </c>
      <c r="H761">
        <v>667457.71</v>
      </c>
      <c r="I761">
        <v>16923800.82</v>
      </c>
      <c r="J761" s="711">
        <v>42506.736059606483</v>
      </c>
      <c r="K761" s="711">
        <v>43601</v>
      </c>
      <c r="L761" t="s">
        <v>2078</v>
      </c>
      <c r="M761" t="s">
        <v>1280</v>
      </c>
      <c r="N761" t="s">
        <v>1280</v>
      </c>
      <c r="O761" t="s">
        <v>45</v>
      </c>
      <c r="P761" t="s">
        <v>45</v>
      </c>
      <c r="Q761" t="s">
        <v>89</v>
      </c>
      <c r="R761" t="s">
        <v>2636</v>
      </c>
      <c r="S761">
        <v>16000000</v>
      </c>
      <c r="T761">
        <v>768000000</v>
      </c>
      <c r="U761">
        <v>551999945.27999997</v>
      </c>
      <c r="Z761"/>
    </row>
    <row r="762" spans="1:26" x14ac:dyDescent="0.25">
      <c r="A762">
        <v>200149</v>
      </c>
      <c r="B762" t="s">
        <v>2082</v>
      </c>
      <c r="C762" t="s">
        <v>2093</v>
      </c>
      <c r="D762" t="s">
        <v>1283</v>
      </c>
      <c r="E762">
        <v>-24</v>
      </c>
      <c r="F762" s="105">
        <v>20564774.699999999</v>
      </c>
      <c r="G762" t="s">
        <v>2034</v>
      </c>
      <c r="H762">
        <v>114248.75</v>
      </c>
      <c r="I762">
        <v>28089680.829999998</v>
      </c>
      <c r="J762" s="711">
        <v>42508.715886377315</v>
      </c>
      <c r="K762" s="711">
        <v>43610</v>
      </c>
      <c r="L762" t="s">
        <v>2094</v>
      </c>
      <c r="M762" t="s">
        <v>1280</v>
      </c>
      <c r="N762" t="s">
        <v>1280</v>
      </c>
      <c r="O762" t="s">
        <v>25</v>
      </c>
      <c r="P762" t="s">
        <v>295</v>
      </c>
      <c r="Q762" t="s">
        <v>26</v>
      </c>
      <c r="R762" t="s">
        <v>2856</v>
      </c>
      <c r="S762">
        <v>30500000</v>
      </c>
      <c r="T762">
        <v>1220000000</v>
      </c>
      <c r="U762">
        <v>822590988</v>
      </c>
      <c r="Z762"/>
    </row>
    <row r="763" spans="1:26" x14ac:dyDescent="0.25">
      <c r="A763">
        <v>200154</v>
      </c>
      <c r="B763" t="s">
        <v>1746</v>
      </c>
      <c r="C763" t="s">
        <v>403</v>
      </c>
      <c r="D763" t="s">
        <v>1281</v>
      </c>
      <c r="E763">
        <v>-20</v>
      </c>
      <c r="F763" s="105">
        <v>23776927.32</v>
      </c>
      <c r="G763" t="s">
        <v>284</v>
      </c>
      <c r="H763">
        <v>655254.18999999994</v>
      </c>
      <c r="I763">
        <v>32514159.039999999</v>
      </c>
      <c r="J763" s="711">
        <v>42510.554343206015</v>
      </c>
      <c r="K763" s="711">
        <v>43972</v>
      </c>
      <c r="L763" t="s">
        <v>404</v>
      </c>
      <c r="M763" t="s">
        <v>1280</v>
      </c>
      <c r="N763" t="s">
        <v>1280</v>
      </c>
      <c r="O763" t="s">
        <v>43</v>
      </c>
      <c r="P763" t="s">
        <v>338</v>
      </c>
      <c r="Q763" t="s">
        <v>26</v>
      </c>
      <c r="R763" t="s">
        <v>2636</v>
      </c>
      <c r="S763">
        <v>31611025.309999999</v>
      </c>
      <c r="T763">
        <v>790275632.75</v>
      </c>
      <c r="U763">
        <v>594423183</v>
      </c>
      <c r="Z763"/>
    </row>
    <row r="764" spans="1:26" x14ac:dyDescent="0.25">
      <c r="A764">
        <v>200156</v>
      </c>
      <c r="B764" t="s">
        <v>2105</v>
      </c>
      <c r="C764" t="s">
        <v>2115</v>
      </c>
      <c r="D764" t="s">
        <v>1281</v>
      </c>
      <c r="E764">
        <v>-19</v>
      </c>
      <c r="F764" s="105">
        <v>1177304.32</v>
      </c>
      <c r="G764" t="s">
        <v>1448</v>
      </c>
      <c r="H764">
        <v>15697.39</v>
      </c>
      <c r="I764">
        <v>1224396.49</v>
      </c>
      <c r="J764" s="711">
        <v>42510.632320370372</v>
      </c>
      <c r="K764" s="711">
        <v>43059</v>
      </c>
      <c r="L764" t="s">
        <v>2116</v>
      </c>
      <c r="M764" t="s">
        <v>5711</v>
      </c>
      <c r="N764" t="s">
        <v>1280</v>
      </c>
      <c r="O764" t="s">
        <v>45</v>
      </c>
      <c r="P764" t="s">
        <v>45</v>
      </c>
      <c r="Q764" t="s">
        <v>26</v>
      </c>
      <c r="R764" t="s">
        <v>2636</v>
      </c>
      <c r="S764">
        <v>15500000</v>
      </c>
      <c r="T764">
        <v>744000000</v>
      </c>
      <c r="U764">
        <v>56510607.359999999</v>
      </c>
      <c r="Z764"/>
    </row>
    <row r="765" spans="1:26" x14ac:dyDescent="0.25">
      <c r="A765">
        <v>200158</v>
      </c>
      <c r="B765" t="s">
        <v>2103</v>
      </c>
      <c r="C765" t="s">
        <v>2120</v>
      </c>
      <c r="D765" t="s">
        <v>1283</v>
      </c>
      <c r="E765">
        <v>-19</v>
      </c>
      <c r="F765" s="105">
        <v>30114800.18</v>
      </c>
      <c r="G765" t="s">
        <v>1448</v>
      </c>
      <c r="H765">
        <v>334608.89</v>
      </c>
      <c r="I765">
        <v>41134178.93</v>
      </c>
      <c r="J765" s="711">
        <v>42510.694846643521</v>
      </c>
      <c r="K765" s="711">
        <v>43605</v>
      </c>
      <c r="L765" t="s">
        <v>2121</v>
      </c>
      <c r="M765" t="s">
        <v>1280</v>
      </c>
      <c r="N765" t="s">
        <v>1280</v>
      </c>
      <c r="O765" t="s">
        <v>44</v>
      </c>
      <c r="P765" t="s">
        <v>92</v>
      </c>
      <c r="Q765" t="s">
        <v>92</v>
      </c>
      <c r="R765" t="s">
        <v>2636</v>
      </c>
      <c r="S765">
        <v>45000000</v>
      </c>
      <c r="T765">
        <v>1800000000</v>
      </c>
      <c r="U765">
        <v>1204592007.2</v>
      </c>
      <c r="Z765"/>
    </row>
    <row r="766" spans="1:26" x14ac:dyDescent="0.25">
      <c r="A766">
        <v>200160</v>
      </c>
      <c r="B766" t="s">
        <v>2036</v>
      </c>
      <c r="C766" t="s">
        <v>2047</v>
      </c>
      <c r="D766" t="s">
        <v>1284</v>
      </c>
      <c r="E766">
        <v>-14</v>
      </c>
      <c r="F766" s="105">
        <v>35619244.359999999</v>
      </c>
      <c r="G766" t="s">
        <v>546</v>
      </c>
      <c r="H766">
        <v>1202225.28</v>
      </c>
      <c r="I766">
        <v>57678302.270000003</v>
      </c>
      <c r="J766" s="711">
        <v>42511.461811539353</v>
      </c>
      <c r="K766" s="711">
        <v>43966</v>
      </c>
      <c r="L766" t="s">
        <v>1278</v>
      </c>
      <c r="M766" t="s">
        <v>1704</v>
      </c>
      <c r="N766" t="s">
        <v>1280</v>
      </c>
      <c r="O766" t="s">
        <v>35</v>
      </c>
      <c r="P766" t="s">
        <v>121</v>
      </c>
      <c r="Q766" t="s">
        <v>299</v>
      </c>
      <c r="R766" t="s">
        <v>2856</v>
      </c>
      <c r="S766">
        <v>44537780</v>
      </c>
      <c r="T766">
        <v>1781511200</v>
      </c>
      <c r="U766">
        <v>1424769774.4000001</v>
      </c>
      <c r="Z766"/>
    </row>
    <row r="767" spans="1:26" x14ac:dyDescent="0.25">
      <c r="A767">
        <v>200166</v>
      </c>
      <c r="B767" t="s">
        <v>2138</v>
      </c>
      <c r="C767" t="s">
        <v>2156</v>
      </c>
      <c r="D767" t="s">
        <v>1281</v>
      </c>
      <c r="E767">
        <v>66</v>
      </c>
      <c r="F767" s="105">
        <v>13494346.41</v>
      </c>
      <c r="G767" t="s">
        <v>1925</v>
      </c>
      <c r="H767">
        <v>1016110.42</v>
      </c>
      <c r="I767">
        <v>18507819.920000002</v>
      </c>
      <c r="J767" s="711">
        <v>42514.770124456016</v>
      </c>
      <c r="K767" s="711">
        <v>43429</v>
      </c>
      <c r="L767" t="s">
        <v>2157</v>
      </c>
      <c r="M767" t="s">
        <v>1280</v>
      </c>
      <c r="N767" t="s">
        <v>1280</v>
      </c>
      <c r="O767" t="s">
        <v>46</v>
      </c>
      <c r="P767" t="s">
        <v>46</v>
      </c>
      <c r="Q767" t="s">
        <v>26</v>
      </c>
      <c r="R767" t="s">
        <v>2636</v>
      </c>
      <c r="S767">
        <v>20000000</v>
      </c>
      <c r="T767">
        <v>960000000</v>
      </c>
      <c r="U767">
        <v>647728627.67999995</v>
      </c>
      <c r="Z767"/>
    </row>
    <row r="768" spans="1:26" x14ac:dyDescent="0.25">
      <c r="A768">
        <v>200167</v>
      </c>
      <c r="B768" t="s">
        <v>2133</v>
      </c>
      <c r="C768" t="s">
        <v>2158</v>
      </c>
      <c r="D768" t="s">
        <v>1281</v>
      </c>
      <c r="E768">
        <v>0</v>
      </c>
      <c r="F768" s="105">
        <v>18106969.449999999</v>
      </c>
      <c r="G768" t="s">
        <v>1447</v>
      </c>
      <c r="H768">
        <v>700136.15</v>
      </c>
      <c r="I768">
        <v>26646850.16</v>
      </c>
      <c r="J768" s="711">
        <v>42515.548816666669</v>
      </c>
      <c r="K768" s="711">
        <v>43617</v>
      </c>
      <c r="L768" t="s">
        <v>2159</v>
      </c>
      <c r="M768" t="s">
        <v>1280</v>
      </c>
      <c r="N768" t="s">
        <v>1280</v>
      </c>
      <c r="O768" t="s">
        <v>37</v>
      </c>
      <c r="P768" t="s">
        <v>288</v>
      </c>
      <c r="Q768" t="s">
        <v>1829</v>
      </c>
      <c r="R768" t="s">
        <v>2636</v>
      </c>
      <c r="S768">
        <v>25000000</v>
      </c>
      <c r="T768">
        <v>1200000000</v>
      </c>
      <c r="U768">
        <v>869134533.60000002</v>
      </c>
      <c r="Z768"/>
    </row>
    <row r="769" spans="1:26" x14ac:dyDescent="0.25">
      <c r="A769">
        <v>200168</v>
      </c>
      <c r="B769" t="s">
        <v>2129</v>
      </c>
      <c r="C769" t="s">
        <v>2160</v>
      </c>
      <c r="D769" t="s">
        <v>1281</v>
      </c>
      <c r="E769">
        <v>0</v>
      </c>
      <c r="F769" s="105">
        <v>15389135.51</v>
      </c>
      <c r="G769" t="s">
        <v>1925</v>
      </c>
      <c r="H769">
        <v>595046.56999999995</v>
      </c>
      <c r="I769">
        <v>20396231.199999999</v>
      </c>
      <c r="J769" s="711">
        <v>42515.69282207176</v>
      </c>
      <c r="K769" s="711">
        <v>43435</v>
      </c>
      <c r="L769" t="s">
        <v>2161</v>
      </c>
      <c r="M769" t="s">
        <v>4143</v>
      </c>
      <c r="N769" t="s">
        <v>1280</v>
      </c>
      <c r="O769" t="s">
        <v>27</v>
      </c>
      <c r="P769" t="s">
        <v>116</v>
      </c>
      <c r="Q769" t="s">
        <v>1830</v>
      </c>
      <c r="R769" t="s">
        <v>2636</v>
      </c>
      <c r="S769">
        <v>25000000</v>
      </c>
      <c r="T769">
        <v>1200000000</v>
      </c>
      <c r="U769">
        <v>738678504.48000002</v>
      </c>
      <c r="Z769"/>
    </row>
    <row r="770" spans="1:26" x14ac:dyDescent="0.25">
      <c r="A770">
        <v>200172</v>
      </c>
      <c r="B770" t="s">
        <v>2166</v>
      </c>
      <c r="C770" t="s">
        <v>2172</v>
      </c>
      <c r="D770" t="s">
        <v>1283</v>
      </c>
      <c r="E770">
        <v>-2</v>
      </c>
      <c r="F770" s="105">
        <v>34933347.789999999</v>
      </c>
      <c r="G770" t="s">
        <v>1909</v>
      </c>
      <c r="H770">
        <v>1048000.43</v>
      </c>
      <c r="I770">
        <v>48420538.850000001</v>
      </c>
      <c r="J770" s="711">
        <v>42517.76865690972</v>
      </c>
      <c r="K770" s="711">
        <v>43619</v>
      </c>
      <c r="L770" t="s">
        <v>2173</v>
      </c>
      <c r="M770" t="s">
        <v>1280</v>
      </c>
      <c r="N770" t="s">
        <v>1280</v>
      </c>
      <c r="O770" t="s">
        <v>44</v>
      </c>
      <c r="P770" t="s">
        <v>92</v>
      </c>
      <c r="Q770" t="s">
        <v>92</v>
      </c>
      <c r="R770" t="s">
        <v>2636</v>
      </c>
      <c r="S770">
        <v>50000000</v>
      </c>
      <c r="T770">
        <v>2000000000</v>
      </c>
      <c r="U770">
        <v>1397333911.5999999</v>
      </c>
      <c r="Z770"/>
    </row>
    <row r="771" spans="1:26" x14ac:dyDescent="0.25">
      <c r="A771">
        <v>200174</v>
      </c>
      <c r="B771" t="s">
        <v>2174</v>
      </c>
      <c r="C771" t="s">
        <v>2180</v>
      </c>
      <c r="D771" t="s">
        <v>1284</v>
      </c>
      <c r="E771">
        <v>0</v>
      </c>
      <c r="F771" s="105">
        <v>4239983.12</v>
      </c>
      <c r="G771" t="s">
        <v>2175</v>
      </c>
      <c r="H771">
        <v>136621.68</v>
      </c>
      <c r="I771">
        <v>4900282.24</v>
      </c>
      <c r="J771" s="711">
        <v>42520.713327662037</v>
      </c>
      <c r="K771" s="711">
        <v>43252</v>
      </c>
      <c r="L771" t="s">
        <v>2181</v>
      </c>
      <c r="M771" t="s">
        <v>1280</v>
      </c>
      <c r="N771" t="s">
        <v>1280</v>
      </c>
      <c r="O771" t="s">
        <v>27</v>
      </c>
      <c r="P771" t="s">
        <v>81</v>
      </c>
      <c r="Q771" t="s">
        <v>26</v>
      </c>
      <c r="R771" t="s">
        <v>2636</v>
      </c>
      <c r="S771">
        <v>10000000</v>
      </c>
      <c r="T771">
        <v>400000000</v>
      </c>
      <c r="U771">
        <v>169599324.80000001</v>
      </c>
      <c r="Z771"/>
    </row>
    <row r="772" spans="1:26" x14ac:dyDescent="0.25">
      <c r="A772">
        <v>200177</v>
      </c>
      <c r="B772" t="s">
        <v>2194</v>
      </c>
      <c r="C772" t="s">
        <v>2203</v>
      </c>
      <c r="D772" t="s">
        <v>1284</v>
      </c>
      <c r="E772">
        <v>0</v>
      </c>
      <c r="F772" s="105">
        <v>32258449.359999999</v>
      </c>
      <c r="G772" t="s">
        <v>491</v>
      </c>
      <c r="H772">
        <v>1039438.92</v>
      </c>
      <c r="I772">
        <v>48734379.329999998</v>
      </c>
      <c r="J772" s="711">
        <v>42521.653327465276</v>
      </c>
      <c r="K772" s="711">
        <v>43800</v>
      </c>
      <c r="L772" t="s">
        <v>2204</v>
      </c>
      <c r="M772" t="s">
        <v>1280</v>
      </c>
      <c r="N772" t="s">
        <v>1280</v>
      </c>
      <c r="O772" t="s">
        <v>44</v>
      </c>
      <c r="P772" t="s">
        <v>92</v>
      </c>
      <c r="Q772" t="s">
        <v>92</v>
      </c>
      <c r="R772" t="s">
        <v>2636</v>
      </c>
      <c r="S772">
        <v>42000000</v>
      </c>
      <c r="T772">
        <v>1680000000</v>
      </c>
      <c r="U772">
        <v>1290337974.4000001</v>
      </c>
      <c r="Z772"/>
    </row>
    <row r="773" spans="1:26" x14ac:dyDescent="0.25">
      <c r="A773">
        <v>200178</v>
      </c>
      <c r="B773" t="s">
        <v>2190</v>
      </c>
      <c r="C773" t="s">
        <v>2205</v>
      </c>
      <c r="D773" t="s">
        <v>1281</v>
      </c>
      <c r="E773">
        <v>0</v>
      </c>
      <c r="F773" s="105">
        <v>2252616.69</v>
      </c>
      <c r="G773" t="s">
        <v>2034</v>
      </c>
      <c r="H773">
        <v>87101.18</v>
      </c>
      <c r="I773">
        <v>2388657.08</v>
      </c>
      <c r="J773" s="711">
        <v>42521.717520486112</v>
      </c>
      <c r="K773" s="711">
        <v>43070</v>
      </c>
      <c r="L773" t="s">
        <v>2206</v>
      </c>
      <c r="M773" t="s">
        <v>1280</v>
      </c>
      <c r="N773" t="s">
        <v>1280</v>
      </c>
      <c r="O773" t="s">
        <v>25</v>
      </c>
      <c r="P773" t="s">
        <v>26</v>
      </c>
      <c r="Q773" t="s">
        <v>26</v>
      </c>
      <c r="R773" t="s">
        <v>2636</v>
      </c>
      <c r="S773">
        <v>15100000</v>
      </c>
      <c r="T773">
        <v>724800000</v>
      </c>
      <c r="U773">
        <v>108125601.12</v>
      </c>
      <c r="Z773"/>
    </row>
    <row r="774" spans="1:26" x14ac:dyDescent="0.25">
      <c r="A774">
        <v>200180</v>
      </c>
      <c r="B774" t="s">
        <v>2187</v>
      </c>
      <c r="C774" t="s">
        <v>2207</v>
      </c>
      <c r="D774" t="s">
        <v>1283</v>
      </c>
      <c r="E774">
        <v>-9</v>
      </c>
      <c r="F774" s="105">
        <v>13271010.779999999</v>
      </c>
      <c r="G774" t="s">
        <v>1191</v>
      </c>
      <c r="H774">
        <v>294911.34999999998</v>
      </c>
      <c r="I774">
        <v>15337725.82</v>
      </c>
      <c r="J774" s="711">
        <v>42521.676000694446</v>
      </c>
      <c r="K774" s="711">
        <v>43261</v>
      </c>
      <c r="L774" t="s">
        <v>2208</v>
      </c>
      <c r="M774" t="s">
        <v>1280</v>
      </c>
      <c r="N774" t="s">
        <v>2209</v>
      </c>
      <c r="O774" t="s">
        <v>36</v>
      </c>
      <c r="P774" t="s">
        <v>97</v>
      </c>
      <c r="Q774" t="s">
        <v>1811</v>
      </c>
      <c r="R774" t="s">
        <v>2856</v>
      </c>
      <c r="S774">
        <v>31000000</v>
      </c>
      <c r="T774">
        <v>1240000000</v>
      </c>
      <c r="U774">
        <v>530840431.19999999</v>
      </c>
      <c r="Z774"/>
    </row>
    <row r="775" spans="1:26" x14ac:dyDescent="0.25">
      <c r="A775">
        <v>200187</v>
      </c>
      <c r="B775" t="s">
        <v>2216</v>
      </c>
      <c r="C775" t="s">
        <v>2220</v>
      </c>
      <c r="D775" t="s">
        <v>1279</v>
      </c>
      <c r="E775">
        <v>175</v>
      </c>
      <c r="F775" s="105">
        <v>616104.94999999995</v>
      </c>
      <c r="G775" t="s">
        <v>1925</v>
      </c>
      <c r="H775">
        <v>41419.870000000003</v>
      </c>
      <c r="I775">
        <v>657997.06999999995</v>
      </c>
      <c r="J775" s="711">
        <v>42527.615072256944</v>
      </c>
      <c r="K775" s="711">
        <v>42892</v>
      </c>
      <c r="L775" t="s">
        <v>2221</v>
      </c>
      <c r="M775" t="s">
        <v>1280</v>
      </c>
      <c r="N775" t="s">
        <v>1280</v>
      </c>
      <c r="O775" t="s">
        <v>25</v>
      </c>
      <c r="P775" t="s">
        <v>88</v>
      </c>
      <c r="Q775" t="s">
        <v>26</v>
      </c>
      <c r="R775" t="s">
        <v>2636</v>
      </c>
      <c r="S775">
        <v>3000000</v>
      </c>
      <c r="T775">
        <v>162000000</v>
      </c>
      <c r="U775">
        <v>33269667.300000001</v>
      </c>
      <c r="Z775"/>
    </row>
    <row r="776" spans="1:26" x14ac:dyDescent="0.25">
      <c r="A776">
        <v>200189</v>
      </c>
      <c r="B776" t="s">
        <v>2227</v>
      </c>
      <c r="C776" t="s">
        <v>2228</v>
      </c>
      <c r="D776" t="s">
        <v>1866</v>
      </c>
      <c r="E776">
        <v>139</v>
      </c>
      <c r="F776" s="105">
        <v>622995.24</v>
      </c>
      <c r="G776" t="s">
        <v>1667</v>
      </c>
      <c r="H776">
        <v>25958.14</v>
      </c>
      <c r="I776">
        <v>648953.38</v>
      </c>
      <c r="J776" s="711">
        <v>42529.505429247685</v>
      </c>
      <c r="K776" s="711">
        <v>42898</v>
      </c>
      <c r="L776" t="s">
        <v>2229</v>
      </c>
      <c r="M776" t="s">
        <v>1280</v>
      </c>
      <c r="N776" t="s">
        <v>1280</v>
      </c>
      <c r="O776" t="s">
        <v>35</v>
      </c>
      <c r="P776" t="s">
        <v>121</v>
      </c>
      <c r="Q776" t="s">
        <v>26</v>
      </c>
      <c r="R776" t="s">
        <v>2636</v>
      </c>
      <c r="S776">
        <v>6000000</v>
      </c>
      <c r="T776">
        <v>300000000</v>
      </c>
      <c r="U776">
        <v>31149762</v>
      </c>
      <c r="Z776"/>
    </row>
    <row r="777" spans="1:26" x14ac:dyDescent="0.25">
      <c r="A777">
        <v>200190</v>
      </c>
      <c r="B777" t="s">
        <v>2226</v>
      </c>
      <c r="C777" t="s">
        <v>2230</v>
      </c>
      <c r="D777" t="s">
        <v>1283</v>
      </c>
      <c r="E777">
        <v>-9</v>
      </c>
      <c r="F777" s="105">
        <v>7134709.25</v>
      </c>
      <c r="G777" t="s">
        <v>1925</v>
      </c>
      <c r="H777">
        <v>158549.09</v>
      </c>
      <c r="I777">
        <v>7493394.0800000001</v>
      </c>
      <c r="J777" s="711">
        <v>42529.687446875003</v>
      </c>
      <c r="K777" s="711">
        <v>43079</v>
      </c>
      <c r="L777" t="s">
        <v>2231</v>
      </c>
      <c r="M777" t="s">
        <v>1280</v>
      </c>
      <c r="N777" t="s">
        <v>1280</v>
      </c>
      <c r="O777" t="s">
        <v>25</v>
      </c>
      <c r="P777" t="s">
        <v>88</v>
      </c>
      <c r="Q777" t="s">
        <v>285</v>
      </c>
      <c r="R777" t="s">
        <v>2636</v>
      </c>
      <c r="S777">
        <v>50000000</v>
      </c>
      <c r="T777">
        <v>2000000000</v>
      </c>
      <c r="U777">
        <v>285388370</v>
      </c>
      <c r="Z777"/>
    </row>
    <row r="778" spans="1:26" x14ac:dyDescent="0.25">
      <c r="A778">
        <v>200194</v>
      </c>
      <c r="B778" t="s">
        <v>2247</v>
      </c>
      <c r="C778" t="s">
        <v>2252</v>
      </c>
      <c r="D778" t="s">
        <v>1283</v>
      </c>
      <c r="E778">
        <v>20</v>
      </c>
      <c r="F778" s="105">
        <v>33044254.620000001</v>
      </c>
      <c r="G778" t="s">
        <v>1925</v>
      </c>
      <c r="H778">
        <v>1101475.1499999999</v>
      </c>
      <c r="I778">
        <v>46310461.18</v>
      </c>
      <c r="J778" s="711">
        <v>42532.504003240741</v>
      </c>
      <c r="K778" s="711">
        <v>43627</v>
      </c>
      <c r="L778" t="s">
        <v>2253</v>
      </c>
      <c r="M778" t="s">
        <v>1280</v>
      </c>
      <c r="N778" t="s">
        <v>1280</v>
      </c>
      <c r="O778" t="s">
        <v>27</v>
      </c>
      <c r="P778" t="s">
        <v>81</v>
      </c>
      <c r="Q778" t="s">
        <v>1685</v>
      </c>
      <c r="R778" t="s">
        <v>2636</v>
      </c>
      <c r="S778">
        <v>46000000</v>
      </c>
      <c r="T778">
        <v>1840000000</v>
      </c>
      <c r="U778">
        <v>1321770184.8</v>
      </c>
      <c r="Z778"/>
    </row>
    <row r="779" spans="1:26" x14ac:dyDescent="0.25">
      <c r="A779">
        <v>200199</v>
      </c>
      <c r="B779" t="s">
        <v>2259</v>
      </c>
      <c r="C779" t="s">
        <v>2262</v>
      </c>
      <c r="D779" t="s">
        <v>1282</v>
      </c>
      <c r="E779">
        <v>-14</v>
      </c>
      <c r="F779" s="105">
        <v>3640244.7</v>
      </c>
      <c r="G779" t="s">
        <v>1909</v>
      </c>
      <c r="H779">
        <v>81905.509999999995</v>
      </c>
      <c r="I779">
        <v>4415169.9000000004</v>
      </c>
      <c r="J779" s="711">
        <v>42536.539414733794</v>
      </c>
      <c r="K779" s="711">
        <v>43266</v>
      </c>
      <c r="L779" t="s">
        <v>2263</v>
      </c>
      <c r="M779" t="s">
        <v>1280</v>
      </c>
      <c r="N779" t="s">
        <v>1280</v>
      </c>
      <c r="O779" t="s">
        <v>44</v>
      </c>
      <c r="P779" t="s">
        <v>75</v>
      </c>
      <c r="Q779" t="s">
        <v>26</v>
      </c>
      <c r="R779" t="s">
        <v>2636</v>
      </c>
      <c r="S779">
        <v>8000000</v>
      </c>
      <c r="T779">
        <v>432000000</v>
      </c>
      <c r="U779">
        <v>196573213.80000001</v>
      </c>
      <c r="Z779"/>
    </row>
    <row r="780" spans="1:26" x14ac:dyDescent="0.25">
      <c r="A780">
        <v>200201</v>
      </c>
      <c r="B780" t="s">
        <v>2256</v>
      </c>
      <c r="C780" t="s">
        <v>2264</v>
      </c>
      <c r="D780" t="s">
        <v>1283</v>
      </c>
      <c r="E780">
        <v>16</v>
      </c>
      <c r="F780" s="105">
        <v>21578331.32</v>
      </c>
      <c r="G780" t="s">
        <v>963</v>
      </c>
      <c r="H780">
        <v>1043993.93</v>
      </c>
      <c r="I780">
        <v>25331722.579999998</v>
      </c>
      <c r="J780" s="711">
        <v>42536.680900578707</v>
      </c>
      <c r="K780" s="711">
        <v>43266</v>
      </c>
      <c r="L780" t="s">
        <v>2265</v>
      </c>
      <c r="M780" t="s">
        <v>1280</v>
      </c>
      <c r="N780" t="s">
        <v>1280</v>
      </c>
      <c r="O780" t="s">
        <v>31</v>
      </c>
      <c r="P780" t="s">
        <v>293</v>
      </c>
      <c r="Q780" t="s">
        <v>26</v>
      </c>
      <c r="R780" t="s">
        <v>2636</v>
      </c>
      <c r="S780">
        <v>46000000</v>
      </c>
      <c r="T780">
        <v>1840000000</v>
      </c>
      <c r="U780">
        <v>863133252.79999995</v>
      </c>
      <c r="Z780"/>
    </row>
    <row r="781" spans="1:26" x14ac:dyDescent="0.25">
      <c r="A781">
        <v>200202</v>
      </c>
      <c r="B781" t="s">
        <v>2257</v>
      </c>
      <c r="C781" t="s">
        <v>2266</v>
      </c>
      <c r="D781" t="s">
        <v>1281</v>
      </c>
      <c r="E781">
        <v>-14</v>
      </c>
      <c r="F781" s="105">
        <v>2249732.4500000002</v>
      </c>
      <c r="G781" t="s">
        <v>1191</v>
      </c>
      <c r="H781">
        <v>132405.07</v>
      </c>
      <c r="I781">
        <v>2385598.65</v>
      </c>
      <c r="J781" s="711">
        <v>42536.693507407406</v>
      </c>
      <c r="K781" s="711">
        <v>43084</v>
      </c>
      <c r="L781" t="s">
        <v>2267</v>
      </c>
      <c r="M781" t="s">
        <v>1280</v>
      </c>
      <c r="N781" t="s">
        <v>1280</v>
      </c>
      <c r="O781" t="s">
        <v>25</v>
      </c>
      <c r="P781" t="s">
        <v>88</v>
      </c>
      <c r="Q781" t="s">
        <v>285</v>
      </c>
      <c r="R781" t="s">
        <v>2636</v>
      </c>
      <c r="S781">
        <v>15100000</v>
      </c>
      <c r="T781">
        <v>724800000</v>
      </c>
      <c r="U781">
        <v>107987157.59999999</v>
      </c>
      <c r="Z781"/>
    </row>
    <row r="782" spans="1:26" x14ac:dyDescent="0.25">
      <c r="A782">
        <v>200223</v>
      </c>
      <c r="B782" t="s">
        <v>2338</v>
      </c>
      <c r="C782" t="s">
        <v>2341</v>
      </c>
      <c r="D782" t="s">
        <v>1279</v>
      </c>
      <c r="E782">
        <v>127</v>
      </c>
      <c r="F782" s="105">
        <v>826253.68</v>
      </c>
      <c r="G782" t="s">
        <v>5724</v>
      </c>
      <c r="H782">
        <v>34427.24</v>
      </c>
      <c r="I782">
        <v>860680.92</v>
      </c>
      <c r="J782" s="711">
        <v>42545.78184560185</v>
      </c>
      <c r="K782" s="711">
        <v>42910</v>
      </c>
      <c r="L782" t="s">
        <v>2342</v>
      </c>
      <c r="M782" t="s">
        <v>1280</v>
      </c>
      <c r="N782" t="s">
        <v>1280</v>
      </c>
      <c r="O782" t="s">
        <v>25</v>
      </c>
      <c r="P782" t="s">
        <v>290</v>
      </c>
      <c r="Q782" t="s">
        <v>1824</v>
      </c>
      <c r="R782" t="s">
        <v>2636</v>
      </c>
      <c r="S782">
        <v>8000000</v>
      </c>
      <c r="T782">
        <v>400000000</v>
      </c>
      <c r="U782">
        <v>41312684</v>
      </c>
      <c r="Z782"/>
    </row>
    <row r="783" spans="1:26" x14ac:dyDescent="0.25">
      <c r="A783">
        <v>200225</v>
      </c>
      <c r="B783" t="s">
        <v>2343</v>
      </c>
      <c r="C783" t="s">
        <v>2344</v>
      </c>
      <c r="D783" t="s">
        <v>1283</v>
      </c>
      <c r="E783">
        <v>0</v>
      </c>
      <c r="F783" s="105">
        <v>28919515.920000002</v>
      </c>
      <c r="G783" t="s">
        <v>1925</v>
      </c>
      <c r="H783">
        <v>1606376.2</v>
      </c>
      <c r="I783">
        <v>40673252.609999999</v>
      </c>
      <c r="J783" s="711">
        <v>42546.556387418983</v>
      </c>
      <c r="K783" s="711">
        <v>43647</v>
      </c>
      <c r="L783" t="s">
        <v>2345</v>
      </c>
      <c r="M783" t="s">
        <v>2346</v>
      </c>
      <c r="N783" t="s">
        <v>1280</v>
      </c>
      <c r="O783" t="s">
        <v>45</v>
      </c>
      <c r="P783" t="s">
        <v>45</v>
      </c>
      <c r="Q783" t="s">
        <v>89</v>
      </c>
      <c r="R783" t="s">
        <v>2636</v>
      </c>
      <c r="S783">
        <v>40000000</v>
      </c>
      <c r="T783">
        <v>1600000000</v>
      </c>
      <c r="U783">
        <v>1156780636.8</v>
      </c>
      <c r="Z783"/>
    </row>
    <row r="784" spans="1:26" x14ac:dyDescent="0.25">
      <c r="A784">
        <v>200226</v>
      </c>
      <c r="B784" t="s">
        <v>2347</v>
      </c>
      <c r="C784" t="s">
        <v>2354</v>
      </c>
      <c r="D784" t="s">
        <v>1283</v>
      </c>
      <c r="E784">
        <v>-1</v>
      </c>
      <c r="F784" s="105">
        <v>33221911.890000001</v>
      </c>
      <c r="G784" t="s">
        <v>491</v>
      </c>
      <c r="H784">
        <v>1033570.59</v>
      </c>
      <c r="I784">
        <v>46724268.119999997</v>
      </c>
      <c r="J784" s="711">
        <v>42548.554626041667</v>
      </c>
      <c r="K784" s="711">
        <v>43648</v>
      </c>
      <c r="L784" t="s">
        <v>2355</v>
      </c>
      <c r="M784" t="s">
        <v>1280</v>
      </c>
      <c r="N784" t="s">
        <v>2356</v>
      </c>
      <c r="O784" t="s">
        <v>29</v>
      </c>
      <c r="P784" t="s">
        <v>96</v>
      </c>
      <c r="Q784" t="s">
        <v>96</v>
      </c>
      <c r="R784" t="s">
        <v>2636</v>
      </c>
      <c r="S784">
        <v>46000000</v>
      </c>
      <c r="T784">
        <v>1840000000</v>
      </c>
      <c r="U784">
        <v>1328876475.5999999</v>
      </c>
      <c r="Z784"/>
    </row>
    <row r="785" spans="1:26" x14ac:dyDescent="0.25">
      <c r="A785">
        <v>200228</v>
      </c>
      <c r="B785" t="s">
        <v>2348</v>
      </c>
      <c r="C785" t="s">
        <v>2357</v>
      </c>
      <c r="D785" t="s">
        <v>1282</v>
      </c>
      <c r="E785">
        <v>-4</v>
      </c>
      <c r="F785" s="105">
        <v>3429934.16</v>
      </c>
      <c r="G785" t="s">
        <v>90</v>
      </c>
      <c r="H785">
        <v>128622.53</v>
      </c>
      <c r="I785">
        <v>3743156.02</v>
      </c>
      <c r="J785" s="711">
        <v>42548.781287534723</v>
      </c>
      <c r="K785" s="711">
        <v>43105</v>
      </c>
      <c r="L785" t="s">
        <v>2358</v>
      </c>
      <c r="M785" t="s">
        <v>1280</v>
      </c>
      <c r="N785" t="s">
        <v>1280</v>
      </c>
      <c r="O785" t="s">
        <v>37</v>
      </c>
      <c r="P785" t="s">
        <v>288</v>
      </c>
      <c r="Q785" t="s">
        <v>26</v>
      </c>
      <c r="R785" t="s">
        <v>2636</v>
      </c>
      <c r="S785">
        <v>15000000</v>
      </c>
      <c r="T785">
        <v>810000000</v>
      </c>
      <c r="U785">
        <v>185216444.63999999</v>
      </c>
      <c r="Z785"/>
    </row>
    <row r="786" spans="1:26" x14ac:dyDescent="0.25">
      <c r="A786">
        <v>200230</v>
      </c>
      <c r="B786" t="s">
        <v>2360</v>
      </c>
      <c r="C786" t="s">
        <v>2365</v>
      </c>
      <c r="D786" t="s">
        <v>1283</v>
      </c>
      <c r="E786">
        <v>-4</v>
      </c>
      <c r="F786" s="105">
        <v>16541874.16</v>
      </c>
      <c r="G786" t="s">
        <v>1448</v>
      </c>
      <c r="H786">
        <v>459496.5</v>
      </c>
      <c r="I786">
        <v>19419210.920000002</v>
      </c>
      <c r="J786" s="711">
        <v>42549.590748263887</v>
      </c>
      <c r="K786" s="711">
        <v>43286</v>
      </c>
      <c r="L786" t="s">
        <v>2366</v>
      </c>
      <c r="M786" t="s">
        <v>1280</v>
      </c>
      <c r="N786" t="s">
        <v>2367</v>
      </c>
      <c r="O786" t="s">
        <v>37</v>
      </c>
      <c r="P786" t="s">
        <v>38</v>
      </c>
      <c r="Q786" t="s">
        <v>26</v>
      </c>
      <c r="R786" t="s">
        <v>2636</v>
      </c>
      <c r="S786">
        <v>35000000</v>
      </c>
      <c r="T786">
        <v>1400000000</v>
      </c>
      <c r="U786">
        <v>661674966.39999998</v>
      </c>
      <c r="Z786"/>
    </row>
    <row r="787" spans="1:26" x14ac:dyDescent="0.25">
      <c r="A787">
        <v>200245</v>
      </c>
      <c r="B787" t="s">
        <v>2388</v>
      </c>
      <c r="C787" t="s">
        <v>2403</v>
      </c>
      <c r="D787" t="s">
        <v>1282</v>
      </c>
      <c r="E787">
        <v>-4</v>
      </c>
      <c r="F787" s="105">
        <v>6060614.4199999999</v>
      </c>
      <c r="G787" t="s">
        <v>1447</v>
      </c>
      <c r="H787">
        <v>227273.04</v>
      </c>
      <c r="I787">
        <v>7504072.3300000001</v>
      </c>
      <c r="J787" s="711">
        <v>42551.709169907408</v>
      </c>
      <c r="K787" s="711">
        <v>43286</v>
      </c>
      <c r="L787" t="s">
        <v>2404</v>
      </c>
      <c r="M787" t="s">
        <v>1280</v>
      </c>
      <c r="N787" t="s">
        <v>1280</v>
      </c>
      <c r="O787" t="s">
        <v>25</v>
      </c>
      <c r="P787" t="s">
        <v>290</v>
      </c>
      <c r="Q787" t="s">
        <v>1822</v>
      </c>
      <c r="R787" t="s">
        <v>2636</v>
      </c>
      <c r="S787">
        <v>12000000</v>
      </c>
      <c r="T787">
        <v>648000000</v>
      </c>
      <c r="U787">
        <v>327273178.68000001</v>
      </c>
      <c r="Z787"/>
    </row>
    <row r="788" spans="1:26" x14ac:dyDescent="0.25">
      <c r="A788">
        <v>200246</v>
      </c>
      <c r="B788" t="s">
        <v>2384</v>
      </c>
      <c r="C788" t="s">
        <v>2405</v>
      </c>
      <c r="D788" t="s">
        <v>1283</v>
      </c>
      <c r="E788">
        <v>0</v>
      </c>
      <c r="F788" s="105">
        <v>14134916.619999999</v>
      </c>
      <c r="G788" t="s">
        <v>2855</v>
      </c>
      <c r="H788">
        <v>455458.42</v>
      </c>
      <c r="I788">
        <v>16593580.869999999</v>
      </c>
      <c r="J788" s="711">
        <v>42551.717535648146</v>
      </c>
      <c r="K788" s="711">
        <v>43282</v>
      </c>
      <c r="L788" t="s">
        <v>2406</v>
      </c>
      <c r="M788" t="s">
        <v>1280</v>
      </c>
      <c r="N788" t="s">
        <v>1280</v>
      </c>
      <c r="O788" t="s">
        <v>25</v>
      </c>
      <c r="P788" t="s">
        <v>88</v>
      </c>
      <c r="Q788" t="s">
        <v>26</v>
      </c>
      <c r="R788" t="s">
        <v>2636</v>
      </c>
      <c r="S788">
        <v>30100000</v>
      </c>
      <c r="T788">
        <v>1204000000</v>
      </c>
      <c r="U788">
        <v>565396664.79999995</v>
      </c>
      <c r="Z788"/>
    </row>
    <row r="789" spans="1:26" x14ac:dyDescent="0.25">
      <c r="A789">
        <v>200261</v>
      </c>
      <c r="B789" t="s">
        <v>2456</v>
      </c>
      <c r="C789" t="s">
        <v>2457</v>
      </c>
      <c r="D789" t="s">
        <v>1284</v>
      </c>
      <c r="E789">
        <v>20</v>
      </c>
      <c r="F789" s="105">
        <v>7697640.4299999997</v>
      </c>
      <c r="G789" t="s">
        <v>2855</v>
      </c>
      <c r="H789">
        <v>256588.01</v>
      </c>
      <c r="I789">
        <v>9178160.4000000004</v>
      </c>
      <c r="J789" s="711">
        <v>42562.47607207176</v>
      </c>
      <c r="K789" s="711">
        <v>43292</v>
      </c>
      <c r="L789" t="s">
        <v>2458</v>
      </c>
      <c r="M789" t="s">
        <v>1280</v>
      </c>
      <c r="N789" t="s">
        <v>1280</v>
      </c>
      <c r="O789" t="s">
        <v>44</v>
      </c>
      <c r="P789" t="s">
        <v>75</v>
      </c>
      <c r="Q789" t="s">
        <v>26</v>
      </c>
      <c r="R789" t="s">
        <v>2636</v>
      </c>
      <c r="S789">
        <v>15000000</v>
      </c>
      <c r="T789">
        <v>600000000</v>
      </c>
      <c r="U789">
        <v>307905617.19999999</v>
      </c>
      <c r="Z789"/>
    </row>
    <row r="790" spans="1:26" x14ac:dyDescent="0.25">
      <c r="A790">
        <v>200263</v>
      </c>
      <c r="B790" t="s">
        <v>2462</v>
      </c>
      <c r="C790" t="s">
        <v>2463</v>
      </c>
      <c r="D790" t="s">
        <v>1281</v>
      </c>
      <c r="E790">
        <v>20</v>
      </c>
      <c r="F790" s="105">
        <v>13477068.26</v>
      </c>
      <c r="G790" t="s">
        <v>2861</v>
      </c>
      <c r="H790">
        <v>404298.59</v>
      </c>
      <c r="I790">
        <v>18045072.489999998</v>
      </c>
      <c r="J790" s="711">
        <v>42562.642518287037</v>
      </c>
      <c r="K790" s="711">
        <v>43476</v>
      </c>
      <c r="L790" t="s">
        <v>2464</v>
      </c>
      <c r="M790" t="s">
        <v>1280</v>
      </c>
      <c r="N790" t="s">
        <v>1280</v>
      </c>
      <c r="O790" t="s">
        <v>25</v>
      </c>
      <c r="P790" t="s">
        <v>295</v>
      </c>
      <c r="Q790" t="s">
        <v>26</v>
      </c>
      <c r="R790" t="s">
        <v>2636</v>
      </c>
      <c r="S790">
        <v>20000000</v>
      </c>
      <c r="T790">
        <v>960000000</v>
      </c>
      <c r="U790">
        <v>646899276.48000002</v>
      </c>
      <c r="Z790"/>
    </row>
    <row r="791" spans="1:26" x14ac:dyDescent="0.25">
      <c r="A791">
        <v>200266</v>
      </c>
      <c r="B791" t="s">
        <v>2465</v>
      </c>
      <c r="C791" t="s">
        <v>2466</v>
      </c>
      <c r="D791" t="s">
        <v>1281</v>
      </c>
      <c r="E791">
        <v>75</v>
      </c>
      <c r="F791" s="105">
        <v>15447617.51</v>
      </c>
      <c r="G791" t="s">
        <v>2861</v>
      </c>
      <c r="H791">
        <v>1254753.83</v>
      </c>
      <c r="I791">
        <v>19747703.68</v>
      </c>
      <c r="J791" s="711">
        <v>42564.411534606479</v>
      </c>
      <c r="K791" s="711">
        <v>43297</v>
      </c>
      <c r="L791" t="s">
        <v>2467</v>
      </c>
      <c r="M791" t="s">
        <v>1280</v>
      </c>
      <c r="N791" t="s">
        <v>2468</v>
      </c>
      <c r="O791" t="s">
        <v>25</v>
      </c>
      <c r="P791" t="s">
        <v>26</v>
      </c>
      <c r="Q791" t="s">
        <v>26</v>
      </c>
      <c r="R791" t="s">
        <v>2636</v>
      </c>
      <c r="S791">
        <v>25000000</v>
      </c>
      <c r="T791">
        <v>1200000000</v>
      </c>
      <c r="U791">
        <v>741485640.48000002</v>
      </c>
      <c r="Z791"/>
    </row>
    <row r="792" spans="1:26" x14ac:dyDescent="0.25">
      <c r="A792">
        <v>200271</v>
      </c>
      <c r="B792" t="s">
        <v>2477</v>
      </c>
      <c r="C792" t="s">
        <v>2478</v>
      </c>
      <c r="D792" t="s">
        <v>1282</v>
      </c>
      <c r="E792">
        <v>47</v>
      </c>
      <c r="F792" s="105">
        <v>5415271.0800000001</v>
      </c>
      <c r="G792" t="s">
        <v>90</v>
      </c>
      <c r="H792">
        <v>426547.72</v>
      </c>
      <c r="I792">
        <v>6151484.7000000002</v>
      </c>
      <c r="J792" s="711">
        <v>42565.47078773148</v>
      </c>
      <c r="K792" s="711">
        <v>43114</v>
      </c>
      <c r="L792" t="s">
        <v>2479</v>
      </c>
      <c r="M792" t="s">
        <v>1280</v>
      </c>
      <c r="N792" t="s">
        <v>1280</v>
      </c>
      <c r="O792" t="s">
        <v>25</v>
      </c>
      <c r="P792" t="s">
        <v>106</v>
      </c>
      <c r="Q792" t="s">
        <v>107</v>
      </c>
      <c r="R792" t="s">
        <v>2636</v>
      </c>
      <c r="S792">
        <v>15000000</v>
      </c>
      <c r="T792">
        <v>810000000</v>
      </c>
      <c r="U792">
        <v>292424638.31999999</v>
      </c>
      <c r="Z792"/>
    </row>
    <row r="793" spans="1:26" x14ac:dyDescent="0.25">
      <c r="A793">
        <v>200276</v>
      </c>
      <c r="B793" t="s">
        <v>2483</v>
      </c>
      <c r="C793" t="s">
        <v>2484</v>
      </c>
      <c r="D793" t="s">
        <v>1285</v>
      </c>
      <c r="E793">
        <v>-20</v>
      </c>
      <c r="F793" s="105">
        <v>1297884.03</v>
      </c>
      <c r="G793" t="s">
        <v>284</v>
      </c>
      <c r="H793">
        <v>8111.78</v>
      </c>
      <c r="I793">
        <v>1480276.26</v>
      </c>
      <c r="J793" s="711">
        <v>42567.557909340278</v>
      </c>
      <c r="K793" s="711">
        <v>43394</v>
      </c>
      <c r="L793" t="s">
        <v>2485</v>
      </c>
      <c r="M793" t="s">
        <v>1280</v>
      </c>
      <c r="N793" t="s">
        <v>1280</v>
      </c>
      <c r="O793" t="s">
        <v>43</v>
      </c>
      <c r="P793" t="s">
        <v>338</v>
      </c>
      <c r="Q793" t="s">
        <v>26</v>
      </c>
      <c r="R793" t="s">
        <v>2636</v>
      </c>
      <c r="S793">
        <v>2519238</v>
      </c>
      <c r="T793">
        <v>62980950</v>
      </c>
      <c r="U793">
        <v>32447100.75</v>
      </c>
      <c r="Z793"/>
    </row>
    <row r="794" spans="1:26" x14ac:dyDescent="0.25">
      <c r="A794">
        <v>200284</v>
      </c>
      <c r="B794" t="s">
        <v>2492</v>
      </c>
      <c r="C794" t="s">
        <v>2499</v>
      </c>
      <c r="D794" t="s">
        <v>1282</v>
      </c>
      <c r="E794">
        <v>-18</v>
      </c>
      <c r="F794" s="105">
        <v>1808530.44</v>
      </c>
      <c r="G794" t="s">
        <v>1447</v>
      </c>
      <c r="H794">
        <v>29840.75</v>
      </c>
      <c r="I794">
        <v>1973685.59</v>
      </c>
      <c r="J794" s="711">
        <v>42570.665408020832</v>
      </c>
      <c r="K794" s="711">
        <v>43119</v>
      </c>
      <c r="L794" t="s">
        <v>2500</v>
      </c>
      <c r="M794" t="s">
        <v>1280</v>
      </c>
      <c r="N794" t="s">
        <v>1280</v>
      </c>
      <c r="O794" t="s">
        <v>37</v>
      </c>
      <c r="P794" t="s">
        <v>288</v>
      </c>
      <c r="Q794" t="s">
        <v>1313</v>
      </c>
      <c r="R794" t="s">
        <v>2636</v>
      </c>
      <c r="S794">
        <v>8000000</v>
      </c>
      <c r="T794">
        <v>432000000</v>
      </c>
      <c r="U794">
        <v>97660643.760000005</v>
      </c>
      <c r="Z794"/>
    </row>
    <row r="795" spans="1:26" x14ac:dyDescent="0.25">
      <c r="A795">
        <v>200290</v>
      </c>
      <c r="B795" t="s">
        <v>2518</v>
      </c>
      <c r="C795" t="s">
        <v>2519</v>
      </c>
      <c r="D795" t="s">
        <v>1282</v>
      </c>
      <c r="E795">
        <v>-21</v>
      </c>
      <c r="F795" s="105">
        <v>2260662.91</v>
      </c>
      <c r="G795" t="s">
        <v>1667</v>
      </c>
      <c r="H795">
        <v>27127.95</v>
      </c>
      <c r="I795">
        <v>2467106.8199999998</v>
      </c>
      <c r="J795" s="711">
        <v>42573.54057109954</v>
      </c>
      <c r="K795" s="711">
        <v>43122</v>
      </c>
      <c r="L795" t="s">
        <v>2520</v>
      </c>
      <c r="M795" t="s">
        <v>1280</v>
      </c>
      <c r="N795" t="s">
        <v>2521</v>
      </c>
      <c r="O795" t="s">
        <v>37</v>
      </c>
      <c r="P795" t="s">
        <v>38</v>
      </c>
      <c r="Q795" t="s">
        <v>39</v>
      </c>
      <c r="R795" t="s">
        <v>2636</v>
      </c>
      <c r="S795">
        <v>10000000</v>
      </c>
      <c r="T795">
        <v>540000000</v>
      </c>
      <c r="U795">
        <v>122075797.14</v>
      </c>
      <c r="Z795"/>
    </row>
    <row r="796" spans="1:26" x14ac:dyDescent="0.25">
      <c r="A796">
        <v>200293</v>
      </c>
      <c r="B796" t="s">
        <v>2516</v>
      </c>
      <c r="C796" t="s">
        <v>2525</v>
      </c>
      <c r="D796" t="s">
        <v>1279</v>
      </c>
      <c r="E796">
        <v>99</v>
      </c>
      <c r="F796" s="105">
        <v>334706.46000000002</v>
      </c>
      <c r="G796" t="s">
        <v>1925</v>
      </c>
      <c r="H796">
        <v>0</v>
      </c>
      <c r="I796">
        <v>334706.46000000002</v>
      </c>
      <c r="J796" s="711">
        <v>42573.681453854166</v>
      </c>
      <c r="K796" s="711">
        <v>42938</v>
      </c>
      <c r="L796" t="s">
        <v>2526</v>
      </c>
      <c r="M796" t="s">
        <v>1280</v>
      </c>
      <c r="N796" t="s">
        <v>1280</v>
      </c>
      <c r="O796" t="s">
        <v>27</v>
      </c>
      <c r="P796" t="s">
        <v>26</v>
      </c>
      <c r="Q796" t="s">
        <v>26</v>
      </c>
      <c r="R796" t="s">
        <v>2636</v>
      </c>
      <c r="S796">
        <v>3500000</v>
      </c>
      <c r="T796">
        <v>189000000</v>
      </c>
      <c r="U796">
        <v>18074148.84</v>
      </c>
      <c r="Z796"/>
    </row>
    <row r="797" spans="1:26" x14ac:dyDescent="0.25">
      <c r="A797">
        <v>200295</v>
      </c>
      <c r="B797" t="s">
        <v>2527</v>
      </c>
      <c r="C797" t="s">
        <v>2528</v>
      </c>
      <c r="D797" t="s">
        <v>1282</v>
      </c>
      <c r="E797">
        <v>158</v>
      </c>
      <c r="F797" s="105">
        <v>1265329.6499999999</v>
      </c>
      <c r="G797" t="s">
        <v>2175</v>
      </c>
      <c r="H797">
        <v>44667.61</v>
      </c>
      <c r="I797">
        <v>1335149.8700000001</v>
      </c>
      <c r="J797" s="711">
        <v>42574.554366087963</v>
      </c>
      <c r="K797" s="711">
        <v>42939</v>
      </c>
      <c r="L797" t="s">
        <v>2529</v>
      </c>
      <c r="M797" t="s">
        <v>1280</v>
      </c>
      <c r="N797" t="s">
        <v>1280</v>
      </c>
      <c r="O797" t="s">
        <v>27</v>
      </c>
      <c r="P797" t="s">
        <v>116</v>
      </c>
      <c r="Q797" t="s">
        <v>26</v>
      </c>
      <c r="R797" t="s">
        <v>2636</v>
      </c>
      <c r="S797">
        <v>5000000</v>
      </c>
      <c r="T797">
        <v>270000000</v>
      </c>
      <c r="U797">
        <v>68327801.099999994</v>
      </c>
      <c r="Z797"/>
    </row>
    <row r="798" spans="1:26" x14ac:dyDescent="0.25">
      <c r="A798">
        <v>200299</v>
      </c>
      <c r="B798" t="s">
        <v>2541</v>
      </c>
      <c r="C798" t="s">
        <v>2548</v>
      </c>
      <c r="D798" t="s">
        <v>1281</v>
      </c>
      <c r="E798">
        <v>0</v>
      </c>
      <c r="F798" s="105">
        <v>8566048</v>
      </c>
      <c r="G798" t="s">
        <v>1667</v>
      </c>
      <c r="H798">
        <v>331220.52</v>
      </c>
      <c r="I798">
        <v>10561161.43</v>
      </c>
      <c r="J798" s="711">
        <v>42577.563691782409</v>
      </c>
      <c r="K798" s="711">
        <v>43313</v>
      </c>
      <c r="L798" t="s">
        <v>2549</v>
      </c>
      <c r="M798" t="s">
        <v>1280</v>
      </c>
      <c r="N798" t="s">
        <v>1280</v>
      </c>
      <c r="O798" t="s">
        <v>44</v>
      </c>
      <c r="P798" t="s">
        <v>75</v>
      </c>
      <c r="Q798" t="s">
        <v>26</v>
      </c>
      <c r="R798" t="s">
        <v>2636</v>
      </c>
      <c r="S798">
        <v>16000000</v>
      </c>
      <c r="T798">
        <v>768000000</v>
      </c>
      <c r="U798">
        <v>411170304</v>
      </c>
      <c r="Z798"/>
    </row>
    <row r="799" spans="1:26" x14ac:dyDescent="0.25">
      <c r="A799">
        <v>200300</v>
      </c>
      <c r="B799" t="s">
        <v>2553</v>
      </c>
      <c r="C799" t="s">
        <v>2562</v>
      </c>
      <c r="D799" t="s">
        <v>1281</v>
      </c>
      <c r="E799">
        <v>30</v>
      </c>
      <c r="F799" s="105">
        <v>17325552.960000001</v>
      </c>
      <c r="G799" t="s">
        <v>5167</v>
      </c>
      <c r="H799">
        <v>1300035.28</v>
      </c>
      <c r="I799">
        <v>21741413.289999999</v>
      </c>
      <c r="J799" s="711">
        <v>42578.591155208334</v>
      </c>
      <c r="K799" s="711">
        <v>43313</v>
      </c>
      <c r="L799" t="s">
        <v>2563</v>
      </c>
      <c r="M799" t="s">
        <v>2564</v>
      </c>
      <c r="N799" t="s">
        <v>1280</v>
      </c>
      <c r="O799" t="s">
        <v>37</v>
      </c>
      <c r="P799" t="s">
        <v>288</v>
      </c>
      <c r="Q799" t="s">
        <v>26</v>
      </c>
      <c r="R799" t="s">
        <v>2856</v>
      </c>
      <c r="S799">
        <v>30000000</v>
      </c>
      <c r="T799">
        <v>1440000000</v>
      </c>
      <c r="U799">
        <v>831626542.08000004</v>
      </c>
      <c r="Z799"/>
    </row>
    <row r="800" spans="1:26" x14ac:dyDescent="0.25">
      <c r="A800">
        <v>200303</v>
      </c>
      <c r="B800" t="s">
        <v>2554</v>
      </c>
      <c r="C800" t="s">
        <v>2565</v>
      </c>
      <c r="D800" t="s">
        <v>1281</v>
      </c>
      <c r="E800">
        <v>0</v>
      </c>
      <c r="F800" s="105">
        <v>15363874.67</v>
      </c>
      <c r="G800" t="s">
        <v>1448</v>
      </c>
      <c r="H800">
        <v>594069.81999999995</v>
      </c>
      <c r="I800">
        <v>23389561.059999999</v>
      </c>
      <c r="J800" s="711">
        <v>42578.467473032404</v>
      </c>
      <c r="K800" s="711">
        <v>43678</v>
      </c>
      <c r="L800" t="s">
        <v>2566</v>
      </c>
      <c r="M800" t="s">
        <v>2567</v>
      </c>
      <c r="N800" t="s">
        <v>1280</v>
      </c>
      <c r="O800" t="s">
        <v>25</v>
      </c>
      <c r="P800" t="s">
        <v>88</v>
      </c>
      <c r="Q800" t="s">
        <v>285</v>
      </c>
      <c r="R800" t="s">
        <v>2636</v>
      </c>
      <c r="S800">
        <v>20000000</v>
      </c>
      <c r="T800">
        <v>960000000</v>
      </c>
      <c r="U800">
        <v>737465984.15999997</v>
      </c>
      <c r="Z800"/>
    </row>
    <row r="801" spans="1:26" x14ac:dyDescent="0.25">
      <c r="A801">
        <v>200309</v>
      </c>
      <c r="B801" t="s">
        <v>2574</v>
      </c>
      <c r="C801" t="s">
        <v>2583</v>
      </c>
      <c r="D801" t="s">
        <v>1281</v>
      </c>
      <c r="E801">
        <v>0</v>
      </c>
      <c r="F801" s="105">
        <v>5756806.8799999999</v>
      </c>
      <c r="G801" t="s">
        <v>2494</v>
      </c>
      <c r="H801">
        <v>222596.53</v>
      </c>
      <c r="I801">
        <v>6343771.9699999997</v>
      </c>
      <c r="J801" s="711">
        <v>42579.655403969904</v>
      </c>
      <c r="K801" s="711">
        <v>43132</v>
      </c>
      <c r="L801" t="s">
        <v>2584</v>
      </c>
      <c r="M801" t="s">
        <v>1280</v>
      </c>
      <c r="N801" t="s">
        <v>1280</v>
      </c>
      <c r="O801" t="s">
        <v>37</v>
      </c>
      <c r="P801" t="s">
        <v>38</v>
      </c>
      <c r="Q801" t="s">
        <v>39</v>
      </c>
      <c r="R801" t="s">
        <v>2636</v>
      </c>
      <c r="S801">
        <v>20000000</v>
      </c>
      <c r="T801">
        <v>960000000</v>
      </c>
      <c r="U801">
        <v>276326730.24000001</v>
      </c>
      <c r="Z801"/>
    </row>
    <row r="802" spans="1:26" x14ac:dyDescent="0.25">
      <c r="A802">
        <v>200310</v>
      </c>
      <c r="B802" t="s">
        <v>2591</v>
      </c>
      <c r="C802" t="s">
        <v>2597</v>
      </c>
      <c r="D802" t="s">
        <v>1283</v>
      </c>
      <c r="E802">
        <v>-24</v>
      </c>
      <c r="F802" s="105">
        <v>7323820.7699999996</v>
      </c>
      <c r="G802" t="s">
        <v>1191</v>
      </c>
      <c r="H802">
        <v>324413.42</v>
      </c>
      <c r="I802">
        <v>7817411.1399999997</v>
      </c>
      <c r="J802" s="711">
        <v>42580.434455358794</v>
      </c>
      <c r="K802" s="711">
        <v>43125</v>
      </c>
      <c r="L802" t="s">
        <v>2598</v>
      </c>
      <c r="M802" t="s">
        <v>1280</v>
      </c>
      <c r="N802" t="s">
        <v>1280</v>
      </c>
      <c r="O802" t="s">
        <v>37</v>
      </c>
      <c r="P802" t="s">
        <v>38</v>
      </c>
      <c r="Q802" t="s">
        <v>39</v>
      </c>
      <c r="R802" t="s">
        <v>2636</v>
      </c>
      <c r="S802">
        <v>35000000</v>
      </c>
      <c r="T802">
        <v>1400000000</v>
      </c>
      <c r="U802">
        <v>292952830.80000001</v>
      </c>
      <c r="Z802"/>
    </row>
    <row r="803" spans="1:26" x14ac:dyDescent="0.25">
      <c r="A803">
        <v>200313</v>
      </c>
      <c r="B803" t="s">
        <v>2585</v>
      </c>
      <c r="C803" t="s">
        <v>2601</v>
      </c>
      <c r="D803" t="s">
        <v>1281</v>
      </c>
      <c r="E803">
        <v>27</v>
      </c>
      <c r="F803" s="105">
        <v>14456376.6</v>
      </c>
      <c r="G803" t="s">
        <v>963</v>
      </c>
      <c r="H803">
        <v>1010102.55</v>
      </c>
      <c r="I803">
        <v>18119849.739999998</v>
      </c>
      <c r="J803" s="711">
        <v>42580.507581331018</v>
      </c>
      <c r="K803" s="711">
        <v>43316</v>
      </c>
      <c r="L803" t="s">
        <v>2602</v>
      </c>
      <c r="M803" t="s">
        <v>1280</v>
      </c>
      <c r="N803" t="s">
        <v>1280</v>
      </c>
      <c r="O803" t="s">
        <v>31</v>
      </c>
      <c r="P803" t="s">
        <v>2586</v>
      </c>
      <c r="Q803" t="s">
        <v>1816</v>
      </c>
      <c r="R803" t="s">
        <v>2636</v>
      </c>
      <c r="S803">
        <v>25000000</v>
      </c>
      <c r="T803">
        <v>1200000000</v>
      </c>
      <c r="U803">
        <v>693906076.79999995</v>
      </c>
      <c r="Z803"/>
    </row>
    <row r="804" spans="1:26" x14ac:dyDescent="0.25">
      <c r="A804">
        <v>200315</v>
      </c>
      <c r="B804" t="s">
        <v>2590</v>
      </c>
      <c r="C804" t="s">
        <v>2603</v>
      </c>
      <c r="D804" t="s">
        <v>1284</v>
      </c>
      <c r="E804">
        <v>119</v>
      </c>
      <c r="F804" s="105">
        <v>1016516.93</v>
      </c>
      <c r="G804" t="s">
        <v>2175</v>
      </c>
      <c r="H804">
        <v>24042.41</v>
      </c>
      <c r="I804">
        <v>1041388.39</v>
      </c>
      <c r="J804" s="711">
        <v>42580.643223148145</v>
      </c>
      <c r="K804" s="711">
        <v>42949</v>
      </c>
      <c r="L804" t="s">
        <v>2604</v>
      </c>
      <c r="M804" t="s">
        <v>1280</v>
      </c>
      <c r="N804" t="s">
        <v>1280</v>
      </c>
      <c r="O804" t="s">
        <v>27</v>
      </c>
      <c r="P804" t="s">
        <v>116</v>
      </c>
      <c r="Q804" t="s">
        <v>26</v>
      </c>
      <c r="R804" t="s">
        <v>2636</v>
      </c>
      <c r="S804">
        <v>7500000</v>
      </c>
      <c r="T804">
        <v>300000000</v>
      </c>
      <c r="U804">
        <v>40660677.200000003</v>
      </c>
      <c r="Z804"/>
    </row>
    <row r="805" spans="1:26" x14ac:dyDescent="0.25">
      <c r="A805">
        <v>200318</v>
      </c>
      <c r="B805" t="s">
        <v>2589</v>
      </c>
      <c r="C805" t="s">
        <v>2607</v>
      </c>
      <c r="D805" t="s">
        <v>1281</v>
      </c>
      <c r="E805">
        <v>60</v>
      </c>
      <c r="F805" s="105">
        <v>12342311.060000001</v>
      </c>
      <c r="G805" t="s">
        <v>5725</v>
      </c>
      <c r="H805">
        <v>954528.58</v>
      </c>
      <c r="I805">
        <v>15781200.74</v>
      </c>
      <c r="J805" s="711">
        <v>42580.683190312498</v>
      </c>
      <c r="K805" s="711">
        <v>43313</v>
      </c>
      <c r="L805" t="s">
        <v>2608</v>
      </c>
      <c r="M805" t="s">
        <v>1280</v>
      </c>
      <c r="N805" t="s">
        <v>1280</v>
      </c>
      <c r="O805" t="s">
        <v>27</v>
      </c>
      <c r="P805" t="s">
        <v>116</v>
      </c>
      <c r="Q805" t="s">
        <v>26</v>
      </c>
      <c r="R805" t="s">
        <v>2636</v>
      </c>
      <c r="S805">
        <v>20000000</v>
      </c>
      <c r="T805">
        <v>960000000</v>
      </c>
      <c r="U805">
        <v>592430930.88</v>
      </c>
      <c r="Z805"/>
    </row>
    <row r="806" spans="1:26" x14ac:dyDescent="0.25">
      <c r="A806">
        <v>200319</v>
      </c>
      <c r="B806" t="s">
        <v>2587</v>
      </c>
      <c r="C806" t="s">
        <v>2609</v>
      </c>
      <c r="D806" t="s">
        <v>1281</v>
      </c>
      <c r="E806">
        <v>30</v>
      </c>
      <c r="F806" s="105">
        <v>9216722.8000000007</v>
      </c>
      <c r="G806" t="s">
        <v>2861</v>
      </c>
      <c r="H806">
        <v>698623.63</v>
      </c>
      <c r="I806">
        <v>11516005.4</v>
      </c>
      <c r="J806" s="711">
        <v>42580.722208831015</v>
      </c>
      <c r="K806" s="711">
        <v>43313</v>
      </c>
      <c r="L806" t="s">
        <v>2610</v>
      </c>
      <c r="M806" t="s">
        <v>1280</v>
      </c>
      <c r="N806" t="s">
        <v>1280</v>
      </c>
      <c r="O806" t="s">
        <v>27</v>
      </c>
      <c r="P806" t="s">
        <v>81</v>
      </c>
      <c r="Q806" t="s">
        <v>26</v>
      </c>
      <c r="R806" t="s">
        <v>2636</v>
      </c>
      <c r="S806">
        <v>16000000</v>
      </c>
      <c r="T806">
        <v>768000000</v>
      </c>
      <c r="U806">
        <v>442402694.39999998</v>
      </c>
      <c r="Z806"/>
    </row>
    <row r="807" spans="1:26" x14ac:dyDescent="0.25">
      <c r="A807">
        <v>200322</v>
      </c>
      <c r="B807" t="s">
        <v>2612</v>
      </c>
      <c r="C807" t="s">
        <v>2621</v>
      </c>
      <c r="D807" t="s">
        <v>1281</v>
      </c>
      <c r="E807">
        <v>0</v>
      </c>
      <c r="F807" s="105">
        <v>4593681.79</v>
      </c>
      <c r="G807" t="s">
        <v>1925</v>
      </c>
      <c r="H807">
        <v>177622.36</v>
      </c>
      <c r="I807">
        <v>5062054.42</v>
      </c>
      <c r="J807" s="711">
        <v>42581.528302743056</v>
      </c>
      <c r="K807" s="711">
        <v>43132</v>
      </c>
      <c r="L807" t="s">
        <v>2622</v>
      </c>
      <c r="M807" t="s">
        <v>1280</v>
      </c>
      <c r="N807" t="s">
        <v>1280</v>
      </c>
      <c r="O807" t="s">
        <v>25</v>
      </c>
      <c r="P807" t="s">
        <v>106</v>
      </c>
      <c r="Q807" t="s">
        <v>26</v>
      </c>
      <c r="R807" t="s">
        <v>2636</v>
      </c>
      <c r="S807">
        <v>16000000</v>
      </c>
      <c r="T807">
        <v>768000000</v>
      </c>
      <c r="U807">
        <v>220496725.91999999</v>
      </c>
      <c r="Z807"/>
    </row>
    <row r="808" spans="1:26" x14ac:dyDescent="0.25">
      <c r="A808">
        <v>200331</v>
      </c>
      <c r="B808" t="s">
        <v>2611</v>
      </c>
      <c r="C808" t="s">
        <v>2631</v>
      </c>
      <c r="D808" t="s">
        <v>1281</v>
      </c>
      <c r="E808">
        <v>30</v>
      </c>
      <c r="F808" s="105">
        <v>14382713.42</v>
      </c>
      <c r="G808" t="s">
        <v>5725</v>
      </c>
      <c r="H808">
        <v>1090203.5</v>
      </c>
      <c r="I808">
        <v>18059502.079999998</v>
      </c>
      <c r="J808" s="711">
        <v>42581.561680173611</v>
      </c>
      <c r="K808" s="711">
        <v>43313</v>
      </c>
      <c r="L808" t="s">
        <v>2632</v>
      </c>
      <c r="M808" t="s">
        <v>1280</v>
      </c>
      <c r="N808" t="s">
        <v>1280</v>
      </c>
      <c r="O808" t="s">
        <v>36</v>
      </c>
      <c r="P808" t="s">
        <v>97</v>
      </c>
      <c r="Q808" t="s">
        <v>1811</v>
      </c>
      <c r="R808" t="s">
        <v>2636</v>
      </c>
      <c r="S808">
        <v>25000000</v>
      </c>
      <c r="T808">
        <v>1200000000</v>
      </c>
      <c r="U808">
        <v>690370244.15999997</v>
      </c>
      <c r="Z808"/>
    </row>
    <row r="809" spans="1:26" x14ac:dyDescent="0.25">
      <c r="A809">
        <v>200334</v>
      </c>
      <c r="B809" t="s">
        <v>1775</v>
      </c>
      <c r="C809" t="s">
        <v>1776</v>
      </c>
      <c r="D809" t="s">
        <v>1281</v>
      </c>
      <c r="E809">
        <v>-8</v>
      </c>
      <c r="F809" s="105">
        <v>6470047.9100000001</v>
      </c>
      <c r="G809" t="s">
        <v>1667</v>
      </c>
      <c r="H809">
        <v>158516.17000000001</v>
      </c>
      <c r="I809">
        <v>7045911.6600000001</v>
      </c>
      <c r="J809" s="711">
        <v>42581.669069097225</v>
      </c>
      <c r="K809" s="711">
        <v>43140</v>
      </c>
      <c r="L809" t="s">
        <v>1777</v>
      </c>
      <c r="M809" t="s">
        <v>1280</v>
      </c>
      <c r="N809" t="s">
        <v>1837</v>
      </c>
      <c r="O809" t="s">
        <v>37</v>
      </c>
      <c r="P809" t="s">
        <v>38</v>
      </c>
      <c r="Q809" t="s">
        <v>39</v>
      </c>
      <c r="R809" t="s">
        <v>2856</v>
      </c>
      <c r="S809">
        <v>23000000</v>
      </c>
      <c r="T809">
        <v>966000000</v>
      </c>
      <c r="U809">
        <v>271742012.22000003</v>
      </c>
      <c r="Z809"/>
    </row>
    <row r="810" spans="1:26" x14ac:dyDescent="0.25">
      <c r="A810">
        <v>200335</v>
      </c>
      <c r="B810" t="s">
        <v>2633</v>
      </c>
      <c r="C810" t="s">
        <v>2641</v>
      </c>
      <c r="D810" t="s">
        <v>1281</v>
      </c>
      <c r="E810">
        <v>-1</v>
      </c>
      <c r="F810" s="105">
        <v>8511487.2599999998</v>
      </c>
      <c r="G810" t="s">
        <v>1925</v>
      </c>
      <c r="H810">
        <v>317762.19</v>
      </c>
      <c r="I810">
        <v>10493893.02</v>
      </c>
      <c r="J810" s="711">
        <v>42584.353854085646</v>
      </c>
      <c r="K810" s="711">
        <v>43314</v>
      </c>
      <c r="L810" t="s">
        <v>2642</v>
      </c>
      <c r="M810" t="s">
        <v>1280</v>
      </c>
      <c r="N810" t="s">
        <v>1280</v>
      </c>
      <c r="O810" t="s">
        <v>29</v>
      </c>
      <c r="P810" t="s">
        <v>30</v>
      </c>
      <c r="Q810" t="s">
        <v>30</v>
      </c>
      <c r="R810" t="s">
        <v>2856</v>
      </c>
      <c r="S810">
        <v>16000000</v>
      </c>
      <c r="T810">
        <v>768000000</v>
      </c>
      <c r="U810">
        <v>408551388.48000002</v>
      </c>
      <c r="Z810"/>
    </row>
    <row r="811" spans="1:26" x14ac:dyDescent="0.25">
      <c r="A811">
        <v>200337</v>
      </c>
      <c r="B811" t="s">
        <v>2614</v>
      </c>
      <c r="C811" t="s">
        <v>2628</v>
      </c>
      <c r="D811" t="s">
        <v>1283</v>
      </c>
      <c r="E811">
        <v>-2</v>
      </c>
      <c r="F811" s="105">
        <v>25246239.23</v>
      </c>
      <c r="G811" t="s">
        <v>546</v>
      </c>
      <c r="H811">
        <v>757387.18</v>
      </c>
      <c r="I811">
        <v>36025087.670000002</v>
      </c>
      <c r="J811" s="711">
        <v>42584.692311574072</v>
      </c>
      <c r="K811" s="711">
        <v>43680</v>
      </c>
      <c r="L811" t="s">
        <v>2629</v>
      </c>
      <c r="M811" t="s">
        <v>1280</v>
      </c>
      <c r="N811" t="s">
        <v>2630</v>
      </c>
      <c r="O811" t="s">
        <v>44</v>
      </c>
      <c r="P811" t="s">
        <v>75</v>
      </c>
      <c r="Q811" t="s">
        <v>26</v>
      </c>
      <c r="R811" t="s">
        <v>2856</v>
      </c>
      <c r="S811">
        <v>34000000</v>
      </c>
      <c r="T811">
        <v>1360000000</v>
      </c>
      <c r="U811">
        <v>1009849569.2</v>
      </c>
      <c r="Z811"/>
    </row>
    <row r="812" spans="1:26" x14ac:dyDescent="0.25">
      <c r="A812">
        <v>200339</v>
      </c>
      <c r="B812" t="s">
        <v>2645</v>
      </c>
      <c r="C812" t="s">
        <v>2646</v>
      </c>
      <c r="D812" t="s">
        <v>1866</v>
      </c>
      <c r="E812">
        <v>169</v>
      </c>
      <c r="F812" s="105">
        <v>2361969.35</v>
      </c>
      <c r="G812" t="s">
        <v>2538</v>
      </c>
      <c r="H812">
        <v>171202.49</v>
      </c>
      <c r="I812">
        <v>2613027.35</v>
      </c>
      <c r="J812" s="711">
        <v>42585.71644236111</v>
      </c>
      <c r="K812" s="711">
        <v>42959</v>
      </c>
      <c r="L812" t="s">
        <v>2647</v>
      </c>
      <c r="M812" t="s">
        <v>1280</v>
      </c>
      <c r="N812" t="s">
        <v>1280</v>
      </c>
      <c r="O812" t="s">
        <v>27</v>
      </c>
      <c r="P812" t="s">
        <v>116</v>
      </c>
      <c r="Q812" t="s">
        <v>26</v>
      </c>
      <c r="R812" t="s">
        <v>2636</v>
      </c>
      <c r="S812">
        <v>6000000</v>
      </c>
      <c r="T812">
        <v>300000000</v>
      </c>
      <c r="U812">
        <v>118098467.5</v>
      </c>
      <c r="Z812"/>
    </row>
    <row r="813" spans="1:26" x14ac:dyDescent="0.25">
      <c r="A813">
        <v>200342</v>
      </c>
      <c r="B813" t="s">
        <v>2505</v>
      </c>
      <c r="C813" t="s">
        <v>2511</v>
      </c>
      <c r="D813" t="s">
        <v>1282</v>
      </c>
      <c r="E813">
        <v>21</v>
      </c>
      <c r="F813" s="105">
        <v>5454136.5599999996</v>
      </c>
      <c r="G813" t="s">
        <v>1447</v>
      </c>
      <c r="H813">
        <v>379151.13</v>
      </c>
      <c r="I813">
        <v>6212033.5499999998</v>
      </c>
      <c r="J813" s="711">
        <v>42587.656656979168</v>
      </c>
      <c r="K813" s="711">
        <v>43141</v>
      </c>
      <c r="L813" t="s">
        <v>2512</v>
      </c>
      <c r="M813" t="s">
        <v>1280</v>
      </c>
      <c r="N813" t="s">
        <v>1280</v>
      </c>
      <c r="O813" t="s">
        <v>44</v>
      </c>
      <c r="P813" t="s">
        <v>75</v>
      </c>
      <c r="Q813" t="s">
        <v>26</v>
      </c>
      <c r="R813" t="s">
        <v>2856</v>
      </c>
      <c r="S813">
        <v>15000000</v>
      </c>
      <c r="T813">
        <v>810000000</v>
      </c>
      <c r="U813">
        <v>294523374.24000001</v>
      </c>
      <c r="Z813"/>
    </row>
    <row r="814" spans="1:26" x14ac:dyDescent="0.25">
      <c r="A814">
        <v>200343</v>
      </c>
      <c r="B814" t="s">
        <v>2655</v>
      </c>
      <c r="C814" t="s">
        <v>2656</v>
      </c>
      <c r="D814" t="s">
        <v>1281</v>
      </c>
      <c r="E814">
        <v>115</v>
      </c>
      <c r="F814" s="105">
        <v>14359731.98</v>
      </c>
      <c r="G814" t="s">
        <v>963</v>
      </c>
      <c r="H814">
        <v>745049.01</v>
      </c>
      <c r="I814">
        <v>16738234.949999999</v>
      </c>
      <c r="J814" s="711">
        <v>42588.5351872338</v>
      </c>
      <c r="K814" s="711">
        <v>43137</v>
      </c>
      <c r="L814" t="s">
        <v>2657</v>
      </c>
      <c r="M814" t="s">
        <v>2658</v>
      </c>
      <c r="N814" t="s">
        <v>1280</v>
      </c>
      <c r="O814" t="s">
        <v>44</v>
      </c>
      <c r="P814" t="s">
        <v>75</v>
      </c>
      <c r="Q814" t="s">
        <v>26</v>
      </c>
      <c r="R814" t="s">
        <v>2636</v>
      </c>
      <c r="S814">
        <v>27000000</v>
      </c>
      <c r="T814">
        <v>1296000000</v>
      </c>
      <c r="U814">
        <v>689267135.03999996</v>
      </c>
      <c r="Z814"/>
    </row>
    <row r="815" spans="1:26" x14ac:dyDescent="0.25">
      <c r="A815">
        <v>200345</v>
      </c>
      <c r="B815" t="s">
        <v>2662</v>
      </c>
      <c r="C815" t="s">
        <v>2663</v>
      </c>
      <c r="D815" t="s">
        <v>1284</v>
      </c>
      <c r="E815">
        <v>-18</v>
      </c>
      <c r="F815" s="105">
        <v>20343063.829999998</v>
      </c>
      <c r="G815" t="s">
        <v>1467</v>
      </c>
      <c r="H815">
        <v>223773.7</v>
      </c>
      <c r="I815">
        <v>23848276.800000001</v>
      </c>
      <c r="J815" s="711">
        <v>42591.682169097221</v>
      </c>
      <c r="K815" s="711">
        <v>43331</v>
      </c>
      <c r="L815" t="s">
        <v>2664</v>
      </c>
      <c r="M815" t="s">
        <v>1280</v>
      </c>
      <c r="N815" t="s">
        <v>1280</v>
      </c>
      <c r="O815" t="s">
        <v>27</v>
      </c>
      <c r="P815" t="s">
        <v>81</v>
      </c>
      <c r="Q815" t="s">
        <v>26</v>
      </c>
      <c r="R815" t="s">
        <v>2636</v>
      </c>
      <c r="S815">
        <v>40000000</v>
      </c>
      <c r="T815">
        <v>1440000000</v>
      </c>
      <c r="U815">
        <v>732350297.88</v>
      </c>
      <c r="Z815"/>
    </row>
    <row r="816" spans="1:26" x14ac:dyDescent="0.25">
      <c r="A816">
        <v>200346</v>
      </c>
      <c r="B816" t="s">
        <v>2665</v>
      </c>
      <c r="C816" t="s">
        <v>2670</v>
      </c>
      <c r="D816" t="s">
        <v>1282</v>
      </c>
      <c r="E816">
        <v>-11</v>
      </c>
      <c r="F816" s="105">
        <v>3840856.11</v>
      </c>
      <c r="G816" t="s">
        <v>1447</v>
      </c>
      <c r="H816">
        <v>103703.11</v>
      </c>
      <c r="I816">
        <v>4282456.9800000004</v>
      </c>
      <c r="J816" s="711">
        <v>42593.547827812501</v>
      </c>
      <c r="K816" s="711">
        <v>43143</v>
      </c>
      <c r="L816" t="s">
        <v>2671</v>
      </c>
      <c r="M816" t="s">
        <v>1280</v>
      </c>
      <c r="N816" t="s">
        <v>2672</v>
      </c>
      <c r="O816" t="s">
        <v>25</v>
      </c>
      <c r="P816" t="s">
        <v>106</v>
      </c>
      <c r="Q816" t="s">
        <v>107</v>
      </c>
      <c r="R816" t="s">
        <v>2636</v>
      </c>
      <c r="S816">
        <v>13000000</v>
      </c>
      <c r="T816">
        <v>702000000</v>
      </c>
      <c r="U816">
        <v>207406229.94</v>
      </c>
      <c r="Z816"/>
    </row>
    <row r="817" spans="1:26" x14ac:dyDescent="0.25">
      <c r="A817">
        <v>200348</v>
      </c>
      <c r="B817" t="s">
        <v>2675</v>
      </c>
      <c r="C817" t="s">
        <v>2682</v>
      </c>
      <c r="D817" t="s">
        <v>1282</v>
      </c>
      <c r="E817">
        <v>79</v>
      </c>
      <c r="F817" s="105">
        <v>284904.05</v>
      </c>
      <c r="G817" t="s">
        <v>2175</v>
      </c>
      <c r="H817">
        <v>0</v>
      </c>
      <c r="I817">
        <v>284904.05</v>
      </c>
      <c r="J817" s="711">
        <v>42594.579996064815</v>
      </c>
      <c r="K817" s="711">
        <v>42959</v>
      </c>
      <c r="L817" t="s">
        <v>2683</v>
      </c>
      <c r="M817" t="s">
        <v>2684</v>
      </c>
      <c r="N817" t="s">
        <v>1280</v>
      </c>
      <c r="O817" t="s">
        <v>27</v>
      </c>
      <c r="P817" t="s">
        <v>116</v>
      </c>
      <c r="Q817" t="s">
        <v>26</v>
      </c>
      <c r="R817" t="s">
        <v>2636</v>
      </c>
      <c r="S817">
        <v>3000000</v>
      </c>
      <c r="T817">
        <v>162000000</v>
      </c>
      <c r="U817">
        <v>15384818.699999999</v>
      </c>
      <c r="Z817"/>
    </row>
    <row r="818" spans="1:26" x14ac:dyDescent="0.25">
      <c r="A818">
        <v>200352</v>
      </c>
      <c r="B818" t="s">
        <v>2673</v>
      </c>
      <c r="C818" t="s">
        <v>2691</v>
      </c>
      <c r="D818" t="s">
        <v>1284</v>
      </c>
      <c r="E818">
        <v>-11</v>
      </c>
      <c r="F818" s="105">
        <v>20013864.93</v>
      </c>
      <c r="G818" t="s">
        <v>491</v>
      </c>
      <c r="H818">
        <v>400277.3</v>
      </c>
      <c r="I818">
        <v>23863216.719999999</v>
      </c>
      <c r="J818" s="711">
        <v>42594.713174965276</v>
      </c>
      <c r="K818" s="711">
        <v>43324</v>
      </c>
      <c r="L818" t="s">
        <v>2692</v>
      </c>
      <c r="M818" t="s">
        <v>1280</v>
      </c>
      <c r="N818" t="s">
        <v>1280</v>
      </c>
      <c r="O818" t="s">
        <v>36</v>
      </c>
      <c r="P818" t="s">
        <v>97</v>
      </c>
      <c r="Q818" t="s">
        <v>1809</v>
      </c>
      <c r="R818" t="s">
        <v>2636</v>
      </c>
      <c r="S818">
        <v>39000000</v>
      </c>
      <c r="T818">
        <v>1560000000</v>
      </c>
      <c r="U818">
        <v>800554597.20000005</v>
      </c>
      <c r="Z818"/>
    </row>
    <row r="819" spans="1:26" x14ac:dyDescent="0.25">
      <c r="A819">
        <v>200374</v>
      </c>
      <c r="B819" t="s">
        <v>2739</v>
      </c>
      <c r="C819" t="s">
        <v>2743</v>
      </c>
      <c r="D819" t="s">
        <v>1281</v>
      </c>
      <c r="E819">
        <v>69</v>
      </c>
      <c r="F819" s="105">
        <v>1956822.75</v>
      </c>
      <c r="G819" t="s">
        <v>1925</v>
      </c>
      <c r="H819">
        <v>0</v>
      </c>
      <c r="I819">
        <v>1956822.75</v>
      </c>
      <c r="J819" s="711">
        <v>42604.67937395833</v>
      </c>
      <c r="K819" s="711">
        <v>42969</v>
      </c>
      <c r="L819" t="s">
        <v>2744</v>
      </c>
      <c r="M819" t="s">
        <v>2745</v>
      </c>
      <c r="N819" t="s">
        <v>1280</v>
      </c>
      <c r="O819" t="s">
        <v>25</v>
      </c>
      <c r="P819" t="s">
        <v>103</v>
      </c>
      <c r="Q819" t="s">
        <v>104</v>
      </c>
      <c r="R819" t="s">
        <v>2636</v>
      </c>
      <c r="S819">
        <v>25000000</v>
      </c>
      <c r="T819">
        <v>1200000000</v>
      </c>
      <c r="U819">
        <v>93927492</v>
      </c>
      <c r="Z819"/>
    </row>
    <row r="820" spans="1:26" x14ac:dyDescent="0.25">
      <c r="A820">
        <v>200389</v>
      </c>
      <c r="B820" t="s">
        <v>2760</v>
      </c>
      <c r="C820" t="s">
        <v>2766</v>
      </c>
      <c r="D820" t="s">
        <v>1279</v>
      </c>
      <c r="E820">
        <v>157</v>
      </c>
      <c r="F820" s="105">
        <v>1940237.56</v>
      </c>
      <c r="G820" t="s">
        <v>2175</v>
      </c>
      <c r="H820">
        <v>65569.39</v>
      </c>
      <c r="I820">
        <v>2077888.18</v>
      </c>
      <c r="J820" s="711">
        <v>42606.538440625001</v>
      </c>
      <c r="K820" s="711">
        <v>42971</v>
      </c>
      <c r="L820" t="s">
        <v>2767</v>
      </c>
      <c r="M820" t="s">
        <v>2768</v>
      </c>
      <c r="N820" t="s">
        <v>1280</v>
      </c>
      <c r="O820" t="s">
        <v>25</v>
      </c>
      <c r="P820" t="s">
        <v>88</v>
      </c>
      <c r="Q820" t="s">
        <v>285</v>
      </c>
      <c r="R820" t="s">
        <v>2636</v>
      </c>
      <c r="S820">
        <v>5000000</v>
      </c>
      <c r="T820">
        <v>270000000</v>
      </c>
      <c r="U820">
        <v>104772828.23999999</v>
      </c>
      <c r="Z820"/>
    </row>
    <row r="821" spans="1:26" x14ac:dyDescent="0.25">
      <c r="A821">
        <v>200390</v>
      </c>
      <c r="B821" t="s">
        <v>2769</v>
      </c>
      <c r="C821" t="s">
        <v>2774</v>
      </c>
      <c r="D821" t="s">
        <v>1281</v>
      </c>
      <c r="E821">
        <v>-3</v>
      </c>
      <c r="F821" s="105">
        <v>5691550.8799999999</v>
      </c>
      <c r="G821" t="s">
        <v>1925</v>
      </c>
      <c r="H821">
        <v>197307.1</v>
      </c>
      <c r="I821">
        <v>6392383.2300000004</v>
      </c>
      <c r="J821" s="711">
        <v>42607.591887615738</v>
      </c>
      <c r="K821" s="711">
        <v>43163</v>
      </c>
      <c r="L821" t="s">
        <v>2775</v>
      </c>
      <c r="M821" t="s">
        <v>2776</v>
      </c>
      <c r="N821" t="s">
        <v>1280</v>
      </c>
      <c r="O821" t="s">
        <v>36</v>
      </c>
      <c r="P821" t="s">
        <v>97</v>
      </c>
      <c r="Q821" t="s">
        <v>98</v>
      </c>
      <c r="R821" t="s">
        <v>2636</v>
      </c>
      <c r="S821">
        <v>16000000</v>
      </c>
      <c r="T821">
        <v>768000000</v>
      </c>
      <c r="U821">
        <v>273194442.24000001</v>
      </c>
      <c r="Z821"/>
    </row>
    <row r="822" spans="1:26" x14ac:dyDescent="0.25">
      <c r="A822">
        <v>200392</v>
      </c>
      <c r="B822" t="s">
        <v>2779</v>
      </c>
      <c r="C822" t="s">
        <v>2783</v>
      </c>
      <c r="D822" t="s">
        <v>1282</v>
      </c>
      <c r="E822">
        <v>0</v>
      </c>
      <c r="F822" s="105">
        <v>3090677.44</v>
      </c>
      <c r="G822" t="s">
        <v>1447</v>
      </c>
      <c r="H822">
        <v>134444.47</v>
      </c>
      <c r="I822">
        <v>3520152.4</v>
      </c>
      <c r="J822" s="711">
        <v>42608.458013113428</v>
      </c>
      <c r="K822" s="711">
        <v>43160</v>
      </c>
      <c r="L822" t="s">
        <v>2784</v>
      </c>
      <c r="M822" t="s">
        <v>1280</v>
      </c>
      <c r="N822" t="s">
        <v>1280</v>
      </c>
      <c r="O822" t="s">
        <v>37</v>
      </c>
      <c r="P822" t="s">
        <v>38</v>
      </c>
      <c r="Q822" t="s">
        <v>39</v>
      </c>
      <c r="R822" t="s">
        <v>2636</v>
      </c>
      <c r="S822">
        <v>8500000</v>
      </c>
      <c r="T822">
        <v>459000000</v>
      </c>
      <c r="U822">
        <v>166896581.75999999</v>
      </c>
      <c r="Z822"/>
    </row>
    <row r="823" spans="1:26" x14ac:dyDescent="0.25">
      <c r="A823">
        <v>200398</v>
      </c>
      <c r="B823" t="s">
        <v>2802</v>
      </c>
      <c r="C823" t="s">
        <v>2803</v>
      </c>
      <c r="D823" t="s">
        <v>1866</v>
      </c>
      <c r="E823">
        <v>88</v>
      </c>
      <c r="F823" s="105">
        <v>2800497.7</v>
      </c>
      <c r="G823" t="s">
        <v>963</v>
      </c>
      <c r="H823">
        <v>99915.38</v>
      </c>
      <c r="I823">
        <v>3064171.29</v>
      </c>
      <c r="J823" s="711">
        <v>42611.685413923609</v>
      </c>
      <c r="K823" s="711">
        <v>43072</v>
      </c>
      <c r="L823" t="s">
        <v>2804</v>
      </c>
      <c r="M823" t="s">
        <v>1280</v>
      </c>
      <c r="N823" t="s">
        <v>2805</v>
      </c>
      <c r="O823" t="s">
        <v>25</v>
      </c>
      <c r="P823" t="s">
        <v>289</v>
      </c>
      <c r="Q823" t="s">
        <v>26</v>
      </c>
      <c r="R823" t="s">
        <v>2636</v>
      </c>
      <c r="S823">
        <v>7500000</v>
      </c>
      <c r="T823">
        <v>375000000</v>
      </c>
      <c r="U823">
        <v>140024885</v>
      </c>
      <c r="Z823"/>
    </row>
    <row r="824" spans="1:26" x14ac:dyDescent="0.25">
      <c r="A824">
        <v>200400</v>
      </c>
      <c r="B824" t="s">
        <v>2786</v>
      </c>
      <c r="C824" t="s">
        <v>2795</v>
      </c>
      <c r="D824" t="s">
        <v>1281</v>
      </c>
      <c r="E824">
        <v>-2</v>
      </c>
      <c r="F824" s="105">
        <v>7060336.3899999997</v>
      </c>
      <c r="G824" t="s">
        <v>1447</v>
      </c>
      <c r="H824">
        <v>254172.11</v>
      </c>
      <c r="I824">
        <v>7929714.9400000004</v>
      </c>
      <c r="J824" s="711">
        <v>42612.4035883912</v>
      </c>
      <c r="K824" s="711">
        <v>43162</v>
      </c>
      <c r="L824" t="s">
        <v>2796</v>
      </c>
      <c r="M824" t="s">
        <v>1280</v>
      </c>
      <c r="N824" t="s">
        <v>1280</v>
      </c>
      <c r="O824" t="s">
        <v>25</v>
      </c>
      <c r="P824" t="s">
        <v>290</v>
      </c>
      <c r="Q824" t="s">
        <v>1823</v>
      </c>
      <c r="R824" t="s">
        <v>2856</v>
      </c>
      <c r="S824">
        <v>20000000</v>
      </c>
      <c r="T824">
        <v>960000000</v>
      </c>
      <c r="U824">
        <v>338896146.72000003</v>
      </c>
      <c r="Z824"/>
    </row>
    <row r="825" spans="1:26" x14ac:dyDescent="0.25">
      <c r="A825">
        <v>200401</v>
      </c>
      <c r="B825" t="s">
        <v>2811</v>
      </c>
      <c r="C825" t="s">
        <v>2818</v>
      </c>
      <c r="D825" t="s">
        <v>1284</v>
      </c>
      <c r="E825">
        <v>-2</v>
      </c>
      <c r="F825" s="105">
        <v>11431392.869999999</v>
      </c>
      <c r="G825" t="s">
        <v>1447</v>
      </c>
      <c r="H825">
        <v>342941.79</v>
      </c>
      <c r="I825">
        <v>13842343.619999999</v>
      </c>
      <c r="J825" s="711">
        <v>42612.53626828704</v>
      </c>
      <c r="K825" s="711">
        <v>43346</v>
      </c>
      <c r="L825" t="s">
        <v>2819</v>
      </c>
      <c r="M825" t="s">
        <v>1280</v>
      </c>
      <c r="N825" t="s">
        <v>1280</v>
      </c>
      <c r="O825" t="s">
        <v>44</v>
      </c>
      <c r="P825" t="s">
        <v>75</v>
      </c>
      <c r="Q825" t="s">
        <v>1442</v>
      </c>
      <c r="R825" t="s">
        <v>2636</v>
      </c>
      <c r="S825">
        <v>20500000</v>
      </c>
      <c r="T825">
        <v>820000000</v>
      </c>
      <c r="U825">
        <v>457255714.80000001</v>
      </c>
      <c r="Z825"/>
    </row>
    <row r="826" spans="1:26" x14ac:dyDescent="0.25">
      <c r="A826">
        <v>200408</v>
      </c>
      <c r="B826" t="s">
        <v>2828</v>
      </c>
      <c r="C826" t="s">
        <v>2845</v>
      </c>
      <c r="D826" t="s">
        <v>1282</v>
      </c>
      <c r="E826">
        <v>58</v>
      </c>
      <c r="F826" s="105">
        <v>392896.1</v>
      </c>
      <c r="G826" t="s">
        <v>3074</v>
      </c>
      <c r="H826">
        <v>0</v>
      </c>
      <c r="I826">
        <v>392896.1</v>
      </c>
      <c r="J826" s="711">
        <v>42613.727876701392</v>
      </c>
      <c r="K826" s="711">
        <v>42981</v>
      </c>
      <c r="L826" t="s">
        <v>2846</v>
      </c>
      <c r="M826" t="s">
        <v>1280</v>
      </c>
      <c r="N826" t="s">
        <v>1280</v>
      </c>
      <c r="O826" t="s">
        <v>44</v>
      </c>
      <c r="P826" t="s">
        <v>75</v>
      </c>
      <c r="Q826" t="s">
        <v>26</v>
      </c>
      <c r="R826" t="s">
        <v>2636</v>
      </c>
      <c r="S826">
        <v>5000000</v>
      </c>
      <c r="T826">
        <v>270000000</v>
      </c>
      <c r="U826">
        <v>21216389.399999999</v>
      </c>
      <c r="Z826"/>
    </row>
    <row r="827" spans="1:26" x14ac:dyDescent="0.25">
      <c r="A827">
        <v>200410</v>
      </c>
      <c r="B827" t="s">
        <v>2827</v>
      </c>
      <c r="C827" t="s">
        <v>2850</v>
      </c>
      <c r="D827" t="s">
        <v>1282</v>
      </c>
      <c r="E827">
        <v>148</v>
      </c>
      <c r="F827" s="105">
        <v>1108528.8899999999</v>
      </c>
      <c r="G827" t="s">
        <v>5725</v>
      </c>
      <c r="H827">
        <v>40873.49</v>
      </c>
      <c r="I827">
        <v>1191474.8999999999</v>
      </c>
      <c r="J827" s="711">
        <v>42613.80719699074</v>
      </c>
      <c r="K827" s="711">
        <v>42981</v>
      </c>
      <c r="L827" t="s">
        <v>2851</v>
      </c>
      <c r="M827" t="s">
        <v>1280</v>
      </c>
      <c r="N827" t="s">
        <v>1280</v>
      </c>
      <c r="O827" t="s">
        <v>25</v>
      </c>
      <c r="P827" t="s">
        <v>26</v>
      </c>
      <c r="Q827" t="s">
        <v>26</v>
      </c>
      <c r="R827" t="s">
        <v>2636</v>
      </c>
      <c r="S827">
        <v>3000000</v>
      </c>
      <c r="T827">
        <v>162000000</v>
      </c>
      <c r="U827">
        <v>59860560.060000002</v>
      </c>
      <c r="Z827"/>
    </row>
    <row r="828" spans="1:26" x14ac:dyDescent="0.25">
      <c r="A828">
        <v>200415</v>
      </c>
      <c r="B828" t="s">
        <v>2862</v>
      </c>
      <c r="C828" t="s">
        <v>2863</v>
      </c>
      <c r="D828" t="s">
        <v>1281</v>
      </c>
      <c r="E828">
        <v>-5</v>
      </c>
      <c r="F828" s="105">
        <v>5978292.4400000004</v>
      </c>
      <c r="G828" t="s">
        <v>1448</v>
      </c>
      <c r="H828">
        <v>349727.33</v>
      </c>
      <c r="I828">
        <v>6714432.8700000001</v>
      </c>
      <c r="J828" s="711">
        <v>42619.509713310188</v>
      </c>
      <c r="K828" s="711">
        <v>43165</v>
      </c>
      <c r="L828" t="s">
        <v>2864</v>
      </c>
      <c r="M828" t="s">
        <v>2865</v>
      </c>
      <c r="N828" t="s">
        <v>1280</v>
      </c>
      <c r="O828" t="s">
        <v>25</v>
      </c>
      <c r="P828" t="s">
        <v>295</v>
      </c>
      <c r="Q828" t="s">
        <v>296</v>
      </c>
      <c r="R828" t="s">
        <v>2636</v>
      </c>
      <c r="S828">
        <v>17000000</v>
      </c>
      <c r="T828">
        <v>816000000</v>
      </c>
      <c r="U828">
        <v>286958037.12</v>
      </c>
      <c r="Z828"/>
    </row>
    <row r="829" spans="1:26" x14ac:dyDescent="0.25">
      <c r="A829">
        <v>200416</v>
      </c>
      <c r="B829" t="s">
        <v>2616</v>
      </c>
      <c r="C829" t="s">
        <v>2623</v>
      </c>
      <c r="D829" t="s">
        <v>1866</v>
      </c>
      <c r="E829">
        <v>-7</v>
      </c>
      <c r="F829" s="105">
        <v>3552549.12</v>
      </c>
      <c r="G829" t="s">
        <v>90</v>
      </c>
      <c r="H829">
        <v>108550.11</v>
      </c>
      <c r="I829">
        <v>4008694.21</v>
      </c>
      <c r="J829" s="711">
        <v>42620.597951238429</v>
      </c>
      <c r="K829" s="711">
        <v>43167</v>
      </c>
      <c r="L829" t="s">
        <v>2624</v>
      </c>
      <c r="M829" t="s">
        <v>1280</v>
      </c>
      <c r="N829" t="s">
        <v>1280</v>
      </c>
      <c r="O829" t="s">
        <v>44</v>
      </c>
      <c r="P829" t="s">
        <v>75</v>
      </c>
      <c r="Q829" t="s">
        <v>1442</v>
      </c>
      <c r="R829" t="s">
        <v>2856</v>
      </c>
      <c r="S829">
        <v>10000000</v>
      </c>
      <c r="T829">
        <v>500000000</v>
      </c>
      <c r="U829">
        <v>177627456</v>
      </c>
      <c r="Z829"/>
    </row>
    <row r="830" spans="1:26" x14ac:dyDescent="0.25">
      <c r="A830">
        <v>200418</v>
      </c>
      <c r="B830" t="s">
        <v>2867</v>
      </c>
      <c r="C830" t="s">
        <v>2870</v>
      </c>
      <c r="D830" t="s">
        <v>1281</v>
      </c>
      <c r="E830">
        <v>16</v>
      </c>
      <c r="F830" s="105">
        <v>3807535.71</v>
      </c>
      <c r="G830" t="s">
        <v>1448</v>
      </c>
      <c r="H830">
        <v>169927.63</v>
      </c>
      <c r="I830">
        <v>4081990.05</v>
      </c>
      <c r="J830" s="711">
        <v>42620.741342280089</v>
      </c>
      <c r="K830" s="711">
        <v>43084</v>
      </c>
      <c r="L830" t="s">
        <v>2871</v>
      </c>
      <c r="M830" t="s">
        <v>1280</v>
      </c>
      <c r="N830" t="s">
        <v>1280</v>
      </c>
      <c r="O830" t="s">
        <v>37</v>
      </c>
      <c r="P830" t="s">
        <v>288</v>
      </c>
      <c r="Q830" t="s">
        <v>1313</v>
      </c>
      <c r="R830" t="s">
        <v>2636</v>
      </c>
      <c r="S830">
        <v>15100000</v>
      </c>
      <c r="T830">
        <v>724800000</v>
      </c>
      <c r="U830">
        <v>182761714.08000001</v>
      </c>
      <c r="Z830"/>
    </row>
    <row r="831" spans="1:26" x14ac:dyDescent="0.25">
      <c r="A831">
        <v>200424</v>
      </c>
      <c r="B831" t="s">
        <v>2885</v>
      </c>
      <c r="C831" t="s">
        <v>2886</v>
      </c>
      <c r="D831" t="s">
        <v>1284</v>
      </c>
      <c r="E831">
        <v>-9</v>
      </c>
      <c r="F831" s="105">
        <v>29046061.280000001</v>
      </c>
      <c r="G831" t="s">
        <v>1467</v>
      </c>
      <c r="H831">
        <v>645468.03</v>
      </c>
      <c r="I831">
        <v>42048272.030000001</v>
      </c>
      <c r="J831" s="711">
        <v>42623.473717824076</v>
      </c>
      <c r="K831" s="711">
        <v>43718</v>
      </c>
      <c r="L831" t="s">
        <v>2887</v>
      </c>
      <c r="M831" t="s">
        <v>1280</v>
      </c>
      <c r="N831" t="s">
        <v>1280</v>
      </c>
      <c r="O831" t="s">
        <v>29</v>
      </c>
      <c r="P831" t="s">
        <v>30</v>
      </c>
      <c r="Q831" t="s">
        <v>30</v>
      </c>
      <c r="R831" t="s">
        <v>2636</v>
      </c>
      <c r="S831">
        <v>38000000</v>
      </c>
      <c r="T831">
        <v>1520000000</v>
      </c>
      <c r="U831">
        <v>1161842451.2</v>
      </c>
      <c r="Z831"/>
    </row>
    <row r="832" spans="1:26" x14ac:dyDescent="0.25">
      <c r="A832">
        <v>200426</v>
      </c>
      <c r="B832" t="s">
        <v>2729</v>
      </c>
      <c r="C832" t="s">
        <v>2730</v>
      </c>
      <c r="D832" t="s">
        <v>1284</v>
      </c>
      <c r="E832">
        <v>-17</v>
      </c>
      <c r="F832" s="105">
        <v>15180591.800000001</v>
      </c>
      <c r="G832" t="s">
        <v>2861</v>
      </c>
      <c r="H832">
        <v>182167.1</v>
      </c>
      <c r="I832">
        <v>21233393.670000002</v>
      </c>
      <c r="J832" s="711">
        <v>42623.594059293981</v>
      </c>
      <c r="K832" s="711">
        <v>43726</v>
      </c>
      <c r="L832" t="s">
        <v>2731</v>
      </c>
      <c r="M832" t="s">
        <v>1280</v>
      </c>
      <c r="N832" t="s">
        <v>1280</v>
      </c>
      <c r="O832" t="s">
        <v>44</v>
      </c>
      <c r="P832" t="s">
        <v>75</v>
      </c>
      <c r="Q832" t="s">
        <v>26</v>
      </c>
      <c r="R832" t="s">
        <v>2856</v>
      </c>
      <c r="S832">
        <v>20000000</v>
      </c>
      <c r="T832">
        <v>720000000</v>
      </c>
      <c r="U832">
        <v>546501304.79999995</v>
      </c>
      <c r="Z832"/>
    </row>
    <row r="833" spans="1:26" x14ac:dyDescent="0.25">
      <c r="A833">
        <v>200427</v>
      </c>
      <c r="B833" t="s">
        <v>2884</v>
      </c>
      <c r="C833" t="s">
        <v>2888</v>
      </c>
      <c r="D833" t="s">
        <v>1284</v>
      </c>
      <c r="E833">
        <v>-9</v>
      </c>
      <c r="F833" s="105">
        <v>10238086.779999999</v>
      </c>
      <c r="G833" t="s">
        <v>1925</v>
      </c>
      <c r="H833">
        <v>227513.04</v>
      </c>
      <c r="I833">
        <v>13576691.41</v>
      </c>
      <c r="J833" s="711">
        <v>42623.58788240741</v>
      </c>
      <c r="K833" s="711">
        <v>43534</v>
      </c>
      <c r="L833" t="s">
        <v>2889</v>
      </c>
      <c r="M833" t="s">
        <v>1280</v>
      </c>
      <c r="N833" t="s">
        <v>1280</v>
      </c>
      <c r="O833" t="s">
        <v>25</v>
      </c>
      <c r="P833" t="s">
        <v>101</v>
      </c>
      <c r="Q833" t="s">
        <v>26</v>
      </c>
      <c r="R833" t="s">
        <v>2636</v>
      </c>
      <c r="S833">
        <v>15000000</v>
      </c>
      <c r="T833">
        <v>600000000</v>
      </c>
      <c r="U833">
        <v>409523471.19999999</v>
      </c>
      <c r="Z833"/>
    </row>
    <row r="834" spans="1:26" x14ac:dyDescent="0.25">
      <c r="A834">
        <v>200428</v>
      </c>
      <c r="B834" t="s">
        <v>2890</v>
      </c>
      <c r="C834" t="s">
        <v>2891</v>
      </c>
      <c r="D834" t="s">
        <v>1284</v>
      </c>
      <c r="E834">
        <v>-12</v>
      </c>
      <c r="F834" s="105">
        <v>22931100.899999999</v>
      </c>
      <c r="G834" t="s">
        <v>1448</v>
      </c>
      <c r="H834">
        <v>433143.02</v>
      </c>
      <c r="I834">
        <v>33196003.940000001</v>
      </c>
      <c r="J834" s="711">
        <v>42626.532485185184</v>
      </c>
      <c r="K834" s="711">
        <v>43721</v>
      </c>
      <c r="L834" t="s">
        <v>2892</v>
      </c>
      <c r="M834" t="s">
        <v>2893</v>
      </c>
      <c r="N834" t="s">
        <v>1280</v>
      </c>
      <c r="O834" t="s">
        <v>27</v>
      </c>
      <c r="P834" t="s">
        <v>81</v>
      </c>
      <c r="Q834" t="s">
        <v>1706</v>
      </c>
      <c r="R834" t="s">
        <v>2636</v>
      </c>
      <c r="S834">
        <v>30000000</v>
      </c>
      <c r="T834">
        <v>1200000000</v>
      </c>
      <c r="U834">
        <v>917244036</v>
      </c>
      <c r="Z834"/>
    </row>
    <row r="835" spans="1:26" x14ac:dyDescent="0.25">
      <c r="A835">
        <v>200430</v>
      </c>
      <c r="B835" t="s">
        <v>2894</v>
      </c>
      <c r="C835" t="s">
        <v>2896</v>
      </c>
      <c r="D835" t="s">
        <v>1284</v>
      </c>
      <c r="E835">
        <v>-13</v>
      </c>
      <c r="F835" s="105">
        <v>14523030.560000001</v>
      </c>
      <c r="G835" t="s">
        <v>491</v>
      </c>
      <c r="H835">
        <v>258187.21</v>
      </c>
      <c r="I835">
        <v>21024135.809999999</v>
      </c>
      <c r="J835" s="711">
        <v>42627.728360532405</v>
      </c>
      <c r="K835" s="711">
        <v>43722</v>
      </c>
      <c r="L835" t="s">
        <v>2897</v>
      </c>
      <c r="M835" t="s">
        <v>1280</v>
      </c>
      <c r="N835" t="s">
        <v>1280</v>
      </c>
      <c r="O835" t="s">
        <v>44</v>
      </c>
      <c r="P835" t="s">
        <v>75</v>
      </c>
      <c r="Q835" t="s">
        <v>1442</v>
      </c>
      <c r="R835" t="s">
        <v>2636</v>
      </c>
      <c r="S835">
        <v>19000000</v>
      </c>
      <c r="T835">
        <v>760000000</v>
      </c>
      <c r="U835">
        <v>580921222.39999998</v>
      </c>
      <c r="Z835"/>
    </row>
    <row r="836" spans="1:26" x14ac:dyDescent="0.25">
      <c r="A836">
        <v>200431</v>
      </c>
      <c r="B836" t="s">
        <v>2895</v>
      </c>
      <c r="C836" t="s">
        <v>2898</v>
      </c>
      <c r="D836" t="s">
        <v>1282</v>
      </c>
      <c r="E836">
        <v>16</v>
      </c>
      <c r="F836" s="105">
        <v>2519867.0299999998</v>
      </c>
      <c r="G836" t="s">
        <v>2538</v>
      </c>
      <c r="H836">
        <v>233805.03</v>
      </c>
      <c r="I836">
        <v>3316130.55</v>
      </c>
      <c r="J836" s="711">
        <v>42627.75354853009</v>
      </c>
      <c r="K836" s="711">
        <v>43358</v>
      </c>
      <c r="L836" t="s">
        <v>2899</v>
      </c>
      <c r="M836" t="s">
        <v>1280</v>
      </c>
      <c r="N836" t="s">
        <v>1280</v>
      </c>
      <c r="O836" t="s">
        <v>44</v>
      </c>
      <c r="P836" t="s">
        <v>75</v>
      </c>
      <c r="Q836" t="s">
        <v>26</v>
      </c>
      <c r="R836" t="s">
        <v>2636</v>
      </c>
      <c r="S836">
        <v>4000000</v>
      </c>
      <c r="T836">
        <v>216000000</v>
      </c>
      <c r="U836">
        <v>136072819.62</v>
      </c>
      <c r="Z836"/>
    </row>
    <row r="837" spans="1:26" x14ac:dyDescent="0.25">
      <c r="A837">
        <v>200435</v>
      </c>
      <c r="B837" t="s">
        <v>2957</v>
      </c>
      <c r="C837" t="s">
        <v>2958</v>
      </c>
      <c r="D837" t="s">
        <v>1284</v>
      </c>
      <c r="E837">
        <v>-15</v>
      </c>
      <c r="F837" s="105">
        <v>21121764.120000001</v>
      </c>
      <c r="G837" t="s">
        <v>1925</v>
      </c>
      <c r="H837">
        <v>1074056.26</v>
      </c>
      <c r="I837">
        <v>25576473.440000001</v>
      </c>
      <c r="J837" s="711">
        <v>42629.342043055556</v>
      </c>
      <c r="K837" s="711">
        <v>43359</v>
      </c>
      <c r="L837" t="s">
        <v>2959</v>
      </c>
      <c r="M837" t="s">
        <v>1280</v>
      </c>
      <c r="N837" t="s">
        <v>1280</v>
      </c>
      <c r="O837" t="s">
        <v>27</v>
      </c>
      <c r="P837" t="s">
        <v>81</v>
      </c>
      <c r="Q837" t="s">
        <v>26</v>
      </c>
      <c r="R837" t="s">
        <v>2636</v>
      </c>
      <c r="S837">
        <v>38000000</v>
      </c>
      <c r="T837">
        <v>1520000000</v>
      </c>
      <c r="U837">
        <v>844870564.79999995</v>
      </c>
      <c r="Z837"/>
    </row>
    <row r="838" spans="1:26" x14ac:dyDescent="0.25">
      <c r="A838">
        <v>200436</v>
      </c>
      <c r="B838" t="s">
        <v>2960</v>
      </c>
      <c r="C838" t="s">
        <v>2961</v>
      </c>
      <c r="D838" t="s">
        <v>1284</v>
      </c>
      <c r="E838">
        <v>-23</v>
      </c>
      <c r="F838" s="105">
        <v>28084094.899999999</v>
      </c>
      <c r="G838" t="s">
        <v>963</v>
      </c>
      <c r="H838">
        <v>168504.57</v>
      </c>
      <c r="I838">
        <v>39281778.450000003</v>
      </c>
      <c r="J838" s="711">
        <v>42629.674353240742</v>
      </c>
      <c r="K838" s="711">
        <v>43732</v>
      </c>
      <c r="L838" t="s">
        <v>2962</v>
      </c>
      <c r="M838" t="s">
        <v>2963</v>
      </c>
      <c r="N838" t="s">
        <v>1280</v>
      </c>
      <c r="O838" t="s">
        <v>41</v>
      </c>
      <c r="P838" t="s">
        <v>1189</v>
      </c>
      <c r="Q838" t="s">
        <v>1817</v>
      </c>
      <c r="R838" t="s">
        <v>2636</v>
      </c>
      <c r="S838">
        <v>37000000</v>
      </c>
      <c r="T838">
        <v>1332000000</v>
      </c>
      <c r="U838">
        <v>1011027416.4</v>
      </c>
      <c r="Z838"/>
    </row>
    <row r="839" spans="1:26" x14ac:dyDescent="0.25">
      <c r="A839">
        <v>200439</v>
      </c>
      <c r="B839" t="s">
        <v>2964</v>
      </c>
      <c r="C839" t="s">
        <v>2965</v>
      </c>
      <c r="D839" t="s">
        <v>1284</v>
      </c>
      <c r="E839">
        <v>-18</v>
      </c>
      <c r="F839" s="105">
        <v>15287400.609999999</v>
      </c>
      <c r="G839" t="s">
        <v>1448</v>
      </c>
      <c r="H839">
        <v>186846.01</v>
      </c>
      <c r="I839">
        <v>22130669.289999999</v>
      </c>
      <c r="J839" s="711">
        <v>42632.70225991898</v>
      </c>
      <c r="K839" s="711">
        <v>43727</v>
      </c>
      <c r="L839" t="s">
        <v>2966</v>
      </c>
      <c r="M839" t="s">
        <v>2967</v>
      </c>
      <c r="N839" t="s">
        <v>1280</v>
      </c>
      <c r="O839" t="s">
        <v>44</v>
      </c>
      <c r="P839" t="s">
        <v>75</v>
      </c>
      <c r="Q839" t="s">
        <v>1442</v>
      </c>
      <c r="R839" t="s">
        <v>2636</v>
      </c>
      <c r="S839">
        <v>20000000</v>
      </c>
      <c r="T839">
        <v>800000000</v>
      </c>
      <c r="U839">
        <v>611496024.39999998</v>
      </c>
      <c r="Z839"/>
    </row>
    <row r="840" spans="1:26" x14ac:dyDescent="0.25">
      <c r="A840">
        <v>200444</v>
      </c>
      <c r="B840" t="s">
        <v>2974</v>
      </c>
      <c r="C840" t="s">
        <v>2975</v>
      </c>
      <c r="D840" t="s">
        <v>1282</v>
      </c>
      <c r="E840">
        <v>99</v>
      </c>
      <c r="F840" s="105">
        <v>1748204.29</v>
      </c>
      <c r="G840" t="s">
        <v>5725</v>
      </c>
      <c r="H840">
        <v>53601.13</v>
      </c>
      <c r="I840">
        <v>1831988.55</v>
      </c>
      <c r="J840" s="711">
        <v>42635.476807754632</v>
      </c>
      <c r="K840" s="711">
        <v>43000</v>
      </c>
      <c r="L840" t="s">
        <v>2976</v>
      </c>
      <c r="M840" t="s">
        <v>1280</v>
      </c>
      <c r="N840" t="s">
        <v>1280</v>
      </c>
      <c r="O840" t="s">
        <v>44</v>
      </c>
      <c r="P840" t="s">
        <v>75</v>
      </c>
      <c r="Q840" t="s">
        <v>1442</v>
      </c>
      <c r="R840" t="s">
        <v>2636</v>
      </c>
      <c r="S840">
        <v>6000000</v>
      </c>
      <c r="T840">
        <v>324000000</v>
      </c>
      <c r="U840">
        <v>94403031.659999996</v>
      </c>
      <c r="Z840"/>
    </row>
    <row r="841" spans="1:26" x14ac:dyDescent="0.25">
      <c r="A841">
        <v>200446</v>
      </c>
      <c r="B841" t="s">
        <v>2977</v>
      </c>
      <c r="C841" t="s">
        <v>2978</v>
      </c>
      <c r="D841" t="s">
        <v>1279</v>
      </c>
      <c r="E841">
        <v>38</v>
      </c>
      <c r="F841" s="105">
        <v>314831.09999999998</v>
      </c>
      <c r="G841" t="s">
        <v>1925</v>
      </c>
      <c r="H841">
        <v>13695.15</v>
      </c>
      <c r="I841">
        <v>328998.5</v>
      </c>
      <c r="J841" s="711">
        <v>42636.700270023146</v>
      </c>
      <c r="K841" s="711">
        <v>43001</v>
      </c>
      <c r="L841" t="s">
        <v>2979</v>
      </c>
      <c r="M841" t="s">
        <v>1280</v>
      </c>
      <c r="N841" t="s">
        <v>1280</v>
      </c>
      <c r="O841" t="s">
        <v>36</v>
      </c>
      <c r="P841" t="s">
        <v>97</v>
      </c>
      <c r="Q841" t="s">
        <v>98</v>
      </c>
      <c r="R841" t="s">
        <v>2636</v>
      </c>
      <c r="S841">
        <v>3000000</v>
      </c>
      <c r="T841">
        <v>162000000</v>
      </c>
      <c r="U841">
        <v>17000879.399999999</v>
      </c>
      <c r="Z841"/>
    </row>
    <row r="842" spans="1:26" x14ac:dyDescent="0.25">
      <c r="A842">
        <v>200452</v>
      </c>
      <c r="B842" t="s">
        <v>2989</v>
      </c>
      <c r="C842" t="s">
        <v>2990</v>
      </c>
      <c r="D842" t="s">
        <v>1282</v>
      </c>
      <c r="E842">
        <v>30</v>
      </c>
      <c r="F842" s="105">
        <v>369939.22</v>
      </c>
      <c r="G842" t="s">
        <v>2855</v>
      </c>
      <c r="H842">
        <v>8876.4</v>
      </c>
      <c r="I842">
        <v>378815.62</v>
      </c>
      <c r="J842" s="711">
        <v>42639.479455173612</v>
      </c>
      <c r="K842" s="711">
        <v>43009</v>
      </c>
      <c r="L842" t="s">
        <v>2991</v>
      </c>
      <c r="M842" t="s">
        <v>1280</v>
      </c>
      <c r="N842" t="s">
        <v>1280</v>
      </c>
      <c r="O842" t="s">
        <v>25</v>
      </c>
      <c r="P842" t="s">
        <v>289</v>
      </c>
      <c r="Q842" t="s">
        <v>26</v>
      </c>
      <c r="R842" t="s">
        <v>2636</v>
      </c>
      <c r="S842">
        <v>3500000</v>
      </c>
      <c r="T842">
        <v>189000000</v>
      </c>
      <c r="U842">
        <v>19976717.879999999</v>
      </c>
      <c r="Z842"/>
    </row>
    <row r="843" spans="1:26" x14ac:dyDescent="0.25">
      <c r="A843">
        <v>200453</v>
      </c>
      <c r="B843" t="s">
        <v>2992</v>
      </c>
      <c r="C843" t="s">
        <v>2993</v>
      </c>
      <c r="D843" t="s">
        <v>1284</v>
      </c>
      <c r="E843">
        <v>0</v>
      </c>
      <c r="F843" s="105">
        <v>6003299.6399999997</v>
      </c>
      <c r="G843" t="s">
        <v>2175</v>
      </c>
      <c r="H843">
        <v>193439.66</v>
      </c>
      <c r="I843">
        <v>7382004.1900000004</v>
      </c>
      <c r="J843" s="711">
        <v>42639.671695717596</v>
      </c>
      <c r="K843" s="711">
        <v>43374</v>
      </c>
      <c r="L843" t="s">
        <v>2994</v>
      </c>
      <c r="M843" t="s">
        <v>2995</v>
      </c>
      <c r="N843" t="s">
        <v>1280</v>
      </c>
      <c r="O843" t="s">
        <v>25</v>
      </c>
      <c r="P843" t="s">
        <v>290</v>
      </c>
      <c r="Q843" t="s">
        <v>26</v>
      </c>
      <c r="R843" t="s">
        <v>2636</v>
      </c>
      <c r="S843">
        <v>10000000</v>
      </c>
      <c r="T843">
        <v>400000000</v>
      </c>
      <c r="U843">
        <v>240131985.59999999</v>
      </c>
      <c r="Z843"/>
    </row>
    <row r="844" spans="1:26" x14ac:dyDescent="0.25">
      <c r="A844">
        <v>200456</v>
      </c>
      <c r="B844" t="s">
        <v>3020</v>
      </c>
      <c r="C844" t="s">
        <v>3029</v>
      </c>
      <c r="D844" t="s">
        <v>1284</v>
      </c>
      <c r="E844">
        <v>-2</v>
      </c>
      <c r="F844" s="105">
        <v>14624220.58</v>
      </c>
      <c r="G844" t="s">
        <v>2557</v>
      </c>
      <c r="H844">
        <v>438726.62</v>
      </c>
      <c r="I844">
        <v>21475750.57</v>
      </c>
      <c r="J844" s="711">
        <v>42641.552462118052</v>
      </c>
      <c r="K844" s="711">
        <v>43741</v>
      </c>
      <c r="L844" t="s">
        <v>3030</v>
      </c>
      <c r="M844" t="s">
        <v>1280</v>
      </c>
      <c r="N844" t="s">
        <v>1280</v>
      </c>
      <c r="O844" t="s">
        <v>36</v>
      </c>
      <c r="P844" t="s">
        <v>1023</v>
      </c>
      <c r="Q844" t="s">
        <v>1810</v>
      </c>
      <c r="R844" t="s">
        <v>2636</v>
      </c>
      <c r="S844">
        <v>18500000</v>
      </c>
      <c r="T844">
        <v>740000000</v>
      </c>
      <c r="U844">
        <v>584968823.20000005</v>
      </c>
      <c r="Z844"/>
    </row>
    <row r="845" spans="1:26" x14ac:dyDescent="0.25">
      <c r="A845">
        <v>200458</v>
      </c>
      <c r="B845" t="s">
        <v>3037</v>
      </c>
      <c r="C845" t="s">
        <v>3041</v>
      </c>
      <c r="D845" t="s">
        <v>1282</v>
      </c>
      <c r="E845">
        <v>120</v>
      </c>
      <c r="F845" s="105">
        <v>916443.16</v>
      </c>
      <c r="G845" t="s">
        <v>5725</v>
      </c>
      <c r="H845">
        <v>32878.81</v>
      </c>
      <c r="I845">
        <v>985466.04</v>
      </c>
      <c r="J845" s="711">
        <v>42642.377497800924</v>
      </c>
      <c r="K845" s="711">
        <v>43009</v>
      </c>
      <c r="L845" t="s">
        <v>3042</v>
      </c>
      <c r="M845" t="s">
        <v>1280</v>
      </c>
      <c r="N845" t="s">
        <v>1280</v>
      </c>
      <c r="O845" t="s">
        <v>44</v>
      </c>
      <c r="P845" t="s">
        <v>75</v>
      </c>
      <c r="Q845" t="s">
        <v>26</v>
      </c>
      <c r="R845" t="s">
        <v>2636</v>
      </c>
      <c r="S845">
        <v>2500000</v>
      </c>
      <c r="T845">
        <v>135000000</v>
      </c>
      <c r="U845">
        <v>49487930.640000001</v>
      </c>
      <c r="Z845"/>
    </row>
    <row r="846" spans="1:26" x14ac:dyDescent="0.25">
      <c r="A846">
        <v>200461</v>
      </c>
      <c r="B846" t="s">
        <v>3021</v>
      </c>
      <c r="C846" t="s">
        <v>3033</v>
      </c>
      <c r="D846" t="s">
        <v>1281</v>
      </c>
      <c r="E846">
        <v>28</v>
      </c>
      <c r="F846" s="105">
        <v>5585682.6900000004</v>
      </c>
      <c r="G846" t="s">
        <v>1925</v>
      </c>
      <c r="H846">
        <v>184680.87</v>
      </c>
      <c r="I846">
        <v>5962722.3099999996</v>
      </c>
      <c r="J846" s="711">
        <v>42641.726242129633</v>
      </c>
      <c r="K846" s="711">
        <v>43103</v>
      </c>
      <c r="L846" t="s">
        <v>3034</v>
      </c>
      <c r="M846" t="s">
        <v>1280</v>
      </c>
      <c r="N846" t="s">
        <v>1280</v>
      </c>
      <c r="O846" t="s">
        <v>35</v>
      </c>
      <c r="P846" t="s">
        <v>121</v>
      </c>
      <c r="Q846" t="s">
        <v>26</v>
      </c>
      <c r="R846" t="s">
        <v>2636</v>
      </c>
      <c r="S846">
        <v>17000000</v>
      </c>
      <c r="T846">
        <v>816000000</v>
      </c>
      <c r="U846">
        <v>268112769.12</v>
      </c>
      <c r="Z846"/>
    </row>
    <row r="847" spans="1:26" x14ac:dyDescent="0.25">
      <c r="A847">
        <v>200465</v>
      </c>
      <c r="B847" t="s">
        <v>3048</v>
      </c>
      <c r="C847" t="s">
        <v>3064</v>
      </c>
      <c r="D847" t="s">
        <v>1282</v>
      </c>
      <c r="E847">
        <v>58</v>
      </c>
      <c r="F847" s="105">
        <v>603008.68000000005</v>
      </c>
      <c r="G847" t="s">
        <v>2557</v>
      </c>
      <c r="H847">
        <v>18971.21</v>
      </c>
      <c r="I847">
        <v>621979.89</v>
      </c>
      <c r="J847" s="711">
        <v>42643.727883333333</v>
      </c>
      <c r="K847" s="711">
        <v>43011</v>
      </c>
      <c r="L847" t="s">
        <v>3065</v>
      </c>
      <c r="M847" t="s">
        <v>1280</v>
      </c>
      <c r="N847" t="s">
        <v>1280</v>
      </c>
      <c r="O847" t="s">
        <v>25</v>
      </c>
      <c r="P847" t="s">
        <v>88</v>
      </c>
      <c r="Q847" t="s">
        <v>26</v>
      </c>
      <c r="R847" t="s">
        <v>2636</v>
      </c>
      <c r="S847">
        <v>4000000</v>
      </c>
      <c r="T847">
        <v>216000000</v>
      </c>
      <c r="U847">
        <v>32562468.719999999</v>
      </c>
      <c r="Z847"/>
    </row>
    <row r="848" spans="1:26" x14ac:dyDescent="0.25">
      <c r="A848">
        <v>200470</v>
      </c>
      <c r="B848" t="s">
        <v>3046</v>
      </c>
      <c r="C848" t="s">
        <v>3070</v>
      </c>
      <c r="D848" t="s">
        <v>1284</v>
      </c>
      <c r="E848">
        <v>0</v>
      </c>
      <c r="F848" s="105">
        <v>22714945.02</v>
      </c>
      <c r="G848" t="s">
        <v>1467</v>
      </c>
      <c r="H848">
        <v>731926.01</v>
      </c>
      <c r="I848">
        <v>27931609.23</v>
      </c>
      <c r="J848" s="711">
        <v>42643.531673611113</v>
      </c>
      <c r="K848" s="711">
        <v>43374</v>
      </c>
      <c r="L848" t="s">
        <v>3071</v>
      </c>
      <c r="M848" t="s">
        <v>1280</v>
      </c>
      <c r="N848" t="s">
        <v>1280</v>
      </c>
      <c r="O848" t="s">
        <v>27</v>
      </c>
      <c r="P848" t="s">
        <v>81</v>
      </c>
      <c r="Q848" t="s">
        <v>26</v>
      </c>
      <c r="R848" t="s">
        <v>2636</v>
      </c>
      <c r="S848">
        <v>38000000</v>
      </c>
      <c r="T848">
        <v>1520000000</v>
      </c>
      <c r="U848">
        <v>908597800.79999995</v>
      </c>
      <c r="Z848"/>
    </row>
    <row r="849" spans="1:26" x14ac:dyDescent="0.25">
      <c r="A849">
        <v>200473</v>
      </c>
      <c r="B849" t="s">
        <v>3075</v>
      </c>
      <c r="C849" t="s">
        <v>3076</v>
      </c>
      <c r="D849" t="s">
        <v>1281</v>
      </c>
      <c r="E849">
        <v>-3</v>
      </c>
      <c r="F849" s="105">
        <v>17762757.68</v>
      </c>
      <c r="G849" t="s">
        <v>468</v>
      </c>
      <c r="H849">
        <v>916773.18</v>
      </c>
      <c r="I849">
        <v>27960071.710000001</v>
      </c>
      <c r="J849" s="711">
        <v>42646.655643090278</v>
      </c>
      <c r="K849" s="711">
        <v>43742</v>
      </c>
      <c r="L849" t="s">
        <v>3077</v>
      </c>
      <c r="M849" t="s">
        <v>1280</v>
      </c>
      <c r="N849" t="s">
        <v>3078</v>
      </c>
      <c r="O849" t="s">
        <v>25</v>
      </c>
      <c r="P849" t="s">
        <v>26</v>
      </c>
      <c r="Q849" t="s">
        <v>26</v>
      </c>
      <c r="R849" t="s">
        <v>2636</v>
      </c>
      <c r="S849">
        <v>22000000</v>
      </c>
      <c r="T849">
        <v>1056000000</v>
      </c>
      <c r="U849">
        <v>852612368.63999999</v>
      </c>
      <c r="Z849"/>
    </row>
    <row r="850" spans="1:26" x14ac:dyDescent="0.25">
      <c r="A850">
        <v>200474</v>
      </c>
      <c r="B850" t="s">
        <v>3089</v>
      </c>
      <c r="C850" t="s">
        <v>3090</v>
      </c>
      <c r="D850" t="s">
        <v>1283</v>
      </c>
      <c r="E850">
        <v>-4</v>
      </c>
      <c r="F850" s="105">
        <v>22714945.02</v>
      </c>
      <c r="G850" t="s">
        <v>2861</v>
      </c>
      <c r="H850">
        <v>630970.69999999995</v>
      </c>
      <c r="I850">
        <v>27931609.23</v>
      </c>
      <c r="J850" s="711">
        <v>42647.721488310184</v>
      </c>
      <c r="K850" s="711">
        <v>43378</v>
      </c>
      <c r="L850" t="s">
        <v>3091</v>
      </c>
      <c r="M850" t="s">
        <v>1280</v>
      </c>
      <c r="N850" t="s">
        <v>3092</v>
      </c>
      <c r="O850" t="s">
        <v>27</v>
      </c>
      <c r="P850" t="s">
        <v>81</v>
      </c>
      <c r="Q850" t="s">
        <v>1831</v>
      </c>
      <c r="R850" t="s">
        <v>2636</v>
      </c>
      <c r="S850">
        <v>38000000</v>
      </c>
      <c r="T850">
        <v>1520000000</v>
      </c>
      <c r="U850">
        <v>908597800.79999995</v>
      </c>
      <c r="Z850"/>
    </row>
    <row r="851" spans="1:26" x14ac:dyDescent="0.25">
      <c r="A851">
        <v>200475</v>
      </c>
      <c r="B851" t="s">
        <v>3093</v>
      </c>
      <c r="C851" t="s">
        <v>3094</v>
      </c>
      <c r="D851" t="s">
        <v>1281</v>
      </c>
      <c r="E851">
        <v>25</v>
      </c>
      <c r="F851" s="105">
        <v>9448394.7200000007</v>
      </c>
      <c r="G851" t="s">
        <v>2538</v>
      </c>
      <c r="H851">
        <v>265359.83</v>
      </c>
      <c r="I851">
        <v>10647252.4</v>
      </c>
      <c r="J851" s="711">
        <v>42648.621059293982</v>
      </c>
      <c r="K851" s="711">
        <v>43196</v>
      </c>
      <c r="L851" t="s">
        <v>3095</v>
      </c>
      <c r="M851" t="s">
        <v>1280</v>
      </c>
      <c r="N851" t="s">
        <v>1280</v>
      </c>
      <c r="O851" t="s">
        <v>44</v>
      </c>
      <c r="P851" t="s">
        <v>92</v>
      </c>
      <c r="Q851" t="s">
        <v>26</v>
      </c>
      <c r="R851" t="s">
        <v>2636</v>
      </c>
      <c r="S851">
        <v>20000000</v>
      </c>
      <c r="T851">
        <v>960000000</v>
      </c>
      <c r="U851">
        <v>453522946.56</v>
      </c>
      <c r="Z851"/>
    </row>
    <row r="852" spans="1:26" x14ac:dyDescent="0.25">
      <c r="A852">
        <v>200477</v>
      </c>
      <c r="B852" t="s">
        <v>2877</v>
      </c>
      <c r="C852" t="s">
        <v>2881</v>
      </c>
      <c r="D852" t="s">
        <v>1283</v>
      </c>
      <c r="E852">
        <v>-5</v>
      </c>
      <c r="F852" s="105">
        <v>38812776.950000003</v>
      </c>
      <c r="G852" t="s">
        <v>2861</v>
      </c>
      <c r="H852">
        <v>1035007.39</v>
      </c>
      <c r="I852">
        <v>47726433.68</v>
      </c>
      <c r="J852" s="711">
        <v>42649.566965127313</v>
      </c>
      <c r="K852" s="711">
        <v>43379</v>
      </c>
      <c r="L852" t="s">
        <v>2882</v>
      </c>
      <c r="M852" t="s">
        <v>2883</v>
      </c>
      <c r="N852" t="s">
        <v>1280</v>
      </c>
      <c r="O852" t="s">
        <v>27</v>
      </c>
      <c r="P852" t="s">
        <v>81</v>
      </c>
      <c r="Q852" t="s">
        <v>26</v>
      </c>
      <c r="R852" t="s">
        <v>2856</v>
      </c>
      <c r="S852">
        <v>65000000</v>
      </c>
      <c r="T852">
        <v>2600000000</v>
      </c>
      <c r="U852">
        <v>1552511078</v>
      </c>
      <c r="Z852"/>
    </row>
    <row r="853" spans="1:26" x14ac:dyDescent="0.25">
      <c r="A853">
        <v>200478</v>
      </c>
      <c r="B853" t="s">
        <v>3096</v>
      </c>
      <c r="C853" t="s">
        <v>3100</v>
      </c>
      <c r="D853" t="s">
        <v>1282</v>
      </c>
      <c r="E853">
        <v>-5</v>
      </c>
      <c r="F853" s="105">
        <v>4241674.2400000002</v>
      </c>
      <c r="G853" t="s">
        <v>2557</v>
      </c>
      <c r="H853">
        <v>152700.26999999999</v>
      </c>
      <c r="I853">
        <v>4934213.76</v>
      </c>
      <c r="J853" s="711">
        <v>42649.751360069444</v>
      </c>
      <c r="K853" s="711">
        <v>43196</v>
      </c>
      <c r="L853" t="s">
        <v>3101</v>
      </c>
      <c r="M853" t="s">
        <v>1280</v>
      </c>
      <c r="N853" t="s">
        <v>1280</v>
      </c>
      <c r="O853" t="s">
        <v>25</v>
      </c>
      <c r="P853" t="s">
        <v>88</v>
      </c>
      <c r="Q853" t="s">
        <v>285</v>
      </c>
      <c r="R853" t="s">
        <v>2636</v>
      </c>
      <c r="S853">
        <v>10000000</v>
      </c>
      <c r="T853">
        <v>540000000</v>
      </c>
      <c r="U853">
        <v>229050408.96000001</v>
      </c>
      <c r="Z853"/>
    </row>
    <row r="854" spans="1:26" x14ac:dyDescent="0.25">
      <c r="A854">
        <v>200481</v>
      </c>
      <c r="B854" t="s">
        <v>2416</v>
      </c>
      <c r="C854" t="s">
        <v>2417</v>
      </c>
      <c r="D854" t="s">
        <v>1283</v>
      </c>
      <c r="E854">
        <v>21</v>
      </c>
      <c r="F854" s="105">
        <v>51843235.170000002</v>
      </c>
      <c r="G854" t="s">
        <v>546</v>
      </c>
      <c r="H854">
        <v>2563722.77</v>
      </c>
      <c r="I854">
        <v>74431165.659999996</v>
      </c>
      <c r="J854" s="711">
        <v>42653.598869525464</v>
      </c>
      <c r="K854" s="711">
        <v>43748</v>
      </c>
      <c r="L854" t="s">
        <v>1378</v>
      </c>
      <c r="M854" t="s">
        <v>2418</v>
      </c>
      <c r="N854" t="s">
        <v>1379</v>
      </c>
      <c r="O854" t="s">
        <v>44</v>
      </c>
      <c r="P854" t="s">
        <v>92</v>
      </c>
      <c r="Q854" t="s">
        <v>92</v>
      </c>
      <c r="R854" t="s">
        <v>2856</v>
      </c>
      <c r="S854">
        <v>65000000</v>
      </c>
      <c r="T854">
        <v>2340000000</v>
      </c>
      <c r="U854">
        <v>1866356466.1199999</v>
      </c>
      <c r="Z854"/>
    </row>
    <row r="855" spans="1:26" x14ac:dyDescent="0.25">
      <c r="A855">
        <v>200482</v>
      </c>
      <c r="B855" t="s">
        <v>3113</v>
      </c>
      <c r="C855" t="s">
        <v>3117</v>
      </c>
      <c r="D855" t="s">
        <v>1282</v>
      </c>
      <c r="E855">
        <v>-9</v>
      </c>
      <c r="F855" s="105">
        <v>1272502.33</v>
      </c>
      <c r="G855" t="s">
        <v>1447</v>
      </c>
      <c r="H855">
        <v>38175.07</v>
      </c>
      <c r="I855">
        <v>1480264.19</v>
      </c>
      <c r="J855" s="711">
        <v>42653.61320709491</v>
      </c>
      <c r="K855" s="711">
        <v>43200</v>
      </c>
      <c r="L855" t="s">
        <v>3118</v>
      </c>
      <c r="M855" t="s">
        <v>1280</v>
      </c>
      <c r="N855" t="s">
        <v>1280</v>
      </c>
      <c r="O855" t="s">
        <v>27</v>
      </c>
      <c r="P855" t="s">
        <v>81</v>
      </c>
      <c r="Q855" t="s">
        <v>26</v>
      </c>
      <c r="R855" t="s">
        <v>2636</v>
      </c>
      <c r="S855">
        <v>3000000</v>
      </c>
      <c r="T855">
        <v>162000000</v>
      </c>
      <c r="U855">
        <v>68715125.819999993</v>
      </c>
      <c r="Z855"/>
    </row>
    <row r="856" spans="1:26" x14ac:dyDescent="0.25">
      <c r="A856">
        <v>200491</v>
      </c>
      <c r="B856" t="s">
        <v>1781</v>
      </c>
      <c r="C856" t="s">
        <v>1782</v>
      </c>
      <c r="D856" t="s">
        <v>1281</v>
      </c>
      <c r="E856">
        <v>-1</v>
      </c>
      <c r="F856" s="105">
        <v>16273482.699999999</v>
      </c>
      <c r="G856" t="s">
        <v>468</v>
      </c>
      <c r="H856">
        <v>531600.43000000005</v>
      </c>
      <c r="I856">
        <v>24321499.91</v>
      </c>
      <c r="J856" s="711">
        <v>42656.495706400463</v>
      </c>
      <c r="K856" s="711">
        <v>43740</v>
      </c>
      <c r="L856" t="s">
        <v>1783</v>
      </c>
      <c r="M856" t="s">
        <v>1280</v>
      </c>
      <c r="N856" t="s">
        <v>1280</v>
      </c>
      <c r="O856" t="s">
        <v>25</v>
      </c>
      <c r="P856" t="s">
        <v>26</v>
      </c>
      <c r="Q856" t="s">
        <v>26</v>
      </c>
      <c r="R856" t="s">
        <v>2856</v>
      </c>
      <c r="S856">
        <v>20820462</v>
      </c>
      <c r="T856">
        <v>874459404</v>
      </c>
      <c r="U856">
        <v>683486273.39999998</v>
      </c>
      <c r="Z856"/>
    </row>
    <row r="857" spans="1:26" x14ac:dyDescent="0.25">
      <c r="A857">
        <v>200493</v>
      </c>
      <c r="B857" t="s">
        <v>3130</v>
      </c>
      <c r="C857" t="s">
        <v>3131</v>
      </c>
      <c r="D857" t="s">
        <v>1284</v>
      </c>
      <c r="E857">
        <v>-13</v>
      </c>
      <c r="F857" s="105">
        <v>4179837.49</v>
      </c>
      <c r="G857" t="s">
        <v>491</v>
      </c>
      <c r="H857">
        <v>74308.22</v>
      </c>
      <c r="I857">
        <v>5139769.7300000004</v>
      </c>
      <c r="J857" s="711">
        <v>42657.4193065625</v>
      </c>
      <c r="K857" s="711">
        <v>43387</v>
      </c>
      <c r="L857" t="s">
        <v>3132</v>
      </c>
      <c r="M857" t="s">
        <v>3133</v>
      </c>
      <c r="N857" t="s">
        <v>1280</v>
      </c>
      <c r="O857" t="s">
        <v>44</v>
      </c>
      <c r="P857" t="s">
        <v>75</v>
      </c>
      <c r="Q857" t="s">
        <v>26</v>
      </c>
      <c r="R857" t="s">
        <v>2636</v>
      </c>
      <c r="S857">
        <v>7000000</v>
      </c>
      <c r="T857">
        <v>280000000</v>
      </c>
      <c r="U857">
        <v>167193499.59999999</v>
      </c>
      <c r="Z857"/>
    </row>
    <row r="858" spans="1:26" x14ac:dyDescent="0.25">
      <c r="A858">
        <v>200496</v>
      </c>
      <c r="B858" t="s">
        <v>3137</v>
      </c>
      <c r="C858" t="s">
        <v>3141</v>
      </c>
      <c r="D858" t="s">
        <v>1282</v>
      </c>
      <c r="E858">
        <v>136</v>
      </c>
      <c r="F858" s="105">
        <v>4038221.83</v>
      </c>
      <c r="G858" t="s">
        <v>2034</v>
      </c>
      <c r="H858">
        <v>199541</v>
      </c>
      <c r="I858">
        <v>5707343.29</v>
      </c>
      <c r="J858" s="711">
        <v>42658.597886655094</v>
      </c>
      <c r="K858" s="711">
        <v>43388</v>
      </c>
      <c r="L858" t="s">
        <v>3142</v>
      </c>
      <c r="M858" t="s">
        <v>3143</v>
      </c>
      <c r="N858" t="s">
        <v>1280</v>
      </c>
      <c r="O858" t="s">
        <v>25</v>
      </c>
      <c r="P858" t="s">
        <v>295</v>
      </c>
      <c r="Q858" t="s">
        <v>26</v>
      </c>
      <c r="R858" t="s">
        <v>2636</v>
      </c>
      <c r="S858">
        <v>5000000</v>
      </c>
      <c r="T858">
        <v>270000000</v>
      </c>
      <c r="U858">
        <v>218063978.81999999</v>
      </c>
      <c r="Z858"/>
    </row>
    <row r="859" spans="1:26" x14ac:dyDescent="0.25">
      <c r="A859">
        <v>200497</v>
      </c>
      <c r="B859" t="s">
        <v>3136</v>
      </c>
      <c r="C859" t="s">
        <v>3144</v>
      </c>
      <c r="D859" t="s">
        <v>1283</v>
      </c>
      <c r="E859">
        <v>-14</v>
      </c>
      <c r="F859" s="105">
        <v>29855982.210000001</v>
      </c>
      <c r="G859" t="s">
        <v>1448</v>
      </c>
      <c r="H859">
        <v>497599.7</v>
      </c>
      <c r="I859">
        <v>36712641.189999998</v>
      </c>
      <c r="J859" s="711">
        <v>42658.590081249997</v>
      </c>
      <c r="K859" s="711">
        <v>43388</v>
      </c>
      <c r="L859" t="s">
        <v>3145</v>
      </c>
      <c r="M859" t="s">
        <v>1280</v>
      </c>
      <c r="N859" t="s">
        <v>1280</v>
      </c>
      <c r="O859" t="s">
        <v>31</v>
      </c>
      <c r="P859" t="s">
        <v>1815</v>
      </c>
      <c r="Q859" t="s">
        <v>26</v>
      </c>
      <c r="R859" t="s">
        <v>2636</v>
      </c>
      <c r="S859">
        <v>50000000</v>
      </c>
      <c r="T859">
        <v>2000000000</v>
      </c>
      <c r="U859">
        <v>1194239288.4000001</v>
      </c>
      <c r="Z859"/>
    </row>
    <row r="860" spans="1:26" x14ac:dyDescent="0.25">
      <c r="A860">
        <v>200500</v>
      </c>
      <c r="B860" t="s">
        <v>3146</v>
      </c>
      <c r="C860" t="s">
        <v>3151</v>
      </c>
      <c r="D860" t="s">
        <v>1282</v>
      </c>
      <c r="E860">
        <v>44</v>
      </c>
      <c r="F860" s="105">
        <v>849961.51</v>
      </c>
      <c r="G860" t="s">
        <v>5725</v>
      </c>
      <c r="H860">
        <v>53610.87</v>
      </c>
      <c r="I860">
        <v>873573.85</v>
      </c>
      <c r="J860" s="711">
        <v>42660.71446427083</v>
      </c>
      <c r="K860" s="711">
        <v>43025</v>
      </c>
      <c r="L860" t="s">
        <v>3152</v>
      </c>
      <c r="M860" t="s">
        <v>1280</v>
      </c>
      <c r="N860" t="s">
        <v>1280</v>
      </c>
      <c r="O860" t="s">
        <v>25</v>
      </c>
      <c r="P860" t="s">
        <v>26</v>
      </c>
      <c r="Q860" t="s">
        <v>26</v>
      </c>
      <c r="R860" t="s">
        <v>2636</v>
      </c>
      <c r="S860">
        <v>5000000</v>
      </c>
      <c r="T860">
        <v>270000000</v>
      </c>
      <c r="U860">
        <v>45897921.539999999</v>
      </c>
      <c r="Z860"/>
    </row>
    <row r="861" spans="1:26" x14ac:dyDescent="0.25">
      <c r="A861">
        <v>200501</v>
      </c>
      <c r="B861" t="s">
        <v>3153</v>
      </c>
      <c r="C861" t="s">
        <v>3154</v>
      </c>
      <c r="D861" t="s">
        <v>1284</v>
      </c>
      <c r="E861">
        <v>-17</v>
      </c>
      <c r="F861" s="105">
        <v>22690546.52</v>
      </c>
      <c r="G861" t="s">
        <v>1447</v>
      </c>
      <c r="H861">
        <v>302540.62</v>
      </c>
      <c r="I861">
        <v>27901607.390000001</v>
      </c>
      <c r="J861" s="711">
        <v>42661.501257835647</v>
      </c>
      <c r="K861" s="711">
        <v>43391</v>
      </c>
      <c r="L861" t="s">
        <v>3155</v>
      </c>
      <c r="M861" t="s">
        <v>3156</v>
      </c>
      <c r="N861" t="s">
        <v>1280</v>
      </c>
      <c r="O861" t="s">
        <v>29</v>
      </c>
      <c r="P861" t="s">
        <v>96</v>
      </c>
      <c r="Q861" t="s">
        <v>96</v>
      </c>
      <c r="R861" t="s">
        <v>2856</v>
      </c>
      <c r="S861">
        <v>38000000</v>
      </c>
      <c r="T861">
        <v>1520000000</v>
      </c>
      <c r="U861">
        <v>907621860.79999995</v>
      </c>
      <c r="Z861"/>
    </row>
    <row r="862" spans="1:26" x14ac:dyDescent="0.25">
      <c r="A862">
        <v>200502</v>
      </c>
      <c r="B862" t="s">
        <v>2953</v>
      </c>
      <c r="C862" t="s">
        <v>2954</v>
      </c>
      <c r="D862" t="s">
        <v>1284</v>
      </c>
      <c r="E862">
        <v>-18</v>
      </c>
      <c r="F862" s="105">
        <v>40886099.460000001</v>
      </c>
      <c r="G862" t="s">
        <v>491</v>
      </c>
      <c r="H862">
        <v>499718.99</v>
      </c>
      <c r="I862">
        <v>60041468.060000002</v>
      </c>
      <c r="J862" s="711">
        <v>42662.698448263887</v>
      </c>
      <c r="K862" s="711">
        <v>43757</v>
      </c>
      <c r="L862" t="s">
        <v>2955</v>
      </c>
      <c r="M862" t="s">
        <v>2956</v>
      </c>
      <c r="N862" t="s">
        <v>1280</v>
      </c>
      <c r="O862" t="s">
        <v>44</v>
      </c>
      <c r="P862" t="s">
        <v>75</v>
      </c>
      <c r="Q862" t="s">
        <v>26</v>
      </c>
      <c r="R862" t="s">
        <v>2856</v>
      </c>
      <c r="S862">
        <v>52000000</v>
      </c>
      <c r="T862">
        <v>2080000000</v>
      </c>
      <c r="U862">
        <v>1635443978.4000001</v>
      </c>
      <c r="Z862"/>
    </row>
    <row r="863" spans="1:26" x14ac:dyDescent="0.25">
      <c r="A863">
        <v>200503</v>
      </c>
      <c r="B863" t="s">
        <v>3161</v>
      </c>
      <c r="C863" t="s">
        <v>3165</v>
      </c>
      <c r="D863" t="s">
        <v>1283</v>
      </c>
      <c r="E863">
        <v>-19</v>
      </c>
      <c r="F863" s="105">
        <v>35382201.520000003</v>
      </c>
      <c r="G863" t="s">
        <v>1448</v>
      </c>
      <c r="H863">
        <v>393135.57</v>
      </c>
      <c r="I863">
        <v>51958962.880000003</v>
      </c>
      <c r="J863" s="711">
        <v>42663.50077885417</v>
      </c>
      <c r="K863" s="711">
        <v>43758</v>
      </c>
      <c r="L863" t="s">
        <v>3166</v>
      </c>
      <c r="M863" t="s">
        <v>1280</v>
      </c>
      <c r="N863" t="s">
        <v>3167</v>
      </c>
      <c r="O863" t="s">
        <v>44</v>
      </c>
      <c r="P863" t="s">
        <v>75</v>
      </c>
      <c r="Q863" t="s">
        <v>26</v>
      </c>
      <c r="R863" t="s">
        <v>2636</v>
      </c>
      <c r="S863">
        <v>45000000</v>
      </c>
      <c r="T863">
        <v>1800000000</v>
      </c>
      <c r="U863">
        <v>1415288060.8</v>
      </c>
      <c r="Z863"/>
    </row>
    <row r="864" spans="1:26" x14ac:dyDescent="0.25">
      <c r="A864">
        <v>200506</v>
      </c>
      <c r="B864" t="s">
        <v>3168</v>
      </c>
      <c r="C864" t="s">
        <v>3170</v>
      </c>
      <c r="D864" t="s">
        <v>1279</v>
      </c>
      <c r="E864">
        <v>40</v>
      </c>
      <c r="F864" s="105">
        <v>450795.7</v>
      </c>
      <c r="G864" t="s">
        <v>2861</v>
      </c>
      <c r="H864">
        <v>11806.17</v>
      </c>
      <c r="I864">
        <v>462601.87</v>
      </c>
      <c r="J864" s="711">
        <v>42664.51456369213</v>
      </c>
      <c r="K864" s="711">
        <v>43029</v>
      </c>
      <c r="L864" t="s">
        <v>3171</v>
      </c>
      <c r="M864" t="s">
        <v>1280</v>
      </c>
      <c r="N864" t="s">
        <v>3172</v>
      </c>
      <c r="O864" t="s">
        <v>25</v>
      </c>
      <c r="P864" t="s">
        <v>88</v>
      </c>
      <c r="Q864" t="s">
        <v>285</v>
      </c>
      <c r="R864" t="s">
        <v>2636</v>
      </c>
      <c r="S864">
        <v>2500000</v>
      </c>
      <c r="T864">
        <v>135000000</v>
      </c>
      <c r="U864">
        <v>24342967.800000001</v>
      </c>
      <c r="Z864"/>
    </row>
    <row r="865" spans="1:26" x14ac:dyDescent="0.25">
      <c r="A865">
        <v>200512</v>
      </c>
      <c r="B865" t="s">
        <v>1728</v>
      </c>
      <c r="C865" t="s">
        <v>1729</v>
      </c>
      <c r="D865" t="s">
        <v>1284</v>
      </c>
      <c r="E865">
        <v>36</v>
      </c>
      <c r="F865" s="105">
        <v>53275442.299999997</v>
      </c>
      <c r="G865" t="s">
        <v>5725</v>
      </c>
      <c r="H865">
        <v>1898609.76</v>
      </c>
      <c r="I865">
        <v>76852909.420000002</v>
      </c>
      <c r="J865" s="711">
        <v>42667.573399224537</v>
      </c>
      <c r="K865" s="711">
        <v>43763</v>
      </c>
      <c r="L865" t="s">
        <v>1730</v>
      </c>
      <c r="M865" t="s">
        <v>1280</v>
      </c>
      <c r="N865" t="s">
        <v>1280</v>
      </c>
      <c r="O865" t="s">
        <v>44</v>
      </c>
      <c r="P865" t="s">
        <v>92</v>
      </c>
      <c r="Q865" t="s">
        <v>92</v>
      </c>
      <c r="R865" t="s">
        <v>2856</v>
      </c>
      <c r="S865">
        <v>65000000</v>
      </c>
      <c r="T865">
        <v>2340000000</v>
      </c>
      <c r="U865">
        <v>1917915922.8</v>
      </c>
      <c r="Z865"/>
    </row>
    <row r="866" spans="1:26" x14ac:dyDescent="0.25">
      <c r="A866">
        <v>200513</v>
      </c>
      <c r="B866" t="s">
        <v>3175</v>
      </c>
      <c r="C866" t="s">
        <v>3176</v>
      </c>
      <c r="D866" t="s">
        <v>1279</v>
      </c>
      <c r="E866">
        <v>97</v>
      </c>
      <c r="F866" s="105">
        <v>393430.25</v>
      </c>
      <c r="G866" t="s">
        <v>3074</v>
      </c>
      <c r="H866">
        <v>30818.240000000002</v>
      </c>
      <c r="I866">
        <v>438664.73</v>
      </c>
      <c r="J866" s="711">
        <v>42667.644321180553</v>
      </c>
      <c r="K866" s="711">
        <v>43032</v>
      </c>
      <c r="L866" t="s">
        <v>3177</v>
      </c>
      <c r="M866" t="s">
        <v>1280</v>
      </c>
      <c r="N866" t="s">
        <v>3178</v>
      </c>
      <c r="O866" t="s">
        <v>25</v>
      </c>
      <c r="P866" t="s">
        <v>290</v>
      </c>
      <c r="Q866" t="s">
        <v>1825</v>
      </c>
      <c r="R866" t="s">
        <v>2636</v>
      </c>
      <c r="S866">
        <v>1000000</v>
      </c>
      <c r="T866">
        <v>54000000</v>
      </c>
      <c r="U866">
        <v>21245233.5</v>
      </c>
      <c r="Z866"/>
    </row>
    <row r="867" spans="1:26" x14ac:dyDescent="0.25">
      <c r="A867">
        <v>200521</v>
      </c>
      <c r="B867" t="s">
        <v>3187</v>
      </c>
      <c r="C867" t="s">
        <v>3190</v>
      </c>
      <c r="D867" t="s">
        <v>1284</v>
      </c>
      <c r="E867">
        <v>60</v>
      </c>
      <c r="F867" s="105">
        <v>10754776.17</v>
      </c>
      <c r="G867" t="s">
        <v>1039</v>
      </c>
      <c r="H867">
        <v>690927.01</v>
      </c>
      <c r="I867">
        <v>13535418.6</v>
      </c>
      <c r="J867" s="711">
        <v>42669.510123495369</v>
      </c>
      <c r="K867" s="711">
        <v>43405</v>
      </c>
      <c r="L867" t="s">
        <v>3191</v>
      </c>
      <c r="M867" t="s">
        <v>1280</v>
      </c>
      <c r="N867" t="s">
        <v>3192</v>
      </c>
      <c r="O867" t="s">
        <v>44</v>
      </c>
      <c r="P867" t="s">
        <v>75</v>
      </c>
      <c r="Q867" t="s">
        <v>26</v>
      </c>
      <c r="R867" t="s">
        <v>2636</v>
      </c>
      <c r="S867">
        <v>15000000</v>
      </c>
      <c r="T867">
        <v>600000000</v>
      </c>
      <c r="U867">
        <v>430191046.80000001</v>
      </c>
      <c r="Z867"/>
    </row>
    <row r="868" spans="1:26" x14ac:dyDescent="0.25">
      <c r="A868">
        <v>200527</v>
      </c>
      <c r="B868" t="s">
        <v>3195</v>
      </c>
      <c r="C868" t="s">
        <v>3199</v>
      </c>
      <c r="D868" t="s">
        <v>1866</v>
      </c>
      <c r="E868">
        <v>0</v>
      </c>
      <c r="F868" s="105">
        <v>3361180.19</v>
      </c>
      <c r="G868" t="s">
        <v>4684</v>
      </c>
      <c r="H868">
        <v>156985.57</v>
      </c>
      <c r="I868">
        <v>3944213.55</v>
      </c>
      <c r="J868" s="711">
        <v>42670.688696377314</v>
      </c>
      <c r="K868" s="711">
        <v>43221</v>
      </c>
      <c r="L868" t="s">
        <v>3200</v>
      </c>
      <c r="M868" t="s">
        <v>1280</v>
      </c>
      <c r="N868" t="s">
        <v>3201</v>
      </c>
      <c r="O868" t="s">
        <v>25</v>
      </c>
      <c r="P868" t="s">
        <v>32</v>
      </c>
      <c r="Q868" t="s">
        <v>517</v>
      </c>
      <c r="R868" t="s">
        <v>2636</v>
      </c>
      <c r="S868">
        <v>7000000</v>
      </c>
      <c r="T868">
        <v>350000000</v>
      </c>
      <c r="U868">
        <v>168059009.5</v>
      </c>
      <c r="Z868"/>
    </row>
    <row r="869" spans="1:26" x14ac:dyDescent="0.25">
      <c r="A869">
        <v>200532</v>
      </c>
      <c r="B869" t="s">
        <v>3205</v>
      </c>
      <c r="C869" t="s">
        <v>3215</v>
      </c>
      <c r="D869" t="s">
        <v>1279</v>
      </c>
      <c r="E869">
        <v>0</v>
      </c>
      <c r="F869" s="105">
        <v>316186.84000000003</v>
      </c>
      <c r="G869" t="s">
        <v>963</v>
      </c>
      <c r="H869">
        <v>68717.600000000006</v>
      </c>
      <c r="I869">
        <v>330415.25</v>
      </c>
      <c r="J869" s="711">
        <v>42671.680053935183</v>
      </c>
      <c r="K869" s="711">
        <v>43040</v>
      </c>
      <c r="L869" t="s">
        <v>3216</v>
      </c>
      <c r="M869" t="s">
        <v>1280</v>
      </c>
      <c r="N869" t="s">
        <v>1280</v>
      </c>
      <c r="O869" t="s">
        <v>44</v>
      </c>
      <c r="P869" t="s">
        <v>75</v>
      </c>
      <c r="Q869" t="s">
        <v>26</v>
      </c>
      <c r="R869" t="s">
        <v>2636</v>
      </c>
      <c r="S869">
        <v>3000000</v>
      </c>
      <c r="T869">
        <v>162000000</v>
      </c>
      <c r="U869">
        <v>17074089.359999999</v>
      </c>
      <c r="Z869"/>
    </row>
    <row r="870" spans="1:26" x14ac:dyDescent="0.25">
      <c r="A870">
        <v>200533</v>
      </c>
      <c r="B870" t="s">
        <v>3217</v>
      </c>
      <c r="C870" t="s">
        <v>3219</v>
      </c>
      <c r="D870" t="s">
        <v>1282</v>
      </c>
      <c r="E870">
        <v>0</v>
      </c>
      <c r="F870" s="105">
        <v>263112.48</v>
      </c>
      <c r="G870" t="s">
        <v>4684</v>
      </c>
      <c r="H870">
        <v>11445.39</v>
      </c>
      <c r="I870">
        <v>274952.53999999998</v>
      </c>
      <c r="J870" s="711">
        <v>42672.498691701388</v>
      </c>
      <c r="K870" s="711">
        <v>43040</v>
      </c>
      <c r="L870" t="s">
        <v>3220</v>
      </c>
      <c r="M870" t="s">
        <v>1280</v>
      </c>
      <c r="N870" t="s">
        <v>1280</v>
      </c>
      <c r="O870" t="s">
        <v>25</v>
      </c>
      <c r="P870" t="s">
        <v>88</v>
      </c>
      <c r="Q870" t="s">
        <v>285</v>
      </c>
      <c r="R870" t="s">
        <v>2636</v>
      </c>
      <c r="S870">
        <v>2500000</v>
      </c>
      <c r="T870">
        <v>135000000</v>
      </c>
      <c r="U870">
        <v>14208073.92</v>
      </c>
      <c r="Z870"/>
    </row>
    <row r="871" spans="1:26" x14ac:dyDescent="0.25">
      <c r="A871">
        <v>200535</v>
      </c>
      <c r="B871" t="s">
        <v>3224</v>
      </c>
      <c r="C871" t="s">
        <v>3237</v>
      </c>
      <c r="D871" t="s">
        <v>1282</v>
      </c>
      <c r="E871">
        <v>0</v>
      </c>
      <c r="F871" s="105">
        <v>525471.80000000005</v>
      </c>
      <c r="G871" t="s">
        <v>1447</v>
      </c>
      <c r="H871">
        <v>22858.02</v>
      </c>
      <c r="I871">
        <v>549118.03</v>
      </c>
      <c r="J871" s="711">
        <v>42674.474566400466</v>
      </c>
      <c r="K871" s="711">
        <v>43040</v>
      </c>
      <c r="L871" t="s">
        <v>3238</v>
      </c>
      <c r="M871" t="s">
        <v>1280</v>
      </c>
      <c r="N871" t="s">
        <v>3239</v>
      </c>
      <c r="O871" t="s">
        <v>25</v>
      </c>
      <c r="P871" t="s">
        <v>26</v>
      </c>
      <c r="Q871" t="s">
        <v>26</v>
      </c>
      <c r="R871" t="s">
        <v>2636</v>
      </c>
      <c r="S871">
        <v>5000000</v>
      </c>
      <c r="T871">
        <v>270000000</v>
      </c>
      <c r="U871">
        <v>28375477.199999999</v>
      </c>
      <c r="Z871"/>
    </row>
    <row r="872" spans="1:26" x14ac:dyDescent="0.25">
      <c r="A872">
        <v>200536</v>
      </c>
      <c r="B872" t="s">
        <v>3230</v>
      </c>
      <c r="C872" t="s">
        <v>3240</v>
      </c>
      <c r="D872" t="s">
        <v>1866</v>
      </c>
      <c r="E872">
        <v>0</v>
      </c>
      <c r="F872" s="105">
        <v>615512.16</v>
      </c>
      <c r="G872" t="s">
        <v>963</v>
      </c>
      <c r="H872">
        <v>23799.8</v>
      </c>
      <c r="I872">
        <v>640132.65</v>
      </c>
      <c r="J872" s="711">
        <v>42674.631944097222</v>
      </c>
      <c r="K872" s="711">
        <v>43040</v>
      </c>
      <c r="L872" t="s">
        <v>3241</v>
      </c>
      <c r="M872" t="s">
        <v>1280</v>
      </c>
      <c r="N872" t="s">
        <v>1280</v>
      </c>
      <c r="O872" t="s">
        <v>44</v>
      </c>
      <c r="P872" t="s">
        <v>75</v>
      </c>
      <c r="Q872" t="s">
        <v>26</v>
      </c>
      <c r="R872" t="s">
        <v>2636</v>
      </c>
      <c r="S872">
        <v>6000000</v>
      </c>
      <c r="T872">
        <v>288000000</v>
      </c>
      <c r="U872">
        <v>29544583.68</v>
      </c>
      <c r="Z872"/>
    </row>
    <row r="873" spans="1:26" x14ac:dyDescent="0.25">
      <c r="A873">
        <v>200539</v>
      </c>
      <c r="B873" t="s">
        <v>3223</v>
      </c>
      <c r="C873" t="s">
        <v>3242</v>
      </c>
      <c r="D873" t="s">
        <v>1282</v>
      </c>
      <c r="E873">
        <v>0</v>
      </c>
      <c r="F873" s="105">
        <v>630566.1</v>
      </c>
      <c r="G873" t="s">
        <v>2034</v>
      </c>
      <c r="H873">
        <v>27429.63</v>
      </c>
      <c r="I873">
        <v>658941.56999999995</v>
      </c>
      <c r="J873" s="711">
        <v>42674.793237152779</v>
      </c>
      <c r="K873" s="711">
        <v>43040</v>
      </c>
      <c r="L873" t="s">
        <v>3243</v>
      </c>
      <c r="M873" t="s">
        <v>1280</v>
      </c>
      <c r="N873" t="s">
        <v>3244</v>
      </c>
      <c r="O873" t="s">
        <v>27</v>
      </c>
      <c r="P873" t="s">
        <v>81</v>
      </c>
      <c r="Q873" t="s">
        <v>1831</v>
      </c>
      <c r="R873" t="s">
        <v>2636</v>
      </c>
      <c r="S873">
        <v>6000000</v>
      </c>
      <c r="T873">
        <v>324000000</v>
      </c>
      <c r="U873">
        <v>34050569.399999999</v>
      </c>
      <c r="Z873"/>
    </row>
    <row r="874" spans="1:26" x14ac:dyDescent="0.25">
      <c r="A874">
        <v>200541</v>
      </c>
      <c r="B874" t="s">
        <v>3232</v>
      </c>
      <c r="C874" t="s">
        <v>3247</v>
      </c>
      <c r="D874" t="s">
        <v>1284</v>
      </c>
      <c r="E874">
        <v>60</v>
      </c>
      <c r="F874" s="105">
        <v>10708766.49</v>
      </c>
      <c r="G874" t="s">
        <v>1467</v>
      </c>
      <c r="H874">
        <v>689696.67</v>
      </c>
      <c r="I874">
        <v>13776551.07</v>
      </c>
      <c r="J874" s="711">
        <v>42674.88020378472</v>
      </c>
      <c r="K874" s="711">
        <v>43405</v>
      </c>
      <c r="L874" t="s">
        <v>4108</v>
      </c>
      <c r="M874" t="s">
        <v>1280</v>
      </c>
      <c r="N874" t="s">
        <v>1280</v>
      </c>
      <c r="O874" t="s">
        <v>44</v>
      </c>
      <c r="P874" t="s">
        <v>75</v>
      </c>
      <c r="Q874" t="s">
        <v>26</v>
      </c>
      <c r="R874" t="s">
        <v>2636</v>
      </c>
      <c r="S874">
        <v>15000000</v>
      </c>
      <c r="T874">
        <v>600000000</v>
      </c>
      <c r="U874">
        <v>428350659.60000002</v>
      </c>
      <c r="Z874"/>
    </row>
    <row r="875" spans="1:26" x14ac:dyDescent="0.25">
      <c r="A875">
        <v>200545</v>
      </c>
      <c r="B875" t="s">
        <v>3229</v>
      </c>
      <c r="C875" t="s">
        <v>3251</v>
      </c>
      <c r="D875" t="s">
        <v>1282</v>
      </c>
      <c r="E875">
        <v>30</v>
      </c>
      <c r="F875" s="105">
        <v>635562.06999999995</v>
      </c>
      <c r="G875" t="s">
        <v>90</v>
      </c>
      <c r="H875">
        <v>22858.02</v>
      </c>
      <c r="I875">
        <v>659208.30000000005</v>
      </c>
      <c r="J875" s="711">
        <v>42674.934417789351</v>
      </c>
      <c r="K875" s="711">
        <v>43040</v>
      </c>
      <c r="L875" t="s">
        <v>3252</v>
      </c>
      <c r="M875" t="s">
        <v>1280</v>
      </c>
      <c r="N875" t="s">
        <v>3253</v>
      </c>
      <c r="O875" t="s">
        <v>44</v>
      </c>
      <c r="P875" t="s">
        <v>75</v>
      </c>
      <c r="Q875" t="s">
        <v>26</v>
      </c>
      <c r="R875" t="s">
        <v>2636</v>
      </c>
      <c r="S875">
        <v>5000000</v>
      </c>
      <c r="T875">
        <v>270000000</v>
      </c>
      <c r="U875">
        <v>34320351.780000001</v>
      </c>
      <c r="Z875"/>
    </row>
    <row r="876" spans="1:26" x14ac:dyDescent="0.25">
      <c r="A876">
        <v>200551</v>
      </c>
      <c r="B876" t="s">
        <v>3261</v>
      </c>
      <c r="C876" t="s">
        <v>3265</v>
      </c>
      <c r="D876" t="s">
        <v>1282</v>
      </c>
      <c r="E876">
        <v>179</v>
      </c>
      <c r="F876" s="105">
        <v>1250308.6100000001</v>
      </c>
      <c r="G876" t="s">
        <v>3074</v>
      </c>
      <c r="H876">
        <v>75740.41</v>
      </c>
      <c r="I876">
        <v>1346912.58</v>
      </c>
      <c r="J876" s="711">
        <v>42676.657568483795</v>
      </c>
      <c r="K876" s="711">
        <v>42918</v>
      </c>
      <c r="L876" t="s">
        <v>3266</v>
      </c>
      <c r="M876" t="s">
        <v>1280</v>
      </c>
      <c r="N876" t="s">
        <v>3267</v>
      </c>
      <c r="O876" t="s">
        <v>46</v>
      </c>
      <c r="P876" t="s">
        <v>46</v>
      </c>
      <c r="Q876" t="s">
        <v>1812</v>
      </c>
      <c r="R876" t="s">
        <v>2636</v>
      </c>
      <c r="S876">
        <v>3000000</v>
      </c>
      <c r="T876">
        <v>162000000</v>
      </c>
      <c r="U876">
        <v>67516664.939999998</v>
      </c>
      <c r="Z876"/>
    </row>
    <row r="877" spans="1:26" x14ac:dyDescent="0.25">
      <c r="A877">
        <v>200553</v>
      </c>
      <c r="B877" t="s">
        <v>3269</v>
      </c>
      <c r="C877" t="s">
        <v>3280</v>
      </c>
      <c r="D877" t="s">
        <v>1282</v>
      </c>
      <c r="E877">
        <v>-2</v>
      </c>
      <c r="F877" s="105">
        <v>1574155.82</v>
      </c>
      <c r="G877" t="s">
        <v>1448</v>
      </c>
      <c r="H877">
        <v>63753.31</v>
      </c>
      <c r="I877">
        <v>1644992.83</v>
      </c>
      <c r="J877" s="711">
        <v>42677.678876076388</v>
      </c>
      <c r="K877" s="711">
        <v>43042</v>
      </c>
      <c r="L877" t="s">
        <v>3281</v>
      </c>
      <c r="M877" t="s">
        <v>1280</v>
      </c>
      <c r="N877" t="s">
        <v>3282</v>
      </c>
      <c r="O877" t="s">
        <v>25</v>
      </c>
      <c r="P877" t="s">
        <v>289</v>
      </c>
      <c r="Q877" t="s">
        <v>1771</v>
      </c>
      <c r="R877" t="s">
        <v>2636</v>
      </c>
      <c r="S877">
        <v>15000000</v>
      </c>
      <c r="T877">
        <v>810000000</v>
      </c>
      <c r="U877">
        <v>85004414.280000001</v>
      </c>
      <c r="Z877"/>
    </row>
    <row r="878" spans="1:26" x14ac:dyDescent="0.25">
      <c r="A878">
        <v>200555</v>
      </c>
      <c r="B878" t="s">
        <v>3271</v>
      </c>
      <c r="C878" t="s">
        <v>3283</v>
      </c>
      <c r="D878" t="s">
        <v>1279</v>
      </c>
      <c r="E878">
        <v>146</v>
      </c>
      <c r="F878" s="105">
        <v>1985438.27</v>
      </c>
      <c r="G878" t="s">
        <v>1467</v>
      </c>
      <c r="H878">
        <v>165387.94</v>
      </c>
      <c r="I878">
        <v>2309601.42</v>
      </c>
      <c r="J878" s="711">
        <v>42677.750233449071</v>
      </c>
      <c r="K878" s="711">
        <v>43044</v>
      </c>
      <c r="L878" t="s">
        <v>3284</v>
      </c>
      <c r="M878" t="s">
        <v>1280</v>
      </c>
      <c r="N878" t="s">
        <v>3285</v>
      </c>
      <c r="O878" t="s">
        <v>44</v>
      </c>
      <c r="P878" t="s">
        <v>75</v>
      </c>
      <c r="Q878" t="s">
        <v>1442</v>
      </c>
      <c r="R878" t="s">
        <v>2636</v>
      </c>
      <c r="S878">
        <v>3500000</v>
      </c>
      <c r="T878">
        <v>189000000</v>
      </c>
      <c r="U878">
        <v>107213666.58</v>
      </c>
      <c r="Z878"/>
    </row>
    <row r="879" spans="1:26" x14ac:dyDescent="0.25">
      <c r="A879">
        <v>200557</v>
      </c>
      <c r="B879" t="s">
        <v>3289</v>
      </c>
      <c r="C879" t="s">
        <v>3291</v>
      </c>
      <c r="D879" t="s">
        <v>1282</v>
      </c>
      <c r="E879">
        <v>116</v>
      </c>
      <c r="F879" s="105">
        <v>1444296.02</v>
      </c>
      <c r="G879" t="s">
        <v>1039</v>
      </c>
      <c r="H879">
        <v>116335.97</v>
      </c>
      <c r="I879">
        <v>1644992.78</v>
      </c>
      <c r="J879" s="711">
        <v>42679.429257060183</v>
      </c>
      <c r="K879" s="711">
        <v>43044</v>
      </c>
      <c r="L879" t="s">
        <v>3292</v>
      </c>
      <c r="M879" t="s">
        <v>1280</v>
      </c>
      <c r="N879" t="s">
        <v>1280</v>
      </c>
      <c r="O879" t="s">
        <v>25</v>
      </c>
      <c r="P879" t="s">
        <v>32</v>
      </c>
      <c r="Q879" t="s">
        <v>517</v>
      </c>
      <c r="R879" t="s">
        <v>2636</v>
      </c>
      <c r="S879">
        <v>3000000</v>
      </c>
      <c r="T879">
        <v>162000000</v>
      </c>
      <c r="U879">
        <v>77991985.079999998</v>
      </c>
      <c r="Z879"/>
    </row>
    <row r="880" spans="1:26" x14ac:dyDescent="0.25">
      <c r="A880">
        <v>200561</v>
      </c>
      <c r="B880" t="s">
        <v>3290</v>
      </c>
      <c r="C880" t="s">
        <v>3293</v>
      </c>
      <c r="D880" t="s">
        <v>1279</v>
      </c>
      <c r="E880">
        <v>-4</v>
      </c>
      <c r="F880" s="105">
        <v>524718.64</v>
      </c>
      <c r="G880" t="s">
        <v>2861</v>
      </c>
      <c r="H880">
        <v>19676.95</v>
      </c>
      <c r="I880">
        <v>548330.98</v>
      </c>
      <c r="J880" s="711">
        <v>42679.550301192132</v>
      </c>
      <c r="K880" s="711">
        <v>43044</v>
      </c>
      <c r="L880" t="s">
        <v>3294</v>
      </c>
      <c r="M880" t="s">
        <v>1280</v>
      </c>
      <c r="N880" t="s">
        <v>1280</v>
      </c>
      <c r="O880" t="s">
        <v>25</v>
      </c>
      <c r="P880" t="s">
        <v>88</v>
      </c>
      <c r="Q880" t="s">
        <v>285</v>
      </c>
      <c r="R880" t="s">
        <v>2636</v>
      </c>
      <c r="S880">
        <v>5000000</v>
      </c>
      <c r="T880">
        <v>270000000</v>
      </c>
      <c r="U880">
        <v>28334806.559999999</v>
      </c>
      <c r="Z880"/>
    </row>
    <row r="881" spans="1:26" x14ac:dyDescent="0.25">
      <c r="A881">
        <v>200563</v>
      </c>
      <c r="B881" t="s">
        <v>3036</v>
      </c>
      <c r="C881" t="s">
        <v>3043</v>
      </c>
      <c r="D881" t="s">
        <v>1284</v>
      </c>
      <c r="E881">
        <v>-9</v>
      </c>
      <c r="F881" s="105">
        <v>51843235.170000002</v>
      </c>
      <c r="G881" t="s">
        <v>546</v>
      </c>
      <c r="H881">
        <v>1036864.7</v>
      </c>
      <c r="I881">
        <v>74431165.659999996</v>
      </c>
      <c r="J881" s="711">
        <v>42684.534706018516</v>
      </c>
      <c r="K881" s="711">
        <v>43779</v>
      </c>
      <c r="L881" t="s">
        <v>3044</v>
      </c>
      <c r="M881" t="s">
        <v>1280</v>
      </c>
      <c r="N881" t="s">
        <v>1280</v>
      </c>
      <c r="O881" t="s">
        <v>44</v>
      </c>
      <c r="P881" t="s">
        <v>75</v>
      </c>
      <c r="Q881" t="s">
        <v>26</v>
      </c>
      <c r="R881" t="s">
        <v>2856</v>
      </c>
      <c r="S881">
        <v>65000000</v>
      </c>
      <c r="T881">
        <v>2340000000</v>
      </c>
      <c r="U881">
        <v>1866356466.1199999</v>
      </c>
      <c r="Z881"/>
    </row>
    <row r="882" spans="1:26" x14ac:dyDescent="0.25">
      <c r="A882">
        <v>200564</v>
      </c>
      <c r="B882" t="s">
        <v>2084</v>
      </c>
      <c r="C882" t="s">
        <v>2091</v>
      </c>
      <c r="D882" t="s">
        <v>1284</v>
      </c>
      <c r="E882">
        <v>-9</v>
      </c>
      <c r="F882" s="105">
        <v>21978832.079999998</v>
      </c>
      <c r="G882" t="s">
        <v>1667</v>
      </c>
      <c r="H882">
        <v>439576.64</v>
      </c>
      <c r="I882">
        <v>26866574.23</v>
      </c>
      <c r="J882" s="711">
        <v>42684.633021678237</v>
      </c>
      <c r="K882" s="711">
        <v>43414</v>
      </c>
      <c r="L882" t="s">
        <v>2092</v>
      </c>
      <c r="M882" t="s">
        <v>1280</v>
      </c>
      <c r="N882" t="s">
        <v>1280</v>
      </c>
      <c r="O882" t="s">
        <v>44</v>
      </c>
      <c r="P882" t="s">
        <v>75</v>
      </c>
      <c r="Q882" t="s">
        <v>26</v>
      </c>
      <c r="R882" t="s">
        <v>2856</v>
      </c>
      <c r="S882">
        <v>35000000</v>
      </c>
      <c r="T882">
        <v>1260000000</v>
      </c>
      <c r="U882">
        <v>791237954.88</v>
      </c>
      <c r="Z882"/>
    </row>
    <row r="883" spans="1:26" x14ac:dyDescent="0.25">
      <c r="A883">
        <v>200567</v>
      </c>
      <c r="B883" t="s">
        <v>3314</v>
      </c>
      <c r="C883" t="s">
        <v>3321</v>
      </c>
      <c r="D883" t="s">
        <v>1281</v>
      </c>
      <c r="E883">
        <v>-9</v>
      </c>
      <c r="F883" s="105">
        <v>14223668.26</v>
      </c>
      <c r="G883" t="s">
        <v>468</v>
      </c>
      <c r="H883">
        <v>379297.82</v>
      </c>
      <c r="I883">
        <v>16588598.970000001</v>
      </c>
      <c r="J883" s="711">
        <v>42684.672505821756</v>
      </c>
      <c r="K883" s="711">
        <v>43230</v>
      </c>
      <c r="L883" t="s">
        <v>3322</v>
      </c>
      <c r="M883" t="s">
        <v>1280</v>
      </c>
      <c r="N883" t="s">
        <v>3323</v>
      </c>
      <c r="O883" t="s">
        <v>45</v>
      </c>
      <c r="P883" t="s">
        <v>45</v>
      </c>
      <c r="Q883" t="s">
        <v>89</v>
      </c>
      <c r="R883" t="s">
        <v>2856</v>
      </c>
      <c r="S883">
        <v>30000000</v>
      </c>
      <c r="T883">
        <v>1440000000</v>
      </c>
      <c r="U883">
        <v>682736076.48000002</v>
      </c>
      <c r="Z883"/>
    </row>
    <row r="884" spans="1:26" x14ac:dyDescent="0.25">
      <c r="A884">
        <v>200568</v>
      </c>
      <c r="B884" t="s">
        <v>3313</v>
      </c>
      <c r="C884" t="s">
        <v>3324</v>
      </c>
      <c r="D884" t="s">
        <v>1866</v>
      </c>
      <c r="E884">
        <v>-9</v>
      </c>
      <c r="F884" s="105">
        <v>1032817.1</v>
      </c>
      <c r="G884" t="s">
        <v>2538</v>
      </c>
      <c r="H884">
        <v>28689.360000000001</v>
      </c>
      <c r="I884">
        <v>1075851.1499999999</v>
      </c>
      <c r="J884" s="711">
        <v>42684.709654513892</v>
      </c>
      <c r="K884" s="711">
        <v>43049</v>
      </c>
      <c r="L884" t="s">
        <v>3325</v>
      </c>
      <c r="M884" t="s">
        <v>1280</v>
      </c>
      <c r="N884" t="s">
        <v>3326</v>
      </c>
      <c r="O884" t="s">
        <v>44</v>
      </c>
      <c r="P884" t="s">
        <v>75</v>
      </c>
      <c r="Q884" t="s">
        <v>1442</v>
      </c>
      <c r="R884" t="s">
        <v>2636</v>
      </c>
      <c r="S884">
        <v>10000000</v>
      </c>
      <c r="T884">
        <v>500000000</v>
      </c>
      <c r="U884">
        <v>51640855</v>
      </c>
      <c r="Z884"/>
    </row>
    <row r="885" spans="1:26" x14ac:dyDescent="0.25">
      <c r="A885">
        <v>200569</v>
      </c>
      <c r="B885" t="s">
        <v>3329</v>
      </c>
      <c r="C885" t="s">
        <v>3338</v>
      </c>
      <c r="D885" t="s">
        <v>1279</v>
      </c>
      <c r="E885">
        <v>-10</v>
      </c>
      <c r="F885" s="105">
        <v>209887.4</v>
      </c>
      <c r="G885" t="s">
        <v>1467</v>
      </c>
      <c r="H885">
        <v>5981.79</v>
      </c>
      <c r="I885">
        <v>219332.33</v>
      </c>
      <c r="J885" s="711">
        <v>42685.576619756946</v>
      </c>
      <c r="K885" s="711">
        <v>43050</v>
      </c>
      <c r="L885" t="s">
        <v>3339</v>
      </c>
      <c r="M885" t="s">
        <v>1280</v>
      </c>
      <c r="N885" t="s">
        <v>1280</v>
      </c>
      <c r="O885" t="s">
        <v>44</v>
      </c>
      <c r="P885" t="s">
        <v>75</v>
      </c>
      <c r="Q885" t="s">
        <v>1442</v>
      </c>
      <c r="R885" t="s">
        <v>2636</v>
      </c>
      <c r="S885">
        <v>2000000</v>
      </c>
      <c r="T885">
        <v>108000000</v>
      </c>
      <c r="U885">
        <v>11333919.6</v>
      </c>
      <c r="Z885"/>
    </row>
    <row r="886" spans="1:26" x14ac:dyDescent="0.25">
      <c r="A886">
        <v>200570</v>
      </c>
      <c r="B886" t="s">
        <v>3327</v>
      </c>
      <c r="C886" t="s">
        <v>3340</v>
      </c>
      <c r="D886" t="s">
        <v>1866</v>
      </c>
      <c r="E886">
        <v>-10</v>
      </c>
      <c r="F886" s="105">
        <v>722972</v>
      </c>
      <c r="G886" t="s">
        <v>1925</v>
      </c>
      <c r="H886">
        <v>71486.210000000006</v>
      </c>
      <c r="I886">
        <v>753095.83</v>
      </c>
      <c r="J886" s="711">
        <v>42685.629395173608</v>
      </c>
      <c r="K886" s="711">
        <v>43050</v>
      </c>
      <c r="L886" t="s">
        <v>3341</v>
      </c>
      <c r="M886" t="s">
        <v>1280</v>
      </c>
      <c r="N886" t="s">
        <v>3342</v>
      </c>
      <c r="O886" t="s">
        <v>36</v>
      </c>
      <c r="P886" t="s">
        <v>97</v>
      </c>
      <c r="Q886" t="s">
        <v>98</v>
      </c>
      <c r="R886" t="s">
        <v>2636</v>
      </c>
      <c r="S886">
        <v>7000000</v>
      </c>
      <c r="T886">
        <v>350000000</v>
      </c>
      <c r="U886">
        <v>36148600</v>
      </c>
      <c r="Z886"/>
    </row>
    <row r="887" spans="1:26" x14ac:dyDescent="0.25">
      <c r="A887">
        <v>200572</v>
      </c>
      <c r="B887" t="s">
        <v>3349</v>
      </c>
      <c r="C887" t="s">
        <v>3355</v>
      </c>
      <c r="D887" t="s">
        <v>1284</v>
      </c>
      <c r="E887">
        <v>139</v>
      </c>
      <c r="F887" s="105">
        <v>6432897.4900000002</v>
      </c>
      <c r="G887" t="s">
        <v>3074</v>
      </c>
      <c r="H887">
        <v>209173.61</v>
      </c>
      <c r="I887">
        <v>8479221.2599999998</v>
      </c>
      <c r="J887" s="711">
        <v>42686.51169861111</v>
      </c>
      <c r="K887" s="711">
        <v>43416</v>
      </c>
      <c r="L887" t="s">
        <v>3356</v>
      </c>
      <c r="M887" t="s">
        <v>1280</v>
      </c>
      <c r="N887" t="s">
        <v>3357</v>
      </c>
      <c r="O887" t="s">
        <v>44</v>
      </c>
      <c r="P887" t="s">
        <v>75</v>
      </c>
      <c r="Q887" t="s">
        <v>1442</v>
      </c>
      <c r="R887" t="s">
        <v>2636</v>
      </c>
      <c r="S887">
        <v>8000000</v>
      </c>
      <c r="T887">
        <v>320000000</v>
      </c>
      <c r="U887">
        <v>257315899.59999999</v>
      </c>
      <c r="Z887"/>
    </row>
    <row r="888" spans="1:26" x14ac:dyDescent="0.25">
      <c r="A888">
        <v>200573</v>
      </c>
      <c r="B888" t="s">
        <v>1762</v>
      </c>
      <c r="C888" t="s">
        <v>1763</v>
      </c>
      <c r="D888" t="s">
        <v>1281</v>
      </c>
      <c r="E888">
        <v>-11</v>
      </c>
      <c r="F888" s="105">
        <v>7417366.5800000001</v>
      </c>
      <c r="G888" t="s">
        <v>1667</v>
      </c>
      <c r="H888">
        <v>155764.70000000001</v>
      </c>
      <c r="I888">
        <v>8491486.25</v>
      </c>
      <c r="J888" s="711">
        <v>42686.532003125001</v>
      </c>
      <c r="K888" s="711">
        <v>43232</v>
      </c>
      <c r="L888" t="s">
        <v>1764</v>
      </c>
      <c r="M888" t="s">
        <v>1836</v>
      </c>
      <c r="N888" t="s">
        <v>1280</v>
      </c>
      <c r="O888" t="s">
        <v>25</v>
      </c>
      <c r="P888" t="s">
        <v>26</v>
      </c>
      <c r="Q888" t="s">
        <v>26</v>
      </c>
      <c r="R888" t="s">
        <v>2856</v>
      </c>
      <c r="S888">
        <v>16000000</v>
      </c>
      <c r="T888">
        <v>672000000</v>
      </c>
      <c r="U888">
        <v>311529396.36000001</v>
      </c>
      <c r="Z888"/>
    </row>
    <row r="889" spans="1:26" x14ac:dyDescent="0.25">
      <c r="A889">
        <v>200574</v>
      </c>
      <c r="B889" t="s">
        <v>3348</v>
      </c>
      <c r="C889" t="s">
        <v>3358</v>
      </c>
      <c r="D889" t="s">
        <v>1284</v>
      </c>
      <c r="E889">
        <v>-11</v>
      </c>
      <c r="F889" s="105">
        <v>5924811.1699999999</v>
      </c>
      <c r="G889" t="s">
        <v>2175</v>
      </c>
      <c r="H889">
        <v>118496.22</v>
      </c>
      <c r="I889">
        <v>8092773.0499999998</v>
      </c>
      <c r="J889" s="711">
        <v>42686.558729282406</v>
      </c>
      <c r="K889" s="711">
        <v>43597</v>
      </c>
      <c r="L889" t="s">
        <v>3359</v>
      </c>
      <c r="M889" t="s">
        <v>1280</v>
      </c>
      <c r="N889" t="s">
        <v>3360</v>
      </c>
      <c r="O889" t="s">
        <v>44</v>
      </c>
      <c r="P889" t="s">
        <v>75</v>
      </c>
      <c r="Q889" t="s">
        <v>1442</v>
      </c>
      <c r="R889" t="s">
        <v>2636</v>
      </c>
      <c r="S889">
        <v>8000000</v>
      </c>
      <c r="T889">
        <v>320000000</v>
      </c>
      <c r="U889">
        <v>236992446.80000001</v>
      </c>
      <c r="Z889"/>
    </row>
    <row r="890" spans="1:26" x14ac:dyDescent="0.25">
      <c r="A890">
        <v>200576</v>
      </c>
      <c r="B890" t="s">
        <v>3346</v>
      </c>
      <c r="C890" t="s">
        <v>3361</v>
      </c>
      <c r="D890" t="s">
        <v>1279</v>
      </c>
      <c r="E890">
        <v>19</v>
      </c>
      <c r="F890" s="105">
        <v>1026841.7</v>
      </c>
      <c r="G890" t="s">
        <v>2861</v>
      </c>
      <c r="H890">
        <v>60375.28</v>
      </c>
      <c r="I890">
        <v>1096661.92</v>
      </c>
      <c r="J890" s="711">
        <v>42686.587221296293</v>
      </c>
      <c r="K890" s="711">
        <v>43051</v>
      </c>
      <c r="L890" t="s">
        <v>3362</v>
      </c>
      <c r="M890" t="s">
        <v>1280</v>
      </c>
      <c r="N890" t="s">
        <v>3363</v>
      </c>
      <c r="O890" t="s">
        <v>25</v>
      </c>
      <c r="P890" t="s">
        <v>26</v>
      </c>
      <c r="Q890" t="s">
        <v>26</v>
      </c>
      <c r="R890" t="s">
        <v>2636</v>
      </c>
      <c r="S890">
        <v>5000000</v>
      </c>
      <c r="T890">
        <v>270000000</v>
      </c>
      <c r="U890">
        <v>55449451.799999997</v>
      </c>
      <c r="Z890"/>
    </row>
    <row r="891" spans="1:26" x14ac:dyDescent="0.25">
      <c r="A891">
        <v>200584</v>
      </c>
      <c r="B891" t="s">
        <v>3394</v>
      </c>
      <c r="C891" t="s">
        <v>3409</v>
      </c>
      <c r="D891" t="s">
        <v>1284</v>
      </c>
      <c r="E891">
        <v>14</v>
      </c>
      <c r="F891" s="105">
        <v>53818485.340000004</v>
      </c>
      <c r="G891" t="s">
        <v>4684</v>
      </c>
      <c r="H891">
        <v>2481134.0699999998</v>
      </c>
      <c r="I891">
        <v>80133873.329999998</v>
      </c>
      <c r="J891" s="711">
        <v>42691.642452662039</v>
      </c>
      <c r="K891" s="711">
        <v>43786</v>
      </c>
      <c r="L891" t="s">
        <v>3410</v>
      </c>
      <c r="M891" t="s">
        <v>1280</v>
      </c>
      <c r="N891" t="s">
        <v>3411</v>
      </c>
      <c r="O891" t="s">
        <v>31</v>
      </c>
      <c r="P891" t="s">
        <v>416</v>
      </c>
      <c r="Q891" t="s">
        <v>518</v>
      </c>
      <c r="R891" t="s">
        <v>2636</v>
      </c>
      <c r="S891">
        <v>65000000</v>
      </c>
      <c r="T891">
        <v>2600000000</v>
      </c>
      <c r="U891">
        <v>2152739413.5999999</v>
      </c>
      <c r="Z891"/>
    </row>
    <row r="892" spans="1:26" x14ac:dyDescent="0.25">
      <c r="A892">
        <v>200585</v>
      </c>
      <c r="B892" t="s">
        <v>3396</v>
      </c>
      <c r="C892" t="s">
        <v>3412</v>
      </c>
      <c r="D892" t="s">
        <v>1279</v>
      </c>
      <c r="E892">
        <v>164</v>
      </c>
      <c r="F892" s="105">
        <v>391007.09</v>
      </c>
      <c r="G892" t="s">
        <v>963</v>
      </c>
      <c r="H892">
        <v>12350.28</v>
      </c>
      <c r="I892">
        <v>410311.89</v>
      </c>
      <c r="J892" s="711">
        <v>42691.705971793985</v>
      </c>
      <c r="K892" s="711">
        <v>42933</v>
      </c>
      <c r="L892" t="s">
        <v>3413</v>
      </c>
      <c r="M892" t="s">
        <v>1280</v>
      </c>
      <c r="N892" t="s">
        <v>1280</v>
      </c>
      <c r="O892" t="s">
        <v>25</v>
      </c>
      <c r="P892" t="s">
        <v>88</v>
      </c>
      <c r="Q892" t="s">
        <v>285</v>
      </c>
      <c r="R892" t="s">
        <v>2636</v>
      </c>
      <c r="S892">
        <v>1000000</v>
      </c>
      <c r="T892">
        <v>54000000</v>
      </c>
      <c r="U892">
        <v>21114382.859999999</v>
      </c>
      <c r="Z892"/>
    </row>
    <row r="893" spans="1:26" x14ac:dyDescent="0.25">
      <c r="A893">
        <v>200589</v>
      </c>
      <c r="B893" t="s">
        <v>3402</v>
      </c>
      <c r="C893" t="s">
        <v>3421</v>
      </c>
      <c r="D893" t="s">
        <v>1282</v>
      </c>
      <c r="E893">
        <v>-16</v>
      </c>
      <c r="F893" s="105">
        <v>629662.35</v>
      </c>
      <c r="G893" t="s">
        <v>2861</v>
      </c>
      <c r="H893">
        <v>12278.42</v>
      </c>
      <c r="I893">
        <v>657997.16</v>
      </c>
      <c r="J893" s="711">
        <v>42691.700877280091</v>
      </c>
      <c r="K893" s="711">
        <v>43056</v>
      </c>
      <c r="L893" t="s">
        <v>3422</v>
      </c>
      <c r="M893" t="s">
        <v>1280</v>
      </c>
      <c r="N893" t="s">
        <v>1280</v>
      </c>
      <c r="O893" t="s">
        <v>46</v>
      </c>
      <c r="P893" t="s">
        <v>46</v>
      </c>
      <c r="Q893" t="s">
        <v>844</v>
      </c>
      <c r="R893" t="s">
        <v>2636</v>
      </c>
      <c r="S893">
        <v>6000000</v>
      </c>
      <c r="T893">
        <v>324000000</v>
      </c>
      <c r="U893">
        <v>34001766.899999999</v>
      </c>
      <c r="Z893"/>
    </row>
    <row r="894" spans="1:26" x14ac:dyDescent="0.25">
      <c r="A894">
        <v>200592</v>
      </c>
      <c r="B894" t="s">
        <v>3398</v>
      </c>
      <c r="C894" t="s">
        <v>3423</v>
      </c>
      <c r="D894" t="s">
        <v>1279</v>
      </c>
      <c r="E894">
        <v>-16</v>
      </c>
      <c r="F894" s="105">
        <v>314831.09999999998</v>
      </c>
      <c r="G894" t="s">
        <v>4684</v>
      </c>
      <c r="H894">
        <v>6139.21</v>
      </c>
      <c r="I894">
        <v>328998.5</v>
      </c>
      <c r="J894" s="711">
        <v>42691.754474155096</v>
      </c>
      <c r="K894" s="711">
        <v>43056</v>
      </c>
      <c r="L894" t="s">
        <v>3424</v>
      </c>
      <c r="M894" t="s">
        <v>1280</v>
      </c>
      <c r="N894" t="s">
        <v>1280</v>
      </c>
      <c r="O894" t="s">
        <v>44</v>
      </c>
      <c r="P894" t="s">
        <v>75</v>
      </c>
      <c r="Q894" t="s">
        <v>1442</v>
      </c>
      <c r="R894" t="s">
        <v>2636</v>
      </c>
      <c r="S894">
        <v>3000000</v>
      </c>
      <c r="T894">
        <v>162000000</v>
      </c>
      <c r="U894">
        <v>17000879.399999999</v>
      </c>
      <c r="Z894"/>
    </row>
    <row r="895" spans="1:26" x14ac:dyDescent="0.25">
      <c r="A895">
        <v>200593</v>
      </c>
      <c r="B895" t="s">
        <v>3425</v>
      </c>
      <c r="C895" t="s">
        <v>3430</v>
      </c>
      <c r="D895" t="s">
        <v>1281</v>
      </c>
      <c r="E895">
        <v>-17</v>
      </c>
      <c r="F895" s="105">
        <v>10478832.02</v>
      </c>
      <c r="G895" t="s">
        <v>2538</v>
      </c>
      <c r="H895">
        <v>167661.31</v>
      </c>
      <c r="I895">
        <v>13642060.92</v>
      </c>
      <c r="J895" s="711">
        <v>42692.404183483799</v>
      </c>
      <c r="K895" s="711">
        <v>43422</v>
      </c>
      <c r="L895" t="s">
        <v>3431</v>
      </c>
      <c r="M895" t="s">
        <v>1280</v>
      </c>
      <c r="N895" t="s">
        <v>1280</v>
      </c>
      <c r="O895" t="s">
        <v>36</v>
      </c>
      <c r="P895" t="s">
        <v>26</v>
      </c>
      <c r="Q895" t="s">
        <v>26</v>
      </c>
      <c r="R895" t="s">
        <v>2856</v>
      </c>
      <c r="S895">
        <v>16000000</v>
      </c>
      <c r="T895">
        <v>768000000</v>
      </c>
      <c r="U895">
        <v>502983936.95999998</v>
      </c>
      <c r="Z895"/>
    </row>
    <row r="896" spans="1:26" x14ac:dyDescent="0.25">
      <c r="A896">
        <v>200594</v>
      </c>
      <c r="B896" t="s">
        <v>3429</v>
      </c>
      <c r="C896" t="s">
        <v>3432</v>
      </c>
      <c r="D896" t="s">
        <v>1282</v>
      </c>
      <c r="E896">
        <v>13</v>
      </c>
      <c r="F896" s="105">
        <v>510101.47</v>
      </c>
      <c r="G896" t="s">
        <v>1039</v>
      </c>
      <c r="H896">
        <v>7555.95</v>
      </c>
      <c r="I896">
        <v>528991.34</v>
      </c>
      <c r="J896" s="711">
        <v>42692.537619409719</v>
      </c>
      <c r="K896" s="711">
        <v>43057</v>
      </c>
      <c r="L896" t="s">
        <v>3433</v>
      </c>
      <c r="M896" t="s">
        <v>1280</v>
      </c>
      <c r="N896" t="s">
        <v>3434</v>
      </c>
      <c r="O896" t="s">
        <v>44</v>
      </c>
      <c r="P896" t="s">
        <v>75</v>
      </c>
      <c r="Q896" t="s">
        <v>26</v>
      </c>
      <c r="R896" t="s">
        <v>2636</v>
      </c>
      <c r="S896">
        <v>4000000</v>
      </c>
      <c r="T896">
        <v>216000000</v>
      </c>
      <c r="U896">
        <v>27545479.379999999</v>
      </c>
      <c r="Z896"/>
    </row>
    <row r="897" spans="1:26" x14ac:dyDescent="0.25">
      <c r="A897">
        <v>200598</v>
      </c>
      <c r="B897" t="s">
        <v>3428</v>
      </c>
      <c r="C897" t="s">
        <v>3438</v>
      </c>
      <c r="D897" t="s">
        <v>1283</v>
      </c>
      <c r="E897">
        <v>-18</v>
      </c>
      <c r="F897" s="105">
        <v>38224299.57</v>
      </c>
      <c r="G897" t="s">
        <v>1448</v>
      </c>
      <c r="H897">
        <v>467185.88</v>
      </c>
      <c r="I897">
        <v>47726433.759999998</v>
      </c>
      <c r="J897" s="711">
        <v>42693.53923159722</v>
      </c>
      <c r="K897" s="711">
        <v>43423</v>
      </c>
      <c r="L897" t="s">
        <v>3439</v>
      </c>
      <c r="M897" t="s">
        <v>1280</v>
      </c>
      <c r="N897" t="s">
        <v>3440</v>
      </c>
      <c r="O897" t="s">
        <v>44</v>
      </c>
      <c r="P897" t="s">
        <v>75</v>
      </c>
      <c r="Q897" t="s">
        <v>1442</v>
      </c>
      <c r="R897" t="s">
        <v>2636</v>
      </c>
      <c r="S897">
        <v>60000000</v>
      </c>
      <c r="T897">
        <v>2400000000</v>
      </c>
      <c r="U897">
        <v>1528971982.8</v>
      </c>
      <c r="Z897"/>
    </row>
    <row r="898" spans="1:26" x14ac:dyDescent="0.25">
      <c r="A898">
        <v>200601</v>
      </c>
      <c r="B898" t="s">
        <v>2007</v>
      </c>
      <c r="C898" t="s">
        <v>2008</v>
      </c>
      <c r="D898" t="s">
        <v>1866</v>
      </c>
      <c r="E898">
        <v>-20</v>
      </c>
      <c r="F898" s="105">
        <v>705637.58</v>
      </c>
      <c r="G898" t="s">
        <v>1667</v>
      </c>
      <c r="H898">
        <v>7762.01</v>
      </c>
      <c r="I898">
        <v>731510.96</v>
      </c>
      <c r="J898" s="711">
        <v>42695.688144560183</v>
      </c>
      <c r="K898" s="711">
        <v>43060</v>
      </c>
      <c r="L898" t="s">
        <v>2009</v>
      </c>
      <c r="M898" t="s">
        <v>1280</v>
      </c>
      <c r="N898" t="s">
        <v>1280</v>
      </c>
      <c r="O898" t="s">
        <v>44</v>
      </c>
      <c r="P898" t="s">
        <v>75</v>
      </c>
      <c r="Q898" t="s">
        <v>26</v>
      </c>
      <c r="R898" t="s">
        <v>2856</v>
      </c>
      <c r="S898">
        <v>7000000</v>
      </c>
      <c r="T898">
        <v>308000000</v>
      </c>
      <c r="U898">
        <v>31048053.52</v>
      </c>
      <c r="Z898"/>
    </row>
    <row r="899" spans="1:26" x14ac:dyDescent="0.25">
      <c r="A899">
        <v>200603</v>
      </c>
      <c r="B899" t="s">
        <v>3451</v>
      </c>
      <c r="C899" t="s">
        <v>3453</v>
      </c>
      <c r="D899" t="s">
        <v>1282</v>
      </c>
      <c r="E899">
        <v>158</v>
      </c>
      <c r="F899" s="105">
        <v>3231150.28</v>
      </c>
      <c r="G899" t="s">
        <v>1467</v>
      </c>
      <c r="H899">
        <v>263616.99</v>
      </c>
      <c r="I899">
        <v>3833504.23</v>
      </c>
      <c r="J899" s="711">
        <v>42697.471511377313</v>
      </c>
      <c r="K899" s="711">
        <v>43062</v>
      </c>
      <c r="L899" t="s">
        <v>3454</v>
      </c>
      <c r="M899" t="s">
        <v>1280</v>
      </c>
      <c r="N899" t="s">
        <v>1280</v>
      </c>
      <c r="O899" t="s">
        <v>44</v>
      </c>
      <c r="P899" t="s">
        <v>75</v>
      </c>
      <c r="Q899" t="s">
        <v>1442</v>
      </c>
      <c r="R899" t="s">
        <v>2636</v>
      </c>
      <c r="S899">
        <v>5000000</v>
      </c>
      <c r="T899">
        <v>270000000</v>
      </c>
      <c r="U899">
        <v>174482115.12</v>
      </c>
      <c r="Z899"/>
    </row>
    <row r="900" spans="1:26" x14ac:dyDescent="0.25">
      <c r="A900">
        <v>200607</v>
      </c>
      <c r="B900" t="s">
        <v>3450</v>
      </c>
      <c r="C900" t="s">
        <v>3458</v>
      </c>
      <c r="D900" t="s">
        <v>1279</v>
      </c>
      <c r="E900">
        <v>-24</v>
      </c>
      <c r="F900" s="105">
        <v>263112.48</v>
      </c>
      <c r="G900" t="s">
        <v>2034</v>
      </c>
      <c r="H900">
        <v>1973.34</v>
      </c>
      <c r="I900">
        <v>274952.53999999998</v>
      </c>
      <c r="J900" s="711">
        <v>42697.708770254627</v>
      </c>
      <c r="K900" s="711">
        <v>43064</v>
      </c>
      <c r="L900" t="s">
        <v>3459</v>
      </c>
      <c r="M900" t="s">
        <v>1280</v>
      </c>
      <c r="N900" t="s">
        <v>1280</v>
      </c>
      <c r="O900" t="s">
        <v>25</v>
      </c>
      <c r="P900" t="s">
        <v>290</v>
      </c>
      <c r="Q900" t="s">
        <v>26</v>
      </c>
      <c r="R900" t="s">
        <v>2636</v>
      </c>
      <c r="S900">
        <v>2500000</v>
      </c>
      <c r="T900">
        <v>135000000</v>
      </c>
      <c r="U900">
        <v>14208073.92</v>
      </c>
      <c r="Z900"/>
    </row>
    <row r="901" spans="1:26" x14ac:dyDescent="0.25">
      <c r="A901">
        <v>200611</v>
      </c>
      <c r="B901" t="s">
        <v>3467</v>
      </c>
      <c r="C901" t="s">
        <v>3469</v>
      </c>
      <c r="D901" t="s">
        <v>1279</v>
      </c>
      <c r="E901">
        <v>-23</v>
      </c>
      <c r="F901" s="105">
        <v>314831.09999999998</v>
      </c>
      <c r="G901" t="s">
        <v>2861</v>
      </c>
      <c r="H901">
        <v>2833.48</v>
      </c>
      <c r="I901">
        <v>328998.5</v>
      </c>
      <c r="J901" s="711">
        <v>42698.678439814816</v>
      </c>
      <c r="K901" s="711">
        <v>43063</v>
      </c>
      <c r="L901" t="s">
        <v>3470</v>
      </c>
      <c r="M901" t="s">
        <v>1280</v>
      </c>
      <c r="N901" t="s">
        <v>3471</v>
      </c>
      <c r="O901" t="s">
        <v>44</v>
      </c>
      <c r="P901" t="s">
        <v>75</v>
      </c>
      <c r="Q901" t="s">
        <v>26</v>
      </c>
      <c r="R901" t="s">
        <v>2636</v>
      </c>
      <c r="S901">
        <v>3000000</v>
      </c>
      <c r="T901">
        <v>162000000</v>
      </c>
      <c r="U901">
        <v>17000879.399999999</v>
      </c>
      <c r="Z901"/>
    </row>
    <row r="902" spans="1:26" x14ac:dyDescent="0.25">
      <c r="A902">
        <v>200612</v>
      </c>
      <c r="B902" t="s">
        <v>1655</v>
      </c>
      <c r="C902" t="s">
        <v>1069</v>
      </c>
      <c r="D902" t="s">
        <v>1285</v>
      </c>
      <c r="E902">
        <v>-20</v>
      </c>
      <c r="F902" s="105">
        <v>32182943.899999999</v>
      </c>
      <c r="G902" t="s">
        <v>284</v>
      </c>
      <c r="H902">
        <v>201143.4</v>
      </c>
      <c r="I902">
        <v>46417048.670000002</v>
      </c>
      <c r="J902" s="711">
        <v>42698.689469363424</v>
      </c>
      <c r="K902" s="711">
        <v>44156</v>
      </c>
      <c r="L902" t="s">
        <v>1070</v>
      </c>
      <c r="M902" t="s">
        <v>1280</v>
      </c>
      <c r="N902" t="s">
        <v>1280</v>
      </c>
      <c r="O902" t="s">
        <v>43</v>
      </c>
      <c r="P902" t="s">
        <v>338</v>
      </c>
      <c r="Q902" t="s">
        <v>339</v>
      </c>
      <c r="R902" t="s">
        <v>2636</v>
      </c>
      <c r="S902">
        <v>38000000</v>
      </c>
      <c r="T902">
        <v>950000000</v>
      </c>
      <c r="U902">
        <v>804573597.5</v>
      </c>
      <c r="Z902"/>
    </row>
    <row r="903" spans="1:26" x14ac:dyDescent="0.25">
      <c r="A903">
        <v>200613</v>
      </c>
      <c r="B903" t="s">
        <v>3468</v>
      </c>
      <c r="C903" t="s">
        <v>3472</v>
      </c>
      <c r="D903" t="s">
        <v>1282</v>
      </c>
      <c r="E903">
        <v>6</v>
      </c>
      <c r="F903" s="105">
        <v>624124.71</v>
      </c>
      <c r="G903" t="s">
        <v>2034</v>
      </c>
      <c r="H903">
        <v>3941.04</v>
      </c>
      <c r="I903">
        <v>647770.93999999994</v>
      </c>
      <c r="J903" s="711">
        <v>42698.514199421297</v>
      </c>
      <c r="K903" s="711">
        <v>43064</v>
      </c>
      <c r="L903" t="s">
        <v>3473</v>
      </c>
      <c r="M903" t="s">
        <v>1280</v>
      </c>
      <c r="N903" t="s">
        <v>1280</v>
      </c>
      <c r="O903" t="s">
        <v>45</v>
      </c>
      <c r="P903" t="s">
        <v>45</v>
      </c>
      <c r="Q903" t="s">
        <v>89</v>
      </c>
      <c r="R903" t="s">
        <v>2636</v>
      </c>
      <c r="S903">
        <v>5000000</v>
      </c>
      <c r="T903">
        <v>270000000</v>
      </c>
      <c r="U903">
        <v>33702734.340000004</v>
      </c>
      <c r="Z903"/>
    </row>
    <row r="904" spans="1:26" x14ac:dyDescent="0.25">
      <c r="A904">
        <v>200616</v>
      </c>
      <c r="B904" t="s">
        <v>3460</v>
      </c>
      <c r="C904" t="s">
        <v>3477</v>
      </c>
      <c r="D904" t="s">
        <v>1282</v>
      </c>
      <c r="E904">
        <v>60</v>
      </c>
      <c r="F904" s="105">
        <v>4178732.77</v>
      </c>
      <c r="G904" t="s">
        <v>1039</v>
      </c>
      <c r="H904">
        <v>164428.68</v>
      </c>
      <c r="I904">
        <v>4512413.67</v>
      </c>
      <c r="J904" s="711">
        <v>42698.689138923612</v>
      </c>
      <c r="K904" s="711">
        <v>43070</v>
      </c>
      <c r="L904" t="s">
        <v>3478</v>
      </c>
      <c r="M904" t="s">
        <v>1280</v>
      </c>
      <c r="N904" t="s">
        <v>3479</v>
      </c>
      <c r="O904" t="s">
        <v>36</v>
      </c>
      <c r="P904" t="s">
        <v>97</v>
      </c>
      <c r="Q904" t="s">
        <v>98</v>
      </c>
      <c r="R904" t="s">
        <v>2636</v>
      </c>
      <c r="S904">
        <v>12000000</v>
      </c>
      <c r="T904">
        <v>648000000</v>
      </c>
      <c r="U904">
        <v>225651569.58000001</v>
      </c>
      <c r="Z904"/>
    </row>
    <row r="905" spans="1:26" x14ac:dyDescent="0.25">
      <c r="A905">
        <v>200618</v>
      </c>
      <c r="B905" t="s">
        <v>3465</v>
      </c>
      <c r="C905" t="s">
        <v>3482</v>
      </c>
      <c r="D905" t="s">
        <v>1284</v>
      </c>
      <c r="E905">
        <v>0</v>
      </c>
      <c r="F905" s="105">
        <v>2949026.2</v>
      </c>
      <c r="G905" t="s">
        <v>2034</v>
      </c>
      <c r="H905">
        <v>95024.18</v>
      </c>
      <c r="I905">
        <v>3097283.25</v>
      </c>
      <c r="J905" s="711">
        <v>42698.749268321757</v>
      </c>
      <c r="K905" s="711">
        <v>43070</v>
      </c>
      <c r="L905" t="s">
        <v>3483</v>
      </c>
      <c r="M905" t="s">
        <v>1280</v>
      </c>
      <c r="N905" t="s">
        <v>3484</v>
      </c>
      <c r="O905" t="s">
        <v>37</v>
      </c>
      <c r="P905" t="s">
        <v>38</v>
      </c>
      <c r="Q905" t="s">
        <v>1681</v>
      </c>
      <c r="R905" t="s">
        <v>2636</v>
      </c>
      <c r="S905">
        <v>15000000</v>
      </c>
      <c r="T905">
        <v>600000000</v>
      </c>
      <c r="U905">
        <v>117961048</v>
      </c>
      <c r="Z905"/>
    </row>
    <row r="906" spans="1:26" x14ac:dyDescent="0.25">
      <c r="A906">
        <v>200624</v>
      </c>
      <c r="B906" t="s">
        <v>3489</v>
      </c>
      <c r="C906" t="s">
        <v>3499</v>
      </c>
      <c r="D906" t="s">
        <v>1284</v>
      </c>
      <c r="E906">
        <v>-3</v>
      </c>
      <c r="F906" s="105">
        <v>17056856.73</v>
      </c>
      <c r="G906" t="s">
        <v>1925</v>
      </c>
      <c r="H906">
        <v>1092797.3</v>
      </c>
      <c r="I906">
        <v>21622956.289999999</v>
      </c>
      <c r="J906" s="711">
        <v>42699.717979398149</v>
      </c>
      <c r="K906" s="711">
        <v>43438</v>
      </c>
      <c r="L906" t="s">
        <v>3500</v>
      </c>
      <c r="M906" t="s">
        <v>1280</v>
      </c>
      <c r="N906" t="s">
        <v>3501</v>
      </c>
      <c r="O906" t="s">
        <v>44</v>
      </c>
      <c r="P906" t="s">
        <v>75</v>
      </c>
      <c r="Q906" t="s">
        <v>1442</v>
      </c>
      <c r="R906" t="s">
        <v>2636</v>
      </c>
      <c r="S906">
        <v>25000000</v>
      </c>
      <c r="T906">
        <v>1000000000</v>
      </c>
      <c r="U906">
        <v>682274269.20000005</v>
      </c>
      <c r="Z906"/>
    </row>
    <row r="907" spans="1:26" x14ac:dyDescent="0.25">
      <c r="A907">
        <v>200625</v>
      </c>
      <c r="B907" t="s">
        <v>3503</v>
      </c>
      <c r="C907" t="s">
        <v>3504</v>
      </c>
      <c r="D907" t="s">
        <v>1284</v>
      </c>
      <c r="E907">
        <v>29</v>
      </c>
      <c r="F907" s="105">
        <v>1319815.32</v>
      </c>
      <c r="G907" t="s">
        <v>2538</v>
      </c>
      <c r="H907">
        <v>78860.25</v>
      </c>
      <c r="I907">
        <v>1369181.6</v>
      </c>
      <c r="J907" s="711">
        <v>42700.540309756943</v>
      </c>
      <c r="K907" s="711">
        <v>43071</v>
      </c>
      <c r="L907" t="s">
        <v>3505</v>
      </c>
      <c r="M907" t="s">
        <v>1280</v>
      </c>
      <c r="N907" t="s">
        <v>3506</v>
      </c>
      <c r="O907" t="s">
        <v>44</v>
      </c>
      <c r="P907" t="s">
        <v>75</v>
      </c>
      <c r="Q907" t="s">
        <v>26</v>
      </c>
      <c r="R907" t="s">
        <v>2636</v>
      </c>
      <c r="S907">
        <v>5000000</v>
      </c>
      <c r="T907">
        <v>200000000</v>
      </c>
      <c r="U907">
        <v>52792612.799999997</v>
      </c>
      <c r="Z907"/>
    </row>
    <row r="908" spans="1:26" x14ac:dyDescent="0.25">
      <c r="A908">
        <v>200627</v>
      </c>
      <c r="B908" t="s">
        <v>3502</v>
      </c>
      <c r="C908" t="s">
        <v>3507</v>
      </c>
      <c r="D908" t="s">
        <v>1282</v>
      </c>
      <c r="E908">
        <v>150</v>
      </c>
      <c r="F908" s="105">
        <v>3254340.35</v>
      </c>
      <c r="G908" t="s">
        <v>1039</v>
      </c>
      <c r="H908">
        <v>274628.69</v>
      </c>
      <c r="I908">
        <v>3865864.36</v>
      </c>
      <c r="J908" s="711">
        <v>42700.50767673611</v>
      </c>
      <c r="K908" s="711">
        <v>43070</v>
      </c>
      <c r="L908" t="s">
        <v>3508</v>
      </c>
      <c r="M908" t="s">
        <v>1280</v>
      </c>
      <c r="N908" t="s">
        <v>3509</v>
      </c>
      <c r="O908" t="s">
        <v>44</v>
      </c>
      <c r="P908" t="s">
        <v>75</v>
      </c>
      <c r="Q908" t="s">
        <v>1442</v>
      </c>
      <c r="R908" t="s">
        <v>2636</v>
      </c>
      <c r="S908">
        <v>5000000</v>
      </c>
      <c r="T908">
        <v>270000000</v>
      </c>
      <c r="U908">
        <v>175734378.90000001</v>
      </c>
      <c r="Z908"/>
    </row>
    <row r="909" spans="1:26" x14ac:dyDescent="0.25">
      <c r="A909">
        <v>200630</v>
      </c>
      <c r="B909" t="s">
        <v>3513</v>
      </c>
      <c r="C909" t="s">
        <v>3519</v>
      </c>
      <c r="D909" t="s">
        <v>1284</v>
      </c>
      <c r="E909">
        <v>-1</v>
      </c>
      <c r="F909" s="105">
        <v>16630757.84</v>
      </c>
      <c r="G909" t="s">
        <v>4684</v>
      </c>
      <c r="H909">
        <v>517401.36</v>
      </c>
      <c r="I909">
        <v>25124879.91</v>
      </c>
      <c r="J909" s="711">
        <v>42702.629713541668</v>
      </c>
      <c r="K909" s="711">
        <v>43801</v>
      </c>
      <c r="L909" t="s">
        <v>3520</v>
      </c>
      <c r="M909" t="s">
        <v>1280</v>
      </c>
      <c r="N909" t="s">
        <v>1280</v>
      </c>
      <c r="O909" t="s">
        <v>44</v>
      </c>
      <c r="P909" t="s">
        <v>75</v>
      </c>
      <c r="Q909" t="s">
        <v>26</v>
      </c>
      <c r="R909" t="s">
        <v>2636</v>
      </c>
      <c r="S909">
        <v>20000000</v>
      </c>
      <c r="T909">
        <v>800000000</v>
      </c>
      <c r="U909">
        <v>665230313.60000002</v>
      </c>
      <c r="Z909"/>
    </row>
    <row r="910" spans="1:26" x14ac:dyDescent="0.25">
      <c r="A910">
        <v>200633</v>
      </c>
      <c r="B910" t="s">
        <v>1740</v>
      </c>
      <c r="C910" t="s">
        <v>1741</v>
      </c>
      <c r="D910" t="s">
        <v>1282</v>
      </c>
      <c r="E910">
        <v>0</v>
      </c>
      <c r="F910" s="105">
        <v>1008702.23</v>
      </c>
      <c r="G910" t="s">
        <v>1667</v>
      </c>
      <c r="H910">
        <v>39003.15</v>
      </c>
      <c r="I910">
        <v>1069619.94</v>
      </c>
      <c r="J910" s="711">
        <v>42702.681502002313</v>
      </c>
      <c r="K910" s="711">
        <v>43070</v>
      </c>
      <c r="L910" t="s">
        <v>1742</v>
      </c>
      <c r="M910" t="s">
        <v>1840</v>
      </c>
      <c r="N910" t="s">
        <v>1280</v>
      </c>
      <c r="O910" t="s">
        <v>35</v>
      </c>
      <c r="P910" t="s">
        <v>26</v>
      </c>
      <c r="Q910" t="s">
        <v>26</v>
      </c>
      <c r="R910" t="s">
        <v>2856</v>
      </c>
      <c r="S910">
        <v>5000000</v>
      </c>
      <c r="T910">
        <v>240000000</v>
      </c>
      <c r="U910">
        <v>48417707.039999999</v>
      </c>
      <c r="Z910"/>
    </row>
    <row r="911" spans="1:26" x14ac:dyDescent="0.25">
      <c r="A911">
        <v>200635</v>
      </c>
      <c r="B911" t="s">
        <v>3527</v>
      </c>
      <c r="C911" t="s">
        <v>3535</v>
      </c>
      <c r="D911" t="s">
        <v>1866</v>
      </c>
      <c r="E911">
        <v>119</v>
      </c>
      <c r="F911" s="105">
        <v>3359629.69</v>
      </c>
      <c r="G911" t="s">
        <v>2175</v>
      </c>
      <c r="H911">
        <v>115667.1</v>
      </c>
      <c r="I911">
        <v>3728358.66</v>
      </c>
      <c r="J911" s="711">
        <v>42703.705507673614</v>
      </c>
      <c r="K911" s="711">
        <v>43071</v>
      </c>
      <c r="L911" t="s">
        <v>3536</v>
      </c>
      <c r="M911" t="s">
        <v>1280</v>
      </c>
      <c r="N911" t="s">
        <v>1280</v>
      </c>
      <c r="O911" t="s">
        <v>25</v>
      </c>
      <c r="P911" t="s">
        <v>88</v>
      </c>
      <c r="Q911" t="s">
        <v>26</v>
      </c>
      <c r="R911" t="s">
        <v>2636</v>
      </c>
      <c r="S911">
        <v>6000000</v>
      </c>
      <c r="T911">
        <v>300000000</v>
      </c>
      <c r="U911">
        <v>167981484.5</v>
      </c>
      <c r="Z911"/>
    </row>
    <row r="912" spans="1:26" x14ac:dyDescent="0.25">
      <c r="A912">
        <v>200636</v>
      </c>
      <c r="B912" t="s">
        <v>3528</v>
      </c>
      <c r="C912" t="s">
        <v>3537</v>
      </c>
      <c r="D912" t="s">
        <v>1283</v>
      </c>
      <c r="E912">
        <v>-1</v>
      </c>
      <c r="F912" s="105">
        <v>29489288.890000001</v>
      </c>
      <c r="G912" t="s">
        <v>1191</v>
      </c>
      <c r="H912">
        <v>917444.54</v>
      </c>
      <c r="I912">
        <v>37383535.170000002</v>
      </c>
      <c r="J912" s="711">
        <v>42703.623028935188</v>
      </c>
      <c r="K912" s="711">
        <v>43436</v>
      </c>
      <c r="L912" t="s">
        <v>3538</v>
      </c>
      <c r="M912" t="s">
        <v>1280</v>
      </c>
      <c r="N912" t="s">
        <v>3539</v>
      </c>
      <c r="O912" t="s">
        <v>44</v>
      </c>
      <c r="P912" t="s">
        <v>75</v>
      </c>
      <c r="Q912" t="s">
        <v>26</v>
      </c>
      <c r="R912" t="s">
        <v>2636</v>
      </c>
      <c r="S912">
        <v>43500000</v>
      </c>
      <c r="T912">
        <v>1740000000</v>
      </c>
      <c r="U912">
        <v>1179571555.5999999</v>
      </c>
      <c r="Z912"/>
    </row>
    <row r="913" spans="1:26" x14ac:dyDescent="0.25">
      <c r="A913">
        <v>200638</v>
      </c>
      <c r="B913" t="s">
        <v>3524</v>
      </c>
      <c r="C913" t="s">
        <v>3543</v>
      </c>
      <c r="D913" t="s">
        <v>1283</v>
      </c>
      <c r="E913">
        <v>-1</v>
      </c>
      <c r="F913" s="105">
        <v>44064454.670000002</v>
      </c>
      <c r="G913" t="s">
        <v>2538</v>
      </c>
      <c r="H913">
        <v>1370894.15</v>
      </c>
      <c r="I913">
        <v>55860454.869999997</v>
      </c>
      <c r="J913" s="711">
        <v>42703.767264085647</v>
      </c>
      <c r="K913" s="711">
        <v>43436</v>
      </c>
      <c r="L913" t="s">
        <v>3544</v>
      </c>
      <c r="M913" t="s">
        <v>1280</v>
      </c>
      <c r="N913" t="s">
        <v>3545</v>
      </c>
      <c r="O913" t="s">
        <v>36</v>
      </c>
      <c r="P913" t="s">
        <v>97</v>
      </c>
      <c r="Q913" t="s">
        <v>98</v>
      </c>
      <c r="R913" t="s">
        <v>2636</v>
      </c>
      <c r="S913">
        <v>65000000</v>
      </c>
      <c r="T913">
        <v>2600000000</v>
      </c>
      <c r="U913">
        <v>1762578186.8</v>
      </c>
      <c r="Z913"/>
    </row>
    <row r="914" spans="1:26" x14ac:dyDescent="0.25">
      <c r="A914">
        <v>200640</v>
      </c>
      <c r="B914" t="s">
        <v>3551</v>
      </c>
      <c r="C914" t="s">
        <v>3592</v>
      </c>
      <c r="D914" t="s">
        <v>1282</v>
      </c>
      <c r="E914">
        <v>-1</v>
      </c>
      <c r="F914" s="105">
        <v>514894.77</v>
      </c>
      <c r="G914" t="s">
        <v>1447</v>
      </c>
      <c r="H914">
        <v>21625.58</v>
      </c>
      <c r="I914">
        <v>549905.09</v>
      </c>
      <c r="J914" s="711">
        <v>42704.536556863422</v>
      </c>
      <c r="K914" s="711">
        <v>43071</v>
      </c>
      <c r="L914" t="s">
        <v>3593</v>
      </c>
      <c r="M914" t="s">
        <v>1280</v>
      </c>
      <c r="N914" t="s">
        <v>3594</v>
      </c>
      <c r="O914" t="s">
        <v>25</v>
      </c>
      <c r="P914" t="s">
        <v>88</v>
      </c>
      <c r="Q914" t="s">
        <v>285</v>
      </c>
      <c r="R914" t="s">
        <v>2636</v>
      </c>
      <c r="S914">
        <v>2500000</v>
      </c>
      <c r="T914">
        <v>135000000</v>
      </c>
      <c r="U914">
        <v>27804317.579999998</v>
      </c>
      <c r="Z914"/>
    </row>
    <row r="915" spans="1:26" x14ac:dyDescent="0.25">
      <c r="A915">
        <v>200641</v>
      </c>
      <c r="B915" t="s">
        <v>1885</v>
      </c>
      <c r="C915" t="s">
        <v>1887</v>
      </c>
      <c r="D915" t="s">
        <v>1283</v>
      </c>
      <c r="E915">
        <v>-22</v>
      </c>
      <c r="F915" s="105">
        <v>40540428.340000004</v>
      </c>
      <c r="G915" t="s">
        <v>90</v>
      </c>
      <c r="H915">
        <v>283783</v>
      </c>
      <c r="I915">
        <v>49555973.880000003</v>
      </c>
      <c r="J915" s="711">
        <v>42704.649020405093</v>
      </c>
      <c r="K915" s="711">
        <v>43427</v>
      </c>
      <c r="L915" t="s">
        <v>1888</v>
      </c>
      <c r="M915" t="s">
        <v>1280</v>
      </c>
      <c r="N915" t="s">
        <v>1280</v>
      </c>
      <c r="O915" t="s">
        <v>27</v>
      </c>
      <c r="P915" t="s">
        <v>81</v>
      </c>
      <c r="Q915" t="s">
        <v>26</v>
      </c>
      <c r="R915" t="s">
        <v>2856</v>
      </c>
      <c r="S915">
        <v>65000000</v>
      </c>
      <c r="T915">
        <v>2340000000</v>
      </c>
      <c r="U915">
        <v>1459455420.24</v>
      </c>
      <c r="Z915"/>
    </row>
    <row r="916" spans="1:26" x14ac:dyDescent="0.25">
      <c r="A916">
        <v>200644</v>
      </c>
      <c r="B916" t="s">
        <v>3546</v>
      </c>
      <c r="C916" t="s">
        <v>3597</v>
      </c>
      <c r="D916" t="s">
        <v>1279</v>
      </c>
      <c r="E916">
        <v>-1</v>
      </c>
      <c r="F916" s="105">
        <v>1029789.53</v>
      </c>
      <c r="G916" t="s">
        <v>2861</v>
      </c>
      <c r="H916">
        <v>43251.16</v>
      </c>
      <c r="I916">
        <v>1099810.18</v>
      </c>
      <c r="J916" s="711">
        <v>42704.782254594909</v>
      </c>
      <c r="K916" s="711">
        <v>43071</v>
      </c>
      <c r="L916" t="s">
        <v>3598</v>
      </c>
      <c r="M916" t="s">
        <v>1280</v>
      </c>
      <c r="N916" t="s">
        <v>1280</v>
      </c>
      <c r="O916" t="s">
        <v>27</v>
      </c>
      <c r="P916" t="s">
        <v>26</v>
      </c>
      <c r="Q916" t="s">
        <v>26</v>
      </c>
      <c r="R916" t="s">
        <v>2636</v>
      </c>
      <c r="S916">
        <v>5000000</v>
      </c>
      <c r="T916">
        <v>270000000</v>
      </c>
      <c r="U916">
        <v>55608634.619999997</v>
      </c>
      <c r="Z916"/>
    </row>
    <row r="917" spans="1:26" x14ac:dyDescent="0.25">
      <c r="A917">
        <v>200645</v>
      </c>
      <c r="B917" t="s">
        <v>3556</v>
      </c>
      <c r="C917" t="s">
        <v>3599</v>
      </c>
      <c r="D917" t="s">
        <v>1284</v>
      </c>
      <c r="E917">
        <v>29</v>
      </c>
      <c r="F917" s="105">
        <v>10720268.91</v>
      </c>
      <c r="G917" t="s">
        <v>1467</v>
      </c>
      <c r="H917">
        <v>673363.41</v>
      </c>
      <c r="I917">
        <v>13796847.49</v>
      </c>
      <c r="J917" s="711">
        <v>42704.812343321762</v>
      </c>
      <c r="K917" s="711">
        <v>43436</v>
      </c>
      <c r="L917" t="s">
        <v>3600</v>
      </c>
      <c r="M917" t="s">
        <v>1280</v>
      </c>
      <c r="N917" t="s">
        <v>3601</v>
      </c>
      <c r="O917" t="s">
        <v>44</v>
      </c>
      <c r="P917" t="s">
        <v>75</v>
      </c>
      <c r="Q917" t="s">
        <v>1442</v>
      </c>
      <c r="R917" t="s">
        <v>2636</v>
      </c>
      <c r="S917">
        <v>15000000</v>
      </c>
      <c r="T917">
        <v>600000000</v>
      </c>
      <c r="U917">
        <v>428810756.39999998</v>
      </c>
      <c r="Z917"/>
    </row>
    <row r="918" spans="1:26" x14ac:dyDescent="0.25">
      <c r="A918">
        <v>200646</v>
      </c>
      <c r="B918" t="s">
        <v>3552</v>
      </c>
      <c r="C918" t="s">
        <v>3602</v>
      </c>
      <c r="D918" t="s">
        <v>1281</v>
      </c>
      <c r="E918">
        <v>-8</v>
      </c>
      <c r="F918" s="105">
        <v>14716708.23</v>
      </c>
      <c r="G918" t="s">
        <v>1925</v>
      </c>
      <c r="H918">
        <v>412067.83</v>
      </c>
      <c r="I918">
        <v>19505019.190000001</v>
      </c>
      <c r="J918" s="711">
        <v>42704.839833414349</v>
      </c>
      <c r="K918" s="711">
        <v>43443</v>
      </c>
      <c r="L918" t="s">
        <v>3603</v>
      </c>
      <c r="M918" t="s">
        <v>1280</v>
      </c>
      <c r="N918" t="s">
        <v>1280</v>
      </c>
      <c r="O918" t="s">
        <v>25</v>
      </c>
      <c r="P918" t="s">
        <v>88</v>
      </c>
      <c r="Q918" t="s">
        <v>285</v>
      </c>
      <c r="R918" t="s">
        <v>2636</v>
      </c>
      <c r="S918">
        <v>21000000</v>
      </c>
      <c r="T918">
        <v>1008000000</v>
      </c>
      <c r="U918">
        <v>706401995.03999996</v>
      </c>
      <c r="Z918"/>
    </row>
    <row r="919" spans="1:26" x14ac:dyDescent="0.25">
      <c r="A919">
        <v>200647</v>
      </c>
      <c r="B919" t="s">
        <v>3555</v>
      </c>
      <c r="C919" t="s">
        <v>3604</v>
      </c>
      <c r="D919" t="s">
        <v>1284</v>
      </c>
      <c r="E919">
        <v>-4</v>
      </c>
      <c r="F919" s="105">
        <v>54107832.090000004</v>
      </c>
      <c r="G919" t="s">
        <v>90</v>
      </c>
      <c r="H919">
        <v>1502995.34</v>
      </c>
      <c r="I919">
        <v>81743284.939999998</v>
      </c>
      <c r="J919" s="711">
        <v>42704.835258217594</v>
      </c>
      <c r="K919" s="711">
        <v>43804</v>
      </c>
      <c r="L919" t="s">
        <v>3605</v>
      </c>
      <c r="M919" t="s">
        <v>1280</v>
      </c>
      <c r="N919" t="s">
        <v>1280</v>
      </c>
      <c r="O919" t="s">
        <v>44</v>
      </c>
      <c r="P919" t="s">
        <v>75</v>
      </c>
      <c r="Q919" t="s">
        <v>1442</v>
      </c>
      <c r="R919" t="s">
        <v>2856</v>
      </c>
      <c r="S919">
        <v>65000000</v>
      </c>
      <c r="T919">
        <v>2600000000</v>
      </c>
      <c r="U919">
        <v>2164313283.5999999</v>
      </c>
      <c r="Z919"/>
    </row>
    <row r="920" spans="1:26" x14ac:dyDescent="0.25">
      <c r="A920">
        <v>200648</v>
      </c>
      <c r="B920" t="s">
        <v>3560</v>
      </c>
      <c r="C920" t="s">
        <v>3606</v>
      </c>
      <c r="D920" t="s">
        <v>1283</v>
      </c>
      <c r="E920">
        <v>-1</v>
      </c>
      <c r="F920" s="105">
        <v>50042693.420000002</v>
      </c>
      <c r="G920" t="s">
        <v>90</v>
      </c>
      <c r="H920">
        <v>1926454.72</v>
      </c>
      <c r="I920">
        <v>69363354.379999995</v>
      </c>
      <c r="J920" s="711">
        <v>42704.907638888886</v>
      </c>
      <c r="K920" s="711">
        <v>43618</v>
      </c>
      <c r="L920" t="s">
        <v>3607</v>
      </c>
      <c r="M920" t="s">
        <v>1280</v>
      </c>
      <c r="N920" t="s">
        <v>1280</v>
      </c>
      <c r="O920" t="s">
        <v>45</v>
      </c>
      <c r="P920" t="s">
        <v>45</v>
      </c>
      <c r="Q920" t="s">
        <v>89</v>
      </c>
      <c r="R920" t="s">
        <v>2636</v>
      </c>
      <c r="S920">
        <v>65000000</v>
      </c>
      <c r="T920">
        <v>2600000000</v>
      </c>
      <c r="U920">
        <v>2001707736.8</v>
      </c>
      <c r="Z920"/>
    </row>
    <row r="921" spans="1:26" x14ac:dyDescent="0.25">
      <c r="A921">
        <v>200650</v>
      </c>
      <c r="B921" t="s">
        <v>2635</v>
      </c>
      <c r="C921" t="s">
        <v>2643</v>
      </c>
      <c r="D921" t="s">
        <v>1284</v>
      </c>
      <c r="E921">
        <v>-1</v>
      </c>
      <c r="F921" s="105">
        <v>53327115.869999997</v>
      </c>
      <c r="G921" t="s">
        <v>491</v>
      </c>
      <c r="H921">
        <v>1493159.24</v>
      </c>
      <c r="I921">
        <v>77558719.930000007</v>
      </c>
      <c r="J921" s="711">
        <v>42704.924095486109</v>
      </c>
      <c r="K921" s="711">
        <v>43801</v>
      </c>
      <c r="L921" t="s">
        <v>2644</v>
      </c>
      <c r="M921" t="s">
        <v>1280</v>
      </c>
      <c r="N921" t="s">
        <v>1280</v>
      </c>
      <c r="O921" t="s">
        <v>44</v>
      </c>
      <c r="P921" t="s">
        <v>75</v>
      </c>
      <c r="Q921" t="s">
        <v>1442</v>
      </c>
      <c r="R921" t="s">
        <v>2856</v>
      </c>
      <c r="S921">
        <v>65000000</v>
      </c>
      <c r="T921">
        <v>2340000000</v>
      </c>
      <c r="U921">
        <v>1919776171.3199999</v>
      </c>
      <c r="Z921"/>
    </row>
    <row r="922" spans="1:26" x14ac:dyDescent="0.25">
      <c r="A922">
        <v>200653</v>
      </c>
      <c r="B922" t="s">
        <v>3186</v>
      </c>
      <c r="C922" t="s">
        <v>3193</v>
      </c>
      <c r="D922" t="s">
        <v>1281</v>
      </c>
      <c r="E922">
        <v>56</v>
      </c>
      <c r="F922" s="105">
        <v>23015295.629999999</v>
      </c>
      <c r="G922" t="s">
        <v>1447</v>
      </c>
      <c r="H922">
        <v>1799041.22</v>
      </c>
      <c r="I922">
        <v>31602762.460000001</v>
      </c>
      <c r="J922" s="711">
        <v>42706.578693634263</v>
      </c>
      <c r="K922" s="711">
        <v>43439</v>
      </c>
      <c r="L922" t="s">
        <v>3194</v>
      </c>
      <c r="M922" t="s">
        <v>1280</v>
      </c>
      <c r="N922" t="s">
        <v>1280</v>
      </c>
      <c r="O922" t="s">
        <v>37</v>
      </c>
      <c r="P922" t="s">
        <v>38</v>
      </c>
      <c r="Q922" t="s">
        <v>26</v>
      </c>
      <c r="R922" t="s">
        <v>2856</v>
      </c>
      <c r="S922">
        <v>30000000</v>
      </c>
      <c r="T922">
        <v>1440000000</v>
      </c>
      <c r="U922">
        <v>1104734190.24</v>
      </c>
      <c r="Z922"/>
    </row>
    <row r="923" spans="1:26" x14ac:dyDescent="0.25">
      <c r="A923">
        <v>200654</v>
      </c>
      <c r="B923" t="s">
        <v>3620</v>
      </c>
      <c r="C923" t="s">
        <v>3629</v>
      </c>
      <c r="D923" t="s">
        <v>1282</v>
      </c>
      <c r="E923">
        <v>-4</v>
      </c>
      <c r="F923" s="105">
        <v>1026841.7</v>
      </c>
      <c r="G923" t="s">
        <v>1667</v>
      </c>
      <c r="H923">
        <v>38506.559999999998</v>
      </c>
      <c r="I923">
        <v>1096661.92</v>
      </c>
      <c r="J923" s="711">
        <v>42709.63500130787</v>
      </c>
      <c r="K923" s="711">
        <v>43074</v>
      </c>
      <c r="L923" t="s">
        <v>3630</v>
      </c>
      <c r="M923" t="s">
        <v>1280</v>
      </c>
      <c r="N923" t="s">
        <v>3631</v>
      </c>
      <c r="O923" t="s">
        <v>25</v>
      </c>
      <c r="P923" t="s">
        <v>106</v>
      </c>
      <c r="Q923" t="s">
        <v>704</v>
      </c>
      <c r="R923" t="s">
        <v>2636</v>
      </c>
      <c r="S923">
        <v>5000000</v>
      </c>
      <c r="T923">
        <v>270000000</v>
      </c>
      <c r="U923">
        <v>55449451.799999997</v>
      </c>
      <c r="Z923"/>
    </row>
    <row r="924" spans="1:26" x14ac:dyDescent="0.25">
      <c r="A924">
        <v>200655</v>
      </c>
      <c r="B924" t="s">
        <v>2699</v>
      </c>
      <c r="C924" t="s">
        <v>2704</v>
      </c>
      <c r="D924" t="s">
        <v>1283</v>
      </c>
      <c r="E924">
        <v>-4</v>
      </c>
      <c r="F924" s="105">
        <v>43355255.359999999</v>
      </c>
      <c r="G924" t="s">
        <v>1925</v>
      </c>
      <c r="H924">
        <v>1083881.3799999999</v>
      </c>
      <c r="I924">
        <v>53733148.439999998</v>
      </c>
      <c r="J924" s="711">
        <v>42709.701757407405</v>
      </c>
      <c r="K924" s="711">
        <v>43439</v>
      </c>
      <c r="L924" t="s">
        <v>2705</v>
      </c>
      <c r="M924" t="s">
        <v>2706</v>
      </c>
      <c r="N924" t="s">
        <v>1280</v>
      </c>
      <c r="O924" t="s">
        <v>27</v>
      </c>
      <c r="P924" t="s">
        <v>116</v>
      </c>
      <c r="Q924" t="s">
        <v>26</v>
      </c>
      <c r="R924" t="s">
        <v>2856</v>
      </c>
      <c r="S924">
        <v>65000000</v>
      </c>
      <c r="T924">
        <v>2340000000</v>
      </c>
      <c r="U924">
        <v>1560789192.96</v>
      </c>
      <c r="Z924"/>
    </row>
    <row r="925" spans="1:26" x14ac:dyDescent="0.25">
      <c r="A925">
        <v>200659</v>
      </c>
      <c r="B925" t="s">
        <v>3632</v>
      </c>
      <c r="C925" t="s">
        <v>3634</v>
      </c>
      <c r="D925" t="s">
        <v>1282</v>
      </c>
      <c r="E925">
        <v>115</v>
      </c>
      <c r="F925" s="105">
        <v>2262576.9</v>
      </c>
      <c r="G925" t="s">
        <v>2034</v>
      </c>
      <c r="H925">
        <v>144180.29999999999</v>
      </c>
      <c r="I925">
        <v>2590583.73</v>
      </c>
      <c r="J925" s="711">
        <v>42710.542109606482</v>
      </c>
      <c r="K925" s="711">
        <v>43075</v>
      </c>
      <c r="L925" t="s">
        <v>3635</v>
      </c>
      <c r="M925" t="s">
        <v>1280</v>
      </c>
      <c r="N925" t="s">
        <v>3636</v>
      </c>
      <c r="O925" t="s">
        <v>36</v>
      </c>
      <c r="P925" t="s">
        <v>97</v>
      </c>
      <c r="Q925" t="s">
        <v>98</v>
      </c>
      <c r="R925" t="s">
        <v>2636</v>
      </c>
      <c r="S925">
        <v>4000000</v>
      </c>
      <c r="T925">
        <v>216000000</v>
      </c>
      <c r="U925">
        <v>122179152.59999999</v>
      </c>
      <c r="Z925"/>
    </row>
    <row r="926" spans="1:26" x14ac:dyDescent="0.25">
      <c r="A926">
        <v>200660</v>
      </c>
      <c r="B926" t="s">
        <v>3633</v>
      </c>
      <c r="C926" t="s">
        <v>3637</v>
      </c>
      <c r="D926" t="s">
        <v>1282</v>
      </c>
      <c r="E926">
        <v>-5</v>
      </c>
      <c r="F926" s="105">
        <v>821473.39</v>
      </c>
      <c r="G926" t="s">
        <v>2034</v>
      </c>
      <c r="H926">
        <v>29573.040000000001</v>
      </c>
      <c r="I926">
        <v>877329.56</v>
      </c>
      <c r="J926" s="711">
        <v>42710.572149733795</v>
      </c>
      <c r="K926" s="711">
        <v>43075</v>
      </c>
      <c r="L926" t="s">
        <v>3638</v>
      </c>
      <c r="M926" t="s">
        <v>1280</v>
      </c>
      <c r="N926" t="s">
        <v>1280</v>
      </c>
      <c r="O926" t="s">
        <v>44</v>
      </c>
      <c r="P926" t="s">
        <v>75</v>
      </c>
      <c r="Q926" t="s">
        <v>1442</v>
      </c>
      <c r="R926" t="s">
        <v>2636</v>
      </c>
      <c r="S926">
        <v>4000000</v>
      </c>
      <c r="T926">
        <v>216000000</v>
      </c>
      <c r="U926">
        <v>44359563.060000002</v>
      </c>
      <c r="Z926"/>
    </row>
    <row r="927" spans="1:26" x14ac:dyDescent="0.25">
      <c r="A927">
        <v>200663</v>
      </c>
      <c r="B927" t="s">
        <v>3639</v>
      </c>
      <c r="C927" t="s">
        <v>212</v>
      </c>
      <c r="D927" t="s">
        <v>1279</v>
      </c>
      <c r="E927">
        <v>23</v>
      </c>
      <c r="F927" s="105">
        <v>1298012</v>
      </c>
      <c r="G927" t="s">
        <v>2861</v>
      </c>
      <c r="H927">
        <v>33934.42</v>
      </c>
      <c r="I927">
        <v>1367932.43</v>
      </c>
      <c r="J927" s="711">
        <v>42711.700587037034</v>
      </c>
      <c r="K927" s="711">
        <v>43077</v>
      </c>
      <c r="L927" t="s">
        <v>3640</v>
      </c>
      <c r="M927" t="s">
        <v>1280</v>
      </c>
      <c r="N927" t="s">
        <v>1280</v>
      </c>
      <c r="O927" t="s">
        <v>25</v>
      </c>
      <c r="P927" t="s">
        <v>289</v>
      </c>
      <c r="Q927" t="s">
        <v>26</v>
      </c>
      <c r="R927" t="s">
        <v>2636</v>
      </c>
      <c r="S927">
        <v>5000000</v>
      </c>
      <c r="T927">
        <v>270000000</v>
      </c>
      <c r="U927">
        <v>70092648</v>
      </c>
      <c r="Z927"/>
    </row>
    <row r="928" spans="1:26" x14ac:dyDescent="0.25">
      <c r="A928">
        <v>200665</v>
      </c>
      <c r="B928" t="s">
        <v>3650</v>
      </c>
      <c r="C928" t="s">
        <v>3655</v>
      </c>
      <c r="D928" t="s">
        <v>1281</v>
      </c>
      <c r="E928">
        <v>-8</v>
      </c>
      <c r="F928" s="105">
        <v>10636838.539999999</v>
      </c>
      <c r="G928" t="s">
        <v>1447</v>
      </c>
      <c r="H928">
        <v>297831.48</v>
      </c>
      <c r="I928">
        <v>12638932.550000001</v>
      </c>
      <c r="J928" s="711">
        <v>42713.68491311343</v>
      </c>
      <c r="K928" s="711">
        <v>43260</v>
      </c>
      <c r="L928" t="s">
        <v>3656</v>
      </c>
      <c r="M928" t="s">
        <v>1280</v>
      </c>
      <c r="N928" t="s">
        <v>3657</v>
      </c>
      <c r="O928" t="s">
        <v>42</v>
      </c>
      <c r="P928" t="s">
        <v>1244</v>
      </c>
      <c r="Q928" t="s">
        <v>26</v>
      </c>
      <c r="R928" t="s">
        <v>2636</v>
      </c>
      <c r="S928">
        <v>20000000</v>
      </c>
      <c r="T928">
        <v>960000000</v>
      </c>
      <c r="U928">
        <v>510568249.92000002</v>
      </c>
      <c r="Z928"/>
    </row>
    <row r="929" spans="1:26" x14ac:dyDescent="0.25">
      <c r="A929">
        <v>200666</v>
      </c>
      <c r="B929" t="s">
        <v>3645</v>
      </c>
      <c r="C929" t="s">
        <v>3658</v>
      </c>
      <c r="D929" t="s">
        <v>1281</v>
      </c>
      <c r="E929">
        <v>-8</v>
      </c>
      <c r="F929" s="105">
        <v>10636838.539999999</v>
      </c>
      <c r="G929" t="s">
        <v>1447</v>
      </c>
      <c r="H929">
        <v>297831.48</v>
      </c>
      <c r="I929">
        <v>12638932.550000001</v>
      </c>
      <c r="J929" s="711">
        <v>42713.640433912034</v>
      </c>
      <c r="K929" s="711">
        <v>43260</v>
      </c>
      <c r="L929" t="s">
        <v>3659</v>
      </c>
      <c r="M929" t="s">
        <v>1280</v>
      </c>
      <c r="N929" t="s">
        <v>3660</v>
      </c>
      <c r="O929" t="s">
        <v>25</v>
      </c>
      <c r="P929" t="s">
        <v>103</v>
      </c>
      <c r="Q929" t="s">
        <v>104</v>
      </c>
      <c r="R929" t="s">
        <v>2636</v>
      </c>
      <c r="S929">
        <v>20000000</v>
      </c>
      <c r="T929">
        <v>960000000</v>
      </c>
      <c r="U929">
        <v>510568249.92000002</v>
      </c>
      <c r="Z929"/>
    </row>
    <row r="930" spans="1:26" x14ac:dyDescent="0.25">
      <c r="A930">
        <v>200668</v>
      </c>
      <c r="B930" t="s">
        <v>3648</v>
      </c>
      <c r="C930" t="s">
        <v>3661</v>
      </c>
      <c r="D930" t="s">
        <v>1279</v>
      </c>
      <c r="E930">
        <v>-9</v>
      </c>
      <c r="F930" s="105">
        <v>513420.84</v>
      </c>
      <c r="G930" t="s">
        <v>3074</v>
      </c>
      <c r="H930">
        <v>15402.63</v>
      </c>
      <c r="I930">
        <v>548330.94999999995</v>
      </c>
      <c r="J930" s="711">
        <v>42714.481875775462</v>
      </c>
      <c r="K930" s="711">
        <v>43079</v>
      </c>
      <c r="L930" t="s">
        <v>3662</v>
      </c>
      <c r="M930" t="s">
        <v>1280</v>
      </c>
      <c r="N930" t="s">
        <v>3663</v>
      </c>
      <c r="O930" t="s">
        <v>25</v>
      </c>
      <c r="P930" t="s">
        <v>88</v>
      </c>
      <c r="Q930" t="s">
        <v>285</v>
      </c>
      <c r="R930" t="s">
        <v>2636</v>
      </c>
      <c r="S930">
        <v>2500000</v>
      </c>
      <c r="T930">
        <v>135000000</v>
      </c>
      <c r="U930">
        <v>27724725.359999999</v>
      </c>
      <c r="Z930"/>
    </row>
    <row r="931" spans="1:26" x14ac:dyDescent="0.25">
      <c r="A931">
        <v>200669</v>
      </c>
      <c r="B931" t="s">
        <v>3649</v>
      </c>
      <c r="C931" t="s">
        <v>3664</v>
      </c>
      <c r="D931" t="s">
        <v>1281</v>
      </c>
      <c r="E931">
        <v>-9</v>
      </c>
      <c r="F931" s="105">
        <v>10636838.539999999</v>
      </c>
      <c r="G931" t="s">
        <v>1448</v>
      </c>
      <c r="H931">
        <v>283649.03000000003</v>
      </c>
      <c r="I931">
        <v>12638932.550000001</v>
      </c>
      <c r="J931" s="711">
        <v>42714.545201967594</v>
      </c>
      <c r="K931" s="711">
        <v>43261</v>
      </c>
      <c r="L931" t="s">
        <v>3665</v>
      </c>
      <c r="M931" t="s">
        <v>1280</v>
      </c>
      <c r="N931" t="s">
        <v>3666</v>
      </c>
      <c r="O931" t="s">
        <v>25</v>
      </c>
      <c r="P931" t="s">
        <v>88</v>
      </c>
      <c r="Q931" t="s">
        <v>26</v>
      </c>
      <c r="R931" t="s">
        <v>2636</v>
      </c>
      <c r="S931">
        <v>20000000</v>
      </c>
      <c r="T931">
        <v>960000000</v>
      </c>
      <c r="U931">
        <v>510568249.92000002</v>
      </c>
      <c r="Z931"/>
    </row>
    <row r="932" spans="1:26" x14ac:dyDescent="0.25">
      <c r="A932">
        <v>200671</v>
      </c>
      <c r="B932" t="s">
        <v>3729</v>
      </c>
      <c r="C932" t="s">
        <v>3730</v>
      </c>
      <c r="D932" t="s">
        <v>1282</v>
      </c>
      <c r="E932">
        <v>75</v>
      </c>
      <c r="F932" s="105">
        <v>2166444.0699999998</v>
      </c>
      <c r="G932" t="s">
        <v>1467</v>
      </c>
      <c r="H932">
        <v>174503.95</v>
      </c>
      <c r="I932">
        <v>2467489.23</v>
      </c>
      <c r="J932" s="711">
        <v>42720.639203356484</v>
      </c>
      <c r="K932" s="711">
        <v>43085</v>
      </c>
      <c r="L932" t="s">
        <v>3731</v>
      </c>
      <c r="M932" t="s">
        <v>1280</v>
      </c>
      <c r="N932" t="s">
        <v>1280</v>
      </c>
      <c r="O932" t="s">
        <v>44</v>
      </c>
      <c r="P932" t="s">
        <v>75</v>
      </c>
      <c r="Q932" t="s">
        <v>26</v>
      </c>
      <c r="R932" t="s">
        <v>2636</v>
      </c>
      <c r="S932">
        <v>4500000</v>
      </c>
      <c r="T932">
        <v>243000000</v>
      </c>
      <c r="U932">
        <v>116987979.78</v>
      </c>
      <c r="Z932"/>
    </row>
    <row r="933" spans="1:26" x14ac:dyDescent="0.25">
      <c r="A933">
        <v>200672</v>
      </c>
      <c r="B933" t="s">
        <v>3670</v>
      </c>
      <c r="C933" t="s">
        <v>3676</v>
      </c>
      <c r="D933" t="s">
        <v>1866</v>
      </c>
      <c r="E933">
        <v>19</v>
      </c>
      <c r="F933" s="105">
        <v>1433967.43</v>
      </c>
      <c r="G933" t="s">
        <v>963</v>
      </c>
      <c r="H933">
        <v>171652.56</v>
      </c>
      <c r="I933">
        <v>1510395.9</v>
      </c>
      <c r="J933" s="711">
        <v>42716.489123576386</v>
      </c>
      <c r="K933" s="711">
        <v>43081</v>
      </c>
      <c r="L933" t="s">
        <v>3677</v>
      </c>
      <c r="M933" t="s">
        <v>1280</v>
      </c>
      <c r="N933" t="s">
        <v>1280</v>
      </c>
      <c r="O933" t="s">
        <v>29</v>
      </c>
      <c r="P933" t="s">
        <v>30</v>
      </c>
      <c r="Q933" t="s">
        <v>437</v>
      </c>
      <c r="R933" t="s">
        <v>2636</v>
      </c>
      <c r="S933">
        <v>6000000</v>
      </c>
      <c r="T933">
        <v>300000000</v>
      </c>
      <c r="U933">
        <v>71698371.5</v>
      </c>
      <c r="Z933"/>
    </row>
    <row r="934" spans="1:26" x14ac:dyDescent="0.25">
      <c r="A934">
        <v>200673</v>
      </c>
      <c r="B934" t="s">
        <v>3669</v>
      </c>
      <c r="C934" t="s">
        <v>3678</v>
      </c>
      <c r="D934" t="s">
        <v>1279</v>
      </c>
      <c r="E934">
        <v>169</v>
      </c>
      <c r="F934" s="105">
        <v>363069.79</v>
      </c>
      <c r="G934" t="s">
        <v>2855</v>
      </c>
      <c r="H934">
        <v>24408.67</v>
      </c>
      <c r="I934">
        <v>387756.76</v>
      </c>
      <c r="J934" s="711">
        <v>42716.516254942129</v>
      </c>
      <c r="K934" s="711">
        <v>42898</v>
      </c>
      <c r="L934" t="s">
        <v>3679</v>
      </c>
      <c r="M934" t="s">
        <v>1280</v>
      </c>
      <c r="N934" t="s">
        <v>3680</v>
      </c>
      <c r="O934" t="s">
        <v>44</v>
      </c>
      <c r="P934" t="s">
        <v>75</v>
      </c>
      <c r="Q934" t="s">
        <v>26</v>
      </c>
      <c r="R934" t="s">
        <v>2636</v>
      </c>
      <c r="S934">
        <v>1000000</v>
      </c>
      <c r="T934">
        <v>54000000</v>
      </c>
      <c r="U934">
        <v>19605768.66</v>
      </c>
      <c r="Z934"/>
    </row>
    <row r="935" spans="1:26" x14ac:dyDescent="0.25">
      <c r="A935">
        <v>200675</v>
      </c>
      <c r="B935" t="s">
        <v>3683</v>
      </c>
      <c r="C935" t="s">
        <v>3688</v>
      </c>
      <c r="D935" t="s">
        <v>1866</v>
      </c>
      <c r="E935">
        <v>-12</v>
      </c>
      <c r="F935" s="105">
        <v>4031924.26</v>
      </c>
      <c r="G935" t="s">
        <v>1467</v>
      </c>
      <c r="H935">
        <v>95198.21</v>
      </c>
      <c r="I935">
        <v>4549620.84</v>
      </c>
      <c r="J935" s="711">
        <v>42717.589245914351</v>
      </c>
      <c r="K935" s="711">
        <v>43172</v>
      </c>
      <c r="L935" t="s">
        <v>3689</v>
      </c>
      <c r="M935" t="s">
        <v>1280</v>
      </c>
      <c r="N935" t="s">
        <v>1280</v>
      </c>
      <c r="O935" t="s">
        <v>29</v>
      </c>
      <c r="P935" t="s">
        <v>30</v>
      </c>
      <c r="Q935" t="s">
        <v>30</v>
      </c>
      <c r="R935" t="s">
        <v>2636</v>
      </c>
      <c r="S935">
        <v>10000000</v>
      </c>
      <c r="T935">
        <v>500000000</v>
      </c>
      <c r="U935">
        <v>201596213</v>
      </c>
      <c r="Z935"/>
    </row>
    <row r="936" spans="1:26" x14ac:dyDescent="0.25">
      <c r="A936">
        <v>200676</v>
      </c>
      <c r="B936" t="s">
        <v>2292</v>
      </c>
      <c r="C936" t="s">
        <v>2304</v>
      </c>
      <c r="D936" t="s">
        <v>1284</v>
      </c>
      <c r="E936">
        <v>-15</v>
      </c>
      <c r="F936" s="105">
        <v>26680157.149999999</v>
      </c>
      <c r="G936" t="s">
        <v>2175</v>
      </c>
      <c r="H936">
        <v>373522.2</v>
      </c>
      <c r="I936">
        <v>33066552.899999999</v>
      </c>
      <c r="J936" s="711">
        <v>42720.740306678243</v>
      </c>
      <c r="K936" s="711">
        <v>43450</v>
      </c>
      <c r="L936" t="s">
        <v>2305</v>
      </c>
      <c r="M936" t="s">
        <v>1280</v>
      </c>
      <c r="N936" t="s">
        <v>2306</v>
      </c>
      <c r="O936" t="s">
        <v>25</v>
      </c>
      <c r="P936" t="s">
        <v>103</v>
      </c>
      <c r="Q936" t="s">
        <v>104</v>
      </c>
      <c r="R936" t="s">
        <v>2856</v>
      </c>
      <c r="S936">
        <v>40000000</v>
      </c>
      <c r="T936">
        <v>1440000000</v>
      </c>
      <c r="U936">
        <v>960485657.39999998</v>
      </c>
      <c r="Z936"/>
    </row>
    <row r="937" spans="1:26" x14ac:dyDescent="0.25">
      <c r="A937">
        <v>200681</v>
      </c>
      <c r="B937" t="s">
        <v>3696</v>
      </c>
      <c r="C937" t="s">
        <v>3699</v>
      </c>
      <c r="D937" t="s">
        <v>1284</v>
      </c>
      <c r="E937">
        <v>-13</v>
      </c>
      <c r="F937" s="105">
        <v>43922768.359999999</v>
      </c>
      <c r="G937" t="s">
        <v>491</v>
      </c>
      <c r="H937">
        <v>780849.22</v>
      </c>
      <c r="I937">
        <v>55680839.299999997</v>
      </c>
      <c r="J937" s="711">
        <v>42718.605861145836</v>
      </c>
      <c r="K937" s="711">
        <v>43448</v>
      </c>
      <c r="L937" t="s">
        <v>3700</v>
      </c>
      <c r="M937" t="s">
        <v>1280</v>
      </c>
      <c r="N937" t="s">
        <v>3701</v>
      </c>
      <c r="O937" t="s">
        <v>44</v>
      </c>
      <c r="P937" t="s">
        <v>75</v>
      </c>
      <c r="Q937" t="s">
        <v>1442</v>
      </c>
      <c r="R937" t="s">
        <v>2636</v>
      </c>
      <c r="S937">
        <v>65000000</v>
      </c>
      <c r="T937">
        <v>2600000000</v>
      </c>
      <c r="U937">
        <v>1756910734.4000001</v>
      </c>
      <c r="Z937"/>
    </row>
    <row r="938" spans="1:26" x14ac:dyDescent="0.25">
      <c r="A938">
        <v>200689</v>
      </c>
      <c r="B938" t="s">
        <v>1687</v>
      </c>
      <c r="C938" t="s">
        <v>1694</v>
      </c>
      <c r="D938" t="s">
        <v>1281</v>
      </c>
      <c r="E938">
        <v>76</v>
      </c>
      <c r="F938" s="105">
        <v>23635006.18</v>
      </c>
      <c r="G938" t="s">
        <v>5724</v>
      </c>
      <c r="H938">
        <v>1591657.13</v>
      </c>
      <c r="I938">
        <v>31759143.420000002</v>
      </c>
      <c r="J938" s="711">
        <v>42719.7642991088</v>
      </c>
      <c r="K938" s="711">
        <v>43449</v>
      </c>
      <c r="L938" t="s">
        <v>1695</v>
      </c>
      <c r="M938" t="s">
        <v>1280</v>
      </c>
      <c r="N938" t="s">
        <v>1696</v>
      </c>
      <c r="O938" t="s">
        <v>25</v>
      </c>
      <c r="P938" t="s">
        <v>106</v>
      </c>
      <c r="Q938" t="s">
        <v>26</v>
      </c>
      <c r="R938" t="s">
        <v>2856</v>
      </c>
      <c r="S938">
        <v>30000000</v>
      </c>
      <c r="T938">
        <v>1260000000</v>
      </c>
      <c r="U938">
        <v>992670259.55999994</v>
      </c>
      <c r="Z938"/>
    </row>
    <row r="939" spans="1:26" x14ac:dyDescent="0.25">
      <c r="A939">
        <v>200692</v>
      </c>
      <c r="B939" t="s">
        <v>3728</v>
      </c>
      <c r="C939" t="s">
        <v>3735</v>
      </c>
      <c r="D939" t="s">
        <v>1282</v>
      </c>
      <c r="E939">
        <v>-15</v>
      </c>
      <c r="F939" s="105">
        <v>1026841.7</v>
      </c>
      <c r="G939" t="s">
        <v>2557</v>
      </c>
      <c r="H939">
        <v>21563.68</v>
      </c>
      <c r="I939">
        <v>1096661.92</v>
      </c>
      <c r="J939" s="711">
        <v>42720.726447488429</v>
      </c>
      <c r="K939" s="711">
        <v>43085</v>
      </c>
      <c r="L939" t="s">
        <v>3736</v>
      </c>
      <c r="M939" t="s">
        <v>1280</v>
      </c>
      <c r="N939" t="s">
        <v>1280</v>
      </c>
      <c r="O939" t="s">
        <v>44</v>
      </c>
      <c r="P939" t="s">
        <v>75</v>
      </c>
      <c r="Q939" t="s">
        <v>1442</v>
      </c>
      <c r="R939" t="s">
        <v>2636</v>
      </c>
      <c r="S939">
        <v>5000000</v>
      </c>
      <c r="T939">
        <v>270000000</v>
      </c>
      <c r="U939">
        <v>55449451.799999997</v>
      </c>
      <c r="Z939"/>
    </row>
    <row r="940" spans="1:26" x14ac:dyDescent="0.25">
      <c r="A940">
        <v>200694</v>
      </c>
      <c r="B940" t="s">
        <v>3725</v>
      </c>
      <c r="C940" t="s">
        <v>3737</v>
      </c>
      <c r="D940" t="s">
        <v>1282</v>
      </c>
      <c r="E940">
        <v>-15</v>
      </c>
      <c r="F940" s="105">
        <v>1540262.57</v>
      </c>
      <c r="G940" t="s">
        <v>1448</v>
      </c>
      <c r="H940">
        <v>32345.51</v>
      </c>
      <c r="I940">
        <v>1644992.9</v>
      </c>
      <c r="J940" s="711">
        <v>42720.640963078702</v>
      </c>
      <c r="K940" s="711">
        <v>43085</v>
      </c>
      <c r="L940" t="s">
        <v>3738</v>
      </c>
      <c r="M940" t="s">
        <v>1280</v>
      </c>
      <c r="N940" t="s">
        <v>3739</v>
      </c>
      <c r="O940" t="s">
        <v>25</v>
      </c>
      <c r="P940" t="s">
        <v>290</v>
      </c>
      <c r="Q940" t="s">
        <v>1824</v>
      </c>
      <c r="R940" t="s">
        <v>2856</v>
      </c>
      <c r="S940">
        <v>7500000</v>
      </c>
      <c r="T940">
        <v>405000000</v>
      </c>
      <c r="U940">
        <v>83174178.780000001</v>
      </c>
      <c r="Z940"/>
    </row>
    <row r="941" spans="1:26" x14ac:dyDescent="0.25">
      <c r="A941">
        <v>200695</v>
      </c>
      <c r="B941" t="s">
        <v>3727</v>
      </c>
      <c r="C941" t="s">
        <v>3740</v>
      </c>
      <c r="D941" t="s">
        <v>1282</v>
      </c>
      <c r="E941">
        <v>-19</v>
      </c>
      <c r="F941" s="105">
        <v>1032737.48</v>
      </c>
      <c r="G941" t="s">
        <v>963</v>
      </c>
      <c r="H941">
        <v>15491.06</v>
      </c>
      <c r="I941">
        <v>1102958.58</v>
      </c>
      <c r="J941" s="711">
        <v>42720.736038773146</v>
      </c>
      <c r="K941" s="711">
        <v>43089</v>
      </c>
      <c r="L941" t="s">
        <v>3741</v>
      </c>
      <c r="M941" t="s">
        <v>1280</v>
      </c>
      <c r="N941" t="s">
        <v>3742</v>
      </c>
      <c r="O941" t="s">
        <v>25</v>
      </c>
      <c r="P941" t="s">
        <v>289</v>
      </c>
      <c r="Q941" t="s">
        <v>1771</v>
      </c>
      <c r="R941" t="s">
        <v>2636</v>
      </c>
      <c r="S941">
        <v>5000000</v>
      </c>
      <c r="T941">
        <v>270000000</v>
      </c>
      <c r="U941">
        <v>55767823.920000002</v>
      </c>
      <c r="Z941"/>
    </row>
    <row r="942" spans="1:26" x14ac:dyDescent="0.25">
      <c r="A942">
        <v>200698</v>
      </c>
      <c r="B942" t="s">
        <v>3743</v>
      </c>
      <c r="C942" t="s">
        <v>3744</v>
      </c>
      <c r="D942" t="s">
        <v>1281</v>
      </c>
      <c r="E942">
        <v>-18</v>
      </c>
      <c r="F942" s="105">
        <v>4421284.67</v>
      </c>
      <c r="G942" t="s">
        <v>963</v>
      </c>
      <c r="H942">
        <v>64845.51</v>
      </c>
      <c r="I942">
        <v>4688295.59</v>
      </c>
      <c r="J942" s="711">
        <v>42723.661676504627</v>
      </c>
      <c r="K942" s="711">
        <v>43088</v>
      </c>
      <c r="L942" t="s">
        <v>3745</v>
      </c>
      <c r="M942" t="s">
        <v>1280</v>
      </c>
      <c r="N942" t="s">
        <v>3746</v>
      </c>
      <c r="O942" t="s">
        <v>46</v>
      </c>
      <c r="P942" t="s">
        <v>46</v>
      </c>
      <c r="Q942" t="s">
        <v>112</v>
      </c>
      <c r="R942" t="s">
        <v>2636</v>
      </c>
      <c r="S942">
        <v>22000000</v>
      </c>
      <c r="T942">
        <v>1056000000</v>
      </c>
      <c r="U942">
        <v>212221664.16</v>
      </c>
      <c r="Z942"/>
    </row>
    <row r="943" spans="1:26" x14ac:dyDescent="0.25">
      <c r="A943">
        <v>200701</v>
      </c>
      <c r="B943" t="s">
        <v>3747</v>
      </c>
      <c r="C943" t="s">
        <v>3748</v>
      </c>
      <c r="D943" t="s">
        <v>1283</v>
      </c>
      <c r="E943">
        <v>-19</v>
      </c>
      <c r="F943" s="105">
        <v>27029395.91</v>
      </c>
      <c r="G943" t="s">
        <v>2861</v>
      </c>
      <c r="H943">
        <v>300326.62</v>
      </c>
      <c r="I943">
        <v>34265131.899999999</v>
      </c>
      <c r="J943" s="711">
        <v>42724.647730590281</v>
      </c>
      <c r="K943" s="711">
        <v>43454</v>
      </c>
      <c r="L943" t="s">
        <v>3749</v>
      </c>
      <c r="M943" t="s">
        <v>1280</v>
      </c>
      <c r="N943" t="s">
        <v>3750</v>
      </c>
      <c r="O943" t="s">
        <v>25</v>
      </c>
      <c r="P943" t="s">
        <v>103</v>
      </c>
      <c r="Q943" t="s">
        <v>104</v>
      </c>
      <c r="R943" t="s">
        <v>2856</v>
      </c>
      <c r="S943">
        <v>40000000</v>
      </c>
      <c r="T943">
        <v>1600000000</v>
      </c>
      <c r="U943">
        <v>1081175836.4000001</v>
      </c>
      <c r="Z943"/>
    </row>
    <row r="944" spans="1:26" x14ac:dyDescent="0.25">
      <c r="A944">
        <v>200705</v>
      </c>
      <c r="B944" t="s">
        <v>3755</v>
      </c>
      <c r="C944" t="s">
        <v>3758</v>
      </c>
      <c r="D944" t="s">
        <v>1282</v>
      </c>
      <c r="E944">
        <v>-20</v>
      </c>
      <c r="F944" s="105">
        <v>2053683.31</v>
      </c>
      <c r="G944" t="s">
        <v>1909</v>
      </c>
      <c r="H944">
        <v>27724.720000000001</v>
      </c>
      <c r="I944">
        <v>2712795.13</v>
      </c>
      <c r="J944" s="711">
        <v>42725.59253263889</v>
      </c>
      <c r="K944" s="711">
        <v>43425</v>
      </c>
      <c r="L944" t="s">
        <v>3759</v>
      </c>
      <c r="M944" t="s">
        <v>1280</v>
      </c>
      <c r="N944" t="s">
        <v>3760</v>
      </c>
      <c r="O944" t="s">
        <v>42</v>
      </c>
      <c r="P944" t="s">
        <v>26</v>
      </c>
      <c r="Q944" t="s">
        <v>26</v>
      </c>
      <c r="R944" t="s">
        <v>2636</v>
      </c>
      <c r="S944">
        <v>10000000</v>
      </c>
      <c r="T944">
        <v>540000000</v>
      </c>
      <c r="U944">
        <v>110898898.73999999</v>
      </c>
      <c r="Z944"/>
    </row>
    <row r="945" spans="1:26" x14ac:dyDescent="0.25">
      <c r="A945">
        <v>200706</v>
      </c>
      <c r="B945" t="s">
        <v>3757</v>
      </c>
      <c r="C945" t="s">
        <v>3761</v>
      </c>
      <c r="D945" t="s">
        <v>1284</v>
      </c>
      <c r="E945">
        <v>-20</v>
      </c>
      <c r="F945" s="105">
        <v>7784459.0599999996</v>
      </c>
      <c r="G945" t="s">
        <v>2538</v>
      </c>
      <c r="H945">
        <v>77844.59</v>
      </c>
      <c r="I945">
        <v>8579913.7699999996</v>
      </c>
      <c r="J945" s="711">
        <v>42725.698631446758</v>
      </c>
      <c r="K945" s="711">
        <v>43180</v>
      </c>
      <c r="L945" t="s">
        <v>3762</v>
      </c>
      <c r="M945" t="s">
        <v>1280</v>
      </c>
      <c r="N945" t="s">
        <v>3763</v>
      </c>
      <c r="O945" t="s">
        <v>29</v>
      </c>
      <c r="P945" t="s">
        <v>30</v>
      </c>
      <c r="Q945" t="s">
        <v>30</v>
      </c>
      <c r="R945" t="s">
        <v>2636</v>
      </c>
      <c r="S945">
        <v>20000000</v>
      </c>
      <c r="T945">
        <v>800000000</v>
      </c>
      <c r="U945">
        <v>311378362.39999998</v>
      </c>
      <c r="Z945"/>
    </row>
    <row r="946" spans="1:26" x14ac:dyDescent="0.25">
      <c r="A946">
        <v>200708</v>
      </c>
      <c r="B946" t="s">
        <v>2537</v>
      </c>
      <c r="C946" t="s">
        <v>2550</v>
      </c>
      <c r="D946" t="s">
        <v>1283</v>
      </c>
      <c r="E946">
        <v>-20</v>
      </c>
      <c r="F946" s="105">
        <v>33350196.440000001</v>
      </c>
      <c r="G946" t="s">
        <v>2538</v>
      </c>
      <c r="H946">
        <v>300151.77</v>
      </c>
      <c r="I946">
        <v>41333191.130000003</v>
      </c>
      <c r="J946" s="711">
        <v>42725.658498414348</v>
      </c>
      <c r="K946" s="711">
        <v>43455</v>
      </c>
      <c r="L946" t="s">
        <v>2551</v>
      </c>
      <c r="M946" t="s">
        <v>2552</v>
      </c>
      <c r="N946" t="s">
        <v>1280</v>
      </c>
      <c r="O946" t="s">
        <v>35</v>
      </c>
      <c r="P946" t="s">
        <v>121</v>
      </c>
      <c r="Q946" t="s">
        <v>122</v>
      </c>
      <c r="R946" t="s">
        <v>2856</v>
      </c>
      <c r="S946">
        <v>50000000</v>
      </c>
      <c r="T946">
        <v>1800000000</v>
      </c>
      <c r="U946">
        <v>1200607071.8399999</v>
      </c>
      <c r="Z946"/>
    </row>
    <row r="947" spans="1:26" x14ac:dyDescent="0.25">
      <c r="A947">
        <v>200711</v>
      </c>
      <c r="B947" t="s">
        <v>3752</v>
      </c>
      <c r="C947" t="s">
        <v>3764</v>
      </c>
      <c r="D947" t="s">
        <v>1284</v>
      </c>
      <c r="E947">
        <v>-20</v>
      </c>
      <c r="F947" s="105">
        <v>3902659.98</v>
      </c>
      <c r="G947" t="s">
        <v>1467</v>
      </c>
      <c r="H947">
        <v>39026.6</v>
      </c>
      <c r="I947">
        <v>4098859.28</v>
      </c>
      <c r="J947" s="711">
        <v>42725.689662731478</v>
      </c>
      <c r="K947" s="711">
        <v>43090</v>
      </c>
      <c r="L947" t="s">
        <v>3765</v>
      </c>
      <c r="M947" t="s">
        <v>1280</v>
      </c>
      <c r="N947" t="s">
        <v>3766</v>
      </c>
      <c r="O947" t="s">
        <v>27</v>
      </c>
      <c r="P947" t="s">
        <v>116</v>
      </c>
      <c r="Q947" t="s">
        <v>26</v>
      </c>
      <c r="R947" t="s">
        <v>2636</v>
      </c>
      <c r="S947">
        <v>20000000</v>
      </c>
      <c r="T947">
        <v>800000000</v>
      </c>
      <c r="U947">
        <v>156106399.19999999</v>
      </c>
      <c r="Z947"/>
    </row>
    <row r="948" spans="1:26" x14ac:dyDescent="0.25">
      <c r="A948">
        <v>200712</v>
      </c>
      <c r="B948" t="s">
        <v>3753</v>
      </c>
      <c r="C948" t="s">
        <v>3767</v>
      </c>
      <c r="D948" t="s">
        <v>1279</v>
      </c>
      <c r="E948">
        <v>100</v>
      </c>
      <c r="F948" s="105">
        <v>1419572.51</v>
      </c>
      <c r="G948" t="s">
        <v>2538</v>
      </c>
      <c r="H948">
        <v>95435.88</v>
      </c>
      <c r="I948">
        <v>1516096.5</v>
      </c>
      <c r="J948" s="711">
        <v>42725.702797951388</v>
      </c>
      <c r="K948" s="711">
        <v>42968</v>
      </c>
      <c r="L948" t="s">
        <v>3768</v>
      </c>
      <c r="M948" t="s">
        <v>1280</v>
      </c>
      <c r="N948" t="s">
        <v>1280</v>
      </c>
      <c r="O948" t="s">
        <v>25</v>
      </c>
      <c r="P948" t="s">
        <v>94</v>
      </c>
      <c r="Q948" t="s">
        <v>26</v>
      </c>
      <c r="R948" t="s">
        <v>2636</v>
      </c>
      <c r="S948">
        <v>5000000</v>
      </c>
      <c r="T948">
        <v>270000000</v>
      </c>
      <c r="U948">
        <v>76656915.540000007</v>
      </c>
      <c r="Z948"/>
    </row>
    <row r="949" spans="1:26" x14ac:dyDescent="0.25">
      <c r="A949">
        <v>200715</v>
      </c>
      <c r="B949" t="s">
        <v>3754</v>
      </c>
      <c r="C949" t="s">
        <v>3772</v>
      </c>
      <c r="D949" t="s">
        <v>1281</v>
      </c>
      <c r="E949">
        <v>100</v>
      </c>
      <c r="F949" s="105">
        <v>13374838.109999999</v>
      </c>
      <c r="G949" t="s">
        <v>2034</v>
      </c>
      <c r="H949">
        <v>1003285.89</v>
      </c>
      <c r="I949">
        <v>16189398.01</v>
      </c>
      <c r="J949" s="711">
        <v>42725.761977974536</v>
      </c>
      <c r="K949" s="711">
        <v>43180</v>
      </c>
      <c r="L949" t="s">
        <v>3773</v>
      </c>
      <c r="M949" t="s">
        <v>1280</v>
      </c>
      <c r="N949" t="s">
        <v>1280</v>
      </c>
      <c r="O949" t="s">
        <v>37</v>
      </c>
      <c r="P949" t="s">
        <v>38</v>
      </c>
      <c r="Q949" t="s">
        <v>26</v>
      </c>
      <c r="R949" t="s">
        <v>2636</v>
      </c>
      <c r="S949">
        <v>20000000</v>
      </c>
      <c r="T949">
        <v>960000000</v>
      </c>
      <c r="U949">
        <v>641992229.27999997</v>
      </c>
      <c r="Z949"/>
    </row>
    <row r="950" spans="1:26" x14ac:dyDescent="0.25">
      <c r="A950">
        <v>200716</v>
      </c>
      <c r="B950" t="s">
        <v>3751</v>
      </c>
      <c r="C950" t="s">
        <v>3774</v>
      </c>
      <c r="D950" t="s">
        <v>1282</v>
      </c>
      <c r="E950">
        <v>9</v>
      </c>
      <c r="F950" s="105">
        <v>3622814.08</v>
      </c>
      <c r="G950" t="s">
        <v>1448</v>
      </c>
      <c r="H950">
        <v>192642.12</v>
      </c>
      <c r="I950">
        <v>3953649.75</v>
      </c>
      <c r="J950" s="711">
        <v>42725.767250266203</v>
      </c>
      <c r="K950" s="711">
        <v>43091</v>
      </c>
      <c r="L950" t="s">
        <v>3775</v>
      </c>
      <c r="M950" t="s">
        <v>1280</v>
      </c>
      <c r="N950" t="s">
        <v>3776</v>
      </c>
      <c r="O950" t="s">
        <v>36</v>
      </c>
      <c r="P950" t="s">
        <v>97</v>
      </c>
      <c r="Q950" t="s">
        <v>1811</v>
      </c>
      <c r="R950" t="s">
        <v>2636</v>
      </c>
      <c r="S950">
        <v>12000000</v>
      </c>
      <c r="T950">
        <v>648000000</v>
      </c>
      <c r="U950">
        <v>195631960.31999999</v>
      </c>
      <c r="Z950"/>
    </row>
    <row r="951" spans="1:26" x14ac:dyDescent="0.25">
      <c r="A951">
        <v>200719</v>
      </c>
      <c r="B951" t="s">
        <v>1765</v>
      </c>
      <c r="C951" t="s">
        <v>1766</v>
      </c>
      <c r="D951" t="s">
        <v>1284</v>
      </c>
      <c r="E951">
        <v>-23</v>
      </c>
      <c r="F951" s="105">
        <v>13353030.109999999</v>
      </c>
      <c r="G951" t="s">
        <v>2861</v>
      </c>
      <c r="H951">
        <v>80118.179999999993</v>
      </c>
      <c r="I951">
        <v>16549328.17</v>
      </c>
      <c r="J951" s="711">
        <v>42727.67158440972</v>
      </c>
      <c r="K951" s="711">
        <v>43458</v>
      </c>
      <c r="L951" t="s">
        <v>1767</v>
      </c>
      <c r="M951" t="s">
        <v>1280</v>
      </c>
      <c r="N951" t="s">
        <v>1839</v>
      </c>
      <c r="O951" t="s">
        <v>25</v>
      </c>
      <c r="P951" t="s">
        <v>295</v>
      </c>
      <c r="Q951" t="s">
        <v>3613</v>
      </c>
      <c r="R951" t="s">
        <v>2856</v>
      </c>
      <c r="S951">
        <v>20000000</v>
      </c>
      <c r="T951">
        <v>720000000</v>
      </c>
      <c r="U951">
        <v>480709083.95999998</v>
      </c>
      <c r="Z951"/>
    </row>
    <row r="952" spans="1:26" x14ac:dyDescent="0.25">
      <c r="A952">
        <v>200721</v>
      </c>
      <c r="B952" t="s">
        <v>3783</v>
      </c>
      <c r="C952" t="s">
        <v>3792</v>
      </c>
      <c r="D952" t="s">
        <v>1284</v>
      </c>
      <c r="E952">
        <v>-23</v>
      </c>
      <c r="F952" s="105">
        <v>16893372.43</v>
      </c>
      <c r="G952" t="s">
        <v>491</v>
      </c>
      <c r="H952">
        <v>112622.48</v>
      </c>
      <c r="I952">
        <v>21415707.390000001</v>
      </c>
      <c r="J952" s="711">
        <v>42728.502432094909</v>
      </c>
      <c r="K952" s="711">
        <v>43458</v>
      </c>
      <c r="L952" t="s">
        <v>3793</v>
      </c>
      <c r="M952" t="s">
        <v>1280</v>
      </c>
      <c r="N952" t="s">
        <v>3794</v>
      </c>
      <c r="O952" t="s">
        <v>45</v>
      </c>
      <c r="P952" t="s">
        <v>45</v>
      </c>
      <c r="Q952" t="s">
        <v>89</v>
      </c>
      <c r="R952" t="s">
        <v>2636</v>
      </c>
      <c r="S952">
        <v>25000000</v>
      </c>
      <c r="T952">
        <v>1000000000</v>
      </c>
      <c r="U952">
        <v>675734897.20000005</v>
      </c>
      <c r="Z952"/>
    </row>
    <row r="953" spans="1:26" x14ac:dyDescent="0.25">
      <c r="A953">
        <v>200722</v>
      </c>
      <c r="B953" t="s">
        <v>3779</v>
      </c>
      <c r="C953" t="s">
        <v>3795</v>
      </c>
      <c r="D953" t="s">
        <v>1282</v>
      </c>
      <c r="E953">
        <v>7</v>
      </c>
      <c r="F953" s="105">
        <v>753671.11</v>
      </c>
      <c r="G953" t="s">
        <v>1039</v>
      </c>
      <c r="H953">
        <v>38535.99</v>
      </c>
      <c r="I953">
        <v>822496.42</v>
      </c>
      <c r="J953" s="711">
        <v>42728.535110034725</v>
      </c>
      <c r="K953" s="711">
        <v>43093</v>
      </c>
      <c r="L953" t="s">
        <v>3796</v>
      </c>
      <c r="M953" t="s">
        <v>1280</v>
      </c>
      <c r="N953" t="s">
        <v>1280</v>
      </c>
      <c r="O953" t="s">
        <v>25</v>
      </c>
      <c r="P953" t="s">
        <v>26</v>
      </c>
      <c r="Q953" t="s">
        <v>26</v>
      </c>
      <c r="R953" t="s">
        <v>2636</v>
      </c>
      <c r="S953">
        <v>2500000</v>
      </c>
      <c r="T953">
        <v>135000000</v>
      </c>
      <c r="U953">
        <v>40698239.939999998</v>
      </c>
      <c r="Z953"/>
    </row>
    <row r="954" spans="1:26" x14ac:dyDescent="0.25">
      <c r="A954">
        <v>200723</v>
      </c>
      <c r="B954" t="s">
        <v>3780</v>
      </c>
      <c r="C954" t="s">
        <v>3797</v>
      </c>
      <c r="D954" t="s">
        <v>1282</v>
      </c>
      <c r="E954">
        <v>-23</v>
      </c>
      <c r="F954" s="105">
        <v>1642946.68</v>
      </c>
      <c r="G954" t="s">
        <v>1448</v>
      </c>
      <c r="H954">
        <v>14786.52</v>
      </c>
      <c r="I954">
        <v>1754659.02</v>
      </c>
      <c r="J954" s="711">
        <v>42728.548674571757</v>
      </c>
      <c r="K954" s="711">
        <v>43093</v>
      </c>
      <c r="L954" t="s">
        <v>3798</v>
      </c>
      <c r="M954" t="s">
        <v>1280</v>
      </c>
      <c r="N954" t="s">
        <v>3799</v>
      </c>
      <c r="O954" t="s">
        <v>25</v>
      </c>
      <c r="P954" t="s">
        <v>26</v>
      </c>
      <c r="Q954" t="s">
        <v>26</v>
      </c>
      <c r="R954" t="s">
        <v>2636</v>
      </c>
      <c r="S954">
        <v>8000000</v>
      </c>
      <c r="T954">
        <v>432000000</v>
      </c>
      <c r="U954">
        <v>88719120.719999999</v>
      </c>
      <c r="Z954"/>
    </row>
    <row r="955" spans="1:26" x14ac:dyDescent="0.25">
      <c r="A955">
        <v>200724</v>
      </c>
      <c r="B955" t="s">
        <v>3801</v>
      </c>
      <c r="C955" t="s">
        <v>3802</v>
      </c>
      <c r="D955" t="s">
        <v>1281</v>
      </c>
      <c r="E955">
        <v>89</v>
      </c>
      <c r="F955" s="105">
        <v>9970307.7200000007</v>
      </c>
      <c r="G955" t="s">
        <v>2855</v>
      </c>
      <c r="H955">
        <v>634790.13</v>
      </c>
      <c r="I955">
        <v>11226658.74</v>
      </c>
      <c r="J955" s="711">
        <v>42732.658465509259</v>
      </c>
      <c r="K955" s="711">
        <v>43102</v>
      </c>
      <c r="L955" t="s">
        <v>3803</v>
      </c>
      <c r="M955" t="s">
        <v>1280</v>
      </c>
      <c r="N955" t="s">
        <v>3804</v>
      </c>
      <c r="O955" t="s">
        <v>44</v>
      </c>
      <c r="P955" t="s">
        <v>92</v>
      </c>
      <c r="Q955" t="s">
        <v>26</v>
      </c>
      <c r="R955" t="s">
        <v>2636</v>
      </c>
      <c r="S955">
        <v>18000000</v>
      </c>
      <c r="T955">
        <v>756000000</v>
      </c>
      <c r="U955">
        <v>418752924.24000001</v>
      </c>
      <c r="Z955"/>
    </row>
    <row r="956" spans="1:26" x14ac:dyDescent="0.25">
      <c r="A956">
        <v>200725</v>
      </c>
      <c r="B956" t="s">
        <v>3800</v>
      </c>
      <c r="C956" t="s">
        <v>3805</v>
      </c>
      <c r="D956" t="s">
        <v>1282</v>
      </c>
      <c r="E956">
        <v>0</v>
      </c>
      <c r="F956" s="105">
        <v>3330432.95</v>
      </c>
      <c r="G956" t="s">
        <v>2861</v>
      </c>
      <c r="H956">
        <v>144873.82999999999</v>
      </c>
      <c r="I956">
        <v>3634568.35</v>
      </c>
      <c r="J956" s="711">
        <v>42732.696451076386</v>
      </c>
      <c r="K956" s="711">
        <v>43101</v>
      </c>
      <c r="L956" t="s">
        <v>3806</v>
      </c>
      <c r="M956" t="s">
        <v>1280</v>
      </c>
      <c r="N956" t="s">
        <v>1280</v>
      </c>
      <c r="O956" t="s">
        <v>37</v>
      </c>
      <c r="P956" t="s">
        <v>38</v>
      </c>
      <c r="Q956" t="s">
        <v>39</v>
      </c>
      <c r="R956" t="s">
        <v>2636</v>
      </c>
      <c r="S956">
        <v>11000000</v>
      </c>
      <c r="T956">
        <v>594000000</v>
      </c>
      <c r="U956">
        <v>179843379.30000001</v>
      </c>
      <c r="Z956"/>
    </row>
    <row r="957" spans="1:26" x14ac:dyDescent="0.25">
      <c r="A957">
        <v>200729</v>
      </c>
      <c r="B957" t="s">
        <v>3809</v>
      </c>
      <c r="C957" t="s">
        <v>3819</v>
      </c>
      <c r="D957" t="s">
        <v>1284</v>
      </c>
      <c r="E957">
        <v>-1</v>
      </c>
      <c r="F957" s="105">
        <v>14309028.390000001</v>
      </c>
      <c r="G957" t="s">
        <v>1448</v>
      </c>
      <c r="H957">
        <v>445169.77</v>
      </c>
      <c r="I957">
        <v>18415534.469999999</v>
      </c>
      <c r="J957" s="711">
        <v>42733.700722256945</v>
      </c>
      <c r="K957" s="711">
        <v>43467</v>
      </c>
      <c r="L957" t="s">
        <v>3820</v>
      </c>
      <c r="M957" t="s">
        <v>1280</v>
      </c>
      <c r="N957" t="s">
        <v>3821</v>
      </c>
      <c r="O957" t="s">
        <v>25</v>
      </c>
      <c r="P957" t="s">
        <v>26</v>
      </c>
      <c r="Q957" t="s">
        <v>26</v>
      </c>
      <c r="R957" t="s">
        <v>2856</v>
      </c>
      <c r="S957">
        <v>20000000</v>
      </c>
      <c r="T957">
        <v>800000000</v>
      </c>
      <c r="U957">
        <v>572361135.60000002</v>
      </c>
      <c r="Z957"/>
    </row>
    <row r="958" spans="1:26" x14ac:dyDescent="0.25">
      <c r="A958">
        <v>200730</v>
      </c>
      <c r="B958" t="s">
        <v>3312</v>
      </c>
      <c r="C958" t="s">
        <v>3318</v>
      </c>
      <c r="D958" t="s">
        <v>1281</v>
      </c>
      <c r="E958">
        <v>-9</v>
      </c>
      <c r="F958" s="105">
        <v>1965703.19</v>
      </c>
      <c r="G958" t="s">
        <v>1925</v>
      </c>
      <c r="H958">
        <v>52418.75</v>
      </c>
      <c r="I958">
        <v>2084416.25</v>
      </c>
      <c r="J958" s="711">
        <v>42734.481439351854</v>
      </c>
      <c r="K958" s="711">
        <v>43079</v>
      </c>
      <c r="L958" t="s">
        <v>3319</v>
      </c>
      <c r="M958" t="s">
        <v>1280</v>
      </c>
      <c r="N958" t="s">
        <v>3320</v>
      </c>
      <c r="O958" t="s">
        <v>25</v>
      </c>
      <c r="P958" t="s">
        <v>26</v>
      </c>
      <c r="Q958" t="s">
        <v>26</v>
      </c>
      <c r="R958" t="s">
        <v>2856</v>
      </c>
      <c r="S958">
        <v>10038600</v>
      </c>
      <c r="T958">
        <v>481852800</v>
      </c>
      <c r="U958">
        <v>94353753.120000005</v>
      </c>
      <c r="Z958"/>
    </row>
    <row r="959" spans="1:26" x14ac:dyDescent="0.25">
      <c r="A959">
        <v>200731</v>
      </c>
      <c r="B959" t="s">
        <v>1846</v>
      </c>
      <c r="C959" t="s">
        <v>1847</v>
      </c>
      <c r="D959" t="s">
        <v>1284</v>
      </c>
      <c r="E959">
        <v>-4</v>
      </c>
      <c r="F959" s="105">
        <v>9670721.5199999996</v>
      </c>
      <c r="G959" t="s">
        <v>491</v>
      </c>
      <c r="H959">
        <v>241768.04</v>
      </c>
      <c r="I959">
        <v>11178432.6</v>
      </c>
      <c r="J959" s="711">
        <v>42735.554605787038</v>
      </c>
      <c r="K959" s="711">
        <v>43286</v>
      </c>
      <c r="L959" t="s">
        <v>1848</v>
      </c>
      <c r="M959" t="s">
        <v>1849</v>
      </c>
      <c r="N959" t="s">
        <v>1280</v>
      </c>
      <c r="O959" t="s">
        <v>42</v>
      </c>
      <c r="P959" t="s">
        <v>26</v>
      </c>
      <c r="Q959" t="s">
        <v>26</v>
      </c>
      <c r="R959" t="s">
        <v>2856</v>
      </c>
      <c r="S959">
        <v>17000000</v>
      </c>
      <c r="T959">
        <v>612000000</v>
      </c>
      <c r="U959">
        <v>348145974.72000003</v>
      </c>
      <c r="Z959"/>
    </row>
    <row r="960" spans="1:26" x14ac:dyDescent="0.25">
      <c r="A960">
        <v>200733</v>
      </c>
      <c r="B960" t="s">
        <v>3829</v>
      </c>
      <c r="C960" t="s">
        <v>3830</v>
      </c>
      <c r="D960" t="s">
        <v>1281</v>
      </c>
      <c r="E960">
        <v>0</v>
      </c>
      <c r="F960" s="105">
        <v>8289990.04</v>
      </c>
      <c r="G960" t="s">
        <v>2175</v>
      </c>
      <c r="H960">
        <v>320546.28000000003</v>
      </c>
      <c r="I960">
        <v>8961857.4000000004</v>
      </c>
      <c r="J960" s="711">
        <v>42735.665573611113</v>
      </c>
      <c r="K960" s="711">
        <v>43101</v>
      </c>
      <c r="L960" t="s">
        <v>3831</v>
      </c>
      <c r="M960" t="s">
        <v>1280</v>
      </c>
      <c r="N960" t="s">
        <v>1280</v>
      </c>
      <c r="O960" t="s">
        <v>37</v>
      </c>
      <c r="P960" t="s">
        <v>288</v>
      </c>
      <c r="Q960" t="s">
        <v>1829</v>
      </c>
      <c r="R960" t="s">
        <v>2636</v>
      </c>
      <c r="S960">
        <v>28000000</v>
      </c>
      <c r="T960">
        <v>1344000000</v>
      </c>
      <c r="U960">
        <v>397919521.92000002</v>
      </c>
      <c r="Z960"/>
    </row>
    <row r="961" spans="1:26" x14ac:dyDescent="0.25">
      <c r="A961">
        <v>200734</v>
      </c>
      <c r="B961" t="s">
        <v>3832</v>
      </c>
      <c r="C961" t="s">
        <v>3833</v>
      </c>
      <c r="D961" t="s">
        <v>1279</v>
      </c>
      <c r="E961">
        <v>29</v>
      </c>
      <c r="F961" s="105">
        <v>1183679.2</v>
      </c>
      <c r="G961" t="s">
        <v>3074</v>
      </c>
      <c r="H961">
        <v>91359.63</v>
      </c>
      <c r="I961">
        <v>1319772.23</v>
      </c>
      <c r="J961" s="711">
        <v>42735.453944479166</v>
      </c>
      <c r="K961" s="711">
        <v>43102</v>
      </c>
      <c r="L961" t="s">
        <v>3834</v>
      </c>
      <c r="M961" t="s">
        <v>1280</v>
      </c>
      <c r="N961" t="s">
        <v>3835</v>
      </c>
      <c r="O961" t="s">
        <v>25</v>
      </c>
      <c r="P961" t="s">
        <v>88</v>
      </c>
      <c r="Q961" t="s">
        <v>285</v>
      </c>
      <c r="R961" t="s">
        <v>2636</v>
      </c>
      <c r="S961">
        <v>3000000</v>
      </c>
      <c r="T961">
        <v>162000000</v>
      </c>
      <c r="U961">
        <v>63918676.799999997</v>
      </c>
      <c r="Z961"/>
    </row>
    <row r="962" spans="1:26" x14ac:dyDescent="0.25">
      <c r="A962">
        <v>200736</v>
      </c>
      <c r="B962" t="s">
        <v>3836</v>
      </c>
      <c r="C962" t="s">
        <v>3837</v>
      </c>
      <c r="D962" t="s">
        <v>1282</v>
      </c>
      <c r="E962">
        <v>-4</v>
      </c>
      <c r="F962" s="105">
        <v>4554481.38</v>
      </c>
      <c r="G962" t="s">
        <v>1909</v>
      </c>
      <c r="H962">
        <v>170793.05</v>
      </c>
      <c r="I962">
        <v>4970396.9800000004</v>
      </c>
      <c r="J962" s="711">
        <v>42735.522011805559</v>
      </c>
      <c r="K962" s="711">
        <v>43105</v>
      </c>
      <c r="L962" t="s">
        <v>3838</v>
      </c>
      <c r="M962" t="s">
        <v>1280</v>
      </c>
      <c r="N962" t="s">
        <v>3839</v>
      </c>
      <c r="O962" t="s">
        <v>46</v>
      </c>
      <c r="P962" t="s">
        <v>46</v>
      </c>
      <c r="Q962" t="s">
        <v>3840</v>
      </c>
      <c r="R962" t="s">
        <v>2856</v>
      </c>
      <c r="S962">
        <v>15000000</v>
      </c>
      <c r="T962">
        <v>810000000</v>
      </c>
      <c r="U962">
        <v>245941994.52000001</v>
      </c>
      <c r="Z962"/>
    </row>
    <row r="963" spans="1:26" x14ac:dyDescent="0.25">
      <c r="A963">
        <v>200738</v>
      </c>
      <c r="B963" t="s">
        <v>2495</v>
      </c>
      <c r="C963" t="s">
        <v>2501</v>
      </c>
      <c r="D963" t="s">
        <v>1283</v>
      </c>
      <c r="E963">
        <v>30</v>
      </c>
      <c r="F963" s="105">
        <v>34412071.380000003</v>
      </c>
      <c r="G963" t="s">
        <v>1447</v>
      </c>
      <c r="H963">
        <v>2007066.73</v>
      </c>
      <c r="I963">
        <v>51350055.359999999</v>
      </c>
      <c r="J963" s="711">
        <v>42735.812771412035</v>
      </c>
      <c r="K963" s="711">
        <v>43831</v>
      </c>
      <c r="L963" t="s">
        <v>2502</v>
      </c>
      <c r="M963" t="s">
        <v>2503</v>
      </c>
      <c r="N963" t="s">
        <v>1280</v>
      </c>
      <c r="O963" t="s">
        <v>44</v>
      </c>
      <c r="P963" t="s">
        <v>75</v>
      </c>
      <c r="Q963" t="s">
        <v>1442</v>
      </c>
      <c r="R963" t="s">
        <v>2856</v>
      </c>
      <c r="S963">
        <v>40000000</v>
      </c>
      <c r="T963">
        <v>1440000000</v>
      </c>
      <c r="U963">
        <v>1238834569.6800001</v>
      </c>
      <c r="Z963"/>
    </row>
    <row r="964" spans="1:26" x14ac:dyDescent="0.25">
      <c r="A964">
        <v>200739</v>
      </c>
      <c r="B964" t="s">
        <v>3842</v>
      </c>
      <c r="C964" t="s">
        <v>3843</v>
      </c>
      <c r="D964" t="s">
        <v>1284</v>
      </c>
      <c r="E964">
        <v>27</v>
      </c>
      <c r="F964" s="105">
        <v>13005524.529999999</v>
      </c>
      <c r="G964" t="s">
        <v>1667</v>
      </c>
      <c r="H964">
        <v>433517.48</v>
      </c>
      <c r="I964">
        <v>20206263.440000001</v>
      </c>
      <c r="J964" s="711">
        <v>42739.603332094906</v>
      </c>
      <c r="K964" s="711">
        <v>43834</v>
      </c>
      <c r="L964" t="s">
        <v>3844</v>
      </c>
      <c r="M964" t="s">
        <v>1280</v>
      </c>
      <c r="N964" t="s">
        <v>1280</v>
      </c>
      <c r="O964" t="s">
        <v>44</v>
      </c>
      <c r="P964" t="s">
        <v>75</v>
      </c>
      <c r="Q964" t="s">
        <v>1442</v>
      </c>
      <c r="R964" t="s">
        <v>2636</v>
      </c>
      <c r="S964">
        <v>15000000</v>
      </c>
      <c r="T964">
        <v>600000000</v>
      </c>
      <c r="U964">
        <v>520220981.19999999</v>
      </c>
      <c r="Z964"/>
    </row>
    <row r="965" spans="1:26" x14ac:dyDescent="0.25">
      <c r="A965">
        <v>200740</v>
      </c>
      <c r="B965" t="s">
        <v>3841</v>
      </c>
      <c r="C965" t="s">
        <v>3845</v>
      </c>
      <c r="D965" t="s">
        <v>1282</v>
      </c>
      <c r="E965">
        <v>27</v>
      </c>
      <c r="F965" s="105">
        <v>2360581.64</v>
      </c>
      <c r="G965" t="s">
        <v>90</v>
      </c>
      <c r="H965">
        <v>176769.79</v>
      </c>
      <c r="I965">
        <v>2631988.5499999998</v>
      </c>
      <c r="J965" s="711">
        <v>42739.676790081015</v>
      </c>
      <c r="K965" s="711">
        <v>43104</v>
      </c>
      <c r="L965" t="s">
        <v>3846</v>
      </c>
      <c r="M965" t="s">
        <v>1280</v>
      </c>
      <c r="N965" t="s">
        <v>3847</v>
      </c>
      <c r="O965" t="s">
        <v>31</v>
      </c>
      <c r="P965" t="s">
        <v>509</v>
      </c>
      <c r="Q965" t="s">
        <v>26</v>
      </c>
      <c r="R965" t="s">
        <v>2636</v>
      </c>
      <c r="S965">
        <v>6000000</v>
      </c>
      <c r="T965">
        <v>324000000</v>
      </c>
      <c r="U965">
        <v>127471408.56</v>
      </c>
      <c r="Z965"/>
    </row>
    <row r="966" spans="1:26" x14ac:dyDescent="0.25">
      <c r="A966">
        <v>200742</v>
      </c>
      <c r="B966" t="s">
        <v>2136</v>
      </c>
      <c r="C966" t="s">
        <v>2154</v>
      </c>
      <c r="D966" t="s">
        <v>1282</v>
      </c>
      <c r="E966">
        <v>-5</v>
      </c>
      <c r="F966" s="105">
        <v>2365535.84</v>
      </c>
      <c r="G966" t="s">
        <v>1925</v>
      </c>
      <c r="H966">
        <v>75697.149999999994</v>
      </c>
      <c r="I966">
        <v>2557252.15</v>
      </c>
      <c r="J966" s="711">
        <v>42741.718298032407</v>
      </c>
      <c r="K966" s="711">
        <v>43106</v>
      </c>
      <c r="L966" t="s">
        <v>2155</v>
      </c>
      <c r="M966" t="s">
        <v>1280</v>
      </c>
      <c r="N966" t="s">
        <v>1280</v>
      </c>
      <c r="O966" t="s">
        <v>44</v>
      </c>
      <c r="P966" t="s">
        <v>75</v>
      </c>
      <c r="Q966" t="s">
        <v>1442</v>
      </c>
      <c r="R966" t="s">
        <v>2856</v>
      </c>
      <c r="S966">
        <v>8000000</v>
      </c>
      <c r="T966">
        <v>384000000</v>
      </c>
      <c r="U966">
        <v>113545720.31999999</v>
      </c>
      <c r="Z966"/>
    </row>
    <row r="967" spans="1:26" x14ac:dyDescent="0.25">
      <c r="A967">
        <v>200744</v>
      </c>
      <c r="B967" t="s">
        <v>1649</v>
      </c>
      <c r="C967" t="s">
        <v>1653</v>
      </c>
      <c r="D967" t="s">
        <v>1284</v>
      </c>
      <c r="E967">
        <v>-9</v>
      </c>
      <c r="F967" s="105">
        <v>16837851.370000001</v>
      </c>
      <c r="G967" t="s">
        <v>963</v>
      </c>
      <c r="H967">
        <v>336757.03</v>
      </c>
      <c r="I967">
        <v>24806089.649999999</v>
      </c>
      <c r="J967" s="711">
        <v>42742.522071180552</v>
      </c>
      <c r="K967" s="711">
        <v>43840</v>
      </c>
      <c r="L967" t="s">
        <v>1654</v>
      </c>
      <c r="M967" t="s">
        <v>1280</v>
      </c>
      <c r="N967" t="s">
        <v>1280</v>
      </c>
      <c r="O967" t="s">
        <v>45</v>
      </c>
      <c r="P967" t="s">
        <v>45</v>
      </c>
      <c r="Q967" t="s">
        <v>89</v>
      </c>
      <c r="R967" t="s">
        <v>2856</v>
      </c>
      <c r="S967">
        <v>20000000</v>
      </c>
      <c r="T967">
        <v>720000000</v>
      </c>
      <c r="U967">
        <v>606162649.32000005</v>
      </c>
      <c r="Z967"/>
    </row>
    <row r="968" spans="1:26" x14ac:dyDescent="0.25">
      <c r="A968">
        <v>200745</v>
      </c>
      <c r="B968" t="s">
        <v>3850</v>
      </c>
      <c r="C968" t="s">
        <v>3855</v>
      </c>
      <c r="D968" t="s">
        <v>1284</v>
      </c>
      <c r="E968">
        <v>-14</v>
      </c>
      <c r="F968" s="105">
        <v>36567289.109999999</v>
      </c>
      <c r="G968" t="s">
        <v>1191</v>
      </c>
      <c r="H968">
        <v>609454.81999999995</v>
      </c>
      <c r="I968">
        <v>65875164.060000002</v>
      </c>
      <c r="J968" s="711">
        <v>42746.49197476852</v>
      </c>
      <c r="K968" s="711">
        <v>44211</v>
      </c>
      <c r="L968" t="s">
        <v>3856</v>
      </c>
      <c r="M968" t="s">
        <v>1280</v>
      </c>
      <c r="N968" t="s">
        <v>1280</v>
      </c>
      <c r="O968" t="s">
        <v>44</v>
      </c>
      <c r="P968" t="s">
        <v>75</v>
      </c>
      <c r="Q968" t="s">
        <v>26</v>
      </c>
      <c r="R968" t="s">
        <v>2636</v>
      </c>
      <c r="S968">
        <v>40000000</v>
      </c>
      <c r="T968">
        <v>1600000000</v>
      </c>
      <c r="U968">
        <v>1462691564.4000001</v>
      </c>
      <c r="Z968"/>
    </row>
    <row r="969" spans="1:26" x14ac:dyDescent="0.25">
      <c r="A969">
        <v>200746</v>
      </c>
      <c r="B969" t="s">
        <v>3851</v>
      </c>
      <c r="C969" t="s">
        <v>3857</v>
      </c>
      <c r="D969" t="s">
        <v>1866</v>
      </c>
      <c r="E969">
        <v>-10</v>
      </c>
      <c r="F969" s="105">
        <v>2976165.84</v>
      </c>
      <c r="G969" t="s">
        <v>1467</v>
      </c>
      <c r="H969">
        <v>78537.710000000006</v>
      </c>
      <c r="I969">
        <v>3227553.53</v>
      </c>
      <c r="J969" s="711">
        <v>42746.558083877317</v>
      </c>
      <c r="K969" s="711">
        <v>43111</v>
      </c>
      <c r="L969" t="s">
        <v>3858</v>
      </c>
      <c r="M969" t="s">
        <v>1280</v>
      </c>
      <c r="N969" t="s">
        <v>1280</v>
      </c>
      <c r="O969" t="s">
        <v>25</v>
      </c>
      <c r="P969" t="s">
        <v>88</v>
      </c>
      <c r="Q969" t="s">
        <v>285</v>
      </c>
      <c r="R969" t="s">
        <v>2636</v>
      </c>
      <c r="S969">
        <v>10000000</v>
      </c>
      <c r="T969">
        <v>500000000</v>
      </c>
      <c r="U969">
        <v>148808292</v>
      </c>
      <c r="Z969"/>
    </row>
    <row r="970" spans="1:26" x14ac:dyDescent="0.25">
      <c r="A970">
        <v>200748</v>
      </c>
      <c r="B970" t="s">
        <v>3848</v>
      </c>
      <c r="C970" t="s">
        <v>3859</v>
      </c>
      <c r="D970" t="s">
        <v>1282</v>
      </c>
      <c r="E970">
        <v>-10</v>
      </c>
      <c r="F970" s="105">
        <v>1808810.68</v>
      </c>
      <c r="G970" t="s">
        <v>2861</v>
      </c>
      <c r="H970">
        <v>51551.1</v>
      </c>
      <c r="I970">
        <v>1973991.42</v>
      </c>
      <c r="J970" s="711">
        <v>42746.725331678237</v>
      </c>
      <c r="K970" s="711">
        <v>43111</v>
      </c>
      <c r="L970" t="s">
        <v>3860</v>
      </c>
      <c r="M970" t="s">
        <v>1280</v>
      </c>
      <c r="N970" t="s">
        <v>1280</v>
      </c>
      <c r="O970" t="s">
        <v>25</v>
      </c>
      <c r="P970" t="s">
        <v>26</v>
      </c>
      <c r="Q970" t="s">
        <v>26</v>
      </c>
      <c r="R970" t="s">
        <v>2636</v>
      </c>
      <c r="S970">
        <v>6000000</v>
      </c>
      <c r="T970">
        <v>324000000</v>
      </c>
      <c r="U970">
        <v>97675776.719999999</v>
      </c>
      <c r="Z970"/>
    </row>
    <row r="971" spans="1:26" x14ac:dyDescent="0.25">
      <c r="A971">
        <v>200750</v>
      </c>
      <c r="B971" t="s">
        <v>1751</v>
      </c>
      <c r="C971" t="s">
        <v>1752</v>
      </c>
      <c r="D971" t="s">
        <v>1284</v>
      </c>
      <c r="E971">
        <v>26</v>
      </c>
      <c r="F971" s="105">
        <v>36086563.07</v>
      </c>
      <c r="G971" t="s">
        <v>1667</v>
      </c>
      <c r="H971">
        <v>875142.01</v>
      </c>
      <c r="I971">
        <v>45065474.859999999</v>
      </c>
      <c r="J971" s="711">
        <v>42747.690769907407</v>
      </c>
      <c r="K971" s="711">
        <v>43470</v>
      </c>
      <c r="L971" t="s">
        <v>1753</v>
      </c>
      <c r="M971" t="s">
        <v>1280</v>
      </c>
      <c r="N971" t="s">
        <v>1280</v>
      </c>
      <c r="O971" t="s">
        <v>44</v>
      </c>
      <c r="P971" t="s">
        <v>75</v>
      </c>
      <c r="Q971" t="s">
        <v>1442</v>
      </c>
      <c r="R971" t="s">
        <v>2856</v>
      </c>
      <c r="S971">
        <v>50000000</v>
      </c>
      <c r="T971">
        <v>1800000000</v>
      </c>
      <c r="U971">
        <v>1299116270.52</v>
      </c>
      <c r="Z971"/>
    </row>
    <row r="972" spans="1:26" x14ac:dyDescent="0.25">
      <c r="A972">
        <v>200751</v>
      </c>
      <c r="B972" t="s">
        <v>3865</v>
      </c>
      <c r="C972" t="s">
        <v>3874</v>
      </c>
      <c r="D972" t="s">
        <v>1281</v>
      </c>
      <c r="E972">
        <v>16</v>
      </c>
      <c r="F972" s="105">
        <v>12846989.810000001</v>
      </c>
      <c r="G972" t="s">
        <v>2861</v>
      </c>
      <c r="H972">
        <v>513879.59</v>
      </c>
      <c r="I972">
        <v>15839175.060000001</v>
      </c>
      <c r="J972" s="711">
        <v>42748.658324918979</v>
      </c>
      <c r="K972" s="711">
        <v>43296</v>
      </c>
      <c r="L972" t="s">
        <v>3875</v>
      </c>
      <c r="M972" t="s">
        <v>1280</v>
      </c>
      <c r="N972" t="s">
        <v>3876</v>
      </c>
      <c r="O972" t="s">
        <v>44</v>
      </c>
      <c r="P972" t="s">
        <v>92</v>
      </c>
      <c r="Q972" t="s">
        <v>26</v>
      </c>
      <c r="R972" t="s">
        <v>2636</v>
      </c>
      <c r="S972">
        <v>20000000</v>
      </c>
      <c r="T972">
        <v>960000000</v>
      </c>
      <c r="U972">
        <v>616655510.88</v>
      </c>
      <c r="Z972"/>
    </row>
    <row r="973" spans="1:26" x14ac:dyDescent="0.25">
      <c r="A973">
        <v>200754</v>
      </c>
      <c r="B973" t="s">
        <v>3886</v>
      </c>
      <c r="C973" t="s">
        <v>3894</v>
      </c>
      <c r="D973" t="s">
        <v>1282</v>
      </c>
      <c r="E973">
        <v>-15</v>
      </c>
      <c r="F973" s="105">
        <v>1808810.68</v>
      </c>
      <c r="G973" t="s">
        <v>1039</v>
      </c>
      <c r="H973">
        <v>37985.019999999997</v>
      </c>
      <c r="I973">
        <v>1973991.42</v>
      </c>
      <c r="J973" s="711">
        <v>42751.542047488423</v>
      </c>
      <c r="K973" s="711">
        <v>43116</v>
      </c>
      <c r="L973" t="s">
        <v>3895</v>
      </c>
      <c r="M973" t="s">
        <v>1280</v>
      </c>
      <c r="N973" t="s">
        <v>3896</v>
      </c>
      <c r="O973" t="s">
        <v>36</v>
      </c>
      <c r="P973" t="s">
        <v>118</v>
      </c>
      <c r="Q973" t="s">
        <v>119</v>
      </c>
      <c r="R973" t="s">
        <v>2636</v>
      </c>
      <c r="S973">
        <v>6000000</v>
      </c>
      <c r="T973">
        <v>324000000</v>
      </c>
      <c r="U973">
        <v>97675776.719999999</v>
      </c>
      <c r="Z973"/>
    </row>
    <row r="974" spans="1:26" x14ac:dyDescent="0.25">
      <c r="A974">
        <v>200755</v>
      </c>
      <c r="B974" t="s">
        <v>1854</v>
      </c>
      <c r="C974" t="s">
        <v>1855</v>
      </c>
      <c r="D974" t="s">
        <v>1285</v>
      </c>
      <c r="E974">
        <v>-20</v>
      </c>
      <c r="F974" s="105">
        <v>39066230.5</v>
      </c>
      <c r="G974" t="s">
        <v>284</v>
      </c>
      <c r="H974">
        <v>214864.27</v>
      </c>
      <c r="I974">
        <v>60467453.600000001</v>
      </c>
      <c r="J974" s="711">
        <v>42751.716267129632</v>
      </c>
      <c r="K974" s="711">
        <v>44582</v>
      </c>
      <c r="L974" t="s">
        <v>1856</v>
      </c>
      <c r="M974" t="s">
        <v>1280</v>
      </c>
      <c r="N974" t="s">
        <v>1280</v>
      </c>
      <c r="O974" t="s">
        <v>43</v>
      </c>
      <c r="P974" t="s">
        <v>338</v>
      </c>
      <c r="Q974" t="s">
        <v>339</v>
      </c>
      <c r="R974" t="s">
        <v>2636</v>
      </c>
      <c r="S974">
        <v>42800000</v>
      </c>
      <c r="T974">
        <v>941600000</v>
      </c>
      <c r="U974">
        <v>859457071</v>
      </c>
      <c r="Z974"/>
    </row>
    <row r="975" spans="1:26" x14ac:dyDescent="0.25">
      <c r="A975">
        <v>200757</v>
      </c>
      <c r="B975" t="s">
        <v>3902</v>
      </c>
      <c r="C975" t="s">
        <v>3909</v>
      </c>
      <c r="D975" t="s">
        <v>1867</v>
      </c>
      <c r="E975">
        <v>-16</v>
      </c>
      <c r="F975" s="105">
        <v>4435379.6900000004</v>
      </c>
      <c r="G975" t="s">
        <v>2557</v>
      </c>
      <c r="H975">
        <v>76879.91</v>
      </c>
      <c r="I975">
        <v>4794847.78</v>
      </c>
      <c r="J975" s="711">
        <v>42752.563019675923</v>
      </c>
      <c r="K975" s="711">
        <v>43117</v>
      </c>
      <c r="L975" t="s">
        <v>3910</v>
      </c>
      <c r="M975" t="s">
        <v>1280</v>
      </c>
      <c r="N975" t="s">
        <v>1280</v>
      </c>
      <c r="O975" t="s">
        <v>45</v>
      </c>
      <c r="P975" t="s">
        <v>45</v>
      </c>
      <c r="Q975" t="s">
        <v>89</v>
      </c>
      <c r="R975" t="s">
        <v>2636</v>
      </c>
      <c r="S975">
        <v>15000000</v>
      </c>
      <c r="T975">
        <v>720000000</v>
      </c>
      <c r="U975">
        <v>212898225.12</v>
      </c>
      <c r="Z975"/>
    </row>
    <row r="976" spans="1:26" x14ac:dyDescent="0.25">
      <c r="A976">
        <v>200758</v>
      </c>
      <c r="B976" t="s">
        <v>3901</v>
      </c>
      <c r="C976" t="s">
        <v>3911</v>
      </c>
      <c r="D976" t="s">
        <v>1281</v>
      </c>
      <c r="E976">
        <v>-16</v>
      </c>
      <c r="F976" s="105">
        <v>21876594.050000001</v>
      </c>
      <c r="G976" t="s">
        <v>2855</v>
      </c>
      <c r="H976">
        <v>379194.3</v>
      </c>
      <c r="I976">
        <v>29514074.100000001</v>
      </c>
      <c r="J976" s="711">
        <v>42752.565499884258</v>
      </c>
      <c r="K976" s="711">
        <v>43482</v>
      </c>
      <c r="L976" t="s">
        <v>3912</v>
      </c>
      <c r="M976" t="s">
        <v>1280</v>
      </c>
      <c r="N976" t="s">
        <v>3913</v>
      </c>
      <c r="O976" t="s">
        <v>45</v>
      </c>
      <c r="P976" t="s">
        <v>45</v>
      </c>
      <c r="Q976" t="s">
        <v>89</v>
      </c>
      <c r="R976" t="s">
        <v>2856</v>
      </c>
      <c r="S976">
        <v>30000000</v>
      </c>
      <c r="T976">
        <v>1440000000</v>
      </c>
      <c r="U976">
        <v>1050076514.4</v>
      </c>
      <c r="Z976"/>
    </row>
    <row r="977" spans="1:26" x14ac:dyDescent="0.25">
      <c r="A977">
        <v>200759</v>
      </c>
      <c r="B977" t="s">
        <v>1669</v>
      </c>
      <c r="C977" t="s">
        <v>1677</v>
      </c>
      <c r="D977" t="s">
        <v>1284</v>
      </c>
      <c r="E977">
        <v>-16</v>
      </c>
      <c r="F977" s="105">
        <v>51120102.340000004</v>
      </c>
      <c r="G977" t="s">
        <v>491</v>
      </c>
      <c r="H977">
        <v>664561.32999999996</v>
      </c>
      <c r="I977">
        <v>69641288.829999998</v>
      </c>
      <c r="J977" s="711">
        <v>42752.62497271991</v>
      </c>
      <c r="K977" s="711">
        <v>43663</v>
      </c>
      <c r="L977" t="s">
        <v>1678</v>
      </c>
      <c r="M977" t="s">
        <v>1679</v>
      </c>
      <c r="N977" t="s">
        <v>1280</v>
      </c>
      <c r="O977" t="s">
        <v>44</v>
      </c>
      <c r="P977" t="s">
        <v>75</v>
      </c>
      <c r="Q977" t="s">
        <v>1442</v>
      </c>
      <c r="R977" t="s">
        <v>2856</v>
      </c>
      <c r="S977">
        <v>65000000</v>
      </c>
      <c r="T977">
        <v>2340000000</v>
      </c>
      <c r="U977">
        <v>1840323684.24</v>
      </c>
      <c r="Z977"/>
    </row>
    <row r="978" spans="1:26" x14ac:dyDescent="0.25">
      <c r="A978">
        <v>200760</v>
      </c>
      <c r="B978" t="s">
        <v>3899</v>
      </c>
      <c r="C978" t="s">
        <v>3914</v>
      </c>
      <c r="D978" t="s">
        <v>1284</v>
      </c>
      <c r="E978">
        <v>-19</v>
      </c>
      <c r="F978" s="105">
        <v>14309028.390000001</v>
      </c>
      <c r="G978" t="s">
        <v>2855</v>
      </c>
      <c r="H978">
        <v>158989.20000000001</v>
      </c>
      <c r="I978">
        <v>18415534.469999999</v>
      </c>
      <c r="J978" s="711">
        <v>42752.656163159721</v>
      </c>
      <c r="K978" s="711">
        <v>43485</v>
      </c>
      <c r="L978" t="s">
        <v>3915</v>
      </c>
      <c r="M978" t="s">
        <v>1280</v>
      </c>
      <c r="N978" t="s">
        <v>3916</v>
      </c>
      <c r="O978" t="s">
        <v>44</v>
      </c>
      <c r="P978" t="s">
        <v>92</v>
      </c>
      <c r="Q978" t="s">
        <v>26</v>
      </c>
      <c r="R978" t="s">
        <v>2636</v>
      </c>
      <c r="S978">
        <v>20000000</v>
      </c>
      <c r="T978">
        <v>800000000</v>
      </c>
      <c r="U978">
        <v>572361135.60000002</v>
      </c>
      <c r="Z978"/>
    </row>
    <row r="979" spans="1:26" x14ac:dyDescent="0.25">
      <c r="A979">
        <v>200761</v>
      </c>
      <c r="B979" t="s">
        <v>3898</v>
      </c>
      <c r="C979" t="s">
        <v>3917</v>
      </c>
      <c r="D979" t="s">
        <v>1282</v>
      </c>
      <c r="E979">
        <v>44</v>
      </c>
      <c r="F979" s="105">
        <v>6637121.4900000002</v>
      </c>
      <c r="G979" t="s">
        <v>1467</v>
      </c>
      <c r="H979">
        <v>265565.43</v>
      </c>
      <c r="I979">
        <v>7315638.7599999998</v>
      </c>
      <c r="J979" s="711">
        <v>42752.731632210649</v>
      </c>
      <c r="K979" s="711">
        <v>43117</v>
      </c>
      <c r="L979" t="s">
        <v>3918</v>
      </c>
      <c r="M979" t="s">
        <v>1280</v>
      </c>
      <c r="N979" t="s">
        <v>3919</v>
      </c>
      <c r="O979" t="s">
        <v>25</v>
      </c>
      <c r="P979" t="s">
        <v>290</v>
      </c>
      <c r="Q979" t="s">
        <v>297</v>
      </c>
      <c r="R979" t="s">
        <v>2636</v>
      </c>
      <c r="S979">
        <v>15000000</v>
      </c>
      <c r="T979">
        <v>810000000</v>
      </c>
      <c r="U979">
        <v>358404560.45999998</v>
      </c>
      <c r="Z979"/>
    </row>
    <row r="980" spans="1:26" x14ac:dyDescent="0.25">
      <c r="A980">
        <v>200762</v>
      </c>
      <c r="B980" t="s">
        <v>3922</v>
      </c>
      <c r="C980" t="s">
        <v>3933</v>
      </c>
      <c r="D980" t="s">
        <v>1284</v>
      </c>
      <c r="E980">
        <v>-17</v>
      </c>
      <c r="F980" s="105">
        <v>25434779.43</v>
      </c>
      <c r="G980" t="s">
        <v>1448</v>
      </c>
      <c r="H980">
        <v>339130.39</v>
      </c>
      <c r="I980">
        <v>38969222.060000002</v>
      </c>
      <c r="J980" s="711">
        <v>42753.702417743058</v>
      </c>
      <c r="K980" s="711">
        <v>43848</v>
      </c>
      <c r="L980" t="s">
        <v>3934</v>
      </c>
      <c r="M980" t="s">
        <v>1280</v>
      </c>
      <c r="N980" t="s">
        <v>1280</v>
      </c>
      <c r="O980" t="s">
        <v>25</v>
      </c>
      <c r="P980" t="s">
        <v>3923</v>
      </c>
      <c r="Q980" t="s">
        <v>3924</v>
      </c>
      <c r="R980" t="s">
        <v>2636</v>
      </c>
      <c r="S980">
        <v>30000000</v>
      </c>
      <c r="T980">
        <v>1200000000</v>
      </c>
      <c r="U980">
        <v>1017391177.2</v>
      </c>
      <c r="Z980"/>
    </row>
    <row r="981" spans="1:26" x14ac:dyDescent="0.25">
      <c r="A981">
        <v>200763</v>
      </c>
      <c r="B981" t="s">
        <v>3935</v>
      </c>
      <c r="C981" t="s">
        <v>3936</v>
      </c>
      <c r="D981" t="s">
        <v>1282</v>
      </c>
      <c r="E981">
        <v>12</v>
      </c>
      <c r="F981" s="105">
        <v>1967151.37</v>
      </c>
      <c r="G981" t="s">
        <v>2034</v>
      </c>
      <c r="H981">
        <v>42436.31</v>
      </c>
      <c r="I981">
        <v>2122367.15</v>
      </c>
      <c r="J981" s="711">
        <v>42754.707278506947</v>
      </c>
      <c r="K981" s="711">
        <v>43119</v>
      </c>
      <c r="L981" t="s">
        <v>3937</v>
      </c>
      <c r="M981" t="s">
        <v>1280</v>
      </c>
      <c r="N981" t="s">
        <v>3938</v>
      </c>
      <c r="O981" t="s">
        <v>46</v>
      </c>
      <c r="P981" t="s">
        <v>46</v>
      </c>
      <c r="Q981" t="s">
        <v>26</v>
      </c>
      <c r="R981" t="s">
        <v>2636</v>
      </c>
      <c r="S981">
        <v>5000000</v>
      </c>
      <c r="T981">
        <v>270000000</v>
      </c>
      <c r="U981">
        <v>106226173.98</v>
      </c>
      <c r="Z981"/>
    </row>
    <row r="982" spans="1:26" x14ac:dyDescent="0.25">
      <c r="A982">
        <v>200765</v>
      </c>
      <c r="B982" t="s">
        <v>3942</v>
      </c>
      <c r="C982" t="s">
        <v>3950</v>
      </c>
      <c r="D982" t="s">
        <v>1282</v>
      </c>
      <c r="E982">
        <v>11</v>
      </c>
      <c r="F982" s="105">
        <v>2360581.64</v>
      </c>
      <c r="G982" t="s">
        <v>468</v>
      </c>
      <c r="H982">
        <v>114341.64</v>
      </c>
      <c r="I982">
        <v>2612971.86</v>
      </c>
      <c r="J982" s="711">
        <v>42755.601103009256</v>
      </c>
      <c r="K982" s="711">
        <v>43120</v>
      </c>
      <c r="L982" t="s">
        <v>3951</v>
      </c>
      <c r="M982" t="s">
        <v>1280</v>
      </c>
      <c r="N982" t="s">
        <v>3952</v>
      </c>
      <c r="O982" t="s">
        <v>25</v>
      </c>
      <c r="P982" t="s">
        <v>295</v>
      </c>
      <c r="Q982" t="s">
        <v>26</v>
      </c>
      <c r="R982" t="s">
        <v>2636</v>
      </c>
      <c r="S982">
        <v>6000000</v>
      </c>
      <c r="T982">
        <v>324000000</v>
      </c>
      <c r="U982">
        <v>127471408.56</v>
      </c>
      <c r="Z982"/>
    </row>
    <row r="983" spans="1:26" x14ac:dyDescent="0.25">
      <c r="A983">
        <v>200767</v>
      </c>
      <c r="B983" t="s">
        <v>3944</v>
      </c>
      <c r="C983" t="s">
        <v>3953</v>
      </c>
      <c r="D983" t="s">
        <v>1284</v>
      </c>
      <c r="E983">
        <v>-19</v>
      </c>
      <c r="F983" s="105">
        <v>9171940.6600000001</v>
      </c>
      <c r="G983" t="s">
        <v>2861</v>
      </c>
      <c r="H983">
        <v>101910.45</v>
      </c>
      <c r="I983">
        <v>10767331.949999999</v>
      </c>
      <c r="J983" s="711">
        <v>42755.603499571756</v>
      </c>
      <c r="K983" s="711">
        <v>43301</v>
      </c>
      <c r="L983" t="s">
        <v>3954</v>
      </c>
      <c r="M983" t="s">
        <v>1280</v>
      </c>
      <c r="N983" t="s">
        <v>1280</v>
      </c>
      <c r="O983" t="s">
        <v>44</v>
      </c>
      <c r="P983" t="s">
        <v>75</v>
      </c>
      <c r="Q983" t="s">
        <v>1442</v>
      </c>
      <c r="R983" t="s">
        <v>2636</v>
      </c>
      <c r="S983">
        <v>16000000</v>
      </c>
      <c r="T983">
        <v>640000000</v>
      </c>
      <c r="U983">
        <v>366877626.39999998</v>
      </c>
      <c r="Z983"/>
    </row>
    <row r="984" spans="1:26" x14ac:dyDescent="0.25">
      <c r="A984">
        <v>200768</v>
      </c>
      <c r="B984" t="s">
        <v>3943</v>
      </c>
      <c r="C984" t="s">
        <v>3955</v>
      </c>
      <c r="D984" t="s">
        <v>1282</v>
      </c>
      <c r="E984">
        <v>-19</v>
      </c>
      <c r="F984" s="105">
        <v>1808810.68</v>
      </c>
      <c r="G984" t="s">
        <v>2034</v>
      </c>
      <c r="H984">
        <v>27132.16</v>
      </c>
      <c r="I984">
        <v>1973991.42</v>
      </c>
      <c r="J984" s="711">
        <v>42755.624337847221</v>
      </c>
      <c r="K984" s="711">
        <v>43120</v>
      </c>
      <c r="L984" t="s">
        <v>3956</v>
      </c>
      <c r="M984" t="s">
        <v>1280</v>
      </c>
      <c r="N984" t="s">
        <v>3957</v>
      </c>
      <c r="O984" t="s">
        <v>25</v>
      </c>
      <c r="P984" t="s">
        <v>94</v>
      </c>
      <c r="Q984" t="s">
        <v>1828</v>
      </c>
      <c r="R984" t="s">
        <v>2636</v>
      </c>
      <c r="S984">
        <v>6000000</v>
      </c>
      <c r="T984">
        <v>324000000</v>
      </c>
      <c r="U984">
        <v>97675776.719999999</v>
      </c>
      <c r="Z984"/>
    </row>
    <row r="985" spans="1:26" x14ac:dyDescent="0.25">
      <c r="A985">
        <v>200770</v>
      </c>
      <c r="B985" t="s">
        <v>1754</v>
      </c>
      <c r="C985" t="s">
        <v>1755</v>
      </c>
      <c r="D985" t="s">
        <v>1283</v>
      </c>
      <c r="E985">
        <v>-9</v>
      </c>
      <c r="F985" s="105">
        <v>41719379.799999997</v>
      </c>
      <c r="G985" t="s">
        <v>1191</v>
      </c>
      <c r="H985">
        <v>834387.6</v>
      </c>
      <c r="I985">
        <v>52420346.780000001</v>
      </c>
      <c r="J985" s="711">
        <v>42759.51062734954</v>
      </c>
      <c r="K985" s="711">
        <v>43475</v>
      </c>
      <c r="L985" t="s">
        <v>1756</v>
      </c>
      <c r="M985" t="s">
        <v>1838</v>
      </c>
      <c r="N985" t="s">
        <v>1280</v>
      </c>
      <c r="O985" t="s">
        <v>25</v>
      </c>
      <c r="P985" t="s">
        <v>88</v>
      </c>
      <c r="Q985" t="s">
        <v>26</v>
      </c>
      <c r="R985" t="s">
        <v>2856</v>
      </c>
      <c r="S985">
        <v>60000000</v>
      </c>
      <c r="T985">
        <v>2160000000</v>
      </c>
      <c r="U985">
        <v>1501897672.8</v>
      </c>
      <c r="Z985"/>
    </row>
    <row r="986" spans="1:26" x14ac:dyDescent="0.25">
      <c r="A986">
        <v>200772</v>
      </c>
      <c r="B986" t="s">
        <v>3960</v>
      </c>
      <c r="C986" t="s">
        <v>3962</v>
      </c>
      <c r="D986" t="s">
        <v>1866</v>
      </c>
      <c r="E986">
        <v>-20</v>
      </c>
      <c r="F986" s="105">
        <v>1785699.53</v>
      </c>
      <c r="G986" t="s">
        <v>1447</v>
      </c>
      <c r="H986">
        <v>22321.24</v>
      </c>
      <c r="I986">
        <v>1936532.15</v>
      </c>
      <c r="J986" s="711">
        <v>42756.515501504633</v>
      </c>
      <c r="K986" s="711">
        <v>43121</v>
      </c>
      <c r="L986" t="s">
        <v>3963</v>
      </c>
      <c r="M986" t="s">
        <v>1280</v>
      </c>
      <c r="N986" t="s">
        <v>1280</v>
      </c>
      <c r="O986" t="s">
        <v>36</v>
      </c>
      <c r="P986" t="s">
        <v>97</v>
      </c>
      <c r="Q986" t="s">
        <v>3961</v>
      </c>
      <c r="R986" t="s">
        <v>2636</v>
      </c>
      <c r="S986">
        <v>6000000</v>
      </c>
      <c r="T986">
        <v>300000000</v>
      </c>
      <c r="U986">
        <v>89284976.5</v>
      </c>
      <c r="Z986"/>
    </row>
    <row r="987" spans="1:26" x14ac:dyDescent="0.25">
      <c r="A987">
        <v>200778</v>
      </c>
      <c r="B987" t="s">
        <v>3978</v>
      </c>
      <c r="C987" t="s">
        <v>3979</v>
      </c>
      <c r="D987" t="s">
        <v>1282</v>
      </c>
      <c r="E987">
        <v>0</v>
      </c>
      <c r="F987" s="105">
        <v>1986916.98</v>
      </c>
      <c r="G987" t="s">
        <v>1448</v>
      </c>
      <c r="H987">
        <v>86430.89</v>
      </c>
      <c r="I987">
        <v>2215361.94</v>
      </c>
      <c r="J987" s="711">
        <v>42759.545042939812</v>
      </c>
      <c r="K987" s="711">
        <v>43132</v>
      </c>
      <c r="L987" t="s">
        <v>3980</v>
      </c>
      <c r="M987" t="s">
        <v>1280</v>
      </c>
      <c r="N987" t="s">
        <v>3981</v>
      </c>
      <c r="O987" t="s">
        <v>36</v>
      </c>
      <c r="P987" t="s">
        <v>97</v>
      </c>
      <c r="Q987" t="s">
        <v>98</v>
      </c>
      <c r="R987" t="s">
        <v>2636</v>
      </c>
      <c r="S987">
        <v>5000000</v>
      </c>
      <c r="T987">
        <v>270000000</v>
      </c>
      <c r="U987">
        <v>107293516.92</v>
      </c>
      <c r="Z987"/>
    </row>
    <row r="988" spans="1:26" x14ac:dyDescent="0.25">
      <c r="A988">
        <v>200779</v>
      </c>
      <c r="B988" t="s">
        <v>2469</v>
      </c>
      <c r="C988" t="s">
        <v>2470</v>
      </c>
      <c r="D988" t="s">
        <v>1282</v>
      </c>
      <c r="E988">
        <v>-24</v>
      </c>
      <c r="F988" s="105">
        <v>1182767.92</v>
      </c>
      <c r="G988" t="s">
        <v>1925</v>
      </c>
      <c r="H988">
        <v>7885.12</v>
      </c>
      <c r="I988">
        <v>1278626.08</v>
      </c>
      <c r="J988" s="711">
        <v>42760.657270717595</v>
      </c>
      <c r="K988" s="711">
        <v>43125</v>
      </c>
      <c r="L988" t="s">
        <v>2471</v>
      </c>
      <c r="M988" t="s">
        <v>2472</v>
      </c>
      <c r="N988" t="s">
        <v>1280</v>
      </c>
      <c r="O988" t="s">
        <v>44</v>
      </c>
      <c r="P988" t="s">
        <v>75</v>
      </c>
      <c r="Q988" t="s">
        <v>26</v>
      </c>
      <c r="R988" t="s">
        <v>2856</v>
      </c>
      <c r="S988">
        <v>4000000</v>
      </c>
      <c r="T988">
        <v>192000000</v>
      </c>
      <c r="U988">
        <v>56772860.159999996</v>
      </c>
      <c r="Z988"/>
    </row>
    <row r="989" spans="1:26" x14ac:dyDescent="0.25">
      <c r="A989">
        <v>200780</v>
      </c>
      <c r="B989" t="s">
        <v>3982</v>
      </c>
      <c r="C989" t="s">
        <v>3983</v>
      </c>
      <c r="D989" t="s">
        <v>1279</v>
      </c>
      <c r="E989">
        <v>36</v>
      </c>
      <c r="F989" s="105">
        <v>290162</v>
      </c>
      <c r="G989" t="s">
        <v>2861</v>
      </c>
      <c r="H989">
        <v>12622.05</v>
      </c>
      <c r="I989">
        <v>303219.28999999998</v>
      </c>
      <c r="J989" s="711">
        <v>42760.690128553244</v>
      </c>
      <c r="K989" s="711">
        <v>43003</v>
      </c>
      <c r="L989" t="s">
        <v>3984</v>
      </c>
      <c r="M989" t="s">
        <v>1280</v>
      </c>
      <c r="N989" t="s">
        <v>3985</v>
      </c>
      <c r="O989" t="s">
        <v>37</v>
      </c>
      <c r="P989" t="s">
        <v>38</v>
      </c>
      <c r="Q989" t="s">
        <v>39</v>
      </c>
      <c r="R989" t="s">
        <v>2636</v>
      </c>
      <c r="S989">
        <v>2000000</v>
      </c>
      <c r="T989">
        <v>108000000</v>
      </c>
      <c r="U989">
        <v>15668748</v>
      </c>
      <c r="Z989"/>
    </row>
    <row r="990" spans="1:26" x14ac:dyDescent="0.25">
      <c r="A990">
        <v>200782</v>
      </c>
      <c r="B990" t="s">
        <v>3991</v>
      </c>
      <c r="C990" t="s">
        <v>3994</v>
      </c>
      <c r="D990" t="s">
        <v>1283</v>
      </c>
      <c r="E990">
        <v>0</v>
      </c>
      <c r="F990" s="105">
        <v>22019848.66</v>
      </c>
      <c r="G990" t="s">
        <v>1039</v>
      </c>
      <c r="H990">
        <v>709528.46</v>
      </c>
      <c r="I990">
        <v>26257843.010000002</v>
      </c>
      <c r="J990" s="711">
        <v>42763.586794560186</v>
      </c>
      <c r="K990" s="711">
        <v>43314</v>
      </c>
      <c r="L990" t="s">
        <v>3995</v>
      </c>
      <c r="M990" t="s">
        <v>1280</v>
      </c>
      <c r="N990" t="s">
        <v>3996</v>
      </c>
      <c r="O990" t="s">
        <v>37</v>
      </c>
      <c r="P990" t="s">
        <v>288</v>
      </c>
      <c r="Q990" t="s">
        <v>26</v>
      </c>
      <c r="R990" t="s">
        <v>2636</v>
      </c>
      <c r="S990">
        <v>35000000</v>
      </c>
      <c r="T990">
        <v>1400000000</v>
      </c>
      <c r="U990">
        <v>880793946.39999998</v>
      </c>
      <c r="Z990"/>
    </row>
    <row r="991" spans="1:26" x14ac:dyDescent="0.25">
      <c r="A991">
        <v>200783</v>
      </c>
      <c r="B991" t="s">
        <v>3999</v>
      </c>
      <c r="C991" t="s">
        <v>4006</v>
      </c>
      <c r="D991" t="s">
        <v>1282</v>
      </c>
      <c r="E991">
        <v>-2</v>
      </c>
      <c r="F991" s="105">
        <v>9754338.1500000004</v>
      </c>
      <c r="G991" t="s">
        <v>491</v>
      </c>
      <c r="H991">
        <v>351156.17</v>
      </c>
      <c r="I991">
        <v>11380332.560000001</v>
      </c>
      <c r="J991" s="711">
        <v>42765.5072147338</v>
      </c>
      <c r="K991" s="711">
        <v>43225</v>
      </c>
      <c r="L991" t="s">
        <v>4007</v>
      </c>
      <c r="M991" t="s">
        <v>1280</v>
      </c>
      <c r="N991" t="s">
        <v>4008</v>
      </c>
      <c r="O991" t="s">
        <v>37</v>
      </c>
      <c r="P991" t="s">
        <v>38</v>
      </c>
      <c r="Q991" t="s">
        <v>26</v>
      </c>
      <c r="R991" t="s">
        <v>2636</v>
      </c>
      <c r="S991">
        <v>18000000</v>
      </c>
      <c r="T991">
        <v>864000000</v>
      </c>
      <c r="U991">
        <v>468208231.19999999</v>
      </c>
      <c r="Z991"/>
    </row>
    <row r="992" spans="1:26" x14ac:dyDescent="0.25">
      <c r="A992">
        <v>200784</v>
      </c>
      <c r="B992" t="s">
        <v>2866</v>
      </c>
      <c r="C992" t="s">
        <v>2868</v>
      </c>
      <c r="D992" t="s">
        <v>1282</v>
      </c>
      <c r="E992">
        <v>0</v>
      </c>
      <c r="F992" s="105">
        <v>3882608.09</v>
      </c>
      <c r="G992" t="s">
        <v>2538</v>
      </c>
      <c r="H992">
        <v>150127.51</v>
      </c>
      <c r="I992">
        <v>4279850.8099999996</v>
      </c>
      <c r="J992" s="711">
        <v>42763.526987581019</v>
      </c>
      <c r="K992" s="711">
        <v>43133</v>
      </c>
      <c r="L992" t="s">
        <v>2869</v>
      </c>
      <c r="M992" t="s">
        <v>1280</v>
      </c>
      <c r="N992" t="s">
        <v>1280</v>
      </c>
      <c r="O992" t="s">
        <v>25</v>
      </c>
      <c r="P992" t="s">
        <v>32</v>
      </c>
      <c r="Q992" t="s">
        <v>26</v>
      </c>
      <c r="R992" t="s">
        <v>2856</v>
      </c>
      <c r="S992">
        <v>10000000</v>
      </c>
      <c r="T992">
        <v>480000000</v>
      </c>
      <c r="U992">
        <v>186365188.31999999</v>
      </c>
      <c r="Z992"/>
    </row>
    <row r="993" spans="1:26" x14ac:dyDescent="0.25">
      <c r="A993">
        <v>200785</v>
      </c>
      <c r="B993" t="s">
        <v>2371</v>
      </c>
      <c r="C993" t="s">
        <v>2375</v>
      </c>
      <c r="D993" t="s">
        <v>1283</v>
      </c>
      <c r="E993">
        <v>-9</v>
      </c>
      <c r="F993" s="105">
        <v>24881055.620000001</v>
      </c>
      <c r="G993" t="s">
        <v>2175</v>
      </c>
      <c r="H993">
        <v>1307267.94</v>
      </c>
      <c r="I993">
        <v>29168187.579999998</v>
      </c>
      <c r="J993" s="711">
        <v>42773.688587928242</v>
      </c>
      <c r="K993" s="711">
        <v>43322</v>
      </c>
      <c r="L993" t="s">
        <v>2376</v>
      </c>
      <c r="M993" t="s">
        <v>1280</v>
      </c>
      <c r="N993" t="s">
        <v>1280</v>
      </c>
      <c r="O993" t="s">
        <v>27</v>
      </c>
      <c r="P993" t="s">
        <v>26</v>
      </c>
      <c r="Q993" t="s">
        <v>26</v>
      </c>
      <c r="R993" t="s">
        <v>2856</v>
      </c>
      <c r="S993">
        <v>40000000</v>
      </c>
      <c r="T993">
        <v>1440000000</v>
      </c>
      <c r="U993">
        <v>895718002.32000005</v>
      </c>
      <c r="Z993"/>
    </row>
    <row r="994" spans="1:26" x14ac:dyDescent="0.25">
      <c r="A994">
        <v>200790</v>
      </c>
      <c r="B994" t="s">
        <v>4070</v>
      </c>
      <c r="C994" t="s">
        <v>4073</v>
      </c>
      <c r="D994" t="s">
        <v>1283</v>
      </c>
      <c r="E994">
        <v>-9</v>
      </c>
      <c r="F994" s="105">
        <v>24562188.760000002</v>
      </c>
      <c r="G994" t="s">
        <v>1909</v>
      </c>
      <c r="H994">
        <v>545826.42000000004</v>
      </c>
      <c r="I994">
        <v>26642585.52</v>
      </c>
      <c r="J994" s="711">
        <v>42776.583435995373</v>
      </c>
      <c r="K994" s="711">
        <v>43141</v>
      </c>
      <c r="L994" t="s">
        <v>4074</v>
      </c>
      <c r="M994" t="s">
        <v>1280</v>
      </c>
      <c r="N994" t="s">
        <v>4075</v>
      </c>
      <c r="O994" t="s">
        <v>27</v>
      </c>
      <c r="P994" t="s">
        <v>26</v>
      </c>
      <c r="Q994" t="s">
        <v>26</v>
      </c>
      <c r="R994" t="s">
        <v>2636</v>
      </c>
      <c r="S994">
        <v>65000000</v>
      </c>
      <c r="T994">
        <v>2600000000</v>
      </c>
      <c r="U994">
        <v>982487550.39999998</v>
      </c>
      <c r="Z994"/>
    </row>
    <row r="995" spans="1:26" x14ac:dyDescent="0.25">
      <c r="A995">
        <v>200793</v>
      </c>
      <c r="B995" t="s">
        <v>4009</v>
      </c>
      <c r="C995" t="s">
        <v>4025</v>
      </c>
      <c r="D995" t="s">
        <v>1282</v>
      </c>
      <c r="E995">
        <v>0</v>
      </c>
      <c r="F995" s="105">
        <v>2363969.98</v>
      </c>
      <c r="G995" t="s">
        <v>1447</v>
      </c>
      <c r="H995">
        <v>102832.69</v>
      </c>
      <c r="I995">
        <v>2637658.16</v>
      </c>
      <c r="J995" s="711">
        <v>42766.752147569445</v>
      </c>
      <c r="K995" s="711">
        <v>43134</v>
      </c>
      <c r="L995" t="s">
        <v>4026</v>
      </c>
      <c r="M995" t="s">
        <v>1280</v>
      </c>
      <c r="N995" t="s">
        <v>1280</v>
      </c>
      <c r="O995" t="s">
        <v>36</v>
      </c>
      <c r="P995" t="s">
        <v>97</v>
      </c>
      <c r="Q995" t="s">
        <v>98</v>
      </c>
      <c r="R995" t="s">
        <v>2636</v>
      </c>
      <c r="S995">
        <v>6000000</v>
      </c>
      <c r="T995">
        <v>324000000</v>
      </c>
      <c r="U995">
        <v>127654378.92</v>
      </c>
      <c r="Z995"/>
    </row>
    <row r="996" spans="1:26" x14ac:dyDescent="0.25">
      <c r="A996">
        <v>200795</v>
      </c>
      <c r="B996" t="s">
        <v>2676</v>
      </c>
      <c r="C996" t="s">
        <v>2695</v>
      </c>
      <c r="D996" t="s">
        <v>1282</v>
      </c>
      <c r="E996">
        <v>0</v>
      </c>
      <c r="F996" s="105">
        <v>5809036.2999999998</v>
      </c>
      <c r="G996" t="s">
        <v>2538</v>
      </c>
      <c r="H996">
        <v>224616.07</v>
      </c>
      <c r="I996">
        <v>6405430.0999999996</v>
      </c>
      <c r="J996" s="711">
        <v>42766.618874108797</v>
      </c>
      <c r="K996" s="711">
        <v>43134</v>
      </c>
      <c r="L996" t="s">
        <v>2696</v>
      </c>
      <c r="M996" t="s">
        <v>1280</v>
      </c>
      <c r="N996" t="s">
        <v>2697</v>
      </c>
      <c r="O996" t="s">
        <v>27</v>
      </c>
      <c r="P996" t="s">
        <v>116</v>
      </c>
      <c r="Q996" t="s">
        <v>26</v>
      </c>
      <c r="R996" t="s">
        <v>2856</v>
      </c>
      <c r="S996">
        <v>15000000</v>
      </c>
      <c r="T996">
        <v>720000000</v>
      </c>
      <c r="U996">
        <v>278833742.39999998</v>
      </c>
      <c r="Z996"/>
    </row>
    <row r="997" spans="1:26" x14ac:dyDescent="0.25">
      <c r="A997">
        <v>200796</v>
      </c>
      <c r="B997" t="s">
        <v>4013</v>
      </c>
      <c r="C997" t="s">
        <v>4027</v>
      </c>
      <c r="D997" t="s">
        <v>1279</v>
      </c>
      <c r="E997">
        <v>30</v>
      </c>
      <c r="F997" s="105">
        <v>1380339.05</v>
      </c>
      <c r="G997" t="s">
        <v>2175</v>
      </c>
      <c r="H997">
        <v>59985.74</v>
      </c>
      <c r="I997">
        <v>1539990.49</v>
      </c>
      <c r="J997" s="711">
        <v>42766.718846215277</v>
      </c>
      <c r="K997" s="711">
        <v>43134</v>
      </c>
      <c r="L997" t="s">
        <v>4028</v>
      </c>
      <c r="M997" t="s">
        <v>1280</v>
      </c>
      <c r="N997" t="s">
        <v>4029</v>
      </c>
      <c r="O997" t="s">
        <v>25</v>
      </c>
      <c r="P997" t="s">
        <v>26</v>
      </c>
      <c r="Q997" t="s">
        <v>26</v>
      </c>
      <c r="R997" t="s">
        <v>2636</v>
      </c>
      <c r="S997">
        <v>3500000</v>
      </c>
      <c r="T997">
        <v>189000000</v>
      </c>
      <c r="U997">
        <v>74538308.700000003</v>
      </c>
      <c r="Z997"/>
    </row>
    <row r="998" spans="1:26" x14ac:dyDescent="0.25">
      <c r="A998">
        <v>200798</v>
      </c>
      <c r="B998" t="s">
        <v>4014</v>
      </c>
      <c r="C998" t="s">
        <v>4032</v>
      </c>
      <c r="D998" t="s">
        <v>1281</v>
      </c>
      <c r="E998">
        <v>0</v>
      </c>
      <c r="F998" s="105">
        <v>16038201.77</v>
      </c>
      <c r="G998" t="s">
        <v>5725</v>
      </c>
      <c r="H998">
        <v>1271630.78</v>
      </c>
      <c r="I998">
        <v>19778720.579999998</v>
      </c>
      <c r="J998" s="711">
        <v>42766.855295868052</v>
      </c>
      <c r="K998" s="711">
        <v>43315</v>
      </c>
      <c r="L998" t="s">
        <v>4033</v>
      </c>
      <c r="M998" t="s">
        <v>1280</v>
      </c>
      <c r="N998" t="s">
        <v>1280</v>
      </c>
      <c r="O998" t="s">
        <v>37</v>
      </c>
      <c r="P998" t="s">
        <v>38</v>
      </c>
      <c r="Q998" t="s">
        <v>26</v>
      </c>
      <c r="R998" t="s">
        <v>2636</v>
      </c>
      <c r="S998">
        <v>25000000</v>
      </c>
      <c r="T998">
        <v>1200000000</v>
      </c>
      <c r="U998">
        <v>769833684.96000004</v>
      </c>
      <c r="Z998"/>
    </row>
    <row r="999" spans="1:26" x14ac:dyDescent="0.25">
      <c r="A999">
        <v>200800</v>
      </c>
      <c r="B999" t="s">
        <v>2387</v>
      </c>
      <c r="C999" t="s">
        <v>2401</v>
      </c>
      <c r="D999" t="s">
        <v>1866</v>
      </c>
      <c r="E999">
        <v>30</v>
      </c>
      <c r="F999" s="105">
        <v>2820989.04</v>
      </c>
      <c r="G999" t="s">
        <v>2034</v>
      </c>
      <c r="H999">
        <v>184840.69</v>
      </c>
      <c r="I999">
        <v>3140223.44</v>
      </c>
      <c r="J999" s="711">
        <v>42766.881417557874</v>
      </c>
      <c r="K999" s="711">
        <v>43134</v>
      </c>
      <c r="L999" t="s">
        <v>2402</v>
      </c>
      <c r="M999" t="s">
        <v>1280</v>
      </c>
      <c r="N999" t="s">
        <v>1280</v>
      </c>
      <c r="O999" t="s">
        <v>29</v>
      </c>
      <c r="P999" t="s">
        <v>30</v>
      </c>
      <c r="Q999" t="s">
        <v>26</v>
      </c>
      <c r="R999" t="s">
        <v>2856</v>
      </c>
      <c r="S999">
        <v>6000000</v>
      </c>
      <c r="T999">
        <v>264000000</v>
      </c>
      <c r="U999">
        <v>124123517.76000001</v>
      </c>
      <c r="Z999"/>
    </row>
    <row r="1000" spans="1:26" x14ac:dyDescent="0.25">
      <c r="A1000">
        <v>200802</v>
      </c>
      <c r="B1000" t="s">
        <v>3203</v>
      </c>
      <c r="C1000" t="s">
        <v>3210</v>
      </c>
      <c r="D1000" t="s">
        <v>1284</v>
      </c>
      <c r="E1000">
        <v>0</v>
      </c>
      <c r="F1000" s="105">
        <v>37121035.649999999</v>
      </c>
      <c r="G1000" t="s">
        <v>2538</v>
      </c>
      <c r="H1000">
        <v>1076510.03</v>
      </c>
      <c r="I1000">
        <v>47289533.079999998</v>
      </c>
      <c r="J1000" s="711">
        <v>42766.913834259256</v>
      </c>
      <c r="K1000" s="711">
        <v>43499</v>
      </c>
      <c r="L1000" t="s">
        <v>3211</v>
      </c>
      <c r="M1000" t="s">
        <v>1280</v>
      </c>
      <c r="N1000" t="s">
        <v>3212</v>
      </c>
      <c r="O1000" t="s">
        <v>44</v>
      </c>
      <c r="P1000" t="s">
        <v>75</v>
      </c>
      <c r="Q1000" t="s">
        <v>1442</v>
      </c>
      <c r="R1000" t="s">
        <v>2856</v>
      </c>
      <c r="S1000">
        <v>50000000</v>
      </c>
      <c r="T1000">
        <v>1800000000</v>
      </c>
      <c r="U1000">
        <v>1336357283.4000001</v>
      </c>
      <c r="Z1000"/>
    </row>
    <row r="1001" spans="1:26" x14ac:dyDescent="0.25">
      <c r="A1001">
        <v>200803</v>
      </c>
      <c r="B1001" t="s">
        <v>4036</v>
      </c>
      <c r="C1001" t="s">
        <v>4037</v>
      </c>
      <c r="D1001" t="s">
        <v>1282</v>
      </c>
      <c r="E1001">
        <v>0</v>
      </c>
      <c r="F1001" s="105">
        <v>983575.67</v>
      </c>
      <c r="G1001" t="s">
        <v>2538</v>
      </c>
      <c r="H1001">
        <v>42785.54</v>
      </c>
      <c r="I1001">
        <v>1096661.8899999999</v>
      </c>
      <c r="J1001" s="711">
        <v>42767.695371643516</v>
      </c>
      <c r="K1001" s="711">
        <v>43132</v>
      </c>
      <c r="L1001" t="s">
        <v>4038</v>
      </c>
      <c r="M1001" t="s">
        <v>1280</v>
      </c>
      <c r="N1001" t="s">
        <v>4039</v>
      </c>
      <c r="O1001" t="s">
        <v>25</v>
      </c>
      <c r="P1001" t="s">
        <v>26</v>
      </c>
      <c r="Q1001" t="s">
        <v>26</v>
      </c>
      <c r="R1001" t="s">
        <v>2636</v>
      </c>
      <c r="S1001">
        <v>2500000</v>
      </c>
      <c r="T1001">
        <v>135000000</v>
      </c>
      <c r="U1001">
        <v>53113086.18</v>
      </c>
      <c r="Z1001"/>
    </row>
    <row r="1002" spans="1:26" x14ac:dyDescent="0.25">
      <c r="A1002">
        <v>200804</v>
      </c>
      <c r="B1002" t="s">
        <v>2099</v>
      </c>
      <c r="C1002" t="s">
        <v>2117</v>
      </c>
      <c r="D1002" t="s">
        <v>1282</v>
      </c>
      <c r="E1002">
        <v>-1</v>
      </c>
      <c r="F1002" s="105">
        <v>3094185.79</v>
      </c>
      <c r="G1002" t="s">
        <v>1909</v>
      </c>
      <c r="H1002">
        <v>115516.27</v>
      </c>
      <c r="I1002">
        <v>3409669.53</v>
      </c>
      <c r="J1002" s="711">
        <v>42768.616484571758</v>
      </c>
      <c r="K1002" s="711">
        <v>43133</v>
      </c>
      <c r="L1002" t="s">
        <v>2118</v>
      </c>
      <c r="M1002" t="s">
        <v>1280</v>
      </c>
      <c r="N1002" t="s">
        <v>2119</v>
      </c>
      <c r="O1002" t="s">
        <v>36</v>
      </c>
      <c r="P1002" t="s">
        <v>1023</v>
      </c>
      <c r="Q1002" t="s">
        <v>4042</v>
      </c>
      <c r="R1002" t="s">
        <v>2856</v>
      </c>
      <c r="S1002">
        <v>8000000</v>
      </c>
      <c r="T1002">
        <v>384000000</v>
      </c>
      <c r="U1002">
        <v>148520917.91999999</v>
      </c>
      <c r="Z1002"/>
    </row>
    <row r="1003" spans="1:26" x14ac:dyDescent="0.25">
      <c r="A1003">
        <v>200805</v>
      </c>
      <c r="B1003" t="s">
        <v>2740</v>
      </c>
      <c r="C1003" t="s">
        <v>2741</v>
      </c>
      <c r="D1003" t="s">
        <v>1281</v>
      </c>
      <c r="E1003">
        <v>-2</v>
      </c>
      <c r="F1003" s="105">
        <v>22594046.489999998</v>
      </c>
      <c r="G1003" t="s">
        <v>86</v>
      </c>
      <c r="H1003">
        <v>711712.46</v>
      </c>
      <c r="I1003">
        <v>29890958.510000002</v>
      </c>
      <c r="J1003" s="711">
        <v>42769.738868981483</v>
      </c>
      <c r="K1003" s="711">
        <v>43499</v>
      </c>
      <c r="L1003" t="s">
        <v>2742</v>
      </c>
      <c r="M1003" t="s">
        <v>1280</v>
      </c>
      <c r="N1003" t="s">
        <v>1280</v>
      </c>
      <c r="O1003" t="s">
        <v>29</v>
      </c>
      <c r="P1003" t="s">
        <v>30</v>
      </c>
      <c r="Q1003" t="s">
        <v>26</v>
      </c>
      <c r="R1003" t="s">
        <v>2856</v>
      </c>
      <c r="S1003">
        <v>30000000</v>
      </c>
      <c r="T1003">
        <v>1260000000</v>
      </c>
      <c r="U1003">
        <v>948949952.58000004</v>
      </c>
      <c r="Z1003"/>
    </row>
    <row r="1004" spans="1:26" x14ac:dyDescent="0.25">
      <c r="A1004">
        <v>200808</v>
      </c>
      <c r="B1004" t="s">
        <v>4052</v>
      </c>
      <c r="C1004" t="s">
        <v>4053</v>
      </c>
      <c r="D1004" t="s">
        <v>1284</v>
      </c>
      <c r="E1004">
        <v>-5</v>
      </c>
      <c r="F1004" s="105">
        <v>5279012.28</v>
      </c>
      <c r="G1004" t="s">
        <v>1467</v>
      </c>
      <c r="H1004">
        <v>140773.66</v>
      </c>
      <c r="I1004">
        <v>6005939.6399999997</v>
      </c>
      <c r="J1004" s="711">
        <v>42772.666294062503</v>
      </c>
      <c r="K1004" s="711">
        <v>43226</v>
      </c>
      <c r="L1004" t="s">
        <v>4054</v>
      </c>
      <c r="M1004" t="s">
        <v>4055</v>
      </c>
      <c r="N1004" t="s">
        <v>1280</v>
      </c>
      <c r="O1004" t="s">
        <v>44</v>
      </c>
      <c r="P1004" t="s">
        <v>92</v>
      </c>
      <c r="Q1004" t="s">
        <v>26</v>
      </c>
      <c r="R1004" t="s">
        <v>2636</v>
      </c>
      <c r="S1004">
        <v>10000000</v>
      </c>
      <c r="T1004">
        <v>400000000</v>
      </c>
      <c r="U1004">
        <v>211160491.19999999</v>
      </c>
      <c r="Z1004"/>
    </row>
    <row r="1005" spans="1:26" x14ac:dyDescent="0.25">
      <c r="A1005">
        <v>200815</v>
      </c>
      <c r="B1005" t="s">
        <v>2489</v>
      </c>
      <c r="C1005" t="s">
        <v>2490</v>
      </c>
      <c r="D1005" t="s">
        <v>1279</v>
      </c>
      <c r="E1005">
        <v>-9</v>
      </c>
      <c r="F1005" s="105">
        <v>966933.07</v>
      </c>
      <c r="G1005" t="s">
        <v>1909</v>
      </c>
      <c r="H1005">
        <v>25784.880000000001</v>
      </c>
      <c r="I1005">
        <v>1065521.74</v>
      </c>
      <c r="J1005" s="711">
        <v>42776.513805324073</v>
      </c>
      <c r="K1005" s="711">
        <v>43141</v>
      </c>
      <c r="L1005" t="s">
        <v>2491</v>
      </c>
      <c r="M1005" t="s">
        <v>1280</v>
      </c>
      <c r="N1005" t="s">
        <v>1280</v>
      </c>
      <c r="O1005" t="s">
        <v>25</v>
      </c>
      <c r="P1005" t="s">
        <v>88</v>
      </c>
      <c r="Q1005" t="s">
        <v>26</v>
      </c>
      <c r="R1005" t="s">
        <v>2856</v>
      </c>
      <c r="S1005">
        <v>2500000</v>
      </c>
      <c r="T1005">
        <v>120000000</v>
      </c>
      <c r="U1005">
        <v>46412787.359999999</v>
      </c>
      <c r="Z1005"/>
    </row>
    <row r="1006" spans="1:26" x14ac:dyDescent="0.25">
      <c r="A1006">
        <v>200816</v>
      </c>
      <c r="B1006" t="s">
        <v>4071</v>
      </c>
      <c r="C1006" t="s">
        <v>4076</v>
      </c>
      <c r="D1006" t="s">
        <v>1866</v>
      </c>
      <c r="E1006">
        <v>-9</v>
      </c>
      <c r="F1006" s="105">
        <v>2333961.83</v>
      </c>
      <c r="G1006" t="s">
        <v>468</v>
      </c>
      <c r="H1006">
        <v>64832.27</v>
      </c>
      <c r="I1006">
        <v>2582042.86</v>
      </c>
      <c r="J1006" s="711">
        <v>42776.606118483796</v>
      </c>
      <c r="K1006" s="711">
        <v>43141</v>
      </c>
      <c r="L1006" t="s">
        <v>4077</v>
      </c>
      <c r="M1006" t="s">
        <v>1280</v>
      </c>
      <c r="N1006" t="s">
        <v>4078</v>
      </c>
      <c r="O1006" t="s">
        <v>25</v>
      </c>
      <c r="P1006" t="s">
        <v>26</v>
      </c>
      <c r="Q1006" t="s">
        <v>26</v>
      </c>
      <c r="R1006" t="s">
        <v>2636</v>
      </c>
      <c r="S1006">
        <v>6000000</v>
      </c>
      <c r="T1006">
        <v>300000000</v>
      </c>
      <c r="U1006">
        <v>116698091.5</v>
      </c>
      <c r="Z1006"/>
    </row>
    <row r="1007" spans="1:26" x14ac:dyDescent="0.25">
      <c r="A1007">
        <v>200817</v>
      </c>
      <c r="B1007" t="s">
        <v>4072</v>
      </c>
      <c r="C1007" t="s">
        <v>4079</v>
      </c>
      <c r="D1007" t="s">
        <v>1866</v>
      </c>
      <c r="E1007">
        <v>-9</v>
      </c>
      <c r="F1007" s="105">
        <v>2333961.83</v>
      </c>
      <c r="G1007" t="s">
        <v>1191</v>
      </c>
      <c r="H1007">
        <v>64832.27</v>
      </c>
      <c r="I1007">
        <v>2582042.86</v>
      </c>
      <c r="J1007" s="711">
        <v>42776.699919293984</v>
      </c>
      <c r="K1007" s="711">
        <v>43141</v>
      </c>
      <c r="L1007" t="s">
        <v>4080</v>
      </c>
      <c r="M1007" t="s">
        <v>1280</v>
      </c>
      <c r="N1007" t="s">
        <v>4081</v>
      </c>
      <c r="O1007" t="s">
        <v>44</v>
      </c>
      <c r="P1007" t="s">
        <v>75</v>
      </c>
      <c r="Q1007" t="s">
        <v>26</v>
      </c>
      <c r="R1007" t="s">
        <v>2636</v>
      </c>
      <c r="S1007">
        <v>6000000</v>
      </c>
      <c r="T1007">
        <v>300000000</v>
      </c>
      <c r="U1007">
        <v>116698091.5</v>
      </c>
      <c r="Z1007"/>
    </row>
    <row r="1008" spans="1:26" x14ac:dyDescent="0.25">
      <c r="A1008">
        <v>200818</v>
      </c>
      <c r="B1008" t="s">
        <v>4082</v>
      </c>
      <c r="C1008" t="s">
        <v>4088</v>
      </c>
      <c r="D1008" t="s">
        <v>1282</v>
      </c>
      <c r="E1008">
        <v>-10</v>
      </c>
      <c r="F1008" s="105">
        <v>3934302.67</v>
      </c>
      <c r="G1008" t="s">
        <v>1447</v>
      </c>
      <c r="H1008">
        <v>112127.63</v>
      </c>
      <c r="I1008">
        <v>4386647.51</v>
      </c>
      <c r="J1008" s="711">
        <v>42777.574609918978</v>
      </c>
      <c r="K1008" s="711">
        <v>43142</v>
      </c>
      <c r="L1008" t="s">
        <v>4089</v>
      </c>
      <c r="M1008" t="s">
        <v>1280</v>
      </c>
      <c r="N1008" t="s">
        <v>4090</v>
      </c>
      <c r="O1008" t="s">
        <v>27</v>
      </c>
      <c r="P1008" t="s">
        <v>81</v>
      </c>
      <c r="Q1008" t="s">
        <v>26</v>
      </c>
      <c r="R1008" t="s">
        <v>2636</v>
      </c>
      <c r="S1008">
        <v>10000000</v>
      </c>
      <c r="T1008">
        <v>540000000</v>
      </c>
      <c r="U1008">
        <v>212452344.18000001</v>
      </c>
      <c r="Z1008"/>
    </row>
    <row r="1009" spans="1:26" x14ac:dyDescent="0.25">
      <c r="A1009">
        <v>200820</v>
      </c>
      <c r="B1009" t="s">
        <v>3045</v>
      </c>
      <c r="C1009" t="s">
        <v>3068</v>
      </c>
      <c r="D1009" t="s">
        <v>1282</v>
      </c>
      <c r="E1009">
        <v>-12</v>
      </c>
      <c r="F1009" s="105">
        <v>2320639.31</v>
      </c>
      <c r="G1009" t="s">
        <v>2861</v>
      </c>
      <c r="H1009">
        <v>52601.16</v>
      </c>
      <c r="I1009">
        <v>2557252.1</v>
      </c>
      <c r="J1009" s="711">
        <v>42779.543588622684</v>
      </c>
      <c r="K1009" s="711">
        <v>43144</v>
      </c>
      <c r="L1009" t="s">
        <v>3069</v>
      </c>
      <c r="M1009" t="s">
        <v>1280</v>
      </c>
      <c r="N1009" t="s">
        <v>1280</v>
      </c>
      <c r="O1009" t="s">
        <v>36</v>
      </c>
      <c r="P1009" t="s">
        <v>97</v>
      </c>
      <c r="Q1009" t="s">
        <v>98</v>
      </c>
      <c r="R1009" t="s">
        <v>2856</v>
      </c>
      <c r="S1009">
        <v>6000000</v>
      </c>
      <c r="T1009">
        <v>288000000</v>
      </c>
      <c r="U1009">
        <v>111390686.88</v>
      </c>
      <c r="Z1009"/>
    </row>
    <row r="1010" spans="1:26" x14ac:dyDescent="0.25">
      <c r="A1010">
        <v>200823</v>
      </c>
      <c r="B1010" t="s">
        <v>4093</v>
      </c>
      <c r="C1010" t="s">
        <v>4099</v>
      </c>
      <c r="D1010" t="s">
        <v>1282</v>
      </c>
      <c r="E1010">
        <v>-12</v>
      </c>
      <c r="F1010" s="105">
        <v>2360581.64</v>
      </c>
      <c r="G1010" t="s">
        <v>2861</v>
      </c>
      <c r="H1010">
        <v>60194.83</v>
      </c>
      <c r="I1010">
        <v>2631988.5499999998</v>
      </c>
      <c r="J1010" s="711">
        <v>42779.711102233799</v>
      </c>
      <c r="K1010" s="711">
        <v>43144</v>
      </c>
      <c r="L1010" t="s">
        <v>4100</v>
      </c>
      <c r="M1010" t="s">
        <v>1280</v>
      </c>
      <c r="N1010" t="s">
        <v>4101</v>
      </c>
      <c r="O1010" t="s">
        <v>36</v>
      </c>
      <c r="P1010" t="s">
        <v>1023</v>
      </c>
      <c r="Q1010" t="s">
        <v>26</v>
      </c>
      <c r="R1010" t="s">
        <v>2636</v>
      </c>
      <c r="S1010">
        <v>6000000</v>
      </c>
      <c r="T1010">
        <v>324000000</v>
      </c>
      <c r="U1010">
        <v>127471408.56</v>
      </c>
      <c r="Z1010"/>
    </row>
    <row r="1011" spans="1:26" x14ac:dyDescent="0.25">
      <c r="A1011">
        <v>200824</v>
      </c>
      <c r="B1011" t="s">
        <v>2572</v>
      </c>
      <c r="C1011" t="s">
        <v>2581</v>
      </c>
      <c r="D1011" t="s">
        <v>1282</v>
      </c>
      <c r="E1011">
        <v>-12</v>
      </c>
      <c r="F1011" s="105">
        <v>1933866.15</v>
      </c>
      <c r="G1011" t="s">
        <v>1925</v>
      </c>
      <c r="H1011">
        <v>94870.27</v>
      </c>
      <c r="I1011">
        <v>2131043.5</v>
      </c>
      <c r="J1011" s="711">
        <v>42779.721087928243</v>
      </c>
      <c r="K1011" s="711">
        <v>43144</v>
      </c>
      <c r="L1011" t="s">
        <v>2582</v>
      </c>
      <c r="M1011" t="s">
        <v>3628</v>
      </c>
      <c r="N1011" t="s">
        <v>1280</v>
      </c>
      <c r="O1011" t="s">
        <v>25</v>
      </c>
      <c r="P1011" t="s">
        <v>88</v>
      </c>
      <c r="Q1011" t="s">
        <v>285</v>
      </c>
      <c r="R1011" t="s">
        <v>2856</v>
      </c>
      <c r="S1011">
        <v>5000000</v>
      </c>
      <c r="T1011">
        <v>240000000</v>
      </c>
      <c r="U1011">
        <v>92825575.200000003</v>
      </c>
      <c r="Z1011"/>
    </row>
    <row r="1012" spans="1:26" x14ac:dyDescent="0.25">
      <c r="A1012">
        <v>200827</v>
      </c>
      <c r="B1012" t="s">
        <v>2810</v>
      </c>
      <c r="C1012" t="s">
        <v>2823</v>
      </c>
      <c r="D1012" t="s">
        <v>1281</v>
      </c>
      <c r="E1012">
        <v>-14</v>
      </c>
      <c r="F1012" s="105">
        <v>5891623.54</v>
      </c>
      <c r="G1012" t="s">
        <v>2557</v>
      </c>
      <c r="H1012">
        <v>103103.41</v>
      </c>
      <c r="I1012">
        <v>6416004.8899999997</v>
      </c>
      <c r="J1012" s="711">
        <v>42781.578117245372</v>
      </c>
      <c r="K1012" s="711">
        <v>43146</v>
      </c>
      <c r="L1012" t="s">
        <v>2824</v>
      </c>
      <c r="M1012" t="s">
        <v>1280</v>
      </c>
      <c r="N1012" t="s">
        <v>1280</v>
      </c>
      <c r="O1012" t="s">
        <v>44</v>
      </c>
      <c r="P1012" t="s">
        <v>75</v>
      </c>
      <c r="Q1012" t="s">
        <v>1442</v>
      </c>
      <c r="R1012" t="s">
        <v>2856</v>
      </c>
      <c r="S1012">
        <v>15500000</v>
      </c>
      <c r="T1012">
        <v>651000000</v>
      </c>
      <c r="U1012">
        <v>247448188.68000001</v>
      </c>
      <c r="Z1012"/>
    </row>
    <row r="1013" spans="1:26" x14ac:dyDescent="0.25">
      <c r="A1013">
        <v>200828</v>
      </c>
      <c r="B1013" t="s">
        <v>4111</v>
      </c>
      <c r="C1013" t="s">
        <v>4115</v>
      </c>
      <c r="D1013" t="s">
        <v>1279</v>
      </c>
      <c r="E1013">
        <v>16</v>
      </c>
      <c r="F1013" s="105">
        <v>2860293.64</v>
      </c>
      <c r="G1013" t="s">
        <v>1039</v>
      </c>
      <c r="H1013">
        <v>167803.1</v>
      </c>
      <c r="I1013">
        <v>3227553.57</v>
      </c>
      <c r="J1013" s="711">
        <v>42781.639749224538</v>
      </c>
      <c r="K1013" s="711">
        <v>43146</v>
      </c>
      <c r="L1013" t="s">
        <v>4116</v>
      </c>
      <c r="M1013" t="s">
        <v>1280</v>
      </c>
      <c r="N1013" t="s">
        <v>4117</v>
      </c>
      <c r="O1013" t="s">
        <v>46</v>
      </c>
      <c r="P1013" t="s">
        <v>46</v>
      </c>
      <c r="Q1013" t="s">
        <v>26</v>
      </c>
      <c r="R1013" t="s">
        <v>2636</v>
      </c>
      <c r="S1013">
        <v>6000000</v>
      </c>
      <c r="T1013">
        <v>300000000</v>
      </c>
      <c r="U1013">
        <v>143014682</v>
      </c>
      <c r="Z1013"/>
    </row>
    <row r="1014" spans="1:26" x14ac:dyDescent="0.25">
      <c r="A1014">
        <v>200829</v>
      </c>
      <c r="B1014" t="s">
        <v>4109</v>
      </c>
      <c r="C1014" t="s">
        <v>4118</v>
      </c>
      <c r="D1014" t="s">
        <v>1282</v>
      </c>
      <c r="E1014">
        <v>16</v>
      </c>
      <c r="F1014" s="105">
        <v>9118091.6500000004</v>
      </c>
      <c r="G1014" t="s">
        <v>1467</v>
      </c>
      <c r="H1014">
        <v>600648.95999999996</v>
      </c>
      <c r="I1014">
        <v>11759876.279999999</v>
      </c>
      <c r="J1014" s="711">
        <v>42781.678935416669</v>
      </c>
      <c r="K1014" s="711">
        <v>43327</v>
      </c>
      <c r="L1014" t="s">
        <v>4119</v>
      </c>
      <c r="M1014" t="s">
        <v>1280</v>
      </c>
      <c r="N1014" t="s">
        <v>4120</v>
      </c>
      <c r="O1014" t="s">
        <v>37</v>
      </c>
      <c r="P1014" t="s">
        <v>38</v>
      </c>
      <c r="Q1014" t="s">
        <v>39</v>
      </c>
      <c r="R1014" t="s">
        <v>2636</v>
      </c>
      <c r="S1014">
        <v>13000000</v>
      </c>
      <c r="T1014">
        <v>702000000</v>
      </c>
      <c r="U1014">
        <v>492376949.10000002</v>
      </c>
      <c r="Z1014"/>
    </row>
    <row r="1015" spans="1:26" x14ac:dyDescent="0.25">
      <c r="A1015">
        <v>200833</v>
      </c>
      <c r="B1015" t="s">
        <v>4127</v>
      </c>
      <c r="C1015" t="s">
        <v>4144</v>
      </c>
      <c r="D1015" t="s">
        <v>1282</v>
      </c>
      <c r="E1015">
        <v>-17</v>
      </c>
      <c r="F1015" s="105">
        <v>983575.67</v>
      </c>
      <c r="G1015" t="s">
        <v>1925</v>
      </c>
      <c r="H1015">
        <v>17704.36</v>
      </c>
      <c r="I1015">
        <v>1096661.8899999999</v>
      </c>
      <c r="J1015" s="711">
        <v>42784.470498495371</v>
      </c>
      <c r="K1015" s="711">
        <v>43149</v>
      </c>
      <c r="L1015" t="s">
        <v>4145</v>
      </c>
      <c r="M1015" t="s">
        <v>1280</v>
      </c>
      <c r="N1015" t="s">
        <v>4146</v>
      </c>
      <c r="O1015" t="s">
        <v>44</v>
      </c>
      <c r="P1015" t="s">
        <v>75</v>
      </c>
      <c r="Q1015" t="s">
        <v>26</v>
      </c>
      <c r="R1015" t="s">
        <v>2636</v>
      </c>
      <c r="S1015">
        <v>2500000</v>
      </c>
      <c r="T1015">
        <v>135000000</v>
      </c>
      <c r="U1015">
        <v>53113086.18</v>
      </c>
      <c r="Z1015"/>
    </row>
    <row r="1016" spans="1:26" x14ac:dyDescent="0.25">
      <c r="A1016">
        <v>200834</v>
      </c>
      <c r="B1016" t="s">
        <v>4129</v>
      </c>
      <c r="C1016" t="s">
        <v>4147</v>
      </c>
      <c r="D1016" t="s">
        <v>1279</v>
      </c>
      <c r="E1016">
        <v>103</v>
      </c>
      <c r="F1016" s="105">
        <v>1303691.71</v>
      </c>
      <c r="G1016" t="s">
        <v>3074</v>
      </c>
      <c r="H1016">
        <v>58666.13</v>
      </c>
      <c r="I1016">
        <v>1516545.89</v>
      </c>
      <c r="J1016" s="711">
        <v>42784.481672488429</v>
      </c>
      <c r="K1016" s="711">
        <v>43087</v>
      </c>
      <c r="L1016" t="s">
        <v>4148</v>
      </c>
      <c r="M1016" t="s">
        <v>1280</v>
      </c>
      <c r="N1016" t="s">
        <v>1280</v>
      </c>
      <c r="O1016" t="s">
        <v>44</v>
      </c>
      <c r="P1016" t="s">
        <v>75</v>
      </c>
      <c r="Q1016" t="s">
        <v>26</v>
      </c>
      <c r="R1016" t="s">
        <v>2636</v>
      </c>
      <c r="S1016">
        <v>2000000</v>
      </c>
      <c r="T1016">
        <v>108000000</v>
      </c>
      <c r="U1016">
        <v>70399352.340000004</v>
      </c>
      <c r="Z1016"/>
    </row>
    <row r="1017" spans="1:26" x14ac:dyDescent="0.25">
      <c r="A1017">
        <v>200835</v>
      </c>
      <c r="B1017" t="s">
        <v>2085</v>
      </c>
      <c r="C1017" t="s">
        <v>2097</v>
      </c>
      <c r="D1017" t="s">
        <v>1281</v>
      </c>
      <c r="E1017">
        <v>-17</v>
      </c>
      <c r="F1017" s="105">
        <v>7602094.8099999996</v>
      </c>
      <c r="G1017" t="s">
        <v>1909</v>
      </c>
      <c r="H1017">
        <v>106429.33</v>
      </c>
      <c r="I1017">
        <v>8278715.8899999997</v>
      </c>
      <c r="J1017" s="711">
        <v>42784.520356793983</v>
      </c>
      <c r="K1017" s="711">
        <v>43149</v>
      </c>
      <c r="L1017" t="s">
        <v>2098</v>
      </c>
      <c r="M1017" t="s">
        <v>1280</v>
      </c>
      <c r="N1017" t="s">
        <v>1280</v>
      </c>
      <c r="O1017" t="s">
        <v>25</v>
      </c>
      <c r="P1017" t="s">
        <v>94</v>
      </c>
      <c r="Q1017" t="s">
        <v>95</v>
      </c>
      <c r="R1017" t="s">
        <v>2856</v>
      </c>
      <c r="S1017">
        <v>20000000</v>
      </c>
      <c r="T1017">
        <v>840000000</v>
      </c>
      <c r="U1017">
        <v>319287982.01999998</v>
      </c>
      <c r="Z1017"/>
    </row>
    <row r="1018" spans="1:26" x14ac:dyDescent="0.25">
      <c r="A1018">
        <v>200836</v>
      </c>
      <c r="B1018" t="s">
        <v>4130</v>
      </c>
      <c r="C1018" t="s">
        <v>4149</v>
      </c>
      <c r="D1018" t="s">
        <v>1866</v>
      </c>
      <c r="E1018">
        <v>-17</v>
      </c>
      <c r="F1018" s="105">
        <v>2333961.83</v>
      </c>
      <c r="G1018" t="s">
        <v>2175</v>
      </c>
      <c r="H1018">
        <v>38899.360000000001</v>
      </c>
      <c r="I1018">
        <v>2582042.86</v>
      </c>
      <c r="J1018" s="711">
        <v>42784.547488391203</v>
      </c>
      <c r="K1018" s="711">
        <v>43149</v>
      </c>
      <c r="L1018" t="s">
        <v>4150</v>
      </c>
      <c r="M1018" t="s">
        <v>1280</v>
      </c>
      <c r="N1018" t="s">
        <v>4151</v>
      </c>
      <c r="O1018" t="s">
        <v>45</v>
      </c>
      <c r="P1018" t="s">
        <v>45</v>
      </c>
      <c r="Q1018" t="s">
        <v>89</v>
      </c>
      <c r="R1018" t="s">
        <v>2636</v>
      </c>
      <c r="S1018">
        <v>6000000</v>
      </c>
      <c r="T1018">
        <v>300000000</v>
      </c>
      <c r="U1018">
        <v>116698091.5</v>
      </c>
      <c r="Z1018"/>
    </row>
    <row r="1019" spans="1:26" x14ac:dyDescent="0.25">
      <c r="A1019">
        <v>200838</v>
      </c>
      <c r="B1019" t="s">
        <v>4124</v>
      </c>
      <c r="C1019" t="s">
        <v>4152</v>
      </c>
      <c r="D1019" t="s">
        <v>1282</v>
      </c>
      <c r="E1019">
        <v>-19</v>
      </c>
      <c r="F1019" s="105">
        <v>1967151.37</v>
      </c>
      <c r="G1019" t="s">
        <v>1448</v>
      </c>
      <c r="H1019">
        <v>29507.27</v>
      </c>
      <c r="I1019">
        <v>2193323.7999999998</v>
      </c>
      <c r="J1019" s="711">
        <v>42786.587887384259</v>
      </c>
      <c r="K1019" s="711">
        <v>43151</v>
      </c>
      <c r="L1019" t="s">
        <v>4153</v>
      </c>
      <c r="M1019" t="s">
        <v>1280</v>
      </c>
      <c r="N1019" t="s">
        <v>4154</v>
      </c>
      <c r="O1019" t="s">
        <v>44</v>
      </c>
      <c r="P1019" t="s">
        <v>75</v>
      </c>
      <c r="Q1019" t="s">
        <v>1442</v>
      </c>
      <c r="R1019" t="s">
        <v>2636</v>
      </c>
      <c r="S1019">
        <v>5000000</v>
      </c>
      <c r="T1019">
        <v>270000000</v>
      </c>
      <c r="U1019">
        <v>106226173.98</v>
      </c>
      <c r="Z1019"/>
    </row>
    <row r="1020" spans="1:26" x14ac:dyDescent="0.25">
      <c r="A1020">
        <v>200839</v>
      </c>
      <c r="B1020" t="s">
        <v>4125</v>
      </c>
      <c r="C1020" t="s">
        <v>4155</v>
      </c>
      <c r="D1020" t="s">
        <v>1284</v>
      </c>
      <c r="E1020">
        <v>11</v>
      </c>
      <c r="F1020" s="105">
        <v>23532031.129999999</v>
      </c>
      <c r="G1020" t="s">
        <v>546</v>
      </c>
      <c r="H1020">
        <v>764814.81</v>
      </c>
      <c r="I1020">
        <v>31186158.82</v>
      </c>
      <c r="J1020" s="711">
        <v>42786.606222569448</v>
      </c>
      <c r="K1020" s="711">
        <v>43516</v>
      </c>
      <c r="L1020" t="s">
        <v>4156</v>
      </c>
      <c r="M1020" t="s">
        <v>1280</v>
      </c>
      <c r="N1020" t="s">
        <v>4157</v>
      </c>
      <c r="O1020" t="s">
        <v>44</v>
      </c>
      <c r="P1020" t="s">
        <v>75</v>
      </c>
      <c r="Q1020" t="s">
        <v>1442</v>
      </c>
      <c r="R1020" t="s">
        <v>2636</v>
      </c>
      <c r="S1020">
        <v>30000000</v>
      </c>
      <c r="T1020">
        <v>1200000000</v>
      </c>
      <c r="U1020">
        <v>941281245.20000005</v>
      </c>
      <c r="Z1020"/>
    </row>
    <row r="1021" spans="1:26" x14ac:dyDescent="0.25">
      <c r="A1021">
        <v>200840</v>
      </c>
      <c r="B1021" t="s">
        <v>2278</v>
      </c>
      <c r="C1021" t="s">
        <v>2287</v>
      </c>
      <c r="D1021" t="s">
        <v>1282</v>
      </c>
      <c r="E1021">
        <v>-19</v>
      </c>
      <c r="F1021" s="105">
        <v>1547092.89</v>
      </c>
      <c r="G1021" t="s">
        <v>2538</v>
      </c>
      <c r="H1021">
        <v>20627.91</v>
      </c>
      <c r="I1021">
        <v>1704834.77</v>
      </c>
      <c r="J1021" s="711">
        <v>42786.738933101849</v>
      </c>
      <c r="K1021" s="711">
        <v>43151</v>
      </c>
      <c r="L1021" t="s">
        <v>2288</v>
      </c>
      <c r="M1021" t="s">
        <v>1280</v>
      </c>
      <c r="N1021" t="s">
        <v>1280</v>
      </c>
      <c r="O1021" t="s">
        <v>25</v>
      </c>
      <c r="P1021" t="s">
        <v>26</v>
      </c>
      <c r="Q1021" t="s">
        <v>26</v>
      </c>
      <c r="R1021" t="s">
        <v>2856</v>
      </c>
      <c r="S1021">
        <v>4000000</v>
      </c>
      <c r="T1021">
        <v>192000000</v>
      </c>
      <c r="U1021">
        <v>74260458.719999999</v>
      </c>
      <c r="Z1021"/>
    </row>
    <row r="1022" spans="1:26" x14ac:dyDescent="0.25">
      <c r="A1022">
        <v>200842</v>
      </c>
      <c r="B1022" t="s">
        <v>4159</v>
      </c>
      <c r="C1022" t="s">
        <v>4164</v>
      </c>
      <c r="D1022" t="s">
        <v>1282</v>
      </c>
      <c r="E1022">
        <v>10</v>
      </c>
      <c r="F1022" s="105">
        <v>4321167.1100000003</v>
      </c>
      <c r="G1022" t="s">
        <v>2538</v>
      </c>
      <c r="H1022">
        <v>53113.09</v>
      </c>
      <c r="I1022">
        <v>4773511.95</v>
      </c>
      <c r="J1022" s="711">
        <v>42787.757573113427</v>
      </c>
      <c r="K1022" s="711">
        <v>43152</v>
      </c>
      <c r="L1022" t="s">
        <v>4165</v>
      </c>
      <c r="M1022" t="s">
        <v>1280</v>
      </c>
      <c r="N1022" t="s">
        <v>4166</v>
      </c>
      <c r="O1022" t="s">
        <v>25</v>
      </c>
      <c r="P1022" t="s">
        <v>88</v>
      </c>
      <c r="Q1022" t="s">
        <v>26</v>
      </c>
      <c r="R1022" t="s">
        <v>2636</v>
      </c>
      <c r="S1022">
        <v>10000000</v>
      </c>
      <c r="T1022">
        <v>540000000</v>
      </c>
      <c r="U1022">
        <v>233343023.94</v>
      </c>
      <c r="Z1022"/>
    </row>
    <row r="1023" spans="1:26" x14ac:dyDescent="0.25">
      <c r="A1023">
        <v>200845</v>
      </c>
      <c r="B1023" t="s">
        <v>1957</v>
      </c>
      <c r="C1023" t="s">
        <v>2032</v>
      </c>
      <c r="D1023" t="s">
        <v>1866</v>
      </c>
      <c r="E1023">
        <v>-9</v>
      </c>
      <c r="F1023" s="105">
        <v>3018962.31</v>
      </c>
      <c r="G1023" t="s">
        <v>963</v>
      </c>
      <c r="H1023">
        <v>73796.86</v>
      </c>
      <c r="I1023">
        <v>3300681.42</v>
      </c>
      <c r="J1023" s="711">
        <v>42787.70436246528</v>
      </c>
      <c r="K1023" s="711">
        <v>43141</v>
      </c>
      <c r="L1023" t="s">
        <v>2033</v>
      </c>
      <c r="M1023" t="s">
        <v>1280</v>
      </c>
      <c r="N1023" t="s">
        <v>1280</v>
      </c>
      <c r="O1023" t="s">
        <v>44</v>
      </c>
      <c r="P1023" t="s">
        <v>75</v>
      </c>
      <c r="Q1023" t="s">
        <v>26</v>
      </c>
      <c r="R1023" t="s">
        <v>2856</v>
      </c>
      <c r="S1023">
        <v>8000000</v>
      </c>
      <c r="T1023">
        <v>352000000</v>
      </c>
      <c r="U1023">
        <v>132834341.64</v>
      </c>
      <c r="Z1023"/>
    </row>
    <row r="1024" spans="1:26" x14ac:dyDescent="0.25">
      <c r="A1024">
        <v>200846</v>
      </c>
      <c r="B1024" t="s">
        <v>4160</v>
      </c>
      <c r="C1024" t="s">
        <v>4169</v>
      </c>
      <c r="D1024" t="s">
        <v>1282</v>
      </c>
      <c r="E1024">
        <v>-20</v>
      </c>
      <c r="F1024" s="105">
        <v>3934302.67</v>
      </c>
      <c r="G1024" t="s">
        <v>2175</v>
      </c>
      <c r="H1024">
        <v>53113.09</v>
      </c>
      <c r="I1024">
        <v>4386647.51</v>
      </c>
      <c r="J1024" s="711">
        <v>42787.770598414354</v>
      </c>
      <c r="K1024" s="711">
        <v>43152</v>
      </c>
      <c r="L1024" t="s">
        <v>4170</v>
      </c>
      <c r="M1024" t="s">
        <v>1280</v>
      </c>
      <c r="N1024" t="s">
        <v>1280</v>
      </c>
      <c r="O1024" t="s">
        <v>25</v>
      </c>
      <c r="P1024" t="s">
        <v>26</v>
      </c>
      <c r="Q1024" t="s">
        <v>26</v>
      </c>
      <c r="R1024" t="s">
        <v>2636</v>
      </c>
      <c r="S1024">
        <v>10000000</v>
      </c>
      <c r="T1024">
        <v>540000000</v>
      </c>
      <c r="U1024">
        <v>212452344.18000001</v>
      </c>
      <c r="Z1024"/>
    </row>
    <row r="1025" spans="1:26" x14ac:dyDescent="0.25">
      <c r="A1025">
        <v>200847</v>
      </c>
      <c r="B1025" t="s">
        <v>4171</v>
      </c>
      <c r="C1025" t="s">
        <v>4172</v>
      </c>
      <c r="D1025" t="s">
        <v>1282</v>
      </c>
      <c r="E1025">
        <v>-21</v>
      </c>
      <c r="F1025" s="105">
        <v>1573721.12</v>
      </c>
      <c r="G1025" t="s">
        <v>491</v>
      </c>
      <c r="H1025">
        <v>18884.650000000001</v>
      </c>
      <c r="I1025">
        <v>1754659.06</v>
      </c>
      <c r="J1025" s="711">
        <v>42788.666958182868</v>
      </c>
      <c r="K1025" s="711">
        <v>43153</v>
      </c>
      <c r="L1025" t="s">
        <v>4173</v>
      </c>
      <c r="M1025" t="s">
        <v>1280</v>
      </c>
      <c r="N1025" t="s">
        <v>1280</v>
      </c>
      <c r="O1025" t="s">
        <v>44</v>
      </c>
      <c r="P1025" t="s">
        <v>75</v>
      </c>
      <c r="Q1025" t="s">
        <v>26</v>
      </c>
      <c r="R1025" t="s">
        <v>2636</v>
      </c>
      <c r="S1025">
        <v>4000000</v>
      </c>
      <c r="T1025">
        <v>216000000</v>
      </c>
      <c r="U1025">
        <v>84980940.480000004</v>
      </c>
      <c r="Z1025"/>
    </row>
    <row r="1026" spans="1:26" x14ac:dyDescent="0.25">
      <c r="A1026">
        <v>200849</v>
      </c>
      <c r="B1026" t="s">
        <v>2191</v>
      </c>
      <c r="C1026" t="s">
        <v>2212</v>
      </c>
      <c r="D1026" t="s">
        <v>1283</v>
      </c>
      <c r="E1026">
        <v>-21</v>
      </c>
      <c r="F1026" s="105">
        <v>40793533.850000001</v>
      </c>
      <c r="G1026" t="s">
        <v>1448</v>
      </c>
      <c r="H1026">
        <v>326348.27</v>
      </c>
      <c r="I1026">
        <v>51961725.990000002</v>
      </c>
      <c r="J1026" s="711">
        <v>42788.647240393519</v>
      </c>
      <c r="K1026" s="711">
        <v>43518</v>
      </c>
      <c r="L1026" t="s">
        <v>2213</v>
      </c>
      <c r="M1026" t="s">
        <v>1280</v>
      </c>
      <c r="N1026" t="s">
        <v>1280</v>
      </c>
      <c r="O1026" t="s">
        <v>37</v>
      </c>
      <c r="P1026" t="s">
        <v>38</v>
      </c>
      <c r="Q1026" t="s">
        <v>1681</v>
      </c>
      <c r="R1026" t="s">
        <v>2856</v>
      </c>
      <c r="S1026">
        <v>55000000</v>
      </c>
      <c r="T1026">
        <v>1980000000</v>
      </c>
      <c r="U1026">
        <v>1468567218.5999999</v>
      </c>
      <c r="Z1026"/>
    </row>
    <row r="1027" spans="1:26" x14ac:dyDescent="0.25">
      <c r="A1027">
        <v>200850</v>
      </c>
      <c r="B1027" t="s">
        <v>1937</v>
      </c>
      <c r="C1027" t="s">
        <v>1944</v>
      </c>
      <c r="D1027" t="s">
        <v>1283</v>
      </c>
      <c r="E1027">
        <v>-21</v>
      </c>
      <c r="F1027" s="105">
        <v>31010996.25</v>
      </c>
      <c r="G1027" t="s">
        <v>1925</v>
      </c>
      <c r="H1027">
        <v>248087.97</v>
      </c>
      <c r="I1027">
        <v>36354348.030000001</v>
      </c>
      <c r="J1027" s="711">
        <v>42788.646414814815</v>
      </c>
      <c r="K1027" s="711">
        <v>43334</v>
      </c>
      <c r="L1027" t="s">
        <v>1945</v>
      </c>
      <c r="M1027" t="s">
        <v>1280</v>
      </c>
      <c r="N1027" t="s">
        <v>1946</v>
      </c>
      <c r="O1027" t="s">
        <v>25</v>
      </c>
      <c r="P1027" t="s">
        <v>103</v>
      </c>
      <c r="Q1027" t="s">
        <v>104</v>
      </c>
      <c r="R1027" t="s">
        <v>2856</v>
      </c>
      <c r="S1027">
        <v>50000000</v>
      </c>
      <c r="T1027">
        <v>1800000000</v>
      </c>
      <c r="U1027">
        <v>1116395865</v>
      </c>
      <c r="Z1027"/>
    </row>
    <row r="1028" spans="1:26" x14ac:dyDescent="0.25">
      <c r="A1028">
        <v>200851</v>
      </c>
      <c r="B1028" t="s">
        <v>4174</v>
      </c>
      <c r="C1028" t="s">
        <v>4176</v>
      </c>
      <c r="D1028" t="s">
        <v>1283</v>
      </c>
      <c r="E1028">
        <v>0</v>
      </c>
      <c r="F1028" s="105">
        <v>27690200.07</v>
      </c>
      <c r="G1028" t="s">
        <v>2034</v>
      </c>
      <c r="H1028">
        <v>892239.78</v>
      </c>
      <c r="I1028">
        <v>36719878.5</v>
      </c>
      <c r="J1028" s="711">
        <v>42789.440038194443</v>
      </c>
      <c r="K1028" s="711">
        <v>43525</v>
      </c>
      <c r="L1028" t="s">
        <v>4177</v>
      </c>
      <c r="M1028" t="s">
        <v>1280</v>
      </c>
      <c r="N1028" t="s">
        <v>4178</v>
      </c>
      <c r="O1028" t="s">
        <v>36</v>
      </c>
      <c r="P1028" t="s">
        <v>26</v>
      </c>
      <c r="Q1028" t="s">
        <v>26</v>
      </c>
      <c r="R1028" t="s">
        <v>2636</v>
      </c>
      <c r="S1028">
        <v>35000000</v>
      </c>
      <c r="T1028">
        <v>1400000000</v>
      </c>
      <c r="U1028">
        <v>1107608002.8</v>
      </c>
      <c r="Z1028"/>
    </row>
    <row r="1029" spans="1:26" x14ac:dyDescent="0.25">
      <c r="A1029">
        <v>200853</v>
      </c>
      <c r="B1029" t="s">
        <v>4232</v>
      </c>
      <c r="C1029" t="s">
        <v>4233</v>
      </c>
      <c r="D1029" t="s">
        <v>1279</v>
      </c>
      <c r="E1029">
        <v>-5</v>
      </c>
      <c r="F1029" s="105">
        <v>2407160.11</v>
      </c>
      <c r="G1029" t="s">
        <v>2861</v>
      </c>
      <c r="H1029">
        <v>86657.76</v>
      </c>
      <c r="I1029">
        <v>2741654.74</v>
      </c>
      <c r="J1029" s="711">
        <v>42800.46648703704</v>
      </c>
      <c r="K1029" s="711">
        <v>43165</v>
      </c>
      <c r="L1029" t="s">
        <v>4234</v>
      </c>
      <c r="M1029" t="s">
        <v>1280</v>
      </c>
      <c r="N1029" t="s">
        <v>4235</v>
      </c>
      <c r="O1029" t="s">
        <v>25</v>
      </c>
      <c r="P1029" t="s">
        <v>88</v>
      </c>
      <c r="Q1029" t="s">
        <v>26</v>
      </c>
      <c r="R1029" t="s">
        <v>2636</v>
      </c>
      <c r="S1029">
        <v>5000000</v>
      </c>
      <c r="T1029">
        <v>270000000</v>
      </c>
      <c r="U1029">
        <v>129986645.94</v>
      </c>
      <c r="Z1029"/>
    </row>
    <row r="1030" spans="1:26" x14ac:dyDescent="0.25">
      <c r="A1030">
        <v>200854</v>
      </c>
      <c r="B1030" t="s">
        <v>4175</v>
      </c>
      <c r="C1030" t="s">
        <v>4179</v>
      </c>
      <c r="D1030" t="s">
        <v>1282</v>
      </c>
      <c r="E1030">
        <v>8</v>
      </c>
      <c r="F1030" s="105">
        <v>1317850.3</v>
      </c>
      <c r="G1030" t="s">
        <v>1039</v>
      </c>
      <c r="H1030">
        <v>12393.05</v>
      </c>
      <c r="I1030">
        <v>1453553.74</v>
      </c>
      <c r="J1030" s="711">
        <v>42789.672435567132</v>
      </c>
      <c r="K1030" s="711">
        <v>43154</v>
      </c>
      <c r="L1030" t="s">
        <v>4180</v>
      </c>
      <c r="M1030" t="s">
        <v>1280</v>
      </c>
      <c r="N1030" t="s">
        <v>4181</v>
      </c>
      <c r="O1030" t="s">
        <v>44</v>
      </c>
      <c r="P1030" t="s">
        <v>75</v>
      </c>
      <c r="Q1030" t="s">
        <v>1442</v>
      </c>
      <c r="R1030" t="s">
        <v>2636</v>
      </c>
      <c r="S1030">
        <v>3000000</v>
      </c>
      <c r="T1030">
        <v>162000000</v>
      </c>
      <c r="U1030">
        <v>71163916.200000003</v>
      </c>
      <c r="Z1030"/>
    </row>
    <row r="1031" spans="1:26" x14ac:dyDescent="0.25">
      <c r="A1031">
        <v>200855</v>
      </c>
      <c r="B1031" t="s">
        <v>2327</v>
      </c>
      <c r="C1031" t="s">
        <v>2335</v>
      </c>
      <c r="D1031" t="s">
        <v>1282</v>
      </c>
      <c r="E1031">
        <v>-22</v>
      </c>
      <c r="F1031" s="105">
        <v>3867732.21</v>
      </c>
      <c r="G1031" t="s">
        <v>1667</v>
      </c>
      <c r="H1031">
        <v>36098.83</v>
      </c>
      <c r="I1031">
        <v>4262086.88</v>
      </c>
      <c r="J1031" s="711">
        <v>42789.675475694443</v>
      </c>
      <c r="K1031" s="711">
        <v>43154</v>
      </c>
      <c r="L1031" t="s">
        <v>2336</v>
      </c>
      <c r="M1031" t="s">
        <v>1280</v>
      </c>
      <c r="N1031" t="s">
        <v>1280</v>
      </c>
      <c r="O1031" t="s">
        <v>44</v>
      </c>
      <c r="P1031" t="s">
        <v>75</v>
      </c>
      <c r="Q1031" t="s">
        <v>1442</v>
      </c>
      <c r="R1031" t="s">
        <v>2856</v>
      </c>
      <c r="S1031">
        <v>10000000</v>
      </c>
      <c r="T1031">
        <v>480000000</v>
      </c>
      <c r="U1031">
        <v>185651146.08000001</v>
      </c>
      <c r="Z1031"/>
    </row>
    <row r="1032" spans="1:26" x14ac:dyDescent="0.25">
      <c r="A1032">
        <v>200857</v>
      </c>
      <c r="B1032" t="s">
        <v>4184</v>
      </c>
      <c r="C1032" t="s">
        <v>4189</v>
      </c>
      <c r="D1032" t="s">
        <v>1282</v>
      </c>
      <c r="E1032">
        <v>37</v>
      </c>
      <c r="F1032" s="105">
        <v>709786.29</v>
      </c>
      <c r="G1032" t="s">
        <v>546</v>
      </c>
      <c r="H1032">
        <v>48261.99</v>
      </c>
      <c r="I1032">
        <v>758048.28</v>
      </c>
      <c r="J1032" s="711">
        <v>42790.634258680555</v>
      </c>
      <c r="K1032" s="711">
        <v>43032</v>
      </c>
      <c r="L1032" t="s">
        <v>4190</v>
      </c>
      <c r="M1032" t="s">
        <v>1280</v>
      </c>
      <c r="N1032" t="s">
        <v>1280</v>
      </c>
      <c r="O1032" t="s">
        <v>25</v>
      </c>
      <c r="P1032" t="s">
        <v>88</v>
      </c>
      <c r="Q1032" t="s">
        <v>285</v>
      </c>
      <c r="R1032" t="s">
        <v>2636</v>
      </c>
      <c r="S1032">
        <v>2500000</v>
      </c>
      <c r="T1032">
        <v>135000000</v>
      </c>
      <c r="U1032">
        <v>38328459.659999996</v>
      </c>
      <c r="Z1032"/>
    </row>
    <row r="1033" spans="1:26" x14ac:dyDescent="0.25">
      <c r="A1033">
        <v>200859</v>
      </c>
      <c r="B1033" t="s">
        <v>2279</v>
      </c>
      <c r="C1033" t="s">
        <v>2284</v>
      </c>
      <c r="D1033" t="s">
        <v>1282</v>
      </c>
      <c r="E1033">
        <v>0</v>
      </c>
      <c r="F1033" s="105">
        <v>2868001.18</v>
      </c>
      <c r="G1033" t="s">
        <v>4684</v>
      </c>
      <c r="H1033">
        <v>110896.05</v>
      </c>
      <c r="I1033">
        <v>3221154.14</v>
      </c>
      <c r="J1033" s="711">
        <v>42791.547885219908</v>
      </c>
      <c r="K1033" s="711">
        <v>43160</v>
      </c>
      <c r="L1033" t="s">
        <v>2285</v>
      </c>
      <c r="M1033" t="s">
        <v>1280</v>
      </c>
      <c r="N1033" t="s">
        <v>2286</v>
      </c>
      <c r="O1033" t="s">
        <v>25</v>
      </c>
      <c r="P1033" t="s">
        <v>290</v>
      </c>
      <c r="Q1033" t="s">
        <v>3778</v>
      </c>
      <c r="R1033" t="s">
        <v>2856</v>
      </c>
      <c r="S1033">
        <v>6000000</v>
      </c>
      <c r="T1033">
        <v>288000000</v>
      </c>
      <c r="U1033">
        <v>137664056.63999999</v>
      </c>
      <c r="Z1033"/>
    </row>
    <row r="1034" spans="1:26" x14ac:dyDescent="0.25">
      <c r="A1034">
        <v>200861</v>
      </c>
      <c r="B1034" t="s">
        <v>4191</v>
      </c>
      <c r="C1034" t="s">
        <v>4195</v>
      </c>
      <c r="D1034" t="s">
        <v>1282</v>
      </c>
      <c r="E1034">
        <v>0</v>
      </c>
      <c r="F1034" s="105">
        <v>1213945.77</v>
      </c>
      <c r="G1034" t="s">
        <v>2538</v>
      </c>
      <c r="H1034">
        <v>52806.64</v>
      </c>
      <c r="I1034">
        <v>1382633.49</v>
      </c>
      <c r="J1034" s="711">
        <v>42791.544452974536</v>
      </c>
      <c r="K1034" s="711">
        <v>43160</v>
      </c>
      <c r="L1034" t="s">
        <v>4196</v>
      </c>
      <c r="M1034" t="s">
        <v>1280</v>
      </c>
      <c r="N1034" t="s">
        <v>4197</v>
      </c>
      <c r="O1034" t="s">
        <v>44</v>
      </c>
      <c r="P1034" t="s">
        <v>75</v>
      </c>
      <c r="Q1034" t="s">
        <v>1442</v>
      </c>
      <c r="R1034" t="s">
        <v>2636</v>
      </c>
      <c r="S1034">
        <v>2500000</v>
      </c>
      <c r="T1034">
        <v>135000000</v>
      </c>
      <c r="U1034">
        <v>65553071.579999998</v>
      </c>
      <c r="Z1034"/>
    </row>
    <row r="1035" spans="1:26" x14ac:dyDescent="0.25">
      <c r="A1035">
        <v>200863</v>
      </c>
      <c r="B1035" t="s">
        <v>2361</v>
      </c>
      <c r="C1035" t="s">
        <v>2368</v>
      </c>
      <c r="D1035" t="s">
        <v>1282</v>
      </c>
      <c r="E1035">
        <v>120</v>
      </c>
      <c r="F1035" s="105">
        <v>4462763.1399999997</v>
      </c>
      <c r="G1035" t="s">
        <v>2538</v>
      </c>
      <c r="H1035">
        <v>262265.92</v>
      </c>
      <c r="I1035">
        <v>5137817.6399999997</v>
      </c>
      <c r="J1035" s="711">
        <v>42793.702722534719</v>
      </c>
      <c r="K1035" s="711">
        <v>43101</v>
      </c>
      <c r="L1035" t="s">
        <v>2369</v>
      </c>
      <c r="M1035" t="s">
        <v>1280</v>
      </c>
      <c r="N1035" t="s">
        <v>1280</v>
      </c>
      <c r="O1035" t="s">
        <v>27</v>
      </c>
      <c r="P1035" t="s">
        <v>26</v>
      </c>
      <c r="Q1035" t="s">
        <v>26</v>
      </c>
      <c r="R1035" t="s">
        <v>2856</v>
      </c>
      <c r="S1035">
        <v>6000000</v>
      </c>
      <c r="T1035">
        <v>288000000</v>
      </c>
      <c r="U1035">
        <v>214212630.72</v>
      </c>
      <c r="Z1035"/>
    </row>
    <row r="1036" spans="1:26" x14ac:dyDescent="0.25">
      <c r="A1036">
        <v>200864</v>
      </c>
      <c r="B1036" t="s">
        <v>4199</v>
      </c>
      <c r="C1036" t="s">
        <v>4203</v>
      </c>
      <c r="D1036" t="s">
        <v>1282</v>
      </c>
      <c r="E1036">
        <v>0</v>
      </c>
      <c r="F1036" s="105">
        <v>4841962.2</v>
      </c>
      <c r="G1036" t="s">
        <v>1447</v>
      </c>
      <c r="H1036">
        <v>210625.36</v>
      </c>
      <c r="I1036">
        <v>5514792.54</v>
      </c>
      <c r="J1036" s="711">
        <v>42793.760730439812</v>
      </c>
      <c r="K1036" s="711">
        <v>43160</v>
      </c>
      <c r="L1036" t="s">
        <v>4204</v>
      </c>
      <c r="M1036" t="s">
        <v>1280</v>
      </c>
      <c r="N1036" t="s">
        <v>4205</v>
      </c>
      <c r="O1036" t="s">
        <v>44</v>
      </c>
      <c r="P1036" t="s">
        <v>75</v>
      </c>
      <c r="Q1036" t="s">
        <v>1442</v>
      </c>
      <c r="R1036" t="s">
        <v>2636</v>
      </c>
      <c r="S1036">
        <v>10000000</v>
      </c>
      <c r="T1036">
        <v>540000000</v>
      </c>
      <c r="U1036">
        <v>261465958.80000001</v>
      </c>
      <c r="Z1036"/>
    </row>
    <row r="1037" spans="1:26" x14ac:dyDescent="0.25">
      <c r="A1037">
        <v>200867</v>
      </c>
      <c r="B1037" t="s">
        <v>4214</v>
      </c>
      <c r="C1037" t="s">
        <v>4215</v>
      </c>
      <c r="D1037" t="s">
        <v>1282</v>
      </c>
      <c r="E1037">
        <v>0</v>
      </c>
      <c r="F1037" s="105">
        <v>1450515.48</v>
      </c>
      <c r="G1037" t="s">
        <v>1925</v>
      </c>
      <c r="H1037">
        <v>63097.42</v>
      </c>
      <c r="I1037">
        <v>1652076.49</v>
      </c>
      <c r="J1037" s="711">
        <v>42794.632678125003</v>
      </c>
      <c r="K1037" s="711">
        <v>43160</v>
      </c>
      <c r="L1037" t="s">
        <v>4216</v>
      </c>
      <c r="M1037" t="s">
        <v>1280</v>
      </c>
      <c r="N1037" t="s">
        <v>4217</v>
      </c>
      <c r="O1037" t="s">
        <v>44</v>
      </c>
      <c r="P1037" t="s">
        <v>75</v>
      </c>
      <c r="Q1037" t="s">
        <v>26</v>
      </c>
      <c r="R1037" t="s">
        <v>2636</v>
      </c>
      <c r="S1037">
        <v>3000000</v>
      </c>
      <c r="T1037">
        <v>162000000</v>
      </c>
      <c r="U1037">
        <v>78327835.920000002</v>
      </c>
      <c r="Z1037"/>
    </row>
    <row r="1038" spans="1:26" x14ac:dyDescent="0.25">
      <c r="A1038">
        <v>200868</v>
      </c>
      <c r="B1038" t="s">
        <v>4218</v>
      </c>
      <c r="C1038" t="s">
        <v>4219</v>
      </c>
      <c r="D1038" t="s">
        <v>1282</v>
      </c>
      <c r="E1038">
        <v>0</v>
      </c>
      <c r="F1038" s="105">
        <v>3384536.17</v>
      </c>
      <c r="G1038" t="s">
        <v>3074</v>
      </c>
      <c r="H1038">
        <v>147227.32</v>
      </c>
      <c r="I1038">
        <v>3854845.22</v>
      </c>
      <c r="J1038" s="711">
        <v>42794.750202118055</v>
      </c>
      <c r="K1038" s="711">
        <v>43160</v>
      </c>
      <c r="L1038" t="s">
        <v>4220</v>
      </c>
      <c r="M1038" t="s">
        <v>1280</v>
      </c>
      <c r="N1038" t="s">
        <v>4221</v>
      </c>
      <c r="O1038" t="s">
        <v>44</v>
      </c>
      <c r="P1038" t="s">
        <v>75</v>
      </c>
      <c r="Q1038" t="s">
        <v>26</v>
      </c>
      <c r="R1038" t="s">
        <v>2636</v>
      </c>
      <c r="S1038">
        <v>7000000</v>
      </c>
      <c r="T1038">
        <v>378000000</v>
      </c>
      <c r="U1038">
        <v>182764953.18000001</v>
      </c>
      <c r="Z1038"/>
    </row>
    <row r="1039" spans="1:26" x14ac:dyDescent="0.25">
      <c r="A1039">
        <v>200870</v>
      </c>
      <c r="B1039" t="s">
        <v>2193</v>
      </c>
      <c r="C1039" t="s">
        <v>2201</v>
      </c>
      <c r="D1039" t="s">
        <v>1283</v>
      </c>
      <c r="E1039">
        <v>-1</v>
      </c>
      <c r="F1039" s="105">
        <v>18474947.199999999</v>
      </c>
      <c r="G1039" t="s">
        <v>1448</v>
      </c>
      <c r="H1039">
        <v>517298.52</v>
      </c>
      <c r="I1039">
        <v>20170445.879999999</v>
      </c>
      <c r="J1039" s="711">
        <v>42794.796723761574</v>
      </c>
      <c r="K1039" s="711">
        <v>43161</v>
      </c>
      <c r="L1039" t="s">
        <v>2202</v>
      </c>
      <c r="M1039" t="s">
        <v>1280</v>
      </c>
      <c r="N1039" t="s">
        <v>1280</v>
      </c>
      <c r="O1039" t="s">
        <v>25</v>
      </c>
      <c r="P1039" t="s">
        <v>26</v>
      </c>
      <c r="Q1039" t="s">
        <v>26</v>
      </c>
      <c r="R1039" t="s">
        <v>2856</v>
      </c>
      <c r="S1039">
        <v>40000000</v>
      </c>
      <c r="T1039">
        <v>1440000000</v>
      </c>
      <c r="U1039">
        <v>665098099.20000005</v>
      </c>
      <c r="Z1039"/>
    </row>
    <row r="1040" spans="1:26" x14ac:dyDescent="0.25">
      <c r="A1040">
        <v>200871</v>
      </c>
      <c r="B1040" t="s">
        <v>2517</v>
      </c>
      <c r="C1040" t="s">
        <v>2522</v>
      </c>
      <c r="D1040" t="s">
        <v>1282</v>
      </c>
      <c r="E1040">
        <v>0</v>
      </c>
      <c r="F1040" s="105">
        <v>1666615.2</v>
      </c>
      <c r="G1040" t="s">
        <v>1909</v>
      </c>
      <c r="H1040">
        <v>64442.45</v>
      </c>
      <c r="I1040">
        <v>1871834.81</v>
      </c>
      <c r="J1040" s="711">
        <v>42794.869916053241</v>
      </c>
      <c r="K1040" s="711">
        <v>43160</v>
      </c>
      <c r="L1040" t="s">
        <v>2523</v>
      </c>
      <c r="M1040" t="s">
        <v>2524</v>
      </c>
      <c r="N1040" t="s">
        <v>1280</v>
      </c>
      <c r="O1040" t="s">
        <v>35</v>
      </c>
      <c r="P1040" t="s">
        <v>121</v>
      </c>
      <c r="Q1040" t="s">
        <v>26</v>
      </c>
      <c r="R1040" t="s">
        <v>2856</v>
      </c>
      <c r="S1040">
        <v>3500000</v>
      </c>
      <c r="T1040">
        <v>168000000</v>
      </c>
      <c r="U1040">
        <v>79997529.599999994</v>
      </c>
      <c r="Z1040"/>
    </row>
    <row r="1041" spans="1:26" x14ac:dyDescent="0.25">
      <c r="A1041">
        <v>200872</v>
      </c>
      <c r="B1041" t="s">
        <v>4222</v>
      </c>
      <c r="C1041" t="s">
        <v>4223</v>
      </c>
      <c r="D1041" t="s">
        <v>1283</v>
      </c>
      <c r="E1041">
        <v>0</v>
      </c>
      <c r="F1041" s="105">
        <v>27542597.719999999</v>
      </c>
      <c r="G1041" t="s">
        <v>2034</v>
      </c>
      <c r="H1041">
        <v>887483.7</v>
      </c>
      <c r="I1041">
        <v>36524143.530000001</v>
      </c>
      <c r="J1041" s="711">
        <v>42794.843159108794</v>
      </c>
      <c r="K1041" s="711">
        <v>43525</v>
      </c>
      <c r="L1041" t="s">
        <v>4224</v>
      </c>
      <c r="M1041" t="s">
        <v>1280</v>
      </c>
      <c r="N1041" t="s">
        <v>4225</v>
      </c>
      <c r="O1041" t="s">
        <v>44</v>
      </c>
      <c r="P1041" t="s">
        <v>75</v>
      </c>
      <c r="Q1041" t="s">
        <v>26</v>
      </c>
      <c r="R1041" t="s">
        <v>2636</v>
      </c>
      <c r="S1041">
        <v>35000000</v>
      </c>
      <c r="T1041">
        <v>1400000000</v>
      </c>
      <c r="U1041">
        <v>1101703908.8</v>
      </c>
      <c r="Z1041"/>
    </row>
    <row r="1042" spans="1:26" x14ac:dyDescent="0.25">
      <c r="A1042">
        <v>200875</v>
      </c>
      <c r="B1042" t="s">
        <v>4208</v>
      </c>
      <c r="C1042" t="s">
        <v>4229</v>
      </c>
      <c r="D1042" t="s">
        <v>1281</v>
      </c>
      <c r="E1042">
        <v>-1</v>
      </c>
      <c r="F1042" s="105">
        <v>12111009.619999999</v>
      </c>
      <c r="G1042" t="s">
        <v>2538</v>
      </c>
      <c r="H1042">
        <v>452144.36</v>
      </c>
      <c r="I1042">
        <v>14390576</v>
      </c>
      <c r="J1042" s="711">
        <v>42796.665665277775</v>
      </c>
      <c r="K1042" s="711">
        <v>43253</v>
      </c>
      <c r="L1042" t="s">
        <v>4230</v>
      </c>
      <c r="M1042" t="s">
        <v>1280</v>
      </c>
      <c r="N1042" t="s">
        <v>4231</v>
      </c>
      <c r="O1042" t="s">
        <v>27</v>
      </c>
      <c r="P1042" t="s">
        <v>81</v>
      </c>
      <c r="Q1042" t="s">
        <v>26</v>
      </c>
      <c r="R1042" t="s">
        <v>2636</v>
      </c>
      <c r="S1042">
        <v>20000000</v>
      </c>
      <c r="T1042">
        <v>960000000</v>
      </c>
      <c r="U1042">
        <v>581328461.75999999</v>
      </c>
      <c r="Z1042"/>
    </row>
    <row r="1043" spans="1:26" x14ac:dyDescent="0.25">
      <c r="A1043">
        <v>200878</v>
      </c>
      <c r="B1043" t="s">
        <v>4236</v>
      </c>
      <c r="C1043" t="s">
        <v>4237</v>
      </c>
      <c r="D1043" t="s">
        <v>1281</v>
      </c>
      <c r="E1043">
        <v>-6</v>
      </c>
      <c r="F1043" s="105">
        <v>7589621.4900000002</v>
      </c>
      <c r="G1043" t="s">
        <v>1447</v>
      </c>
      <c r="H1043">
        <v>232748.39</v>
      </c>
      <c r="I1043">
        <v>8524173.8399999999</v>
      </c>
      <c r="J1043" s="711">
        <v>42801.530226932868</v>
      </c>
      <c r="K1043" s="711">
        <v>43166</v>
      </c>
      <c r="L1043" t="s">
        <v>4238</v>
      </c>
      <c r="M1043" t="s">
        <v>1280</v>
      </c>
      <c r="N1043" t="s">
        <v>4239</v>
      </c>
      <c r="O1043" t="s">
        <v>45</v>
      </c>
      <c r="P1043" t="s">
        <v>45</v>
      </c>
      <c r="Q1043" t="s">
        <v>26</v>
      </c>
      <c r="R1043" t="s">
        <v>2636</v>
      </c>
      <c r="S1043">
        <v>16000000</v>
      </c>
      <c r="T1043">
        <v>768000000</v>
      </c>
      <c r="U1043">
        <v>364301831.51999998</v>
      </c>
      <c r="Z1043"/>
    </row>
    <row r="1044" spans="1:26" x14ac:dyDescent="0.25">
      <c r="A1044">
        <v>200879</v>
      </c>
      <c r="B1044" t="s">
        <v>2449</v>
      </c>
      <c r="C1044" t="s">
        <v>2450</v>
      </c>
      <c r="D1044" t="s">
        <v>1866</v>
      </c>
      <c r="E1044">
        <v>-6</v>
      </c>
      <c r="F1044" s="105">
        <v>3756889.31</v>
      </c>
      <c r="G1044" t="s">
        <v>1925</v>
      </c>
      <c r="H1044">
        <v>105610.33</v>
      </c>
      <c r="I1044">
        <v>4180062.62</v>
      </c>
      <c r="J1044" s="711">
        <v>42801.65197885417</v>
      </c>
      <c r="K1044" s="711">
        <v>43166</v>
      </c>
      <c r="L1044" t="s">
        <v>2451</v>
      </c>
      <c r="M1044" t="s">
        <v>1280</v>
      </c>
      <c r="N1044" t="s">
        <v>1280</v>
      </c>
      <c r="O1044" t="s">
        <v>25</v>
      </c>
      <c r="P1044" t="s">
        <v>32</v>
      </c>
      <c r="Q1044" t="s">
        <v>26</v>
      </c>
      <c r="R1044" t="s">
        <v>2856</v>
      </c>
      <c r="S1044">
        <v>8000000</v>
      </c>
      <c r="T1044">
        <v>352000000</v>
      </c>
      <c r="U1044">
        <v>165303129.63999999</v>
      </c>
      <c r="Z1044"/>
    </row>
    <row r="1045" spans="1:26" x14ac:dyDescent="0.25">
      <c r="A1045">
        <v>200883</v>
      </c>
      <c r="B1045" t="s">
        <v>4243</v>
      </c>
      <c r="C1045" t="s">
        <v>4244</v>
      </c>
      <c r="D1045" t="s">
        <v>1282</v>
      </c>
      <c r="E1045">
        <v>-14</v>
      </c>
      <c r="F1045" s="105">
        <v>1203580.04</v>
      </c>
      <c r="G1045" t="s">
        <v>1447</v>
      </c>
      <c r="H1045">
        <v>27080.55</v>
      </c>
      <c r="I1045">
        <v>1370827.36</v>
      </c>
      <c r="J1045" s="711">
        <v>42809.655407835649</v>
      </c>
      <c r="K1045" s="711">
        <v>43174</v>
      </c>
      <c r="L1045" t="s">
        <v>4245</v>
      </c>
      <c r="M1045" t="s">
        <v>1280</v>
      </c>
      <c r="N1045" t="s">
        <v>4246</v>
      </c>
      <c r="O1045" t="s">
        <v>44</v>
      </c>
      <c r="P1045" t="s">
        <v>75</v>
      </c>
      <c r="Q1045" t="s">
        <v>1442</v>
      </c>
      <c r="R1045" t="s">
        <v>2636</v>
      </c>
      <c r="S1045">
        <v>2500000</v>
      </c>
      <c r="T1045">
        <v>135000000</v>
      </c>
      <c r="U1045">
        <v>64993322.159999996</v>
      </c>
      <c r="Z1045"/>
    </row>
    <row r="1046" spans="1:26" x14ac:dyDescent="0.25">
      <c r="A1046">
        <v>200884</v>
      </c>
      <c r="B1046" t="s">
        <v>4248</v>
      </c>
      <c r="C1046" t="s">
        <v>4249</v>
      </c>
      <c r="D1046" t="s">
        <v>1284</v>
      </c>
      <c r="E1046">
        <v>-15</v>
      </c>
      <c r="F1046" s="105">
        <v>16269963.73</v>
      </c>
      <c r="G1046" t="s">
        <v>1448</v>
      </c>
      <c r="H1046">
        <v>253088.32</v>
      </c>
      <c r="I1046">
        <v>17932509.489999998</v>
      </c>
      <c r="J1046" s="711">
        <v>42810.64776403935</v>
      </c>
      <c r="K1046" s="711">
        <v>43175</v>
      </c>
      <c r="L1046" t="s">
        <v>4250</v>
      </c>
      <c r="M1046" t="s">
        <v>1280</v>
      </c>
      <c r="N1046" t="s">
        <v>4251</v>
      </c>
      <c r="O1046" t="s">
        <v>25</v>
      </c>
      <c r="P1046" t="s">
        <v>88</v>
      </c>
      <c r="Q1046" t="s">
        <v>285</v>
      </c>
      <c r="R1046" t="s">
        <v>2636</v>
      </c>
      <c r="S1046">
        <v>35000000</v>
      </c>
      <c r="T1046">
        <v>1400000000</v>
      </c>
      <c r="U1046">
        <v>650798549.20000005</v>
      </c>
      <c r="Z1046"/>
    </row>
    <row r="1047" spans="1:26" x14ac:dyDescent="0.25">
      <c r="A1047">
        <v>200886</v>
      </c>
      <c r="B1047" t="s">
        <v>2195</v>
      </c>
      <c r="C1047" t="s">
        <v>2198</v>
      </c>
      <c r="D1047" t="s">
        <v>1282</v>
      </c>
      <c r="E1047">
        <v>-15</v>
      </c>
      <c r="F1047" s="105">
        <v>4743513.4000000004</v>
      </c>
      <c r="G1047" t="s">
        <v>1909</v>
      </c>
      <c r="H1047">
        <v>88545.58</v>
      </c>
      <c r="I1047">
        <v>5327608.6100000003</v>
      </c>
      <c r="J1047" s="711">
        <v>42810.74490528935</v>
      </c>
      <c r="K1047" s="711">
        <v>43175</v>
      </c>
      <c r="L1047" t="s">
        <v>2199</v>
      </c>
      <c r="M1047" t="s">
        <v>1280</v>
      </c>
      <c r="N1047" t="s">
        <v>2200</v>
      </c>
      <c r="O1047" t="s">
        <v>45</v>
      </c>
      <c r="P1047" t="s">
        <v>45</v>
      </c>
      <c r="Q1047" t="s">
        <v>89</v>
      </c>
      <c r="R1047" t="s">
        <v>2856</v>
      </c>
      <c r="S1047">
        <v>10000000</v>
      </c>
      <c r="T1047">
        <v>480000000</v>
      </c>
      <c r="U1047">
        <v>227688643.19999999</v>
      </c>
      <c r="Z1047"/>
    </row>
    <row r="1048" spans="1:26" x14ac:dyDescent="0.25">
      <c r="A1048">
        <v>200887</v>
      </c>
      <c r="B1048" t="s">
        <v>4255</v>
      </c>
      <c r="C1048" t="s">
        <v>4257</v>
      </c>
      <c r="D1048" t="s">
        <v>1282</v>
      </c>
      <c r="E1048">
        <v>-16</v>
      </c>
      <c r="F1048" s="105">
        <v>5692216.1100000003</v>
      </c>
      <c r="G1048" t="s">
        <v>4684</v>
      </c>
      <c r="H1048">
        <v>98665.08</v>
      </c>
      <c r="I1048">
        <v>6393130.3700000001</v>
      </c>
      <c r="J1048" s="711">
        <v>42811.448582094905</v>
      </c>
      <c r="K1048" s="711">
        <v>43176</v>
      </c>
      <c r="L1048" t="s">
        <v>4258</v>
      </c>
      <c r="M1048" t="s">
        <v>4259</v>
      </c>
      <c r="N1048" t="s">
        <v>1280</v>
      </c>
      <c r="O1048" t="s">
        <v>44</v>
      </c>
      <c r="P1048" t="s">
        <v>75</v>
      </c>
      <c r="Q1048" t="s">
        <v>1442</v>
      </c>
      <c r="R1048" t="s">
        <v>2856</v>
      </c>
      <c r="S1048">
        <v>12000000</v>
      </c>
      <c r="T1048">
        <v>576000000</v>
      </c>
      <c r="U1048">
        <v>273226373.27999997</v>
      </c>
      <c r="Z1048"/>
    </row>
    <row r="1049" spans="1:26" x14ac:dyDescent="0.25">
      <c r="A1049">
        <v>200888</v>
      </c>
      <c r="B1049" t="s">
        <v>2061</v>
      </c>
      <c r="C1049" t="s">
        <v>2064</v>
      </c>
      <c r="D1049" t="s">
        <v>1282</v>
      </c>
      <c r="E1049">
        <v>-16</v>
      </c>
      <c r="F1049" s="105">
        <v>2371756.7400000002</v>
      </c>
      <c r="G1049" t="s">
        <v>1448</v>
      </c>
      <c r="H1049">
        <v>41110.449999999997</v>
      </c>
      <c r="I1049">
        <v>2663804.36</v>
      </c>
      <c r="J1049" s="711">
        <v>42811.544827858794</v>
      </c>
      <c r="K1049" s="711">
        <v>43176</v>
      </c>
      <c r="L1049" t="s">
        <v>2065</v>
      </c>
      <c r="M1049" t="s">
        <v>1280</v>
      </c>
      <c r="N1049" t="s">
        <v>1280</v>
      </c>
      <c r="O1049" t="s">
        <v>44</v>
      </c>
      <c r="P1049" t="s">
        <v>75</v>
      </c>
      <c r="Q1049" t="s">
        <v>1442</v>
      </c>
      <c r="R1049" t="s">
        <v>2856</v>
      </c>
      <c r="S1049">
        <v>5000000</v>
      </c>
      <c r="T1049">
        <v>240000000</v>
      </c>
      <c r="U1049">
        <v>113844323.52</v>
      </c>
      <c r="Z1049"/>
    </row>
    <row r="1050" spans="1:26" x14ac:dyDescent="0.25">
      <c r="A1050">
        <v>200889</v>
      </c>
      <c r="B1050" t="s">
        <v>3123</v>
      </c>
      <c r="C1050" t="s">
        <v>3124</v>
      </c>
      <c r="D1050" t="s">
        <v>1282</v>
      </c>
      <c r="E1050">
        <v>-16</v>
      </c>
      <c r="F1050" s="105">
        <v>2134581.0099999998</v>
      </c>
      <c r="G1050" t="s">
        <v>1909</v>
      </c>
      <c r="H1050">
        <v>36999.4</v>
      </c>
      <c r="I1050">
        <v>2397423.85</v>
      </c>
      <c r="J1050" s="711">
        <v>42811.654107326387</v>
      </c>
      <c r="K1050" s="711">
        <v>43176</v>
      </c>
      <c r="L1050" t="s">
        <v>3125</v>
      </c>
      <c r="M1050" t="s">
        <v>1280</v>
      </c>
      <c r="N1050" t="s">
        <v>1280</v>
      </c>
      <c r="O1050" t="s">
        <v>25</v>
      </c>
      <c r="P1050" t="s">
        <v>88</v>
      </c>
      <c r="Q1050" t="s">
        <v>26</v>
      </c>
      <c r="R1050" t="s">
        <v>2856</v>
      </c>
      <c r="S1050">
        <v>4500000</v>
      </c>
      <c r="T1050">
        <v>216000000</v>
      </c>
      <c r="U1050">
        <v>102459888.48</v>
      </c>
      <c r="Z1050"/>
    </row>
    <row r="1051" spans="1:26" x14ac:dyDescent="0.25">
      <c r="A1051">
        <v>200891</v>
      </c>
      <c r="B1051" t="s">
        <v>4256</v>
      </c>
      <c r="C1051" t="s">
        <v>4260</v>
      </c>
      <c r="D1051" t="s">
        <v>1284</v>
      </c>
      <c r="E1051">
        <v>-16</v>
      </c>
      <c r="F1051" s="105">
        <v>8908553.7200000007</v>
      </c>
      <c r="G1051" t="s">
        <v>2855</v>
      </c>
      <c r="H1051">
        <v>0</v>
      </c>
      <c r="I1051">
        <v>10295896.57</v>
      </c>
      <c r="J1051" s="711">
        <v>42811.759254363424</v>
      </c>
      <c r="K1051" s="711">
        <v>43268</v>
      </c>
      <c r="L1051" t="s">
        <v>4261</v>
      </c>
      <c r="M1051" t="s">
        <v>1280</v>
      </c>
      <c r="N1051" t="s">
        <v>4262</v>
      </c>
      <c r="O1051" t="s">
        <v>44</v>
      </c>
      <c r="P1051" t="s">
        <v>75</v>
      </c>
      <c r="Q1051" t="s">
        <v>1442</v>
      </c>
      <c r="R1051" t="s">
        <v>2636</v>
      </c>
      <c r="S1051">
        <v>15000000</v>
      </c>
      <c r="T1051">
        <v>600000000</v>
      </c>
      <c r="U1051">
        <v>356342148.80000001</v>
      </c>
      <c r="Z1051"/>
    </row>
    <row r="1052" spans="1:26" x14ac:dyDescent="0.25">
      <c r="A1052">
        <v>200892</v>
      </c>
      <c r="B1052" t="s">
        <v>2714</v>
      </c>
      <c r="C1052" t="s">
        <v>2726</v>
      </c>
      <c r="D1052" t="s">
        <v>1279</v>
      </c>
      <c r="E1052">
        <v>-17</v>
      </c>
      <c r="F1052" s="105">
        <v>2134581.0099999998</v>
      </c>
      <c r="G1052" t="s">
        <v>2494</v>
      </c>
      <c r="H1052">
        <v>34153.300000000003</v>
      </c>
      <c r="I1052">
        <v>2397423.85</v>
      </c>
      <c r="J1052" s="711">
        <v>42812.444238888886</v>
      </c>
      <c r="K1052" s="711">
        <v>43177</v>
      </c>
      <c r="L1052" t="s">
        <v>2727</v>
      </c>
      <c r="M1052" t="s">
        <v>2728</v>
      </c>
      <c r="N1052" t="s">
        <v>1280</v>
      </c>
      <c r="O1052" t="s">
        <v>25</v>
      </c>
      <c r="P1052" t="s">
        <v>26</v>
      </c>
      <c r="Q1052" t="s">
        <v>26</v>
      </c>
      <c r="R1052" t="s">
        <v>2856</v>
      </c>
      <c r="S1052">
        <v>4500000</v>
      </c>
      <c r="T1052">
        <v>216000000</v>
      </c>
      <c r="U1052">
        <v>102459888.48</v>
      </c>
      <c r="Z1052"/>
    </row>
    <row r="1053" spans="1:26" x14ac:dyDescent="0.25">
      <c r="A1053">
        <v>200893</v>
      </c>
      <c r="B1053" t="s">
        <v>4264</v>
      </c>
      <c r="C1053" t="s">
        <v>4268</v>
      </c>
      <c r="D1053" t="s">
        <v>1279</v>
      </c>
      <c r="E1053">
        <v>-17</v>
      </c>
      <c r="F1053" s="105">
        <v>1444296.02</v>
      </c>
      <c r="G1053" t="s">
        <v>2557</v>
      </c>
      <c r="H1053">
        <v>25997.33</v>
      </c>
      <c r="I1053">
        <v>1644992.78</v>
      </c>
      <c r="J1053" s="711">
        <v>42812.532050729169</v>
      </c>
      <c r="K1053" s="711">
        <v>43177</v>
      </c>
      <c r="L1053" t="s">
        <v>4269</v>
      </c>
      <c r="M1053" t="s">
        <v>1280</v>
      </c>
      <c r="N1053" t="s">
        <v>1280</v>
      </c>
      <c r="O1053" t="s">
        <v>25</v>
      </c>
      <c r="P1053" t="s">
        <v>88</v>
      </c>
      <c r="Q1053" t="s">
        <v>26</v>
      </c>
      <c r="R1053" t="s">
        <v>2636</v>
      </c>
      <c r="S1053">
        <v>3000000</v>
      </c>
      <c r="T1053">
        <v>162000000</v>
      </c>
      <c r="U1053">
        <v>77991985.079999998</v>
      </c>
      <c r="Z1053"/>
    </row>
    <row r="1054" spans="1:26" x14ac:dyDescent="0.25">
      <c r="A1054">
        <v>200894</v>
      </c>
      <c r="B1054" t="s">
        <v>2372</v>
      </c>
      <c r="C1054" t="s">
        <v>2377</v>
      </c>
      <c r="D1054" t="s">
        <v>1282</v>
      </c>
      <c r="E1054">
        <v>-23</v>
      </c>
      <c r="F1054" s="105">
        <v>2846108.03</v>
      </c>
      <c r="G1054" t="s">
        <v>2861</v>
      </c>
      <c r="H1054">
        <v>64770.23</v>
      </c>
      <c r="I1054">
        <v>3196565.14</v>
      </c>
      <c r="J1054" s="711">
        <v>42818.463421956018</v>
      </c>
      <c r="K1054" s="711">
        <v>43183</v>
      </c>
      <c r="L1054" t="s">
        <v>2378</v>
      </c>
      <c r="M1054" t="s">
        <v>1280</v>
      </c>
      <c r="N1054" t="s">
        <v>1280</v>
      </c>
      <c r="O1054" t="s">
        <v>25</v>
      </c>
      <c r="P1054" t="s">
        <v>88</v>
      </c>
      <c r="Q1054" t="s">
        <v>285</v>
      </c>
      <c r="R1054" t="s">
        <v>2856</v>
      </c>
      <c r="S1054">
        <v>6000000</v>
      </c>
      <c r="T1054">
        <v>288000000</v>
      </c>
      <c r="U1054">
        <v>136613185.44</v>
      </c>
      <c r="Z1054"/>
    </row>
    <row r="1055" spans="1:26" x14ac:dyDescent="0.25">
      <c r="A1055">
        <v>200896</v>
      </c>
      <c r="B1055" t="s">
        <v>4283</v>
      </c>
      <c r="C1055" t="s">
        <v>4290</v>
      </c>
      <c r="D1055" t="s">
        <v>1282</v>
      </c>
      <c r="E1055">
        <v>100</v>
      </c>
      <c r="F1055" s="105">
        <v>3723563.01</v>
      </c>
      <c r="G1055" t="s">
        <v>2034</v>
      </c>
      <c r="H1055">
        <v>173941.23</v>
      </c>
      <c r="I1055">
        <v>4287863.2</v>
      </c>
      <c r="J1055" s="711">
        <v>42815.688522685188</v>
      </c>
      <c r="K1055" s="711">
        <v>43121</v>
      </c>
      <c r="L1055" t="s">
        <v>4291</v>
      </c>
      <c r="M1055" t="s">
        <v>1280</v>
      </c>
      <c r="N1055" t="s">
        <v>1280</v>
      </c>
      <c r="O1055" t="s">
        <v>25</v>
      </c>
      <c r="P1055" t="s">
        <v>26</v>
      </c>
      <c r="Q1055" t="s">
        <v>26</v>
      </c>
      <c r="R1055" t="s">
        <v>2636</v>
      </c>
      <c r="S1055">
        <v>5000000</v>
      </c>
      <c r="T1055">
        <v>270000000</v>
      </c>
      <c r="U1055">
        <v>201072402.53999999</v>
      </c>
      <c r="Z1055"/>
    </row>
    <row r="1056" spans="1:26" x14ac:dyDescent="0.25">
      <c r="A1056">
        <v>200897</v>
      </c>
      <c r="B1056" t="s">
        <v>4280</v>
      </c>
      <c r="C1056" t="s">
        <v>4292</v>
      </c>
      <c r="D1056" t="s">
        <v>1282</v>
      </c>
      <c r="E1056">
        <v>-20</v>
      </c>
      <c r="F1056" s="105">
        <v>1925728.11</v>
      </c>
      <c r="G1056" t="s">
        <v>963</v>
      </c>
      <c r="H1056">
        <v>25997.33</v>
      </c>
      <c r="I1056">
        <v>2193323.81</v>
      </c>
      <c r="J1056" s="711">
        <v>42815.578442905091</v>
      </c>
      <c r="K1056" s="711">
        <v>43180</v>
      </c>
      <c r="L1056" t="s">
        <v>4293</v>
      </c>
      <c r="M1056" t="s">
        <v>1280</v>
      </c>
      <c r="N1056" t="s">
        <v>4294</v>
      </c>
      <c r="O1056" t="s">
        <v>25</v>
      </c>
      <c r="P1056" t="s">
        <v>32</v>
      </c>
      <c r="Q1056" t="s">
        <v>3369</v>
      </c>
      <c r="R1056" t="s">
        <v>2636</v>
      </c>
      <c r="S1056">
        <v>4000000</v>
      </c>
      <c r="T1056">
        <v>216000000</v>
      </c>
      <c r="U1056">
        <v>103989317.94</v>
      </c>
      <c r="Z1056"/>
    </row>
    <row r="1057" spans="1:26" x14ac:dyDescent="0.25">
      <c r="A1057">
        <v>200899</v>
      </c>
      <c r="B1057" t="s">
        <v>4277</v>
      </c>
      <c r="C1057" t="s">
        <v>4298</v>
      </c>
      <c r="D1057" t="s">
        <v>1283</v>
      </c>
      <c r="E1057">
        <v>-20</v>
      </c>
      <c r="F1057" s="105">
        <v>37358593.020000003</v>
      </c>
      <c r="G1057" t="s">
        <v>491</v>
      </c>
      <c r="H1057">
        <v>1711363.85</v>
      </c>
      <c r="I1057">
        <v>45237748.920000002</v>
      </c>
      <c r="J1057" s="711">
        <v>42815.615635185182</v>
      </c>
      <c r="K1057" s="711">
        <v>43364</v>
      </c>
      <c r="L1057" t="s">
        <v>4299</v>
      </c>
      <c r="M1057" t="s">
        <v>1280</v>
      </c>
      <c r="N1057" t="s">
        <v>4300</v>
      </c>
      <c r="O1057" t="s">
        <v>36</v>
      </c>
      <c r="P1057" t="s">
        <v>1023</v>
      </c>
      <c r="Q1057" t="s">
        <v>4042</v>
      </c>
      <c r="R1057" t="s">
        <v>2636</v>
      </c>
      <c r="S1057">
        <v>55000000</v>
      </c>
      <c r="T1057">
        <v>2200000000</v>
      </c>
      <c r="U1057">
        <v>1494343720.8</v>
      </c>
      <c r="Z1057"/>
    </row>
    <row r="1058" spans="1:26" x14ac:dyDescent="0.25">
      <c r="A1058">
        <v>200901</v>
      </c>
      <c r="B1058" t="s">
        <v>4279</v>
      </c>
      <c r="C1058" t="s">
        <v>4303</v>
      </c>
      <c r="D1058" t="s">
        <v>1279</v>
      </c>
      <c r="E1058">
        <v>70</v>
      </c>
      <c r="F1058" s="105">
        <v>1087807.04</v>
      </c>
      <c r="G1058" t="s">
        <v>3074</v>
      </c>
      <c r="H1058">
        <v>85210.27</v>
      </c>
      <c r="I1058">
        <v>1187456.7</v>
      </c>
      <c r="J1058" s="711">
        <v>42815.728533912035</v>
      </c>
      <c r="K1058" s="711">
        <v>43060</v>
      </c>
      <c r="L1058" t="s">
        <v>4304</v>
      </c>
      <c r="M1058" t="s">
        <v>1280</v>
      </c>
      <c r="N1058" t="s">
        <v>1280</v>
      </c>
      <c r="O1058" t="s">
        <v>36</v>
      </c>
      <c r="P1058" t="s">
        <v>97</v>
      </c>
      <c r="Q1058" t="s">
        <v>98</v>
      </c>
      <c r="R1058" t="s">
        <v>2636</v>
      </c>
      <c r="S1058">
        <v>2000000</v>
      </c>
      <c r="T1058">
        <v>108000000</v>
      </c>
      <c r="U1058">
        <v>58741580.159999996</v>
      </c>
      <c r="Z1058"/>
    </row>
    <row r="1059" spans="1:26" x14ac:dyDescent="0.25">
      <c r="A1059">
        <v>200902</v>
      </c>
      <c r="B1059" t="s">
        <v>4308</v>
      </c>
      <c r="C1059" t="s">
        <v>4314</v>
      </c>
      <c r="D1059" t="s">
        <v>1282</v>
      </c>
      <c r="E1059">
        <v>-21</v>
      </c>
      <c r="F1059" s="105">
        <v>2407160.11</v>
      </c>
      <c r="G1059" t="s">
        <v>1447</v>
      </c>
      <c r="H1059">
        <v>28885.919999999998</v>
      </c>
      <c r="I1059">
        <v>2741654.74</v>
      </c>
      <c r="J1059" s="711">
        <v>42816.495054513885</v>
      </c>
      <c r="K1059" s="711">
        <v>43181</v>
      </c>
      <c r="L1059" t="s">
        <v>4315</v>
      </c>
      <c r="M1059" t="s">
        <v>1280</v>
      </c>
      <c r="N1059" t="s">
        <v>4316</v>
      </c>
      <c r="O1059" t="s">
        <v>44</v>
      </c>
      <c r="P1059" t="s">
        <v>75</v>
      </c>
      <c r="Q1059" t="s">
        <v>1442</v>
      </c>
      <c r="R1059" t="s">
        <v>2636</v>
      </c>
      <c r="S1059">
        <v>5000000</v>
      </c>
      <c r="T1059">
        <v>270000000</v>
      </c>
      <c r="U1059">
        <v>129986645.94</v>
      </c>
      <c r="Z1059"/>
    </row>
    <row r="1060" spans="1:26" x14ac:dyDescent="0.25">
      <c r="A1060">
        <v>200905</v>
      </c>
      <c r="B1060" t="s">
        <v>4306</v>
      </c>
      <c r="C1060" t="s">
        <v>4320</v>
      </c>
      <c r="D1060" t="s">
        <v>1282</v>
      </c>
      <c r="E1060">
        <v>-21</v>
      </c>
      <c r="F1060" s="105">
        <v>2888592.12</v>
      </c>
      <c r="G1060" t="s">
        <v>1447</v>
      </c>
      <c r="H1060">
        <v>34663.11</v>
      </c>
      <c r="I1060">
        <v>3289985.68</v>
      </c>
      <c r="J1060" s="711">
        <v>42816.696472187497</v>
      </c>
      <c r="K1060" s="711">
        <v>43181</v>
      </c>
      <c r="L1060" t="s">
        <v>4321</v>
      </c>
      <c r="M1060" t="s">
        <v>1280</v>
      </c>
      <c r="N1060" t="s">
        <v>4322</v>
      </c>
      <c r="O1060" t="s">
        <v>25</v>
      </c>
      <c r="P1060" t="s">
        <v>26</v>
      </c>
      <c r="Q1060" t="s">
        <v>26</v>
      </c>
      <c r="R1060" t="s">
        <v>2636</v>
      </c>
      <c r="S1060">
        <v>6000000</v>
      </c>
      <c r="T1060">
        <v>324000000</v>
      </c>
      <c r="U1060">
        <v>155983974.47999999</v>
      </c>
      <c r="Z1060"/>
    </row>
    <row r="1061" spans="1:26" x14ac:dyDescent="0.25">
      <c r="A1061">
        <v>200906</v>
      </c>
      <c r="B1061" t="s">
        <v>2235</v>
      </c>
      <c r="C1061" t="s">
        <v>2243</v>
      </c>
      <c r="D1061" t="s">
        <v>1282</v>
      </c>
      <c r="E1061">
        <v>-22</v>
      </c>
      <c r="F1061" s="105">
        <v>2846108.03</v>
      </c>
      <c r="G1061" t="s">
        <v>1467</v>
      </c>
      <c r="H1061">
        <v>26563.67</v>
      </c>
      <c r="I1061">
        <v>3196565.14</v>
      </c>
      <c r="J1061" s="711">
        <v>42817.435043900463</v>
      </c>
      <c r="K1061" s="711">
        <v>43182</v>
      </c>
      <c r="L1061" t="s">
        <v>2244</v>
      </c>
      <c r="M1061" t="s">
        <v>1280</v>
      </c>
      <c r="N1061" t="s">
        <v>1280</v>
      </c>
      <c r="O1061" t="s">
        <v>44</v>
      </c>
      <c r="P1061" t="s">
        <v>75</v>
      </c>
      <c r="Q1061" t="s">
        <v>26</v>
      </c>
      <c r="R1061" t="s">
        <v>2856</v>
      </c>
      <c r="S1061">
        <v>6000000</v>
      </c>
      <c r="T1061">
        <v>288000000</v>
      </c>
      <c r="U1061">
        <v>136613185.44</v>
      </c>
      <c r="Z1061"/>
    </row>
    <row r="1062" spans="1:26" x14ac:dyDescent="0.25">
      <c r="A1062">
        <v>200910</v>
      </c>
      <c r="B1062" t="s">
        <v>2674</v>
      </c>
      <c r="C1062" t="s">
        <v>2680</v>
      </c>
      <c r="D1062" t="s">
        <v>1282</v>
      </c>
      <c r="E1062">
        <v>-23</v>
      </c>
      <c r="F1062" s="105">
        <v>4743513.4000000004</v>
      </c>
      <c r="G1062" t="s">
        <v>2538</v>
      </c>
      <c r="H1062">
        <v>37948.11</v>
      </c>
      <c r="I1062">
        <v>5327608.6100000003</v>
      </c>
      <c r="J1062" s="711">
        <v>42818.709434606484</v>
      </c>
      <c r="K1062" s="711">
        <v>43183</v>
      </c>
      <c r="L1062" t="s">
        <v>2681</v>
      </c>
      <c r="M1062" t="s">
        <v>1280</v>
      </c>
      <c r="N1062" t="s">
        <v>1280</v>
      </c>
      <c r="O1062" t="s">
        <v>31</v>
      </c>
      <c r="P1062" t="s">
        <v>298</v>
      </c>
      <c r="Q1062" t="s">
        <v>26</v>
      </c>
      <c r="R1062" t="s">
        <v>2856</v>
      </c>
      <c r="S1062">
        <v>10000000</v>
      </c>
      <c r="T1062">
        <v>480000000</v>
      </c>
      <c r="U1062">
        <v>227688643.19999999</v>
      </c>
      <c r="Z1062"/>
    </row>
    <row r="1063" spans="1:26" x14ac:dyDescent="0.25">
      <c r="A1063">
        <v>200913</v>
      </c>
      <c r="B1063" t="s">
        <v>4332</v>
      </c>
      <c r="C1063" t="s">
        <v>4346</v>
      </c>
      <c r="D1063" t="s">
        <v>1866</v>
      </c>
      <c r="E1063">
        <v>-23</v>
      </c>
      <c r="F1063" s="105">
        <v>2063399.01</v>
      </c>
      <c r="G1063" t="s">
        <v>2855</v>
      </c>
      <c r="H1063">
        <v>17194.990000000002</v>
      </c>
      <c r="I1063">
        <v>2237688.06</v>
      </c>
      <c r="J1063" s="711">
        <v>42818.746776736109</v>
      </c>
      <c r="K1063" s="711">
        <v>43124</v>
      </c>
      <c r="L1063" t="s">
        <v>4347</v>
      </c>
      <c r="M1063" t="s">
        <v>1280</v>
      </c>
      <c r="N1063" t="s">
        <v>4348</v>
      </c>
      <c r="O1063" t="s">
        <v>45</v>
      </c>
      <c r="P1063" t="s">
        <v>45</v>
      </c>
      <c r="Q1063" t="s">
        <v>26</v>
      </c>
      <c r="R1063" t="s">
        <v>2636</v>
      </c>
      <c r="S1063">
        <v>6000000</v>
      </c>
      <c r="T1063">
        <v>300000000</v>
      </c>
      <c r="U1063">
        <v>103169950.5</v>
      </c>
      <c r="Z1063"/>
    </row>
    <row r="1064" spans="1:26" x14ac:dyDescent="0.25">
      <c r="A1064">
        <v>200916</v>
      </c>
      <c r="B1064" t="s">
        <v>4329</v>
      </c>
      <c r="C1064" t="s">
        <v>4349</v>
      </c>
      <c r="D1064" t="s">
        <v>1282</v>
      </c>
      <c r="E1064">
        <v>67</v>
      </c>
      <c r="F1064" s="105">
        <v>5063419.8</v>
      </c>
      <c r="G1064" t="s">
        <v>2034</v>
      </c>
      <c r="H1064">
        <v>220258.76</v>
      </c>
      <c r="I1064">
        <v>6141306.5800000001</v>
      </c>
      <c r="J1064" s="711">
        <v>42818.801787881945</v>
      </c>
      <c r="K1064" s="711">
        <v>43183</v>
      </c>
      <c r="L1064" t="s">
        <v>4350</v>
      </c>
      <c r="M1064" t="s">
        <v>1280</v>
      </c>
      <c r="N1064" t="s">
        <v>4351</v>
      </c>
      <c r="O1064" t="s">
        <v>25</v>
      </c>
      <c r="P1064" t="s">
        <v>88</v>
      </c>
      <c r="Q1064" t="s">
        <v>26</v>
      </c>
      <c r="R1064" t="s">
        <v>2856</v>
      </c>
      <c r="S1064">
        <v>7000000</v>
      </c>
      <c r="T1064">
        <v>378000000</v>
      </c>
      <c r="U1064">
        <v>273424669.19999999</v>
      </c>
      <c r="Z1064"/>
    </row>
    <row r="1065" spans="1:26" x14ac:dyDescent="0.25">
      <c r="A1065">
        <v>200921</v>
      </c>
      <c r="B1065" t="s">
        <v>2310</v>
      </c>
      <c r="C1065" t="s">
        <v>2318</v>
      </c>
      <c r="D1065" t="s">
        <v>1282</v>
      </c>
      <c r="E1065">
        <v>6</v>
      </c>
      <c r="F1065" s="105">
        <v>2513524.7999999998</v>
      </c>
      <c r="G1065" t="s">
        <v>1448</v>
      </c>
      <c r="H1065">
        <v>114771.53</v>
      </c>
      <c r="I1065">
        <v>2876908.63</v>
      </c>
      <c r="J1065" s="711">
        <v>42819.541967210651</v>
      </c>
      <c r="K1065" s="711">
        <v>43184</v>
      </c>
      <c r="L1065" t="s">
        <v>2319</v>
      </c>
      <c r="M1065" t="s">
        <v>1280</v>
      </c>
      <c r="N1065" t="s">
        <v>2320</v>
      </c>
      <c r="O1065" t="s">
        <v>25</v>
      </c>
      <c r="P1065" t="s">
        <v>26</v>
      </c>
      <c r="Q1065" t="s">
        <v>26</v>
      </c>
      <c r="R1065" t="s">
        <v>2856</v>
      </c>
      <c r="S1065">
        <v>4500000</v>
      </c>
      <c r="T1065">
        <v>216000000</v>
      </c>
      <c r="U1065">
        <v>120649190.40000001</v>
      </c>
      <c r="Z1065"/>
    </row>
    <row r="1066" spans="1:26" x14ac:dyDescent="0.25">
      <c r="A1066">
        <v>200924</v>
      </c>
      <c r="B1066" t="s">
        <v>4359</v>
      </c>
      <c r="C1066" t="s">
        <v>4368</v>
      </c>
      <c r="D1066" t="s">
        <v>1282</v>
      </c>
      <c r="E1066">
        <v>0</v>
      </c>
      <c r="F1066" s="105">
        <v>2275567.7799999998</v>
      </c>
      <c r="G1066" t="s">
        <v>2175</v>
      </c>
      <c r="H1066">
        <v>98987.199999999997</v>
      </c>
      <c r="I1066">
        <v>2647100.48</v>
      </c>
      <c r="J1066" s="711">
        <v>42821.721101736111</v>
      </c>
      <c r="K1066" s="711">
        <v>43191</v>
      </c>
      <c r="L1066" t="s">
        <v>4369</v>
      </c>
      <c r="M1066" t="s">
        <v>1280</v>
      </c>
      <c r="N1066" t="s">
        <v>4370</v>
      </c>
      <c r="O1066" t="s">
        <v>25</v>
      </c>
      <c r="P1066" t="s">
        <v>26</v>
      </c>
      <c r="Q1066" t="s">
        <v>26</v>
      </c>
      <c r="R1066" t="s">
        <v>2636</v>
      </c>
      <c r="S1066">
        <v>4000000</v>
      </c>
      <c r="T1066">
        <v>216000000</v>
      </c>
      <c r="U1066">
        <v>122880660.12</v>
      </c>
      <c r="Z1066"/>
    </row>
    <row r="1067" spans="1:26" x14ac:dyDescent="0.25">
      <c r="A1067">
        <v>200925</v>
      </c>
      <c r="B1067" t="s">
        <v>2081</v>
      </c>
      <c r="C1067" t="s">
        <v>2095</v>
      </c>
      <c r="D1067" t="s">
        <v>1282</v>
      </c>
      <c r="E1067">
        <v>0</v>
      </c>
      <c r="F1067" s="105">
        <v>5614254.8700000001</v>
      </c>
      <c r="G1067" t="s">
        <v>1925</v>
      </c>
      <c r="H1067">
        <v>217084.52</v>
      </c>
      <c r="I1067">
        <v>6425915.6299999999</v>
      </c>
      <c r="J1067" s="711">
        <v>42821.704418634261</v>
      </c>
      <c r="K1067" s="711">
        <v>43191</v>
      </c>
      <c r="L1067" t="s">
        <v>2096</v>
      </c>
      <c r="M1067" t="s">
        <v>1280</v>
      </c>
      <c r="N1067" t="s">
        <v>1280</v>
      </c>
      <c r="O1067" t="s">
        <v>27</v>
      </c>
      <c r="P1067" t="s">
        <v>81</v>
      </c>
      <c r="Q1067" t="s">
        <v>26</v>
      </c>
      <c r="R1067" t="s">
        <v>2856</v>
      </c>
      <c r="S1067">
        <v>10000000</v>
      </c>
      <c r="T1067">
        <v>480000000</v>
      </c>
      <c r="U1067">
        <v>269484233.75999999</v>
      </c>
      <c r="Z1067"/>
    </row>
    <row r="1068" spans="1:26" x14ac:dyDescent="0.25">
      <c r="A1068">
        <v>200932</v>
      </c>
      <c r="B1068" t="s">
        <v>2652</v>
      </c>
      <c r="C1068" t="s">
        <v>1711</v>
      </c>
      <c r="D1068" t="s">
        <v>1282</v>
      </c>
      <c r="E1068">
        <v>-4</v>
      </c>
      <c r="F1068" s="105">
        <v>4468488.58</v>
      </c>
      <c r="G1068" t="s">
        <v>3074</v>
      </c>
      <c r="H1068">
        <v>148949.62</v>
      </c>
      <c r="I1068">
        <v>5114504.29</v>
      </c>
      <c r="J1068" s="711">
        <v>42830.416092280095</v>
      </c>
      <c r="K1068" s="711">
        <v>43195</v>
      </c>
      <c r="L1068" t="s">
        <v>2653</v>
      </c>
      <c r="M1068" t="s">
        <v>2654</v>
      </c>
      <c r="N1068" t="s">
        <v>1280</v>
      </c>
      <c r="O1068" t="s">
        <v>25</v>
      </c>
      <c r="P1068" t="s">
        <v>32</v>
      </c>
      <c r="Q1068" t="s">
        <v>3369</v>
      </c>
      <c r="R1068" t="s">
        <v>2856</v>
      </c>
      <c r="S1068">
        <v>8000000</v>
      </c>
      <c r="T1068">
        <v>384000000</v>
      </c>
      <c r="U1068">
        <v>214487451.84</v>
      </c>
      <c r="Z1068"/>
    </row>
    <row r="1069" spans="1:26" x14ac:dyDescent="0.25">
      <c r="A1069">
        <v>200933</v>
      </c>
      <c r="B1069" t="s">
        <v>4389</v>
      </c>
      <c r="C1069" t="s">
        <v>4391</v>
      </c>
      <c r="D1069" t="s">
        <v>1282</v>
      </c>
      <c r="E1069">
        <v>0</v>
      </c>
      <c r="F1069" s="105">
        <v>2836340.36</v>
      </c>
      <c r="G1069" t="s">
        <v>2557</v>
      </c>
      <c r="H1069">
        <v>123380.81</v>
      </c>
      <c r="I1069">
        <v>3299430.58</v>
      </c>
      <c r="J1069" s="711">
        <v>42823.681535451389</v>
      </c>
      <c r="K1069" s="711">
        <v>43191</v>
      </c>
      <c r="L1069" t="s">
        <v>4392</v>
      </c>
      <c r="M1069" t="s">
        <v>1280</v>
      </c>
      <c r="N1069" t="s">
        <v>4393</v>
      </c>
      <c r="O1069" t="s">
        <v>25</v>
      </c>
      <c r="P1069" t="s">
        <v>32</v>
      </c>
      <c r="Q1069" t="s">
        <v>1827</v>
      </c>
      <c r="R1069" t="s">
        <v>2636</v>
      </c>
      <c r="S1069">
        <v>5000000</v>
      </c>
      <c r="T1069">
        <v>270000000</v>
      </c>
      <c r="U1069">
        <v>153162379.44</v>
      </c>
      <c r="Z1069"/>
    </row>
    <row r="1070" spans="1:26" x14ac:dyDescent="0.25">
      <c r="A1070">
        <v>200934</v>
      </c>
      <c r="B1070" t="s">
        <v>3129</v>
      </c>
      <c r="C1070" t="s">
        <v>3134</v>
      </c>
      <c r="D1070" t="s">
        <v>1866</v>
      </c>
      <c r="E1070">
        <v>0</v>
      </c>
      <c r="F1070" s="105">
        <v>5551123.6500000004</v>
      </c>
      <c r="G1070" t="s">
        <v>2861</v>
      </c>
      <c r="H1070">
        <v>196756.49</v>
      </c>
      <c r="I1070">
        <v>6284878.7999999998</v>
      </c>
      <c r="J1070" s="711">
        <v>42823.775273877312</v>
      </c>
      <c r="K1070" s="711">
        <v>43191</v>
      </c>
      <c r="L1070" t="s">
        <v>3135</v>
      </c>
      <c r="M1070" t="s">
        <v>1280</v>
      </c>
      <c r="N1070" t="s">
        <v>1280</v>
      </c>
      <c r="O1070" t="s">
        <v>25</v>
      </c>
      <c r="P1070" t="s">
        <v>94</v>
      </c>
      <c r="Q1070" t="s">
        <v>95</v>
      </c>
      <c r="R1070" t="s">
        <v>2856</v>
      </c>
      <c r="S1070">
        <v>10000000</v>
      </c>
      <c r="T1070">
        <v>440000000</v>
      </c>
      <c r="U1070">
        <v>244249440.59999999</v>
      </c>
      <c r="Z1070"/>
    </row>
    <row r="1071" spans="1:26" x14ac:dyDescent="0.25">
      <c r="A1071">
        <v>200936</v>
      </c>
      <c r="B1071" t="s">
        <v>4390</v>
      </c>
      <c r="C1071" t="s">
        <v>4394</v>
      </c>
      <c r="D1071" t="s">
        <v>1279</v>
      </c>
      <c r="E1071">
        <v>0</v>
      </c>
      <c r="F1071" s="105">
        <v>1818755.44</v>
      </c>
      <c r="G1071" t="s">
        <v>2538</v>
      </c>
      <c r="H1071">
        <v>79115.86</v>
      </c>
      <c r="I1071">
        <v>2027866.09</v>
      </c>
      <c r="J1071" s="711">
        <v>42823.669070601849</v>
      </c>
      <c r="K1071" s="711">
        <v>43132</v>
      </c>
      <c r="L1071" t="s">
        <v>4395</v>
      </c>
      <c r="M1071" t="s">
        <v>1280</v>
      </c>
      <c r="N1071" t="s">
        <v>4396</v>
      </c>
      <c r="O1071" t="s">
        <v>44</v>
      </c>
      <c r="P1071" t="s">
        <v>75</v>
      </c>
      <c r="Q1071" t="s">
        <v>1442</v>
      </c>
      <c r="R1071" t="s">
        <v>2636</v>
      </c>
      <c r="S1071">
        <v>4000000</v>
      </c>
      <c r="T1071">
        <v>216000000</v>
      </c>
      <c r="U1071">
        <v>98212793.760000005</v>
      </c>
      <c r="Z1071"/>
    </row>
    <row r="1072" spans="1:26" x14ac:dyDescent="0.25">
      <c r="A1072">
        <v>200937</v>
      </c>
      <c r="B1072" t="s">
        <v>2950</v>
      </c>
      <c r="C1072" t="s">
        <v>2951</v>
      </c>
      <c r="D1072" t="s">
        <v>1282</v>
      </c>
      <c r="E1072">
        <v>0</v>
      </c>
      <c r="F1072" s="105">
        <v>3639956.32</v>
      </c>
      <c r="G1072" t="s">
        <v>1667</v>
      </c>
      <c r="H1072">
        <v>140744.98000000001</v>
      </c>
      <c r="I1072">
        <v>4166189.95</v>
      </c>
      <c r="J1072" s="711">
        <v>42823.716414351853</v>
      </c>
      <c r="K1072" s="711">
        <v>43191</v>
      </c>
      <c r="L1072" t="s">
        <v>2952</v>
      </c>
      <c r="M1072" t="s">
        <v>1280</v>
      </c>
      <c r="N1072" t="s">
        <v>1280</v>
      </c>
      <c r="O1072" t="s">
        <v>44</v>
      </c>
      <c r="P1072" t="s">
        <v>75</v>
      </c>
      <c r="Q1072" t="s">
        <v>1442</v>
      </c>
      <c r="R1072" t="s">
        <v>2856</v>
      </c>
      <c r="S1072">
        <v>6500000</v>
      </c>
      <c r="T1072">
        <v>312000000</v>
      </c>
      <c r="U1072">
        <v>174717903.36000001</v>
      </c>
      <c r="Z1072"/>
    </row>
    <row r="1073" spans="1:26" x14ac:dyDescent="0.25">
      <c r="A1073">
        <v>200938</v>
      </c>
      <c r="B1073" t="s">
        <v>4398</v>
      </c>
      <c r="C1073" t="s">
        <v>4404</v>
      </c>
      <c r="D1073" t="s">
        <v>1282</v>
      </c>
      <c r="E1073">
        <v>60</v>
      </c>
      <c r="F1073" s="105">
        <v>908977.4</v>
      </c>
      <c r="G1073" t="s">
        <v>2557</v>
      </c>
      <c r="H1073">
        <v>61806.02</v>
      </c>
      <c r="I1073">
        <v>970783.42</v>
      </c>
      <c r="J1073" s="711">
        <v>42824.432637303238</v>
      </c>
      <c r="K1073" s="711">
        <v>43009</v>
      </c>
      <c r="L1073" t="s">
        <v>4405</v>
      </c>
      <c r="M1073" t="s">
        <v>1280</v>
      </c>
      <c r="N1073" t="s">
        <v>4406</v>
      </c>
      <c r="O1073" t="s">
        <v>25</v>
      </c>
      <c r="P1073" t="s">
        <v>26</v>
      </c>
      <c r="Q1073" t="s">
        <v>26</v>
      </c>
      <c r="R1073" t="s">
        <v>2636</v>
      </c>
      <c r="S1073">
        <v>2500000</v>
      </c>
      <c r="T1073">
        <v>135000000</v>
      </c>
      <c r="U1073">
        <v>49084779.600000001</v>
      </c>
      <c r="Z1073"/>
    </row>
    <row r="1074" spans="1:26" x14ac:dyDescent="0.25">
      <c r="A1074">
        <v>200939</v>
      </c>
      <c r="B1074" t="s">
        <v>4397</v>
      </c>
      <c r="C1074" t="s">
        <v>4407</v>
      </c>
      <c r="D1074" t="s">
        <v>1866</v>
      </c>
      <c r="E1074">
        <v>0</v>
      </c>
      <c r="F1074" s="105">
        <v>3150605.59</v>
      </c>
      <c r="G1074" t="s">
        <v>1447</v>
      </c>
      <c r="H1074">
        <v>126899.39</v>
      </c>
      <c r="I1074">
        <v>3485489.16</v>
      </c>
      <c r="J1074" s="711">
        <v>42824.447417013886</v>
      </c>
      <c r="K1074" s="711">
        <v>43132</v>
      </c>
      <c r="L1074" t="s">
        <v>4408</v>
      </c>
      <c r="M1074" t="s">
        <v>1280</v>
      </c>
      <c r="N1074" t="s">
        <v>4409</v>
      </c>
      <c r="O1074" t="s">
        <v>25</v>
      </c>
      <c r="P1074" t="s">
        <v>88</v>
      </c>
      <c r="Q1074" t="s">
        <v>285</v>
      </c>
      <c r="R1074" t="s">
        <v>2636</v>
      </c>
      <c r="S1074">
        <v>7000000</v>
      </c>
      <c r="T1074">
        <v>350000000</v>
      </c>
      <c r="U1074">
        <v>157530279.5</v>
      </c>
      <c r="Z1074"/>
    </row>
    <row r="1075" spans="1:26" x14ac:dyDescent="0.25">
      <c r="A1075">
        <v>200941</v>
      </c>
      <c r="B1075" t="s">
        <v>4399</v>
      </c>
      <c r="C1075" t="s">
        <v>4412</v>
      </c>
      <c r="D1075" t="s">
        <v>1282</v>
      </c>
      <c r="E1075">
        <v>0</v>
      </c>
      <c r="F1075" s="105">
        <v>3632304.54</v>
      </c>
      <c r="G1075" t="s">
        <v>1909</v>
      </c>
      <c r="H1075">
        <v>158005.25</v>
      </c>
      <c r="I1075">
        <v>4049927.27</v>
      </c>
      <c r="J1075" s="711">
        <v>42824.665698460645</v>
      </c>
      <c r="K1075" s="711">
        <v>43132</v>
      </c>
      <c r="L1075" t="s">
        <v>4413</v>
      </c>
      <c r="M1075" t="s">
        <v>1280</v>
      </c>
      <c r="N1075" t="s">
        <v>4414</v>
      </c>
      <c r="O1075" t="s">
        <v>25</v>
      </c>
      <c r="P1075" t="s">
        <v>26</v>
      </c>
      <c r="Q1075" t="s">
        <v>26</v>
      </c>
      <c r="R1075" t="s">
        <v>2636</v>
      </c>
      <c r="S1075">
        <v>8000000</v>
      </c>
      <c r="T1075">
        <v>432000000</v>
      </c>
      <c r="U1075">
        <v>196144445.16</v>
      </c>
      <c r="Z1075"/>
    </row>
    <row r="1076" spans="1:26" x14ac:dyDescent="0.25">
      <c r="A1076">
        <v>200942</v>
      </c>
      <c r="B1076" t="s">
        <v>2486</v>
      </c>
      <c r="C1076" t="s">
        <v>2487</v>
      </c>
      <c r="D1076" t="s">
        <v>1866</v>
      </c>
      <c r="E1076">
        <v>0</v>
      </c>
      <c r="F1076" s="105">
        <v>3326756.6</v>
      </c>
      <c r="G1076" t="s">
        <v>2861</v>
      </c>
      <c r="H1076">
        <v>117915.04</v>
      </c>
      <c r="I1076">
        <v>3766491.86</v>
      </c>
      <c r="J1076" s="711">
        <v>42824.708639965276</v>
      </c>
      <c r="K1076" s="711">
        <v>43191</v>
      </c>
      <c r="L1076" t="s">
        <v>2488</v>
      </c>
      <c r="M1076" t="s">
        <v>1280</v>
      </c>
      <c r="N1076" t="s">
        <v>1280</v>
      </c>
      <c r="O1076" t="s">
        <v>27</v>
      </c>
      <c r="P1076" t="s">
        <v>26</v>
      </c>
      <c r="Q1076" t="s">
        <v>26</v>
      </c>
      <c r="R1076" t="s">
        <v>2856</v>
      </c>
      <c r="S1076">
        <v>6000000</v>
      </c>
      <c r="T1076">
        <v>264000000</v>
      </c>
      <c r="U1076">
        <v>146377290.40000001</v>
      </c>
      <c r="Z1076"/>
    </row>
    <row r="1077" spans="1:26" x14ac:dyDescent="0.25">
      <c r="A1077">
        <v>200943</v>
      </c>
      <c r="B1077" t="s">
        <v>4422</v>
      </c>
      <c r="C1077" t="s">
        <v>4428</v>
      </c>
      <c r="D1077" t="s">
        <v>1284</v>
      </c>
      <c r="E1077">
        <v>0</v>
      </c>
      <c r="F1077" s="105">
        <v>18275152.739999998</v>
      </c>
      <c r="G1077" t="s">
        <v>1467</v>
      </c>
      <c r="H1077">
        <v>588866.03</v>
      </c>
      <c r="I1077">
        <v>22480446.420000002</v>
      </c>
      <c r="J1077" s="711">
        <v>42825.559319097221</v>
      </c>
      <c r="K1077" s="711">
        <v>43374</v>
      </c>
      <c r="L1077" t="s">
        <v>4429</v>
      </c>
      <c r="M1077" t="s">
        <v>1280</v>
      </c>
      <c r="N1077" t="s">
        <v>4430</v>
      </c>
      <c r="O1077" t="s">
        <v>25</v>
      </c>
      <c r="P1077" t="s">
        <v>88</v>
      </c>
      <c r="Q1077" t="s">
        <v>285</v>
      </c>
      <c r="R1077" t="s">
        <v>2636</v>
      </c>
      <c r="S1077">
        <v>25000000</v>
      </c>
      <c r="T1077">
        <v>1000000000</v>
      </c>
      <c r="U1077">
        <v>731006109.60000002</v>
      </c>
      <c r="Z1077"/>
    </row>
    <row r="1078" spans="1:26" x14ac:dyDescent="0.25">
      <c r="A1078">
        <v>200944</v>
      </c>
      <c r="B1078" t="s">
        <v>2493</v>
      </c>
      <c r="C1078" t="s">
        <v>2496</v>
      </c>
      <c r="D1078" t="s">
        <v>1282</v>
      </c>
      <c r="E1078">
        <v>-4</v>
      </c>
      <c r="F1078" s="105">
        <v>3934991.12</v>
      </c>
      <c r="G1078" t="s">
        <v>2494</v>
      </c>
      <c r="H1078">
        <v>131166.37</v>
      </c>
      <c r="I1078">
        <v>4503878.33</v>
      </c>
      <c r="J1078" s="711">
        <v>42825.707775659721</v>
      </c>
      <c r="K1078" s="711">
        <v>43195</v>
      </c>
      <c r="L1078" t="s">
        <v>2497</v>
      </c>
      <c r="M1078" t="s">
        <v>1280</v>
      </c>
      <c r="N1078" t="s">
        <v>2498</v>
      </c>
      <c r="O1078" t="s">
        <v>44</v>
      </c>
      <c r="P1078" t="s">
        <v>75</v>
      </c>
      <c r="Q1078" t="s">
        <v>1442</v>
      </c>
      <c r="R1078" t="s">
        <v>2856</v>
      </c>
      <c r="S1078">
        <v>7000000</v>
      </c>
      <c r="T1078">
        <v>336000000</v>
      </c>
      <c r="U1078">
        <v>188879573.75999999</v>
      </c>
      <c r="Z1078"/>
    </row>
    <row r="1079" spans="1:26" x14ac:dyDescent="0.25">
      <c r="A1079">
        <v>200945</v>
      </c>
      <c r="B1079" t="s">
        <v>2473</v>
      </c>
      <c r="C1079" t="s">
        <v>2474</v>
      </c>
      <c r="D1079" t="s">
        <v>1279</v>
      </c>
      <c r="E1079">
        <v>0</v>
      </c>
      <c r="F1079" s="105">
        <v>2237108.71</v>
      </c>
      <c r="G1079" t="s">
        <v>2861</v>
      </c>
      <c r="H1079">
        <v>86501.54</v>
      </c>
      <c r="I1079">
        <v>2560530.6800000002</v>
      </c>
      <c r="J1079" s="711">
        <v>42825.563153668983</v>
      </c>
      <c r="K1079" s="711">
        <v>43191</v>
      </c>
      <c r="L1079" t="s">
        <v>2475</v>
      </c>
      <c r="M1079" t="s">
        <v>1280</v>
      </c>
      <c r="N1079" t="s">
        <v>2476</v>
      </c>
      <c r="O1079" t="s">
        <v>25</v>
      </c>
      <c r="P1079" t="s">
        <v>26</v>
      </c>
      <c r="Q1079" t="s">
        <v>26</v>
      </c>
      <c r="R1079" t="s">
        <v>2856</v>
      </c>
      <c r="S1079">
        <v>4000000</v>
      </c>
      <c r="T1079">
        <v>192000000</v>
      </c>
      <c r="U1079">
        <v>107381218.08</v>
      </c>
      <c r="Z1079"/>
    </row>
    <row r="1080" spans="1:26" x14ac:dyDescent="0.25">
      <c r="A1080">
        <v>200947</v>
      </c>
      <c r="B1080" t="s">
        <v>2382</v>
      </c>
      <c r="C1080" t="s">
        <v>2407</v>
      </c>
      <c r="D1080" t="s">
        <v>1282</v>
      </c>
      <c r="E1080">
        <v>0</v>
      </c>
      <c r="F1080" s="105">
        <v>5592771.75</v>
      </c>
      <c r="G1080" t="s">
        <v>1667</v>
      </c>
      <c r="H1080">
        <v>216253.84</v>
      </c>
      <c r="I1080">
        <v>6401326.6600000001</v>
      </c>
      <c r="J1080" s="711">
        <v>42825.758884872688</v>
      </c>
      <c r="K1080" s="711">
        <v>43191</v>
      </c>
      <c r="L1080" t="s">
        <v>2408</v>
      </c>
      <c r="M1080" t="s">
        <v>1280</v>
      </c>
      <c r="N1080" t="s">
        <v>2409</v>
      </c>
      <c r="O1080" t="s">
        <v>27</v>
      </c>
      <c r="P1080" t="s">
        <v>81</v>
      </c>
      <c r="Q1080" t="s">
        <v>26</v>
      </c>
      <c r="R1080" t="s">
        <v>2856</v>
      </c>
      <c r="S1080">
        <v>10000000</v>
      </c>
      <c r="T1080">
        <v>480000000</v>
      </c>
      <c r="U1080">
        <v>268453044</v>
      </c>
      <c r="Z1080"/>
    </row>
    <row r="1081" spans="1:26" x14ac:dyDescent="0.25">
      <c r="A1081">
        <v>200948</v>
      </c>
      <c r="B1081" t="s">
        <v>4423</v>
      </c>
      <c r="C1081" t="s">
        <v>4431</v>
      </c>
      <c r="D1081" t="s">
        <v>1866</v>
      </c>
      <c r="E1081">
        <v>0</v>
      </c>
      <c r="F1081" s="105">
        <v>3370059.62</v>
      </c>
      <c r="G1081" t="s">
        <v>2861</v>
      </c>
      <c r="H1081">
        <v>135738.51</v>
      </c>
      <c r="I1081">
        <v>3878228.39</v>
      </c>
      <c r="J1081" s="711">
        <v>42825.769430474538</v>
      </c>
      <c r="K1081" s="711">
        <v>43191</v>
      </c>
      <c r="L1081" t="s">
        <v>4432</v>
      </c>
      <c r="M1081" t="s">
        <v>1280</v>
      </c>
      <c r="N1081" t="s">
        <v>4433</v>
      </c>
      <c r="O1081" t="s">
        <v>25</v>
      </c>
      <c r="P1081" t="s">
        <v>26</v>
      </c>
      <c r="Q1081" t="s">
        <v>26</v>
      </c>
      <c r="R1081" t="s">
        <v>2636</v>
      </c>
      <c r="S1081">
        <v>6000000</v>
      </c>
      <c r="T1081">
        <v>300000000</v>
      </c>
      <c r="U1081">
        <v>168502981</v>
      </c>
      <c r="Z1081"/>
    </row>
    <row r="1082" spans="1:26" x14ac:dyDescent="0.25">
      <c r="A1082">
        <v>200949</v>
      </c>
      <c r="B1082" t="s">
        <v>4415</v>
      </c>
      <c r="C1082" t="s">
        <v>4434</v>
      </c>
      <c r="D1082" t="s">
        <v>1279</v>
      </c>
      <c r="E1082">
        <v>0</v>
      </c>
      <c r="F1082" s="105">
        <v>1362114.19</v>
      </c>
      <c r="G1082" t="s">
        <v>1467</v>
      </c>
      <c r="H1082">
        <v>59251.97</v>
      </c>
      <c r="I1082">
        <v>1518722.72</v>
      </c>
      <c r="J1082" s="711">
        <v>42825.788788576392</v>
      </c>
      <c r="K1082" s="711">
        <v>43132</v>
      </c>
      <c r="L1082" t="s">
        <v>4435</v>
      </c>
      <c r="M1082" t="s">
        <v>1280</v>
      </c>
      <c r="N1082" t="s">
        <v>1280</v>
      </c>
      <c r="O1082" t="s">
        <v>31</v>
      </c>
      <c r="P1082" t="s">
        <v>4416</v>
      </c>
      <c r="Q1082" t="s">
        <v>26</v>
      </c>
      <c r="R1082" t="s">
        <v>2636</v>
      </c>
      <c r="S1082">
        <v>3000000</v>
      </c>
      <c r="T1082">
        <v>162000000</v>
      </c>
      <c r="U1082">
        <v>73554166.260000005</v>
      </c>
      <c r="Z1082"/>
    </row>
    <row r="1083" spans="1:26" x14ac:dyDescent="0.25">
      <c r="A1083">
        <v>200951</v>
      </c>
      <c r="B1083" t="s">
        <v>4419</v>
      </c>
      <c r="C1083" t="s">
        <v>4436</v>
      </c>
      <c r="D1083" t="s">
        <v>1866</v>
      </c>
      <c r="E1083">
        <v>-23</v>
      </c>
      <c r="F1083" s="105">
        <v>4729018.76</v>
      </c>
      <c r="G1083" t="s">
        <v>2557</v>
      </c>
      <c r="H1083">
        <v>39408.49</v>
      </c>
      <c r="I1083">
        <v>5336221.82</v>
      </c>
      <c r="J1083" s="711">
        <v>42825.753275694442</v>
      </c>
      <c r="K1083" s="711">
        <v>43183</v>
      </c>
      <c r="L1083" t="s">
        <v>4437</v>
      </c>
      <c r="M1083" t="s">
        <v>1280</v>
      </c>
      <c r="N1083" t="s">
        <v>4438</v>
      </c>
      <c r="O1083" t="s">
        <v>27</v>
      </c>
      <c r="P1083" t="s">
        <v>26</v>
      </c>
      <c r="Q1083" t="s">
        <v>26</v>
      </c>
      <c r="R1083" t="s">
        <v>2636</v>
      </c>
      <c r="S1083">
        <v>10000000</v>
      </c>
      <c r="T1083">
        <v>500000000</v>
      </c>
      <c r="U1083">
        <v>236450938</v>
      </c>
      <c r="Z1083"/>
    </row>
    <row r="1084" spans="1:26" x14ac:dyDescent="0.25">
      <c r="A1084">
        <v>200952</v>
      </c>
      <c r="B1084" t="s">
        <v>4418</v>
      </c>
      <c r="C1084" t="s">
        <v>4439</v>
      </c>
      <c r="D1084" t="s">
        <v>1284</v>
      </c>
      <c r="E1084">
        <v>-2</v>
      </c>
      <c r="F1084" s="105">
        <v>5014308.3499999996</v>
      </c>
      <c r="G1084" t="s">
        <v>1667</v>
      </c>
      <c r="H1084">
        <v>150429.25</v>
      </c>
      <c r="I1084">
        <v>5795194.3300000001</v>
      </c>
      <c r="J1084" s="711">
        <v>42825.553923344909</v>
      </c>
      <c r="K1084" s="711">
        <v>43254</v>
      </c>
      <c r="L1084" t="s">
        <v>4440</v>
      </c>
      <c r="M1084" t="s">
        <v>1280</v>
      </c>
      <c r="N1084" t="s">
        <v>4441</v>
      </c>
      <c r="O1084" t="s">
        <v>27</v>
      </c>
      <c r="P1084" t="s">
        <v>26</v>
      </c>
      <c r="Q1084" t="s">
        <v>26</v>
      </c>
      <c r="R1084" t="s">
        <v>2636</v>
      </c>
      <c r="S1084">
        <v>8000000</v>
      </c>
      <c r="T1084">
        <v>320000000</v>
      </c>
      <c r="U1084">
        <v>200572334</v>
      </c>
      <c r="Z1084"/>
    </row>
    <row r="1085" spans="1:26" x14ac:dyDescent="0.25">
      <c r="A1085">
        <v>200954</v>
      </c>
      <c r="B1085" t="s">
        <v>4446</v>
      </c>
      <c r="C1085" t="s">
        <v>4447</v>
      </c>
      <c r="D1085" t="s">
        <v>1866</v>
      </c>
      <c r="E1085">
        <v>-2</v>
      </c>
      <c r="F1085" s="105">
        <v>5609286.9400000004</v>
      </c>
      <c r="G1085" t="s">
        <v>1909</v>
      </c>
      <c r="H1085">
        <v>210348.26</v>
      </c>
      <c r="I1085">
        <v>6455107.0999999996</v>
      </c>
      <c r="J1085" s="711">
        <v>42828.483967245367</v>
      </c>
      <c r="K1085" s="711">
        <v>43193</v>
      </c>
      <c r="L1085" t="s">
        <v>4448</v>
      </c>
      <c r="M1085" t="s">
        <v>4681</v>
      </c>
      <c r="N1085" t="s">
        <v>1280</v>
      </c>
      <c r="O1085" t="s">
        <v>27</v>
      </c>
      <c r="P1085" t="s">
        <v>26</v>
      </c>
      <c r="Q1085" t="s">
        <v>26</v>
      </c>
      <c r="R1085" t="s">
        <v>2636</v>
      </c>
      <c r="S1085">
        <v>10000000</v>
      </c>
      <c r="T1085">
        <v>500000000</v>
      </c>
      <c r="U1085">
        <v>280464347</v>
      </c>
      <c r="Z1085"/>
    </row>
    <row r="1086" spans="1:26" x14ac:dyDescent="0.25">
      <c r="A1086">
        <v>200955</v>
      </c>
      <c r="B1086" t="s">
        <v>4444</v>
      </c>
      <c r="C1086" t="s">
        <v>4449</v>
      </c>
      <c r="D1086" t="s">
        <v>1281</v>
      </c>
      <c r="E1086">
        <v>148</v>
      </c>
      <c r="F1086" s="105">
        <v>23336195.68</v>
      </c>
      <c r="G1086" t="s">
        <v>491</v>
      </c>
      <c r="H1086">
        <v>1443485.72</v>
      </c>
      <c r="I1086">
        <v>28947651.800000001</v>
      </c>
      <c r="J1086" s="711">
        <v>42828.658962187503</v>
      </c>
      <c r="K1086" s="711">
        <v>43193</v>
      </c>
      <c r="L1086" t="s">
        <v>4450</v>
      </c>
      <c r="M1086" t="s">
        <v>1280</v>
      </c>
      <c r="N1086" t="s">
        <v>4451</v>
      </c>
      <c r="O1086" t="s">
        <v>36</v>
      </c>
      <c r="P1086" t="s">
        <v>1023</v>
      </c>
      <c r="Q1086" t="s">
        <v>4042</v>
      </c>
      <c r="R1086" t="s">
        <v>2636</v>
      </c>
      <c r="S1086">
        <v>25000000</v>
      </c>
      <c r="T1086">
        <v>1200000000</v>
      </c>
      <c r="U1086">
        <v>1120137392.6400001</v>
      </c>
      <c r="Z1086"/>
    </row>
    <row r="1087" spans="1:26" x14ac:dyDescent="0.25">
      <c r="A1087">
        <v>200956</v>
      </c>
      <c r="B1087" t="s">
        <v>4445</v>
      </c>
      <c r="C1087" t="s">
        <v>4452</v>
      </c>
      <c r="D1087" t="s">
        <v>1281</v>
      </c>
      <c r="E1087">
        <v>-2</v>
      </c>
      <c r="F1087" s="105">
        <v>22240746.359999999</v>
      </c>
      <c r="G1087" t="s">
        <v>1447</v>
      </c>
      <c r="H1087">
        <v>800666.87</v>
      </c>
      <c r="I1087">
        <v>28437598.170000002</v>
      </c>
      <c r="J1087" s="711">
        <v>42828.67673634259</v>
      </c>
      <c r="K1087" s="711">
        <v>43376</v>
      </c>
      <c r="L1087" t="s">
        <v>4453</v>
      </c>
      <c r="M1087" t="s">
        <v>1280</v>
      </c>
      <c r="N1087" t="s">
        <v>4454</v>
      </c>
      <c r="O1087" t="s">
        <v>25</v>
      </c>
      <c r="P1087" t="s">
        <v>26</v>
      </c>
      <c r="Q1087" t="s">
        <v>26</v>
      </c>
      <c r="R1087" t="s">
        <v>2636</v>
      </c>
      <c r="S1087">
        <v>30000000</v>
      </c>
      <c r="T1087">
        <v>1440000000</v>
      </c>
      <c r="U1087">
        <v>1067555825.28</v>
      </c>
      <c r="Z1087"/>
    </row>
    <row r="1088" spans="1:26" x14ac:dyDescent="0.25">
      <c r="A1088">
        <v>200958</v>
      </c>
      <c r="B1088" t="s">
        <v>4456</v>
      </c>
      <c r="C1088" t="s">
        <v>4457</v>
      </c>
      <c r="D1088" t="s">
        <v>1284</v>
      </c>
      <c r="E1088">
        <v>-3</v>
      </c>
      <c r="F1088" s="105">
        <v>20457792.91</v>
      </c>
      <c r="G1088" t="s">
        <v>1447</v>
      </c>
      <c r="H1088">
        <v>591002.91</v>
      </c>
      <c r="I1088">
        <v>27534480.949999999</v>
      </c>
      <c r="J1088" s="711">
        <v>42829.434922488428</v>
      </c>
      <c r="K1088" s="711">
        <v>43559</v>
      </c>
      <c r="L1088" t="s">
        <v>4458</v>
      </c>
      <c r="M1088" t="s">
        <v>1280</v>
      </c>
      <c r="N1088" t="s">
        <v>4459</v>
      </c>
      <c r="O1088" t="s">
        <v>36</v>
      </c>
      <c r="P1088" t="s">
        <v>97</v>
      </c>
      <c r="Q1088" t="s">
        <v>98</v>
      </c>
      <c r="R1088" t="s">
        <v>2636</v>
      </c>
      <c r="S1088">
        <v>25000000</v>
      </c>
      <c r="T1088">
        <v>1000000000</v>
      </c>
      <c r="U1088">
        <v>818311716.39999998</v>
      </c>
      <c r="Z1088"/>
    </row>
    <row r="1089" spans="1:26" x14ac:dyDescent="0.25">
      <c r="A1089">
        <v>200960</v>
      </c>
      <c r="B1089" t="s">
        <v>4455</v>
      </c>
      <c r="C1089" t="s">
        <v>4460</v>
      </c>
      <c r="D1089" t="s">
        <v>1282</v>
      </c>
      <c r="E1089">
        <v>-3</v>
      </c>
      <c r="F1089" s="105">
        <v>1133468.21</v>
      </c>
      <c r="G1089" t="s">
        <v>1909</v>
      </c>
      <c r="H1089">
        <v>44205.26</v>
      </c>
      <c r="I1089">
        <v>1263788.27</v>
      </c>
      <c r="J1089" s="711">
        <v>42829.592091631945</v>
      </c>
      <c r="K1089" s="711">
        <v>43135</v>
      </c>
      <c r="L1089" t="s">
        <v>4461</v>
      </c>
      <c r="M1089" t="s">
        <v>1280</v>
      </c>
      <c r="N1089" t="s">
        <v>4462</v>
      </c>
      <c r="O1089" t="s">
        <v>44</v>
      </c>
      <c r="P1089" t="s">
        <v>75</v>
      </c>
      <c r="Q1089" t="s">
        <v>26</v>
      </c>
      <c r="R1089" t="s">
        <v>2636</v>
      </c>
      <c r="S1089">
        <v>2500000</v>
      </c>
      <c r="T1089">
        <v>135000000</v>
      </c>
      <c r="U1089">
        <v>61207283.340000004</v>
      </c>
      <c r="Z1089"/>
    </row>
    <row r="1090" spans="1:26" x14ac:dyDescent="0.25">
      <c r="A1090">
        <v>200961</v>
      </c>
      <c r="B1090" t="s">
        <v>2459</v>
      </c>
      <c r="C1090" t="s">
        <v>2460</v>
      </c>
      <c r="D1090" t="s">
        <v>1282</v>
      </c>
      <c r="E1090">
        <v>-4</v>
      </c>
      <c r="F1090" s="105">
        <v>5585610.7000000002</v>
      </c>
      <c r="G1090" t="s">
        <v>1667</v>
      </c>
      <c r="H1090">
        <v>186187.02</v>
      </c>
      <c r="I1090">
        <v>6393130.3399999999</v>
      </c>
      <c r="J1090" s="711">
        <v>42830.696861655095</v>
      </c>
      <c r="K1090" s="711">
        <v>43195</v>
      </c>
      <c r="L1090" t="s">
        <v>2461</v>
      </c>
      <c r="M1090" t="s">
        <v>1280</v>
      </c>
      <c r="N1090" t="s">
        <v>1280</v>
      </c>
      <c r="O1090" t="s">
        <v>25</v>
      </c>
      <c r="P1090" t="s">
        <v>286</v>
      </c>
      <c r="Q1090" t="s">
        <v>4463</v>
      </c>
      <c r="R1090" t="s">
        <v>2856</v>
      </c>
      <c r="S1090">
        <v>10000000</v>
      </c>
      <c r="T1090">
        <v>480000000</v>
      </c>
      <c r="U1090">
        <v>268109313.59999999</v>
      </c>
      <c r="Z1090"/>
    </row>
    <row r="1091" spans="1:26" x14ac:dyDescent="0.25">
      <c r="A1091">
        <v>200962</v>
      </c>
      <c r="B1091" t="s">
        <v>4464</v>
      </c>
      <c r="C1091" t="s">
        <v>4468</v>
      </c>
      <c r="D1091" t="s">
        <v>1282</v>
      </c>
      <c r="E1091">
        <v>-5</v>
      </c>
      <c r="F1091" s="105">
        <v>5656442.1399999997</v>
      </c>
      <c r="G1091" t="s">
        <v>1925</v>
      </c>
      <c r="H1091">
        <v>203631.92</v>
      </c>
      <c r="I1091">
        <v>6579971.29</v>
      </c>
      <c r="J1091" s="711">
        <v>42831.70020003472</v>
      </c>
      <c r="K1091" s="711">
        <v>43196</v>
      </c>
      <c r="L1091" t="s">
        <v>4469</v>
      </c>
      <c r="M1091" t="s">
        <v>1280</v>
      </c>
      <c r="N1091" t="s">
        <v>4470</v>
      </c>
      <c r="O1091" t="s">
        <v>25</v>
      </c>
      <c r="P1091" t="s">
        <v>88</v>
      </c>
      <c r="Q1091" t="s">
        <v>285</v>
      </c>
      <c r="R1091" t="s">
        <v>2636</v>
      </c>
      <c r="S1091">
        <v>10000000</v>
      </c>
      <c r="T1091">
        <v>540000000</v>
      </c>
      <c r="U1091">
        <v>305447875.56</v>
      </c>
      <c r="Z1091"/>
    </row>
    <row r="1092" spans="1:26" x14ac:dyDescent="0.25">
      <c r="A1092">
        <v>200963</v>
      </c>
      <c r="B1092" t="s">
        <v>4476</v>
      </c>
      <c r="C1092" t="s">
        <v>4477</v>
      </c>
      <c r="D1092" t="s">
        <v>1282</v>
      </c>
      <c r="E1092">
        <v>-7</v>
      </c>
      <c r="F1092" s="105">
        <v>3959509.52</v>
      </c>
      <c r="G1092" t="s">
        <v>491</v>
      </c>
      <c r="H1092">
        <v>130663.81</v>
      </c>
      <c r="I1092">
        <v>4605979.9400000004</v>
      </c>
      <c r="J1092" s="711">
        <v>42833.446310763888</v>
      </c>
      <c r="K1092" s="711">
        <v>43198</v>
      </c>
      <c r="L1092" t="s">
        <v>4478</v>
      </c>
      <c r="M1092" t="s">
        <v>1280</v>
      </c>
      <c r="N1092" t="s">
        <v>1280</v>
      </c>
      <c r="O1092" t="s">
        <v>27</v>
      </c>
      <c r="P1092" t="s">
        <v>81</v>
      </c>
      <c r="Q1092" t="s">
        <v>26</v>
      </c>
      <c r="R1092" t="s">
        <v>2636</v>
      </c>
      <c r="S1092">
        <v>7000000</v>
      </c>
      <c r="T1092">
        <v>378000000</v>
      </c>
      <c r="U1092">
        <v>213813514.08000001</v>
      </c>
      <c r="Z1092"/>
    </row>
    <row r="1093" spans="1:26" x14ac:dyDescent="0.25">
      <c r="A1093">
        <v>200964</v>
      </c>
      <c r="B1093" t="s">
        <v>4475</v>
      </c>
      <c r="C1093" t="s">
        <v>4479</v>
      </c>
      <c r="D1093" t="s">
        <v>1282</v>
      </c>
      <c r="E1093">
        <v>143</v>
      </c>
      <c r="F1093" s="105">
        <v>4440190.3099999996</v>
      </c>
      <c r="G1093" t="s">
        <v>2861</v>
      </c>
      <c r="H1093">
        <v>175946.23</v>
      </c>
      <c r="I1093">
        <v>5078563.5999999996</v>
      </c>
      <c r="J1093" s="711">
        <v>42833.49402395833</v>
      </c>
      <c r="K1093" s="711">
        <v>43077</v>
      </c>
      <c r="L1093" t="s">
        <v>4480</v>
      </c>
      <c r="M1093" t="s">
        <v>1280</v>
      </c>
      <c r="N1093" t="s">
        <v>4481</v>
      </c>
      <c r="O1093" t="s">
        <v>25</v>
      </c>
      <c r="P1093" t="s">
        <v>295</v>
      </c>
      <c r="Q1093" t="s">
        <v>296</v>
      </c>
      <c r="R1093" t="s">
        <v>2636</v>
      </c>
      <c r="S1093">
        <v>5000000</v>
      </c>
      <c r="T1093">
        <v>270000000</v>
      </c>
      <c r="U1093">
        <v>239770276.74000001</v>
      </c>
      <c r="Z1093"/>
    </row>
    <row r="1094" spans="1:26" x14ac:dyDescent="0.25">
      <c r="A1094">
        <v>200966</v>
      </c>
      <c r="B1094" t="s">
        <v>2014</v>
      </c>
      <c r="C1094" t="s">
        <v>2015</v>
      </c>
      <c r="D1094" t="s">
        <v>1284</v>
      </c>
      <c r="E1094">
        <v>-9</v>
      </c>
      <c r="F1094" s="105">
        <v>13805859.939999999</v>
      </c>
      <c r="G1094" t="s">
        <v>1467</v>
      </c>
      <c r="H1094">
        <v>276117.2</v>
      </c>
      <c r="I1094">
        <v>18068509.300000001</v>
      </c>
      <c r="J1094" s="711">
        <v>42835.685623877318</v>
      </c>
      <c r="K1094" s="711">
        <v>43565</v>
      </c>
      <c r="L1094" t="s">
        <v>2016</v>
      </c>
      <c r="M1094" t="s">
        <v>1280</v>
      </c>
      <c r="N1094" t="s">
        <v>1280</v>
      </c>
      <c r="O1094" t="s">
        <v>25</v>
      </c>
      <c r="P1094" t="s">
        <v>88</v>
      </c>
      <c r="Q1094" t="s">
        <v>285</v>
      </c>
      <c r="R1094" t="s">
        <v>2856</v>
      </c>
      <c r="S1094">
        <v>17000000</v>
      </c>
      <c r="T1094">
        <v>612000000</v>
      </c>
      <c r="U1094">
        <v>497010957.83999997</v>
      </c>
      <c r="Z1094"/>
    </row>
    <row r="1095" spans="1:26" x14ac:dyDescent="0.25">
      <c r="A1095">
        <v>200967</v>
      </c>
      <c r="B1095" t="s">
        <v>2413</v>
      </c>
      <c r="C1095" t="s">
        <v>2414</v>
      </c>
      <c r="D1095" t="s">
        <v>1282</v>
      </c>
      <c r="E1095">
        <v>-9</v>
      </c>
      <c r="F1095" s="105">
        <v>8378416.0800000001</v>
      </c>
      <c r="G1095" t="s">
        <v>86</v>
      </c>
      <c r="H1095">
        <v>223424.43</v>
      </c>
      <c r="I1095">
        <v>9589695.5500000007</v>
      </c>
      <c r="J1095" s="711">
        <v>42835.773810798608</v>
      </c>
      <c r="K1095" s="711">
        <v>43200</v>
      </c>
      <c r="L1095" t="s">
        <v>2415</v>
      </c>
      <c r="M1095" t="s">
        <v>1280</v>
      </c>
      <c r="N1095" t="s">
        <v>1280</v>
      </c>
      <c r="O1095" t="s">
        <v>25</v>
      </c>
      <c r="P1095" t="s">
        <v>88</v>
      </c>
      <c r="Q1095" t="s">
        <v>285</v>
      </c>
      <c r="R1095" t="s">
        <v>2856</v>
      </c>
      <c r="S1095">
        <v>15000000</v>
      </c>
      <c r="T1095">
        <v>720000000</v>
      </c>
      <c r="U1095">
        <v>402163971.83999997</v>
      </c>
      <c r="Z1095"/>
    </row>
    <row r="1096" spans="1:26" x14ac:dyDescent="0.25">
      <c r="A1096">
        <v>200970</v>
      </c>
      <c r="B1096" t="s">
        <v>4491</v>
      </c>
      <c r="C1096" t="s">
        <v>4495</v>
      </c>
      <c r="D1096" t="s">
        <v>1279</v>
      </c>
      <c r="E1096">
        <v>-10</v>
      </c>
      <c r="F1096" s="105">
        <v>1360161.78</v>
      </c>
      <c r="G1096" t="s">
        <v>1909</v>
      </c>
      <c r="H1096">
        <v>38764.61</v>
      </c>
      <c r="I1096">
        <v>1516545.83</v>
      </c>
      <c r="J1096" s="711">
        <v>42836.624498645833</v>
      </c>
      <c r="K1096" s="711">
        <v>43142</v>
      </c>
      <c r="L1096" t="s">
        <v>4496</v>
      </c>
      <c r="M1096" t="s">
        <v>1280</v>
      </c>
      <c r="N1096" t="s">
        <v>4497</v>
      </c>
      <c r="O1096" t="s">
        <v>44</v>
      </c>
      <c r="P1096" t="s">
        <v>75</v>
      </c>
      <c r="Q1096" t="s">
        <v>1442</v>
      </c>
      <c r="R1096" t="s">
        <v>2636</v>
      </c>
      <c r="S1096">
        <v>3000000</v>
      </c>
      <c r="T1096">
        <v>162000000</v>
      </c>
      <c r="U1096">
        <v>73448736.120000005</v>
      </c>
      <c r="Z1096"/>
    </row>
    <row r="1097" spans="1:26" x14ac:dyDescent="0.25">
      <c r="A1097">
        <v>200971</v>
      </c>
      <c r="B1097" t="s">
        <v>4498</v>
      </c>
      <c r="C1097" t="s">
        <v>4513</v>
      </c>
      <c r="D1097" t="s">
        <v>1283</v>
      </c>
      <c r="E1097">
        <v>-14</v>
      </c>
      <c r="F1097" s="105">
        <v>22031910.149999999</v>
      </c>
      <c r="G1097" t="s">
        <v>2861</v>
      </c>
      <c r="H1097">
        <v>367198.5</v>
      </c>
      <c r="I1097">
        <v>24672488.66</v>
      </c>
      <c r="J1097" s="711">
        <v>42837.450458564817</v>
      </c>
      <c r="K1097" s="711">
        <v>43205</v>
      </c>
      <c r="L1097" t="s">
        <v>4514</v>
      </c>
      <c r="M1097" t="s">
        <v>1280</v>
      </c>
      <c r="N1097" t="s">
        <v>4515</v>
      </c>
      <c r="O1097" t="s">
        <v>36</v>
      </c>
      <c r="P1097" t="s">
        <v>97</v>
      </c>
      <c r="Q1097" t="s">
        <v>98</v>
      </c>
      <c r="R1097" t="s">
        <v>2636</v>
      </c>
      <c r="S1097">
        <v>40000000</v>
      </c>
      <c r="T1097">
        <v>1600000000</v>
      </c>
      <c r="U1097">
        <v>881276406</v>
      </c>
      <c r="Z1097"/>
    </row>
    <row r="1098" spans="1:26" x14ac:dyDescent="0.25">
      <c r="A1098">
        <v>200972</v>
      </c>
      <c r="B1098" t="s">
        <v>4499</v>
      </c>
      <c r="C1098" t="s">
        <v>4516</v>
      </c>
      <c r="D1098" t="s">
        <v>1282</v>
      </c>
      <c r="E1098">
        <v>-12</v>
      </c>
      <c r="F1098" s="105">
        <v>2792805.38</v>
      </c>
      <c r="G1098" t="s">
        <v>468</v>
      </c>
      <c r="H1098">
        <v>63303.59</v>
      </c>
      <c r="I1098">
        <v>3196565.22</v>
      </c>
      <c r="J1098" s="711">
        <v>42838.711294907407</v>
      </c>
      <c r="K1098" s="711">
        <v>43203</v>
      </c>
      <c r="L1098" t="s">
        <v>4517</v>
      </c>
      <c r="M1098" t="s">
        <v>1280</v>
      </c>
      <c r="N1098" t="s">
        <v>1280</v>
      </c>
      <c r="O1098" t="s">
        <v>35</v>
      </c>
      <c r="P1098" t="s">
        <v>121</v>
      </c>
      <c r="Q1098" t="s">
        <v>26</v>
      </c>
      <c r="R1098" t="s">
        <v>2856</v>
      </c>
      <c r="S1098">
        <v>5000000</v>
      </c>
      <c r="T1098">
        <v>240000000</v>
      </c>
      <c r="U1098">
        <v>134054658.23999999</v>
      </c>
      <c r="Z1098"/>
    </row>
    <row r="1099" spans="1:26" x14ac:dyDescent="0.25">
      <c r="A1099">
        <v>200974</v>
      </c>
      <c r="B1099" t="s">
        <v>4500</v>
      </c>
      <c r="C1099" t="s">
        <v>4518</v>
      </c>
      <c r="D1099" t="s">
        <v>1866</v>
      </c>
      <c r="E1099">
        <v>-11</v>
      </c>
      <c r="F1099" s="105">
        <v>3926500.87</v>
      </c>
      <c r="G1099" t="s">
        <v>1447</v>
      </c>
      <c r="H1099">
        <v>98162.52</v>
      </c>
      <c r="I1099">
        <v>4518574.9800000004</v>
      </c>
      <c r="J1099" s="711">
        <v>42837.609828969908</v>
      </c>
      <c r="K1099" s="711">
        <v>43202</v>
      </c>
      <c r="L1099" t="s">
        <v>4519</v>
      </c>
      <c r="M1099" t="s">
        <v>1280</v>
      </c>
      <c r="N1099" t="s">
        <v>4520</v>
      </c>
      <c r="O1099" t="s">
        <v>27</v>
      </c>
      <c r="P1099" t="s">
        <v>81</v>
      </c>
      <c r="Q1099" t="s">
        <v>26</v>
      </c>
      <c r="R1099" t="s">
        <v>2636</v>
      </c>
      <c r="S1099">
        <v>7000000</v>
      </c>
      <c r="T1099">
        <v>350000000</v>
      </c>
      <c r="U1099">
        <v>196325043.5</v>
      </c>
      <c r="Z1099"/>
    </row>
    <row r="1100" spans="1:26" x14ac:dyDescent="0.25">
      <c r="A1100">
        <v>200975</v>
      </c>
      <c r="B1100" t="s">
        <v>4504</v>
      </c>
      <c r="C1100" t="s">
        <v>4521</v>
      </c>
      <c r="D1100" t="s">
        <v>1279</v>
      </c>
      <c r="E1100">
        <v>49</v>
      </c>
      <c r="F1100" s="105">
        <v>544604.71</v>
      </c>
      <c r="G1100" t="s">
        <v>1467</v>
      </c>
      <c r="H1100">
        <v>36470.68</v>
      </c>
      <c r="I1100">
        <v>581075.39</v>
      </c>
      <c r="J1100" s="711">
        <v>42837.554754745368</v>
      </c>
      <c r="K1100" s="711">
        <v>43020</v>
      </c>
      <c r="L1100" t="s">
        <v>4522</v>
      </c>
      <c r="M1100" t="s">
        <v>1280</v>
      </c>
      <c r="N1100" t="s">
        <v>1280</v>
      </c>
      <c r="O1100" t="s">
        <v>44</v>
      </c>
      <c r="P1100" t="s">
        <v>75</v>
      </c>
      <c r="Q1100" t="s">
        <v>26</v>
      </c>
      <c r="R1100" t="s">
        <v>2636</v>
      </c>
      <c r="S1100">
        <v>1500000</v>
      </c>
      <c r="T1100">
        <v>81000000</v>
      </c>
      <c r="U1100">
        <v>29408654.34</v>
      </c>
      <c r="Z1100"/>
    </row>
    <row r="1101" spans="1:26" x14ac:dyDescent="0.25">
      <c r="A1101">
        <v>200977</v>
      </c>
      <c r="B1101" t="s">
        <v>3097</v>
      </c>
      <c r="C1101" t="s">
        <v>3098</v>
      </c>
      <c r="D1101" t="s">
        <v>1281</v>
      </c>
      <c r="E1101">
        <v>18</v>
      </c>
      <c r="F1101" s="105">
        <v>15818928.98</v>
      </c>
      <c r="G1101" t="s">
        <v>2175</v>
      </c>
      <c r="H1101">
        <v>827074.78</v>
      </c>
      <c r="I1101">
        <v>18109691.120000001</v>
      </c>
      <c r="J1101" s="711">
        <v>42838.68076466435</v>
      </c>
      <c r="K1101" s="711">
        <v>43203</v>
      </c>
      <c r="L1101" t="s">
        <v>3099</v>
      </c>
      <c r="M1101" t="s">
        <v>1280</v>
      </c>
      <c r="N1101" t="s">
        <v>1280</v>
      </c>
      <c r="O1101" t="s">
        <v>25</v>
      </c>
      <c r="P1101" t="s">
        <v>26</v>
      </c>
      <c r="Q1101" t="s">
        <v>26</v>
      </c>
      <c r="R1101" t="s">
        <v>2856</v>
      </c>
      <c r="S1101">
        <v>25000000</v>
      </c>
      <c r="T1101">
        <v>1050000000</v>
      </c>
      <c r="U1101">
        <v>664395017.15999997</v>
      </c>
      <c r="Z1101"/>
    </row>
    <row r="1102" spans="1:26" x14ac:dyDescent="0.25">
      <c r="A1102">
        <v>200980</v>
      </c>
      <c r="B1102" t="s">
        <v>2312</v>
      </c>
      <c r="C1102" t="s">
        <v>2321</v>
      </c>
      <c r="D1102" t="s">
        <v>1284</v>
      </c>
      <c r="E1102">
        <v>-19</v>
      </c>
      <c r="F1102" s="105">
        <v>21114844.629999999</v>
      </c>
      <c r="G1102" t="s">
        <v>2538</v>
      </c>
      <c r="H1102">
        <v>211148.45</v>
      </c>
      <c r="I1102">
        <v>27634190.75</v>
      </c>
      <c r="J1102" s="711">
        <v>42845.708019212965</v>
      </c>
      <c r="K1102" s="711">
        <v>43575</v>
      </c>
      <c r="L1102" t="s">
        <v>2322</v>
      </c>
      <c r="M1102" t="s">
        <v>1280</v>
      </c>
      <c r="N1102" t="s">
        <v>1280</v>
      </c>
      <c r="O1102" t="s">
        <v>44</v>
      </c>
      <c r="P1102" t="s">
        <v>75</v>
      </c>
      <c r="Q1102" t="s">
        <v>1442</v>
      </c>
      <c r="R1102" t="s">
        <v>2856</v>
      </c>
      <c r="S1102">
        <v>26000000</v>
      </c>
      <c r="T1102">
        <v>936000000</v>
      </c>
      <c r="U1102">
        <v>760134406.67999995</v>
      </c>
      <c r="Z1102"/>
    </row>
    <row r="1103" spans="1:26" x14ac:dyDescent="0.25">
      <c r="A1103">
        <v>200981</v>
      </c>
      <c r="B1103" t="s">
        <v>2713</v>
      </c>
      <c r="C1103" t="s">
        <v>2720</v>
      </c>
      <c r="D1103" t="s">
        <v>1279</v>
      </c>
      <c r="E1103">
        <v>-19</v>
      </c>
      <c r="F1103" s="105">
        <v>1342599.66</v>
      </c>
      <c r="G1103" t="s">
        <v>2855</v>
      </c>
      <c r="H1103">
        <v>83765.66</v>
      </c>
      <c r="I1103">
        <v>1479491.37</v>
      </c>
      <c r="J1103" s="711">
        <v>42845.729833645833</v>
      </c>
      <c r="K1103" s="711">
        <v>43151</v>
      </c>
      <c r="L1103" t="s">
        <v>2721</v>
      </c>
      <c r="M1103" t="s">
        <v>1280</v>
      </c>
      <c r="N1103" t="s">
        <v>2722</v>
      </c>
      <c r="O1103" t="s">
        <v>27</v>
      </c>
      <c r="P1103" t="s">
        <v>26</v>
      </c>
      <c r="Q1103" t="s">
        <v>26</v>
      </c>
      <c r="R1103" t="s">
        <v>2856</v>
      </c>
      <c r="S1103">
        <v>3000000</v>
      </c>
      <c r="T1103">
        <v>144000000</v>
      </c>
      <c r="U1103">
        <v>64444783.68</v>
      </c>
      <c r="Z1103"/>
    </row>
    <row r="1104" spans="1:26" x14ac:dyDescent="0.25">
      <c r="A1104">
        <v>200982</v>
      </c>
      <c r="B1104" t="s">
        <v>4537</v>
      </c>
      <c r="C1104" t="s">
        <v>4544</v>
      </c>
      <c r="D1104" t="s">
        <v>1283</v>
      </c>
      <c r="E1104">
        <v>36</v>
      </c>
      <c r="F1104" s="105">
        <v>17472898.690000001</v>
      </c>
      <c r="G1104" t="s">
        <v>5167</v>
      </c>
      <c r="H1104">
        <v>302654.08000000002</v>
      </c>
      <c r="I1104">
        <v>17775552.77</v>
      </c>
      <c r="J1104" s="711">
        <v>42845.775843553238</v>
      </c>
      <c r="K1104" s="711">
        <v>43033</v>
      </c>
      <c r="L1104" t="s">
        <v>4545</v>
      </c>
      <c r="M1104" t="s">
        <v>1280</v>
      </c>
      <c r="N1104" t="s">
        <v>1280</v>
      </c>
      <c r="O1104" t="s">
        <v>44</v>
      </c>
      <c r="P1104" t="s">
        <v>75</v>
      </c>
      <c r="Q1104" t="s">
        <v>1442</v>
      </c>
      <c r="R1104" t="s">
        <v>2636</v>
      </c>
      <c r="S1104">
        <v>50000000</v>
      </c>
      <c r="T1104">
        <v>2000000000</v>
      </c>
      <c r="U1104">
        <v>698915947.60000002</v>
      </c>
      <c r="Z1104"/>
    </row>
    <row r="1105" spans="1:26" x14ac:dyDescent="0.25">
      <c r="A1105">
        <v>200985</v>
      </c>
      <c r="B1105" t="s">
        <v>4547</v>
      </c>
      <c r="C1105" t="s">
        <v>4555</v>
      </c>
      <c r="D1105" t="s">
        <v>1282</v>
      </c>
      <c r="E1105">
        <v>-20</v>
      </c>
      <c r="F1105" s="105">
        <v>1414110.54</v>
      </c>
      <c r="G1105" t="s">
        <v>1667</v>
      </c>
      <c r="H1105">
        <v>19090.490000000002</v>
      </c>
      <c r="I1105">
        <v>1644992.83</v>
      </c>
      <c r="J1105" s="711">
        <v>42846.585483599534</v>
      </c>
      <c r="K1105" s="711">
        <v>43211</v>
      </c>
      <c r="L1105" t="s">
        <v>4556</v>
      </c>
      <c r="M1105" t="s">
        <v>1280</v>
      </c>
      <c r="N1105" t="s">
        <v>4557</v>
      </c>
      <c r="O1105" t="s">
        <v>44</v>
      </c>
      <c r="P1105" t="s">
        <v>75</v>
      </c>
      <c r="Q1105" t="s">
        <v>1442</v>
      </c>
      <c r="R1105" t="s">
        <v>2636</v>
      </c>
      <c r="S1105">
        <v>2500000</v>
      </c>
      <c r="T1105">
        <v>135000000</v>
      </c>
      <c r="U1105">
        <v>76361969.159999996</v>
      </c>
      <c r="Z1105"/>
    </row>
    <row r="1106" spans="1:26" x14ac:dyDescent="0.25">
      <c r="A1106">
        <v>200987</v>
      </c>
      <c r="B1106" t="s">
        <v>2281</v>
      </c>
      <c r="C1106" t="s">
        <v>2289</v>
      </c>
      <c r="D1106" t="s">
        <v>1284</v>
      </c>
      <c r="E1106">
        <v>-20</v>
      </c>
      <c r="F1106" s="105">
        <v>18093566.219999999</v>
      </c>
      <c r="G1106" t="s">
        <v>546</v>
      </c>
      <c r="H1106">
        <v>162842.1</v>
      </c>
      <c r="I1106">
        <v>21812608.73</v>
      </c>
      <c r="J1106" s="711">
        <v>42846.66457361111</v>
      </c>
      <c r="K1106" s="711">
        <v>43394</v>
      </c>
      <c r="L1106" t="s">
        <v>2290</v>
      </c>
      <c r="M1106" t="s">
        <v>1280</v>
      </c>
      <c r="N1106" t="s">
        <v>1280</v>
      </c>
      <c r="O1106" t="s">
        <v>27</v>
      </c>
      <c r="P1106" t="s">
        <v>26</v>
      </c>
      <c r="Q1106" t="s">
        <v>26</v>
      </c>
      <c r="R1106" t="s">
        <v>2856</v>
      </c>
      <c r="S1106">
        <v>25000000</v>
      </c>
      <c r="T1106">
        <v>900000000</v>
      </c>
      <c r="U1106">
        <v>651368383.91999996</v>
      </c>
      <c r="Z1106"/>
    </row>
    <row r="1107" spans="1:26" x14ac:dyDescent="0.25">
      <c r="A1107">
        <v>200989</v>
      </c>
      <c r="B1107" t="s">
        <v>4561</v>
      </c>
      <c r="C1107" t="s">
        <v>4562</v>
      </c>
      <c r="D1107" t="s">
        <v>1281</v>
      </c>
      <c r="E1107">
        <v>-21</v>
      </c>
      <c r="F1107" s="105">
        <v>13964026.779999999</v>
      </c>
      <c r="G1107" t="s">
        <v>1447</v>
      </c>
      <c r="H1107">
        <v>148949.62</v>
      </c>
      <c r="I1107">
        <v>15982825.880000001</v>
      </c>
      <c r="J1107" s="711">
        <v>42847.543185381946</v>
      </c>
      <c r="K1107" s="711">
        <v>43212</v>
      </c>
      <c r="L1107" t="s">
        <v>4563</v>
      </c>
      <c r="M1107" t="s">
        <v>1280</v>
      </c>
      <c r="N1107" t="s">
        <v>4564</v>
      </c>
      <c r="O1107" t="s">
        <v>25</v>
      </c>
      <c r="P1107" t="s">
        <v>26</v>
      </c>
      <c r="Q1107" t="s">
        <v>26</v>
      </c>
      <c r="R1107" t="s">
        <v>2636</v>
      </c>
      <c r="S1107">
        <v>25000000</v>
      </c>
      <c r="T1107">
        <v>1200000000</v>
      </c>
      <c r="U1107">
        <v>670273285.44000006</v>
      </c>
      <c r="Z1107"/>
    </row>
    <row r="1108" spans="1:26" x14ac:dyDescent="0.25">
      <c r="A1108">
        <v>200991</v>
      </c>
      <c r="B1108" t="s">
        <v>3810</v>
      </c>
      <c r="C1108" t="s">
        <v>3816</v>
      </c>
      <c r="D1108" t="s">
        <v>1283</v>
      </c>
      <c r="E1108">
        <v>-24</v>
      </c>
      <c r="F1108" s="105">
        <v>34266826.119999997</v>
      </c>
      <c r="G1108" t="s">
        <v>1447</v>
      </c>
      <c r="H1108">
        <v>171334.13</v>
      </c>
      <c r="I1108">
        <v>42469233.280000001</v>
      </c>
      <c r="J1108" s="711">
        <v>42847.560156562497</v>
      </c>
      <c r="K1108" s="711">
        <v>43459</v>
      </c>
      <c r="L1108" t="s">
        <v>3817</v>
      </c>
      <c r="M1108" t="s">
        <v>1280</v>
      </c>
      <c r="N1108" t="s">
        <v>3818</v>
      </c>
      <c r="O1108" t="s">
        <v>37</v>
      </c>
      <c r="P1108" t="s">
        <v>38</v>
      </c>
      <c r="Q1108" t="s">
        <v>39</v>
      </c>
      <c r="R1108" t="s">
        <v>2856</v>
      </c>
      <c r="S1108">
        <v>45000000</v>
      </c>
      <c r="T1108">
        <v>1620000000</v>
      </c>
      <c r="U1108">
        <v>1233605740.3199999</v>
      </c>
      <c r="Z1108"/>
    </row>
    <row r="1109" spans="1:26" x14ac:dyDescent="0.25">
      <c r="A1109">
        <v>200995</v>
      </c>
      <c r="B1109" t="s">
        <v>4574</v>
      </c>
      <c r="C1109" t="s">
        <v>4583</v>
      </c>
      <c r="D1109" t="s">
        <v>1282</v>
      </c>
      <c r="E1109">
        <v>-24</v>
      </c>
      <c r="F1109" s="105">
        <v>4525153.7300000004</v>
      </c>
      <c r="G1109" t="s">
        <v>491</v>
      </c>
      <c r="H1109">
        <v>33938.65</v>
      </c>
      <c r="I1109">
        <v>5263977.0599999996</v>
      </c>
      <c r="J1109" s="711">
        <v>42850.794766585648</v>
      </c>
      <c r="K1109" s="711">
        <v>43215</v>
      </c>
      <c r="L1109" t="s">
        <v>4584</v>
      </c>
      <c r="M1109" t="s">
        <v>1280</v>
      </c>
      <c r="N1109" t="s">
        <v>4585</v>
      </c>
      <c r="O1109" t="s">
        <v>27</v>
      </c>
      <c r="P1109" t="s">
        <v>81</v>
      </c>
      <c r="Q1109" t="s">
        <v>26</v>
      </c>
      <c r="R1109" t="s">
        <v>2636</v>
      </c>
      <c r="S1109">
        <v>8000000</v>
      </c>
      <c r="T1109">
        <v>432000000</v>
      </c>
      <c r="U1109">
        <v>244358301.41999999</v>
      </c>
      <c r="Z1109"/>
    </row>
    <row r="1110" spans="1:26" x14ac:dyDescent="0.25">
      <c r="A1110">
        <v>200997</v>
      </c>
      <c r="B1110" t="s">
        <v>4575</v>
      </c>
      <c r="C1110" t="s">
        <v>4586</v>
      </c>
      <c r="D1110" t="s">
        <v>1282</v>
      </c>
      <c r="E1110">
        <v>36</v>
      </c>
      <c r="F1110" s="105">
        <v>2505801.33</v>
      </c>
      <c r="G1110" t="s">
        <v>2861</v>
      </c>
      <c r="H1110">
        <v>99864.02</v>
      </c>
      <c r="I1110">
        <v>2814177.42</v>
      </c>
      <c r="J1110" s="711">
        <v>42850.755774224534</v>
      </c>
      <c r="K1110" s="711">
        <v>43156</v>
      </c>
      <c r="L1110" t="s">
        <v>4587</v>
      </c>
      <c r="M1110" t="s">
        <v>1280</v>
      </c>
      <c r="N1110" t="s">
        <v>4588</v>
      </c>
      <c r="O1110" t="s">
        <v>25</v>
      </c>
      <c r="P1110" t="s">
        <v>88</v>
      </c>
      <c r="Q1110" t="s">
        <v>285</v>
      </c>
      <c r="R1110" t="s">
        <v>2636</v>
      </c>
      <c r="S1110">
        <v>4000000</v>
      </c>
      <c r="T1110">
        <v>216000000</v>
      </c>
      <c r="U1110">
        <v>135313271.81999999</v>
      </c>
      <c r="Z1110"/>
    </row>
    <row r="1111" spans="1:26" x14ac:dyDescent="0.25">
      <c r="A1111">
        <v>200998</v>
      </c>
      <c r="B1111" t="s">
        <v>3452</v>
      </c>
      <c r="C1111" t="s">
        <v>3455</v>
      </c>
      <c r="D1111" t="s">
        <v>1282</v>
      </c>
      <c r="E1111">
        <v>0</v>
      </c>
      <c r="F1111" s="105">
        <v>4390955.0599999996</v>
      </c>
      <c r="G1111" t="s">
        <v>1467</v>
      </c>
      <c r="H1111">
        <v>169783.6</v>
      </c>
      <c r="I1111">
        <v>4931637.8099999996</v>
      </c>
      <c r="J1111" s="711">
        <v>42853.463061145834</v>
      </c>
      <c r="K1111" s="711">
        <v>43160</v>
      </c>
      <c r="L1111" t="s">
        <v>3456</v>
      </c>
      <c r="M1111" t="s">
        <v>1280</v>
      </c>
      <c r="N1111" t="s">
        <v>3457</v>
      </c>
      <c r="O1111" t="s">
        <v>44</v>
      </c>
      <c r="P1111" t="s">
        <v>75</v>
      </c>
      <c r="Q1111" t="s">
        <v>26</v>
      </c>
      <c r="R1111" t="s">
        <v>2856</v>
      </c>
      <c r="S1111">
        <v>8000000</v>
      </c>
      <c r="T1111">
        <v>384000000</v>
      </c>
      <c r="U1111">
        <v>210765842.88</v>
      </c>
      <c r="Z1111"/>
    </row>
    <row r="1112" spans="1:26" x14ac:dyDescent="0.25">
      <c r="A1112">
        <v>200999</v>
      </c>
      <c r="B1112" t="s">
        <v>4590</v>
      </c>
      <c r="C1112" t="s">
        <v>4600</v>
      </c>
      <c r="D1112" t="s">
        <v>1283</v>
      </c>
      <c r="E1112">
        <v>30</v>
      </c>
      <c r="F1112" s="105">
        <v>33208268.57</v>
      </c>
      <c r="G1112" t="s">
        <v>1191</v>
      </c>
      <c r="H1112">
        <v>2020708.01</v>
      </c>
      <c r="I1112">
        <v>41532146.469999999</v>
      </c>
      <c r="J1112" s="711">
        <v>42851.593739351854</v>
      </c>
      <c r="K1112" s="711">
        <v>43405</v>
      </c>
      <c r="L1112" t="s">
        <v>4601</v>
      </c>
      <c r="M1112" t="s">
        <v>1280</v>
      </c>
      <c r="N1112" t="s">
        <v>1280</v>
      </c>
      <c r="O1112" t="s">
        <v>27</v>
      </c>
      <c r="P1112" t="s">
        <v>81</v>
      </c>
      <c r="Q1112" t="s">
        <v>26</v>
      </c>
      <c r="R1112" t="s">
        <v>2636</v>
      </c>
      <c r="S1112">
        <v>40000000</v>
      </c>
      <c r="T1112">
        <v>1600000000</v>
      </c>
      <c r="U1112">
        <v>1328330742.8</v>
      </c>
      <c r="Z1112"/>
    </row>
    <row r="1113" spans="1:26" x14ac:dyDescent="0.25">
      <c r="A1113">
        <v>201000</v>
      </c>
      <c r="B1113" t="s">
        <v>1735</v>
      </c>
      <c r="C1113" t="s">
        <v>1736</v>
      </c>
      <c r="D1113" t="s">
        <v>1866</v>
      </c>
      <c r="E1113">
        <v>0</v>
      </c>
      <c r="F1113" s="105">
        <v>6372699.2000000002</v>
      </c>
      <c r="G1113" t="s">
        <v>90</v>
      </c>
      <c r="H1113">
        <v>225876.78</v>
      </c>
      <c r="I1113">
        <v>7340983.04</v>
      </c>
      <c r="J1113" s="711">
        <v>42853.653735844906</v>
      </c>
      <c r="K1113" s="711">
        <v>43221</v>
      </c>
      <c r="L1113" t="s">
        <v>1737</v>
      </c>
      <c r="M1113" t="s">
        <v>1280</v>
      </c>
      <c r="N1113" t="s">
        <v>1280</v>
      </c>
      <c r="O1113" t="s">
        <v>25</v>
      </c>
      <c r="P1113" t="s">
        <v>26</v>
      </c>
      <c r="Q1113" t="s">
        <v>26</v>
      </c>
      <c r="R1113" t="s">
        <v>2856</v>
      </c>
      <c r="S1113">
        <v>10000000</v>
      </c>
      <c r="T1113">
        <v>440000000</v>
      </c>
      <c r="U1113">
        <v>280398764.80000001</v>
      </c>
      <c r="Z1113"/>
    </row>
    <row r="1114" spans="1:26" x14ac:dyDescent="0.25">
      <c r="A1114">
        <v>201001</v>
      </c>
      <c r="B1114" t="s">
        <v>4595</v>
      </c>
      <c r="C1114" t="s">
        <v>4602</v>
      </c>
      <c r="D1114" t="s">
        <v>1279</v>
      </c>
      <c r="E1114">
        <v>0</v>
      </c>
      <c r="F1114" s="105">
        <v>839521.41</v>
      </c>
      <c r="G1114" t="s">
        <v>1667</v>
      </c>
      <c r="H1114">
        <v>36519.18</v>
      </c>
      <c r="I1114">
        <v>916186.57</v>
      </c>
      <c r="J1114" s="711">
        <v>42851.61552392361</v>
      </c>
      <c r="K1114" s="711">
        <v>43101</v>
      </c>
      <c r="L1114" t="s">
        <v>4603</v>
      </c>
      <c r="M1114" t="s">
        <v>1280</v>
      </c>
      <c r="N1114" t="s">
        <v>4604</v>
      </c>
      <c r="O1114" t="s">
        <v>44</v>
      </c>
      <c r="P1114" t="s">
        <v>75</v>
      </c>
      <c r="Q1114" t="s">
        <v>26</v>
      </c>
      <c r="R1114" t="s">
        <v>2636</v>
      </c>
      <c r="S1114">
        <v>2000000</v>
      </c>
      <c r="T1114">
        <v>108000000</v>
      </c>
      <c r="U1114">
        <v>45334156.140000001</v>
      </c>
      <c r="Z1114"/>
    </row>
    <row r="1115" spans="1:26" x14ac:dyDescent="0.25">
      <c r="A1115">
        <v>201002</v>
      </c>
      <c r="B1115" t="s">
        <v>4593</v>
      </c>
      <c r="C1115" t="s">
        <v>4605</v>
      </c>
      <c r="D1115" t="s">
        <v>1284</v>
      </c>
      <c r="E1115">
        <v>0</v>
      </c>
      <c r="F1115" s="105">
        <v>47063745.420000002</v>
      </c>
      <c r="G1115" t="s">
        <v>491</v>
      </c>
      <c r="H1115">
        <v>1516498.46</v>
      </c>
      <c r="I1115">
        <v>64284953.450000003</v>
      </c>
      <c r="J1115" s="711">
        <v>42851.551072650465</v>
      </c>
      <c r="K1115" s="711">
        <v>43586</v>
      </c>
      <c r="L1115" t="s">
        <v>4606</v>
      </c>
      <c r="M1115" t="s">
        <v>1280</v>
      </c>
      <c r="N1115" t="s">
        <v>4607</v>
      </c>
      <c r="O1115" t="s">
        <v>25</v>
      </c>
      <c r="P1115" t="s">
        <v>289</v>
      </c>
      <c r="Q1115" t="s">
        <v>26</v>
      </c>
      <c r="R1115" t="s">
        <v>2636</v>
      </c>
      <c r="S1115">
        <v>55000000</v>
      </c>
      <c r="T1115">
        <v>2200000000</v>
      </c>
      <c r="U1115">
        <v>1882549816.8</v>
      </c>
      <c r="Z1115"/>
    </row>
    <row r="1116" spans="1:26" x14ac:dyDescent="0.25">
      <c r="A1116">
        <v>201003</v>
      </c>
      <c r="B1116" t="s">
        <v>4594</v>
      </c>
      <c r="C1116" t="s">
        <v>4608</v>
      </c>
      <c r="D1116" t="s">
        <v>1282</v>
      </c>
      <c r="E1116">
        <v>0</v>
      </c>
      <c r="F1116" s="105">
        <v>6508680.6500000004</v>
      </c>
      <c r="G1116" t="s">
        <v>1925</v>
      </c>
      <c r="H1116">
        <v>283127.61</v>
      </c>
      <c r="I1116">
        <v>7731728.6299999999</v>
      </c>
      <c r="J1116" s="711">
        <v>42851.783158298611</v>
      </c>
      <c r="K1116" s="711">
        <v>43221</v>
      </c>
      <c r="L1116" t="s">
        <v>4609</v>
      </c>
      <c r="M1116" t="s">
        <v>1280</v>
      </c>
      <c r="N1116" t="s">
        <v>4610</v>
      </c>
      <c r="O1116" t="s">
        <v>44</v>
      </c>
      <c r="P1116" t="s">
        <v>75</v>
      </c>
      <c r="Q1116" t="s">
        <v>26</v>
      </c>
      <c r="R1116" t="s">
        <v>2636</v>
      </c>
      <c r="S1116">
        <v>10000000</v>
      </c>
      <c r="T1116">
        <v>540000000</v>
      </c>
      <c r="U1116">
        <v>351468755.10000002</v>
      </c>
      <c r="Z1116"/>
    </row>
    <row r="1117" spans="1:26" x14ac:dyDescent="0.25">
      <c r="A1117">
        <v>201004</v>
      </c>
      <c r="B1117" t="s">
        <v>4589</v>
      </c>
      <c r="C1117" t="s">
        <v>4611</v>
      </c>
      <c r="D1117" t="s">
        <v>1282</v>
      </c>
      <c r="E1117">
        <v>0</v>
      </c>
      <c r="F1117" s="105">
        <v>2518564.19</v>
      </c>
      <c r="G1117" t="s">
        <v>1925</v>
      </c>
      <c r="H1117">
        <v>109557.54</v>
      </c>
      <c r="I1117">
        <v>2748559.68</v>
      </c>
      <c r="J1117" s="711">
        <v>42851.73559128472</v>
      </c>
      <c r="K1117" s="711">
        <v>43101</v>
      </c>
      <c r="L1117" t="s">
        <v>4612</v>
      </c>
      <c r="M1117" t="s">
        <v>4613</v>
      </c>
      <c r="N1117" t="s">
        <v>1280</v>
      </c>
      <c r="O1117" t="s">
        <v>27</v>
      </c>
      <c r="P1117" t="s">
        <v>81</v>
      </c>
      <c r="Q1117" t="s">
        <v>26</v>
      </c>
      <c r="R1117" t="s">
        <v>2636</v>
      </c>
      <c r="S1117">
        <v>6000000</v>
      </c>
      <c r="T1117">
        <v>324000000</v>
      </c>
      <c r="U1117">
        <v>136002466.25999999</v>
      </c>
      <c r="Z1117"/>
    </row>
    <row r="1118" spans="1:26" x14ac:dyDescent="0.25">
      <c r="A1118">
        <v>201005</v>
      </c>
      <c r="B1118" t="s">
        <v>4592</v>
      </c>
      <c r="C1118" t="s">
        <v>4614</v>
      </c>
      <c r="D1118" t="s">
        <v>1279</v>
      </c>
      <c r="E1118">
        <v>0</v>
      </c>
      <c r="F1118" s="105">
        <v>280291.65999999997</v>
      </c>
      <c r="G1118" t="s">
        <v>2538</v>
      </c>
      <c r="H1118">
        <v>12192.69</v>
      </c>
      <c r="I1118">
        <v>292904.78000000003</v>
      </c>
      <c r="J1118" s="711">
        <v>42851.660091238424</v>
      </c>
      <c r="K1118" s="711">
        <v>43040</v>
      </c>
      <c r="L1118" t="s">
        <v>4615</v>
      </c>
      <c r="M1118" t="s">
        <v>1280</v>
      </c>
      <c r="N1118" t="s">
        <v>1280</v>
      </c>
      <c r="O1118" t="s">
        <v>25</v>
      </c>
      <c r="P1118" t="s">
        <v>88</v>
      </c>
      <c r="Q1118" t="s">
        <v>285</v>
      </c>
      <c r="R1118" t="s">
        <v>2636</v>
      </c>
      <c r="S1118">
        <v>1500000</v>
      </c>
      <c r="T1118">
        <v>81000000</v>
      </c>
      <c r="U1118">
        <v>15135749.640000001</v>
      </c>
      <c r="Z1118"/>
    </row>
    <row r="1119" spans="1:26" x14ac:dyDescent="0.25">
      <c r="A1119">
        <v>201007</v>
      </c>
      <c r="B1119" t="s">
        <v>1882</v>
      </c>
      <c r="C1119" t="s">
        <v>1883</v>
      </c>
      <c r="D1119" t="s">
        <v>1284</v>
      </c>
      <c r="E1119">
        <v>-23</v>
      </c>
      <c r="F1119" s="105">
        <v>44579287.289999999</v>
      </c>
      <c r="G1119" t="s">
        <v>2861</v>
      </c>
      <c r="H1119">
        <v>267475.71999999997</v>
      </c>
      <c r="I1119">
        <v>58343433.200000003</v>
      </c>
      <c r="J1119" s="711">
        <v>42851.791021446756</v>
      </c>
      <c r="K1119" s="711">
        <v>43579</v>
      </c>
      <c r="L1119" t="s">
        <v>1884</v>
      </c>
      <c r="M1119" t="s">
        <v>1280</v>
      </c>
      <c r="N1119" t="s">
        <v>1280</v>
      </c>
      <c r="O1119" t="s">
        <v>44</v>
      </c>
      <c r="P1119" t="s">
        <v>75</v>
      </c>
      <c r="Q1119" t="s">
        <v>1442</v>
      </c>
      <c r="R1119" t="s">
        <v>2856</v>
      </c>
      <c r="S1119">
        <v>55000000</v>
      </c>
      <c r="T1119">
        <v>1980000000</v>
      </c>
      <c r="U1119">
        <v>1604854342.4400001</v>
      </c>
      <c r="Z1119"/>
    </row>
    <row r="1120" spans="1:26" x14ac:dyDescent="0.25">
      <c r="A1120">
        <v>201008</v>
      </c>
      <c r="B1120" t="s">
        <v>4591</v>
      </c>
      <c r="C1120" t="s">
        <v>4616</v>
      </c>
      <c r="D1120" t="s">
        <v>1866</v>
      </c>
      <c r="E1120">
        <v>-23</v>
      </c>
      <c r="F1120" s="105">
        <v>3356597.31</v>
      </c>
      <c r="G1120" t="s">
        <v>1667</v>
      </c>
      <c r="H1120">
        <v>27971.64</v>
      </c>
      <c r="I1120">
        <v>3862736.1</v>
      </c>
      <c r="J1120" s="711">
        <v>42851.813862847222</v>
      </c>
      <c r="K1120" s="711">
        <v>43214</v>
      </c>
      <c r="L1120" t="s">
        <v>4617</v>
      </c>
      <c r="M1120" t="s">
        <v>1280</v>
      </c>
      <c r="N1120" t="s">
        <v>1280</v>
      </c>
      <c r="O1120" t="s">
        <v>25</v>
      </c>
      <c r="P1120" t="s">
        <v>88</v>
      </c>
      <c r="Q1120" t="s">
        <v>285</v>
      </c>
      <c r="R1120" t="s">
        <v>2636</v>
      </c>
      <c r="S1120">
        <v>6000000</v>
      </c>
      <c r="T1120">
        <v>300000000</v>
      </c>
      <c r="U1120">
        <v>167829865.5</v>
      </c>
      <c r="Z1120"/>
    </row>
    <row r="1121" spans="1:26" x14ac:dyDescent="0.25">
      <c r="A1121">
        <v>201009</v>
      </c>
      <c r="B1121" t="s">
        <v>2678</v>
      </c>
      <c r="C1121" t="s">
        <v>2688</v>
      </c>
      <c r="D1121" t="s">
        <v>1284</v>
      </c>
      <c r="E1121">
        <v>0</v>
      </c>
      <c r="F1121" s="105">
        <v>16981358.359999999</v>
      </c>
      <c r="G1121" t="s">
        <v>1925</v>
      </c>
      <c r="H1121">
        <v>492459.39</v>
      </c>
      <c r="I1121">
        <v>22525155.940000001</v>
      </c>
      <c r="J1121" s="711">
        <v>42852.637940509259</v>
      </c>
      <c r="K1121" s="711">
        <v>43586</v>
      </c>
      <c r="L1121" t="s">
        <v>2689</v>
      </c>
      <c r="M1121" t="s">
        <v>2690</v>
      </c>
      <c r="N1121" t="s">
        <v>1280</v>
      </c>
      <c r="O1121" t="s">
        <v>44</v>
      </c>
      <c r="P1121" t="s">
        <v>75</v>
      </c>
      <c r="Q1121" t="s">
        <v>26</v>
      </c>
      <c r="R1121" t="s">
        <v>2856</v>
      </c>
      <c r="S1121">
        <v>20000000</v>
      </c>
      <c r="T1121">
        <v>720000000</v>
      </c>
      <c r="U1121">
        <v>611328900.96000004</v>
      </c>
      <c r="Z1121"/>
    </row>
    <row r="1122" spans="1:26" x14ac:dyDescent="0.25">
      <c r="A1122">
        <v>201010</v>
      </c>
      <c r="B1122" t="s">
        <v>4619</v>
      </c>
      <c r="C1122" t="s">
        <v>4628</v>
      </c>
      <c r="D1122" t="s">
        <v>1279</v>
      </c>
      <c r="E1122">
        <v>0</v>
      </c>
      <c r="F1122" s="105">
        <v>2789927.7</v>
      </c>
      <c r="G1122" t="s">
        <v>1467</v>
      </c>
      <c r="H1122">
        <v>121361.85</v>
      </c>
      <c r="I1122">
        <v>3177611.02</v>
      </c>
      <c r="J1122" s="711">
        <v>42852.58366851852</v>
      </c>
      <c r="K1122" s="711">
        <v>43160</v>
      </c>
      <c r="L1122" t="s">
        <v>4629</v>
      </c>
      <c r="M1122" t="s">
        <v>1280</v>
      </c>
      <c r="N1122" t="s">
        <v>1280</v>
      </c>
      <c r="O1122" t="s">
        <v>25</v>
      </c>
      <c r="P1122" t="s">
        <v>88</v>
      </c>
      <c r="Q1122" t="s">
        <v>285</v>
      </c>
      <c r="R1122" t="s">
        <v>2636</v>
      </c>
      <c r="S1122">
        <v>5000000</v>
      </c>
      <c r="T1122">
        <v>270000000</v>
      </c>
      <c r="U1122">
        <v>150656095.80000001</v>
      </c>
      <c r="Z1122"/>
    </row>
    <row r="1123" spans="1:26" x14ac:dyDescent="0.25">
      <c r="A1123">
        <v>201011</v>
      </c>
      <c r="B1123" t="s">
        <v>2037</v>
      </c>
      <c r="C1123" t="s">
        <v>2042</v>
      </c>
      <c r="D1123" t="s">
        <v>1284</v>
      </c>
      <c r="E1123">
        <v>0</v>
      </c>
      <c r="F1123" s="105">
        <v>19294038.739999998</v>
      </c>
      <c r="G1123" t="s">
        <v>1467</v>
      </c>
      <c r="H1123">
        <v>559527.12</v>
      </c>
      <c r="I1123">
        <v>29906055.890000001</v>
      </c>
      <c r="J1123" s="711">
        <v>42853.385363310183</v>
      </c>
      <c r="K1123" s="711">
        <v>43953</v>
      </c>
      <c r="L1123" t="s">
        <v>2043</v>
      </c>
      <c r="M1123" t="s">
        <v>1280</v>
      </c>
      <c r="N1123" t="s">
        <v>1280</v>
      </c>
      <c r="O1123" t="s">
        <v>44</v>
      </c>
      <c r="P1123" t="s">
        <v>75</v>
      </c>
      <c r="Q1123" t="s">
        <v>1442</v>
      </c>
      <c r="R1123" t="s">
        <v>2856</v>
      </c>
      <c r="S1123">
        <v>21000000</v>
      </c>
      <c r="T1123">
        <v>756000000</v>
      </c>
      <c r="U1123">
        <v>694585394.63999999</v>
      </c>
      <c r="Z1123"/>
    </row>
    <row r="1124" spans="1:26" x14ac:dyDescent="0.25">
      <c r="A1124">
        <v>201014</v>
      </c>
      <c r="B1124" t="s">
        <v>2698</v>
      </c>
      <c r="C1124" t="s">
        <v>2707</v>
      </c>
      <c r="D1124" t="s">
        <v>1282</v>
      </c>
      <c r="E1124">
        <v>0</v>
      </c>
      <c r="F1124" s="105">
        <v>5135933.62</v>
      </c>
      <c r="G1124" t="s">
        <v>3074</v>
      </c>
      <c r="H1124">
        <v>198589.43</v>
      </c>
      <c r="I1124">
        <v>5989871.3499999996</v>
      </c>
      <c r="J1124" s="711">
        <v>42853.553240972222</v>
      </c>
      <c r="K1124" s="711">
        <v>43221</v>
      </c>
      <c r="L1124" t="s">
        <v>2708</v>
      </c>
      <c r="M1124" t="s">
        <v>1280</v>
      </c>
      <c r="N1124" t="s">
        <v>1280</v>
      </c>
      <c r="O1124" t="s">
        <v>25</v>
      </c>
      <c r="P1124" t="s">
        <v>26</v>
      </c>
      <c r="Q1124" t="s">
        <v>26</v>
      </c>
      <c r="R1124" t="s">
        <v>2856</v>
      </c>
      <c r="S1124">
        <v>8000000</v>
      </c>
      <c r="T1124">
        <v>384000000</v>
      </c>
      <c r="U1124">
        <v>246524813.75999999</v>
      </c>
      <c r="Z1124"/>
    </row>
    <row r="1125" spans="1:26" x14ac:dyDescent="0.25">
      <c r="A1125">
        <v>201017</v>
      </c>
      <c r="B1125" t="s">
        <v>4634</v>
      </c>
      <c r="C1125" t="s">
        <v>4641</v>
      </c>
      <c r="D1125" t="s">
        <v>1279</v>
      </c>
      <c r="E1125">
        <v>0</v>
      </c>
      <c r="F1125" s="105">
        <v>3245064.29</v>
      </c>
      <c r="G1125" t="s">
        <v>1909</v>
      </c>
      <c r="H1125">
        <v>141160.29999999999</v>
      </c>
      <c r="I1125">
        <v>3854845.19</v>
      </c>
      <c r="J1125" s="711">
        <v>42853.78242693287</v>
      </c>
      <c r="K1125" s="711">
        <v>43221</v>
      </c>
      <c r="L1125" t="s">
        <v>4642</v>
      </c>
      <c r="M1125" t="s">
        <v>1280</v>
      </c>
      <c r="N1125" t="s">
        <v>4643</v>
      </c>
      <c r="O1125" t="s">
        <v>29</v>
      </c>
      <c r="P1125" t="s">
        <v>96</v>
      </c>
      <c r="Q1125" t="s">
        <v>26</v>
      </c>
      <c r="R1125" t="s">
        <v>2636</v>
      </c>
      <c r="S1125">
        <v>5000000</v>
      </c>
      <c r="T1125">
        <v>270000000</v>
      </c>
      <c r="U1125">
        <v>175233471.66</v>
      </c>
      <c r="Z1125"/>
    </row>
    <row r="1126" spans="1:26" x14ac:dyDescent="0.25">
      <c r="A1126">
        <v>201018</v>
      </c>
      <c r="B1126" t="s">
        <v>4633</v>
      </c>
      <c r="C1126" t="s">
        <v>4644</v>
      </c>
      <c r="D1126" t="s">
        <v>1283</v>
      </c>
      <c r="E1126">
        <v>0</v>
      </c>
      <c r="F1126" s="105">
        <v>22138057.399999999</v>
      </c>
      <c r="G1126" t="s">
        <v>1447</v>
      </c>
      <c r="H1126">
        <v>713337.41</v>
      </c>
      <c r="I1126">
        <v>25186498.850000001</v>
      </c>
      <c r="J1126" s="711">
        <v>42853.865207789349</v>
      </c>
      <c r="K1126" s="711">
        <v>43221</v>
      </c>
      <c r="L1126" t="s">
        <v>4645</v>
      </c>
      <c r="M1126" t="s">
        <v>1280</v>
      </c>
      <c r="N1126" t="s">
        <v>4646</v>
      </c>
      <c r="O1126" t="s">
        <v>45</v>
      </c>
      <c r="P1126" t="s">
        <v>45</v>
      </c>
      <c r="Q1126" t="s">
        <v>89</v>
      </c>
      <c r="R1126" t="s">
        <v>2636</v>
      </c>
      <c r="S1126">
        <v>35000000</v>
      </c>
      <c r="T1126">
        <v>1400000000</v>
      </c>
      <c r="U1126">
        <v>885522296</v>
      </c>
      <c r="Z1126"/>
    </row>
    <row r="1127" spans="1:26" x14ac:dyDescent="0.25">
      <c r="A1127">
        <v>201020</v>
      </c>
      <c r="B1127" t="s">
        <v>2617</v>
      </c>
      <c r="C1127" t="s">
        <v>2625</v>
      </c>
      <c r="D1127" t="s">
        <v>1284</v>
      </c>
      <c r="E1127">
        <v>29</v>
      </c>
      <c r="F1127" s="105">
        <v>48316204.530000001</v>
      </c>
      <c r="G1127" t="s">
        <v>546</v>
      </c>
      <c r="H1127">
        <v>2751992.46</v>
      </c>
      <c r="I1127">
        <v>64952157.509999998</v>
      </c>
      <c r="J1127" s="711">
        <v>42857.561418634257</v>
      </c>
      <c r="K1127" s="711">
        <v>43587</v>
      </c>
      <c r="L1127" t="s">
        <v>2626</v>
      </c>
      <c r="M1127" t="s">
        <v>2627</v>
      </c>
      <c r="N1127" t="s">
        <v>1280</v>
      </c>
      <c r="O1127" t="s">
        <v>44</v>
      </c>
      <c r="P1127" t="s">
        <v>75</v>
      </c>
      <c r="Q1127" t="s">
        <v>26</v>
      </c>
      <c r="R1127" t="s">
        <v>2856</v>
      </c>
      <c r="S1127">
        <v>55000000</v>
      </c>
      <c r="T1127">
        <v>1980000000</v>
      </c>
      <c r="U1127">
        <v>1739383363.0799999</v>
      </c>
      <c r="Z1127"/>
    </row>
    <row r="1128" spans="1:26" x14ac:dyDescent="0.25">
      <c r="A1128">
        <v>201021</v>
      </c>
      <c r="B1128" t="s">
        <v>4651</v>
      </c>
      <c r="C1128" t="s">
        <v>4659</v>
      </c>
      <c r="D1128" t="s">
        <v>1282</v>
      </c>
      <c r="E1128">
        <v>0</v>
      </c>
      <c r="F1128" s="105">
        <v>465155.45</v>
      </c>
      <c r="G1128" t="s">
        <v>1925</v>
      </c>
      <c r="H1128">
        <v>20234.259999999998</v>
      </c>
      <c r="I1128">
        <v>486087.45</v>
      </c>
      <c r="J1128" s="711">
        <v>42854.555631446761</v>
      </c>
      <c r="K1128" s="711">
        <v>43040</v>
      </c>
      <c r="L1128" t="s">
        <v>4660</v>
      </c>
      <c r="M1128" t="s">
        <v>1280</v>
      </c>
      <c r="N1128" t="s">
        <v>4661</v>
      </c>
      <c r="O1128" t="s">
        <v>44</v>
      </c>
      <c r="P1128" t="s">
        <v>75</v>
      </c>
      <c r="Q1128" t="s">
        <v>26</v>
      </c>
      <c r="R1128" t="s">
        <v>2636</v>
      </c>
      <c r="S1128">
        <v>2500000</v>
      </c>
      <c r="T1128">
        <v>135000000</v>
      </c>
      <c r="U1128">
        <v>25118394.300000001</v>
      </c>
      <c r="Z1128"/>
    </row>
    <row r="1129" spans="1:26" x14ac:dyDescent="0.25">
      <c r="A1129">
        <v>201023</v>
      </c>
      <c r="B1129" t="s">
        <v>4649</v>
      </c>
      <c r="C1129" t="s">
        <v>4662</v>
      </c>
      <c r="D1129" t="s">
        <v>1281</v>
      </c>
      <c r="E1129">
        <v>0</v>
      </c>
      <c r="F1129" s="105">
        <v>12823435.810000001</v>
      </c>
      <c r="G1129" t="s">
        <v>1447</v>
      </c>
      <c r="H1129">
        <v>495839.52</v>
      </c>
      <c r="I1129">
        <v>14955553.65</v>
      </c>
      <c r="J1129" s="711">
        <v>42854.645710798613</v>
      </c>
      <c r="K1129" s="711">
        <v>43221</v>
      </c>
      <c r="L1129" t="s">
        <v>4663</v>
      </c>
      <c r="M1129" t="s">
        <v>1280</v>
      </c>
      <c r="N1129" t="s">
        <v>1280</v>
      </c>
      <c r="O1129" t="s">
        <v>25</v>
      </c>
      <c r="P1129" t="s">
        <v>26</v>
      </c>
      <c r="Q1129" t="s">
        <v>26</v>
      </c>
      <c r="R1129" t="s">
        <v>2636</v>
      </c>
      <c r="S1129">
        <v>20000000</v>
      </c>
      <c r="T1129">
        <v>960000000</v>
      </c>
      <c r="U1129">
        <v>615524918.88</v>
      </c>
      <c r="Z1129"/>
    </row>
    <row r="1130" spans="1:26" x14ac:dyDescent="0.25">
      <c r="A1130">
        <v>201025</v>
      </c>
      <c r="B1130" t="s">
        <v>4652</v>
      </c>
      <c r="C1130" t="s">
        <v>4664</v>
      </c>
      <c r="D1130" t="s">
        <v>1284</v>
      </c>
      <c r="E1130">
        <v>0</v>
      </c>
      <c r="F1130" s="105">
        <v>10109407.779999999</v>
      </c>
      <c r="G1130" t="s">
        <v>90</v>
      </c>
      <c r="H1130">
        <v>325747.58</v>
      </c>
      <c r="I1130">
        <v>11501487.35</v>
      </c>
      <c r="J1130" s="711">
        <v>42854.749433564815</v>
      </c>
      <c r="K1130" s="711">
        <v>43221</v>
      </c>
      <c r="L1130" t="s">
        <v>4665</v>
      </c>
      <c r="M1130" t="s">
        <v>1280</v>
      </c>
      <c r="N1130" t="s">
        <v>4666</v>
      </c>
      <c r="O1130" t="s">
        <v>44</v>
      </c>
      <c r="P1130" t="s">
        <v>75</v>
      </c>
      <c r="Q1130" t="s">
        <v>26</v>
      </c>
      <c r="R1130" t="s">
        <v>2636</v>
      </c>
      <c r="S1130">
        <v>16000000</v>
      </c>
      <c r="T1130">
        <v>640000000</v>
      </c>
      <c r="U1130">
        <v>404376311.19999999</v>
      </c>
      <c r="Z1130"/>
    </row>
    <row r="1131" spans="1:26" x14ac:dyDescent="0.25">
      <c r="A1131">
        <v>201026</v>
      </c>
      <c r="B1131" t="s">
        <v>4668</v>
      </c>
      <c r="C1131" t="s">
        <v>4671</v>
      </c>
      <c r="D1131" t="s">
        <v>1866</v>
      </c>
      <c r="E1131">
        <v>-1</v>
      </c>
      <c r="F1131" s="105">
        <v>5775959.3399999999</v>
      </c>
      <c r="G1131" t="s">
        <v>1909</v>
      </c>
      <c r="H1131">
        <v>224620.64</v>
      </c>
      <c r="I1131">
        <v>6777862.4500000002</v>
      </c>
      <c r="J1131" s="711">
        <v>42857.715871608794</v>
      </c>
      <c r="K1131" s="711">
        <v>43222</v>
      </c>
      <c r="L1131" t="s">
        <v>4672</v>
      </c>
      <c r="M1131" t="s">
        <v>1280</v>
      </c>
      <c r="N1131" t="s">
        <v>1280</v>
      </c>
      <c r="O1131" t="s">
        <v>25</v>
      </c>
      <c r="P1131" t="s">
        <v>88</v>
      </c>
      <c r="Q1131" t="s">
        <v>285</v>
      </c>
      <c r="R1131" t="s">
        <v>2636</v>
      </c>
      <c r="S1131">
        <v>9000000</v>
      </c>
      <c r="T1131">
        <v>450000000</v>
      </c>
      <c r="U1131">
        <v>288797967</v>
      </c>
      <c r="Z1131"/>
    </row>
    <row r="1132" spans="1:26" x14ac:dyDescent="0.25">
      <c r="A1132">
        <v>201027</v>
      </c>
      <c r="B1132" t="s">
        <v>4673</v>
      </c>
      <c r="C1132" t="s">
        <v>4674</v>
      </c>
      <c r="D1132" t="s">
        <v>1282</v>
      </c>
      <c r="E1132">
        <v>-2</v>
      </c>
      <c r="F1132" s="105">
        <v>2774000.45</v>
      </c>
      <c r="G1132" t="s">
        <v>90</v>
      </c>
      <c r="H1132">
        <v>112347.02</v>
      </c>
      <c r="I1132">
        <v>3159470.56</v>
      </c>
      <c r="J1132" s="711">
        <v>42858.49758815972</v>
      </c>
      <c r="K1132" s="711">
        <v>43162</v>
      </c>
      <c r="L1132" t="s">
        <v>4675</v>
      </c>
      <c r="M1132" t="s">
        <v>1280</v>
      </c>
      <c r="N1132" t="s">
        <v>4676</v>
      </c>
      <c r="O1132" t="s">
        <v>25</v>
      </c>
      <c r="P1132" t="s">
        <v>289</v>
      </c>
      <c r="Q1132" t="s">
        <v>26</v>
      </c>
      <c r="R1132" t="s">
        <v>2636</v>
      </c>
      <c r="S1132">
        <v>5000000</v>
      </c>
      <c r="T1132">
        <v>270000000</v>
      </c>
      <c r="U1132">
        <v>149796024.30000001</v>
      </c>
      <c r="Z1132"/>
    </row>
    <row r="1133" spans="1:26" x14ac:dyDescent="0.25">
      <c r="A1133">
        <v>201029</v>
      </c>
      <c r="B1133" t="s">
        <v>4693</v>
      </c>
      <c r="C1133" t="s">
        <v>4701</v>
      </c>
      <c r="D1133" t="s">
        <v>1282</v>
      </c>
      <c r="E1133">
        <v>-7</v>
      </c>
      <c r="F1133" s="105">
        <v>5169840.42</v>
      </c>
      <c r="G1133" t="s">
        <v>963</v>
      </c>
      <c r="H1133">
        <v>170604.73</v>
      </c>
      <c r="I1133">
        <v>6141306.5700000003</v>
      </c>
      <c r="J1133" s="711">
        <v>42863.664337152775</v>
      </c>
      <c r="K1133" s="711">
        <v>43228</v>
      </c>
      <c r="L1133" t="s">
        <v>4702</v>
      </c>
      <c r="M1133" t="s">
        <v>1280</v>
      </c>
      <c r="N1133" t="s">
        <v>4703</v>
      </c>
      <c r="O1133" t="s">
        <v>25</v>
      </c>
      <c r="P1133" t="s">
        <v>26</v>
      </c>
      <c r="Q1133" t="s">
        <v>26</v>
      </c>
      <c r="R1133" t="s">
        <v>2636</v>
      </c>
      <c r="S1133">
        <v>8000000</v>
      </c>
      <c r="T1133">
        <v>432000000</v>
      </c>
      <c r="U1133">
        <v>279171382.68000001</v>
      </c>
      <c r="Z1133"/>
    </row>
    <row r="1134" spans="1:26" x14ac:dyDescent="0.25">
      <c r="A1134">
        <v>201031</v>
      </c>
      <c r="B1134" t="s">
        <v>4692</v>
      </c>
      <c r="C1134" t="s">
        <v>4704</v>
      </c>
      <c r="D1134" t="s">
        <v>1282</v>
      </c>
      <c r="E1134">
        <v>-7</v>
      </c>
      <c r="F1134" s="105">
        <v>3231150.28</v>
      </c>
      <c r="G1134" t="s">
        <v>2861</v>
      </c>
      <c r="H1134">
        <v>106627.96</v>
      </c>
      <c r="I1134">
        <v>3838316.62</v>
      </c>
      <c r="J1134" s="711">
        <v>42863.68455740741</v>
      </c>
      <c r="K1134" s="711">
        <v>43228</v>
      </c>
      <c r="L1134" t="s">
        <v>4705</v>
      </c>
      <c r="M1134" t="s">
        <v>1280</v>
      </c>
      <c r="N1134" t="s">
        <v>1280</v>
      </c>
      <c r="O1134" t="s">
        <v>25</v>
      </c>
      <c r="P1134" t="s">
        <v>26</v>
      </c>
      <c r="Q1134" t="s">
        <v>26</v>
      </c>
      <c r="R1134" t="s">
        <v>2636</v>
      </c>
      <c r="S1134">
        <v>5000000</v>
      </c>
      <c r="T1134">
        <v>270000000</v>
      </c>
      <c r="U1134">
        <v>174482115.12</v>
      </c>
      <c r="Y1134" s="392"/>
      <c r="Z1134"/>
    </row>
    <row r="1135" spans="1:26" x14ac:dyDescent="0.25">
      <c r="A1135">
        <v>201032</v>
      </c>
      <c r="B1135" t="s">
        <v>4695</v>
      </c>
      <c r="C1135" t="s">
        <v>4706</v>
      </c>
      <c r="D1135" t="s">
        <v>1279</v>
      </c>
      <c r="E1135">
        <v>-7</v>
      </c>
      <c r="F1135" s="105">
        <v>371059.08</v>
      </c>
      <c r="G1135" t="s">
        <v>2538</v>
      </c>
      <c r="H1135">
        <v>12244.95</v>
      </c>
      <c r="I1135">
        <v>387756.74</v>
      </c>
      <c r="J1135" s="711">
        <v>42863.539526967594</v>
      </c>
      <c r="K1135" s="711">
        <v>43047</v>
      </c>
      <c r="L1135" t="s">
        <v>4707</v>
      </c>
      <c r="M1135" t="s">
        <v>1280</v>
      </c>
      <c r="N1135" t="s">
        <v>1280</v>
      </c>
      <c r="O1135" t="s">
        <v>25</v>
      </c>
      <c r="P1135" t="s">
        <v>88</v>
      </c>
      <c r="Q1135" t="s">
        <v>285</v>
      </c>
      <c r="R1135" t="s">
        <v>2636</v>
      </c>
      <c r="S1135">
        <v>2000000</v>
      </c>
      <c r="T1135">
        <v>108000000</v>
      </c>
      <c r="U1135">
        <v>20037190.32</v>
      </c>
      <c r="Y1135" s="392"/>
      <c r="Z1135"/>
    </row>
    <row r="1136" spans="1:26" x14ac:dyDescent="0.25">
      <c r="A1136">
        <v>201033</v>
      </c>
      <c r="B1136" t="s">
        <v>4696</v>
      </c>
      <c r="C1136" t="s">
        <v>4708</v>
      </c>
      <c r="D1136" t="s">
        <v>1279</v>
      </c>
      <c r="E1136">
        <v>-7</v>
      </c>
      <c r="F1136" s="105">
        <v>833539.05</v>
      </c>
      <c r="G1136" t="s">
        <v>1447</v>
      </c>
      <c r="H1136">
        <v>27506.79</v>
      </c>
      <c r="I1136">
        <v>909657.91</v>
      </c>
      <c r="J1136" s="711">
        <v>42863.718327893519</v>
      </c>
      <c r="K1136" s="711">
        <v>43108</v>
      </c>
      <c r="L1136" t="s">
        <v>4709</v>
      </c>
      <c r="M1136" t="s">
        <v>1280</v>
      </c>
      <c r="N1136" t="s">
        <v>4710</v>
      </c>
      <c r="O1136" t="s">
        <v>25</v>
      </c>
      <c r="P1136" t="s">
        <v>88</v>
      </c>
      <c r="Q1136" t="s">
        <v>285</v>
      </c>
      <c r="R1136" t="s">
        <v>2636</v>
      </c>
      <c r="S1136">
        <v>2000000</v>
      </c>
      <c r="T1136">
        <v>108000000</v>
      </c>
      <c r="U1136">
        <v>45011108.700000003</v>
      </c>
      <c r="Y1136" s="392"/>
      <c r="Z1136"/>
    </row>
    <row r="1137" spans="1:26" x14ac:dyDescent="0.25">
      <c r="A1137">
        <v>201034</v>
      </c>
      <c r="B1137" t="s">
        <v>4722</v>
      </c>
      <c r="C1137" t="s">
        <v>4727</v>
      </c>
      <c r="D1137" t="s">
        <v>1282</v>
      </c>
      <c r="E1137">
        <v>22</v>
      </c>
      <c r="F1137" s="105">
        <v>7233456.8399999999</v>
      </c>
      <c r="G1137" t="s">
        <v>1925</v>
      </c>
      <c r="H1137">
        <v>452738.11</v>
      </c>
      <c r="I1137">
        <v>8696965.1500000004</v>
      </c>
      <c r="J1137" s="711">
        <v>42864.526064317128</v>
      </c>
      <c r="K1137" s="711">
        <v>43229</v>
      </c>
      <c r="L1137" t="s">
        <v>4728</v>
      </c>
      <c r="M1137" t="s">
        <v>1280</v>
      </c>
      <c r="N1137" t="s">
        <v>4729</v>
      </c>
      <c r="O1137" t="s">
        <v>44</v>
      </c>
      <c r="P1137" t="s">
        <v>75</v>
      </c>
      <c r="Q1137" t="s">
        <v>26</v>
      </c>
      <c r="R1137" t="s">
        <v>2636</v>
      </c>
      <c r="S1137">
        <v>10000000</v>
      </c>
      <c r="T1137">
        <v>540000000</v>
      </c>
      <c r="U1137">
        <v>390606669.36000001</v>
      </c>
      <c r="Y1137" s="392"/>
      <c r="Z1137"/>
    </row>
    <row r="1138" spans="1:26" x14ac:dyDescent="0.25">
      <c r="A1138">
        <v>201037</v>
      </c>
      <c r="B1138" t="s">
        <v>2446</v>
      </c>
      <c r="C1138" t="s">
        <v>2447</v>
      </c>
      <c r="D1138" t="s">
        <v>1285</v>
      </c>
      <c r="E1138">
        <v>-20</v>
      </c>
      <c r="F1138" s="105">
        <v>30719944.91</v>
      </c>
      <c r="G1138" t="s">
        <v>284</v>
      </c>
      <c r="H1138">
        <v>168959.7</v>
      </c>
      <c r="I1138">
        <v>43966495.780000001</v>
      </c>
      <c r="J1138" s="711">
        <v>42865.489353275465</v>
      </c>
      <c r="K1138" s="711">
        <v>44276</v>
      </c>
      <c r="L1138" t="s">
        <v>2448</v>
      </c>
      <c r="M1138" t="s">
        <v>1280</v>
      </c>
      <c r="N1138" t="s">
        <v>1280</v>
      </c>
      <c r="O1138" t="s">
        <v>43</v>
      </c>
      <c r="P1138" t="s">
        <v>338</v>
      </c>
      <c r="Q1138" t="s">
        <v>26</v>
      </c>
      <c r="R1138" t="s">
        <v>2636</v>
      </c>
      <c r="S1138">
        <v>32914204</v>
      </c>
      <c r="T1138">
        <v>724112488</v>
      </c>
      <c r="U1138">
        <v>675838788.01999998</v>
      </c>
      <c r="Y1138" s="392"/>
      <c r="Z1138"/>
    </row>
    <row r="1139" spans="1:26" x14ac:dyDescent="0.25">
      <c r="A1139">
        <v>201039</v>
      </c>
      <c r="B1139" t="s">
        <v>3311</v>
      </c>
      <c r="C1139" t="s">
        <v>3315</v>
      </c>
      <c r="D1139" t="s">
        <v>1284</v>
      </c>
      <c r="E1139">
        <v>-9</v>
      </c>
      <c r="F1139" s="105">
        <v>7195896.4100000001</v>
      </c>
      <c r="G1139" t="s">
        <v>491</v>
      </c>
      <c r="H1139">
        <v>159908.81</v>
      </c>
      <c r="I1139">
        <v>8579913.7799999993</v>
      </c>
      <c r="J1139" s="711">
        <v>42865.775814699075</v>
      </c>
      <c r="K1139" s="711">
        <v>43322</v>
      </c>
      <c r="L1139" t="s">
        <v>3316</v>
      </c>
      <c r="M1139" t="s">
        <v>1280</v>
      </c>
      <c r="N1139" t="s">
        <v>3317</v>
      </c>
      <c r="O1139" t="s">
        <v>44</v>
      </c>
      <c r="P1139" t="s">
        <v>75</v>
      </c>
      <c r="Q1139" t="s">
        <v>1442</v>
      </c>
      <c r="R1139" t="s">
        <v>2856</v>
      </c>
      <c r="S1139">
        <v>10000000</v>
      </c>
      <c r="T1139">
        <v>400000000</v>
      </c>
      <c r="U1139">
        <v>287835856.39999998</v>
      </c>
      <c r="Y1139" s="392"/>
      <c r="Z1139"/>
    </row>
    <row r="1140" spans="1:26" x14ac:dyDescent="0.25">
      <c r="A1140">
        <v>201040</v>
      </c>
      <c r="B1140" t="s">
        <v>4740</v>
      </c>
      <c r="C1140" t="s">
        <v>4745</v>
      </c>
      <c r="D1140" t="s">
        <v>1281</v>
      </c>
      <c r="E1140">
        <v>-10</v>
      </c>
      <c r="F1140" s="105">
        <v>20508788.5</v>
      </c>
      <c r="G1140" t="s">
        <v>2034</v>
      </c>
      <c r="H1140">
        <v>519555.98</v>
      </c>
      <c r="I1140">
        <v>26699744.940000001</v>
      </c>
      <c r="J1140" s="711">
        <v>42866.435538391204</v>
      </c>
      <c r="K1140" s="711">
        <v>43415</v>
      </c>
      <c r="L1140" t="s">
        <v>4746</v>
      </c>
      <c r="M1140" t="s">
        <v>1280</v>
      </c>
      <c r="N1140" t="s">
        <v>4747</v>
      </c>
      <c r="O1140" t="s">
        <v>25</v>
      </c>
      <c r="P1140" t="s">
        <v>26</v>
      </c>
      <c r="Q1140" t="s">
        <v>26</v>
      </c>
      <c r="R1140" t="s">
        <v>2636</v>
      </c>
      <c r="S1140">
        <v>26000000</v>
      </c>
      <c r="T1140">
        <v>1248000000</v>
      </c>
      <c r="U1140">
        <v>984421848</v>
      </c>
      <c r="Y1140" s="392"/>
      <c r="Z1140"/>
    </row>
    <row r="1141" spans="1:26" x14ac:dyDescent="0.25">
      <c r="A1141">
        <v>201041</v>
      </c>
      <c r="B1141" t="s">
        <v>4739</v>
      </c>
      <c r="C1141" t="s">
        <v>4748</v>
      </c>
      <c r="D1141" t="s">
        <v>1281</v>
      </c>
      <c r="E1141">
        <v>-10</v>
      </c>
      <c r="F1141" s="105">
        <v>12790639.33</v>
      </c>
      <c r="G1141" t="s">
        <v>491</v>
      </c>
      <c r="H1141">
        <v>324029.53000000003</v>
      </c>
      <c r="I1141">
        <v>14917304.189999999</v>
      </c>
      <c r="J1141" s="711">
        <v>42866.727631712965</v>
      </c>
      <c r="K1141" s="711">
        <v>43231</v>
      </c>
      <c r="L1141" t="s">
        <v>4749</v>
      </c>
      <c r="M1141" t="s">
        <v>1280</v>
      </c>
      <c r="N1141" t="s">
        <v>4750</v>
      </c>
      <c r="O1141" t="s">
        <v>25</v>
      </c>
      <c r="P1141" t="s">
        <v>26</v>
      </c>
      <c r="Q1141" t="s">
        <v>26</v>
      </c>
      <c r="R1141" t="s">
        <v>2636</v>
      </c>
      <c r="S1141">
        <v>20000000</v>
      </c>
      <c r="T1141">
        <v>960000000</v>
      </c>
      <c r="U1141">
        <v>613950687.84000003</v>
      </c>
      <c r="Y1141" s="392"/>
      <c r="Z1141"/>
    </row>
    <row r="1142" spans="1:26" x14ac:dyDescent="0.25">
      <c r="A1142">
        <v>201044</v>
      </c>
      <c r="B1142" t="s">
        <v>3464</v>
      </c>
      <c r="C1142" t="s">
        <v>3485</v>
      </c>
      <c r="D1142" t="s">
        <v>1279</v>
      </c>
      <c r="E1142">
        <v>-11</v>
      </c>
      <c r="F1142" s="105">
        <v>3197659.85</v>
      </c>
      <c r="G1142" t="s">
        <v>2538</v>
      </c>
      <c r="H1142">
        <v>76743.839999999997</v>
      </c>
      <c r="I1142">
        <v>3729326.0800000001</v>
      </c>
      <c r="J1142" s="711">
        <v>42867.742464583331</v>
      </c>
      <c r="K1142" s="711">
        <v>43232</v>
      </c>
      <c r="L1142" t="s">
        <v>3486</v>
      </c>
      <c r="M1142" t="s">
        <v>1280</v>
      </c>
      <c r="N1142" t="s">
        <v>1280</v>
      </c>
      <c r="O1142" t="s">
        <v>25</v>
      </c>
      <c r="P1142" t="s">
        <v>26</v>
      </c>
      <c r="Q1142" t="s">
        <v>26</v>
      </c>
      <c r="R1142" t="s">
        <v>2856</v>
      </c>
      <c r="S1142">
        <v>5000000</v>
      </c>
      <c r="T1142">
        <v>240000000</v>
      </c>
      <c r="U1142">
        <v>153487672.80000001</v>
      </c>
      <c r="Y1142" s="392"/>
      <c r="Z1142"/>
    </row>
    <row r="1143" spans="1:26" x14ac:dyDescent="0.25">
      <c r="A1143">
        <v>201045</v>
      </c>
      <c r="B1143" t="s">
        <v>4755</v>
      </c>
      <c r="C1143" t="s">
        <v>4759</v>
      </c>
      <c r="D1143" t="s">
        <v>1279</v>
      </c>
      <c r="E1143">
        <v>-12</v>
      </c>
      <c r="F1143" s="105">
        <v>1664400.24</v>
      </c>
      <c r="G1143" t="s">
        <v>963</v>
      </c>
      <c r="H1143">
        <v>42442.21</v>
      </c>
      <c r="I1143">
        <v>1895682.3</v>
      </c>
      <c r="J1143" s="711">
        <v>42868.488424918978</v>
      </c>
      <c r="K1143" s="711">
        <v>43172</v>
      </c>
      <c r="L1143" t="s">
        <v>4760</v>
      </c>
      <c r="M1143" t="s">
        <v>1280</v>
      </c>
      <c r="N1143" t="s">
        <v>1280</v>
      </c>
      <c r="O1143" t="s">
        <v>25</v>
      </c>
      <c r="P1143" t="s">
        <v>26</v>
      </c>
      <c r="Q1143" t="s">
        <v>26</v>
      </c>
      <c r="R1143" t="s">
        <v>2636</v>
      </c>
      <c r="S1143">
        <v>3000000</v>
      </c>
      <c r="T1143">
        <v>162000000</v>
      </c>
      <c r="U1143">
        <v>89877612.959999993</v>
      </c>
      <c r="Y1143" s="392"/>
      <c r="Z1143"/>
    </row>
    <row r="1144" spans="1:26" x14ac:dyDescent="0.25">
      <c r="A1144">
        <v>201046</v>
      </c>
      <c r="B1144" t="s">
        <v>4762</v>
      </c>
      <c r="C1144" t="s">
        <v>4765</v>
      </c>
      <c r="D1144" t="s">
        <v>1282</v>
      </c>
      <c r="E1144">
        <v>-14</v>
      </c>
      <c r="F1144" s="105">
        <v>3877380.33</v>
      </c>
      <c r="G1144" t="s">
        <v>2861</v>
      </c>
      <c r="H1144">
        <v>87241.06</v>
      </c>
      <c r="I1144">
        <v>4605979.9400000004</v>
      </c>
      <c r="J1144" s="711">
        <v>42870.560390196762</v>
      </c>
      <c r="K1144" s="711">
        <v>43235</v>
      </c>
      <c r="L1144" t="s">
        <v>4766</v>
      </c>
      <c r="M1144" t="s">
        <v>1280</v>
      </c>
      <c r="N1144" t="s">
        <v>4767</v>
      </c>
      <c r="O1144" t="s">
        <v>25</v>
      </c>
      <c r="P1144" t="s">
        <v>26</v>
      </c>
      <c r="Q1144" t="s">
        <v>26</v>
      </c>
      <c r="R1144" t="s">
        <v>2636</v>
      </c>
      <c r="S1144">
        <v>6000000</v>
      </c>
      <c r="T1144">
        <v>324000000</v>
      </c>
      <c r="U1144">
        <v>209378537.81999999</v>
      </c>
      <c r="Y1144" s="392"/>
      <c r="Z1144"/>
    </row>
    <row r="1145" spans="1:26" x14ac:dyDescent="0.25">
      <c r="A1145">
        <v>201047</v>
      </c>
      <c r="B1145" t="s">
        <v>4768</v>
      </c>
      <c r="C1145" t="s">
        <v>4770</v>
      </c>
      <c r="D1145" t="s">
        <v>1866</v>
      </c>
      <c r="E1145">
        <v>-15</v>
      </c>
      <c r="F1145" s="105">
        <v>3305106.46</v>
      </c>
      <c r="G1145" t="s">
        <v>4683</v>
      </c>
      <c r="H1145">
        <v>64265.96</v>
      </c>
      <c r="I1145">
        <v>3729480.08</v>
      </c>
      <c r="J1145" s="711">
        <v>42871.481338460646</v>
      </c>
      <c r="K1145" s="711">
        <v>43175</v>
      </c>
      <c r="L1145" t="s">
        <v>4771</v>
      </c>
      <c r="M1145" t="s">
        <v>1280</v>
      </c>
      <c r="N1145" t="s">
        <v>4772</v>
      </c>
      <c r="O1145" t="s">
        <v>25</v>
      </c>
      <c r="P1145" t="s">
        <v>26</v>
      </c>
      <c r="Q1145" t="s">
        <v>26</v>
      </c>
      <c r="R1145" t="s">
        <v>2636</v>
      </c>
      <c r="S1145">
        <v>6000000</v>
      </c>
      <c r="T1145">
        <v>300000000</v>
      </c>
      <c r="U1145">
        <v>165255323</v>
      </c>
      <c r="Y1145" s="392"/>
      <c r="Z1145"/>
    </row>
    <row r="1146" spans="1:26" x14ac:dyDescent="0.25">
      <c r="A1146">
        <v>201049</v>
      </c>
      <c r="B1146" t="s">
        <v>2386</v>
      </c>
      <c r="C1146" t="s">
        <v>2410</v>
      </c>
      <c r="D1146" t="s">
        <v>1281</v>
      </c>
      <c r="E1146">
        <v>-16</v>
      </c>
      <c r="F1146" s="105">
        <v>15818928.98</v>
      </c>
      <c r="G1146" t="s">
        <v>1448</v>
      </c>
      <c r="H1146">
        <v>239920.42</v>
      </c>
      <c r="I1146">
        <v>18109691.120000001</v>
      </c>
      <c r="J1146" s="711">
        <v>42872.40982734954</v>
      </c>
      <c r="K1146" s="711">
        <v>43237</v>
      </c>
      <c r="L1146" t="s">
        <v>2411</v>
      </c>
      <c r="M1146" t="s">
        <v>2412</v>
      </c>
      <c r="N1146" t="s">
        <v>1280</v>
      </c>
      <c r="O1146" t="s">
        <v>27</v>
      </c>
      <c r="P1146" t="s">
        <v>26</v>
      </c>
      <c r="Q1146" t="s">
        <v>26</v>
      </c>
      <c r="R1146" t="s">
        <v>2856</v>
      </c>
      <c r="S1146">
        <v>25000000</v>
      </c>
      <c r="T1146">
        <v>1050000000</v>
      </c>
      <c r="U1146">
        <v>664395017.15999997</v>
      </c>
      <c r="Y1146" s="392"/>
      <c r="Z1146"/>
    </row>
    <row r="1147" spans="1:26" x14ac:dyDescent="0.25">
      <c r="A1147">
        <v>201052</v>
      </c>
      <c r="B1147" t="s">
        <v>4775</v>
      </c>
      <c r="C1147" t="s">
        <v>4789</v>
      </c>
      <c r="D1147" t="s">
        <v>1282</v>
      </c>
      <c r="E1147">
        <v>14</v>
      </c>
      <c r="F1147" s="105">
        <v>2175614.12</v>
      </c>
      <c r="G1147" t="s">
        <v>1909</v>
      </c>
      <c r="H1147">
        <v>130410.66</v>
      </c>
      <c r="I1147">
        <v>2425754.4700000002</v>
      </c>
      <c r="J1147" s="711">
        <v>42872.71493371528</v>
      </c>
      <c r="K1147" s="711">
        <v>43117</v>
      </c>
      <c r="L1147" t="s">
        <v>4790</v>
      </c>
      <c r="M1147" t="s">
        <v>1280</v>
      </c>
      <c r="N1147" t="s">
        <v>4791</v>
      </c>
      <c r="O1147" t="s">
        <v>35</v>
      </c>
      <c r="P1147" t="s">
        <v>26</v>
      </c>
      <c r="Q1147" t="s">
        <v>26</v>
      </c>
      <c r="R1147" t="s">
        <v>2636</v>
      </c>
      <c r="S1147">
        <v>4000000</v>
      </c>
      <c r="T1147">
        <v>216000000</v>
      </c>
      <c r="U1147">
        <v>117483162.48</v>
      </c>
      <c r="Y1147" s="392"/>
      <c r="Z1147"/>
    </row>
    <row r="1148" spans="1:26" x14ac:dyDescent="0.25">
      <c r="A1148">
        <v>201053</v>
      </c>
      <c r="B1148" t="s">
        <v>4779</v>
      </c>
      <c r="C1148" t="s">
        <v>4792</v>
      </c>
      <c r="D1148" t="s">
        <v>1279</v>
      </c>
      <c r="E1148">
        <v>-16</v>
      </c>
      <c r="F1148" s="105">
        <v>1667078.15</v>
      </c>
      <c r="G1148" t="s">
        <v>1909</v>
      </c>
      <c r="H1148">
        <v>32508.02</v>
      </c>
      <c r="I1148">
        <v>1819315.86</v>
      </c>
      <c r="J1148" s="711">
        <v>42872.72517017361</v>
      </c>
      <c r="K1148" s="711">
        <v>43117</v>
      </c>
      <c r="L1148" t="s">
        <v>4793</v>
      </c>
      <c r="M1148" t="s">
        <v>1280</v>
      </c>
      <c r="N1148" t="s">
        <v>4794</v>
      </c>
      <c r="O1148" t="s">
        <v>44</v>
      </c>
      <c r="P1148" t="s">
        <v>26</v>
      </c>
      <c r="Q1148" t="s">
        <v>26</v>
      </c>
      <c r="R1148" t="s">
        <v>2636</v>
      </c>
      <c r="S1148">
        <v>4000000</v>
      </c>
      <c r="T1148">
        <v>216000000</v>
      </c>
      <c r="U1148">
        <v>90022220.099999994</v>
      </c>
      <c r="Y1148" s="392"/>
      <c r="Z1148"/>
    </row>
    <row r="1149" spans="1:26" x14ac:dyDescent="0.25">
      <c r="A1149">
        <v>201055</v>
      </c>
      <c r="B1149" t="s">
        <v>4182</v>
      </c>
      <c r="C1149" t="s">
        <v>4187</v>
      </c>
      <c r="D1149" t="s">
        <v>1282</v>
      </c>
      <c r="E1149">
        <v>-17</v>
      </c>
      <c r="F1149" s="105">
        <v>3837191.78</v>
      </c>
      <c r="G1149" t="s">
        <v>1448</v>
      </c>
      <c r="H1149">
        <v>61395.07</v>
      </c>
      <c r="I1149">
        <v>4475191.22</v>
      </c>
      <c r="J1149" s="711">
        <v>42873.560921909724</v>
      </c>
      <c r="K1149" s="711">
        <v>43238</v>
      </c>
      <c r="L1149" t="s">
        <v>4188</v>
      </c>
      <c r="M1149" t="s">
        <v>1280</v>
      </c>
      <c r="N1149" t="s">
        <v>1280</v>
      </c>
      <c r="O1149" t="s">
        <v>25</v>
      </c>
      <c r="P1149" t="s">
        <v>26</v>
      </c>
      <c r="Q1149" t="s">
        <v>26</v>
      </c>
      <c r="R1149" t="s">
        <v>2856</v>
      </c>
      <c r="S1149">
        <v>6000000</v>
      </c>
      <c r="T1149">
        <v>288000000</v>
      </c>
      <c r="U1149">
        <v>184185205.44</v>
      </c>
      <c r="Y1149" s="392"/>
      <c r="Z1149"/>
    </row>
    <row r="1150" spans="1:26" x14ac:dyDescent="0.25">
      <c r="A1150">
        <v>201056</v>
      </c>
      <c r="B1150" t="s">
        <v>4800</v>
      </c>
      <c r="C1150" t="s">
        <v>4805</v>
      </c>
      <c r="D1150" t="s">
        <v>1282</v>
      </c>
      <c r="E1150">
        <v>-17</v>
      </c>
      <c r="F1150" s="105">
        <v>1664400.24</v>
      </c>
      <c r="G1150" t="s">
        <v>2538</v>
      </c>
      <c r="H1150">
        <v>29959.200000000001</v>
      </c>
      <c r="I1150">
        <v>1895682.3</v>
      </c>
      <c r="J1150" s="711">
        <v>42873.614163310187</v>
      </c>
      <c r="K1150" s="711">
        <v>43177</v>
      </c>
      <c r="L1150" t="s">
        <v>4806</v>
      </c>
      <c r="M1150" t="s">
        <v>1280</v>
      </c>
      <c r="N1150" t="s">
        <v>4807</v>
      </c>
      <c r="O1150" t="s">
        <v>44</v>
      </c>
      <c r="P1150" t="s">
        <v>26</v>
      </c>
      <c r="Q1150" t="s">
        <v>26</v>
      </c>
      <c r="R1150" t="s">
        <v>2636</v>
      </c>
      <c r="S1150">
        <v>3000000</v>
      </c>
      <c r="T1150">
        <v>162000000</v>
      </c>
      <c r="U1150">
        <v>89877612.959999993</v>
      </c>
      <c r="Y1150" s="392"/>
      <c r="Z1150"/>
    </row>
    <row r="1151" spans="1:26" x14ac:dyDescent="0.25">
      <c r="A1151">
        <v>201058</v>
      </c>
      <c r="B1151" t="s">
        <v>2101</v>
      </c>
      <c r="C1151" t="s">
        <v>2122</v>
      </c>
      <c r="D1151" t="s">
        <v>1283</v>
      </c>
      <c r="E1151">
        <v>-19</v>
      </c>
      <c r="F1151" s="105">
        <v>19440799.75</v>
      </c>
      <c r="G1151" t="s">
        <v>1447</v>
      </c>
      <c r="H1151">
        <v>194408</v>
      </c>
      <c r="I1151">
        <v>21842603.18</v>
      </c>
      <c r="J1151" s="711">
        <v>42873.480068206016</v>
      </c>
      <c r="K1151" s="711">
        <v>43240</v>
      </c>
      <c r="L1151" t="s">
        <v>2123</v>
      </c>
      <c r="M1151" t="s">
        <v>1280</v>
      </c>
      <c r="N1151" t="s">
        <v>1280</v>
      </c>
      <c r="O1151" t="s">
        <v>25</v>
      </c>
      <c r="P1151" t="s">
        <v>26</v>
      </c>
      <c r="Q1151" t="s">
        <v>26</v>
      </c>
      <c r="R1151" t="s">
        <v>2856</v>
      </c>
      <c r="S1151">
        <v>31000000</v>
      </c>
      <c r="T1151">
        <v>1116000000</v>
      </c>
      <c r="U1151">
        <v>699868791</v>
      </c>
      <c r="Y1151" s="392"/>
      <c r="Z1151"/>
    </row>
    <row r="1152" spans="1:26" x14ac:dyDescent="0.25">
      <c r="A1152">
        <v>201060</v>
      </c>
      <c r="B1152" t="s">
        <v>4797</v>
      </c>
      <c r="C1152" t="s">
        <v>4810</v>
      </c>
      <c r="D1152" t="s">
        <v>1282</v>
      </c>
      <c r="E1152">
        <v>-17</v>
      </c>
      <c r="F1152" s="105">
        <v>1041923.85</v>
      </c>
      <c r="G1152" t="s">
        <v>2855</v>
      </c>
      <c r="H1152">
        <v>18754.63</v>
      </c>
      <c r="I1152">
        <v>1137072.4099999999</v>
      </c>
      <c r="J1152" s="711">
        <v>42873.592386226854</v>
      </c>
      <c r="K1152" s="711">
        <v>43118</v>
      </c>
      <c r="L1152" t="s">
        <v>4811</v>
      </c>
      <c r="M1152" t="s">
        <v>1280</v>
      </c>
      <c r="N1152" t="s">
        <v>1280</v>
      </c>
      <c r="O1152" t="s">
        <v>25</v>
      </c>
      <c r="P1152" t="s">
        <v>26</v>
      </c>
      <c r="Q1152" t="s">
        <v>26</v>
      </c>
      <c r="R1152" t="s">
        <v>2636</v>
      </c>
      <c r="S1152">
        <v>2500000</v>
      </c>
      <c r="T1152">
        <v>135000000</v>
      </c>
      <c r="U1152">
        <v>56263887.899999999</v>
      </c>
      <c r="Y1152" s="392"/>
      <c r="Z1152"/>
    </row>
    <row r="1153" spans="1:26" x14ac:dyDescent="0.25">
      <c r="A1153">
        <v>201062</v>
      </c>
      <c r="B1153" t="s">
        <v>3138</v>
      </c>
      <c r="C1153" t="s">
        <v>3139</v>
      </c>
      <c r="D1153" t="s">
        <v>1279</v>
      </c>
      <c r="E1153">
        <v>-18</v>
      </c>
      <c r="F1153" s="105">
        <v>1918595.89</v>
      </c>
      <c r="G1153" t="s">
        <v>2034</v>
      </c>
      <c r="H1153">
        <v>114226.04</v>
      </c>
      <c r="I1153">
        <v>2237595.63</v>
      </c>
      <c r="J1153" s="711">
        <v>42874.581016550925</v>
      </c>
      <c r="K1153" s="711">
        <v>43239</v>
      </c>
      <c r="L1153" t="s">
        <v>3140</v>
      </c>
      <c r="M1153" t="s">
        <v>1280</v>
      </c>
      <c r="N1153" t="s">
        <v>1280</v>
      </c>
      <c r="O1153" t="s">
        <v>44</v>
      </c>
      <c r="P1153" t="s">
        <v>75</v>
      </c>
      <c r="Q1153" t="s">
        <v>26</v>
      </c>
      <c r="R1153" t="s">
        <v>2856</v>
      </c>
      <c r="S1153">
        <v>3000000</v>
      </c>
      <c r="T1153">
        <v>144000000</v>
      </c>
      <c r="U1153">
        <v>92092602.719999999</v>
      </c>
      <c r="Y1153" s="392"/>
      <c r="Z1153"/>
    </row>
    <row r="1154" spans="1:26" x14ac:dyDescent="0.25">
      <c r="A1154">
        <v>201063</v>
      </c>
      <c r="B1154" t="s">
        <v>4567</v>
      </c>
      <c r="C1154" t="s">
        <v>1192</v>
      </c>
      <c r="D1154" t="s">
        <v>1285</v>
      </c>
      <c r="E1154">
        <v>-20</v>
      </c>
      <c r="F1154" s="105">
        <v>6772120.1699999999</v>
      </c>
      <c r="G1154" t="s">
        <v>284</v>
      </c>
      <c r="H1154">
        <v>37246.660000000003</v>
      </c>
      <c r="I1154">
        <v>8503029.9299999997</v>
      </c>
      <c r="J1154" s="711">
        <v>42873.677149386574</v>
      </c>
      <c r="K1154" s="711">
        <v>43790</v>
      </c>
      <c r="L1154" t="s">
        <v>4573</v>
      </c>
      <c r="M1154" t="s">
        <v>1280</v>
      </c>
      <c r="N1154" t="s">
        <v>1280</v>
      </c>
      <c r="O1154" t="s">
        <v>43</v>
      </c>
      <c r="P1154" t="s">
        <v>338</v>
      </c>
      <c r="Q1154" t="s">
        <v>339</v>
      </c>
      <c r="R1154" t="s">
        <v>2636</v>
      </c>
      <c r="S1154">
        <v>7781000</v>
      </c>
      <c r="T1154">
        <v>171182000</v>
      </c>
      <c r="U1154">
        <v>148986643.74000001</v>
      </c>
      <c r="Y1154" s="392"/>
      <c r="Z1154"/>
    </row>
    <row r="1155" spans="1:26" x14ac:dyDescent="0.25">
      <c r="A1155">
        <v>201064</v>
      </c>
      <c r="B1155" t="s">
        <v>4813</v>
      </c>
      <c r="C1155" t="s">
        <v>4818</v>
      </c>
      <c r="D1155" t="s">
        <v>1282</v>
      </c>
      <c r="E1155">
        <v>-18</v>
      </c>
      <c r="F1155" s="105">
        <v>4167695.35</v>
      </c>
      <c r="G1155" t="s">
        <v>1925</v>
      </c>
      <c r="H1155">
        <v>68766.97</v>
      </c>
      <c r="I1155">
        <v>4548289.62</v>
      </c>
      <c r="J1155" s="711">
        <v>42874.512373877318</v>
      </c>
      <c r="K1155" s="711">
        <v>43119</v>
      </c>
      <c r="L1155" t="s">
        <v>4819</v>
      </c>
      <c r="M1155" t="s">
        <v>1280</v>
      </c>
      <c r="N1155" t="s">
        <v>4820</v>
      </c>
      <c r="O1155" t="s">
        <v>25</v>
      </c>
      <c r="P1155" t="s">
        <v>88</v>
      </c>
      <c r="Q1155" t="s">
        <v>285</v>
      </c>
      <c r="R1155" t="s">
        <v>2636</v>
      </c>
      <c r="S1155">
        <v>10000000</v>
      </c>
      <c r="T1155">
        <v>540000000</v>
      </c>
      <c r="U1155">
        <v>225055548.90000001</v>
      </c>
      <c r="Y1155" s="392"/>
      <c r="Z1155"/>
    </row>
    <row r="1156" spans="1:26" x14ac:dyDescent="0.25">
      <c r="A1156">
        <v>201065</v>
      </c>
      <c r="B1156" t="s">
        <v>1992</v>
      </c>
      <c r="C1156" t="s">
        <v>1993</v>
      </c>
      <c r="D1156" t="s">
        <v>1285</v>
      </c>
      <c r="E1156">
        <v>-20</v>
      </c>
      <c r="F1156" s="105">
        <v>36560150.299999997</v>
      </c>
      <c r="G1156" t="s">
        <v>284</v>
      </c>
      <c r="H1156">
        <v>201080.83</v>
      </c>
      <c r="I1156">
        <v>58346401.189999998</v>
      </c>
      <c r="J1156" s="711">
        <v>42874.697980671299</v>
      </c>
      <c r="K1156" s="711">
        <v>44702</v>
      </c>
      <c r="L1156" t="s">
        <v>1994</v>
      </c>
      <c r="M1156" t="s">
        <v>1280</v>
      </c>
      <c r="N1156" t="s">
        <v>1280</v>
      </c>
      <c r="O1156" t="s">
        <v>43</v>
      </c>
      <c r="P1156" t="s">
        <v>338</v>
      </c>
      <c r="Q1156" t="s">
        <v>339</v>
      </c>
      <c r="R1156" t="s">
        <v>2636</v>
      </c>
      <c r="S1156">
        <v>38364000</v>
      </c>
      <c r="T1156">
        <v>844008000</v>
      </c>
      <c r="U1156">
        <v>804323306.60000002</v>
      </c>
      <c r="Y1156" s="392"/>
      <c r="Z1156"/>
    </row>
    <row r="1157" spans="1:26" x14ac:dyDescent="0.25">
      <c r="A1157">
        <v>201066</v>
      </c>
      <c r="B1157" t="s">
        <v>4812</v>
      </c>
      <c r="C1157" t="s">
        <v>4821</v>
      </c>
      <c r="D1157" t="s">
        <v>1282</v>
      </c>
      <c r="E1157">
        <v>-18</v>
      </c>
      <c r="F1157" s="105">
        <v>1250308.6100000001</v>
      </c>
      <c r="G1157" t="s">
        <v>1909</v>
      </c>
      <c r="H1157">
        <v>20630.09</v>
      </c>
      <c r="I1157">
        <v>1364486.9</v>
      </c>
      <c r="J1157" s="711">
        <v>42874.708207175929</v>
      </c>
      <c r="K1157" s="711">
        <v>43119</v>
      </c>
      <c r="L1157" t="s">
        <v>4822</v>
      </c>
      <c r="M1157" t="s">
        <v>1280</v>
      </c>
      <c r="N1157" t="s">
        <v>4823</v>
      </c>
      <c r="O1157" t="s">
        <v>25</v>
      </c>
      <c r="P1157" t="s">
        <v>88</v>
      </c>
      <c r="Q1157" t="s">
        <v>285</v>
      </c>
      <c r="R1157" t="s">
        <v>2636</v>
      </c>
      <c r="S1157">
        <v>3000000</v>
      </c>
      <c r="T1157">
        <v>162000000</v>
      </c>
      <c r="U1157">
        <v>67516664.939999998</v>
      </c>
      <c r="Y1157" s="392"/>
      <c r="Z1157"/>
    </row>
    <row r="1158" spans="1:26" x14ac:dyDescent="0.25">
      <c r="A1158">
        <v>201067</v>
      </c>
      <c r="B1158" t="s">
        <v>2293</v>
      </c>
      <c r="C1158" t="s">
        <v>2300</v>
      </c>
      <c r="D1158" t="s">
        <v>1281</v>
      </c>
      <c r="E1158">
        <v>-19</v>
      </c>
      <c r="F1158" s="105">
        <v>12655143.16</v>
      </c>
      <c r="G1158" t="s">
        <v>1909</v>
      </c>
      <c r="H1158">
        <v>147643.34</v>
      </c>
      <c r="I1158">
        <v>14487752.859999999</v>
      </c>
      <c r="J1158" s="711">
        <v>42875.612127777778</v>
      </c>
      <c r="K1158" s="711">
        <v>43240</v>
      </c>
      <c r="L1158" t="s">
        <v>2301</v>
      </c>
      <c r="M1158" t="s">
        <v>1280</v>
      </c>
      <c r="N1158" t="s">
        <v>1280</v>
      </c>
      <c r="O1158" t="s">
        <v>27</v>
      </c>
      <c r="P1158" t="s">
        <v>116</v>
      </c>
      <c r="Q1158" t="s">
        <v>26</v>
      </c>
      <c r="R1158" t="s">
        <v>2856</v>
      </c>
      <c r="S1158">
        <v>20000000</v>
      </c>
      <c r="T1158">
        <v>840000000</v>
      </c>
      <c r="U1158">
        <v>531516012.72000003</v>
      </c>
      <c r="Y1158" s="392"/>
      <c r="Z1158"/>
    </row>
    <row r="1159" spans="1:26" x14ac:dyDescent="0.25">
      <c r="A1159">
        <v>201069</v>
      </c>
      <c r="B1159" t="s">
        <v>3400</v>
      </c>
      <c r="C1159" t="s">
        <v>3414</v>
      </c>
      <c r="D1159" t="s">
        <v>1282</v>
      </c>
      <c r="E1159">
        <v>-23</v>
      </c>
      <c r="F1159" s="105">
        <v>3837191.78</v>
      </c>
      <c r="G1159" t="s">
        <v>1447</v>
      </c>
      <c r="H1159">
        <v>30697.53</v>
      </c>
      <c r="I1159">
        <v>4475191.22</v>
      </c>
      <c r="J1159" s="711">
        <v>42879.473704016207</v>
      </c>
      <c r="K1159" s="711">
        <v>43244</v>
      </c>
      <c r="L1159" t="s">
        <v>3415</v>
      </c>
      <c r="M1159" t="s">
        <v>1280</v>
      </c>
      <c r="N1159" t="s">
        <v>3416</v>
      </c>
      <c r="O1159" t="s">
        <v>25</v>
      </c>
      <c r="P1159" t="s">
        <v>26</v>
      </c>
      <c r="Q1159" t="s">
        <v>26</v>
      </c>
      <c r="R1159" t="s">
        <v>2856</v>
      </c>
      <c r="S1159">
        <v>6000000</v>
      </c>
      <c r="T1159">
        <v>288000000</v>
      </c>
      <c r="U1159">
        <v>184185205.44</v>
      </c>
      <c r="Y1159" s="392"/>
      <c r="Z1159"/>
    </row>
    <row r="1160" spans="1:26" x14ac:dyDescent="0.25">
      <c r="A1160">
        <v>201070</v>
      </c>
      <c r="B1160" t="s">
        <v>3370</v>
      </c>
      <c r="C1160" t="s">
        <v>3381</v>
      </c>
      <c r="D1160" t="s">
        <v>1279</v>
      </c>
      <c r="E1160">
        <v>-21</v>
      </c>
      <c r="F1160" s="105">
        <v>3197659.85</v>
      </c>
      <c r="G1160" t="s">
        <v>2855</v>
      </c>
      <c r="H1160">
        <v>34108.370000000003</v>
      </c>
      <c r="I1160">
        <v>3729326.0800000001</v>
      </c>
      <c r="J1160" s="711">
        <v>42877.671345798612</v>
      </c>
      <c r="K1160" s="711">
        <v>43242</v>
      </c>
      <c r="L1160" t="s">
        <v>3382</v>
      </c>
      <c r="M1160" t="s">
        <v>1280</v>
      </c>
      <c r="N1160" t="s">
        <v>1280</v>
      </c>
      <c r="O1160" t="s">
        <v>44</v>
      </c>
      <c r="P1160" t="s">
        <v>75</v>
      </c>
      <c r="Q1160" t="s">
        <v>26</v>
      </c>
      <c r="R1160" t="s">
        <v>2856</v>
      </c>
      <c r="S1160">
        <v>5000000</v>
      </c>
      <c r="T1160">
        <v>240000000</v>
      </c>
      <c r="U1160">
        <v>153487672.80000001</v>
      </c>
      <c r="Y1160" s="392"/>
      <c r="Z1160"/>
    </row>
    <row r="1161" spans="1:26" x14ac:dyDescent="0.25">
      <c r="A1161">
        <v>201071</v>
      </c>
      <c r="B1161" t="s">
        <v>3371</v>
      </c>
      <c r="C1161" t="s">
        <v>3377</v>
      </c>
      <c r="D1161" t="s">
        <v>1866</v>
      </c>
      <c r="E1161">
        <v>-21</v>
      </c>
      <c r="F1161" s="105">
        <v>3492631.21</v>
      </c>
      <c r="G1161" t="s">
        <v>2538</v>
      </c>
      <c r="H1161">
        <v>34150.17</v>
      </c>
      <c r="I1161">
        <v>4023310.32</v>
      </c>
      <c r="J1161" s="711">
        <v>42877.671679942127</v>
      </c>
      <c r="K1161" s="711">
        <v>43242</v>
      </c>
      <c r="L1161" t="s">
        <v>3378</v>
      </c>
      <c r="M1161" t="s">
        <v>1280</v>
      </c>
      <c r="N1161" t="s">
        <v>1280</v>
      </c>
      <c r="O1161" t="s">
        <v>25</v>
      </c>
      <c r="P1161" t="s">
        <v>26</v>
      </c>
      <c r="Q1161" t="s">
        <v>26</v>
      </c>
      <c r="R1161" t="s">
        <v>2856</v>
      </c>
      <c r="S1161">
        <v>5500000</v>
      </c>
      <c r="T1161">
        <v>242000000</v>
      </c>
      <c r="U1161">
        <v>153675773.24000001</v>
      </c>
      <c r="Y1161" s="392"/>
      <c r="Z1161"/>
    </row>
    <row r="1162" spans="1:26" x14ac:dyDescent="0.25">
      <c r="A1162">
        <v>201072</v>
      </c>
      <c r="B1162" t="s">
        <v>2771</v>
      </c>
      <c r="C1162" t="s">
        <v>2777</v>
      </c>
      <c r="D1162" t="s">
        <v>1282</v>
      </c>
      <c r="E1162">
        <v>-21</v>
      </c>
      <c r="F1162" s="105">
        <v>3197659.85</v>
      </c>
      <c r="G1162" t="s">
        <v>3074</v>
      </c>
      <c r="H1162">
        <v>34108.370000000003</v>
      </c>
      <c r="I1162">
        <v>3729326.0800000001</v>
      </c>
      <c r="J1162" s="711">
        <v>42877.726153043979</v>
      </c>
      <c r="K1162" s="711">
        <v>43242</v>
      </c>
      <c r="L1162" t="s">
        <v>2778</v>
      </c>
      <c r="M1162" t="s">
        <v>1280</v>
      </c>
      <c r="N1162" t="s">
        <v>1280</v>
      </c>
      <c r="O1162" t="s">
        <v>25</v>
      </c>
      <c r="P1162" t="s">
        <v>88</v>
      </c>
      <c r="Q1162" t="s">
        <v>285</v>
      </c>
      <c r="R1162" t="s">
        <v>2856</v>
      </c>
      <c r="S1162">
        <v>5000000</v>
      </c>
      <c r="T1162">
        <v>240000000</v>
      </c>
      <c r="U1162">
        <v>153487672.80000001</v>
      </c>
      <c r="Y1162" s="392"/>
      <c r="Z1162"/>
    </row>
    <row r="1163" spans="1:26" x14ac:dyDescent="0.25">
      <c r="A1163">
        <v>201073</v>
      </c>
      <c r="B1163" t="s">
        <v>4826</v>
      </c>
      <c r="C1163" t="s">
        <v>4827</v>
      </c>
      <c r="D1163" t="s">
        <v>1282</v>
      </c>
      <c r="E1163">
        <v>-21</v>
      </c>
      <c r="F1163" s="105">
        <v>3231150.28</v>
      </c>
      <c r="G1163" t="s">
        <v>1467</v>
      </c>
      <c r="H1163">
        <v>38773.800000000003</v>
      </c>
      <c r="I1163">
        <v>3838316.62</v>
      </c>
      <c r="J1163" s="711">
        <v>42877.716931909723</v>
      </c>
      <c r="K1163" s="711">
        <v>43242</v>
      </c>
      <c r="L1163" t="s">
        <v>4828</v>
      </c>
      <c r="M1163" t="s">
        <v>1280</v>
      </c>
      <c r="N1163" t="s">
        <v>4829</v>
      </c>
      <c r="O1163" t="s">
        <v>25</v>
      </c>
      <c r="P1163" t="s">
        <v>88</v>
      </c>
      <c r="Q1163" t="s">
        <v>285</v>
      </c>
      <c r="R1163" t="s">
        <v>2636</v>
      </c>
      <c r="S1163">
        <v>5000000</v>
      </c>
      <c r="T1163">
        <v>270000000</v>
      </c>
      <c r="U1163">
        <v>174482115.12</v>
      </c>
      <c r="Y1163" s="392"/>
      <c r="Z1163"/>
    </row>
    <row r="1164" spans="1:26" x14ac:dyDescent="0.25">
      <c r="A1164">
        <v>201076</v>
      </c>
      <c r="B1164" t="s">
        <v>4833</v>
      </c>
      <c r="C1164" t="s">
        <v>4839</v>
      </c>
      <c r="D1164" t="s">
        <v>1284</v>
      </c>
      <c r="E1164">
        <v>-22</v>
      </c>
      <c r="F1164" s="105">
        <v>17022570.059999999</v>
      </c>
      <c r="G1164" t="s">
        <v>546</v>
      </c>
      <c r="H1164">
        <v>132397.76999999999</v>
      </c>
      <c r="I1164">
        <v>23251339.530000001</v>
      </c>
      <c r="J1164" s="711">
        <v>42878.662317974537</v>
      </c>
      <c r="K1164" s="711">
        <v>43608</v>
      </c>
      <c r="L1164" t="s">
        <v>4840</v>
      </c>
      <c r="M1164" t="s">
        <v>1280</v>
      </c>
      <c r="N1164" t="s">
        <v>1280</v>
      </c>
      <c r="O1164" t="s">
        <v>44</v>
      </c>
      <c r="P1164" t="s">
        <v>75</v>
      </c>
      <c r="Q1164" t="s">
        <v>4834</v>
      </c>
      <c r="R1164" t="s">
        <v>2636</v>
      </c>
      <c r="S1164">
        <v>20000000</v>
      </c>
      <c r="T1164">
        <v>800000000</v>
      </c>
      <c r="U1164">
        <v>680902802.39999998</v>
      </c>
      <c r="Y1164" s="392"/>
      <c r="Z1164"/>
    </row>
    <row r="1165" spans="1:26" x14ac:dyDescent="0.25">
      <c r="A1165">
        <v>201077</v>
      </c>
      <c r="B1165" t="s">
        <v>4830</v>
      </c>
      <c r="C1165" t="s">
        <v>4841</v>
      </c>
      <c r="D1165" t="s">
        <v>1283</v>
      </c>
      <c r="E1165">
        <v>-22</v>
      </c>
      <c r="F1165" s="105">
        <v>25036288.75</v>
      </c>
      <c r="G1165" t="s">
        <v>86</v>
      </c>
      <c r="H1165">
        <v>175254.02</v>
      </c>
      <c r="I1165">
        <v>28129383.93</v>
      </c>
      <c r="J1165" s="711">
        <v>42878.594531747687</v>
      </c>
      <c r="K1165" s="711">
        <v>43243</v>
      </c>
      <c r="L1165" t="s">
        <v>4842</v>
      </c>
      <c r="M1165" t="s">
        <v>4843</v>
      </c>
      <c r="N1165" t="s">
        <v>1280</v>
      </c>
      <c r="O1165" t="s">
        <v>27</v>
      </c>
      <c r="P1165" t="s">
        <v>116</v>
      </c>
      <c r="Q1165" t="s">
        <v>1830</v>
      </c>
      <c r="R1165" t="s">
        <v>2856</v>
      </c>
      <c r="S1165">
        <v>40000000</v>
      </c>
      <c r="T1165">
        <v>1440000000</v>
      </c>
      <c r="U1165">
        <v>901306395</v>
      </c>
      <c r="Y1165" s="392"/>
      <c r="Z1165"/>
    </row>
    <row r="1166" spans="1:26" x14ac:dyDescent="0.25">
      <c r="A1166">
        <v>201078</v>
      </c>
      <c r="B1166" t="s">
        <v>4846</v>
      </c>
      <c r="C1166" t="s">
        <v>4847</v>
      </c>
      <c r="D1166" t="s">
        <v>1284</v>
      </c>
      <c r="E1166">
        <v>0</v>
      </c>
      <c r="F1166" s="105">
        <v>22238301.640000001</v>
      </c>
      <c r="G1166" t="s">
        <v>1447</v>
      </c>
      <c r="H1166">
        <v>716567.5</v>
      </c>
      <c r="I1166">
        <v>30824144.190000001</v>
      </c>
      <c r="J1166" s="711">
        <v>42879.498819872686</v>
      </c>
      <c r="K1166" s="711">
        <v>43617</v>
      </c>
      <c r="L1166" t="s">
        <v>4848</v>
      </c>
      <c r="M1166" t="s">
        <v>1280</v>
      </c>
      <c r="N1166" t="s">
        <v>1280</v>
      </c>
      <c r="O1166" t="s">
        <v>28</v>
      </c>
      <c r="P1166" t="s">
        <v>26</v>
      </c>
      <c r="Q1166" t="s">
        <v>26</v>
      </c>
      <c r="R1166" t="s">
        <v>2636</v>
      </c>
      <c r="S1166">
        <v>25000000</v>
      </c>
      <c r="T1166">
        <v>1000000000</v>
      </c>
      <c r="U1166">
        <v>889532065.60000002</v>
      </c>
      <c r="Y1166" s="392"/>
      <c r="Z1166"/>
    </row>
    <row r="1167" spans="1:26" x14ac:dyDescent="0.25">
      <c r="A1167">
        <v>201079</v>
      </c>
      <c r="B1167" t="s">
        <v>2385</v>
      </c>
      <c r="C1167" t="s">
        <v>2399</v>
      </c>
      <c r="D1167" t="s">
        <v>1866</v>
      </c>
      <c r="E1167">
        <v>-23</v>
      </c>
      <c r="F1167" s="105">
        <v>3810143.15</v>
      </c>
      <c r="G1167" t="s">
        <v>1925</v>
      </c>
      <c r="H1167">
        <v>182891.54</v>
      </c>
      <c r="I1167">
        <v>4389065.82</v>
      </c>
      <c r="J1167" s="711">
        <v>42879.701156284726</v>
      </c>
      <c r="K1167" s="711">
        <v>43244</v>
      </c>
      <c r="L1167" t="s">
        <v>2400</v>
      </c>
      <c r="M1167" t="s">
        <v>1280</v>
      </c>
      <c r="N1167" t="s">
        <v>1280</v>
      </c>
      <c r="O1167" t="s">
        <v>25</v>
      </c>
      <c r="P1167" t="s">
        <v>88</v>
      </c>
      <c r="Q1167" t="s">
        <v>26</v>
      </c>
      <c r="R1167" t="s">
        <v>2856</v>
      </c>
      <c r="S1167">
        <v>6000000</v>
      </c>
      <c r="T1167">
        <v>264000000</v>
      </c>
      <c r="U1167">
        <v>167646298.59999999</v>
      </c>
      <c r="Y1167" s="392"/>
      <c r="Z1167"/>
    </row>
    <row r="1168" spans="1:26" x14ac:dyDescent="0.25">
      <c r="A1168">
        <v>201080</v>
      </c>
      <c r="B1168" t="s">
        <v>2592</v>
      </c>
      <c r="C1168" t="s">
        <v>2605</v>
      </c>
      <c r="D1168" t="s">
        <v>1866</v>
      </c>
      <c r="E1168">
        <v>-23</v>
      </c>
      <c r="F1168" s="105">
        <v>4434685.3499999996</v>
      </c>
      <c r="G1168" t="s">
        <v>963</v>
      </c>
      <c r="H1168">
        <v>32521.03</v>
      </c>
      <c r="I1168">
        <v>5108502.53</v>
      </c>
      <c r="J1168" s="711">
        <v>42881.499312233798</v>
      </c>
      <c r="K1168" s="711">
        <v>43244</v>
      </c>
      <c r="L1168" t="s">
        <v>2606</v>
      </c>
      <c r="M1168" t="s">
        <v>1280</v>
      </c>
      <c r="N1168" t="s">
        <v>1280</v>
      </c>
      <c r="O1168" t="s">
        <v>25</v>
      </c>
      <c r="P1168" t="s">
        <v>26</v>
      </c>
      <c r="Q1168" t="s">
        <v>26</v>
      </c>
      <c r="R1168" t="s">
        <v>2856</v>
      </c>
      <c r="S1168">
        <v>7000000</v>
      </c>
      <c r="T1168">
        <v>308000000</v>
      </c>
      <c r="U1168">
        <v>195126155.40000001</v>
      </c>
      <c r="Y1168" s="392"/>
      <c r="Z1168"/>
    </row>
    <row r="1169" spans="1:26" x14ac:dyDescent="0.25">
      <c r="A1169">
        <v>201083</v>
      </c>
      <c r="B1169" t="s">
        <v>4849</v>
      </c>
      <c r="C1169" t="s">
        <v>4851</v>
      </c>
      <c r="D1169" t="s">
        <v>1282</v>
      </c>
      <c r="E1169">
        <v>0</v>
      </c>
      <c r="F1169" s="105">
        <v>3637494.35</v>
      </c>
      <c r="G1169" t="s">
        <v>4685</v>
      </c>
      <c r="H1169">
        <v>158231</v>
      </c>
      <c r="I1169">
        <v>4411834.08</v>
      </c>
      <c r="J1169" s="711">
        <v>42882.457788043983</v>
      </c>
      <c r="K1169" s="711">
        <v>43252</v>
      </c>
      <c r="L1169" t="s">
        <v>4852</v>
      </c>
      <c r="M1169" t="s">
        <v>1280</v>
      </c>
      <c r="N1169" t="s">
        <v>4853</v>
      </c>
      <c r="O1169" t="s">
        <v>25</v>
      </c>
      <c r="P1169" t="s">
        <v>26</v>
      </c>
      <c r="Q1169" t="s">
        <v>26</v>
      </c>
      <c r="R1169" t="s">
        <v>2636</v>
      </c>
      <c r="S1169">
        <v>5000000</v>
      </c>
      <c r="T1169">
        <v>270000000</v>
      </c>
      <c r="U1169">
        <v>196424694.90000001</v>
      </c>
      <c r="Y1169" s="392"/>
      <c r="Z1169"/>
    </row>
    <row r="1170" spans="1:26" x14ac:dyDescent="0.25">
      <c r="A1170">
        <v>201084</v>
      </c>
      <c r="B1170" t="s">
        <v>4854</v>
      </c>
      <c r="C1170" t="s">
        <v>4855</v>
      </c>
      <c r="D1170" t="s">
        <v>1283</v>
      </c>
      <c r="E1170">
        <v>0</v>
      </c>
      <c r="F1170" s="105">
        <v>39095943.060000002</v>
      </c>
      <c r="G1170" t="s">
        <v>491</v>
      </c>
      <c r="H1170">
        <v>1259758.17</v>
      </c>
      <c r="I1170">
        <v>45184414.719999999</v>
      </c>
      <c r="J1170" s="711">
        <v>42884.590975694446</v>
      </c>
      <c r="K1170" s="711">
        <v>43252</v>
      </c>
      <c r="L1170" t="s">
        <v>4856</v>
      </c>
      <c r="M1170" t="s">
        <v>1280</v>
      </c>
      <c r="N1170" t="s">
        <v>1280</v>
      </c>
      <c r="O1170" t="s">
        <v>27</v>
      </c>
      <c r="P1170" t="s">
        <v>81</v>
      </c>
      <c r="Q1170" t="s">
        <v>4000</v>
      </c>
      <c r="R1170" t="s">
        <v>2856</v>
      </c>
      <c r="S1170">
        <v>55000000</v>
      </c>
      <c r="T1170">
        <v>2200000000</v>
      </c>
      <c r="U1170">
        <v>1563837722.4000001</v>
      </c>
      <c r="Y1170" s="392"/>
      <c r="Z1170"/>
    </row>
    <row r="1171" spans="1:26" x14ac:dyDescent="0.25">
      <c r="A1171">
        <v>201085</v>
      </c>
      <c r="B1171" t="s">
        <v>3256</v>
      </c>
      <c r="C1171" t="s">
        <v>3257</v>
      </c>
      <c r="D1171" t="s">
        <v>1866</v>
      </c>
      <c r="E1171">
        <v>0</v>
      </c>
      <c r="F1171" s="105">
        <v>7142096.3399999999</v>
      </c>
      <c r="G1171" t="s">
        <v>1925</v>
      </c>
      <c r="H1171">
        <v>253147.64</v>
      </c>
      <c r="I1171">
        <v>8369981.9100000001</v>
      </c>
      <c r="J1171" s="711">
        <v>42885.419893831022</v>
      </c>
      <c r="K1171" s="711">
        <v>43252</v>
      </c>
      <c r="L1171" t="s">
        <v>3258</v>
      </c>
      <c r="M1171" t="s">
        <v>1280</v>
      </c>
      <c r="N1171" t="s">
        <v>1280</v>
      </c>
      <c r="O1171" t="s">
        <v>25</v>
      </c>
      <c r="P1171" t="s">
        <v>101</v>
      </c>
      <c r="Q1171" t="s">
        <v>95</v>
      </c>
      <c r="R1171" t="s">
        <v>2856</v>
      </c>
      <c r="S1171">
        <v>10000000</v>
      </c>
      <c r="T1171">
        <v>440000000</v>
      </c>
      <c r="U1171">
        <v>314252238.95999998</v>
      </c>
      <c r="Y1171" s="392"/>
      <c r="Z1171"/>
    </row>
    <row r="1172" spans="1:26" x14ac:dyDescent="0.25">
      <c r="A1172">
        <v>201087</v>
      </c>
      <c r="B1172" t="s">
        <v>4857</v>
      </c>
      <c r="C1172" t="s">
        <v>4858</v>
      </c>
      <c r="D1172" t="s">
        <v>1282</v>
      </c>
      <c r="E1172">
        <v>90</v>
      </c>
      <c r="F1172" s="105">
        <v>2557029.9500000002</v>
      </c>
      <c r="G1172" t="s">
        <v>2538</v>
      </c>
      <c r="H1172">
        <v>203042.12</v>
      </c>
      <c r="I1172">
        <v>2909427.25</v>
      </c>
      <c r="J1172" s="711">
        <v>42885.641928391204</v>
      </c>
      <c r="K1172" s="711">
        <v>43070</v>
      </c>
      <c r="L1172" t="s">
        <v>4859</v>
      </c>
      <c r="M1172" t="s">
        <v>1280</v>
      </c>
      <c r="N1172" t="s">
        <v>4860</v>
      </c>
      <c r="O1172" t="s">
        <v>25</v>
      </c>
      <c r="P1172" t="s">
        <v>26</v>
      </c>
      <c r="Q1172" t="s">
        <v>26</v>
      </c>
      <c r="R1172" t="s">
        <v>2636</v>
      </c>
      <c r="S1172">
        <v>3000000</v>
      </c>
      <c r="T1172">
        <v>162000000</v>
      </c>
      <c r="U1172">
        <v>138079617.30000001</v>
      </c>
      <c r="Y1172" s="392"/>
      <c r="Z1172"/>
    </row>
    <row r="1173" spans="1:26" x14ac:dyDescent="0.25">
      <c r="A1173">
        <v>201088</v>
      </c>
      <c r="B1173" t="s">
        <v>2383</v>
      </c>
      <c r="C1173" t="s">
        <v>2397</v>
      </c>
      <c r="D1173" t="s">
        <v>1282</v>
      </c>
      <c r="E1173">
        <v>0</v>
      </c>
      <c r="F1173" s="105">
        <v>4318653.4000000004</v>
      </c>
      <c r="G1173" t="s">
        <v>2855</v>
      </c>
      <c r="H1173">
        <v>166987.93</v>
      </c>
      <c r="I1173">
        <v>4758984.09</v>
      </c>
      <c r="J1173" s="711">
        <v>42885.676829479169</v>
      </c>
      <c r="K1173" s="711">
        <v>43132</v>
      </c>
      <c r="L1173" t="s">
        <v>2398</v>
      </c>
      <c r="M1173" t="s">
        <v>1280</v>
      </c>
      <c r="N1173" t="s">
        <v>1280</v>
      </c>
      <c r="O1173" t="s">
        <v>46</v>
      </c>
      <c r="P1173" t="s">
        <v>46</v>
      </c>
      <c r="Q1173" t="s">
        <v>112</v>
      </c>
      <c r="R1173" t="s">
        <v>2856</v>
      </c>
      <c r="S1173">
        <v>8000000</v>
      </c>
      <c r="T1173">
        <v>384000000</v>
      </c>
      <c r="U1173">
        <v>207295363.19999999</v>
      </c>
      <c r="Y1173" s="392"/>
      <c r="Z1173"/>
    </row>
    <row r="1174" spans="1:26" x14ac:dyDescent="0.25">
      <c r="A1174">
        <v>201089</v>
      </c>
      <c r="B1174" t="s">
        <v>2980</v>
      </c>
      <c r="C1174" t="s">
        <v>2981</v>
      </c>
      <c r="D1174" t="s">
        <v>1284</v>
      </c>
      <c r="E1174">
        <v>0</v>
      </c>
      <c r="F1174" s="105">
        <v>9178027.9700000007</v>
      </c>
      <c r="G1174" t="s">
        <v>1667</v>
      </c>
      <c r="H1174">
        <v>266162.81</v>
      </c>
      <c r="I1174">
        <v>10459922.560000001</v>
      </c>
      <c r="J1174" s="711">
        <v>42886.48187596065</v>
      </c>
      <c r="K1174" s="711">
        <v>43252</v>
      </c>
      <c r="L1174" t="s">
        <v>2982</v>
      </c>
      <c r="M1174" t="s">
        <v>1280</v>
      </c>
      <c r="N1174" t="s">
        <v>1280</v>
      </c>
      <c r="O1174" t="s">
        <v>44</v>
      </c>
      <c r="P1174" t="s">
        <v>75</v>
      </c>
      <c r="Q1174" t="s">
        <v>1442</v>
      </c>
      <c r="R1174" t="s">
        <v>2856</v>
      </c>
      <c r="S1174">
        <v>13000000</v>
      </c>
      <c r="T1174">
        <v>468000000</v>
      </c>
      <c r="U1174">
        <v>330409006.92000002</v>
      </c>
      <c r="Y1174" s="392"/>
      <c r="Z1174"/>
    </row>
    <row r="1175" spans="1:26" x14ac:dyDescent="0.25">
      <c r="A1175">
        <v>201090</v>
      </c>
      <c r="B1175" t="s">
        <v>4861</v>
      </c>
      <c r="C1175" t="s">
        <v>4865</v>
      </c>
      <c r="D1175" t="s">
        <v>1282</v>
      </c>
      <c r="E1175">
        <v>0</v>
      </c>
      <c r="F1175" s="105">
        <v>3812789.77</v>
      </c>
      <c r="G1175" t="s">
        <v>2861</v>
      </c>
      <c r="H1175">
        <v>165856.35</v>
      </c>
      <c r="I1175">
        <v>4251163.72</v>
      </c>
      <c r="J1175" s="711">
        <v>42886.548206481479</v>
      </c>
      <c r="K1175" s="711">
        <v>43132</v>
      </c>
      <c r="L1175" t="s">
        <v>4866</v>
      </c>
      <c r="M1175" t="s">
        <v>1280</v>
      </c>
      <c r="N1175" t="s">
        <v>4867</v>
      </c>
      <c r="O1175" t="s">
        <v>25</v>
      </c>
      <c r="P1175" t="s">
        <v>286</v>
      </c>
      <c r="Q1175" t="s">
        <v>4463</v>
      </c>
      <c r="R1175" t="s">
        <v>2636</v>
      </c>
      <c r="S1175">
        <v>7000000</v>
      </c>
      <c r="T1175">
        <v>378000000</v>
      </c>
      <c r="U1175">
        <v>205890647.58000001</v>
      </c>
      <c r="Y1175" s="392"/>
      <c r="Z1175"/>
    </row>
    <row r="1176" spans="1:26" x14ac:dyDescent="0.25">
      <c r="A1176">
        <v>201091</v>
      </c>
      <c r="B1176" t="s">
        <v>1731</v>
      </c>
      <c r="C1176" t="s">
        <v>1732</v>
      </c>
      <c r="D1176" t="s">
        <v>1284</v>
      </c>
      <c r="E1176">
        <v>0</v>
      </c>
      <c r="F1176" s="105">
        <v>35173173.450000003</v>
      </c>
      <c r="G1176" t="s">
        <v>1925</v>
      </c>
      <c r="H1176">
        <v>1020022.03</v>
      </c>
      <c r="I1176">
        <v>47283794.850000001</v>
      </c>
      <c r="J1176" s="711">
        <v>42886.557222766205</v>
      </c>
      <c r="K1176" s="711">
        <v>43617</v>
      </c>
      <c r="L1176" t="s">
        <v>1734</v>
      </c>
      <c r="M1176" t="s">
        <v>1280</v>
      </c>
      <c r="N1176" t="s">
        <v>1280</v>
      </c>
      <c r="O1176" t="s">
        <v>44</v>
      </c>
      <c r="P1176" t="s">
        <v>75</v>
      </c>
      <c r="Q1176" t="s">
        <v>1442</v>
      </c>
      <c r="R1176" t="s">
        <v>2856</v>
      </c>
      <c r="S1176">
        <v>40000000</v>
      </c>
      <c r="T1176">
        <v>1440000000</v>
      </c>
      <c r="U1176">
        <v>1266234244.2</v>
      </c>
      <c r="Y1176" s="392"/>
      <c r="Z1176"/>
    </row>
    <row r="1177" spans="1:26" x14ac:dyDescent="0.25">
      <c r="A1177">
        <v>201092</v>
      </c>
      <c r="B1177" t="s">
        <v>2732</v>
      </c>
      <c r="C1177" t="s">
        <v>2734</v>
      </c>
      <c r="D1177" t="s">
        <v>1282</v>
      </c>
      <c r="E1177">
        <v>-1</v>
      </c>
      <c r="F1177" s="105">
        <v>2869554.38</v>
      </c>
      <c r="G1177" t="s">
        <v>1448</v>
      </c>
      <c r="H1177">
        <v>107130.03</v>
      </c>
      <c r="I1177">
        <v>3409669.53</v>
      </c>
      <c r="J1177" s="711">
        <v>42888.62445142361</v>
      </c>
      <c r="K1177" s="711">
        <v>43253</v>
      </c>
      <c r="L1177" t="s">
        <v>2735</v>
      </c>
      <c r="M1177" t="s">
        <v>1280</v>
      </c>
      <c r="N1177" t="s">
        <v>1280</v>
      </c>
      <c r="O1177" t="s">
        <v>27</v>
      </c>
      <c r="P1177" t="s">
        <v>81</v>
      </c>
      <c r="Q1177" t="s">
        <v>26</v>
      </c>
      <c r="R1177" t="s">
        <v>2856</v>
      </c>
      <c r="S1177">
        <v>4000000</v>
      </c>
      <c r="T1177">
        <v>192000000</v>
      </c>
      <c r="U1177">
        <v>137738610.24000001</v>
      </c>
      <c r="Y1177" s="392"/>
      <c r="Z1177"/>
    </row>
    <row r="1178" spans="1:26" x14ac:dyDescent="0.25">
      <c r="A1178">
        <v>201093</v>
      </c>
      <c r="B1178" t="s">
        <v>4869</v>
      </c>
      <c r="C1178" t="s">
        <v>4870</v>
      </c>
      <c r="D1178" t="s">
        <v>1283</v>
      </c>
      <c r="E1178">
        <v>0</v>
      </c>
      <c r="F1178" s="105">
        <v>28372397.239999998</v>
      </c>
      <c r="G1178" t="s">
        <v>2538</v>
      </c>
      <c r="H1178">
        <v>914221.69</v>
      </c>
      <c r="I1178">
        <v>32790874.539999999</v>
      </c>
      <c r="J1178" s="711">
        <v>42887.598011423608</v>
      </c>
      <c r="K1178" s="711">
        <v>43252</v>
      </c>
      <c r="L1178" t="s">
        <v>4871</v>
      </c>
      <c r="M1178" t="s">
        <v>1280</v>
      </c>
      <c r="N1178" t="s">
        <v>4872</v>
      </c>
      <c r="O1178" t="s">
        <v>46</v>
      </c>
      <c r="P1178" t="s">
        <v>46</v>
      </c>
      <c r="Q1178" t="s">
        <v>112</v>
      </c>
      <c r="R1178" t="s">
        <v>2636</v>
      </c>
      <c r="S1178">
        <v>40000000</v>
      </c>
      <c r="T1178">
        <v>1600000000</v>
      </c>
      <c r="U1178">
        <v>1134895889.5999999</v>
      </c>
      <c r="Y1178" s="392"/>
      <c r="Z1178"/>
    </row>
    <row r="1179" spans="1:26" x14ac:dyDescent="0.25">
      <c r="A1179">
        <v>201094</v>
      </c>
      <c r="B1179" t="s">
        <v>3488</v>
      </c>
      <c r="C1179" t="s">
        <v>3496</v>
      </c>
      <c r="D1179" t="s">
        <v>1282</v>
      </c>
      <c r="E1179">
        <v>0</v>
      </c>
      <c r="F1179" s="105">
        <v>10774624.859999999</v>
      </c>
      <c r="G1179" t="s">
        <v>2861</v>
      </c>
      <c r="H1179">
        <v>416618.83</v>
      </c>
      <c r="I1179">
        <v>12802653.369999999</v>
      </c>
      <c r="J1179" s="711">
        <v>42886.772906446757</v>
      </c>
      <c r="K1179" s="711">
        <v>43252</v>
      </c>
      <c r="L1179" t="s">
        <v>3497</v>
      </c>
      <c r="M1179" t="s">
        <v>1280</v>
      </c>
      <c r="N1179" t="s">
        <v>3498</v>
      </c>
      <c r="O1179" t="s">
        <v>25</v>
      </c>
      <c r="P1179" t="s">
        <v>26</v>
      </c>
      <c r="Q1179" t="s">
        <v>26</v>
      </c>
      <c r="R1179" t="s">
        <v>2856</v>
      </c>
      <c r="S1179">
        <v>15000000</v>
      </c>
      <c r="T1179">
        <v>720000000</v>
      </c>
      <c r="U1179">
        <v>517181993.27999997</v>
      </c>
      <c r="Y1179" s="392"/>
      <c r="Z1179"/>
    </row>
    <row r="1180" spans="1:26" x14ac:dyDescent="0.25">
      <c r="A1180">
        <v>201095</v>
      </c>
      <c r="B1180" t="s">
        <v>4868</v>
      </c>
      <c r="C1180" t="s">
        <v>4873</v>
      </c>
      <c r="D1180" t="s">
        <v>1282</v>
      </c>
      <c r="E1180">
        <v>0</v>
      </c>
      <c r="F1180" s="105">
        <v>8608663.1400000006</v>
      </c>
      <c r="G1180" t="s">
        <v>2175</v>
      </c>
      <c r="H1180">
        <v>332868.31</v>
      </c>
      <c r="I1180">
        <v>10229008.58</v>
      </c>
      <c r="J1180" s="711">
        <v>42887.411708645835</v>
      </c>
      <c r="K1180" s="711">
        <v>43252</v>
      </c>
      <c r="L1180" t="s">
        <v>4874</v>
      </c>
      <c r="M1180" t="s">
        <v>4875</v>
      </c>
      <c r="N1180" t="s">
        <v>1280</v>
      </c>
      <c r="O1180" t="s">
        <v>27</v>
      </c>
      <c r="P1180" t="s">
        <v>116</v>
      </c>
      <c r="Q1180" t="s">
        <v>26</v>
      </c>
      <c r="R1180" t="s">
        <v>2856</v>
      </c>
      <c r="S1180">
        <v>12000000</v>
      </c>
      <c r="T1180">
        <v>576000000</v>
      </c>
      <c r="U1180">
        <v>413215830.72000003</v>
      </c>
      <c r="Y1180" s="392"/>
      <c r="Z1180"/>
    </row>
    <row r="1181" spans="1:26" x14ac:dyDescent="0.25">
      <c r="A1181">
        <v>201096</v>
      </c>
      <c r="B1181" t="s">
        <v>4850</v>
      </c>
      <c r="C1181" t="s">
        <v>340</v>
      </c>
      <c r="D1181" t="s">
        <v>1285</v>
      </c>
      <c r="E1181">
        <v>-20</v>
      </c>
      <c r="F1181" s="105">
        <v>3587082.84</v>
      </c>
      <c r="G1181" t="s">
        <v>284</v>
      </c>
      <c r="H1181">
        <v>19728.96</v>
      </c>
      <c r="I1181">
        <v>4215318.72</v>
      </c>
      <c r="J1181" s="711">
        <v>42892.617003935185</v>
      </c>
      <c r="K1181" s="711">
        <v>43545</v>
      </c>
      <c r="L1181" t="s">
        <v>341</v>
      </c>
      <c r="M1181" t="s">
        <v>1280</v>
      </c>
      <c r="N1181" t="s">
        <v>1280</v>
      </c>
      <c r="O1181" t="s">
        <v>43</v>
      </c>
      <c r="P1181" t="s">
        <v>338</v>
      </c>
      <c r="Q1181" t="s">
        <v>339</v>
      </c>
      <c r="R1181" t="s">
        <v>2636</v>
      </c>
      <c r="S1181">
        <v>4233000</v>
      </c>
      <c r="T1181">
        <v>93126000</v>
      </c>
      <c r="U1181">
        <v>78915822.480000004</v>
      </c>
      <c r="Y1181" s="392"/>
      <c r="Z1181"/>
    </row>
    <row r="1182" spans="1:26" x14ac:dyDescent="0.25">
      <c r="A1182">
        <v>201099</v>
      </c>
      <c r="B1182" t="s">
        <v>4882</v>
      </c>
      <c r="C1182" t="s">
        <v>4883</v>
      </c>
      <c r="D1182" t="s">
        <v>1286</v>
      </c>
      <c r="E1182">
        <v>-20</v>
      </c>
      <c r="F1182" s="105">
        <v>346692.84</v>
      </c>
      <c r="G1182" t="s">
        <v>284</v>
      </c>
      <c r="H1182">
        <v>2166.83</v>
      </c>
      <c r="I1182">
        <v>353915.61</v>
      </c>
      <c r="J1182" s="711">
        <v>42894.501712812496</v>
      </c>
      <c r="K1182" s="711">
        <v>43060</v>
      </c>
      <c r="L1182" t="s">
        <v>4884</v>
      </c>
      <c r="M1182" t="s">
        <v>1280</v>
      </c>
      <c r="N1182" t="s">
        <v>1280</v>
      </c>
      <c r="O1182" t="s">
        <v>28</v>
      </c>
      <c r="P1182" t="s">
        <v>26</v>
      </c>
      <c r="Q1182" t="s">
        <v>26</v>
      </c>
      <c r="R1182" t="s">
        <v>2636</v>
      </c>
      <c r="S1182">
        <v>2000000</v>
      </c>
      <c r="T1182">
        <v>50000000</v>
      </c>
      <c r="U1182">
        <v>8667321</v>
      </c>
      <c r="Y1182" s="392"/>
      <c r="Z1182"/>
    </row>
    <row r="1183" spans="1:26" x14ac:dyDescent="0.25">
      <c r="A1183">
        <v>201100</v>
      </c>
      <c r="B1183" t="s">
        <v>3401</v>
      </c>
      <c r="C1183" t="s">
        <v>3417</v>
      </c>
      <c r="D1183" t="s">
        <v>1284</v>
      </c>
      <c r="E1183">
        <v>-7</v>
      </c>
      <c r="F1183" s="105">
        <v>20533068.66</v>
      </c>
      <c r="G1183" t="s">
        <v>546</v>
      </c>
      <c r="H1183">
        <v>451727.51</v>
      </c>
      <c r="I1183">
        <v>25448043.530000001</v>
      </c>
      <c r="J1183" s="711">
        <v>42894.757028159722</v>
      </c>
      <c r="K1183" s="711">
        <v>43442</v>
      </c>
      <c r="L1183" t="s">
        <v>3418</v>
      </c>
      <c r="M1183" t="s">
        <v>1280</v>
      </c>
      <c r="N1183" t="s">
        <v>1280</v>
      </c>
      <c r="O1183" t="s">
        <v>44</v>
      </c>
      <c r="P1183" t="s">
        <v>75</v>
      </c>
      <c r="Q1183" t="s">
        <v>1442</v>
      </c>
      <c r="R1183" t="s">
        <v>2856</v>
      </c>
      <c r="S1183">
        <v>25000000</v>
      </c>
      <c r="T1183">
        <v>900000000</v>
      </c>
      <c r="U1183">
        <v>739190471.75999999</v>
      </c>
      <c r="Y1183" s="392"/>
      <c r="Z1183"/>
    </row>
    <row r="1184" spans="1:26" x14ac:dyDescent="0.25">
      <c r="A1184">
        <v>201101</v>
      </c>
      <c r="B1184" t="s">
        <v>4885</v>
      </c>
      <c r="C1184" t="s">
        <v>4891</v>
      </c>
      <c r="D1184" t="s">
        <v>1282</v>
      </c>
      <c r="E1184">
        <v>-11</v>
      </c>
      <c r="F1184" s="105">
        <v>1629614.64</v>
      </c>
      <c r="G1184" t="s">
        <v>3074</v>
      </c>
      <c r="H1184">
        <v>43999.6</v>
      </c>
      <c r="I1184">
        <v>1895682.37</v>
      </c>
      <c r="J1184" s="711">
        <v>42898.485473263892</v>
      </c>
      <c r="K1184" s="711">
        <v>43202</v>
      </c>
      <c r="L1184" t="s">
        <v>4892</v>
      </c>
      <c r="M1184" t="s">
        <v>1280</v>
      </c>
      <c r="N1184" t="s">
        <v>4893</v>
      </c>
      <c r="O1184" t="s">
        <v>25</v>
      </c>
      <c r="P1184" t="s">
        <v>26</v>
      </c>
      <c r="Q1184" t="s">
        <v>26</v>
      </c>
      <c r="R1184" t="s">
        <v>2636</v>
      </c>
      <c r="S1184">
        <v>2500000</v>
      </c>
      <c r="T1184">
        <v>135000000</v>
      </c>
      <c r="U1184">
        <v>87999190.560000002</v>
      </c>
      <c r="Y1184" s="392"/>
      <c r="Z1184"/>
    </row>
    <row r="1185" spans="1:26" x14ac:dyDescent="0.25">
      <c r="A1185">
        <v>201104</v>
      </c>
      <c r="B1185" t="s">
        <v>4886</v>
      </c>
      <c r="C1185" t="s">
        <v>4894</v>
      </c>
      <c r="D1185" t="s">
        <v>1282</v>
      </c>
      <c r="E1185">
        <v>-11</v>
      </c>
      <c r="F1185" s="105">
        <v>10850185.279999999</v>
      </c>
      <c r="G1185" t="s">
        <v>1667</v>
      </c>
      <c r="H1185">
        <v>394399.33</v>
      </c>
      <c r="I1185">
        <v>13159942.640000001</v>
      </c>
      <c r="J1185" s="711">
        <v>42898.722324340277</v>
      </c>
      <c r="K1185" s="711">
        <v>43263</v>
      </c>
      <c r="L1185" t="s">
        <v>4895</v>
      </c>
      <c r="M1185" t="s">
        <v>1280</v>
      </c>
      <c r="N1185" t="s">
        <v>4896</v>
      </c>
      <c r="O1185" t="s">
        <v>37</v>
      </c>
      <c r="P1185" t="s">
        <v>38</v>
      </c>
      <c r="Q1185" t="s">
        <v>39</v>
      </c>
      <c r="R1185" t="s">
        <v>2636</v>
      </c>
      <c r="S1185">
        <v>15000000</v>
      </c>
      <c r="T1185">
        <v>810000000</v>
      </c>
      <c r="U1185">
        <v>585910005.12</v>
      </c>
      <c r="Y1185" s="392"/>
      <c r="Z1185"/>
    </row>
    <row r="1186" spans="1:26" x14ac:dyDescent="0.25">
      <c r="A1186">
        <v>201106</v>
      </c>
      <c r="B1186" t="s">
        <v>3350</v>
      </c>
      <c r="C1186" t="s">
        <v>3366</v>
      </c>
      <c r="D1186" t="s">
        <v>1279</v>
      </c>
      <c r="E1186">
        <v>-12</v>
      </c>
      <c r="F1186" s="105">
        <v>2869554.38</v>
      </c>
      <c r="G1186" t="s">
        <v>2861</v>
      </c>
      <c r="H1186">
        <v>65043.23</v>
      </c>
      <c r="I1186">
        <v>3409669.53</v>
      </c>
      <c r="J1186" s="711">
        <v>42899.468766782411</v>
      </c>
      <c r="K1186" s="711">
        <v>43264</v>
      </c>
      <c r="L1186" t="s">
        <v>3367</v>
      </c>
      <c r="M1186" t="s">
        <v>1280</v>
      </c>
      <c r="N1186" t="s">
        <v>3368</v>
      </c>
      <c r="O1186" t="s">
        <v>44</v>
      </c>
      <c r="P1186" t="s">
        <v>75</v>
      </c>
      <c r="Q1186" t="s">
        <v>1442</v>
      </c>
      <c r="R1186" t="s">
        <v>2856</v>
      </c>
      <c r="S1186">
        <v>4000000</v>
      </c>
      <c r="T1186">
        <v>192000000</v>
      </c>
      <c r="U1186">
        <v>137738610.24000001</v>
      </c>
      <c r="Y1186" s="392"/>
      <c r="Z1186"/>
    </row>
    <row r="1187" spans="1:26" x14ac:dyDescent="0.25">
      <c r="A1187">
        <v>201107</v>
      </c>
      <c r="B1187" t="s">
        <v>2679</v>
      </c>
      <c r="C1187" t="s">
        <v>2693</v>
      </c>
      <c r="D1187" t="s">
        <v>1284</v>
      </c>
      <c r="E1187">
        <v>-13</v>
      </c>
      <c r="F1187" s="105">
        <v>22566813.32</v>
      </c>
      <c r="G1187" t="s">
        <v>491</v>
      </c>
      <c r="H1187">
        <v>361069.01</v>
      </c>
      <c r="I1187">
        <v>25718293.870000001</v>
      </c>
      <c r="J1187" s="711">
        <v>42900.564021377315</v>
      </c>
      <c r="K1187" s="711">
        <v>43265</v>
      </c>
      <c r="L1187" t="s">
        <v>2694</v>
      </c>
      <c r="M1187" t="s">
        <v>1280</v>
      </c>
      <c r="N1187" t="s">
        <v>1280</v>
      </c>
      <c r="O1187" t="s">
        <v>45</v>
      </c>
      <c r="P1187" t="s">
        <v>45</v>
      </c>
      <c r="Q1187" t="s">
        <v>89</v>
      </c>
      <c r="R1187" t="s">
        <v>2856</v>
      </c>
      <c r="S1187">
        <v>32000000</v>
      </c>
      <c r="T1187">
        <v>1152000000</v>
      </c>
      <c r="U1187">
        <v>812405279.51999998</v>
      </c>
      <c r="Y1187" s="392"/>
      <c r="Z1187"/>
    </row>
    <row r="1188" spans="1:26" x14ac:dyDescent="0.25">
      <c r="A1188">
        <v>201108</v>
      </c>
      <c r="B1188" t="s">
        <v>3490</v>
      </c>
      <c r="C1188" t="s">
        <v>3493</v>
      </c>
      <c r="D1188" t="s">
        <v>1279</v>
      </c>
      <c r="E1188">
        <v>-14</v>
      </c>
      <c r="F1188" s="105">
        <v>3586942.99</v>
      </c>
      <c r="G1188" t="s">
        <v>2175</v>
      </c>
      <c r="H1188">
        <v>71738.86</v>
      </c>
      <c r="I1188">
        <v>4262086.9400000004</v>
      </c>
      <c r="J1188" s="711">
        <v>42901.675884756944</v>
      </c>
      <c r="K1188" s="711">
        <v>43266</v>
      </c>
      <c r="L1188" t="s">
        <v>3494</v>
      </c>
      <c r="M1188" t="s">
        <v>1280</v>
      </c>
      <c r="N1188" t="s">
        <v>3495</v>
      </c>
      <c r="O1188" t="s">
        <v>25</v>
      </c>
      <c r="P1188" t="s">
        <v>26</v>
      </c>
      <c r="Q1188" t="s">
        <v>26</v>
      </c>
      <c r="R1188" t="s">
        <v>2856</v>
      </c>
      <c r="S1188">
        <v>5000000</v>
      </c>
      <c r="T1188">
        <v>240000000</v>
      </c>
      <c r="U1188">
        <v>172173263.52000001</v>
      </c>
      <c r="Y1188" s="392"/>
      <c r="Z1188"/>
    </row>
    <row r="1189" spans="1:26" x14ac:dyDescent="0.25">
      <c r="A1189">
        <v>201109</v>
      </c>
      <c r="B1189" t="s">
        <v>4898</v>
      </c>
      <c r="C1189" t="s">
        <v>4899</v>
      </c>
      <c r="D1189" t="s">
        <v>1866</v>
      </c>
      <c r="E1189">
        <v>-14</v>
      </c>
      <c r="F1189" s="105">
        <v>4993580.03</v>
      </c>
      <c r="G1189" t="s">
        <v>1909</v>
      </c>
      <c r="H1189">
        <v>91548.97</v>
      </c>
      <c r="I1189">
        <v>5852087.75</v>
      </c>
      <c r="J1189" s="711">
        <v>42901.669926817129</v>
      </c>
      <c r="K1189" s="711">
        <v>43266</v>
      </c>
      <c r="L1189" t="s">
        <v>4900</v>
      </c>
      <c r="M1189" t="s">
        <v>1280</v>
      </c>
      <c r="N1189" t="s">
        <v>1280</v>
      </c>
      <c r="O1189" t="s">
        <v>44</v>
      </c>
      <c r="P1189" t="s">
        <v>75</v>
      </c>
      <c r="Q1189" t="s">
        <v>26</v>
      </c>
      <c r="R1189" t="s">
        <v>2856</v>
      </c>
      <c r="S1189">
        <v>7000000</v>
      </c>
      <c r="T1189">
        <v>308000000</v>
      </c>
      <c r="U1189">
        <v>219717521.31999999</v>
      </c>
      <c r="Y1189" s="392"/>
      <c r="Z1189"/>
    </row>
    <row r="1190" spans="1:26" x14ac:dyDescent="0.25">
      <c r="A1190">
        <v>201110</v>
      </c>
      <c r="B1190" t="s">
        <v>4897</v>
      </c>
      <c r="C1190" t="s">
        <v>4901</v>
      </c>
      <c r="D1190" t="s">
        <v>1282</v>
      </c>
      <c r="E1190">
        <v>-14</v>
      </c>
      <c r="F1190" s="105">
        <v>1629614.64</v>
      </c>
      <c r="G1190" t="s">
        <v>1448</v>
      </c>
      <c r="H1190">
        <v>36666.33</v>
      </c>
      <c r="I1190">
        <v>1895682.37</v>
      </c>
      <c r="J1190" s="711">
        <v>42901.681031863423</v>
      </c>
      <c r="K1190" s="711">
        <v>43205</v>
      </c>
      <c r="L1190" t="s">
        <v>4902</v>
      </c>
      <c r="M1190" t="s">
        <v>1280</v>
      </c>
      <c r="N1190" t="s">
        <v>1280</v>
      </c>
      <c r="O1190" t="s">
        <v>25</v>
      </c>
      <c r="P1190" t="s">
        <v>26</v>
      </c>
      <c r="Q1190" t="s">
        <v>26</v>
      </c>
      <c r="R1190" t="s">
        <v>2636</v>
      </c>
      <c r="S1190">
        <v>2500000</v>
      </c>
      <c r="T1190">
        <v>135000000</v>
      </c>
      <c r="U1190">
        <v>87999190.560000002</v>
      </c>
      <c r="Y1190" s="392"/>
      <c r="Z1190"/>
    </row>
    <row r="1191" spans="1:26" x14ac:dyDescent="0.25">
      <c r="A1191">
        <v>201111</v>
      </c>
      <c r="B1191" t="s">
        <v>4929</v>
      </c>
      <c r="C1191" t="s">
        <v>4935</v>
      </c>
      <c r="D1191" t="s">
        <v>1281</v>
      </c>
      <c r="E1191">
        <v>-20</v>
      </c>
      <c r="F1191" s="105">
        <v>20860405.91</v>
      </c>
      <c r="G1191" t="s">
        <v>4685</v>
      </c>
      <c r="H1191">
        <v>250324.87</v>
      </c>
      <c r="I1191">
        <v>27647664.899999999</v>
      </c>
      <c r="J1191" s="711">
        <v>42907.509451238424</v>
      </c>
      <c r="K1191" s="711">
        <v>43455</v>
      </c>
      <c r="L1191" t="s">
        <v>4936</v>
      </c>
      <c r="M1191" t="s">
        <v>1280</v>
      </c>
      <c r="N1191" t="s">
        <v>4937</v>
      </c>
      <c r="O1191" t="s">
        <v>44</v>
      </c>
      <c r="P1191" t="s">
        <v>26</v>
      </c>
      <c r="Q1191" t="s">
        <v>26</v>
      </c>
      <c r="R1191" t="s">
        <v>2636</v>
      </c>
      <c r="S1191">
        <v>25000000</v>
      </c>
      <c r="T1191">
        <v>1200000000</v>
      </c>
      <c r="U1191">
        <v>1001299483.6799999</v>
      </c>
      <c r="Y1191" s="392"/>
      <c r="Z1191"/>
    </row>
    <row r="1192" spans="1:26" x14ac:dyDescent="0.25">
      <c r="A1192">
        <v>201112</v>
      </c>
      <c r="B1192" t="s">
        <v>3561</v>
      </c>
      <c r="C1192" t="s">
        <v>3589</v>
      </c>
      <c r="D1192" t="s">
        <v>1284</v>
      </c>
      <c r="E1192">
        <v>-14</v>
      </c>
      <c r="F1192" s="105">
        <v>26354293.390000001</v>
      </c>
      <c r="G1192" t="s">
        <v>546</v>
      </c>
      <c r="H1192">
        <v>395314.4</v>
      </c>
      <c r="I1192">
        <v>35428449.579999998</v>
      </c>
      <c r="J1192" s="711">
        <v>42901.750078159719</v>
      </c>
      <c r="K1192" s="711">
        <v>43631</v>
      </c>
      <c r="L1192" t="s">
        <v>3590</v>
      </c>
      <c r="M1192" t="s">
        <v>1280</v>
      </c>
      <c r="N1192" t="s">
        <v>3591</v>
      </c>
      <c r="O1192" t="s">
        <v>44</v>
      </c>
      <c r="P1192" t="s">
        <v>75</v>
      </c>
      <c r="Q1192" t="s">
        <v>26</v>
      </c>
      <c r="R1192" t="s">
        <v>2856</v>
      </c>
      <c r="S1192">
        <v>30000000</v>
      </c>
      <c r="T1192">
        <v>1080000000</v>
      </c>
      <c r="U1192">
        <v>948754562.03999996</v>
      </c>
      <c r="Y1192" s="392"/>
      <c r="Z1192"/>
    </row>
    <row r="1193" spans="1:26" x14ac:dyDescent="0.25">
      <c r="A1193">
        <v>201113</v>
      </c>
      <c r="B1193" t="s">
        <v>4084</v>
      </c>
      <c r="C1193" t="s">
        <v>4091</v>
      </c>
      <c r="D1193" t="s">
        <v>1284</v>
      </c>
      <c r="E1193">
        <v>-15</v>
      </c>
      <c r="F1193" s="105">
        <v>28746296.120000001</v>
      </c>
      <c r="G1193" t="s">
        <v>546</v>
      </c>
      <c r="H1193">
        <v>402448.15</v>
      </c>
      <c r="I1193">
        <v>35627260.939999998</v>
      </c>
      <c r="J1193" s="711">
        <v>42902.50178298611</v>
      </c>
      <c r="K1193" s="711">
        <v>43450</v>
      </c>
      <c r="L1193" t="s">
        <v>4092</v>
      </c>
      <c r="M1193" t="s">
        <v>1280</v>
      </c>
      <c r="N1193" t="s">
        <v>1280</v>
      </c>
      <c r="O1193" t="s">
        <v>44</v>
      </c>
      <c r="P1193" t="s">
        <v>75</v>
      </c>
      <c r="Q1193" t="s">
        <v>26</v>
      </c>
      <c r="R1193" t="s">
        <v>2856</v>
      </c>
      <c r="S1193">
        <v>35000000</v>
      </c>
      <c r="T1193">
        <v>1260000000</v>
      </c>
      <c r="U1193">
        <v>1034866660.3200001</v>
      </c>
      <c r="Y1193" s="392"/>
      <c r="Z1193"/>
    </row>
    <row r="1194" spans="1:26" x14ac:dyDescent="0.25">
      <c r="A1194">
        <v>201114</v>
      </c>
      <c r="B1194" t="s">
        <v>4904</v>
      </c>
      <c r="C1194" t="s">
        <v>4907</v>
      </c>
      <c r="D1194" t="s">
        <v>1284</v>
      </c>
      <c r="E1194">
        <v>-15</v>
      </c>
      <c r="F1194" s="105">
        <v>24773013.170000002</v>
      </c>
      <c r="G1194" t="s">
        <v>1909</v>
      </c>
      <c r="H1194">
        <v>385357.98</v>
      </c>
      <c r="I1194">
        <v>31404718.280000001</v>
      </c>
      <c r="J1194" s="711">
        <v>42902.57308318287</v>
      </c>
      <c r="K1194" s="711">
        <v>43450</v>
      </c>
      <c r="L1194" t="s">
        <v>4908</v>
      </c>
      <c r="M1194" t="s">
        <v>1280</v>
      </c>
      <c r="N1194" t="s">
        <v>4909</v>
      </c>
      <c r="O1194" t="s">
        <v>44</v>
      </c>
      <c r="P1194" t="s">
        <v>92</v>
      </c>
      <c r="Q1194" t="s">
        <v>26</v>
      </c>
      <c r="R1194" t="s">
        <v>2636</v>
      </c>
      <c r="S1194">
        <v>30000000</v>
      </c>
      <c r="T1194">
        <v>1200000000</v>
      </c>
      <c r="U1194">
        <v>990920526.79999995</v>
      </c>
      <c r="Y1194" s="392"/>
      <c r="Z1194"/>
    </row>
    <row r="1195" spans="1:26" x14ac:dyDescent="0.25">
      <c r="A1195">
        <v>201115</v>
      </c>
      <c r="B1195" t="s">
        <v>3179</v>
      </c>
      <c r="C1195" t="s">
        <v>3183</v>
      </c>
      <c r="D1195" t="s">
        <v>1282</v>
      </c>
      <c r="E1195">
        <v>-16</v>
      </c>
      <c r="F1195" s="105">
        <v>1793471.49</v>
      </c>
      <c r="G1195" t="s">
        <v>2557</v>
      </c>
      <c r="H1195">
        <v>31086.84</v>
      </c>
      <c r="I1195">
        <v>2131043.46</v>
      </c>
      <c r="J1195" s="711">
        <v>42903.522571180554</v>
      </c>
      <c r="K1195" s="711">
        <v>43268</v>
      </c>
      <c r="L1195" t="s">
        <v>3184</v>
      </c>
      <c r="M1195" t="s">
        <v>1280</v>
      </c>
      <c r="N1195" t="s">
        <v>1280</v>
      </c>
      <c r="O1195" t="s">
        <v>44</v>
      </c>
      <c r="P1195" t="s">
        <v>75</v>
      </c>
      <c r="Q1195" t="s">
        <v>1442</v>
      </c>
      <c r="R1195" t="s">
        <v>2856</v>
      </c>
      <c r="S1195">
        <v>2500000</v>
      </c>
      <c r="T1195">
        <v>120000000</v>
      </c>
      <c r="U1195">
        <v>86086631.519999996</v>
      </c>
      <c r="Y1195" s="392"/>
      <c r="Z1195"/>
    </row>
    <row r="1196" spans="1:26" x14ac:dyDescent="0.25">
      <c r="A1196">
        <v>201116</v>
      </c>
      <c r="B1196" t="s">
        <v>4910</v>
      </c>
      <c r="C1196" t="s">
        <v>4912</v>
      </c>
      <c r="D1196" t="s">
        <v>1866</v>
      </c>
      <c r="E1196">
        <v>-18</v>
      </c>
      <c r="F1196" s="105">
        <v>3602882.27</v>
      </c>
      <c r="G1196" t="s">
        <v>2538</v>
      </c>
      <c r="H1196">
        <v>55044.03</v>
      </c>
      <c r="I1196">
        <v>4065490.11</v>
      </c>
      <c r="J1196" s="711">
        <v>42905.652842939817</v>
      </c>
      <c r="K1196" s="711">
        <v>43178</v>
      </c>
      <c r="L1196" t="s">
        <v>4913</v>
      </c>
      <c r="M1196" t="s">
        <v>1280</v>
      </c>
      <c r="N1196" t="s">
        <v>1280</v>
      </c>
      <c r="O1196" t="s">
        <v>25</v>
      </c>
      <c r="P1196" t="s">
        <v>88</v>
      </c>
      <c r="Q1196" t="s">
        <v>26</v>
      </c>
      <c r="R1196" t="s">
        <v>2636</v>
      </c>
      <c r="S1196">
        <v>6000000</v>
      </c>
      <c r="T1196">
        <v>300000000</v>
      </c>
      <c r="U1196">
        <v>180144113.5</v>
      </c>
      <c r="Y1196" s="392"/>
      <c r="Z1196"/>
    </row>
    <row r="1197" spans="1:26" x14ac:dyDescent="0.25">
      <c r="A1197">
        <v>201117</v>
      </c>
      <c r="B1197" t="s">
        <v>4911</v>
      </c>
      <c r="C1197" t="s">
        <v>4914</v>
      </c>
      <c r="D1197" t="s">
        <v>1279</v>
      </c>
      <c r="E1197">
        <v>-18</v>
      </c>
      <c r="F1197" s="105">
        <v>3616728.44</v>
      </c>
      <c r="G1197" t="s">
        <v>4844</v>
      </c>
      <c r="H1197">
        <v>59676.02</v>
      </c>
      <c r="I1197">
        <v>4386647.5599999996</v>
      </c>
      <c r="J1197" s="711">
        <v>42905.707433530093</v>
      </c>
      <c r="K1197" s="711">
        <v>43270</v>
      </c>
      <c r="L1197" t="s">
        <v>4915</v>
      </c>
      <c r="M1197" t="s">
        <v>1280</v>
      </c>
      <c r="N1197" t="s">
        <v>1280</v>
      </c>
      <c r="O1197" t="s">
        <v>25</v>
      </c>
      <c r="P1197" t="s">
        <v>26</v>
      </c>
      <c r="Q1197" t="s">
        <v>26</v>
      </c>
      <c r="R1197" t="s">
        <v>2636</v>
      </c>
      <c r="S1197">
        <v>5000000</v>
      </c>
      <c r="T1197">
        <v>270000000</v>
      </c>
      <c r="U1197">
        <v>195303335.75999999</v>
      </c>
      <c r="Y1197" s="392"/>
      <c r="Z1197"/>
    </row>
    <row r="1198" spans="1:26" x14ac:dyDescent="0.25">
      <c r="A1198">
        <v>201118</v>
      </c>
      <c r="B1198" t="s">
        <v>3547</v>
      </c>
      <c r="C1198" t="s">
        <v>3595</v>
      </c>
      <c r="D1198" t="s">
        <v>1282</v>
      </c>
      <c r="E1198">
        <v>-19</v>
      </c>
      <c r="F1198" s="105">
        <v>3231540.02</v>
      </c>
      <c r="G1198" t="s">
        <v>4683</v>
      </c>
      <c r="H1198">
        <v>43087.199999999997</v>
      </c>
      <c r="I1198">
        <v>3698728.34</v>
      </c>
      <c r="J1198" s="711">
        <v>42906.382008136577</v>
      </c>
      <c r="K1198" s="711">
        <v>43210</v>
      </c>
      <c r="L1198" t="s">
        <v>3596</v>
      </c>
      <c r="M1198" t="s">
        <v>1280</v>
      </c>
      <c r="N1198" t="s">
        <v>1280</v>
      </c>
      <c r="O1198" t="s">
        <v>25</v>
      </c>
      <c r="P1198" t="s">
        <v>26</v>
      </c>
      <c r="Q1198" t="s">
        <v>26</v>
      </c>
      <c r="R1198" t="s">
        <v>2856</v>
      </c>
      <c r="S1198">
        <v>5000000</v>
      </c>
      <c r="T1198">
        <v>240000000</v>
      </c>
      <c r="U1198">
        <v>155113920.96000001</v>
      </c>
      <c r="Y1198" s="392"/>
      <c r="Z1198"/>
    </row>
    <row r="1199" spans="1:26" x14ac:dyDescent="0.25">
      <c r="A1199">
        <v>201119</v>
      </c>
      <c r="B1199" t="s">
        <v>4918</v>
      </c>
      <c r="C1199" t="s">
        <v>4920</v>
      </c>
      <c r="D1199" t="s">
        <v>1282</v>
      </c>
      <c r="E1199">
        <v>-19</v>
      </c>
      <c r="F1199" s="105">
        <v>907674.51</v>
      </c>
      <c r="G1199" t="s">
        <v>4919</v>
      </c>
      <c r="H1199">
        <v>13615.12</v>
      </c>
      <c r="I1199">
        <v>969391.94</v>
      </c>
      <c r="J1199" s="711">
        <v>42906.535172800926</v>
      </c>
      <c r="K1199" s="711">
        <v>43089</v>
      </c>
      <c r="L1199" t="s">
        <v>4921</v>
      </c>
      <c r="M1199" t="s">
        <v>1280</v>
      </c>
      <c r="N1199" t="s">
        <v>4922</v>
      </c>
      <c r="O1199" t="s">
        <v>25</v>
      </c>
      <c r="P1199" t="s">
        <v>26</v>
      </c>
      <c r="Q1199" t="s">
        <v>26</v>
      </c>
      <c r="R1199" t="s">
        <v>2636</v>
      </c>
      <c r="S1199">
        <v>2500000</v>
      </c>
      <c r="T1199">
        <v>135000000</v>
      </c>
      <c r="U1199">
        <v>49014423.539999999</v>
      </c>
      <c r="Y1199" s="392"/>
      <c r="Z1199"/>
    </row>
    <row r="1200" spans="1:26" x14ac:dyDescent="0.25">
      <c r="A1200">
        <v>201120</v>
      </c>
      <c r="B1200" t="s">
        <v>4917</v>
      </c>
      <c r="C1200" t="s">
        <v>4923</v>
      </c>
      <c r="D1200" t="s">
        <v>1282</v>
      </c>
      <c r="E1200">
        <v>-19</v>
      </c>
      <c r="F1200" s="105">
        <v>1808364.21</v>
      </c>
      <c r="G1200" t="s">
        <v>2538</v>
      </c>
      <c r="H1200">
        <v>27125.46</v>
      </c>
      <c r="I1200">
        <v>2193323.77</v>
      </c>
      <c r="J1200" s="711">
        <v>42906.51932230324</v>
      </c>
      <c r="K1200" s="711">
        <v>43271</v>
      </c>
      <c r="L1200" t="s">
        <v>4924</v>
      </c>
      <c r="M1200" t="s">
        <v>1280</v>
      </c>
      <c r="N1200" t="s">
        <v>1280</v>
      </c>
      <c r="O1200" t="s">
        <v>25</v>
      </c>
      <c r="P1200" t="s">
        <v>26</v>
      </c>
      <c r="Q1200" t="s">
        <v>26</v>
      </c>
      <c r="R1200" t="s">
        <v>2636</v>
      </c>
      <c r="S1200">
        <v>2500000</v>
      </c>
      <c r="T1200">
        <v>135000000</v>
      </c>
      <c r="U1200">
        <v>97651667.340000004</v>
      </c>
      <c r="Y1200" s="392"/>
      <c r="Z1200"/>
    </row>
    <row r="1201" spans="1:26" x14ac:dyDescent="0.25">
      <c r="A1201">
        <v>201121</v>
      </c>
      <c r="B1201" t="s">
        <v>2236</v>
      </c>
      <c r="C1201" t="s">
        <v>2245</v>
      </c>
      <c r="D1201" t="s">
        <v>1866</v>
      </c>
      <c r="E1201">
        <v>-19</v>
      </c>
      <c r="F1201" s="105">
        <v>4280211.46</v>
      </c>
      <c r="G1201" t="s">
        <v>1448</v>
      </c>
      <c r="H1201">
        <v>52313.7</v>
      </c>
      <c r="I1201">
        <v>5016075.22</v>
      </c>
      <c r="J1201" s="711">
        <v>42906.706998182868</v>
      </c>
      <c r="K1201" s="711">
        <v>43271</v>
      </c>
      <c r="L1201" t="s">
        <v>2246</v>
      </c>
      <c r="M1201" t="s">
        <v>1280</v>
      </c>
      <c r="N1201" t="s">
        <v>1280</v>
      </c>
      <c r="O1201" t="s">
        <v>25</v>
      </c>
      <c r="P1201" t="s">
        <v>88</v>
      </c>
      <c r="Q1201" t="s">
        <v>285</v>
      </c>
      <c r="R1201" t="s">
        <v>2856</v>
      </c>
      <c r="S1201">
        <v>6000000</v>
      </c>
      <c r="T1201">
        <v>264000000</v>
      </c>
      <c r="U1201">
        <v>188329304.24000001</v>
      </c>
      <c r="Y1201" s="392"/>
      <c r="Z1201"/>
    </row>
    <row r="1202" spans="1:26" x14ac:dyDescent="0.25">
      <c r="A1202">
        <v>201123</v>
      </c>
      <c r="B1202" t="s">
        <v>4916</v>
      </c>
      <c r="C1202" t="s">
        <v>4925</v>
      </c>
      <c r="D1202" t="s">
        <v>1283</v>
      </c>
      <c r="E1202">
        <v>-19</v>
      </c>
      <c r="F1202" s="105">
        <v>28372397.239999998</v>
      </c>
      <c r="G1202" t="s">
        <v>1909</v>
      </c>
      <c r="H1202">
        <v>315248.86</v>
      </c>
      <c r="I1202">
        <v>32790874.539999999</v>
      </c>
      <c r="J1202" s="711">
        <v>42906.581479479166</v>
      </c>
      <c r="K1202" s="711">
        <v>43271</v>
      </c>
      <c r="L1202" t="s">
        <v>4926</v>
      </c>
      <c r="M1202" t="s">
        <v>1280</v>
      </c>
      <c r="N1202" t="s">
        <v>1280</v>
      </c>
      <c r="O1202" t="s">
        <v>27</v>
      </c>
      <c r="P1202" t="s">
        <v>116</v>
      </c>
      <c r="Q1202" t="s">
        <v>26</v>
      </c>
      <c r="R1202" t="s">
        <v>2636</v>
      </c>
      <c r="S1202">
        <v>40000000</v>
      </c>
      <c r="T1202">
        <v>1600000000</v>
      </c>
      <c r="U1202">
        <v>1134895889.5999999</v>
      </c>
      <c r="Y1202" s="392"/>
      <c r="Z1202"/>
    </row>
    <row r="1203" spans="1:26" x14ac:dyDescent="0.25">
      <c r="A1203">
        <v>201124</v>
      </c>
      <c r="B1203" t="s">
        <v>2593</v>
      </c>
      <c r="C1203" t="s">
        <v>2599</v>
      </c>
      <c r="D1203" t="s">
        <v>1285</v>
      </c>
      <c r="E1203">
        <v>-20</v>
      </c>
      <c r="F1203" s="105">
        <v>10190728.93</v>
      </c>
      <c r="G1203" t="s">
        <v>284</v>
      </c>
      <c r="H1203">
        <v>56049.01</v>
      </c>
      <c r="I1203">
        <v>13561161.390000001</v>
      </c>
      <c r="J1203" s="711">
        <v>42906.719259953701</v>
      </c>
      <c r="K1203" s="711">
        <v>44003</v>
      </c>
      <c r="L1203" t="s">
        <v>2600</v>
      </c>
      <c r="M1203" t="s">
        <v>1280</v>
      </c>
      <c r="N1203" t="s">
        <v>1280</v>
      </c>
      <c r="O1203" t="s">
        <v>43</v>
      </c>
      <c r="P1203" t="s">
        <v>338</v>
      </c>
      <c r="Q1203" t="s">
        <v>339</v>
      </c>
      <c r="R1203" t="s">
        <v>2636</v>
      </c>
      <c r="S1203">
        <v>11090000</v>
      </c>
      <c r="T1203">
        <v>243980000</v>
      </c>
      <c r="U1203">
        <v>224196036.46000001</v>
      </c>
      <c r="Y1203" s="392"/>
      <c r="Z1203"/>
    </row>
    <row r="1204" spans="1:26" x14ac:dyDescent="0.25">
      <c r="A1204">
        <v>201125</v>
      </c>
      <c r="B1204" t="s">
        <v>4938</v>
      </c>
      <c r="C1204" t="s">
        <v>4940</v>
      </c>
      <c r="D1204" t="s">
        <v>1284</v>
      </c>
      <c r="E1204">
        <v>-21</v>
      </c>
      <c r="F1204" s="105">
        <v>10639648.98</v>
      </c>
      <c r="G1204" t="s">
        <v>2538</v>
      </c>
      <c r="H1204">
        <v>94574.66</v>
      </c>
      <c r="I1204">
        <v>12296577.98</v>
      </c>
      <c r="J1204" s="711">
        <v>42908.44984548611</v>
      </c>
      <c r="K1204" s="711">
        <v>43273</v>
      </c>
      <c r="L1204" t="s">
        <v>4941</v>
      </c>
      <c r="M1204" t="s">
        <v>1280</v>
      </c>
      <c r="N1204" t="s">
        <v>4942</v>
      </c>
      <c r="O1204" t="s">
        <v>44</v>
      </c>
      <c r="P1204" t="s">
        <v>26</v>
      </c>
      <c r="Q1204" t="s">
        <v>26</v>
      </c>
      <c r="R1204" t="s">
        <v>2636</v>
      </c>
      <c r="S1204">
        <v>15000000</v>
      </c>
      <c r="T1204">
        <v>600000000</v>
      </c>
      <c r="U1204">
        <v>425585959.19999999</v>
      </c>
      <c r="Y1204" s="392"/>
      <c r="Z1204"/>
    </row>
    <row r="1205" spans="1:26" x14ac:dyDescent="0.25">
      <c r="A1205">
        <v>201126</v>
      </c>
      <c r="B1205" t="s">
        <v>4949</v>
      </c>
      <c r="C1205" t="s">
        <v>4950</v>
      </c>
      <c r="D1205" t="s">
        <v>1283</v>
      </c>
      <c r="E1205">
        <v>7</v>
      </c>
      <c r="F1205" s="105">
        <v>31423796.66</v>
      </c>
      <c r="G1205" t="s">
        <v>491</v>
      </c>
      <c r="H1205">
        <v>1236609.2</v>
      </c>
      <c r="I1205">
        <v>36889733.850000001</v>
      </c>
      <c r="J1205" s="711">
        <v>42910.50086177083</v>
      </c>
      <c r="K1205" s="711">
        <v>43275</v>
      </c>
      <c r="L1205" t="s">
        <v>4951</v>
      </c>
      <c r="M1205" t="s">
        <v>1280</v>
      </c>
      <c r="N1205" t="s">
        <v>1280</v>
      </c>
      <c r="O1205" t="s">
        <v>25</v>
      </c>
      <c r="P1205" t="s">
        <v>26</v>
      </c>
      <c r="Q1205" t="s">
        <v>26</v>
      </c>
      <c r="R1205" t="s">
        <v>2636</v>
      </c>
      <c r="S1205">
        <v>40000000</v>
      </c>
      <c r="T1205">
        <v>1600000000</v>
      </c>
      <c r="U1205">
        <v>1256951866.4000001</v>
      </c>
      <c r="Y1205" s="392"/>
      <c r="Z1205"/>
    </row>
    <row r="1206" spans="1:26" x14ac:dyDescent="0.25">
      <c r="A1206">
        <v>201127</v>
      </c>
      <c r="B1206" t="s">
        <v>2875</v>
      </c>
      <c r="C1206" t="s">
        <v>2878</v>
      </c>
      <c r="D1206" t="s">
        <v>1282</v>
      </c>
      <c r="E1206">
        <v>-20</v>
      </c>
      <c r="F1206" s="105">
        <v>2152165.7799999998</v>
      </c>
      <c r="G1206" t="s">
        <v>4684</v>
      </c>
      <c r="H1206">
        <v>25825.99</v>
      </c>
      <c r="I1206">
        <v>2557252.15</v>
      </c>
      <c r="J1206" s="711">
        <v>42907.513442013886</v>
      </c>
      <c r="K1206" s="711">
        <v>43272</v>
      </c>
      <c r="L1206" t="s">
        <v>2879</v>
      </c>
      <c r="M1206" t="s">
        <v>2880</v>
      </c>
      <c r="N1206" t="s">
        <v>1280</v>
      </c>
      <c r="O1206" t="s">
        <v>25</v>
      </c>
      <c r="P1206" t="s">
        <v>88</v>
      </c>
      <c r="Q1206" t="s">
        <v>285</v>
      </c>
      <c r="R1206" t="s">
        <v>2856</v>
      </c>
      <c r="S1206">
        <v>3000000</v>
      </c>
      <c r="T1206">
        <v>144000000</v>
      </c>
      <c r="U1206">
        <v>103303957.44</v>
      </c>
      <c r="Y1206" s="392"/>
      <c r="Z1206"/>
    </row>
    <row r="1207" spans="1:26" x14ac:dyDescent="0.25">
      <c r="A1207">
        <v>201131</v>
      </c>
      <c r="B1207" t="s">
        <v>4943</v>
      </c>
      <c r="C1207" t="s">
        <v>4945</v>
      </c>
      <c r="D1207" t="s">
        <v>1284</v>
      </c>
      <c r="E1207">
        <v>-22</v>
      </c>
      <c r="F1207" s="105">
        <v>30901033.879999999</v>
      </c>
      <c r="G1207" t="s">
        <v>1925</v>
      </c>
      <c r="H1207">
        <v>240341.37</v>
      </c>
      <c r="I1207">
        <v>42831414.939999998</v>
      </c>
      <c r="J1207" s="711">
        <v>42909.555756562499</v>
      </c>
      <c r="K1207" s="711">
        <v>43639</v>
      </c>
      <c r="L1207" t="s">
        <v>4946</v>
      </c>
      <c r="M1207" t="s">
        <v>1280</v>
      </c>
      <c r="N1207" t="s">
        <v>1280</v>
      </c>
      <c r="O1207" t="s">
        <v>27</v>
      </c>
      <c r="P1207" t="s">
        <v>116</v>
      </c>
      <c r="Q1207" t="s">
        <v>1739</v>
      </c>
      <c r="R1207" t="s">
        <v>2636</v>
      </c>
      <c r="S1207">
        <v>35000000</v>
      </c>
      <c r="T1207">
        <v>1400000000</v>
      </c>
      <c r="U1207">
        <v>1236041355.2</v>
      </c>
      <c r="Y1207" s="392"/>
      <c r="Z1207"/>
    </row>
    <row r="1208" spans="1:26" x14ac:dyDescent="0.25">
      <c r="A1208">
        <v>201132</v>
      </c>
      <c r="B1208" t="s">
        <v>3668</v>
      </c>
      <c r="C1208" t="s">
        <v>3674</v>
      </c>
      <c r="D1208" t="s">
        <v>1279</v>
      </c>
      <c r="E1208">
        <v>-22</v>
      </c>
      <c r="F1208" s="105">
        <v>2152165.7799999998</v>
      </c>
      <c r="G1208" t="s">
        <v>2034</v>
      </c>
      <c r="H1208">
        <v>20086.88</v>
      </c>
      <c r="I1208">
        <v>2557252.15</v>
      </c>
      <c r="J1208" s="711">
        <v>42909.715059178241</v>
      </c>
      <c r="K1208" s="711">
        <v>43274</v>
      </c>
      <c r="L1208" t="s">
        <v>3675</v>
      </c>
      <c r="M1208" t="s">
        <v>1280</v>
      </c>
      <c r="N1208" t="s">
        <v>1280</v>
      </c>
      <c r="O1208" t="s">
        <v>25</v>
      </c>
      <c r="P1208" t="s">
        <v>88</v>
      </c>
      <c r="Q1208" t="s">
        <v>285</v>
      </c>
      <c r="R1208" t="s">
        <v>2856</v>
      </c>
      <c r="S1208">
        <v>3000000</v>
      </c>
      <c r="T1208">
        <v>144000000</v>
      </c>
      <c r="U1208">
        <v>103303957.44</v>
      </c>
      <c r="Y1208" s="392"/>
      <c r="Z1208"/>
    </row>
    <row r="1209" spans="1:26" x14ac:dyDescent="0.25">
      <c r="A1209">
        <v>201134</v>
      </c>
      <c r="B1209" t="s">
        <v>4944</v>
      </c>
      <c r="C1209" t="s">
        <v>4947</v>
      </c>
      <c r="D1209" t="s">
        <v>1281</v>
      </c>
      <c r="E1209">
        <v>8</v>
      </c>
      <c r="F1209" s="105">
        <v>15745468.880000001</v>
      </c>
      <c r="G1209" t="s">
        <v>2175</v>
      </c>
      <c r="H1209">
        <v>545956.6</v>
      </c>
      <c r="I1209">
        <v>18505789.829999998</v>
      </c>
      <c r="J1209" s="711">
        <v>42909.698539201388</v>
      </c>
      <c r="K1209" s="711">
        <v>43274</v>
      </c>
      <c r="L1209" t="s">
        <v>4948</v>
      </c>
      <c r="M1209" t="s">
        <v>1280</v>
      </c>
      <c r="N1209" t="s">
        <v>1280</v>
      </c>
      <c r="O1209" t="s">
        <v>44</v>
      </c>
      <c r="P1209" t="s">
        <v>75</v>
      </c>
      <c r="Q1209" t="s">
        <v>1442</v>
      </c>
      <c r="R1209" t="s">
        <v>2856</v>
      </c>
      <c r="S1209">
        <v>20000000</v>
      </c>
      <c r="T1209">
        <v>840000000</v>
      </c>
      <c r="U1209">
        <v>661309692.96000004</v>
      </c>
      <c r="Y1209" s="392"/>
      <c r="Z1209"/>
    </row>
    <row r="1210" spans="1:26" x14ac:dyDescent="0.25">
      <c r="A1210">
        <v>201136</v>
      </c>
      <c r="B1210" t="s">
        <v>4952</v>
      </c>
      <c r="C1210" t="s">
        <v>4959</v>
      </c>
      <c r="D1210" t="s">
        <v>1283</v>
      </c>
      <c r="E1210">
        <v>0</v>
      </c>
      <c r="F1210" s="105">
        <v>31592741.809999999</v>
      </c>
      <c r="G1210" t="s">
        <v>1925</v>
      </c>
      <c r="H1210">
        <v>1017988.35</v>
      </c>
      <c r="I1210">
        <v>37088065.759999998</v>
      </c>
      <c r="J1210" s="711">
        <v>42912.623562002314</v>
      </c>
      <c r="K1210" s="711">
        <v>43282</v>
      </c>
      <c r="L1210" t="s">
        <v>4960</v>
      </c>
      <c r="M1210" t="s">
        <v>5078</v>
      </c>
      <c r="N1210" t="s">
        <v>4961</v>
      </c>
      <c r="O1210" t="s">
        <v>27</v>
      </c>
      <c r="P1210" t="s">
        <v>26</v>
      </c>
      <c r="Q1210" t="s">
        <v>26</v>
      </c>
      <c r="R1210" t="s">
        <v>2636</v>
      </c>
      <c r="S1210">
        <v>40000000</v>
      </c>
      <c r="T1210">
        <v>1600000000</v>
      </c>
      <c r="U1210">
        <v>1263709672.4000001</v>
      </c>
      <c r="Y1210" s="392"/>
      <c r="Z1210"/>
    </row>
    <row r="1211" spans="1:26" x14ac:dyDescent="0.25">
      <c r="A1211">
        <v>201137</v>
      </c>
      <c r="B1211" t="s">
        <v>4955</v>
      </c>
      <c r="C1211" t="s">
        <v>4962</v>
      </c>
      <c r="D1211" t="s">
        <v>1279</v>
      </c>
      <c r="E1211">
        <v>0</v>
      </c>
      <c r="F1211" s="105">
        <v>2147159.52</v>
      </c>
      <c r="G1211" t="s">
        <v>4919</v>
      </c>
      <c r="H1211">
        <v>93401.44</v>
      </c>
      <c r="I1211">
        <v>2343238.2999999998</v>
      </c>
      <c r="J1211" s="711">
        <v>42912.715486307869</v>
      </c>
      <c r="K1211" s="711">
        <v>43101</v>
      </c>
      <c r="L1211" t="s">
        <v>4963</v>
      </c>
      <c r="M1211" t="s">
        <v>4964</v>
      </c>
      <c r="N1211" t="s">
        <v>1280</v>
      </c>
      <c r="O1211" t="s">
        <v>25</v>
      </c>
      <c r="P1211" t="s">
        <v>26</v>
      </c>
      <c r="Q1211" t="s">
        <v>26</v>
      </c>
      <c r="R1211" t="s">
        <v>2636</v>
      </c>
      <c r="S1211">
        <v>4000000</v>
      </c>
      <c r="T1211">
        <v>216000000</v>
      </c>
      <c r="U1211">
        <v>115946614.08</v>
      </c>
      <c r="Y1211" s="392"/>
      <c r="Z1211"/>
    </row>
    <row r="1212" spans="1:26" x14ac:dyDescent="0.25">
      <c r="A1212">
        <v>201138</v>
      </c>
      <c r="B1212" t="s">
        <v>4953</v>
      </c>
      <c r="C1212" t="s">
        <v>4965</v>
      </c>
      <c r="D1212" t="s">
        <v>1279</v>
      </c>
      <c r="E1212">
        <v>-24</v>
      </c>
      <c r="F1212" s="105">
        <v>1627275.47</v>
      </c>
      <c r="G1212" t="s">
        <v>2855</v>
      </c>
      <c r="H1212">
        <v>12204.57</v>
      </c>
      <c r="I1212">
        <v>1892961.27</v>
      </c>
      <c r="J1212" s="711">
        <v>42912.698358368056</v>
      </c>
      <c r="K1212" s="711">
        <v>43215</v>
      </c>
      <c r="L1212" t="s">
        <v>4966</v>
      </c>
      <c r="M1212" t="s">
        <v>4967</v>
      </c>
      <c r="N1212" t="s">
        <v>1280</v>
      </c>
      <c r="O1212" t="s">
        <v>25</v>
      </c>
      <c r="P1212" t="s">
        <v>88</v>
      </c>
      <c r="Q1212" t="s">
        <v>285</v>
      </c>
      <c r="R1212" t="s">
        <v>2636</v>
      </c>
      <c r="S1212">
        <v>2500000</v>
      </c>
      <c r="T1212">
        <v>135000000</v>
      </c>
      <c r="U1212">
        <v>87872875.379999995</v>
      </c>
    </row>
    <row r="1213" spans="1:26" x14ac:dyDescent="0.25">
      <c r="A1213">
        <v>201139</v>
      </c>
      <c r="B1213" t="s">
        <v>4968</v>
      </c>
      <c r="C1213" t="s">
        <v>4970</v>
      </c>
      <c r="D1213" t="s">
        <v>1279</v>
      </c>
      <c r="E1213">
        <v>30</v>
      </c>
      <c r="F1213" s="105">
        <v>1572946.23</v>
      </c>
      <c r="G1213" t="s">
        <v>4683</v>
      </c>
      <c r="H1213">
        <v>129019.01</v>
      </c>
      <c r="I1213">
        <v>1829761.67</v>
      </c>
      <c r="J1213" s="711">
        <v>42913.683103437499</v>
      </c>
      <c r="K1213" s="711">
        <v>43160</v>
      </c>
      <c r="L1213" t="s">
        <v>4971</v>
      </c>
      <c r="M1213" t="s">
        <v>1280</v>
      </c>
      <c r="N1213" t="s">
        <v>1280</v>
      </c>
      <c r="O1213" t="s">
        <v>25</v>
      </c>
      <c r="P1213" t="s">
        <v>88</v>
      </c>
      <c r="Q1213" t="s">
        <v>285</v>
      </c>
      <c r="R1213" t="s">
        <v>2636</v>
      </c>
      <c r="S1213">
        <v>2000000</v>
      </c>
      <c r="T1213">
        <v>108000000</v>
      </c>
      <c r="U1213">
        <v>84939096.420000002</v>
      </c>
    </row>
    <row r="1214" spans="1:26" x14ac:dyDescent="0.25">
      <c r="A1214">
        <v>201140</v>
      </c>
      <c r="B1214" t="s">
        <v>4969</v>
      </c>
      <c r="C1214" t="s">
        <v>4972</v>
      </c>
      <c r="D1214" t="s">
        <v>1286</v>
      </c>
      <c r="E1214">
        <v>-20</v>
      </c>
      <c r="F1214" s="105">
        <v>933665.52</v>
      </c>
      <c r="G1214" t="s">
        <v>284</v>
      </c>
      <c r="H1214">
        <v>5835.41</v>
      </c>
      <c r="I1214">
        <v>953116.89</v>
      </c>
      <c r="J1214" s="711">
        <v>42913.550699918982</v>
      </c>
      <c r="K1214" s="711">
        <v>43060</v>
      </c>
      <c r="L1214" t="s">
        <v>4973</v>
      </c>
      <c r="M1214" t="s">
        <v>1280</v>
      </c>
      <c r="N1214" t="s">
        <v>1280</v>
      </c>
      <c r="O1214" t="s">
        <v>28</v>
      </c>
      <c r="P1214" t="s">
        <v>108</v>
      </c>
      <c r="Q1214" t="s">
        <v>26</v>
      </c>
      <c r="R1214" t="s">
        <v>2636</v>
      </c>
      <c r="S1214">
        <v>4500000</v>
      </c>
      <c r="T1214">
        <v>112500000</v>
      </c>
      <c r="U1214">
        <v>23341638</v>
      </c>
    </row>
    <row r="1215" spans="1:26" x14ac:dyDescent="0.25">
      <c r="A1215">
        <v>201141</v>
      </c>
      <c r="B1215" t="s">
        <v>4061</v>
      </c>
      <c r="C1215" t="s">
        <v>4065</v>
      </c>
      <c r="D1215" t="s">
        <v>1286</v>
      </c>
      <c r="E1215">
        <v>-20</v>
      </c>
      <c r="F1215" s="105">
        <v>165984.97</v>
      </c>
      <c r="G1215" t="s">
        <v>284</v>
      </c>
      <c r="H1215">
        <v>1037.4100000000001</v>
      </c>
      <c r="I1215">
        <v>169442.99</v>
      </c>
      <c r="J1215" s="711">
        <v>42913.683876388888</v>
      </c>
      <c r="K1215" s="711">
        <v>43060</v>
      </c>
      <c r="L1215" t="s">
        <v>4066</v>
      </c>
      <c r="M1215" t="s">
        <v>1280</v>
      </c>
      <c r="N1215" t="s">
        <v>1280</v>
      </c>
      <c r="O1215" t="s">
        <v>28</v>
      </c>
      <c r="P1215" t="s">
        <v>108</v>
      </c>
      <c r="Q1215" t="s">
        <v>26</v>
      </c>
      <c r="R1215" t="s">
        <v>2636</v>
      </c>
      <c r="S1215">
        <v>800000</v>
      </c>
      <c r="T1215">
        <v>20000000</v>
      </c>
      <c r="U1215">
        <v>4149624.25</v>
      </c>
    </row>
    <row r="1216" spans="1:26" x14ac:dyDescent="0.25">
      <c r="A1216">
        <v>201142</v>
      </c>
      <c r="B1216" t="s">
        <v>4974</v>
      </c>
      <c r="C1216" t="s">
        <v>4975</v>
      </c>
      <c r="D1216" t="s">
        <v>1282</v>
      </c>
      <c r="E1216">
        <v>0</v>
      </c>
      <c r="F1216" s="105">
        <v>3342144.56</v>
      </c>
      <c r="G1216" t="s">
        <v>4686</v>
      </c>
      <c r="H1216">
        <v>145383.29</v>
      </c>
      <c r="I1216">
        <v>3806562.95</v>
      </c>
      <c r="J1216" s="711">
        <v>42914.675568865743</v>
      </c>
      <c r="K1216" s="711">
        <v>43160</v>
      </c>
      <c r="L1216" t="s">
        <v>4976</v>
      </c>
      <c r="M1216" t="s">
        <v>1280</v>
      </c>
      <c r="N1216" t="s">
        <v>1280</v>
      </c>
      <c r="O1216" t="s">
        <v>25</v>
      </c>
      <c r="P1216" t="s">
        <v>26</v>
      </c>
      <c r="Q1216" t="s">
        <v>26</v>
      </c>
      <c r="R1216" t="s">
        <v>2636</v>
      </c>
      <c r="S1216">
        <v>5000000</v>
      </c>
      <c r="T1216">
        <v>270000000</v>
      </c>
      <c r="U1216">
        <v>180475806.24000001</v>
      </c>
    </row>
    <row r="1217" spans="1:21" x14ac:dyDescent="0.25">
      <c r="A1217">
        <v>201144</v>
      </c>
      <c r="B1217" t="s">
        <v>4977</v>
      </c>
      <c r="C1217" t="s">
        <v>4978</v>
      </c>
      <c r="D1217" t="s">
        <v>1282</v>
      </c>
      <c r="E1217">
        <v>0</v>
      </c>
      <c r="F1217" s="105">
        <v>4004841.35</v>
      </c>
      <c r="G1217" t="s">
        <v>2855</v>
      </c>
      <c r="H1217">
        <v>174210.6</v>
      </c>
      <c r="I1217">
        <v>4561346.88</v>
      </c>
      <c r="J1217" s="711">
        <v>42915.478969247684</v>
      </c>
      <c r="K1217" s="711">
        <v>43160</v>
      </c>
      <c r="L1217" t="s">
        <v>4979</v>
      </c>
      <c r="M1217" t="s">
        <v>1280</v>
      </c>
      <c r="N1217" t="s">
        <v>1280</v>
      </c>
      <c r="O1217" t="s">
        <v>25</v>
      </c>
      <c r="P1217" t="s">
        <v>26</v>
      </c>
      <c r="Q1217" t="s">
        <v>26</v>
      </c>
      <c r="R1217" t="s">
        <v>2636</v>
      </c>
      <c r="S1217">
        <v>6000000</v>
      </c>
      <c r="T1217">
        <v>324000000</v>
      </c>
      <c r="U1217">
        <v>216261432.90000001</v>
      </c>
    </row>
    <row r="1218" spans="1:21" x14ac:dyDescent="0.25">
      <c r="A1218">
        <v>201145</v>
      </c>
      <c r="B1218" t="s">
        <v>1931</v>
      </c>
      <c r="C1218" t="s">
        <v>1932</v>
      </c>
      <c r="D1218" t="s">
        <v>1284</v>
      </c>
      <c r="E1218">
        <v>-23</v>
      </c>
      <c r="F1218" s="105">
        <v>12995773.16</v>
      </c>
      <c r="G1218" t="s">
        <v>1467</v>
      </c>
      <c r="H1218">
        <v>77974.64</v>
      </c>
      <c r="I1218">
        <v>14810647.300000001</v>
      </c>
      <c r="J1218" s="711">
        <v>42914.672504629627</v>
      </c>
      <c r="K1218" s="711">
        <v>43275</v>
      </c>
      <c r="L1218" t="s">
        <v>1933</v>
      </c>
      <c r="M1218" t="s">
        <v>1280</v>
      </c>
      <c r="N1218" t="s">
        <v>1280</v>
      </c>
      <c r="O1218" t="s">
        <v>25</v>
      </c>
      <c r="P1218" t="s">
        <v>88</v>
      </c>
      <c r="Q1218" t="s">
        <v>285</v>
      </c>
      <c r="R1218" t="s">
        <v>2856</v>
      </c>
      <c r="S1218">
        <v>18500000</v>
      </c>
      <c r="T1218">
        <v>666000000</v>
      </c>
      <c r="U1218">
        <v>467847833.75999999</v>
      </c>
    </row>
    <row r="1219" spans="1:21" x14ac:dyDescent="0.25">
      <c r="A1219">
        <v>201147</v>
      </c>
      <c r="B1219" t="s">
        <v>4980</v>
      </c>
      <c r="C1219" t="s">
        <v>4985</v>
      </c>
      <c r="D1219" t="s">
        <v>1282</v>
      </c>
      <c r="E1219">
        <v>-23</v>
      </c>
      <c r="F1219" s="105">
        <v>2696095.97</v>
      </c>
      <c r="G1219" t="s">
        <v>1909</v>
      </c>
      <c r="H1219">
        <v>24264.86</v>
      </c>
      <c r="I1219">
        <v>3006078.51</v>
      </c>
      <c r="J1219" s="711">
        <v>42916.451436493058</v>
      </c>
      <c r="K1219" s="711">
        <v>43155</v>
      </c>
      <c r="L1219" t="s">
        <v>4986</v>
      </c>
      <c r="M1219" t="s">
        <v>1280</v>
      </c>
      <c r="N1219" t="s">
        <v>4987</v>
      </c>
      <c r="O1219" t="s">
        <v>25</v>
      </c>
      <c r="P1219" t="s">
        <v>88</v>
      </c>
      <c r="Q1219" t="s">
        <v>285</v>
      </c>
      <c r="R1219" t="s">
        <v>2636</v>
      </c>
      <c r="S1219">
        <v>5000000</v>
      </c>
      <c r="T1219">
        <v>270000000</v>
      </c>
      <c r="U1219">
        <v>145589182.38</v>
      </c>
    </row>
    <row r="1220" spans="1:21" x14ac:dyDescent="0.25">
      <c r="A1220">
        <v>201148</v>
      </c>
      <c r="B1220" t="s">
        <v>4981</v>
      </c>
      <c r="C1220" t="s">
        <v>4988</v>
      </c>
      <c r="D1220" t="s">
        <v>1282</v>
      </c>
      <c r="E1220">
        <v>0</v>
      </c>
      <c r="F1220" s="105">
        <v>1666295.5</v>
      </c>
      <c r="G1220" t="s">
        <v>4844</v>
      </c>
      <c r="H1220">
        <v>72483.850000000006</v>
      </c>
      <c r="I1220">
        <v>1897840.92</v>
      </c>
      <c r="J1220" s="711">
        <v>42916.555747106482</v>
      </c>
      <c r="K1220" s="711">
        <v>43160</v>
      </c>
      <c r="L1220" t="s">
        <v>4989</v>
      </c>
      <c r="M1220" t="s">
        <v>1280</v>
      </c>
      <c r="N1220" t="s">
        <v>1280</v>
      </c>
      <c r="O1220" t="s">
        <v>25</v>
      </c>
      <c r="P1220" t="s">
        <v>26</v>
      </c>
      <c r="Q1220" t="s">
        <v>26</v>
      </c>
      <c r="R1220" t="s">
        <v>2636</v>
      </c>
      <c r="S1220">
        <v>2500000</v>
      </c>
      <c r="T1220">
        <v>135000000</v>
      </c>
      <c r="U1220">
        <v>89979957</v>
      </c>
    </row>
    <row r="1221" spans="1:21" x14ac:dyDescent="0.25">
      <c r="A1221">
        <v>201151</v>
      </c>
      <c r="B1221" t="s">
        <v>4990</v>
      </c>
      <c r="C1221" t="s">
        <v>4991</v>
      </c>
      <c r="D1221" t="s">
        <v>1284</v>
      </c>
      <c r="E1221">
        <v>-3</v>
      </c>
      <c r="F1221" s="105">
        <v>9427139.0099999998</v>
      </c>
      <c r="G1221" t="s">
        <v>2855</v>
      </c>
      <c r="H1221">
        <v>272339.57</v>
      </c>
      <c r="I1221">
        <v>11066920.17</v>
      </c>
      <c r="J1221" s="711">
        <v>42920.705316631946</v>
      </c>
      <c r="K1221" s="711">
        <v>43285</v>
      </c>
      <c r="L1221" t="s">
        <v>4992</v>
      </c>
      <c r="M1221" t="s">
        <v>4993</v>
      </c>
      <c r="N1221" t="s">
        <v>1280</v>
      </c>
      <c r="O1221" t="s">
        <v>44</v>
      </c>
      <c r="P1221" t="s">
        <v>26</v>
      </c>
      <c r="Q1221" t="s">
        <v>26</v>
      </c>
      <c r="R1221" t="s">
        <v>2636</v>
      </c>
      <c r="S1221">
        <v>12000000</v>
      </c>
      <c r="T1221">
        <v>480000000</v>
      </c>
      <c r="U1221">
        <v>377085560.39999998</v>
      </c>
    </row>
    <row r="1222" spans="1:21" x14ac:dyDescent="0.25">
      <c r="A1222">
        <v>201155</v>
      </c>
      <c r="B1222" t="s">
        <v>5000</v>
      </c>
      <c r="C1222" t="s">
        <v>5001</v>
      </c>
      <c r="D1222" t="s">
        <v>1279</v>
      </c>
      <c r="E1222">
        <v>-7</v>
      </c>
      <c r="F1222" s="105">
        <v>3985702.76</v>
      </c>
      <c r="G1222" t="s">
        <v>2861</v>
      </c>
      <c r="H1222">
        <v>131528.19</v>
      </c>
      <c r="I1222">
        <v>4934978.5</v>
      </c>
      <c r="J1222" s="711">
        <v>42924.449294756945</v>
      </c>
      <c r="K1222" s="711">
        <v>43289</v>
      </c>
      <c r="L1222" t="s">
        <v>5002</v>
      </c>
      <c r="M1222" t="s">
        <v>5003</v>
      </c>
      <c r="N1222" t="s">
        <v>1280</v>
      </c>
      <c r="O1222" t="s">
        <v>25</v>
      </c>
      <c r="P1222" t="s">
        <v>88</v>
      </c>
      <c r="Q1222" t="s">
        <v>285</v>
      </c>
      <c r="R1222" t="s">
        <v>2636</v>
      </c>
      <c r="S1222">
        <v>5000000</v>
      </c>
      <c r="T1222">
        <v>270000000</v>
      </c>
      <c r="U1222">
        <v>215227949.03999999</v>
      </c>
    </row>
    <row r="1223" spans="1:21" x14ac:dyDescent="0.25">
      <c r="A1223">
        <v>201156</v>
      </c>
      <c r="B1223" t="s">
        <v>2556</v>
      </c>
      <c r="C1223" t="s">
        <v>2570</v>
      </c>
      <c r="D1223" t="s">
        <v>1284</v>
      </c>
      <c r="E1223">
        <v>-23</v>
      </c>
      <c r="F1223" s="105">
        <v>27852486.829999998</v>
      </c>
      <c r="G1223" t="s">
        <v>2557</v>
      </c>
      <c r="H1223">
        <v>167114.92000000001</v>
      </c>
      <c r="I1223">
        <v>31742117.530000001</v>
      </c>
      <c r="J1223" s="711">
        <v>42923.554305983795</v>
      </c>
      <c r="K1223" s="711">
        <v>43275</v>
      </c>
      <c r="L1223" t="s">
        <v>2571</v>
      </c>
      <c r="M1223" t="s">
        <v>1280</v>
      </c>
      <c r="N1223" t="s">
        <v>1280</v>
      </c>
      <c r="O1223" t="s">
        <v>25</v>
      </c>
      <c r="P1223" t="s">
        <v>88</v>
      </c>
      <c r="Q1223" t="s">
        <v>26</v>
      </c>
      <c r="R1223" t="s">
        <v>2856</v>
      </c>
      <c r="S1223">
        <v>40000000</v>
      </c>
      <c r="T1223">
        <v>1440000000</v>
      </c>
      <c r="U1223">
        <v>1002689525.88</v>
      </c>
    </row>
    <row r="1224" spans="1:21" x14ac:dyDescent="0.25">
      <c r="A1224">
        <v>201157</v>
      </c>
      <c r="B1224" t="s">
        <v>4998</v>
      </c>
      <c r="C1224" t="s">
        <v>5004</v>
      </c>
      <c r="D1224" t="s">
        <v>1284</v>
      </c>
      <c r="E1224">
        <v>-6</v>
      </c>
      <c r="F1224" s="105">
        <v>5868914.1500000004</v>
      </c>
      <c r="G1224" t="s">
        <v>2538</v>
      </c>
      <c r="H1224">
        <v>149983.35999999999</v>
      </c>
      <c r="I1224">
        <v>6677071.8300000001</v>
      </c>
      <c r="J1224" s="711">
        <v>42923.538885798611</v>
      </c>
      <c r="K1224" s="711">
        <v>43227</v>
      </c>
      <c r="L1224" t="s">
        <v>5005</v>
      </c>
      <c r="M1224" t="s">
        <v>1280</v>
      </c>
      <c r="N1224" t="s">
        <v>5006</v>
      </c>
      <c r="O1224" t="s">
        <v>25</v>
      </c>
      <c r="P1224" t="s">
        <v>88</v>
      </c>
      <c r="Q1224" t="s">
        <v>285</v>
      </c>
      <c r="R1224" t="s">
        <v>2636</v>
      </c>
      <c r="S1224">
        <v>8000000</v>
      </c>
      <c r="T1224">
        <v>320000000</v>
      </c>
      <c r="U1224">
        <v>234756566</v>
      </c>
    </row>
    <row r="1225" spans="1:21" x14ac:dyDescent="0.25">
      <c r="A1225">
        <v>201158</v>
      </c>
      <c r="B1225" t="s">
        <v>4997</v>
      </c>
      <c r="C1225" t="s">
        <v>5007</v>
      </c>
      <c r="D1225" t="s">
        <v>1282</v>
      </c>
      <c r="E1225">
        <v>-6</v>
      </c>
      <c r="F1225" s="105">
        <v>3985702.76</v>
      </c>
      <c r="G1225" t="s">
        <v>1909</v>
      </c>
      <c r="H1225">
        <v>137506.75</v>
      </c>
      <c r="I1225">
        <v>4934978.5</v>
      </c>
      <c r="J1225" s="711">
        <v>42923.680977777774</v>
      </c>
      <c r="K1225" s="711">
        <v>43288</v>
      </c>
      <c r="L1225" t="s">
        <v>5008</v>
      </c>
      <c r="M1225" t="s">
        <v>1280</v>
      </c>
      <c r="N1225" t="s">
        <v>1280</v>
      </c>
      <c r="O1225" t="s">
        <v>25</v>
      </c>
      <c r="P1225" t="s">
        <v>88</v>
      </c>
      <c r="Q1225" t="s">
        <v>285</v>
      </c>
      <c r="R1225" t="s">
        <v>2636</v>
      </c>
      <c r="S1225">
        <v>5000000</v>
      </c>
      <c r="T1225">
        <v>270000000</v>
      </c>
      <c r="U1225">
        <v>215227949.03999999</v>
      </c>
    </row>
    <row r="1226" spans="1:21" x14ac:dyDescent="0.25">
      <c r="A1226">
        <v>201159</v>
      </c>
      <c r="B1226" t="s">
        <v>4999</v>
      </c>
      <c r="C1226" t="s">
        <v>5009</v>
      </c>
      <c r="D1226" t="s">
        <v>1279</v>
      </c>
      <c r="E1226">
        <v>-7</v>
      </c>
      <c r="F1226" s="105">
        <v>1598894.34</v>
      </c>
      <c r="G1226" t="s">
        <v>4919</v>
      </c>
      <c r="H1226">
        <v>52763.51</v>
      </c>
      <c r="I1226">
        <v>1744905.5</v>
      </c>
      <c r="J1226" s="711">
        <v>42924.539199652776</v>
      </c>
      <c r="K1226" s="711">
        <v>43108</v>
      </c>
      <c r="L1226" t="s">
        <v>5010</v>
      </c>
      <c r="M1226" t="s">
        <v>1280</v>
      </c>
      <c r="N1226" t="s">
        <v>1280</v>
      </c>
      <c r="O1226" t="s">
        <v>25</v>
      </c>
      <c r="P1226" t="s">
        <v>88</v>
      </c>
      <c r="Q1226" t="s">
        <v>285</v>
      </c>
      <c r="R1226" t="s">
        <v>2636</v>
      </c>
      <c r="S1226">
        <v>3000000</v>
      </c>
      <c r="T1226">
        <v>162000000</v>
      </c>
      <c r="U1226">
        <v>86340294.359999999</v>
      </c>
    </row>
    <row r="1227" spans="1:21" x14ac:dyDescent="0.25">
      <c r="A1227">
        <v>201160</v>
      </c>
      <c r="B1227" t="s">
        <v>5011</v>
      </c>
      <c r="C1227" t="s">
        <v>5013</v>
      </c>
      <c r="D1227" t="s">
        <v>1282</v>
      </c>
      <c r="E1227">
        <v>-9</v>
      </c>
      <c r="F1227" s="105">
        <v>1861781.52</v>
      </c>
      <c r="G1227" t="s">
        <v>4919</v>
      </c>
      <c r="H1227">
        <v>55853.45</v>
      </c>
      <c r="I1227">
        <v>2211629.42</v>
      </c>
      <c r="J1227" s="711">
        <v>42926.598520057873</v>
      </c>
      <c r="K1227" s="711">
        <v>43230</v>
      </c>
      <c r="L1227" t="s">
        <v>5014</v>
      </c>
      <c r="M1227" t="s">
        <v>1280</v>
      </c>
      <c r="N1227" t="s">
        <v>1280</v>
      </c>
      <c r="O1227" t="s">
        <v>25</v>
      </c>
      <c r="P1227" t="s">
        <v>26</v>
      </c>
      <c r="Q1227" t="s">
        <v>26</v>
      </c>
      <c r="R1227" t="s">
        <v>2636</v>
      </c>
      <c r="S1227">
        <v>2500000</v>
      </c>
      <c r="T1227">
        <v>135000000</v>
      </c>
      <c r="U1227">
        <v>100536202.08</v>
      </c>
    </row>
    <row r="1228" spans="1:21" x14ac:dyDescent="0.25">
      <c r="A1228">
        <v>201161</v>
      </c>
      <c r="B1228" t="s">
        <v>5012</v>
      </c>
      <c r="C1228" t="s">
        <v>5015</v>
      </c>
      <c r="D1228" t="s">
        <v>1282</v>
      </c>
      <c r="E1228">
        <v>-9</v>
      </c>
      <c r="F1228" s="105">
        <v>2391421.63</v>
      </c>
      <c r="G1228" t="s">
        <v>1448</v>
      </c>
      <c r="H1228">
        <v>71742.649999999994</v>
      </c>
      <c r="I1228">
        <v>2960987.06</v>
      </c>
      <c r="J1228" s="711">
        <v>42926.725995335648</v>
      </c>
      <c r="K1228" s="711">
        <v>43291</v>
      </c>
      <c r="L1228" t="s">
        <v>5016</v>
      </c>
      <c r="M1228" t="s">
        <v>1280</v>
      </c>
      <c r="N1228" t="s">
        <v>1280</v>
      </c>
      <c r="O1228" t="s">
        <v>25</v>
      </c>
      <c r="P1228" t="s">
        <v>88</v>
      </c>
      <c r="Q1228" t="s">
        <v>285</v>
      </c>
      <c r="R1228" t="s">
        <v>2636</v>
      </c>
      <c r="S1228">
        <v>3000000</v>
      </c>
      <c r="T1228">
        <v>162000000</v>
      </c>
      <c r="U1228">
        <v>129136768.02</v>
      </c>
    </row>
    <row r="1229" spans="1:21" x14ac:dyDescent="0.25">
      <c r="A1229">
        <v>201162</v>
      </c>
      <c r="B1229" t="s">
        <v>5017</v>
      </c>
      <c r="C1229" t="s">
        <v>5019</v>
      </c>
      <c r="D1229" t="s">
        <v>1282</v>
      </c>
      <c r="E1229">
        <v>20</v>
      </c>
      <c r="F1229" s="105">
        <v>1954958.15</v>
      </c>
      <c r="G1229" t="s">
        <v>4685</v>
      </c>
      <c r="H1229">
        <v>115118.94</v>
      </c>
      <c r="I1229">
        <v>2253869.27</v>
      </c>
      <c r="J1229" s="711">
        <v>42927.502609293981</v>
      </c>
      <c r="K1229" s="711">
        <v>43170</v>
      </c>
      <c r="L1229" t="s">
        <v>5020</v>
      </c>
      <c r="M1229" t="s">
        <v>5021</v>
      </c>
      <c r="N1229" t="s">
        <v>1280</v>
      </c>
      <c r="O1229" t="s">
        <v>25</v>
      </c>
      <c r="P1229" t="s">
        <v>26</v>
      </c>
      <c r="Q1229" t="s">
        <v>26</v>
      </c>
      <c r="R1229" t="s">
        <v>2636</v>
      </c>
      <c r="S1229">
        <v>2500000</v>
      </c>
      <c r="T1229">
        <v>135000000</v>
      </c>
      <c r="U1229">
        <v>105567740.09999999</v>
      </c>
    </row>
    <row r="1230" spans="1:21" x14ac:dyDescent="0.25">
      <c r="A1230">
        <v>201164</v>
      </c>
      <c r="B1230" t="s">
        <v>1851</v>
      </c>
      <c r="C1230" t="s">
        <v>1852</v>
      </c>
      <c r="D1230" t="s">
        <v>1281</v>
      </c>
      <c r="E1230">
        <v>-18</v>
      </c>
      <c r="F1230" s="105">
        <v>26196411.280000001</v>
      </c>
      <c r="G1230" t="s">
        <v>2861</v>
      </c>
      <c r="H1230">
        <v>336187.28</v>
      </c>
      <c r="I1230">
        <v>34117578.420000002</v>
      </c>
      <c r="J1230" s="711">
        <v>42935.483286226852</v>
      </c>
      <c r="K1230" s="711">
        <v>43484</v>
      </c>
      <c r="L1230" t="s">
        <v>1853</v>
      </c>
      <c r="M1230" t="s">
        <v>1280</v>
      </c>
      <c r="N1230" t="s">
        <v>1280</v>
      </c>
      <c r="O1230" t="s">
        <v>27</v>
      </c>
      <c r="P1230" t="s">
        <v>26</v>
      </c>
      <c r="Q1230" t="s">
        <v>26</v>
      </c>
      <c r="R1230" t="s">
        <v>2856</v>
      </c>
      <c r="S1230">
        <v>30000000</v>
      </c>
      <c r="T1230">
        <v>1260000000</v>
      </c>
      <c r="U1230">
        <v>1100249273.76</v>
      </c>
    </row>
    <row r="1231" spans="1:21" x14ac:dyDescent="0.25">
      <c r="A1231">
        <v>201165</v>
      </c>
      <c r="B1231" t="s">
        <v>2188</v>
      </c>
      <c r="C1231" t="s">
        <v>2210</v>
      </c>
      <c r="D1231" t="s">
        <v>1282</v>
      </c>
      <c r="E1231">
        <v>-10</v>
      </c>
      <c r="F1231" s="105">
        <v>8782784.2699999996</v>
      </c>
      <c r="G1231" t="s">
        <v>1447</v>
      </c>
      <c r="H1231">
        <v>222497.2</v>
      </c>
      <c r="I1231">
        <v>11848999.199999999</v>
      </c>
      <c r="J1231" s="711">
        <v>42927.663265393516</v>
      </c>
      <c r="K1231" s="711">
        <v>43476</v>
      </c>
      <c r="L1231" t="s">
        <v>2211</v>
      </c>
      <c r="M1231" t="s">
        <v>1280</v>
      </c>
      <c r="N1231" t="s">
        <v>1280</v>
      </c>
      <c r="O1231" t="s">
        <v>27</v>
      </c>
      <c r="P1231" t="s">
        <v>26</v>
      </c>
      <c r="Q1231" t="s">
        <v>26</v>
      </c>
      <c r="R1231" t="s">
        <v>2856</v>
      </c>
      <c r="S1231">
        <v>10000000</v>
      </c>
      <c r="T1231">
        <v>480000000</v>
      </c>
      <c r="U1231">
        <v>421573644.95999998</v>
      </c>
    </row>
    <row r="1232" spans="1:21" x14ac:dyDescent="0.25">
      <c r="A1232">
        <v>201166</v>
      </c>
      <c r="B1232" t="s">
        <v>5025</v>
      </c>
      <c r="C1232" t="s">
        <v>5032</v>
      </c>
      <c r="D1232" t="s">
        <v>1282</v>
      </c>
      <c r="E1232">
        <v>-11</v>
      </c>
      <c r="F1232" s="105">
        <v>4658939.9800000004</v>
      </c>
      <c r="G1232" t="s">
        <v>2861</v>
      </c>
      <c r="H1232">
        <v>125791.38</v>
      </c>
      <c r="I1232">
        <v>5306337.88</v>
      </c>
      <c r="J1232" s="711">
        <v>42928.603102893518</v>
      </c>
      <c r="K1232" s="711">
        <v>43171</v>
      </c>
      <c r="L1232" t="s">
        <v>5033</v>
      </c>
      <c r="M1232" t="s">
        <v>5034</v>
      </c>
      <c r="N1232" t="s">
        <v>1280</v>
      </c>
      <c r="O1232" t="s">
        <v>25</v>
      </c>
      <c r="P1232" t="s">
        <v>88</v>
      </c>
      <c r="Q1232" t="s">
        <v>285</v>
      </c>
      <c r="R1232" t="s">
        <v>2636</v>
      </c>
      <c r="S1232">
        <v>7000000</v>
      </c>
      <c r="T1232">
        <v>378000000</v>
      </c>
      <c r="U1232">
        <v>251582758.91999999</v>
      </c>
    </row>
    <row r="1233" spans="1:21" x14ac:dyDescent="0.25">
      <c r="A1233">
        <v>201167</v>
      </c>
      <c r="B1233" t="s">
        <v>5035</v>
      </c>
      <c r="C1233" t="s">
        <v>5036</v>
      </c>
      <c r="D1233" t="s">
        <v>1281</v>
      </c>
      <c r="E1233">
        <v>-13</v>
      </c>
      <c r="F1233" s="105">
        <v>12745968.289999999</v>
      </c>
      <c r="G1233" t="s">
        <v>2855</v>
      </c>
      <c r="H1233">
        <v>271913.99</v>
      </c>
      <c r="I1233">
        <v>16297327.380000001</v>
      </c>
      <c r="J1233" s="711">
        <v>42930.559912303244</v>
      </c>
      <c r="K1233" s="711">
        <v>43387</v>
      </c>
      <c r="L1233" t="s">
        <v>5037</v>
      </c>
      <c r="M1233" t="s">
        <v>1280</v>
      </c>
      <c r="N1233" t="s">
        <v>1280</v>
      </c>
      <c r="O1233" t="s">
        <v>27</v>
      </c>
      <c r="P1233" t="s">
        <v>26</v>
      </c>
      <c r="Q1233" t="s">
        <v>26</v>
      </c>
      <c r="R1233" t="s">
        <v>2636</v>
      </c>
      <c r="S1233">
        <v>15100000</v>
      </c>
      <c r="T1233">
        <v>724800000</v>
      </c>
      <c r="U1233">
        <v>611806477.91999996</v>
      </c>
    </row>
    <row r="1234" spans="1:21" x14ac:dyDescent="0.25">
      <c r="A1234">
        <v>201168</v>
      </c>
      <c r="B1234" t="s">
        <v>5038</v>
      </c>
      <c r="C1234" t="s">
        <v>5039</v>
      </c>
      <c r="D1234" t="s">
        <v>1866</v>
      </c>
      <c r="E1234">
        <v>-14</v>
      </c>
      <c r="F1234" s="105">
        <v>4449464.04</v>
      </c>
      <c r="G1234" t="s">
        <v>1909</v>
      </c>
      <c r="H1234">
        <v>92697.17</v>
      </c>
      <c r="I1234">
        <v>5221272.0999999996</v>
      </c>
      <c r="J1234" s="711">
        <v>42931.531305092591</v>
      </c>
      <c r="K1234" s="711">
        <v>43235</v>
      </c>
      <c r="L1234" t="s">
        <v>5040</v>
      </c>
      <c r="M1234" t="s">
        <v>5041</v>
      </c>
      <c r="N1234" t="s">
        <v>1280</v>
      </c>
      <c r="O1234" t="s">
        <v>25</v>
      </c>
      <c r="P1234" t="s">
        <v>88</v>
      </c>
      <c r="Q1234" t="s">
        <v>285</v>
      </c>
      <c r="R1234" t="s">
        <v>2636</v>
      </c>
      <c r="S1234">
        <v>6000000</v>
      </c>
      <c r="T1234">
        <v>300000000</v>
      </c>
      <c r="U1234">
        <v>222473202</v>
      </c>
    </row>
    <row r="1235" spans="1:21" x14ac:dyDescent="0.25">
      <c r="A1235">
        <v>201171</v>
      </c>
      <c r="B1235" t="s">
        <v>5046</v>
      </c>
      <c r="C1235" t="s">
        <v>5048</v>
      </c>
      <c r="D1235" t="s">
        <v>1279</v>
      </c>
      <c r="E1235">
        <v>-18</v>
      </c>
      <c r="F1235" s="105">
        <v>1331125.69</v>
      </c>
      <c r="G1235" t="s">
        <v>5047</v>
      </c>
      <c r="H1235">
        <v>21963.57</v>
      </c>
      <c r="I1235">
        <v>1516096.53</v>
      </c>
      <c r="J1235" s="711">
        <v>42935.6580846875</v>
      </c>
      <c r="K1235" s="711">
        <v>43178</v>
      </c>
      <c r="L1235" t="s">
        <v>5049</v>
      </c>
      <c r="M1235" t="s">
        <v>1280</v>
      </c>
      <c r="N1235" t="s">
        <v>5050</v>
      </c>
      <c r="O1235" t="s">
        <v>25</v>
      </c>
      <c r="P1235" t="s">
        <v>88</v>
      </c>
      <c r="Q1235" t="s">
        <v>285</v>
      </c>
      <c r="R1235" t="s">
        <v>2636</v>
      </c>
      <c r="S1235">
        <v>2000000</v>
      </c>
      <c r="T1235">
        <v>108000000</v>
      </c>
      <c r="U1235">
        <v>71880787.260000005</v>
      </c>
    </row>
    <row r="1236" spans="1:21" x14ac:dyDescent="0.25">
      <c r="A1236">
        <v>201172</v>
      </c>
      <c r="B1236" t="s">
        <v>5053</v>
      </c>
      <c r="C1236" t="s">
        <v>5060</v>
      </c>
      <c r="D1236" t="s">
        <v>1279</v>
      </c>
      <c r="E1236">
        <v>-19</v>
      </c>
      <c r="F1236" s="105">
        <v>1332411.94</v>
      </c>
      <c r="G1236" t="s">
        <v>4683</v>
      </c>
      <c r="H1236">
        <v>19986.18</v>
      </c>
      <c r="I1236">
        <v>1454087.91</v>
      </c>
      <c r="J1236" s="711">
        <v>42936.758932986108</v>
      </c>
      <c r="K1236" s="711">
        <v>43120</v>
      </c>
      <c r="L1236" t="s">
        <v>5061</v>
      </c>
      <c r="M1236" t="s">
        <v>1280</v>
      </c>
      <c r="N1236" t="s">
        <v>5062</v>
      </c>
      <c r="O1236" t="s">
        <v>25</v>
      </c>
      <c r="P1236" t="s">
        <v>88</v>
      </c>
      <c r="Q1236" t="s">
        <v>285</v>
      </c>
      <c r="R1236" t="s">
        <v>2636</v>
      </c>
      <c r="S1236">
        <v>2500000</v>
      </c>
      <c r="T1236">
        <v>135000000</v>
      </c>
      <c r="U1236">
        <v>71950244.760000005</v>
      </c>
    </row>
    <row r="1237" spans="1:21" x14ac:dyDescent="0.25">
      <c r="A1237">
        <v>201173</v>
      </c>
      <c r="B1237" t="s">
        <v>3051</v>
      </c>
      <c r="C1237" t="s">
        <v>3072</v>
      </c>
      <c r="D1237" t="s">
        <v>1279</v>
      </c>
      <c r="E1237">
        <v>-20</v>
      </c>
      <c r="F1237" s="105">
        <v>3565128.31</v>
      </c>
      <c r="G1237" t="s">
        <v>2034</v>
      </c>
      <c r="H1237">
        <v>42781.54</v>
      </c>
      <c r="I1237">
        <v>4315362.97</v>
      </c>
      <c r="J1237" s="711">
        <v>42937.380779629631</v>
      </c>
      <c r="K1237" s="711">
        <v>43302</v>
      </c>
      <c r="L1237" t="s">
        <v>3073</v>
      </c>
      <c r="M1237" t="s">
        <v>1280</v>
      </c>
      <c r="N1237" t="s">
        <v>1280</v>
      </c>
      <c r="O1237" t="s">
        <v>25</v>
      </c>
      <c r="P1237" t="s">
        <v>26</v>
      </c>
      <c r="Q1237" t="s">
        <v>26</v>
      </c>
      <c r="R1237" t="s">
        <v>2856</v>
      </c>
      <c r="S1237">
        <v>4500000</v>
      </c>
      <c r="T1237">
        <v>216000000</v>
      </c>
      <c r="U1237">
        <v>171126158.88</v>
      </c>
    </row>
    <row r="1238" spans="1:21" x14ac:dyDescent="0.25">
      <c r="A1238">
        <v>201174</v>
      </c>
      <c r="B1238" t="s">
        <v>2986</v>
      </c>
      <c r="C1238" t="s">
        <v>2987</v>
      </c>
      <c r="D1238" t="s">
        <v>1282</v>
      </c>
      <c r="E1238">
        <v>-19</v>
      </c>
      <c r="F1238" s="105">
        <v>3961253.7</v>
      </c>
      <c r="G1238" t="s">
        <v>1667</v>
      </c>
      <c r="H1238">
        <v>52816.72</v>
      </c>
      <c r="I1238">
        <v>4794847.8</v>
      </c>
      <c r="J1238" s="711">
        <v>42936.760741006947</v>
      </c>
      <c r="K1238" s="711">
        <v>43301</v>
      </c>
      <c r="L1238" t="s">
        <v>2988</v>
      </c>
      <c r="M1238" t="s">
        <v>1280</v>
      </c>
      <c r="N1238" t="s">
        <v>1280</v>
      </c>
      <c r="O1238" t="s">
        <v>25</v>
      </c>
      <c r="P1238" t="s">
        <v>26</v>
      </c>
      <c r="Q1238" t="s">
        <v>26</v>
      </c>
      <c r="R1238" t="s">
        <v>2856</v>
      </c>
      <c r="S1238">
        <v>5000000</v>
      </c>
      <c r="T1238">
        <v>240000000</v>
      </c>
      <c r="U1238">
        <v>190140177.59999999</v>
      </c>
    </row>
    <row r="1239" spans="1:21" x14ac:dyDescent="0.25">
      <c r="A1239">
        <v>201175</v>
      </c>
      <c r="B1239" t="s">
        <v>5066</v>
      </c>
      <c r="C1239" t="s">
        <v>5072</v>
      </c>
      <c r="D1239" t="s">
        <v>1279</v>
      </c>
      <c r="E1239">
        <v>-20</v>
      </c>
      <c r="F1239" s="105">
        <v>744712.6</v>
      </c>
      <c r="G1239" t="s">
        <v>4844</v>
      </c>
      <c r="H1239">
        <v>10053.620000000001</v>
      </c>
      <c r="I1239">
        <v>884651.75</v>
      </c>
      <c r="J1239" s="711">
        <v>42937.681770717594</v>
      </c>
      <c r="K1239" s="711">
        <v>43241</v>
      </c>
      <c r="L1239" t="s">
        <v>5073</v>
      </c>
      <c r="M1239" t="s">
        <v>5074</v>
      </c>
      <c r="N1239" t="s">
        <v>1280</v>
      </c>
      <c r="O1239" t="s">
        <v>25</v>
      </c>
      <c r="P1239" t="s">
        <v>26</v>
      </c>
      <c r="Q1239" t="s">
        <v>26</v>
      </c>
      <c r="R1239" t="s">
        <v>2636</v>
      </c>
      <c r="S1239">
        <v>1000000</v>
      </c>
      <c r="T1239">
        <v>54000000</v>
      </c>
      <c r="U1239">
        <v>40214480.399999999</v>
      </c>
    </row>
    <row r="1240" spans="1:21" x14ac:dyDescent="0.25">
      <c r="A1240">
        <v>201176</v>
      </c>
      <c r="B1240" t="s">
        <v>3967</v>
      </c>
      <c r="C1240" t="s">
        <v>3976</v>
      </c>
      <c r="D1240" t="s">
        <v>1279</v>
      </c>
      <c r="E1240">
        <v>10</v>
      </c>
      <c r="F1240" s="105">
        <v>1038668.59</v>
      </c>
      <c r="G1240" t="s">
        <v>2538</v>
      </c>
      <c r="H1240">
        <v>19608.189999999999</v>
      </c>
      <c r="I1240">
        <v>1113104.01</v>
      </c>
      <c r="J1240" s="711">
        <v>42937.707024965275</v>
      </c>
      <c r="K1240" s="711">
        <v>43121</v>
      </c>
      <c r="L1240" t="s">
        <v>3977</v>
      </c>
      <c r="M1240" t="s">
        <v>1280</v>
      </c>
      <c r="N1240" t="s">
        <v>1280</v>
      </c>
      <c r="O1240" t="s">
        <v>25</v>
      </c>
      <c r="P1240" t="s">
        <v>88</v>
      </c>
      <c r="Q1240" t="s">
        <v>285</v>
      </c>
      <c r="R1240" t="s">
        <v>2856</v>
      </c>
      <c r="S1240">
        <v>1500000</v>
      </c>
      <c r="T1240">
        <v>72000000</v>
      </c>
      <c r="U1240">
        <v>49856092.32</v>
      </c>
    </row>
    <row r="1241" spans="1:21" x14ac:dyDescent="0.25">
      <c r="A1241">
        <v>201177</v>
      </c>
      <c r="B1241" t="s">
        <v>4095</v>
      </c>
      <c r="C1241" t="s">
        <v>4096</v>
      </c>
      <c r="D1241" t="s">
        <v>1281</v>
      </c>
      <c r="E1241">
        <v>-21</v>
      </c>
      <c r="F1241" s="105">
        <v>15745468.880000001</v>
      </c>
      <c r="G1241" t="s">
        <v>2175</v>
      </c>
      <c r="H1241">
        <v>146957.71</v>
      </c>
      <c r="I1241">
        <v>18627110.84</v>
      </c>
      <c r="J1241" s="711">
        <v>42938.440721874998</v>
      </c>
      <c r="K1241" s="711">
        <v>43303</v>
      </c>
      <c r="L1241" t="s">
        <v>4097</v>
      </c>
      <c r="M1241" t="s">
        <v>1280</v>
      </c>
      <c r="N1241" t="s">
        <v>4098</v>
      </c>
      <c r="O1241" t="s">
        <v>25</v>
      </c>
      <c r="P1241" t="s">
        <v>88</v>
      </c>
      <c r="Q1241" t="s">
        <v>285</v>
      </c>
      <c r="R1241" t="s">
        <v>2856</v>
      </c>
      <c r="S1241">
        <v>20000000</v>
      </c>
      <c r="T1241">
        <v>840000000</v>
      </c>
      <c r="U1241">
        <v>661309692.96000004</v>
      </c>
    </row>
    <row r="1242" spans="1:21" x14ac:dyDescent="0.25">
      <c r="A1242">
        <v>201178</v>
      </c>
      <c r="B1242" t="s">
        <v>5065</v>
      </c>
      <c r="C1242" t="s">
        <v>5075</v>
      </c>
      <c r="D1242" t="s">
        <v>1284</v>
      </c>
      <c r="E1242">
        <v>-20</v>
      </c>
      <c r="F1242" s="105">
        <v>7336142.6799999997</v>
      </c>
      <c r="G1242" t="s">
        <v>1447</v>
      </c>
      <c r="H1242">
        <v>73361.429999999993</v>
      </c>
      <c r="I1242">
        <v>8346339.7699999996</v>
      </c>
      <c r="J1242" s="711">
        <v>42937.723631365741</v>
      </c>
      <c r="K1242" s="711">
        <v>43241</v>
      </c>
      <c r="L1242" t="s">
        <v>5076</v>
      </c>
      <c r="M1242" t="s">
        <v>1280</v>
      </c>
      <c r="N1242" t="s">
        <v>1280</v>
      </c>
      <c r="O1242" t="s">
        <v>25</v>
      </c>
      <c r="P1242" t="s">
        <v>26</v>
      </c>
      <c r="Q1242" t="s">
        <v>26</v>
      </c>
      <c r="R1242" t="s">
        <v>2636</v>
      </c>
      <c r="S1242">
        <v>10000000</v>
      </c>
      <c r="T1242">
        <v>400000000</v>
      </c>
      <c r="U1242">
        <v>293445707.19999999</v>
      </c>
    </row>
    <row r="1243" spans="1:21" x14ac:dyDescent="0.25">
      <c r="A1243">
        <v>201179</v>
      </c>
      <c r="B1243" t="s">
        <v>5077</v>
      </c>
      <c r="C1243" t="s">
        <v>5079</v>
      </c>
      <c r="D1243" t="s">
        <v>1282</v>
      </c>
      <c r="E1243">
        <v>7</v>
      </c>
      <c r="F1243" s="105">
        <v>5001481.8600000003</v>
      </c>
      <c r="G1243" t="s">
        <v>491</v>
      </c>
      <c r="H1243">
        <v>265281.15999999997</v>
      </c>
      <c r="I1243">
        <v>6066183.4400000004</v>
      </c>
      <c r="J1243" s="711">
        <v>42940.681572187503</v>
      </c>
      <c r="K1243" s="711">
        <v>43244</v>
      </c>
      <c r="L1243" t="s">
        <v>5080</v>
      </c>
      <c r="M1243" t="s">
        <v>5081</v>
      </c>
      <c r="N1243" t="s">
        <v>1280</v>
      </c>
      <c r="O1243" t="s">
        <v>25</v>
      </c>
      <c r="P1243" t="s">
        <v>88</v>
      </c>
      <c r="Q1243" t="s">
        <v>285</v>
      </c>
      <c r="R1243" t="s">
        <v>2636</v>
      </c>
      <c r="S1243">
        <v>6000000</v>
      </c>
      <c r="T1243">
        <v>324000000</v>
      </c>
      <c r="U1243">
        <v>270080020.44</v>
      </c>
    </row>
    <row r="1244" spans="1:21" x14ac:dyDescent="0.25">
      <c r="A1244">
        <v>201180</v>
      </c>
      <c r="B1244" t="s">
        <v>5083</v>
      </c>
      <c r="C1244" t="s">
        <v>5087</v>
      </c>
      <c r="D1244" t="s">
        <v>1279</v>
      </c>
      <c r="E1244">
        <v>-24</v>
      </c>
      <c r="F1244" s="105">
        <v>1332411.94</v>
      </c>
      <c r="G1244" t="s">
        <v>5047</v>
      </c>
      <c r="H1244">
        <v>9993.09</v>
      </c>
      <c r="I1244">
        <v>1454087.91</v>
      </c>
      <c r="J1244" s="711">
        <v>42941.502594178244</v>
      </c>
      <c r="K1244" s="711">
        <v>43125</v>
      </c>
      <c r="L1244" t="s">
        <v>5088</v>
      </c>
      <c r="M1244" t="s">
        <v>1280</v>
      </c>
      <c r="N1244" t="s">
        <v>1280</v>
      </c>
      <c r="O1244" t="s">
        <v>25</v>
      </c>
      <c r="P1244" t="s">
        <v>88</v>
      </c>
      <c r="Q1244" t="s">
        <v>285</v>
      </c>
      <c r="R1244" t="s">
        <v>2636</v>
      </c>
      <c r="S1244">
        <v>2500000</v>
      </c>
      <c r="T1244">
        <v>135000000</v>
      </c>
      <c r="U1244">
        <v>71950244.760000005</v>
      </c>
    </row>
    <row r="1245" spans="1:21" x14ac:dyDescent="0.25">
      <c r="A1245">
        <v>201181</v>
      </c>
      <c r="B1245" t="s">
        <v>4247</v>
      </c>
      <c r="C1245" t="s">
        <v>4252</v>
      </c>
      <c r="D1245" t="s">
        <v>1282</v>
      </c>
      <c r="E1245">
        <v>-24</v>
      </c>
      <c r="F1245" s="105">
        <v>3699994.94</v>
      </c>
      <c r="G1245" t="s">
        <v>1925</v>
      </c>
      <c r="H1245">
        <v>24666.63</v>
      </c>
      <c r="I1245">
        <v>4315183.0599999996</v>
      </c>
      <c r="J1245" s="711">
        <v>42941.527658298612</v>
      </c>
      <c r="K1245" s="711">
        <v>43245</v>
      </c>
      <c r="L1245" t="s">
        <v>4253</v>
      </c>
      <c r="M1245" t="s">
        <v>1280</v>
      </c>
      <c r="N1245" t="s">
        <v>4254</v>
      </c>
      <c r="O1245" t="s">
        <v>44</v>
      </c>
      <c r="P1245" t="s">
        <v>75</v>
      </c>
      <c r="Q1245" t="s">
        <v>26</v>
      </c>
      <c r="R1245" t="s">
        <v>2856</v>
      </c>
      <c r="S1245">
        <v>5000000</v>
      </c>
      <c r="T1245">
        <v>240000000</v>
      </c>
      <c r="U1245">
        <v>177599757.12</v>
      </c>
    </row>
    <row r="1246" spans="1:21" x14ac:dyDescent="0.25">
      <c r="A1246">
        <v>201182</v>
      </c>
      <c r="B1246" t="s">
        <v>5082</v>
      </c>
      <c r="C1246" t="s">
        <v>5089</v>
      </c>
      <c r="D1246" t="s">
        <v>1866</v>
      </c>
      <c r="E1246">
        <v>-24</v>
      </c>
      <c r="F1246" s="105">
        <v>4638703.45</v>
      </c>
      <c r="G1246" t="s">
        <v>90</v>
      </c>
      <c r="H1246">
        <v>32213.22</v>
      </c>
      <c r="I1246">
        <v>5234310.08</v>
      </c>
      <c r="J1246" s="711">
        <v>42941.591631828705</v>
      </c>
      <c r="K1246" s="711">
        <v>43184</v>
      </c>
      <c r="L1246" t="s">
        <v>5090</v>
      </c>
      <c r="M1246" t="s">
        <v>5091</v>
      </c>
      <c r="N1246" t="s">
        <v>1280</v>
      </c>
      <c r="O1246" t="s">
        <v>25</v>
      </c>
      <c r="P1246" t="s">
        <v>94</v>
      </c>
      <c r="Q1246" t="s">
        <v>26</v>
      </c>
      <c r="R1246" t="s">
        <v>2636</v>
      </c>
      <c r="S1246">
        <v>7000000</v>
      </c>
      <c r="T1246">
        <v>350000000</v>
      </c>
      <c r="U1246">
        <v>231935172.5</v>
      </c>
    </row>
    <row r="1247" spans="1:21" x14ac:dyDescent="0.25">
      <c r="A1247">
        <v>201183</v>
      </c>
      <c r="B1247" t="s">
        <v>2857</v>
      </c>
      <c r="C1247" t="s">
        <v>2858</v>
      </c>
      <c r="D1247" t="s">
        <v>1282</v>
      </c>
      <c r="E1247">
        <v>-24</v>
      </c>
      <c r="F1247" s="105">
        <v>4439993.91</v>
      </c>
      <c r="G1247" t="s">
        <v>1925</v>
      </c>
      <c r="H1247">
        <v>29599.96</v>
      </c>
      <c r="I1247">
        <v>5178219.63</v>
      </c>
      <c r="J1247" s="711">
        <v>42941.584913854167</v>
      </c>
      <c r="K1247" s="711">
        <v>43245</v>
      </c>
      <c r="L1247" t="s">
        <v>2859</v>
      </c>
      <c r="M1247" t="s">
        <v>2860</v>
      </c>
      <c r="N1247" t="s">
        <v>1280</v>
      </c>
      <c r="O1247" t="s">
        <v>25</v>
      </c>
      <c r="P1247" t="s">
        <v>88</v>
      </c>
      <c r="Q1247" t="s">
        <v>285</v>
      </c>
      <c r="R1247" t="s">
        <v>2856</v>
      </c>
      <c r="S1247">
        <v>6000000</v>
      </c>
      <c r="T1247">
        <v>288000000</v>
      </c>
      <c r="U1247">
        <v>213119707.68000001</v>
      </c>
    </row>
    <row r="1248" spans="1:21" x14ac:dyDescent="0.25">
      <c r="A1248">
        <v>201184</v>
      </c>
      <c r="B1248" t="s">
        <v>2787</v>
      </c>
      <c r="C1248" t="s">
        <v>2799</v>
      </c>
      <c r="D1248" t="s">
        <v>1282</v>
      </c>
      <c r="E1248">
        <v>-24</v>
      </c>
      <c r="F1248" s="105">
        <v>4753504.42</v>
      </c>
      <c r="G1248" t="s">
        <v>2034</v>
      </c>
      <c r="H1248">
        <v>31690.03</v>
      </c>
      <c r="I1248">
        <v>5753817.2999999998</v>
      </c>
      <c r="J1248" s="711">
        <v>42941.695466435187</v>
      </c>
      <c r="K1248" s="711">
        <v>43306</v>
      </c>
      <c r="L1248" t="s">
        <v>2800</v>
      </c>
      <c r="M1248" t="s">
        <v>2801</v>
      </c>
      <c r="N1248" t="s">
        <v>1280</v>
      </c>
      <c r="O1248" t="s">
        <v>44</v>
      </c>
      <c r="P1248" t="s">
        <v>75</v>
      </c>
      <c r="Q1248" t="s">
        <v>4834</v>
      </c>
      <c r="R1248" t="s">
        <v>2856</v>
      </c>
      <c r="S1248">
        <v>6000000</v>
      </c>
      <c r="T1248">
        <v>288000000</v>
      </c>
      <c r="U1248">
        <v>228168212.16</v>
      </c>
    </row>
    <row r="1249" spans="1:21" x14ac:dyDescent="0.25">
      <c r="A1249">
        <v>201185</v>
      </c>
      <c r="B1249" t="s">
        <v>5085</v>
      </c>
      <c r="C1249" t="s">
        <v>5092</v>
      </c>
      <c r="D1249" t="s">
        <v>1282</v>
      </c>
      <c r="E1249">
        <v>-24</v>
      </c>
      <c r="F1249" s="105">
        <v>9681263.8300000001</v>
      </c>
      <c r="G1249" t="s">
        <v>1467</v>
      </c>
      <c r="H1249">
        <v>72609.48</v>
      </c>
      <c r="I1249">
        <v>11500472.77</v>
      </c>
      <c r="J1249" s="711">
        <v>42941.62990177083</v>
      </c>
      <c r="K1249" s="711">
        <v>43245</v>
      </c>
      <c r="L1249" t="s">
        <v>5093</v>
      </c>
      <c r="M1249" t="s">
        <v>5094</v>
      </c>
      <c r="N1249" t="s">
        <v>1280</v>
      </c>
      <c r="O1249" t="s">
        <v>25</v>
      </c>
      <c r="P1249" t="s">
        <v>88</v>
      </c>
      <c r="Q1249" t="s">
        <v>285</v>
      </c>
      <c r="R1249" t="s">
        <v>2636</v>
      </c>
      <c r="S1249">
        <v>13000000</v>
      </c>
      <c r="T1249">
        <v>702000000</v>
      </c>
      <c r="U1249">
        <v>522788246.81999999</v>
      </c>
    </row>
    <row r="1250" spans="1:21" x14ac:dyDescent="0.25">
      <c r="A1250">
        <v>201186</v>
      </c>
      <c r="B1250" t="s">
        <v>5084</v>
      </c>
      <c r="C1250" t="s">
        <v>5095</v>
      </c>
      <c r="D1250" t="s">
        <v>1282</v>
      </c>
      <c r="E1250">
        <v>-24</v>
      </c>
      <c r="F1250" s="105">
        <v>2131859.11</v>
      </c>
      <c r="G1250" t="s">
        <v>4919</v>
      </c>
      <c r="H1250">
        <v>15988.94</v>
      </c>
      <c r="I1250">
        <v>2326540.65</v>
      </c>
      <c r="J1250" s="711">
        <v>42941.65516574074</v>
      </c>
      <c r="K1250" s="711">
        <v>43125</v>
      </c>
      <c r="L1250" t="s">
        <v>5096</v>
      </c>
      <c r="M1250" t="s">
        <v>5097</v>
      </c>
      <c r="N1250" t="s">
        <v>1280</v>
      </c>
      <c r="O1250" t="s">
        <v>25</v>
      </c>
      <c r="P1250" t="s">
        <v>88</v>
      </c>
      <c r="Q1250" t="s">
        <v>285</v>
      </c>
      <c r="R1250" t="s">
        <v>2636</v>
      </c>
      <c r="S1250">
        <v>4000000</v>
      </c>
      <c r="T1250">
        <v>216000000</v>
      </c>
      <c r="U1250">
        <v>115120391.94</v>
      </c>
    </row>
    <row r="1251" spans="1:21" x14ac:dyDescent="0.25">
      <c r="A1251">
        <v>201188</v>
      </c>
      <c r="B1251" t="s">
        <v>5086</v>
      </c>
      <c r="C1251" t="s">
        <v>5098</v>
      </c>
      <c r="D1251" t="s">
        <v>1279</v>
      </c>
      <c r="E1251">
        <v>-24</v>
      </c>
      <c r="F1251" s="105">
        <v>1331125.69</v>
      </c>
      <c r="G1251" t="s">
        <v>963</v>
      </c>
      <c r="H1251">
        <v>9983.44</v>
      </c>
      <c r="I1251">
        <v>1516096.53</v>
      </c>
      <c r="J1251" s="711">
        <v>42941.688671261574</v>
      </c>
      <c r="K1251" s="711">
        <v>43184</v>
      </c>
      <c r="L1251" t="s">
        <v>5099</v>
      </c>
      <c r="M1251" t="s">
        <v>1280</v>
      </c>
      <c r="N1251" t="s">
        <v>5100</v>
      </c>
      <c r="O1251" t="s">
        <v>44</v>
      </c>
      <c r="P1251" t="s">
        <v>75</v>
      </c>
      <c r="Q1251" t="s">
        <v>26</v>
      </c>
      <c r="R1251" t="s">
        <v>2636</v>
      </c>
      <c r="S1251">
        <v>2000000</v>
      </c>
      <c r="T1251">
        <v>108000000</v>
      </c>
      <c r="U1251">
        <v>71880787.260000005</v>
      </c>
    </row>
    <row r="1252" spans="1:21" x14ac:dyDescent="0.25">
      <c r="A1252">
        <v>201189</v>
      </c>
      <c r="B1252" t="s">
        <v>2812</v>
      </c>
      <c r="C1252" t="s">
        <v>2820</v>
      </c>
      <c r="D1252" t="s">
        <v>1279</v>
      </c>
      <c r="E1252">
        <v>0</v>
      </c>
      <c r="F1252" s="105">
        <v>2077876.72</v>
      </c>
      <c r="G1252" t="s">
        <v>2034</v>
      </c>
      <c r="H1252">
        <v>80344.570000000007</v>
      </c>
      <c r="I1252">
        <v>2468980.21</v>
      </c>
      <c r="J1252" s="711">
        <v>42947.505184803238</v>
      </c>
      <c r="K1252" s="711">
        <v>43252</v>
      </c>
      <c r="L1252" t="s">
        <v>2821</v>
      </c>
      <c r="M1252" t="s">
        <v>2822</v>
      </c>
      <c r="N1252" t="s">
        <v>1280</v>
      </c>
      <c r="O1252" t="s">
        <v>25</v>
      </c>
      <c r="P1252" t="s">
        <v>88</v>
      </c>
      <c r="Q1252" t="s">
        <v>26</v>
      </c>
      <c r="R1252" t="s">
        <v>2856</v>
      </c>
      <c r="S1252">
        <v>2500000</v>
      </c>
      <c r="T1252">
        <v>120000000</v>
      </c>
      <c r="U1252">
        <v>99738082.560000002</v>
      </c>
    </row>
    <row r="1253" spans="1:21" x14ac:dyDescent="0.25">
      <c r="A1253">
        <v>201190</v>
      </c>
      <c r="B1253" t="s">
        <v>5101</v>
      </c>
      <c r="C1253" t="s">
        <v>5106</v>
      </c>
      <c r="D1253" t="s">
        <v>1282</v>
      </c>
      <c r="E1253">
        <v>0</v>
      </c>
      <c r="F1253" s="105">
        <v>1968988.95</v>
      </c>
      <c r="G1253" t="s">
        <v>4686</v>
      </c>
      <c r="H1253">
        <v>85651.02</v>
      </c>
      <c r="I1253">
        <v>2290466.41</v>
      </c>
      <c r="J1253" s="711">
        <v>42942.522085567129</v>
      </c>
      <c r="K1253" s="711">
        <v>43191</v>
      </c>
      <c r="L1253" t="s">
        <v>5107</v>
      </c>
      <c r="M1253" t="s">
        <v>5108</v>
      </c>
      <c r="N1253" t="s">
        <v>1280</v>
      </c>
      <c r="O1253" t="s">
        <v>36</v>
      </c>
      <c r="P1253" t="s">
        <v>118</v>
      </c>
      <c r="Q1253" t="s">
        <v>119</v>
      </c>
      <c r="R1253" t="s">
        <v>2636</v>
      </c>
      <c r="S1253">
        <v>2500000</v>
      </c>
      <c r="T1253">
        <v>135000000</v>
      </c>
      <c r="U1253">
        <v>106325403.3</v>
      </c>
    </row>
    <row r="1254" spans="1:21" x14ac:dyDescent="0.25">
      <c r="A1254">
        <v>201191</v>
      </c>
      <c r="B1254" t="s">
        <v>2826</v>
      </c>
      <c r="C1254" t="s">
        <v>2847</v>
      </c>
      <c r="D1254" t="s">
        <v>1282</v>
      </c>
      <c r="E1254">
        <v>0</v>
      </c>
      <c r="F1254" s="105">
        <v>11750405.359999999</v>
      </c>
      <c r="G1254" t="s">
        <v>1447</v>
      </c>
      <c r="H1254">
        <v>686517.58</v>
      </c>
      <c r="I1254">
        <v>15297482.15</v>
      </c>
      <c r="J1254" s="711">
        <v>42942.476226620369</v>
      </c>
      <c r="K1254" s="711">
        <v>43405</v>
      </c>
      <c r="L1254" t="s">
        <v>2848</v>
      </c>
      <c r="M1254" t="s">
        <v>2849</v>
      </c>
      <c r="N1254" t="s">
        <v>1280</v>
      </c>
      <c r="O1254" t="s">
        <v>25</v>
      </c>
      <c r="P1254" t="s">
        <v>88</v>
      </c>
      <c r="Q1254" t="s">
        <v>285</v>
      </c>
      <c r="R1254" t="s">
        <v>2856</v>
      </c>
      <c r="S1254">
        <v>13000000</v>
      </c>
      <c r="T1254">
        <v>624000000</v>
      </c>
      <c r="U1254">
        <v>564019457.27999997</v>
      </c>
    </row>
    <row r="1255" spans="1:21" x14ac:dyDescent="0.25">
      <c r="A1255">
        <v>201193</v>
      </c>
      <c r="B1255" t="s">
        <v>5109</v>
      </c>
      <c r="C1255" t="s">
        <v>5113</v>
      </c>
      <c r="D1255" t="s">
        <v>1282</v>
      </c>
      <c r="E1255">
        <v>0</v>
      </c>
      <c r="F1255" s="105">
        <v>5449381.71</v>
      </c>
      <c r="G1255" t="s">
        <v>1909</v>
      </c>
      <c r="H1255">
        <v>237048.1</v>
      </c>
      <c r="I1255">
        <v>6609430.9800000004</v>
      </c>
      <c r="J1255" s="711">
        <v>42943.562869444446</v>
      </c>
      <c r="K1255" s="711">
        <v>43252</v>
      </c>
      <c r="L1255" t="s">
        <v>5114</v>
      </c>
      <c r="M1255" t="s">
        <v>1280</v>
      </c>
      <c r="N1255" t="s">
        <v>1280</v>
      </c>
      <c r="O1255" t="s">
        <v>25</v>
      </c>
      <c r="P1255" t="s">
        <v>290</v>
      </c>
      <c r="Q1255" t="s">
        <v>297</v>
      </c>
      <c r="R1255" t="s">
        <v>2636</v>
      </c>
      <c r="S1255">
        <v>6500000</v>
      </c>
      <c r="T1255">
        <v>351000000</v>
      </c>
      <c r="U1255">
        <v>294266612.33999997</v>
      </c>
    </row>
    <row r="1256" spans="1:21" x14ac:dyDescent="0.25">
      <c r="A1256">
        <v>201194</v>
      </c>
      <c r="B1256" t="s">
        <v>3526</v>
      </c>
      <c r="C1256" t="s">
        <v>3540</v>
      </c>
      <c r="D1256" t="s">
        <v>1282</v>
      </c>
      <c r="E1256">
        <v>0</v>
      </c>
      <c r="F1256" s="105">
        <v>6506681.5599999996</v>
      </c>
      <c r="G1256" t="s">
        <v>2034</v>
      </c>
      <c r="H1256">
        <v>251591.69</v>
      </c>
      <c r="I1256">
        <v>8022149.1200000001</v>
      </c>
      <c r="J1256" s="711">
        <v>42944.660376157408</v>
      </c>
      <c r="K1256" s="711">
        <v>43313</v>
      </c>
      <c r="L1256" t="s">
        <v>3541</v>
      </c>
      <c r="M1256" t="s">
        <v>1280</v>
      </c>
      <c r="N1256" t="s">
        <v>3542</v>
      </c>
      <c r="O1256" t="s">
        <v>25</v>
      </c>
      <c r="P1256" t="s">
        <v>88</v>
      </c>
      <c r="Q1256" t="s">
        <v>285</v>
      </c>
      <c r="R1256" t="s">
        <v>2856</v>
      </c>
      <c r="S1256">
        <v>7500000</v>
      </c>
      <c r="T1256">
        <v>360000000</v>
      </c>
      <c r="U1256">
        <v>312320714.88</v>
      </c>
    </row>
    <row r="1257" spans="1:21" x14ac:dyDescent="0.25">
      <c r="A1257">
        <v>201195</v>
      </c>
      <c r="B1257" t="s">
        <v>1857</v>
      </c>
      <c r="C1257" t="s">
        <v>1860</v>
      </c>
      <c r="D1257" t="s">
        <v>1284</v>
      </c>
      <c r="E1257">
        <v>0</v>
      </c>
      <c r="F1257" s="105">
        <v>14655383.18</v>
      </c>
      <c r="G1257" t="s">
        <v>963</v>
      </c>
      <c r="H1257">
        <v>425006.11</v>
      </c>
      <c r="I1257">
        <v>18667640.059999999</v>
      </c>
      <c r="J1257" s="711">
        <v>42944.574526932869</v>
      </c>
      <c r="K1257" s="711">
        <v>43497</v>
      </c>
      <c r="L1257" t="s">
        <v>1861</v>
      </c>
      <c r="M1257" t="s">
        <v>1862</v>
      </c>
      <c r="N1257" t="s">
        <v>1280</v>
      </c>
      <c r="O1257" t="s">
        <v>36</v>
      </c>
      <c r="P1257" t="s">
        <v>97</v>
      </c>
      <c r="Q1257" t="s">
        <v>98</v>
      </c>
      <c r="R1257" t="s">
        <v>2856</v>
      </c>
      <c r="S1257">
        <v>16000000</v>
      </c>
      <c r="T1257">
        <v>576000000</v>
      </c>
      <c r="U1257">
        <v>527593794.48000002</v>
      </c>
    </row>
    <row r="1258" spans="1:21" x14ac:dyDescent="0.25">
      <c r="A1258">
        <v>201196</v>
      </c>
      <c r="B1258" t="s">
        <v>5126</v>
      </c>
      <c r="C1258" t="s">
        <v>5135</v>
      </c>
      <c r="D1258" t="s">
        <v>1282</v>
      </c>
      <c r="E1258">
        <v>0</v>
      </c>
      <c r="F1258" s="105">
        <v>5860189.2199999997</v>
      </c>
      <c r="G1258" t="s">
        <v>5047</v>
      </c>
      <c r="H1258">
        <v>254918.23</v>
      </c>
      <c r="I1258">
        <v>7107690.0199999996</v>
      </c>
      <c r="J1258" s="711">
        <v>42944.532806249998</v>
      </c>
      <c r="K1258" s="711">
        <v>43252</v>
      </c>
      <c r="L1258" t="s">
        <v>5136</v>
      </c>
      <c r="M1258" t="s">
        <v>1280</v>
      </c>
      <c r="N1258" t="s">
        <v>5137</v>
      </c>
      <c r="O1258" t="s">
        <v>44</v>
      </c>
      <c r="P1258" t="s">
        <v>92</v>
      </c>
      <c r="Q1258" t="s">
        <v>92</v>
      </c>
      <c r="R1258" t="s">
        <v>2636</v>
      </c>
      <c r="S1258">
        <v>7000000</v>
      </c>
      <c r="T1258">
        <v>378000000</v>
      </c>
      <c r="U1258">
        <v>316450217.88</v>
      </c>
    </row>
    <row r="1259" spans="1:21" x14ac:dyDescent="0.25">
      <c r="A1259">
        <v>201197</v>
      </c>
      <c r="B1259" t="s">
        <v>3512</v>
      </c>
      <c r="C1259" t="s">
        <v>3521</v>
      </c>
      <c r="D1259" t="s">
        <v>1279</v>
      </c>
      <c r="E1259">
        <v>0</v>
      </c>
      <c r="F1259" s="105">
        <v>4164276.2</v>
      </c>
      <c r="G1259" t="s">
        <v>2034</v>
      </c>
      <c r="H1259">
        <v>161018.68</v>
      </c>
      <c r="I1259">
        <v>5134175.45</v>
      </c>
      <c r="J1259" s="711">
        <v>42944.557641516207</v>
      </c>
      <c r="K1259" s="711">
        <v>43313</v>
      </c>
      <c r="L1259" t="s">
        <v>3522</v>
      </c>
      <c r="M1259" t="s">
        <v>1280</v>
      </c>
      <c r="N1259" t="s">
        <v>3523</v>
      </c>
      <c r="O1259" t="s">
        <v>25</v>
      </c>
      <c r="P1259" t="s">
        <v>88</v>
      </c>
      <c r="Q1259" t="s">
        <v>285</v>
      </c>
      <c r="R1259" t="s">
        <v>2856</v>
      </c>
      <c r="S1259">
        <v>4800000</v>
      </c>
      <c r="T1259">
        <v>230400000</v>
      </c>
      <c r="U1259">
        <v>199885257.59999999</v>
      </c>
    </row>
    <row r="1260" spans="1:21" x14ac:dyDescent="0.25">
      <c r="A1260">
        <v>201198</v>
      </c>
      <c r="B1260" t="s">
        <v>3878</v>
      </c>
      <c r="C1260" t="s">
        <v>3883</v>
      </c>
      <c r="D1260" t="s">
        <v>1282</v>
      </c>
      <c r="E1260">
        <v>0</v>
      </c>
      <c r="F1260" s="105">
        <v>4170653.84</v>
      </c>
      <c r="G1260" t="s">
        <v>2175</v>
      </c>
      <c r="H1260">
        <v>161265.28</v>
      </c>
      <c r="I1260">
        <v>4595894.46</v>
      </c>
      <c r="J1260" s="711">
        <v>42944.547210682867</v>
      </c>
      <c r="K1260" s="711">
        <v>43132</v>
      </c>
      <c r="L1260" t="s">
        <v>3884</v>
      </c>
      <c r="M1260" t="s">
        <v>1280</v>
      </c>
      <c r="N1260" t="s">
        <v>3885</v>
      </c>
      <c r="O1260" t="s">
        <v>25</v>
      </c>
      <c r="P1260" t="s">
        <v>289</v>
      </c>
      <c r="Q1260" t="s">
        <v>1771</v>
      </c>
      <c r="R1260" t="s">
        <v>2856</v>
      </c>
      <c r="S1260">
        <v>6000000</v>
      </c>
      <c r="T1260">
        <v>288000000</v>
      </c>
      <c r="U1260">
        <v>200191384.31999999</v>
      </c>
    </row>
    <row r="1261" spans="1:21" x14ac:dyDescent="0.25">
      <c r="A1261">
        <v>201199</v>
      </c>
      <c r="B1261" t="s">
        <v>5115</v>
      </c>
      <c r="C1261" t="s">
        <v>5120</v>
      </c>
      <c r="D1261" t="s">
        <v>1282</v>
      </c>
      <c r="E1261">
        <v>30</v>
      </c>
      <c r="F1261" s="105">
        <v>5113650.09</v>
      </c>
      <c r="G1261" t="s">
        <v>2034</v>
      </c>
      <c r="H1261">
        <v>181330.7</v>
      </c>
      <c r="I1261">
        <v>5791630.3200000003</v>
      </c>
      <c r="J1261" s="711">
        <v>42944.669319907407</v>
      </c>
      <c r="K1261" s="711">
        <v>43191</v>
      </c>
      <c r="L1261" t="s">
        <v>5121</v>
      </c>
      <c r="M1261" t="s">
        <v>1280</v>
      </c>
      <c r="N1261" t="s">
        <v>1280</v>
      </c>
      <c r="O1261" t="s">
        <v>31</v>
      </c>
      <c r="P1261" t="s">
        <v>2309</v>
      </c>
      <c r="Q1261" t="s">
        <v>5116</v>
      </c>
      <c r="R1261" t="s">
        <v>2856</v>
      </c>
      <c r="S1261">
        <v>6000000</v>
      </c>
      <c r="T1261">
        <v>288000000</v>
      </c>
      <c r="U1261">
        <v>245455204.31999999</v>
      </c>
    </row>
    <row r="1262" spans="1:21" x14ac:dyDescent="0.25">
      <c r="A1262">
        <v>201200</v>
      </c>
      <c r="B1262" t="s">
        <v>2480</v>
      </c>
      <c r="C1262" t="s">
        <v>2481</v>
      </c>
      <c r="D1262" t="s">
        <v>1279</v>
      </c>
      <c r="E1262">
        <v>0</v>
      </c>
      <c r="F1262" s="105">
        <v>2083197.79</v>
      </c>
      <c r="G1262" t="s">
        <v>2034</v>
      </c>
      <c r="H1262">
        <v>80550.31</v>
      </c>
      <c r="I1262">
        <v>2475302.7999999998</v>
      </c>
      <c r="J1262" s="711">
        <v>42944.714830324076</v>
      </c>
      <c r="K1262" s="711">
        <v>43252</v>
      </c>
      <c r="L1262" t="s">
        <v>2482</v>
      </c>
      <c r="M1262" t="s">
        <v>1280</v>
      </c>
      <c r="N1262" t="s">
        <v>1280</v>
      </c>
      <c r="O1262" t="s">
        <v>44</v>
      </c>
      <c r="P1262" t="s">
        <v>92</v>
      </c>
      <c r="Q1262" t="s">
        <v>92</v>
      </c>
      <c r="R1262" t="s">
        <v>2856</v>
      </c>
      <c r="S1262">
        <v>2500000</v>
      </c>
      <c r="T1262">
        <v>120000000</v>
      </c>
      <c r="U1262">
        <v>99993493.920000002</v>
      </c>
    </row>
    <row r="1263" spans="1:21" x14ac:dyDescent="0.25">
      <c r="A1263">
        <v>201201</v>
      </c>
      <c r="B1263" t="s">
        <v>2971</v>
      </c>
      <c r="C1263" t="s">
        <v>2972</v>
      </c>
      <c r="D1263" t="s">
        <v>1285</v>
      </c>
      <c r="E1263">
        <v>-20</v>
      </c>
      <c r="F1263" s="105">
        <v>4217495.72</v>
      </c>
      <c r="G1263" t="s">
        <v>284</v>
      </c>
      <c r="H1263">
        <v>23196.23</v>
      </c>
      <c r="I1263">
        <v>4613459.99</v>
      </c>
      <c r="J1263" s="711">
        <v>42944.700933368054</v>
      </c>
      <c r="K1263" s="711">
        <v>43302</v>
      </c>
      <c r="L1263" t="s">
        <v>2973</v>
      </c>
      <c r="M1263" t="s">
        <v>1280</v>
      </c>
      <c r="N1263" t="s">
        <v>1280</v>
      </c>
      <c r="O1263" t="s">
        <v>43</v>
      </c>
      <c r="P1263" t="s">
        <v>338</v>
      </c>
      <c r="Q1263" t="s">
        <v>339</v>
      </c>
      <c r="R1263" t="s">
        <v>2636</v>
      </c>
      <c r="S1263">
        <v>5500000</v>
      </c>
      <c r="T1263">
        <v>121000000</v>
      </c>
      <c r="U1263">
        <v>92784905.840000004</v>
      </c>
    </row>
    <row r="1264" spans="1:21" x14ac:dyDescent="0.25">
      <c r="A1264">
        <v>201202</v>
      </c>
      <c r="B1264" t="s">
        <v>3525</v>
      </c>
      <c r="C1264" t="s">
        <v>3533</v>
      </c>
      <c r="D1264" t="s">
        <v>1866</v>
      </c>
      <c r="E1264">
        <v>0</v>
      </c>
      <c r="F1264" s="105">
        <v>5183250.8</v>
      </c>
      <c r="G1264" t="s">
        <v>2034</v>
      </c>
      <c r="H1264">
        <v>183717.45</v>
      </c>
      <c r="I1264">
        <v>6284878.8200000003</v>
      </c>
      <c r="J1264" s="711">
        <v>42945.442615706015</v>
      </c>
      <c r="K1264" s="711">
        <v>43313</v>
      </c>
      <c r="L1264" t="s">
        <v>3534</v>
      </c>
      <c r="M1264" t="s">
        <v>1280</v>
      </c>
      <c r="N1264" t="s">
        <v>1280</v>
      </c>
      <c r="O1264" t="s">
        <v>36</v>
      </c>
      <c r="P1264" t="s">
        <v>97</v>
      </c>
      <c r="Q1264" t="s">
        <v>98</v>
      </c>
      <c r="R1264" t="s">
        <v>2856</v>
      </c>
      <c r="S1264">
        <v>6000000</v>
      </c>
      <c r="T1264">
        <v>264000000</v>
      </c>
      <c r="U1264">
        <v>228063035.19999999</v>
      </c>
    </row>
    <row r="1265" spans="1:21" x14ac:dyDescent="0.25">
      <c r="A1265">
        <v>201203</v>
      </c>
      <c r="B1265" t="s">
        <v>5127</v>
      </c>
      <c r="C1265" t="s">
        <v>5138</v>
      </c>
      <c r="D1265" t="s">
        <v>1866</v>
      </c>
      <c r="E1265">
        <v>0</v>
      </c>
      <c r="F1265" s="105">
        <v>4994195.7</v>
      </c>
      <c r="G1265" t="s">
        <v>4686</v>
      </c>
      <c r="H1265">
        <v>201155.1</v>
      </c>
      <c r="I1265">
        <v>5975124.3200000003</v>
      </c>
      <c r="J1265" s="711">
        <v>42947.74363730324</v>
      </c>
      <c r="K1265" s="711">
        <v>43252</v>
      </c>
      <c r="L1265" t="s">
        <v>5139</v>
      </c>
      <c r="M1265" t="s">
        <v>5140</v>
      </c>
      <c r="N1265" t="s">
        <v>1280</v>
      </c>
      <c r="O1265" t="s">
        <v>45</v>
      </c>
      <c r="P1265" t="s">
        <v>45</v>
      </c>
      <c r="Q1265" t="s">
        <v>89</v>
      </c>
      <c r="R1265" t="s">
        <v>2636</v>
      </c>
      <c r="S1265">
        <v>6000000</v>
      </c>
      <c r="T1265">
        <v>300000000</v>
      </c>
      <c r="U1265">
        <v>249709785</v>
      </c>
    </row>
    <row r="1266" spans="1:21" x14ac:dyDescent="0.25">
      <c r="A1266">
        <v>201204</v>
      </c>
      <c r="B1266" t="s">
        <v>3023</v>
      </c>
      <c r="C1266" t="s">
        <v>3027</v>
      </c>
      <c r="D1266" t="s">
        <v>1284</v>
      </c>
      <c r="E1266">
        <v>-5</v>
      </c>
      <c r="F1266" s="105">
        <v>4951913.59</v>
      </c>
      <c r="G1266" t="s">
        <v>491</v>
      </c>
      <c r="H1266">
        <v>118845.93</v>
      </c>
      <c r="I1266">
        <v>5643453.8200000003</v>
      </c>
      <c r="J1266" s="711">
        <v>42950.72107133102</v>
      </c>
      <c r="K1266" s="711">
        <v>43257</v>
      </c>
      <c r="L1266" t="s">
        <v>3028</v>
      </c>
      <c r="M1266" t="s">
        <v>1280</v>
      </c>
      <c r="N1266" t="s">
        <v>1280</v>
      </c>
      <c r="O1266" t="s">
        <v>25</v>
      </c>
      <c r="P1266" t="s">
        <v>88</v>
      </c>
      <c r="Q1266" t="s">
        <v>285</v>
      </c>
      <c r="R1266" t="s">
        <v>2856</v>
      </c>
      <c r="S1266">
        <v>6000000</v>
      </c>
      <c r="T1266">
        <v>216000000</v>
      </c>
      <c r="U1266">
        <v>178268889.24000001</v>
      </c>
    </row>
    <row r="1267" spans="1:21" x14ac:dyDescent="0.25">
      <c r="A1267">
        <v>201205</v>
      </c>
      <c r="B1267" t="s">
        <v>2968</v>
      </c>
      <c r="C1267" t="s">
        <v>2969</v>
      </c>
      <c r="D1267" t="s">
        <v>1282</v>
      </c>
      <c r="E1267">
        <v>-1</v>
      </c>
      <c r="F1267" s="105">
        <v>6640691.7999999998</v>
      </c>
      <c r="G1267" t="s">
        <v>1447</v>
      </c>
      <c r="H1267">
        <v>247919.16</v>
      </c>
      <c r="I1267">
        <v>7890620.46</v>
      </c>
      <c r="J1267" s="711">
        <v>42949.654072453704</v>
      </c>
      <c r="K1267" s="711">
        <v>43253</v>
      </c>
      <c r="L1267" t="s">
        <v>2970</v>
      </c>
      <c r="M1267" t="s">
        <v>1280</v>
      </c>
      <c r="N1267" t="s">
        <v>1280</v>
      </c>
      <c r="O1267" t="s">
        <v>36</v>
      </c>
      <c r="P1267" t="s">
        <v>1023</v>
      </c>
      <c r="Q1267" t="s">
        <v>4042</v>
      </c>
      <c r="R1267" t="s">
        <v>2856</v>
      </c>
      <c r="S1267">
        <v>8000000</v>
      </c>
      <c r="T1267">
        <v>384000000</v>
      </c>
      <c r="U1267">
        <v>318753206.39999998</v>
      </c>
    </row>
    <row r="1268" spans="1:21" x14ac:dyDescent="0.25">
      <c r="A1268">
        <v>201206</v>
      </c>
      <c r="B1268" t="s">
        <v>1886</v>
      </c>
      <c r="C1268" t="s">
        <v>1889</v>
      </c>
      <c r="D1268" t="s">
        <v>1286</v>
      </c>
      <c r="E1268">
        <v>-20</v>
      </c>
      <c r="F1268" s="105">
        <v>3220885.74</v>
      </c>
      <c r="G1268" t="s">
        <v>284</v>
      </c>
      <c r="H1268">
        <v>20130.54</v>
      </c>
      <c r="I1268">
        <v>3356011.64</v>
      </c>
      <c r="J1268" s="711">
        <v>42950.545220138891</v>
      </c>
      <c r="K1268" s="711">
        <v>43121</v>
      </c>
      <c r="L1268" t="s">
        <v>1890</v>
      </c>
      <c r="M1268" t="s">
        <v>1280</v>
      </c>
      <c r="N1268" t="s">
        <v>1280</v>
      </c>
      <c r="O1268" t="s">
        <v>28</v>
      </c>
      <c r="P1268" t="s">
        <v>108</v>
      </c>
      <c r="Q1268" t="s">
        <v>26</v>
      </c>
      <c r="R1268" t="s">
        <v>2636</v>
      </c>
      <c r="S1268">
        <v>6300000</v>
      </c>
      <c r="T1268">
        <v>157500000</v>
      </c>
      <c r="U1268">
        <v>80522143.5</v>
      </c>
    </row>
    <row r="1269" spans="1:21" x14ac:dyDescent="0.25">
      <c r="A1269">
        <v>201208</v>
      </c>
      <c r="B1269" t="s">
        <v>4198</v>
      </c>
      <c r="C1269" t="s">
        <v>4200</v>
      </c>
      <c r="D1269" t="s">
        <v>1282</v>
      </c>
      <c r="E1269">
        <v>-6</v>
      </c>
      <c r="F1269" s="105">
        <v>4321167.8499999996</v>
      </c>
      <c r="G1269" t="s">
        <v>1909</v>
      </c>
      <c r="H1269">
        <v>132515.81</v>
      </c>
      <c r="I1269">
        <v>5327608.66</v>
      </c>
      <c r="J1269" s="711">
        <v>42954.512467442131</v>
      </c>
      <c r="K1269" s="711">
        <v>43319</v>
      </c>
      <c r="L1269" t="s">
        <v>4201</v>
      </c>
      <c r="M1269" t="s">
        <v>1280</v>
      </c>
      <c r="N1269" t="s">
        <v>4202</v>
      </c>
      <c r="O1269" t="s">
        <v>25</v>
      </c>
      <c r="P1269" t="s">
        <v>88</v>
      </c>
      <c r="Q1269" t="s">
        <v>285</v>
      </c>
      <c r="R1269" t="s">
        <v>2856</v>
      </c>
      <c r="S1269">
        <v>5000000</v>
      </c>
      <c r="T1269">
        <v>240000000</v>
      </c>
      <c r="U1269">
        <v>207416056.80000001</v>
      </c>
    </row>
    <row r="1270" spans="1:21" x14ac:dyDescent="0.25">
      <c r="A1270">
        <v>201210</v>
      </c>
      <c r="B1270" t="s">
        <v>5150</v>
      </c>
      <c r="C1270" t="s">
        <v>5158</v>
      </c>
      <c r="D1270" t="s">
        <v>1282</v>
      </c>
      <c r="E1270">
        <v>-6</v>
      </c>
      <c r="F1270" s="105">
        <v>3334321.23</v>
      </c>
      <c r="G1270" t="s">
        <v>4686</v>
      </c>
      <c r="H1270">
        <v>115034.08</v>
      </c>
      <c r="I1270">
        <v>4044122.3</v>
      </c>
      <c r="J1270" s="711">
        <v>42954.678449039355</v>
      </c>
      <c r="K1270" s="711">
        <v>43258</v>
      </c>
      <c r="L1270" t="s">
        <v>5159</v>
      </c>
      <c r="M1270" t="s">
        <v>1280</v>
      </c>
      <c r="N1270" t="s">
        <v>5160</v>
      </c>
      <c r="O1270" t="s">
        <v>36</v>
      </c>
      <c r="P1270" t="s">
        <v>1023</v>
      </c>
      <c r="Q1270" t="s">
        <v>1810</v>
      </c>
      <c r="R1270" t="s">
        <v>2636</v>
      </c>
      <c r="S1270">
        <v>4000000</v>
      </c>
      <c r="T1270">
        <v>216000000</v>
      </c>
      <c r="U1270">
        <v>180053346.41999999</v>
      </c>
    </row>
    <row r="1271" spans="1:21" x14ac:dyDescent="0.25">
      <c r="A1271">
        <v>201211</v>
      </c>
      <c r="B1271" t="s">
        <v>3708</v>
      </c>
      <c r="C1271" t="s">
        <v>3722</v>
      </c>
      <c r="D1271" t="s">
        <v>1279</v>
      </c>
      <c r="E1271">
        <v>-6</v>
      </c>
      <c r="F1271" s="105">
        <v>3320345.89</v>
      </c>
      <c r="G1271" t="s">
        <v>491</v>
      </c>
      <c r="H1271">
        <v>101823.94</v>
      </c>
      <c r="I1271">
        <v>3945310.21</v>
      </c>
      <c r="J1271" s="711">
        <v>42954.705635497688</v>
      </c>
      <c r="K1271" s="711">
        <v>43258</v>
      </c>
      <c r="L1271" t="s">
        <v>3723</v>
      </c>
      <c r="M1271" t="s">
        <v>1280</v>
      </c>
      <c r="N1271" t="s">
        <v>3724</v>
      </c>
      <c r="O1271" t="s">
        <v>45</v>
      </c>
      <c r="P1271" t="s">
        <v>45</v>
      </c>
      <c r="Q1271" t="s">
        <v>89</v>
      </c>
      <c r="R1271" t="s">
        <v>2856</v>
      </c>
      <c r="S1271">
        <v>4000000</v>
      </c>
      <c r="T1271">
        <v>192000000</v>
      </c>
      <c r="U1271">
        <v>159376602.72</v>
      </c>
    </row>
    <row r="1272" spans="1:21" x14ac:dyDescent="0.25">
      <c r="A1272">
        <v>201212</v>
      </c>
      <c r="B1272" t="s">
        <v>2790</v>
      </c>
      <c r="C1272" t="s">
        <v>2797</v>
      </c>
      <c r="D1272" t="s">
        <v>1866</v>
      </c>
      <c r="E1272">
        <v>-9</v>
      </c>
      <c r="F1272" s="105">
        <v>4978058.0999999996</v>
      </c>
      <c r="G1272" t="s">
        <v>2175</v>
      </c>
      <c r="H1272">
        <v>121685.86</v>
      </c>
      <c r="I1272">
        <v>5833897.25</v>
      </c>
      <c r="J1272" s="711">
        <v>42955.442869444443</v>
      </c>
      <c r="K1272" s="711">
        <v>43261</v>
      </c>
      <c r="L1272" t="s">
        <v>2798</v>
      </c>
      <c r="M1272" t="s">
        <v>1280</v>
      </c>
      <c r="N1272" t="s">
        <v>1280</v>
      </c>
      <c r="O1272" t="s">
        <v>25</v>
      </c>
      <c r="P1272" t="s">
        <v>88</v>
      </c>
      <c r="Q1272" t="s">
        <v>285</v>
      </c>
      <c r="R1272" t="s">
        <v>2856</v>
      </c>
      <c r="S1272">
        <v>6000000</v>
      </c>
      <c r="T1272">
        <v>264000000</v>
      </c>
      <c r="U1272">
        <v>219034556.40000001</v>
      </c>
    </row>
    <row r="1273" spans="1:21" x14ac:dyDescent="0.25">
      <c r="A1273">
        <v>201213</v>
      </c>
      <c r="B1273" t="s">
        <v>2983</v>
      </c>
      <c r="C1273" t="s">
        <v>2984</v>
      </c>
      <c r="D1273" t="s">
        <v>1282</v>
      </c>
      <c r="E1273">
        <v>-8</v>
      </c>
      <c r="F1273" s="105">
        <v>3456934.27</v>
      </c>
      <c r="G1273" t="s">
        <v>1467</v>
      </c>
      <c r="H1273">
        <v>96794.16</v>
      </c>
      <c r="I1273">
        <v>4262086.91</v>
      </c>
      <c r="J1273" s="711">
        <v>42956.50059826389</v>
      </c>
      <c r="K1273" s="711">
        <v>43321</v>
      </c>
      <c r="L1273" t="s">
        <v>2985</v>
      </c>
      <c r="M1273" t="s">
        <v>1280</v>
      </c>
      <c r="N1273" t="s">
        <v>1280</v>
      </c>
      <c r="O1273" t="s">
        <v>25</v>
      </c>
      <c r="P1273" t="s">
        <v>106</v>
      </c>
      <c r="Q1273" t="s">
        <v>107</v>
      </c>
      <c r="R1273" t="s">
        <v>2856</v>
      </c>
      <c r="S1273">
        <v>4000000</v>
      </c>
      <c r="T1273">
        <v>192000000</v>
      </c>
      <c r="U1273">
        <v>165932844.96000001</v>
      </c>
    </row>
    <row r="1274" spans="1:21" x14ac:dyDescent="0.25">
      <c r="A1274">
        <v>201214</v>
      </c>
      <c r="B1274" t="s">
        <v>3511</v>
      </c>
      <c r="C1274" t="s">
        <v>3514</v>
      </c>
      <c r="D1274" t="s">
        <v>1282</v>
      </c>
      <c r="E1274">
        <v>-8</v>
      </c>
      <c r="F1274" s="105">
        <v>8642335.6699999999</v>
      </c>
      <c r="G1274" t="s">
        <v>4684</v>
      </c>
      <c r="H1274">
        <v>241985.4</v>
      </c>
      <c r="I1274">
        <v>10655217.26</v>
      </c>
      <c r="J1274" s="711">
        <v>42956.558485729169</v>
      </c>
      <c r="K1274" s="711">
        <v>43321</v>
      </c>
      <c r="L1274" t="s">
        <v>3515</v>
      </c>
      <c r="M1274" t="s">
        <v>1280</v>
      </c>
      <c r="N1274" t="s">
        <v>1280</v>
      </c>
      <c r="O1274" t="s">
        <v>27</v>
      </c>
      <c r="P1274" t="s">
        <v>81</v>
      </c>
      <c r="Q1274" t="s">
        <v>5165</v>
      </c>
      <c r="R1274" t="s">
        <v>2856</v>
      </c>
      <c r="S1274">
        <v>10000000</v>
      </c>
      <c r="T1274">
        <v>480000000</v>
      </c>
      <c r="U1274">
        <v>414832112.16000003</v>
      </c>
    </row>
    <row r="1275" spans="1:21" x14ac:dyDescent="0.25">
      <c r="A1275">
        <v>201215</v>
      </c>
      <c r="B1275" t="s">
        <v>5166</v>
      </c>
      <c r="C1275" t="s">
        <v>5171</v>
      </c>
      <c r="D1275" t="s">
        <v>1279</v>
      </c>
      <c r="E1275">
        <v>-8</v>
      </c>
      <c r="F1275" s="105">
        <v>3334321.23</v>
      </c>
      <c r="G1275" t="s">
        <v>5167</v>
      </c>
      <c r="H1275">
        <v>105031.12</v>
      </c>
      <c r="I1275">
        <v>4044122.3</v>
      </c>
      <c r="J1275" s="711">
        <v>42956.583530902775</v>
      </c>
      <c r="K1275" s="711">
        <v>43260</v>
      </c>
      <c r="L1275" t="s">
        <v>5172</v>
      </c>
      <c r="M1275" t="s">
        <v>1280</v>
      </c>
      <c r="N1275" t="s">
        <v>1280</v>
      </c>
      <c r="O1275" t="s">
        <v>25</v>
      </c>
      <c r="P1275" t="s">
        <v>88</v>
      </c>
      <c r="Q1275" t="s">
        <v>285</v>
      </c>
      <c r="R1275" t="s">
        <v>2636</v>
      </c>
      <c r="S1275">
        <v>4000000</v>
      </c>
      <c r="T1275">
        <v>216000000</v>
      </c>
      <c r="U1275">
        <v>180053346.41999999</v>
      </c>
    </row>
    <row r="1276" spans="1:21" x14ac:dyDescent="0.25">
      <c r="A1276">
        <v>201216</v>
      </c>
      <c r="B1276" t="s">
        <v>3374</v>
      </c>
      <c r="C1276" t="s">
        <v>3379</v>
      </c>
      <c r="D1276" t="s">
        <v>1282</v>
      </c>
      <c r="E1276">
        <v>-8</v>
      </c>
      <c r="F1276" s="105">
        <v>2075216.19</v>
      </c>
      <c r="G1276" t="s">
        <v>3074</v>
      </c>
      <c r="H1276">
        <v>58106.05</v>
      </c>
      <c r="I1276">
        <v>2465818.9</v>
      </c>
      <c r="J1276" s="711">
        <v>42956.591755821762</v>
      </c>
      <c r="K1276" s="711">
        <v>43260</v>
      </c>
      <c r="L1276" t="s">
        <v>3380</v>
      </c>
      <c r="M1276" t="s">
        <v>1280</v>
      </c>
      <c r="N1276" t="s">
        <v>1280</v>
      </c>
      <c r="O1276" t="s">
        <v>44</v>
      </c>
      <c r="P1276" t="s">
        <v>92</v>
      </c>
      <c r="Q1276" t="s">
        <v>92</v>
      </c>
      <c r="R1276" t="s">
        <v>2856</v>
      </c>
      <c r="S1276">
        <v>2500000</v>
      </c>
      <c r="T1276">
        <v>120000000</v>
      </c>
      <c r="U1276">
        <v>99610377.120000005</v>
      </c>
    </row>
    <row r="1277" spans="1:21" x14ac:dyDescent="0.25">
      <c r="A1277">
        <v>201217</v>
      </c>
      <c r="B1277" t="s">
        <v>5174</v>
      </c>
      <c r="C1277" t="s">
        <v>5175</v>
      </c>
      <c r="D1277" t="s">
        <v>1279</v>
      </c>
      <c r="E1277">
        <v>-9</v>
      </c>
      <c r="F1277" s="105">
        <v>2782174.79</v>
      </c>
      <c r="G1277" t="s">
        <v>5167</v>
      </c>
      <c r="H1277">
        <v>83465.240000000005</v>
      </c>
      <c r="I1277">
        <v>3102054.2</v>
      </c>
      <c r="J1277" s="711">
        <v>42957.52770309028</v>
      </c>
      <c r="K1277" s="711">
        <v>43141</v>
      </c>
      <c r="L1277" t="s">
        <v>5176</v>
      </c>
      <c r="M1277" t="s">
        <v>1280</v>
      </c>
      <c r="N1277" t="s">
        <v>5177</v>
      </c>
      <c r="O1277" t="s">
        <v>25</v>
      </c>
      <c r="P1277" t="s">
        <v>88</v>
      </c>
      <c r="Q1277" t="s">
        <v>285</v>
      </c>
      <c r="R1277" t="s">
        <v>2636</v>
      </c>
      <c r="S1277">
        <v>4000000</v>
      </c>
      <c r="T1277">
        <v>216000000</v>
      </c>
      <c r="U1277">
        <v>150237438.66</v>
      </c>
    </row>
    <row r="1278" spans="1:21" x14ac:dyDescent="0.25">
      <c r="A1278">
        <v>201218</v>
      </c>
      <c r="B1278" t="s">
        <v>2010</v>
      </c>
      <c r="C1278" t="s">
        <v>2011</v>
      </c>
      <c r="D1278" t="s">
        <v>1866</v>
      </c>
      <c r="E1278">
        <v>-17</v>
      </c>
      <c r="F1278" s="105">
        <v>7836481.5300000003</v>
      </c>
      <c r="G1278" t="s">
        <v>2861</v>
      </c>
      <c r="H1278">
        <v>114935.06</v>
      </c>
      <c r="I1278">
        <v>8872318.4299999997</v>
      </c>
      <c r="J1278" s="711">
        <v>42957.643901041665</v>
      </c>
      <c r="K1278" s="711">
        <v>43208</v>
      </c>
      <c r="L1278" t="s">
        <v>2012</v>
      </c>
      <c r="M1278" t="s">
        <v>1280</v>
      </c>
      <c r="N1278" t="s">
        <v>2013</v>
      </c>
      <c r="O1278" t="s">
        <v>25</v>
      </c>
      <c r="P1278" t="s">
        <v>88</v>
      </c>
      <c r="Q1278" t="s">
        <v>285</v>
      </c>
      <c r="R1278" t="s">
        <v>2856</v>
      </c>
      <c r="S1278">
        <v>10000000</v>
      </c>
      <c r="T1278">
        <v>440000000</v>
      </c>
      <c r="U1278">
        <v>344805187.31999999</v>
      </c>
    </row>
    <row r="1279" spans="1:21" x14ac:dyDescent="0.25">
      <c r="A1279">
        <v>201219</v>
      </c>
      <c r="B1279" t="s">
        <v>2291</v>
      </c>
      <c r="C1279" t="s">
        <v>2302</v>
      </c>
      <c r="D1279" t="s">
        <v>1281</v>
      </c>
      <c r="E1279">
        <v>-9</v>
      </c>
      <c r="F1279" s="105">
        <v>21515879.079999998</v>
      </c>
      <c r="G1279" t="s">
        <v>2861</v>
      </c>
      <c r="H1279">
        <v>502037.18</v>
      </c>
      <c r="I1279">
        <v>25870987.309999999</v>
      </c>
      <c r="J1279" s="711">
        <v>42957.611355821762</v>
      </c>
      <c r="K1279" s="711">
        <v>43322</v>
      </c>
      <c r="L1279" t="s">
        <v>2303</v>
      </c>
      <c r="M1279" t="s">
        <v>1280</v>
      </c>
      <c r="N1279" t="s">
        <v>1280</v>
      </c>
      <c r="O1279" t="s">
        <v>25</v>
      </c>
      <c r="P1279" t="s">
        <v>88</v>
      </c>
      <c r="Q1279" t="s">
        <v>285</v>
      </c>
      <c r="R1279" t="s">
        <v>2856</v>
      </c>
      <c r="S1279">
        <v>25000000</v>
      </c>
      <c r="T1279">
        <v>1050000000</v>
      </c>
      <c r="U1279">
        <v>903666921.36000001</v>
      </c>
    </row>
    <row r="1280" spans="1:21" x14ac:dyDescent="0.25">
      <c r="A1280">
        <v>201220</v>
      </c>
      <c r="B1280" t="s">
        <v>5173</v>
      </c>
      <c r="C1280" t="s">
        <v>5178</v>
      </c>
      <c r="D1280" t="s">
        <v>1279</v>
      </c>
      <c r="E1280">
        <v>-9</v>
      </c>
      <c r="F1280" s="105">
        <v>1391087.38</v>
      </c>
      <c r="G1280" t="s">
        <v>5167</v>
      </c>
      <c r="H1280">
        <v>41732.620000000003</v>
      </c>
      <c r="I1280">
        <v>1551027.08</v>
      </c>
      <c r="J1280" s="711">
        <v>42957.655313888892</v>
      </c>
      <c r="K1280" s="711">
        <v>43141</v>
      </c>
      <c r="L1280" t="s">
        <v>5179</v>
      </c>
      <c r="M1280" t="s">
        <v>1280</v>
      </c>
      <c r="N1280" t="s">
        <v>1280</v>
      </c>
      <c r="O1280" t="s">
        <v>36</v>
      </c>
      <c r="P1280" t="s">
        <v>118</v>
      </c>
      <c r="Q1280" t="s">
        <v>119</v>
      </c>
      <c r="R1280" t="s">
        <v>2636</v>
      </c>
      <c r="S1280">
        <v>2000000</v>
      </c>
      <c r="T1280">
        <v>108000000</v>
      </c>
      <c r="U1280">
        <v>75118718.519999996</v>
      </c>
    </row>
    <row r="1281" spans="1:21" x14ac:dyDescent="0.25">
      <c r="A1281">
        <v>201222</v>
      </c>
      <c r="B1281" t="s">
        <v>2733</v>
      </c>
      <c r="C1281" t="s">
        <v>2736</v>
      </c>
      <c r="D1281" t="s">
        <v>1279</v>
      </c>
      <c r="E1281">
        <v>-10</v>
      </c>
      <c r="F1281" s="105">
        <v>2490259.4300000002</v>
      </c>
      <c r="G1281" t="s">
        <v>1667</v>
      </c>
      <c r="H1281">
        <v>63086.57</v>
      </c>
      <c r="I1281">
        <v>2958982.69</v>
      </c>
      <c r="J1281" s="711">
        <v>42958.64839278935</v>
      </c>
      <c r="K1281" s="711">
        <v>43262</v>
      </c>
      <c r="L1281" t="s">
        <v>2737</v>
      </c>
      <c r="M1281" t="s">
        <v>2738</v>
      </c>
      <c r="N1281" t="s">
        <v>1280</v>
      </c>
      <c r="O1281" t="s">
        <v>44</v>
      </c>
      <c r="P1281" t="s">
        <v>92</v>
      </c>
      <c r="Q1281" t="s">
        <v>92</v>
      </c>
      <c r="R1281" t="s">
        <v>2856</v>
      </c>
      <c r="S1281">
        <v>3000000</v>
      </c>
      <c r="T1281">
        <v>144000000</v>
      </c>
      <c r="U1281">
        <v>119532452.64</v>
      </c>
    </row>
    <row r="1282" spans="1:21" x14ac:dyDescent="0.25">
      <c r="A1282">
        <v>201223</v>
      </c>
      <c r="B1282" t="s">
        <v>3228</v>
      </c>
      <c r="C1282" t="s">
        <v>3248</v>
      </c>
      <c r="D1282" t="s">
        <v>1279</v>
      </c>
      <c r="E1282">
        <v>-10</v>
      </c>
      <c r="F1282" s="105">
        <v>3024817.5</v>
      </c>
      <c r="G1282" t="s">
        <v>468</v>
      </c>
      <c r="H1282">
        <v>76628.710000000006</v>
      </c>
      <c r="I1282">
        <v>3729326.06</v>
      </c>
      <c r="J1282" s="711">
        <v>42958.615538113423</v>
      </c>
      <c r="K1282" s="711">
        <v>43323</v>
      </c>
      <c r="L1282" t="s">
        <v>3249</v>
      </c>
      <c r="M1282" t="s">
        <v>1280</v>
      </c>
      <c r="N1282" t="s">
        <v>3250</v>
      </c>
      <c r="O1282" t="s">
        <v>44</v>
      </c>
      <c r="P1282" t="s">
        <v>92</v>
      </c>
      <c r="Q1282" t="s">
        <v>92</v>
      </c>
      <c r="R1282" t="s">
        <v>2856</v>
      </c>
      <c r="S1282">
        <v>3500000</v>
      </c>
      <c r="T1282">
        <v>168000000</v>
      </c>
      <c r="U1282">
        <v>145191240</v>
      </c>
    </row>
    <row r="1283" spans="1:21" x14ac:dyDescent="0.25">
      <c r="A1283">
        <v>201224</v>
      </c>
      <c r="B1283" t="s">
        <v>5180</v>
      </c>
      <c r="C1283" t="s">
        <v>5181</v>
      </c>
      <c r="D1283" t="s">
        <v>1286</v>
      </c>
      <c r="E1283">
        <v>-20</v>
      </c>
      <c r="F1283" s="105">
        <v>660980.43999999994</v>
      </c>
      <c r="G1283" t="s">
        <v>284</v>
      </c>
      <c r="H1283">
        <v>4131.13</v>
      </c>
      <c r="I1283">
        <v>688710.58</v>
      </c>
      <c r="J1283" s="711">
        <v>42958.620713113429</v>
      </c>
      <c r="K1283" s="711">
        <v>43121</v>
      </c>
      <c r="L1283" t="s">
        <v>5182</v>
      </c>
      <c r="M1283" t="s">
        <v>1280</v>
      </c>
      <c r="N1283" t="s">
        <v>1280</v>
      </c>
      <c r="O1283" t="s">
        <v>28</v>
      </c>
      <c r="P1283" t="s">
        <v>26</v>
      </c>
      <c r="Q1283" t="s">
        <v>26</v>
      </c>
      <c r="R1283" t="s">
        <v>2636</v>
      </c>
      <c r="S1283">
        <v>1300000</v>
      </c>
      <c r="T1283">
        <v>32500000</v>
      </c>
      <c r="U1283">
        <v>16524511</v>
      </c>
    </row>
    <row r="1284" spans="1:21" x14ac:dyDescent="0.25">
      <c r="A1284">
        <v>201225</v>
      </c>
      <c r="B1284" t="s">
        <v>3990</v>
      </c>
      <c r="C1284" t="s">
        <v>3997</v>
      </c>
      <c r="D1284" t="s">
        <v>1282</v>
      </c>
      <c r="E1284">
        <v>-13</v>
      </c>
      <c r="F1284" s="105">
        <v>4150432.37</v>
      </c>
      <c r="G1284" t="s">
        <v>1447</v>
      </c>
      <c r="H1284">
        <v>88542.56</v>
      </c>
      <c r="I1284">
        <v>4931637.78</v>
      </c>
      <c r="J1284" s="711">
        <v>42961.715052430554</v>
      </c>
      <c r="K1284" s="711">
        <v>43265</v>
      </c>
      <c r="L1284" t="s">
        <v>3998</v>
      </c>
      <c r="M1284" t="s">
        <v>1280</v>
      </c>
      <c r="N1284" t="s">
        <v>1280</v>
      </c>
      <c r="O1284" t="s">
        <v>44</v>
      </c>
      <c r="P1284" t="s">
        <v>75</v>
      </c>
      <c r="Q1284" t="s">
        <v>1442</v>
      </c>
      <c r="R1284" t="s">
        <v>2856</v>
      </c>
      <c r="S1284">
        <v>5000000</v>
      </c>
      <c r="T1284">
        <v>240000000</v>
      </c>
      <c r="U1284">
        <v>199220753.75999999</v>
      </c>
    </row>
    <row r="1285" spans="1:21" x14ac:dyDescent="0.25">
      <c r="A1285">
        <v>201226</v>
      </c>
      <c r="B1285" t="s">
        <v>2709</v>
      </c>
      <c r="C1285" t="s">
        <v>2710</v>
      </c>
      <c r="D1285" t="s">
        <v>1279</v>
      </c>
      <c r="E1285">
        <v>-10</v>
      </c>
      <c r="F1285" s="105">
        <v>3114412.89</v>
      </c>
      <c r="G1285" t="s">
        <v>3074</v>
      </c>
      <c r="H1285">
        <v>78898.460000000006</v>
      </c>
      <c r="I1285">
        <v>3564667.97</v>
      </c>
      <c r="J1285" s="711">
        <v>42958.69990482639</v>
      </c>
      <c r="K1285" s="711">
        <v>43201</v>
      </c>
      <c r="L1285" t="s">
        <v>2711</v>
      </c>
      <c r="M1285" t="s">
        <v>1280</v>
      </c>
      <c r="N1285" t="s">
        <v>2712</v>
      </c>
      <c r="O1285" t="s">
        <v>25</v>
      </c>
      <c r="P1285" t="s">
        <v>103</v>
      </c>
      <c r="Q1285" t="s">
        <v>104</v>
      </c>
      <c r="R1285" t="s">
        <v>2856</v>
      </c>
      <c r="S1285">
        <v>4000000</v>
      </c>
      <c r="T1285">
        <v>192000000</v>
      </c>
      <c r="U1285">
        <v>149491818.72</v>
      </c>
    </row>
    <row r="1286" spans="1:21" x14ac:dyDescent="0.25">
      <c r="A1286">
        <v>201227</v>
      </c>
      <c r="B1286" t="s">
        <v>5192</v>
      </c>
      <c r="C1286" t="s">
        <v>5207</v>
      </c>
      <c r="D1286" t="s">
        <v>1282</v>
      </c>
      <c r="E1286">
        <v>-13</v>
      </c>
      <c r="F1286" s="105">
        <v>2782174.79</v>
      </c>
      <c r="G1286" t="s">
        <v>491</v>
      </c>
      <c r="H1286">
        <v>66772.19</v>
      </c>
      <c r="I1286">
        <v>3102054.2</v>
      </c>
      <c r="J1286" s="711">
        <v>42961.691763275463</v>
      </c>
      <c r="K1286" s="711">
        <v>43145</v>
      </c>
      <c r="L1286" t="s">
        <v>5208</v>
      </c>
      <c r="M1286" t="s">
        <v>1280</v>
      </c>
      <c r="N1286" t="s">
        <v>1280</v>
      </c>
      <c r="O1286" t="s">
        <v>25</v>
      </c>
      <c r="P1286" t="s">
        <v>88</v>
      </c>
      <c r="Q1286" t="s">
        <v>285</v>
      </c>
      <c r="R1286" t="s">
        <v>2636</v>
      </c>
      <c r="S1286">
        <v>4000000</v>
      </c>
      <c r="T1286">
        <v>216000000</v>
      </c>
      <c r="U1286">
        <v>150237438.66</v>
      </c>
    </row>
    <row r="1287" spans="1:21" x14ac:dyDescent="0.25">
      <c r="A1287">
        <v>201228</v>
      </c>
      <c r="B1287" t="s">
        <v>3372</v>
      </c>
      <c r="C1287" t="s">
        <v>3383</v>
      </c>
      <c r="D1287" t="s">
        <v>1866</v>
      </c>
      <c r="E1287">
        <v>-13</v>
      </c>
      <c r="F1287" s="105">
        <v>6032900.4400000004</v>
      </c>
      <c r="G1287" t="s">
        <v>2557</v>
      </c>
      <c r="H1287">
        <v>117976.72</v>
      </c>
      <c r="I1287">
        <v>7315109.6900000004</v>
      </c>
      <c r="J1287" s="711">
        <v>42961.758969826391</v>
      </c>
      <c r="K1287" s="711">
        <v>43326</v>
      </c>
      <c r="L1287" t="s">
        <v>3384</v>
      </c>
      <c r="M1287" t="s">
        <v>1280</v>
      </c>
      <c r="N1287" t="s">
        <v>1280</v>
      </c>
      <c r="O1287" t="s">
        <v>25</v>
      </c>
      <c r="P1287" t="s">
        <v>88</v>
      </c>
      <c r="Q1287" t="s">
        <v>285</v>
      </c>
      <c r="R1287" t="s">
        <v>2856</v>
      </c>
      <c r="S1287">
        <v>7000000</v>
      </c>
      <c r="T1287">
        <v>308000000</v>
      </c>
      <c r="U1287">
        <v>265447619.36000001</v>
      </c>
    </row>
    <row r="1288" spans="1:21" x14ac:dyDescent="0.25">
      <c r="A1288">
        <v>201229</v>
      </c>
      <c r="B1288" t="s">
        <v>3940</v>
      </c>
      <c r="C1288" t="s">
        <v>3958</v>
      </c>
      <c r="D1288" t="s">
        <v>1282</v>
      </c>
      <c r="E1288">
        <v>-13</v>
      </c>
      <c r="F1288" s="105">
        <v>5810605.3200000003</v>
      </c>
      <c r="G1288" t="s">
        <v>2538</v>
      </c>
      <c r="H1288">
        <v>123959.58</v>
      </c>
      <c r="I1288">
        <v>6904292.9000000004</v>
      </c>
      <c r="J1288" s="711">
        <v>42961.635382291664</v>
      </c>
      <c r="K1288" s="711">
        <v>43265</v>
      </c>
      <c r="L1288" t="s">
        <v>3959</v>
      </c>
      <c r="M1288" t="s">
        <v>1280</v>
      </c>
      <c r="N1288" t="s">
        <v>1280</v>
      </c>
      <c r="O1288" t="s">
        <v>31</v>
      </c>
      <c r="P1288" t="s">
        <v>5187</v>
      </c>
      <c r="Q1288" t="s">
        <v>5188</v>
      </c>
      <c r="R1288" t="s">
        <v>2856</v>
      </c>
      <c r="S1288">
        <v>7000000</v>
      </c>
      <c r="T1288">
        <v>336000000</v>
      </c>
      <c r="U1288">
        <v>278909055.36000001</v>
      </c>
    </row>
    <row r="1289" spans="1:21" x14ac:dyDescent="0.25">
      <c r="A1289">
        <v>201230</v>
      </c>
      <c r="B1289" t="s">
        <v>3707</v>
      </c>
      <c r="C1289" t="s">
        <v>3717</v>
      </c>
      <c r="D1289" t="s">
        <v>1279</v>
      </c>
      <c r="E1289">
        <v>-13</v>
      </c>
      <c r="F1289" s="105">
        <v>2592700.7000000002</v>
      </c>
      <c r="G1289" t="s">
        <v>4684</v>
      </c>
      <c r="H1289">
        <v>55310.95</v>
      </c>
      <c r="I1289">
        <v>3196565.19</v>
      </c>
      <c r="J1289" s="711">
        <v>42961.692666817129</v>
      </c>
      <c r="K1289" s="711">
        <v>43326</v>
      </c>
      <c r="L1289" t="s">
        <v>3718</v>
      </c>
      <c r="M1289" t="s">
        <v>1280</v>
      </c>
      <c r="N1289" t="s">
        <v>1280</v>
      </c>
      <c r="O1289" t="s">
        <v>44</v>
      </c>
      <c r="P1289" t="s">
        <v>75</v>
      </c>
      <c r="Q1289" t="s">
        <v>26</v>
      </c>
      <c r="R1289" t="s">
        <v>2856</v>
      </c>
      <c r="S1289">
        <v>3000000</v>
      </c>
      <c r="T1289">
        <v>144000000</v>
      </c>
      <c r="U1289">
        <v>124449633.59999999</v>
      </c>
    </row>
    <row r="1290" spans="1:21" x14ac:dyDescent="0.25">
      <c r="A1290">
        <v>201231</v>
      </c>
      <c r="B1290" t="s">
        <v>5210</v>
      </c>
      <c r="C1290" t="s">
        <v>5218</v>
      </c>
      <c r="D1290" t="s">
        <v>1282</v>
      </c>
      <c r="E1290">
        <v>-14</v>
      </c>
      <c r="F1290" s="105">
        <v>2086631.1</v>
      </c>
      <c r="G1290" t="s">
        <v>4685</v>
      </c>
      <c r="H1290">
        <v>46949.2</v>
      </c>
      <c r="I1290">
        <v>2326540.66</v>
      </c>
      <c r="J1290" s="711">
        <v>42962.699635960649</v>
      </c>
      <c r="K1290" s="711">
        <v>43146</v>
      </c>
      <c r="L1290" t="s">
        <v>5219</v>
      </c>
      <c r="M1290" t="s">
        <v>1280</v>
      </c>
      <c r="N1290" t="s">
        <v>5220</v>
      </c>
      <c r="O1290" t="s">
        <v>25</v>
      </c>
      <c r="P1290" t="s">
        <v>88</v>
      </c>
      <c r="Q1290" t="s">
        <v>285</v>
      </c>
      <c r="R1290" t="s">
        <v>2636</v>
      </c>
      <c r="S1290">
        <v>3000000</v>
      </c>
      <c r="T1290">
        <v>162000000</v>
      </c>
      <c r="U1290">
        <v>112678079.40000001</v>
      </c>
    </row>
    <row r="1291" spans="1:21" x14ac:dyDescent="0.25">
      <c r="A1291">
        <v>201232</v>
      </c>
      <c r="B1291" t="s">
        <v>5221</v>
      </c>
      <c r="C1291" t="s">
        <v>5224</v>
      </c>
      <c r="D1291" t="s">
        <v>1282</v>
      </c>
      <c r="E1291">
        <v>-15</v>
      </c>
      <c r="F1291" s="105">
        <v>1738859.24</v>
      </c>
      <c r="G1291" t="s">
        <v>4685</v>
      </c>
      <c r="H1291">
        <v>36516.04</v>
      </c>
      <c r="I1291">
        <v>1938783.88</v>
      </c>
      <c r="J1291" s="711">
        <v>42963.693098923613</v>
      </c>
      <c r="K1291" s="711">
        <v>43147</v>
      </c>
      <c r="L1291" t="s">
        <v>5225</v>
      </c>
      <c r="M1291" t="s">
        <v>1280</v>
      </c>
      <c r="N1291" t="s">
        <v>5226</v>
      </c>
      <c r="O1291" t="s">
        <v>25</v>
      </c>
      <c r="P1291" t="s">
        <v>103</v>
      </c>
      <c r="Q1291" t="s">
        <v>104</v>
      </c>
      <c r="R1291" t="s">
        <v>2636</v>
      </c>
      <c r="S1291">
        <v>2500000</v>
      </c>
      <c r="T1291">
        <v>135000000</v>
      </c>
      <c r="U1291">
        <v>93898398.959999993</v>
      </c>
    </row>
    <row r="1292" spans="1:21" x14ac:dyDescent="0.25">
      <c r="A1292">
        <v>201233</v>
      </c>
      <c r="B1292" t="s">
        <v>5222</v>
      </c>
      <c r="C1292" t="s">
        <v>5227</v>
      </c>
      <c r="D1292" t="s">
        <v>1282</v>
      </c>
      <c r="E1292">
        <v>-15</v>
      </c>
      <c r="F1292" s="105">
        <v>2782174.79</v>
      </c>
      <c r="G1292" t="s">
        <v>4686</v>
      </c>
      <c r="H1292">
        <v>58425.67</v>
      </c>
      <c r="I1292">
        <v>3102054.2</v>
      </c>
      <c r="J1292" s="711">
        <v>42963.67516875</v>
      </c>
      <c r="K1292" s="711">
        <v>43147</v>
      </c>
      <c r="L1292" t="s">
        <v>5228</v>
      </c>
      <c r="M1292" t="s">
        <v>1280</v>
      </c>
      <c r="N1292" t="s">
        <v>5229</v>
      </c>
      <c r="O1292" t="s">
        <v>25</v>
      </c>
      <c r="P1292" t="s">
        <v>103</v>
      </c>
      <c r="Q1292" t="s">
        <v>104</v>
      </c>
      <c r="R1292" t="s">
        <v>2636</v>
      </c>
      <c r="S1292">
        <v>4000000</v>
      </c>
      <c r="T1292">
        <v>216000000</v>
      </c>
      <c r="U1292">
        <v>150237438.66</v>
      </c>
    </row>
    <row r="1293" spans="1:21" x14ac:dyDescent="0.25">
      <c r="A1293">
        <v>201234</v>
      </c>
      <c r="B1293" t="s">
        <v>3826</v>
      </c>
      <c r="C1293" t="s">
        <v>3827</v>
      </c>
      <c r="D1293" t="s">
        <v>1282</v>
      </c>
      <c r="E1293">
        <v>-15</v>
      </c>
      <c r="F1293" s="105">
        <v>4980518.83</v>
      </c>
      <c r="G1293" t="s">
        <v>5167</v>
      </c>
      <c r="H1293">
        <v>92969.68</v>
      </c>
      <c r="I1293">
        <v>5917965.2999999998</v>
      </c>
      <c r="J1293" s="711">
        <v>42963.518841203702</v>
      </c>
      <c r="K1293" s="711">
        <v>43267</v>
      </c>
      <c r="L1293" t="s">
        <v>3828</v>
      </c>
      <c r="M1293" t="s">
        <v>1280</v>
      </c>
      <c r="N1293" t="s">
        <v>1280</v>
      </c>
      <c r="O1293" t="s">
        <v>25</v>
      </c>
      <c r="P1293" t="s">
        <v>88</v>
      </c>
      <c r="Q1293" t="s">
        <v>285</v>
      </c>
      <c r="R1293" t="s">
        <v>2856</v>
      </c>
      <c r="S1293">
        <v>6000000</v>
      </c>
      <c r="T1293">
        <v>288000000</v>
      </c>
      <c r="U1293">
        <v>239064903.84</v>
      </c>
    </row>
    <row r="1294" spans="1:21" x14ac:dyDescent="0.25">
      <c r="A1294">
        <v>201235</v>
      </c>
      <c r="B1294" t="s">
        <v>3900</v>
      </c>
      <c r="C1294" t="s">
        <v>3906</v>
      </c>
      <c r="D1294" t="s">
        <v>1282</v>
      </c>
      <c r="E1294">
        <v>-15</v>
      </c>
      <c r="F1294" s="105">
        <v>6913868.54</v>
      </c>
      <c r="G1294" t="s">
        <v>1448</v>
      </c>
      <c r="H1294">
        <v>129058.88</v>
      </c>
      <c r="I1294">
        <v>8524173.8100000005</v>
      </c>
      <c r="J1294" s="711">
        <v>42963.690912118058</v>
      </c>
      <c r="K1294" s="711">
        <v>43328</v>
      </c>
      <c r="L1294" t="s">
        <v>3907</v>
      </c>
      <c r="M1294" t="s">
        <v>1280</v>
      </c>
      <c r="N1294" t="s">
        <v>3908</v>
      </c>
      <c r="O1294" t="s">
        <v>25</v>
      </c>
      <c r="P1294" t="s">
        <v>88</v>
      </c>
      <c r="Q1294" t="s">
        <v>285</v>
      </c>
      <c r="R1294" t="s">
        <v>2856</v>
      </c>
      <c r="S1294">
        <v>8000000</v>
      </c>
      <c r="T1294">
        <v>384000000</v>
      </c>
      <c r="U1294">
        <v>331865689.92000002</v>
      </c>
    </row>
    <row r="1295" spans="1:21" x14ac:dyDescent="0.25">
      <c r="A1295">
        <v>201236</v>
      </c>
      <c r="B1295" t="s">
        <v>5223</v>
      </c>
      <c r="C1295" t="s">
        <v>5230</v>
      </c>
      <c r="D1295" t="s">
        <v>1279</v>
      </c>
      <c r="E1295">
        <v>-15</v>
      </c>
      <c r="F1295" s="105">
        <v>2490259.4300000002</v>
      </c>
      <c r="G1295" t="s">
        <v>2175</v>
      </c>
      <c r="H1295">
        <v>46484.84</v>
      </c>
      <c r="I1295">
        <v>2958982.69</v>
      </c>
      <c r="J1295" s="711">
        <v>42963.677953668979</v>
      </c>
      <c r="K1295" s="711">
        <v>43267</v>
      </c>
      <c r="L1295" t="s">
        <v>5231</v>
      </c>
      <c r="M1295" t="s">
        <v>1280</v>
      </c>
      <c r="N1295" t="s">
        <v>5232</v>
      </c>
      <c r="O1295" t="s">
        <v>25</v>
      </c>
      <c r="P1295" t="s">
        <v>88</v>
      </c>
      <c r="Q1295" t="s">
        <v>285</v>
      </c>
      <c r="R1295" t="s">
        <v>2856</v>
      </c>
      <c r="S1295">
        <v>3000000</v>
      </c>
      <c r="T1295">
        <v>144000000</v>
      </c>
      <c r="U1295">
        <v>119532452.64</v>
      </c>
    </row>
    <row r="1296" spans="1:21" x14ac:dyDescent="0.25">
      <c r="A1296">
        <v>201237</v>
      </c>
      <c r="B1296" t="s">
        <v>4323</v>
      </c>
      <c r="C1296" t="s">
        <v>4324</v>
      </c>
      <c r="D1296" t="s">
        <v>1282</v>
      </c>
      <c r="E1296">
        <v>-15</v>
      </c>
      <c r="F1296" s="105">
        <v>4150432.37</v>
      </c>
      <c r="G1296" t="s">
        <v>491</v>
      </c>
      <c r="H1296">
        <v>77474.740000000005</v>
      </c>
      <c r="I1296">
        <v>4931637.78</v>
      </c>
      <c r="J1296" s="711">
        <v>42963.714644409723</v>
      </c>
      <c r="K1296" s="711">
        <v>43267</v>
      </c>
      <c r="L1296" t="s">
        <v>4325</v>
      </c>
      <c r="M1296" t="s">
        <v>1280</v>
      </c>
      <c r="N1296" t="s">
        <v>1280</v>
      </c>
      <c r="O1296" t="s">
        <v>25</v>
      </c>
      <c r="P1296" t="s">
        <v>88</v>
      </c>
      <c r="Q1296" t="s">
        <v>26</v>
      </c>
      <c r="R1296" t="s">
        <v>2856</v>
      </c>
      <c r="S1296">
        <v>5000000</v>
      </c>
      <c r="T1296">
        <v>240000000</v>
      </c>
      <c r="U1296">
        <v>199220753.75999999</v>
      </c>
    </row>
    <row r="1297" spans="1:21" x14ac:dyDescent="0.25">
      <c r="A1297">
        <v>201238</v>
      </c>
      <c r="B1297" t="s">
        <v>1784</v>
      </c>
      <c r="C1297" t="s">
        <v>1785</v>
      </c>
      <c r="D1297" t="s">
        <v>1284</v>
      </c>
      <c r="E1297">
        <v>-16</v>
      </c>
      <c r="F1297" s="105">
        <v>24687662.140000001</v>
      </c>
      <c r="G1297" t="s">
        <v>1447</v>
      </c>
      <c r="H1297">
        <v>320939.61</v>
      </c>
      <c r="I1297">
        <v>28135321.57</v>
      </c>
      <c r="J1297" s="711">
        <v>42964.682263773146</v>
      </c>
      <c r="K1297" s="711">
        <v>43268</v>
      </c>
      <c r="L1297" t="s">
        <v>1786</v>
      </c>
      <c r="M1297" t="s">
        <v>1280</v>
      </c>
      <c r="N1297" t="s">
        <v>1280</v>
      </c>
      <c r="O1297" t="s">
        <v>27</v>
      </c>
      <c r="P1297" t="s">
        <v>81</v>
      </c>
      <c r="Q1297" t="s">
        <v>1685</v>
      </c>
      <c r="R1297" t="s">
        <v>2856</v>
      </c>
      <c r="S1297">
        <v>30000000</v>
      </c>
      <c r="T1297">
        <v>1080000000</v>
      </c>
      <c r="U1297">
        <v>888755837.03999996</v>
      </c>
    </row>
    <row r="1298" spans="1:21" x14ac:dyDescent="0.25">
      <c r="A1298">
        <v>201240</v>
      </c>
      <c r="B1298" t="s">
        <v>4769</v>
      </c>
      <c r="C1298" t="s">
        <v>4773</v>
      </c>
      <c r="D1298" t="s">
        <v>1281</v>
      </c>
      <c r="E1298">
        <v>-16</v>
      </c>
      <c r="F1298" s="105">
        <v>27508131.879999999</v>
      </c>
      <c r="G1298" t="s">
        <v>468</v>
      </c>
      <c r="H1298">
        <v>417206.67</v>
      </c>
      <c r="I1298">
        <v>36392083.640000001</v>
      </c>
      <c r="J1298" s="711">
        <v>42964.550383182868</v>
      </c>
      <c r="K1298" s="711">
        <v>43513</v>
      </c>
      <c r="L1298" t="s">
        <v>4774</v>
      </c>
      <c r="M1298" t="s">
        <v>1280</v>
      </c>
      <c r="N1298" t="s">
        <v>1280</v>
      </c>
      <c r="O1298" t="s">
        <v>37</v>
      </c>
      <c r="P1298" t="s">
        <v>288</v>
      </c>
      <c r="Q1298" t="s">
        <v>1313</v>
      </c>
      <c r="R1298" t="s">
        <v>2856</v>
      </c>
      <c r="S1298">
        <v>30000000</v>
      </c>
      <c r="T1298">
        <v>1260000000</v>
      </c>
      <c r="U1298">
        <v>1155341538.96</v>
      </c>
    </row>
    <row r="1299" spans="1:21" x14ac:dyDescent="0.25">
      <c r="A1299">
        <v>201241</v>
      </c>
      <c r="B1299" t="s">
        <v>2452</v>
      </c>
      <c r="C1299" t="s">
        <v>2453</v>
      </c>
      <c r="D1299" t="s">
        <v>1282</v>
      </c>
      <c r="E1299">
        <v>-18</v>
      </c>
      <c r="F1299" s="105">
        <v>11235036.390000001</v>
      </c>
      <c r="G1299" t="s">
        <v>1447</v>
      </c>
      <c r="H1299">
        <v>164780.53</v>
      </c>
      <c r="I1299">
        <v>13851782.470000001</v>
      </c>
      <c r="J1299" s="711">
        <v>42966.509046874999</v>
      </c>
      <c r="K1299" s="711">
        <v>43331</v>
      </c>
      <c r="L1299" t="s">
        <v>2454</v>
      </c>
      <c r="M1299" t="s">
        <v>2455</v>
      </c>
      <c r="N1299" t="s">
        <v>1280</v>
      </c>
      <c r="O1299" t="s">
        <v>45</v>
      </c>
      <c r="P1299" t="s">
        <v>45</v>
      </c>
      <c r="Q1299" t="s">
        <v>89</v>
      </c>
      <c r="R1299" t="s">
        <v>2856</v>
      </c>
      <c r="S1299">
        <v>13000000</v>
      </c>
      <c r="T1299">
        <v>624000000</v>
      </c>
      <c r="U1299">
        <v>539281746.72000003</v>
      </c>
    </row>
    <row r="1300" spans="1:21" x14ac:dyDescent="0.25">
      <c r="A1300">
        <v>201243</v>
      </c>
      <c r="B1300" t="s">
        <v>5235</v>
      </c>
      <c r="C1300" t="s">
        <v>5236</v>
      </c>
      <c r="D1300" t="s">
        <v>1282</v>
      </c>
      <c r="E1300">
        <v>-17</v>
      </c>
      <c r="F1300" s="105">
        <v>3909916.29</v>
      </c>
      <c r="G1300" t="s">
        <v>5047</v>
      </c>
      <c r="H1300">
        <v>70378.490000000005</v>
      </c>
      <c r="I1300">
        <v>4548289.58</v>
      </c>
      <c r="J1300" s="711">
        <v>42965.661909722221</v>
      </c>
      <c r="K1300" s="711">
        <v>43208</v>
      </c>
      <c r="L1300" t="s">
        <v>5237</v>
      </c>
      <c r="M1300" t="s">
        <v>5238</v>
      </c>
      <c r="N1300" t="s">
        <v>1280</v>
      </c>
      <c r="O1300" t="s">
        <v>25</v>
      </c>
      <c r="P1300" t="s">
        <v>88</v>
      </c>
      <c r="Q1300" t="s">
        <v>285</v>
      </c>
      <c r="R1300" t="s">
        <v>2636</v>
      </c>
      <c r="S1300">
        <v>5000000</v>
      </c>
      <c r="T1300">
        <v>270000000</v>
      </c>
      <c r="U1300">
        <v>211135479.66</v>
      </c>
    </row>
    <row r="1301" spans="1:21" x14ac:dyDescent="0.25">
      <c r="A1301">
        <v>201244</v>
      </c>
      <c r="B1301" t="s">
        <v>5241</v>
      </c>
      <c r="C1301" t="s">
        <v>5247</v>
      </c>
      <c r="D1301" t="s">
        <v>1282</v>
      </c>
      <c r="E1301">
        <v>-18</v>
      </c>
      <c r="F1301" s="105">
        <v>2500740.92</v>
      </c>
      <c r="G1301" t="s">
        <v>5410</v>
      </c>
      <c r="H1301">
        <v>41262.230000000003</v>
      </c>
      <c r="I1301">
        <v>3033091.71</v>
      </c>
      <c r="J1301" s="711">
        <v>42966.490009641202</v>
      </c>
      <c r="K1301" s="711">
        <v>43270</v>
      </c>
      <c r="L1301" t="s">
        <v>5248</v>
      </c>
      <c r="M1301" t="s">
        <v>1280</v>
      </c>
      <c r="N1301" t="s">
        <v>5249</v>
      </c>
      <c r="O1301" t="s">
        <v>36</v>
      </c>
      <c r="P1301" t="s">
        <v>97</v>
      </c>
      <c r="Q1301" t="s">
        <v>98</v>
      </c>
      <c r="R1301" t="s">
        <v>2636</v>
      </c>
      <c r="S1301">
        <v>3000000</v>
      </c>
      <c r="T1301">
        <v>162000000</v>
      </c>
      <c r="U1301">
        <v>135040009.68000001</v>
      </c>
    </row>
    <row r="1302" spans="1:21" x14ac:dyDescent="0.25">
      <c r="A1302">
        <v>201245</v>
      </c>
      <c r="B1302" t="s">
        <v>5285</v>
      </c>
      <c r="C1302" t="s">
        <v>5288</v>
      </c>
      <c r="D1302" t="s">
        <v>1282</v>
      </c>
      <c r="E1302">
        <v>-22</v>
      </c>
      <c r="F1302" s="105">
        <v>2917531.08</v>
      </c>
      <c r="G1302" t="s">
        <v>5047</v>
      </c>
      <c r="H1302">
        <v>30634.080000000002</v>
      </c>
      <c r="I1302">
        <v>3538606.98</v>
      </c>
      <c r="J1302" s="711">
        <v>42970.619665081016</v>
      </c>
      <c r="K1302" s="711">
        <v>43274</v>
      </c>
      <c r="L1302" t="s">
        <v>5289</v>
      </c>
      <c r="M1302" t="s">
        <v>1280</v>
      </c>
      <c r="N1302" t="s">
        <v>1280</v>
      </c>
      <c r="O1302" t="s">
        <v>25</v>
      </c>
      <c r="P1302" t="s">
        <v>88</v>
      </c>
      <c r="Q1302" t="s">
        <v>285</v>
      </c>
      <c r="R1302" t="s">
        <v>2636</v>
      </c>
      <c r="S1302">
        <v>3500000</v>
      </c>
      <c r="T1302">
        <v>189000000</v>
      </c>
      <c r="U1302">
        <v>157546678.31999999</v>
      </c>
    </row>
    <row r="1303" spans="1:21" x14ac:dyDescent="0.25">
      <c r="A1303">
        <v>201246</v>
      </c>
      <c r="B1303" t="s">
        <v>5233</v>
      </c>
      <c r="C1303" t="s">
        <v>5239</v>
      </c>
      <c r="D1303" t="s">
        <v>1282</v>
      </c>
      <c r="E1303">
        <v>-17</v>
      </c>
      <c r="F1303" s="105">
        <v>2169394.11</v>
      </c>
      <c r="G1303" t="s">
        <v>4919</v>
      </c>
      <c r="H1303">
        <v>39049.089999999997</v>
      </c>
      <c r="I1303">
        <v>2741654.71</v>
      </c>
      <c r="J1303" s="711">
        <v>42965.688243171295</v>
      </c>
      <c r="K1303" s="711">
        <v>43330</v>
      </c>
      <c r="L1303" t="s">
        <v>5240</v>
      </c>
      <c r="M1303" t="s">
        <v>1280</v>
      </c>
      <c r="N1303" t="s">
        <v>1280</v>
      </c>
      <c r="O1303" t="s">
        <v>36</v>
      </c>
      <c r="P1303" t="s">
        <v>97</v>
      </c>
      <c r="Q1303" t="s">
        <v>5234</v>
      </c>
      <c r="R1303" t="s">
        <v>2856</v>
      </c>
      <c r="S1303">
        <v>2500000</v>
      </c>
      <c r="T1303">
        <v>135000000</v>
      </c>
      <c r="U1303">
        <v>117147281.94</v>
      </c>
    </row>
    <row r="1304" spans="1:21" x14ac:dyDescent="0.25">
      <c r="A1304">
        <v>201247</v>
      </c>
      <c r="B1304" t="s">
        <v>1956</v>
      </c>
      <c r="C1304" t="s">
        <v>2030</v>
      </c>
      <c r="D1304" t="s">
        <v>1284</v>
      </c>
      <c r="E1304">
        <v>-18</v>
      </c>
      <c r="F1304" s="105">
        <v>17817076.829999998</v>
      </c>
      <c r="G1304" t="s">
        <v>1467</v>
      </c>
      <c r="H1304">
        <v>195987.85</v>
      </c>
      <c r="I1304">
        <v>21779310.920000002</v>
      </c>
      <c r="J1304" s="711">
        <v>42966.509947650462</v>
      </c>
      <c r="K1304" s="711">
        <v>43423</v>
      </c>
      <c r="L1304" t="s">
        <v>2031</v>
      </c>
      <c r="M1304" t="s">
        <v>1280</v>
      </c>
      <c r="N1304" t="s">
        <v>1280</v>
      </c>
      <c r="O1304" t="s">
        <v>44</v>
      </c>
      <c r="P1304" t="s">
        <v>75</v>
      </c>
      <c r="Q1304" t="s">
        <v>1442</v>
      </c>
      <c r="R1304" t="s">
        <v>2856</v>
      </c>
      <c r="S1304">
        <v>20000000</v>
      </c>
      <c r="T1304">
        <v>720000000</v>
      </c>
      <c r="U1304">
        <v>641414765.88</v>
      </c>
    </row>
    <row r="1305" spans="1:21" x14ac:dyDescent="0.25">
      <c r="A1305">
        <v>201248</v>
      </c>
      <c r="B1305" t="s">
        <v>5244</v>
      </c>
      <c r="C1305" t="s">
        <v>5250</v>
      </c>
      <c r="D1305" t="s">
        <v>1279</v>
      </c>
      <c r="E1305">
        <v>-18</v>
      </c>
      <c r="F1305" s="105">
        <v>1728467.13</v>
      </c>
      <c r="G1305" t="s">
        <v>963</v>
      </c>
      <c r="H1305">
        <v>37485.33</v>
      </c>
      <c r="I1305">
        <v>2131043.4700000002</v>
      </c>
      <c r="J1305" s="711">
        <v>42966.524724884257</v>
      </c>
      <c r="K1305" s="711">
        <v>43331</v>
      </c>
      <c r="L1305" t="s">
        <v>5251</v>
      </c>
      <c r="M1305" t="s">
        <v>1280</v>
      </c>
      <c r="N1305" t="s">
        <v>1280</v>
      </c>
      <c r="O1305" t="s">
        <v>25</v>
      </c>
      <c r="P1305" t="s">
        <v>88</v>
      </c>
      <c r="Q1305" t="s">
        <v>285</v>
      </c>
      <c r="R1305" t="s">
        <v>2856</v>
      </c>
      <c r="S1305">
        <v>2000000</v>
      </c>
      <c r="T1305">
        <v>96000000</v>
      </c>
      <c r="U1305">
        <v>82966422.239999995</v>
      </c>
    </row>
    <row r="1306" spans="1:21" x14ac:dyDescent="0.25">
      <c r="A1306">
        <v>201249</v>
      </c>
      <c r="B1306" t="s">
        <v>5253</v>
      </c>
      <c r="C1306" t="s">
        <v>5265</v>
      </c>
      <c r="D1306" t="s">
        <v>1279</v>
      </c>
      <c r="E1306">
        <v>-20</v>
      </c>
      <c r="F1306" s="105">
        <v>2736941.4</v>
      </c>
      <c r="G1306" t="s">
        <v>3074</v>
      </c>
      <c r="H1306">
        <v>177291.48</v>
      </c>
      <c r="I1306">
        <v>3183802.7</v>
      </c>
      <c r="J1306" s="711">
        <v>42968.663438692129</v>
      </c>
      <c r="K1306" s="711">
        <v>43211</v>
      </c>
      <c r="L1306" t="s">
        <v>5266</v>
      </c>
      <c r="M1306" t="s">
        <v>1280</v>
      </c>
      <c r="N1306" t="s">
        <v>1280</v>
      </c>
      <c r="O1306" t="s">
        <v>25</v>
      </c>
      <c r="P1306" t="s">
        <v>88</v>
      </c>
      <c r="Q1306" t="s">
        <v>285</v>
      </c>
      <c r="R1306" t="s">
        <v>2636</v>
      </c>
      <c r="S1306">
        <v>3500000</v>
      </c>
      <c r="T1306">
        <v>189000000</v>
      </c>
      <c r="U1306">
        <v>147794835.59999999</v>
      </c>
    </row>
    <row r="1307" spans="1:21" x14ac:dyDescent="0.25">
      <c r="A1307">
        <v>201250</v>
      </c>
      <c r="B1307" t="s">
        <v>2134</v>
      </c>
      <c r="C1307" t="s">
        <v>2162</v>
      </c>
      <c r="D1307" t="s">
        <v>1282</v>
      </c>
      <c r="E1307">
        <v>-20</v>
      </c>
      <c r="F1307" s="105">
        <v>8642335.6699999999</v>
      </c>
      <c r="G1307" t="s">
        <v>1448</v>
      </c>
      <c r="H1307">
        <v>103708.03</v>
      </c>
      <c r="I1307">
        <v>10655217.26</v>
      </c>
      <c r="J1307" s="711">
        <v>42968.696249189816</v>
      </c>
      <c r="K1307" s="711">
        <v>43333</v>
      </c>
      <c r="L1307" t="s">
        <v>2163</v>
      </c>
      <c r="M1307" t="s">
        <v>1280</v>
      </c>
      <c r="N1307" t="s">
        <v>1280</v>
      </c>
      <c r="O1307" t="s">
        <v>25</v>
      </c>
      <c r="P1307" t="s">
        <v>88</v>
      </c>
      <c r="Q1307" t="s">
        <v>285</v>
      </c>
      <c r="R1307" t="s">
        <v>2856</v>
      </c>
      <c r="S1307">
        <v>10000000</v>
      </c>
      <c r="T1307">
        <v>480000000</v>
      </c>
      <c r="U1307">
        <v>414832112.16000003</v>
      </c>
    </row>
    <row r="1308" spans="1:21" x14ac:dyDescent="0.25">
      <c r="A1308">
        <v>201251</v>
      </c>
      <c r="B1308" t="s">
        <v>5255</v>
      </c>
      <c r="C1308" t="s">
        <v>5267</v>
      </c>
      <c r="D1308" t="s">
        <v>1279</v>
      </c>
      <c r="E1308">
        <v>-20</v>
      </c>
      <c r="F1308" s="105">
        <v>1563966.51</v>
      </c>
      <c r="G1308" t="s">
        <v>4683</v>
      </c>
      <c r="H1308">
        <v>21113.55</v>
      </c>
      <c r="I1308">
        <v>1819315.84</v>
      </c>
      <c r="J1308" s="711">
        <v>42968.715607141203</v>
      </c>
      <c r="K1308" s="711">
        <v>43211</v>
      </c>
      <c r="L1308" t="s">
        <v>5268</v>
      </c>
      <c r="M1308" t="s">
        <v>1280</v>
      </c>
      <c r="N1308" t="s">
        <v>5269</v>
      </c>
      <c r="O1308" t="s">
        <v>44</v>
      </c>
      <c r="P1308" t="s">
        <v>75</v>
      </c>
      <c r="Q1308" t="s">
        <v>26</v>
      </c>
      <c r="R1308" t="s">
        <v>2636</v>
      </c>
      <c r="S1308">
        <v>2000000</v>
      </c>
      <c r="T1308">
        <v>108000000</v>
      </c>
      <c r="U1308">
        <v>84454191.540000007</v>
      </c>
    </row>
    <row r="1309" spans="1:21" x14ac:dyDescent="0.25">
      <c r="A1309">
        <v>201252</v>
      </c>
      <c r="B1309" t="s">
        <v>5274</v>
      </c>
      <c r="C1309" t="s">
        <v>5275</v>
      </c>
      <c r="D1309" t="s">
        <v>1279</v>
      </c>
      <c r="E1309">
        <v>-21</v>
      </c>
      <c r="F1309" s="105">
        <v>1250370.47</v>
      </c>
      <c r="G1309" t="s">
        <v>4683</v>
      </c>
      <c r="H1309">
        <v>15004.45</v>
      </c>
      <c r="I1309">
        <v>1516545.89</v>
      </c>
      <c r="J1309" s="711">
        <v>42969.395477627317</v>
      </c>
      <c r="K1309" s="711">
        <v>43273</v>
      </c>
      <c r="L1309" t="s">
        <v>5276</v>
      </c>
      <c r="M1309" t="s">
        <v>1280</v>
      </c>
      <c r="N1309" t="s">
        <v>5277</v>
      </c>
      <c r="O1309" t="s">
        <v>44</v>
      </c>
      <c r="P1309" t="s">
        <v>92</v>
      </c>
      <c r="Q1309" t="s">
        <v>92</v>
      </c>
      <c r="R1309" t="s">
        <v>2636</v>
      </c>
      <c r="S1309">
        <v>1500000</v>
      </c>
      <c r="T1309">
        <v>81000000</v>
      </c>
      <c r="U1309">
        <v>67520005.379999995</v>
      </c>
    </row>
    <row r="1310" spans="1:21" x14ac:dyDescent="0.25">
      <c r="A1310">
        <v>201253</v>
      </c>
      <c r="B1310" t="s">
        <v>5257</v>
      </c>
      <c r="C1310" t="s">
        <v>5270</v>
      </c>
      <c r="D1310" t="s">
        <v>1286</v>
      </c>
      <c r="E1310">
        <v>-20</v>
      </c>
      <c r="F1310" s="105">
        <v>1360918.23</v>
      </c>
      <c r="G1310" t="s">
        <v>284</v>
      </c>
      <c r="H1310">
        <v>8505.74</v>
      </c>
      <c r="I1310">
        <v>1389270.69</v>
      </c>
      <c r="J1310" s="711">
        <v>42968.723197916668</v>
      </c>
      <c r="K1310" s="711">
        <v>43060</v>
      </c>
      <c r="L1310" t="s">
        <v>5271</v>
      </c>
      <c r="M1310" t="s">
        <v>1280</v>
      </c>
      <c r="N1310" t="s">
        <v>1280</v>
      </c>
      <c r="O1310" t="s">
        <v>28</v>
      </c>
      <c r="P1310" t="s">
        <v>26</v>
      </c>
      <c r="Q1310" t="s">
        <v>26</v>
      </c>
      <c r="R1310" t="s">
        <v>2636</v>
      </c>
      <c r="S1310">
        <v>4000000</v>
      </c>
      <c r="T1310">
        <v>100000000</v>
      </c>
      <c r="U1310">
        <v>34022955.75</v>
      </c>
    </row>
    <row r="1311" spans="1:21" x14ac:dyDescent="0.25">
      <c r="A1311">
        <v>201254</v>
      </c>
      <c r="B1311" t="s">
        <v>4158</v>
      </c>
      <c r="C1311" t="s">
        <v>4167</v>
      </c>
      <c r="D1311" t="s">
        <v>1866</v>
      </c>
      <c r="E1311">
        <v>-21</v>
      </c>
      <c r="F1311" s="105">
        <v>7756586.2800000003</v>
      </c>
      <c r="G1311" t="s">
        <v>2557</v>
      </c>
      <c r="H1311">
        <v>75842.179999999993</v>
      </c>
      <c r="I1311">
        <v>9405141.0099999998</v>
      </c>
      <c r="J1311" s="711">
        <v>42969.544407141206</v>
      </c>
      <c r="K1311" s="711">
        <v>43334</v>
      </c>
      <c r="L1311" t="s">
        <v>4168</v>
      </c>
      <c r="M1311" t="s">
        <v>1280</v>
      </c>
      <c r="N1311" t="s">
        <v>1280</v>
      </c>
      <c r="O1311" t="s">
        <v>25</v>
      </c>
      <c r="P1311" t="s">
        <v>88</v>
      </c>
      <c r="Q1311" t="s">
        <v>285</v>
      </c>
      <c r="R1311" t="s">
        <v>2856</v>
      </c>
      <c r="S1311">
        <v>9000000</v>
      </c>
      <c r="T1311">
        <v>396000000</v>
      </c>
      <c r="U1311">
        <v>341289796.31999999</v>
      </c>
    </row>
    <row r="1312" spans="1:21" x14ac:dyDescent="0.25">
      <c r="A1312">
        <v>201255</v>
      </c>
      <c r="B1312" t="s">
        <v>4094</v>
      </c>
      <c r="C1312" t="s">
        <v>4102</v>
      </c>
      <c r="D1312" t="s">
        <v>1281</v>
      </c>
      <c r="E1312">
        <v>-21</v>
      </c>
      <c r="F1312" s="105">
        <v>14630797.77</v>
      </c>
      <c r="G1312" t="s">
        <v>2557</v>
      </c>
      <c r="H1312">
        <v>136554.10999999999</v>
      </c>
      <c r="I1312">
        <v>17592271.359999999</v>
      </c>
      <c r="J1312" s="711">
        <v>42969.638759259258</v>
      </c>
      <c r="K1312" s="711">
        <v>43334</v>
      </c>
      <c r="L1312" t="s">
        <v>4103</v>
      </c>
      <c r="M1312" t="s">
        <v>1280</v>
      </c>
      <c r="N1312" t="s">
        <v>1280</v>
      </c>
      <c r="O1312" t="s">
        <v>25</v>
      </c>
      <c r="P1312" t="s">
        <v>88</v>
      </c>
      <c r="Q1312" t="s">
        <v>285</v>
      </c>
      <c r="R1312" t="s">
        <v>2856</v>
      </c>
      <c r="S1312">
        <v>17000000</v>
      </c>
      <c r="T1312">
        <v>714000000</v>
      </c>
      <c r="U1312">
        <v>614493506.34000003</v>
      </c>
    </row>
    <row r="1313" spans="1:21" x14ac:dyDescent="0.25">
      <c r="A1313">
        <v>201256</v>
      </c>
      <c r="B1313" t="s">
        <v>5273</v>
      </c>
      <c r="C1313" t="s">
        <v>5278</v>
      </c>
      <c r="D1313" t="s">
        <v>1282</v>
      </c>
      <c r="E1313">
        <v>-21</v>
      </c>
      <c r="F1313" s="105">
        <v>2500740.92</v>
      </c>
      <c r="G1313" t="s">
        <v>4686</v>
      </c>
      <c r="H1313">
        <v>30008.89</v>
      </c>
      <c r="I1313">
        <v>3033091.71</v>
      </c>
      <c r="J1313" s="711">
        <v>42969.602546678238</v>
      </c>
      <c r="K1313" s="711">
        <v>43273</v>
      </c>
      <c r="L1313" t="s">
        <v>5279</v>
      </c>
      <c r="M1313" t="s">
        <v>1280</v>
      </c>
      <c r="N1313" t="s">
        <v>1280</v>
      </c>
      <c r="O1313" t="s">
        <v>25</v>
      </c>
      <c r="P1313" t="s">
        <v>88</v>
      </c>
      <c r="Q1313" t="s">
        <v>285</v>
      </c>
      <c r="R1313" t="s">
        <v>2636</v>
      </c>
      <c r="S1313">
        <v>3000000</v>
      </c>
      <c r="T1313">
        <v>162000000</v>
      </c>
      <c r="U1313">
        <v>135040009.68000001</v>
      </c>
    </row>
    <row r="1314" spans="1:21" x14ac:dyDescent="0.25">
      <c r="A1314">
        <v>201257</v>
      </c>
      <c r="B1314" t="s">
        <v>3169</v>
      </c>
      <c r="C1314" t="s">
        <v>3173</v>
      </c>
      <c r="D1314" t="s">
        <v>1286</v>
      </c>
      <c r="E1314">
        <v>-20</v>
      </c>
      <c r="F1314" s="105">
        <v>999382.03</v>
      </c>
      <c r="G1314" t="s">
        <v>284</v>
      </c>
      <c r="H1314">
        <v>6246.14</v>
      </c>
      <c r="I1314">
        <v>1051969.74</v>
      </c>
      <c r="J1314" s="711">
        <v>42969.632656018519</v>
      </c>
      <c r="K1314" s="711">
        <v>43152</v>
      </c>
      <c r="L1314" t="s">
        <v>3174</v>
      </c>
      <c r="M1314" t="s">
        <v>1280</v>
      </c>
      <c r="N1314" t="s">
        <v>1280</v>
      </c>
      <c r="O1314" t="s">
        <v>28</v>
      </c>
      <c r="P1314" t="s">
        <v>26</v>
      </c>
      <c r="Q1314" t="s">
        <v>26</v>
      </c>
      <c r="R1314" t="s">
        <v>2636</v>
      </c>
      <c r="S1314">
        <v>1470000</v>
      </c>
      <c r="T1314">
        <v>36750000</v>
      </c>
      <c r="U1314">
        <v>24984550.75</v>
      </c>
    </row>
    <row r="1315" spans="1:21" x14ac:dyDescent="0.25">
      <c r="A1315">
        <v>201258</v>
      </c>
      <c r="B1315" t="s">
        <v>5272</v>
      </c>
      <c r="C1315" t="s">
        <v>5280</v>
      </c>
      <c r="D1315" t="s">
        <v>1279</v>
      </c>
      <c r="E1315">
        <v>-21</v>
      </c>
      <c r="F1315" s="105">
        <v>2736941.4</v>
      </c>
      <c r="G1315" t="s">
        <v>4686</v>
      </c>
      <c r="H1315">
        <v>171134.91</v>
      </c>
      <c r="I1315">
        <v>3183802.7</v>
      </c>
      <c r="J1315" s="711">
        <v>42969.730253240741</v>
      </c>
      <c r="K1315" s="711">
        <v>43212</v>
      </c>
      <c r="L1315" t="s">
        <v>5281</v>
      </c>
      <c r="M1315" t="s">
        <v>1280</v>
      </c>
      <c r="N1315" t="s">
        <v>5282</v>
      </c>
      <c r="O1315" t="s">
        <v>25</v>
      </c>
      <c r="P1315" t="s">
        <v>88</v>
      </c>
      <c r="Q1315" t="s">
        <v>285</v>
      </c>
      <c r="R1315" t="s">
        <v>2636</v>
      </c>
      <c r="S1315">
        <v>3500000</v>
      </c>
      <c r="T1315">
        <v>189000000</v>
      </c>
      <c r="U1315">
        <v>147794835.59999999</v>
      </c>
    </row>
    <row r="1316" spans="1:21" x14ac:dyDescent="0.25">
      <c r="A1316">
        <v>201259</v>
      </c>
      <c r="B1316" t="s">
        <v>4401</v>
      </c>
      <c r="C1316" t="s">
        <v>4410</v>
      </c>
      <c r="D1316" t="s">
        <v>1286</v>
      </c>
      <c r="E1316">
        <v>-20</v>
      </c>
      <c r="F1316" s="105">
        <v>2353335.2999999998</v>
      </c>
      <c r="G1316" t="s">
        <v>284</v>
      </c>
      <c r="H1316">
        <v>14708.35</v>
      </c>
      <c r="I1316">
        <v>2477168.34</v>
      </c>
      <c r="J1316" s="711">
        <v>42970.614022453701</v>
      </c>
      <c r="K1316" s="711">
        <v>43152</v>
      </c>
      <c r="L1316" t="s">
        <v>4411</v>
      </c>
      <c r="M1316" t="s">
        <v>1280</v>
      </c>
      <c r="N1316" t="s">
        <v>1280</v>
      </c>
      <c r="O1316" t="s">
        <v>28</v>
      </c>
      <c r="P1316" t="s">
        <v>26</v>
      </c>
      <c r="Q1316" t="s">
        <v>26</v>
      </c>
      <c r="R1316" t="s">
        <v>2636</v>
      </c>
      <c r="S1316">
        <v>3463900</v>
      </c>
      <c r="T1316">
        <v>86597500</v>
      </c>
      <c r="U1316">
        <v>58833382.5</v>
      </c>
    </row>
    <row r="1317" spans="1:21" x14ac:dyDescent="0.25">
      <c r="A1317">
        <v>201260</v>
      </c>
      <c r="B1317" t="s">
        <v>5284</v>
      </c>
      <c r="C1317" t="s">
        <v>5290</v>
      </c>
      <c r="D1317" t="s">
        <v>1867</v>
      </c>
      <c r="E1317">
        <v>-22</v>
      </c>
      <c r="F1317" s="105">
        <v>9343238.6799999997</v>
      </c>
      <c r="G1317" t="s">
        <v>491</v>
      </c>
      <c r="H1317">
        <v>87203.56</v>
      </c>
      <c r="I1317">
        <v>10694003.93</v>
      </c>
      <c r="J1317" s="711">
        <v>42970.691239664353</v>
      </c>
      <c r="K1317" s="711">
        <v>43213</v>
      </c>
      <c r="L1317" t="s">
        <v>5291</v>
      </c>
      <c r="M1317" t="s">
        <v>5292</v>
      </c>
      <c r="N1317" t="s">
        <v>1280</v>
      </c>
      <c r="O1317" t="s">
        <v>25</v>
      </c>
      <c r="P1317" t="s">
        <v>88</v>
      </c>
      <c r="Q1317" t="s">
        <v>285</v>
      </c>
      <c r="R1317" t="s">
        <v>2636</v>
      </c>
      <c r="S1317">
        <v>12000000</v>
      </c>
      <c r="T1317">
        <v>576000000</v>
      </c>
      <c r="U1317">
        <v>448475456.63999999</v>
      </c>
    </row>
    <row r="1318" spans="1:21" x14ac:dyDescent="0.25">
      <c r="A1318">
        <v>201261</v>
      </c>
      <c r="B1318" t="s">
        <v>5295</v>
      </c>
      <c r="C1318" t="s">
        <v>5299</v>
      </c>
      <c r="D1318" t="s">
        <v>1282</v>
      </c>
      <c r="E1318">
        <v>-23</v>
      </c>
      <c r="F1318" s="105">
        <v>1954958.15</v>
      </c>
      <c r="G1318" t="s">
        <v>1447</v>
      </c>
      <c r="H1318">
        <v>17594.62</v>
      </c>
      <c r="I1318">
        <v>2274144.7999999998</v>
      </c>
      <c r="J1318" s="711">
        <v>42971.563569942133</v>
      </c>
      <c r="K1318" s="711">
        <v>43214</v>
      </c>
      <c r="L1318" t="s">
        <v>5300</v>
      </c>
      <c r="M1318" t="s">
        <v>1280</v>
      </c>
      <c r="N1318" t="s">
        <v>1280</v>
      </c>
      <c r="O1318" t="s">
        <v>44</v>
      </c>
      <c r="P1318" t="s">
        <v>75</v>
      </c>
      <c r="Q1318" t="s">
        <v>26</v>
      </c>
      <c r="R1318" t="s">
        <v>2636</v>
      </c>
      <c r="S1318">
        <v>2500000</v>
      </c>
      <c r="T1318">
        <v>135000000</v>
      </c>
      <c r="U1318">
        <v>105567740.09999999</v>
      </c>
    </row>
    <row r="1319" spans="1:21" x14ac:dyDescent="0.25">
      <c r="A1319">
        <v>201262</v>
      </c>
      <c r="B1319" t="s">
        <v>5294</v>
      </c>
      <c r="C1319" t="s">
        <v>5301</v>
      </c>
      <c r="D1319" t="s">
        <v>1282</v>
      </c>
      <c r="E1319">
        <v>-23</v>
      </c>
      <c r="F1319" s="105">
        <v>3334321.23</v>
      </c>
      <c r="G1319" t="s">
        <v>5167</v>
      </c>
      <c r="H1319">
        <v>30008.89</v>
      </c>
      <c r="I1319">
        <v>4044122.3</v>
      </c>
      <c r="J1319" s="711">
        <v>42971.655487349541</v>
      </c>
      <c r="K1319" s="711">
        <v>43275</v>
      </c>
      <c r="L1319" t="s">
        <v>5302</v>
      </c>
      <c r="M1319" t="s">
        <v>5303</v>
      </c>
      <c r="N1319" t="s">
        <v>1280</v>
      </c>
      <c r="O1319" t="s">
        <v>25</v>
      </c>
      <c r="P1319" t="s">
        <v>88</v>
      </c>
      <c r="Q1319" t="s">
        <v>285</v>
      </c>
      <c r="R1319" t="s">
        <v>2636</v>
      </c>
      <c r="S1319">
        <v>4000000</v>
      </c>
      <c r="T1319">
        <v>216000000</v>
      </c>
      <c r="U1319">
        <v>180053346.41999999</v>
      </c>
    </row>
    <row r="1320" spans="1:21" x14ac:dyDescent="0.25">
      <c r="A1320">
        <v>201263</v>
      </c>
      <c r="B1320" t="s">
        <v>5305</v>
      </c>
      <c r="C1320" t="s">
        <v>5317</v>
      </c>
      <c r="D1320" t="s">
        <v>1282</v>
      </c>
      <c r="E1320">
        <v>-24</v>
      </c>
      <c r="F1320" s="105">
        <v>5001481.8600000003</v>
      </c>
      <c r="G1320" t="s">
        <v>4844</v>
      </c>
      <c r="H1320">
        <v>37511.11</v>
      </c>
      <c r="I1320">
        <v>6066183.4400000004</v>
      </c>
      <c r="J1320" s="711">
        <v>42972.661190196763</v>
      </c>
      <c r="K1320" s="711">
        <v>43276</v>
      </c>
      <c r="L1320" t="s">
        <v>5318</v>
      </c>
      <c r="M1320" t="s">
        <v>1280</v>
      </c>
      <c r="N1320" t="s">
        <v>1280</v>
      </c>
      <c r="O1320" t="s">
        <v>25</v>
      </c>
      <c r="P1320" t="s">
        <v>88</v>
      </c>
      <c r="Q1320" t="s">
        <v>285</v>
      </c>
      <c r="R1320" t="s">
        <v>2636</v>
      </c>
      <c r="S1320">
        <v>6000000</v>
      </c>
      <c r="T1320">
        <v>324000000</v>
      </c>
      <c r="U1320">
        <v>270080020.44</v>
      </c>
    </row>
    <row r="1321" spans="1:21" x14ac:dyDescent="0.25">
      <c r="A1321">
        <v>201265</v>
      </c>
      <c r="B1321" t="s">
        <v>4207</v>
      </c>
      <c r="C1321" t="s">
        <v>4226</v>
      </c>
      <c r="D1321" t="s">
        <v>1282</v>
      </c>
      <c r="E1321">
        <v>-24</v>
      </c>
      <c r="F1321" s="105">
        <v>8642335.6699999999</v>
      </c>
      <c r="G1321" t="s">
        <v>2034</v>
      </c>
      <c r="H1321">
        <v>57615.57</v>
      </c>
      <c r="I1321">
        <v>10655217.26</v>
      </c>
      <c r="J1321" s="711">
        <v>42972.503821840277</v>
      </c>
      <c r="K1321" s="711">
        <v>43337</v>
      </c>
      <c r="L1321" t="s">
        <v>4227</v>
      </c>
      <c r="M1321" t="s">
        <v>1280</v>
      </c>
      <c r="N1321" t="s">
        <v>4228</v>
      </c>
      <c r="O1321" t="s">
        <v>36</v>
      </c>
      <c r="P1321" t="s">
        <v>1023</v>
      </c>
      <c r="Q1321" t="s">
        <v>26</v>
      </c>
      <c r="R1321" t="s">
        <v>2856</v>
      </c>
      <c r="S1321">
        <v>10000000</v>
      </c>
      <c r="T1321">
        <v>480000000</v>
      </c>
      <c r="U1321">
        <v>414832112.16000003</v>
      </c>
    </row>
    <row r="1322" spans="1:21" x14ac:dyDescent="0.25">
      <c r="A1322">
        <v>201266</v>
      </c>
      <c r="B1322" t="s">
        <v>2748</v>
      </c>
      <c r="C1322" t="s">
        <v>2752</v>
      </c>
      <c r="D1322" t="s">
        <v>1286</v>
      </c>
      <c r="E1322">
        <v>-20</v>
      </c>
      <c r="F1322" s="105">
        <v>2712002.12</v>
      </c>
      <c r="G1322" t="s">
        <v>284</v>
      </c>
      <c r="H1322">
        <v>16950.009999999998</v>
      </c>
      <c r="I1322">
        <v>2854708.3</v>
      </c>
      <c r="J1322" s="711">
        <v>42973.361905127313</v>
      </c>
      <c r="K1322" s="711">
        <v>43152</v>
      </c>
      <c r="L1322" t="s">
        <v>2753</v>
      </c>
      <c r="M1322" t="s">
        <v>1280</v>
      </c>
      <c r="N1322" t="s">
        <v>1280</v>
      </c>
      <c r="O1322" t="s">
        <v>28</v>
      </c>
      <c r="P1322" t="s">
        <v>26</v>
      </c>
      <c r="Q1322" t="s">
        <v>26</v>
      </c>
      <c r="R1322" t="s">
        <v>2636</v>
      </c>
      <c r="S1322">
        <v>4000000</v>
      </c>
      <c r="T1322">
        <v>100000000</v>
      </c>
      <c r="U1322">
        <v>67800053</v>
      </c>
    </row>
    <row r="1323" spans="1:21" x14ac:dyDescent="0.25">
      <c r="A1323">
        <v>201267</v>
      </c>
      <c r="B1323" t="s">
        <v>5321</v>
      </c>
      <c r="C1323" t="s">
        <v>5322</v>
      </c>
      <c r="D1323" t="s">
        <v>1284</v>
      </c>
      <c r="E1323">
        <v>0</v>
      </c>
      <c r="F1323" s="105">
        <v>9358664.8399999999</v>
      </c>
      <c r="G1323" t="s">
        <v>2538</v>
      </c>
      <c r="H1323">
        <v>301556.98</v>
      </c>
      <c r="I1323">
        <v>11332464.52</v>
      </c>
      <c r="J1323" s="711">
        <v>42973.472984178239</v>
      </c>
      <c r="K1323" s="711">
        <v>43344</v>
      </c>
      <c r="L1323" t="s">
        <v>5323</v>
      </c>
      <c r="M1323" t="s">
        <v>1280</v>
      </c>
      <c r="N1323" t="s">
        <v>1280</v>
      </c>
      <c r="O1323" t="s">
        <v>44</v>
      </c>
      <c r="P1323" t="s">
        <v>75</v>
      </c>
      <c r="Q1323" t="s">
        <v>26</v>
      </c>
      <c r="R1323" t="s">
        <v>2636</v>
      </c>
      <c r="S1323">
        <v>10000000</v>
      </c>
      <c r="T1323">
        <v>400000000</v>
      </c>
      <c r="U1323">
        <v>374346593.60000002</v>
      </c>
    </row>
    <row r="1324" spans="1:21" x14ac:dyDescent="0.25">
      <c r="A1324">
        <v>201268</v>
      </c>
      <c r="B1324" t="s">
        <v>5320</v>
      </c>
      <c r="C1324" t="s">
        <v>5324</v>
      </c>
      <c r="D1324" t="s">
        <v>1281</v>
      </c>
      <c r="E1324">
        <v>0</v>
      </c>
      <c r="F1324" s="105">
        <v>24179174.280000001</v>
      </c>
      <c r="G1324" t="s">
        <v>1909</v>
      </c>
      <c r="H1324">
        <v>934928.07</v>
      </c>
      <c r="I1324">
        <v>33787370.659999996</v>
      </c>
      <c r="J1324" s="711">
        <v>42973.504926585651</v>
      </c>
      <c r="K1324" s="711">
        <v>43525</v>
      </c>
      <c r="L1324" t="s">
        <v>5325</v>
      </c>
      <c r="M1324" t="s">
        <v>5326</v>
      </c>
      <c r="N1324" t="s">
        <v>1280</v>
      </c>
      <c r="O1324" t="s">
        <v>25</v>
      </c>
      <c r="P1324" t="s">
        <v>88</v>
      </c>
      <c r="Q1324" t="s">
        <v>285</v>
      </c>
      <c r="R1324" t="s">
        <v>2636</v>
      </c>
      <c r="S1324">
        <v>25000000</v>
      </c>
      <c r="T1324">
        <v>1200000000</v>
      </c>
      <c r="U1324">
        <v>1160600365.4400001</v>
      </c>
    </row>
    <row r="1325" spans="1:21" x14ac:dyDescent="0.25">
      <c r="A1325">
        <v>201269</v>
      </c>
      <c r="B1325" t="s">
        <v>5319</v>
      </c>
      <c r="C1325" t="s">
        <v>5327</v>
      </c>
      <c r="D1325" t="s">
        <v>1282</v>
      </c>
      <c r="E1325">
        <v>0</v>
      </c>
      <c r="F1325" s="105">
        <v>14130701</v>
      </c>
      <c r="G1325" t="s">
        <v>2538</v>
      </c>
      <c r="H1325">
        <v>614685.49</v>
      </c>
      <c r="I1325">
        <v>18224788.98</v>
      </c>
      <c r="J1325" s="711">
        <v>42973.525386608795</v>
      </c>
      <c r="K1325" s="711">
        <v>43344</v>
      </c>
      <c r="L1325" t="s">
        <v>5328</v>
      </c>
      <c r="M1325" t="s">
        <v>1280</v>
      </c>
      <c r="N1325" t="s">
        <v>1280</v>
      </c>
      <c r="O1325" t="s">
        <v>25</v>
      </c>
      <c r="P1325" t="s">
        <v>103</v>
      </c>
      <c r="Q1325" t="s">
        <v>104</v>
      </c>
      <c r="R1325" t="s">
        <v>2636</v>
      </c>
      <c r="S1325">
        <v>15000000</v>
      </c>
      <c r="T1325">
        <v>810000000</v>
      </c>
      <c r="U1325">
        <v>763057854</v>
      </c>
    </row>
    <row r="1326" spans="1:21" x14ac:dyDescent="0.25">
      <c r="A1326">
        <v>201270</v>
      </c>
      <c r="B1326" t="s">
        <v>5334</v>
      </c>
      <c r="C1326" t="s">
        <v>5347</v>
      </c>
      <c r="D1326" t="s">
        <v>1284</v>
      </c>
      <c r="E1326">
        <v>0</v>
      </c>
      <c r="F1326" s="105">
        <v>16809563.350000001</v>
      </c>
      <c r="G1326" t="s">
        <v>5335</v>
      </c>
      <c r="H1326">
        <v>541641.49</v>
      </c>
      <c r="I1326">
        <v>20354803.16</v>
      </c>
      <c r="J1326" s="711">
        <v>42975.484989317127</v>
      </c>
      <c r="K1326" s="711">
        <v>43344</v>
      </c>
      <c r="L1326" t="s">
        <v>5348</v>
      </c>
      <c r="M1326" t="s">
        <v>1280</v>
      </c>
      <c r="N1326" t="s">
        <v>1280</v>
      </c>
      <c r="O1326" t="s">
        <v>44</v>
      </c>
      <c r="P1326" t="s">
        <v>75</v>
      </c>
      <c r="Q1326" t="s">
        <v>26</v>
      </c>
      <c r="R1326" t="s">
        <v>2636</v>
      </c>
      <c r="S1326">
        <v>18000000</v>
      </c>
      <c r="T1326">
        <v>720000000</v>
      </c>
      <c r="U1326">
        <v>672382534</v>
      </c>
    </row>
    <row r="1327" spans="1:21" x14ac:dyDescent="0.25">
      <c r="A1327">
        <v>201271</v>
      </c>
      <c r="B1327" t="s">
        <v>4777</v>
      </c>
      <c r="C1327" t="s">
        <v>4787</v>
      </c>
      <c r="D1327" t="s">
        <v>1866</v>
      </c>
      <c r="E1327">
        <v>0</v>
      </c>
      <c r="F1327" s="105">
        <v>6351849.1299999999</v>
      </c>
      <c r="G1327" t="s">
        <v>90</v>
      </c>
      <c r="H1327">
        <v>225137.76</v>
      </c>
      <c r="I1327">
        <v>7443873.5800000001</v>
      </c>
      <c r="J1327" s="711">
        <v>42975.711182557869</v>
      </c>
      <c r="K1327" s="711">
        <v>43252</v>
      </c>
      <c r="L1327" t="s">
        <v>4788</v>
      </c>
      <c r="M1327" t="s">
        <v>1280</v>
      </c>
      <c r="N1327" t="s">
        <v>1280</v>
      </c>
      <c r="O1327" t="s">
        <v>25</v>
      </c>
      <c r="P1327" t="s">
        <v>88</v>
      </c>
      <c r="Q1327" t="s">
        <v>285</v>
      </c>
      <c r="R1327" t="s">
        <v>2856</v>
      </c>
      <c r="S1327">
        <v>7000000</v>
      </c>
      <c r="T1327">
        <v>308000000</v>
      </c>
      <c r="U1327">
        <v>279481361.72000003</v>
      </c>
    </row>
    <row r="1328" spans="1:21" x14ac:dyDescent="0.25">
      <c r="A1328">
        <v>201272</v>
      </c>
      <c r="B1328" t="s">
        <v>5329</v>
      </c>
      <c r="C1328" t="s">
        <v>5349</v>
      </c>
      <c r="D1328" t="s">
        <v>1279</v>
      </c>
      <c r="E1328">
        <v>0</v>
      </c>
      <c r="F1328" s="105">
        <v>3690307.85</v>
      </c>
      <c r="G1328" t="s">
        <v>2855</v>
      </c>
      <c r="H1328">
        <v>160528.39000000001</v>
      </c>
      <c r="I1328">
        <v>4569229.3099999996</v>
      </c>
      <c r="J1328" s="711">
        <v>42975.699042048611</v>
      </c>
      <c r="K1328" s="711">
        <v>43282</v>
      </c>
      <c r="L1328" t="s">
        <v>5350</v>
      </c>
      <c r="M1328" t="s">
        <v>1280</v>
      </c>
      <c r="N1328" t="s">
        <v>1280</v>
      </c>
      <c r="O1328" t="s">
        <v>25</v>
      </c>
      <c r="P1328" t="s">
        <v>290</v>
      </c>
      <c r="Q1328" t="s">
        <v>1824</v>
      </c>
      <c r="R1328" t="s">
        <v>2636</v>
      </c>
      <c r="S1328">
        <v>4000000</v>
      </c>
      <c r="T1328">
        <v>216000000</v>
      </c>
      <c r="U1328">
        <v>199276623.90000001</v>
      </c>
    </row>
    <row r="1329" spans="1:21" x14ac:dyDescent="0.25">
      <c r="A1329">
        <v>201273</v>
      </c>
      <c r="B1329" t="s">
        <v>4281</v>
      </c>
      <c r="C1329" t="s">
        <v>4295</v>
      </c>
      <c r="D1329" t="s">
        <v>1281</v>
      </c>
      <c r="E1329">
        <v>-27</v>
      </c>
      <c r="F1329" s="105">
        <v>21515879.079999998</v>
      </c>
      <c r="G1329" t="s">
        <v>1467</v>
      </c>
      <c r="H1329">
        <v>865280.26</v>
      </c>
      <c r="I1329">
        <v>25870987.309999999</v>
      </c>
      <c r="J1329" s="711">
        <v>42975.677240046294</v>
      </c>
      <c r="K1329" s="711">
        <v>43340</v>
      </c>
      <c r="L1329" t="s">
        <v>4296</v>
      </c>
      <c r="M1329" t="s">
        <v>1280</v>
      </c>
      <c r="N1329" t="s">
        <v>4297</v>
      </c>
      <c r="O1329" t="s">
        <v>44</v>
      </c>
      <c r="P1329" t="s">
        <v>75</v>
      </c>
      <c r="Q1329" t="s">
        <v>26</v>
      </c>
      <c r="R1329" t="s">
        <v>2856</v>
      </c>
      <c r="S1329">
        <v>25000000</v>
      </c>
      <c r="T1329">
        <v>1050000000</v>
      </c>
      <c r="U1329">
        <v>903666921.36000001</v>
      </c>
    </row>
    <row r="1330" spans="1:21" x14ac:dyDescent="0.25">
      <c r="A1330">
        <v>201274</v>
      </c>
      <c r="B1330" t="s">
        <v>5152</v>
      </c>
      <c r="C1330" t="s">
        <v>5155</v>
      </c>
      <c r="D1330" t="s">
        <v>1285</v>
      </c>
      <c r="E1330">
        <v>-20</v>
      </c>
      <c r="F1330" s="105">
        <v>10212169.189999999</v>
      </c>
      <c r="G1330" t="s">
        <v>284</v>
      </c>
      <c r="H1330">
        <v>56166.93</v>
      </c>
      <c r="I1330">
        <v>12501774.92</v>
      </c>
      <c r="J1330" s="711">
        <v>42975.734928206017</v>
      </c>
      <c r="K1330" s="711">
        <v>43698</v>
      </c>
      <c r="L1330" t="s">
        <v>5156</v>
      </c>
      <c r="M1330" t="s">
        <v>1280</v>
      </c>
      <c r="N1330" t="s">
        <v>5157</v>
      </c>
      <c r="O1330" t="s">
        <v>25</v>
      </c>
      <c r="P1330" t="s">
        <v>88</v>
      </c>
      <c r="Q1330" t="s">
        <v>285</v>
      </c>
      <c r="R1330" t="s">
        <v>2636</v>
      </c>
      <c r="S1330">
        <v>11000000</v>
      </c>
      <c r="T1330">
        <v>242000000</v>
      </c>
      <c r="U1330">
        <v>224667722.18000001</v>
      </c>
    </row>
    <row r="1331" spans="1:21" x14ac:dyDescent="0.25">
      <c r="A1331">
        <v>201275</v>
      </c>
      <c r="B1331" t="s">
        <v>5355</v>
      </c>
      <c r="C1331" t="s">
        <v>5361</v>
      </c>
      <c r="D1331" t="s">
        <v>1282</v>
      </c>
      <c r="E1331">
        <v>0</v>
      </c>
      <c r="F1331" s="105">
        <v>3224404.29</v>
      </c>
      <c r="G1331" t="s">
        <v>4919</v>
      </c>
      <c r="H1331">
        <v>140261.59</v>
      </c>
      <c r="I1331">
        <v>3992361.4</v>
      </c>
      <c r="J1331" s="711">
        <v>42976.713202511572</v>
      </c>
      <c r="K1331" s="711">
        <v>43282</v>
      </c>
      <c r="L1331" t="s">
        <v>5362</v>
      </c>
      <c r="M1331" t="s">
        <v>1280</v>
      </c>
      <c r="N1331" t="s">
        <v>5363</v>
      </c>
      <c r="O1331" t="s">
        <v>37</v>
      </c>
      <c r="P1331" t="s">
        <v>38</v>
      </c>
      <c r="Q1331" t="s">
        <v>39</v>
      </c>
      <c r="R1331" t="s">
        <v>2636</v>
      </c>
      <c r="S1331">
        <v>3500000</v>
      </c>
      <c r="T1331">
        <v>189000000</v>
      </c>
      <c r="U1331">
        <v>174117831.66</v>
      </c>
    </row>
    <row r="1332" spans="1:21" x14ac:dyDescent="0.25">
      <c r="A1332">
        <v>201276</v>
      </c>
      <c r="B1332" t="s">
        <v>5354</v>
      </c>
      <c r="C1332" t="s">
        <v>5364</v>
      </c>
      <c r="D1332" t="s">
        <v>1282</v>
      </c>
      <c r="E1332">
        <v>0</v>
      </c>
      <c r="F1332" s="105">
        <v>2763775.1</v>
      </c>
      <c r="G1332" t="s">
        <v>4686</v>
      </c>
      <c r="H1332">
        <v>120224.22</v>
      </c>
      <c r="I1332">
        <v>3422024.04</v>
      </c>
      <c r="J1332" s="711">
        <v>42976.704078506948</v>
      </c>
      <c r="K1332" s="711">
        <v>43282</v>
      </c>
      <c r="L1332" t="s">
        <v>5365</v>
      </c>
      <c r="M1332" t="s">
        <v>1280</v>
      </c>
      <c r="N1332" t="s">
        <v>5366</v>
      </c>
      <c r="O1332" t="s">
        <v>25</v>
      </c>
      <c r="P1332" t="s">
        <v>88</v>
      </c>
      <c r="Q1332" t="s">
        <v>26</v>
      </c>
      <c r="R1332" t="s">
        <v>2636</v>
      </c>
      <c r="S1332">
        <v>3000000</v>
      </c>
      <c r="T1332">
        <v>162000000</v>
      </c>
      <c r="U1332">
        <v>149243855.40000001</v>
      </c>
    </row>
    <row r="1333" spans="1:21" x14ac:dyDescent="0.25">
      <c r="A1333">
        <v>201277</v>
      </c>
      <c r="B1333" t="s">
        <v>2747</v>
      </c>
      <c r="C1333" t="s">
        <v>2754</v>
      </c>
      <c r="D1333" t="s">
        <v>1281</v>
      </c>
      <c r="E1333">
        <v>0</v>
      </c>
      <c r="F1333" s="105">
        <v>19006250.460000001</v>
      </c>
      <c r="G1333" t="s">
        <v>2557</v>
      </c>
      <c r="H1333">
        <v>643044.81000000006</v>
      </c>
      <c r="I1333">
        <v>24365826.870000001</v>
      </c>
      <c r="J1333" s="711">
        <v>42976.705124189815</v>
      </c>
      <c r="K1333" s="711">
        <v>43435</v>
      </c>
      <c r="L1333" t="s">
        <v>2755</v>
      </c>
      <c r="M1333" t="s">
        <v>1280</v>
      </c>
      <c r="N1333" t="s">
        <v>1280</v>
      </c>
      <c r="O1333" t="s">
        <v>25</v>
      </c>
      <c r="P1333" t="s">
        <v>88</v>
      </c>
      <c r="Q1333" t="s">
        <v>285</v>
      </c>
      <c r="R1333" t="s">
        <v>2856</v>
      </c>
      <c r="S1333">
        <v>20000000</v>
      </c>
      <c r="T1333">
        <v>840000000</v>
      </c>
      <c r="U1333">
        <v>798262519.32000005</v>
      </c>
    </row>
    <row r="1334" spans="1:21" x14ac:dyDescent="0.25">
      <c r="A1334">
        <v>201278</v>
      </c>
      <c r="B1334" t="s">
        <v>2872</v>
      </c>
      <c r="C1334" t="s">
        <v>2873</v>
      </c>
      <c r="D1334" t="s">
        <v>1284</v>
      </c>
      <c r="E1334">
        <v>0</v>
      </c>
      <c r="F1334" s="105">
        <v>14207281.390000001</v>
      </c>
      <c r="G1334" t="s">
        <v>2557</v>
      </c>
      <c r="H1334">
        <v>412011.16</v>
      </c>
      <c r="I1334">
        <v>17608060.5</v>
      </c>
      <c r="J1334" s="711">
        <v>42977.507034722221</v>
      </c>
      <c r="K1334" s="711">
        <v>43435</v>
      </c>
      <c r="L1334" t="s">
        <v>2874</v>
      </c>
      <c r="M1334" t="s">
        <v>1280</v>
      </c>
      <c r="N1334" t="s">
        <v>1280</v>
      </c>
      <c r="O1334" t="s">
        <v>25</v>
      </c>
      <c r="P1334" t="s">
        <v>88</v>
      </c>
      <c r="Q1334" t="s">
        <v>285</v>
      </c>
      <c r="R1334" t="s">
        <v>2856</v>
      </c>
      <c r="S1334">
        <v>15000000</v>
      </c>
      <c r="T1334">
        <v>540000000</v>
      </c>
      <c r="U1334">
        <v>511462130.04000002</v>
      </c>
    </row>
    <row r="1335" spans="1:21" x14ac:dyDescent="0.25">
      <c r="A1335">
        <v>201279</v>
      </c>
      <c r="B1335" t="s">
        <v>3147</v>
      </c>
      <c r="C1335" t="s">
        <v>3148</v>
      </c>
      <c r="D1335" t="s">
        <v>1284</v>
      </c>
      <c r="E1335">
        <v>0</v>
      </c>
      <c r="F1335" s="105">
        <v>23261009.460000001</v>
      </c>
      <c r="G1335" t="s">
        <v>491</v>
      </c>
      <c r="H1335">
        <v>674569.27</v>
      </c>
      <c r="I1335">
        <v>27653895.890000001</v>
      </c>
      <c r="J1335" s="711">
        <v>42978.501097372682</v>
      </c>
      <c r="K1335" s="711">
        <v>43344</v>
      </c>
      <c r="L1335" t="s">
        <v>3149</v>
      </c>
      <c r="M1335" t="s">
        <v>1280</v>
      </c>
      <c r="N1335" t="s">
        <v>3150</v>
      </c>
      <c r="O1335" t="s">
        <v>44</v>
      </c>
      <c r="P1335" t="s">
        <v>92</v>
      </c>
      <c r="Q1335" t="s">
        <v>92</v>
      </c>
      <c r="R1335" t="s">
        <v>2856</v>
      </c>
      <c r="S1335">
        <v>25000000</v>
      </c>
      <c r="T1335">
        <v>900000000</v>
      </c>
      <c r="U1335">
        <v>837396340.55999994</v>
      </c>
    </row>
    <row r="1336" spans="1:21" x14ac:dyDescent="0.25">
      <c r="A1336">
        <v>201280</v>
      </c>
      <c r="B1336" t="s">
        <v>3347</v>
      </c>
      <c r="C1336" t="s">
        <v>3364</v>
      </c>
      <c r="D1336" t="s">
        <v>1867</v>
      </c>
      <c r="E1336">
        <v>0</v>
      </c>
      <c r="F1336" s="105">
        <v>11190792.83</v>
      </c>
      <c r="G1336" t="s">
        <v>4684</v>
      </c>
      <c r="H1336">
        <v>378621.82</v>
      </c>
      <c r="I1336">
        <v>13675278.93</v>
      </c>
      <c r="J1336" s="711">
        <v>42978.713211226852</v>
      </c>
      <c r="K1336" s="711">
        <v>43344</v>
      </c>
      <c r="L1336" t="s">
        <v>3365</v>
      </c>
      <c r="M1336" t="s">
        <v>1280</v>
      </c>
      <c r="N1336" t="s">
        <v>1280</v>
      </c>
      <c r="O1336" t="s">
        <v>25</v>
      </c>
      <c r="P1336" t="s">
        <v>88</v>
      </c>
      <c r="Q1336" t="s">
        <v>285</v>
      </c>
      <c r="R1336" t="s">
        <v>2856</v>
      </c>
      <c r="S1336">
        <v>12000000</v>
      </c>
      <c r="T1336">
        <v>504000000</v>
      </c>
      <c r="U1336">
        <v>470013298.86000001</v>
      </c>
    </row>
    <row r="1337" spans="1:21" x14ac:dyDescent="0.25">
      <c r="A1337">
        <v>201281</v>
      </c>
      <c r="B1337" t="s">
        <v>3225</v>
      </c>
      <c r="C1337" t="s">
        <v>3245</v>
      </c>
      <c r="D1337" t="s">
        <v>1282</v>
      </c>
      <c r="E1337">
        <v>0</v>
      </c>
      <c r="F1337" s="105">
        <v>8411801</v>
      </c>
      <c r="G1337" t="s">
        <v>2557</v>
      </c>
      <c r="H1337">
        <v>325256.31</v>
      </c>
      <c r="I1337">
        <v>10562189.039999999</v>
      </c>
      <c r="J1337" s="711">
        <v>42978.639178622689</v>
      </c>
      <c r="K1337" s="711">
        <v>43344</v>
      </c>
      <c r="L1337" t="s">
        <v>3246</v>
      </c>
      <c r="M1337" t="s">
        <v>1280</v>
      </c>
      <c r="N1337" t="s">
        <v>1280</v>
      </c>
      <c r="O1337" t="s">
        <v>25</v>
      </c>
      <c r="P1337" t="s">
        <v>88</v>
      </c>
      <c r="Q1337" t="s">
        <v>285</v>
      </c>
      <c r="R1337" t="s">
        <v>2856</v>
      </c>
      <c r="S1337">
        <v>9000000</v>
      </c>
      <c r="T1337">
        <v>432000000</v>
      </c>
      <c r="U1337">
        <v>403766448</v>
      </c>
    </row>
    <row r="1338" spans="1:21" x14ac:dyDescent="0.25">
      <c r="A1338">
        <v>201282</v>
      </c>
      <c r="B1338" t="s">
        <v>4474</v>
      </c>
      <c r="C1338" t="s">
        <v>4482</v>
      </c>
      <c r="D1338" t="s">
        <v>1282</v>
      </c>
      <c r="E1338">
        <v>-3</v>
      </c>
      <c r="F1338" s="105">
        <v>3666836.22</v>
      </c>
      <c r="G1338" t="s">
        <v>2538</v>
      </c>
      <c r="H1338">
        <v>127116.99</v>
      </c>
      <c r="I1338">
        <v>4438473.99</v>
      </c>
      <c r="J1338" s="711">
        <v>42982.557688460649</v>
      </c>
      <c r="K1338" s="711">
        <v>43285</v>
      </c>
      <c r="L1338" t="s">
        <v>4483</v>
      </c>
      <c r="M1338" t="s">
        <v>1280</v>
      </c>
      <c r="N1338" t="s">
        <v>4484</v>
      </c>
      <c r="O1338" t="s">
        <v>25</v>
      </c>
      <c r="P1338" t="s">
        <v>88</v>
      </c>
      <c r="Q1338" t="s">
        <v>26</v>
      </c>
      <c r="R1338" t="s">
        <v>2856</v>
      </c>
      <c r="S1338">
        <v>4000000</v>
      </c>
      <c r="T1338">
        <v>192000000</v>
      </c>
      <c r="U1338">
        <v>176008138.56</v>
      </c>
    </row>
    <row r="1339" spans="1:21" x14ac:dyDescent="0.25">
      <c r="A1339">
        <v>201283</v>
      </c>
      <c r="B1339" t="s">
        <v>3702</v>
      </c>
      <c r="C1339" t="s">
        <v>3719</v>
      </c>
      <c r="D1339" t="s">
        <v>1279</v>
      </c>
      <c r="E1339">
        <v>-4</v>
      </c>
      <c r="F1339" s="105">
        <v>4667239.1399999997</v>
      </c>
      <c r="G1339" t="s">
        <v>4684</v>
      </c>
      <c r="H1339">
        <v>155574.64000000001</v>
      </c>
      <c r="I1339">
        <v>5860369.5199999996</v>
      </c>
      <c r="J1339" s="711">
        <v>42983.470955324075</v>
      </c>
      <c r="K1339" s="711">
        <v>43348</v>
      </c>
      <c r="L1339" t="s">
        <v>3720</v>
      </c>
      <c r="M1339" t="s">
        <v>1280</v>
      </c>
      <c r="N1339" t="s">
        <v>3721</v>
      </c>
      <c r="O1339" t="s">
        <v>25</v>
      </c>
      <c r="P1339" t="s">
        <v>88</v>
      </c>
      <c r="Q1339" t="s">
        <v>285</v>
      </c>
      <c r="R1339" t="s">
        <v>2856</v>
      </c>
      <c r="S1339">
        <v>5000000</v>
      </c>
      <c r="T1339">
        <v>240000000</v>
      </c>
      <c r="U1339">
        <v>224027478.72</v>
      </c>
    </row>
    <row r="1340" spans="1:21" x14ac:dyDescent="0.25">
      <c r="A1340">
        <v>201284</v>
      </c>
      <c r="B1340" t="s">
        <v>5389</v>
      </c>
      <c r="C1340" t="s">
        <v>5395</v>
      </c>
      <c r="D1340" t="s">
        <v>1279</v>
      </c>
      <c r="E1340">
        <v>-3</v>
      </c>
      <c r="F1340" s="105">
        <v>893390.35</v>
      </c>
      <c r="G1340" t="s">
        <v>2538</v>
      </c>
      <c r="H1340">
        <v>34842.22</v>
      </c>
      <c r="I1340">
        <v>1061267.5900000001</v>
      </c>
      <c r="J1340" s="711">
        <v>42982.631709027781</v>
      </c>
      <c r="K1340" s="711">
        <v>43224</v>
      </c>
      <c r="L1340" t="s">
        <v>5396</v>
      </c>
      <c r="M1340" t="s">
        <v>1280</v>
      </c>
      <c r="N1340" t="s">
        <v>1280</v>
      </c>
      <c r="O1340" t="s">
        <v>31</v>
      </c>
      <c r="P1340" t="s">
        <v>5390</v>
      </c>
      <c r="Q1340" t="s">
        <v>5391</v>
      </c>
      <c r="R1340" t="s">
        <v>2636</v>
      </c>
      <c r="S1340">
        <v>1000000</v>
      </c>
      <c r="T1340">
        <v>54000000</v>
      </c>
      <c r="U1340">
        <v>48243078.899999999</v>
      </c>
    </row>
    <row r="1341" spans="1:21" x14ac:dyDescent="0.25">
      <c r="A1341">
        <v>201285</v>
      </c>
      <c r="B1341" t="s">
        <v>5401</v>
      </c>
      <c r="C1341" t="s">
        <v>5405</v>
      </c>
      <c r="D1341" t="s">
        <v>1279</v>
      </c>
      <c r="E1341">
        <v>-5</v>
      </c>
      <c r="F1341" s="105">
        <v>893390.35</v>
      </c>
      <c r="G1341" t="s">
        <v>1447</v>
      </c>
      <c r="H1341">
        <v>32162.05</v>
      </c>
      <c r="I1341">
        <v>1061267.5900000001</v>
      </c>
      <c r="J1341" s="711">
        <v>42984.537024421297</v>
      </c>
      <c r="K1341" s="711">
        <v>43226</v>
      </c>
      <c r="L1341" t="s">
        <v>5406</v>
      </c>
      <c r="M1341" t="s">
        <v>1280</v>
      </c>
      <c r="N1341" t="s">
        <v>5407</v>
      </c>
      <c r="O1341" t="s">
        <v>25</v>
      </c>
      <c r="P1341" t="s">
        <v>88</v>
      </c>
      <c r="Q1341" t="s">
        <v>285</v>
      </c>
      <c r="R1341" t="s">
        <v>2636</v>
      </c>
      <c r="S1341">
        <v>1000000</v>
      </c>
      <c r="T1341">
        <v>54000000</v>
      </c>
      <c r="U1341">
        <v>48243078.899999999</v>
      </c>
    </row>
    <row r="1342" spans="1:21" x14ac:dyDescent="0.25">
      <c r="A1342">
        <v>201286</v>
      </c>
      <c r="B1342" t="s">
        <v>5408</v>
      </c>
      <c r="C1342" t="s">
        <v>5411</v>
      </c>
      <c r="D1342" t="s">
        <v>1282</v>
      </c>
      <c r="E1342">
        <v>-6</v>
      </c>
      <c r="F1342" s="105">
        <v>2680171.04</v>
      </c>
      <c r="G1342" t="s">
        <v>2855</v>
      </c>
      <c r="H1342">
        <v>92465.9</v>
      </c>
      <c r="I1342">
        <v>3183802.74</v>
      </c>
      <c r="J1342" s="711">
        <v>42985.593266550924</v>
      </c>
      <c r="K1342" s="711">
        <v>43227</v>
      </c>
      <c r="L1342" t="s">
        <v>5412</v>
      </c>
      <c r="M1342" t="s">
        <v>5413</v>
      </c>
      <c r="N1342" t="s">
        <v>1280</v>
      </c>
      <c r="O1342" t="s">
        <v>31</v>
      </c>
      <c r="P1342" t="s">
        <v>2309</v>
      </c>
      <c r="Q1342" t="s">
        <v>5116</v>
      </c>
      <c r="R1342" t="s">
        <v>2636</v>
      </c>
      <c r="S1342">
        <v>3000000</v>
      </c>
      <c r="T1342">
        <v>162000000</v>
      </c>
      <c r="U1342">
        <v>144729236.16</v>
      </c>
    </row>
    <row r="1343" spans="1:21" x14ac:dyDescent="0.25">
      <c r="A1343">
        <v>201288</v>
      </c>
      <c r="B1343" t="s">
        <v>5409</v>
      </c>
      <c r="C1343" t="s">
        <v>5414</v>
      </c>
      <c r="D1343" t="s">
        <v>1281</v>
      </c>
      <c r="E1343">
        <v>-6</v>
      </c>
      <c r="F1343" s="105">
        <v>19001177.989999998</v>
      </c>
      <c r="G1343" t="s">
        <v>90</v>
      </c>
      <c r="H1343">
        <v>582702.79</v>
      </c>
      <c r="I1343">
        <v>25183508.059999999</v>
      </c>
      <c r="J1343" s="711">
        <v>42985.602457442132</v>
      </c>
      <c r="K1343" s="711">
        <v>43441</v>
      </c>
      <c r="L1343" t="s">
        <v>5415</v>
      </c>
      <c r="M1343" t="s">
        <v>5416</v>
      </c>
      <c r="N1343" t="s">
        <v>1280</v>
      </c>
      <c r="O1343" t="s">
        <v>37</v>
      </c>
      <c r="P1343" t="s">
        <v>288</v>
      </c>
      <c r="Q1343" t="s">
        <v>26</v>
      </c>
      <c r="R1343" t="s">
        <v>2856</v>
      </c>
      <c r="S1343">
        <v>20000000</v>
      </c>
      <c r="T1343">
        <v>960000000</v>
      </c>
      <c r="U1343">
        <v>912056543.51999998</v>
      </c>
    </row>
    <row r="1344" spans="1:21" x14ac:dyDescent="0.25">
      <c r="A1344">
        <v>201289</v>
      </c>
      <c r="B1344" t="s">
        <v>5418</v>
      </c>
      <c r="C1344" t="s">
        <v>5419</v>
      </c>
      <c r="D1344" t="s">
        <v>1866</v>
      </c>
      <c r="E1344">
        <v>-7</v>
      </c>
      <c r="F1344" s="105">
        <v>5504103.9900000002</v>
      </c>
      <c r="G1344" t="s">
        <v>1925</v>
      </c>
      <c r="H1344">
        <v>168180.96</v>
      </c>
      <c r="I1344">
        <v>6713064.1200000001</v>
      </c>
      <c r="J1344" s="711">
        <v>42986.699585995368</v>
      </c>
      <c r="K1344" s="711">
        <v>43289</v>
      </c>
      <c r="L1344" t="s">
        <v>5420</v>
      </c>
      <c r="M1344" t="s">
        <v>1280</v>
      </c>
      <c r="N1344" t="s">
        <v>1280</v>
      </c>
      <c r="O1344" t="s">
        <v>25</v>
      </c>
      <c r="P1344" t="s">
        <v>88</v>
      </c>
      <c r="Q1344" t="s">
        <v>285</v>
      </c>
      <c r="R1344" t="s">
        <v>2636</v>
      </c>
      <c r="S1344">
        <v>6000000</v>
      </c>
      <c r="T1344">
        <v>300000000</v>
      </c>
      <c r="U1344">
        <v>275205199.5</v>
      </c>
    </row>
    <row r="1345" spans="1:21" x14ac:dyDescent="0.25">
      <c r="A1345">
        <v>201290</v>
      </c>
      <c r="B1345" t="s">
        <v>4490</v>
      </c>
      <c r="C1345" t="s">
        <v>4492</v>
      </c>
      <c r="D1345" t="s">
        <v>1282</v>
      </c>
      <c r="E1345">
        <v>-7</v>
      </c>
      <c r="F1345" s="105">
        <v>12134821.76</v>
      </c>
      <c r="G1345" t="s">
        <v>2538</v>
      </c>
      <c r="H1345">
        <v>355954.77</v>
      </c>
      <c r="I1345">
        <v>15236960.710000001</v>
      </c>
      <c r="J1345" s="711">
        <v>42986.699592280092</v>
      </c>
      <c r="K1345" s="711">
        <v>43351</v>
      </c>
      <c r="L1345" t="s">
        <v>4493</v>
      </c>
      <c r="M1345" t="s">
        <v>1280</v>
      </c>
      <c r="N1345" t="s">
        <v>4494</v>
      </c>
      <c r="O1345" t="s">
        <v>25</v>
      </c>
      <c r="P1345" t="s">
        <v>88</v>
      </c>
      <c r="Q1345" t="s">
        <v>285</v>
      </c>
      <c r="R1345" t="s">
        <v>2856</v>
      </c>
      <c r="S1345">
        <v>13000000</v>
      </c>
      <c r="T1345">
        <v>624000000</v>
      </c>
      <c r="U1345">
        <v>582471444.48000002</v>
      </c>
    </row>
    <row r="1346" spans="1:21" x14ac:dyDescent="0.25">
      <c r="A1346">
        <v>201291</v>
      </c>
      <c r="B1346" t="s">
        <v>5423</v>
      </c>
      <c r="C1346" t="s">
        <v>5424</v>
      </c>
      <c r="D1346" t="s">
        <v>1279</v>
      </c>
      <c r="E1346">
        <v>-10</v>
      </c>
      <c r="F1346" s="105">
        <v>1837242.36</v>
      </c>
      <c r="G1346" t="s">
        <v>4919</v>
      </c>
      <c r="H1346">
        <v>52361.41</v>
      </c>
      <c r="I1346">
        <v>2274818.81</v>
      </c>
      <c r="J1346" s="711">
        <v>42989.645120370369</v>
      </c>
      <c r="K1346" s="711">
        <v>43292</v>
      </c>
      <c r="L1346" t="s">
        <v>5425</v>
      </c>
      <c r="M1346" t="s">
        <v>1280</v>
      </c>
      <c r="N1346" t="s">
        <v>1280</v>
      </c>
      <c r="O1346" t="s">
        <v>25</v>
      </c>
      <c r="P1346" t="s">
        <v>290</v>
      </c>
      <c r="Q1346" t="s">
        <v>297</v>
      </c>
      <c r="R1346" t="s">
        <v>2636</v>
      </c>
      <c r="S1346">
        <v>2000000</v>
      </c>
      <c r="T1346">
        <v>108000000</v>
      </c>
      <c r="U1346">
        <v>99211087.439999998</v>
      </c>
    </row>
    <row r="1347" spans="1:21" x14ac:dyDescent="0.25">
      <c r="A1347">
        <v>201292</v>
      </c>
      <c r="B1347" t="s">
        <v>3777</v>
      </c>
      <c r="C1347" t="s">
        <v>3789</v>
      </c>
      <c r="D1347" t="s">
        <v>1279</v>
      </c>
      <c r="E1347">
        <v>-10</v>
      </c>
      <c r="F1347" s="105">
        <v>2333619.5699999998</v>
      </c>
      <c r="G1347" t="s">
        <v>4684</v>
      </c>
      <c r="H1347">
        <v>59118.36</v>
      </c>
      <c r="I1347">
        <v>2930184.75</v>
      </c>
      <c r="J1347" s="711">
        <v>42989.662398229164</v>
      </c>
      <c r="K1347" s="711">
        <v>43354</v>
      </c>
      <c r="L1347" t="s">
        <v>3790</v>
      </c>
      <c r="M1347" t="s">
        <v>1280</v>
      </c>
      <c r="N1347" t="s">
        <v>3791</v>
      </c>
      <c r="O1347" t="s">
        <v>25</v>
      </c>
      <c r="P1347" t="s">
        <v>32</v>
      </c>
      <c r="Q1347" t="s">
        <v>3369</v>
      </c>
      <c r="R1347" t="s">
        <v>2856</v>
      </c>
      <c r="S1347">
        <v>2500000</v>
      </c>
      <c r="T1347">
        <v>120000000</v>
      </c>
      <c r="U1347">
        <v>112013739.36</v>
      </c>
    </row>
    <row r="1348" spans="1:21" x14ac:dyDescent="0.25">
      <c r="A1348">
        <v>201293</v>
      </c>
      <c r="B1348" t="s">
        <v>5422</v>
      </c>
      <c r="C1348" t="s">
        <v>5426</v>
      </c>
      <c r="D1348" t="s">
        <v>1286</v>
      </c>
      <c r="E1348">
        <v>-20</v>
      </c>
      <c r="F1348" s="105">
        <v>100680.17</v>
      </c>
      <c r="G1348" t="s">
        <v>284</v>
      </c>
      <c r="H1348">
        <v>629.25</v>
      </c>
      <c r="I1348">
        <v>102777.67</v>
      </c>
      <c r="J1348" s="711">
        <v>42989.608146145831</v>
      </c>
      <c r="K1348" s="711">
        <v>43060</v>
      </c>
      <c r="L1348" t="s">
        <v>5427</v>
      </c>
      <c r="M1348" t="s">
        <v>5428</v>
      </c>
      <c r="N1348" t="s">
        <v>1280</v>
      </c>
      <c r="O1348" t="s">
        <v>28</v>
      </c>
      <c r="P1348" t="s">
        <v>108</v>
      </c>
      <c r="Q1348" t="s">
        <v>26</v>
      </c>
      <c r="R1348" t="s">
        <v>2636</v>
      </c>
      <c r="S1348">
        <v>300000</v>
      </c>
      <c r="T1348">
        <v>7500000</v>
      </c>
      <c r="U1348">
        <v>2517004.25</v>
      </c>
    </row>
    <row r="1349" spans="1:21" x14ac:dyDescent="0.25">
      <c r="A1349">
        <v>201294</v>
      </c>
      <c r="B1349" t="s">
        <v>5421</v>
      </c>
      <c r="C1349" t="s">
        <v>5429</v>
      </c>
      <c r="D1349" t="s">
        <v>1282</v>
      </c>
      <c r="E1349">
        <v>-10</v>
      </c>
      <c r="F1349" s="105">
        <v>2233475.87</v>
      </c>
      <c r="G1349" t="s">
        <v>4683</v>
      </c>
      <c r="H1349">
        <v>63654.06</v>
      </c>
      <c r="I1349">
        <v>2653168.9300000002</v>
      </c>
      <c r="J1349" s="711">
        <v>42989.684774305555</v>
      </c>
      <c r="K1349" s="711">
        <v>43231</v>
      </c>
      <c r="L1349" t="s">
        <v>5430</v>
      </c>
      <c r="M1349" t="s">
        <v>1280</v>
      </c>
      <c r="N1349" t="s">
        <v>1280</v>
      </c>
      <c r="O1349" t="s">
        <v>25</v>
      </c>
      <c r="P1349" t="s">
        <v>103</v>
      </c>
      <c r="Q1349" t="s">
        <v>104</v>
      </c>
      <c r="R1349" t="s">
        <v>2636</v>
      </c>
      <c r="S1349">
        <v>2500000</v>
      </c>
      <c r="T1349">
        <v>135000000</v>
      </c>
      <c r="U1349">
        <v>120607696.98</v>
      </c>
    </row>
    <row r="1350" spans="1:21" x14ac:dyDescent="0.25">
      <c r="A1350">
        <v>201295</v>
      </c>
      <c r="B1350" t="s">
        <v>5433</v>
      </c>
      <c r="C1350" t="s">
        <v>5440</v>
      </c>
      <c r="D1350" t="s">
        <v>1279</v>
      </c>
      <c r="E1350">
        <v>-11</v>
      </c>
      <c r="F1350" s="105">
        <v>3741335.25</v>
      </c>
      <c r="G1350" t="s">
        <v>4686</v>
      </c>
      <c r="H1350">
        <v>101016.05</v>
      </c>
      <c r="I1350">
        <v>4825312.3099999996</v>
      </c>
      <c r="J1350" s="711">
        <v>42990.691062731479</v>
      </c>
      <c r="K1350" s="711">
        <v>43355</v>
      </c>
      <c r="L1350" t="s">
        <v>5441</v>
      </c>
      <c r="M1350" t="s">
        <v>1280</v>
      </c>
      <c r="N1350" t="s">
        <v>5442</v>
      </c>
      <c r="O1350" t="s">
        <v>25</v>
      </c>
      <c r="P1350" t="s">
        <v>88</v>
      </c>
      <c r="Q1350" t="s">
        <v>285</v>
      </c>
      <c r="R1350" t="s">
        <v>2636</v>
      </c>
      <c r="S1350">
        <v>4000000</v>
      </c>
      <c r="T1350">
        <v>216000000</v>
      </c>
      <c r="U1350">
        <v>202032103.5</v>
      </c>
    </row>
    <row r="1351" spans="1:21" x14ac:dyDescent="0.25">
      <c r="A1351">
        <v>201296</v>
      </c>
      <c r="B1351" t="s">
        <v>5444</v>
      </c>
      <c r="C1351" t="s">
        <v>5451</v>
      </c>
      <c r="D1351" t="s">
        <v>1279</v>
      </c>
      <c r="E1351">
        <v>-12</v>
      </c>
      <c r="F1351" s="105">
        <v>4676669.0599999996</v>
      </c>
      <c r="G1351" t="s">
        <v>4919</v>
      </c>
      <c r="H1351">
        <v>119255.06</v>
      </c>
      <c r="I1351">
        <v>6031640.3799999999</v>
      </c>
      <c r="J1351" s="711">
        <v>42991.551782291666</v>
      </c>
      <c r="K1351" s="711">
        <v>43356</v>
      </c>
      <c r="L1351" t="s">
        <v>5452</v>
      </c>
      <c r="M1351" t="s">
        <v>1280</v>
      </c>
      <c r="N1351" t="s">
        <v>1280</v>
      </c>
      <c r="O1351" t="s">
        <v>29</v>
      </c>
      <c r="P1351" t="s">
        <v>30</v>
      </c>
      <c r="Q1351" t="s">
        <v>1819</v>
      </c>
      <c r="R1351" t="s">
        <v>2636</v>
      </c>
      <c r="S1351">
        <v>5000000</v>
      </c>
      <c r="T1351">
        <v>270000000</v>
      </c>
      <c r="U1351">
        <v>252540129.24000001</v>
      </c>
    </row>
    <row r="1352" spans="1:21" x14ac:dyDescent="0.25">
      <c r="A1352">
        <v>201297</v>
      </c>
      <c r="B1352" t="s">
        <v>3756</v>
      </c>
      <c r="C1352" t="s">
        <v>3769</v>
      </c>
      <c r="D1352" t="s">
        <v>1282</v>
      </c>
      <c r="E1352">
        <v>-12</v>
      </c>
      <c r="F1352" s="105">
        <v>2800343.48</v>
      </c>
      <c r="G1352" t="s">
        <v>491</v>
      </c>
      <c r="H1352">
        <v>63474.45</v>
      </c>
      <c r="I1352">
        <v>3516221.71</v>
      </c>
      <c r="J1352" s="711">
        <v>42991.706475196763</v>
      </c>
      <c r="K1352" s="711">
        <v>43356</v>
      </c>
      <c r="L1352" t="s">
        <v>3770</v>
      </c>
      <c r="M1352" t="s">
        <v>1280</v>
      </c>
      <c r="N1352" t="s">
        <v>3771</v>
      </c>
      <c r="O1352" t="s">
        <v>25</v>
      </c>
      <c r="P1352" t="s">
        <v>88</v>
      </c>
      <c r="Q1352" t="s">
        <v>285</v>
      </c>
      <c r="R1352" t="s">
        <v>2856</v>
      </c>
      <c r="S1352">
        <v>3000000</v>
      </c>
      <c r="T1352">
        <v>144000000</v>
      </c>
      <c r="U1352">
        <v>134416487.03999999</v>
      </c>
    </row>
    <row r="1353" spans="1:21" x14ac:dyDescent="0.25">
      <c r="A1353">
        <v>201298</v>
      </c>
      <c r="B1353" t="s">
        <v>5455</v>
      </c>
      <c r="C1353" t="s">
        <v>5464</v>
      </c>
      <c r="D1353" t="s">
        <v>1282</v>
      </c>
      <c r="E1353">
        <v>-13</v>
      </c>
      <c r="F1353" s="105">
        <v>5600686.96</v>
      </c>
      <c r="G1353" t="s">
        <v>3074</v>
      </c>
      <c r="H1353">
        <v>119481.32</v>
      </c>
      <c r="I1353">
        <v>7032443.3799999999</v>
      </c>
      <c r="J1353" s="711">
        <v>42992.633950115742</v>
      </c>
      <c r="K1353" s="711">
        <v>43357</v>
      </c>
      <c r="L1353" t="s">
        <v>5465</v>
      </c>
      <c r="M1353" t="s">
        <v>1280</v>
      </c>
      <c r="N1353" t="s">
        <v>5466</v>
      </c>
      <c r="O1353" t="s">
        <v>25</v>
      </c>
      <c r="P1353" t="s">
        <v>88</v>
      </c>
      <c r="Q1353" t="s">
        <v>285</v>
      </c>
      <c r="R1353" t="s">
        <v>2856</v>
      </c>
      <c r="S1353">
        <v>6000000</v>
      </c>
      <c r="T1353">
        <v>288000000</v>
      </c>
      <c r="U1353">
        <v>268832974.07999998</v>
      </c>
    </row>
    <row r="1354" spans="1:21" x14ac:dyDescent="0.25">
      <c r="A1354">
        <v>201299</v>
      </c>
      <c r="B1354" t="s">
        <v>5454</v>
      </c>
      <c r="C1354" t="s">
        <v>5467</v>
      </c>
      <c r="D1354" t="s">
        <v>1282</v>
      </c>
      <c r="E1354">
        <v>-13</v>
      </c>
      <c r="F1354" s="105">
        <v>2296552.9500000002</v>
      </c>
      <c r="G1354" t="s">
        <v>5335</v>
      </c>
      <c r="H1354">
        <v>55117.27</v>
      </c>
      <c r="I1354">
        <v>2843523.52</v>
      </c>
      <c r="J1354" s="711">
        <v>42992.702857488424</v>
      </c>
      <c r="K1354" s="711">
        <v>43295</v>
      </c>
      <c r="L1354" t="s">
        <v>5468</v>
      </c>
      <c r="M1354" t="s">
        <v>1280</v>
      </c>
      <c r="N1354" t="s">
        <v>1280</v>
      </c>
      <c r="O1354" t="s">
        <v>25</v>
      </c>
      <c r="P1354" t="s">
        <v>88</v>
      </c>
      <c r="Q1354" t="s">
        <v>285</v>
      </c>
      <c r="R1354" t="s">
        <v>2636</v>
      </c>
      <c r="S1354">
        <v>2500000</v>
      </c>
      <c r="T1354">
        <v>135000000</v>
      </c>
      <c r="U1354">
        <v>124013859.3</v>
      </c>
    </row>
    <row r="1355" spans="1:21" x14ac:dyDescent="0.25">
      <c r="A1355">
        <v>201300</v>
      </c>
      <c r="B1355" t="s">
        <v>5457</v>
      </c>
      <c r="C1355" t="s">
        <v>5469</v>
      </c>
      <c r="D1355" t="s">
        <v>1282</v>
      </c>
      <c r="E1355">
        <v>-13</v>
      </c>
      <c r="F1355" s="105">
        <v>5612002.8700000001</v>
      </c>
      <c r="G1355" t="s">
        <v>3074</v>
      </c>
      <c r="H1355">
        <v>134688.07</v>
      </c>
      <c r="I1355">
        <v>7237968.46</v>
      </c>
      <c r="J1355" s="711">
        <v>42992.703987037035</v>
      </c>
      <c r="K1355" s="711">
        <v>43357</v>
      </c>
      <c r="L1355" t="s">
        <v>5470</v>
      </c>
      <c r="M1355" t="s">
        <v>1280</v>
      </c>
      <c r="N1355" t="s">
        <v>1280</v>
      </c>
      <c r="O1355" t="s">
        <v>44</v>
      </c>
      <c r="P1355" t="s">
        <v>92</v>
      </c>
      <c r="Q1355" t="s">
        <v>92</v>
      </c>
      <c r="R1355" t="s">
        <v>2636</v>
      </c>
      <c r="S1355">
        <v>6000000</v>
      </c>
      <c r="T1355">
        <v>324000000</v>
      </c>
      <c r="U1355">
        <v>303048154.98000002</v>
      </c>
    </row>
    <row r="1356" spans="1:21" x14ac:dyDescent="0.25">
      <c r="A1356">
        <v>201301</v>
      </c>
      <c r="B1356" t="s">
        <v>5456</v>
      </c>
      <c r="C1356" t="s">
        <v>5471</v>
      </c>
      <c r="D1356" t="s">
        <v>1282</v>
      </c>
      <c r="E1356">
        <v>-13</v>
      </c>
      <c r="F1356" s="105">
        <v>5612002.8700000001</v>
      </c>
      <c r="G1356" t="s">
        <v>4683</v>
      </c>
      <c r="H1356">
        <v>134688.07</v>
      </c>
      <c r="I1356">
        <v>7237968.46</v>
      </c>
      <c r="J1356" s="711">
        <v>42992.742704710647</v>
      </c>
      <c r="K1356" s="711">
        <v>43357</v>
      </c>
      <c r="L1356" t="s">
        <v>5472</v>
      </c>
      <c r="M1356" t="s">
        <v>1280</v>
      </c>
      <c r="N1356" t="s">
        <v>1280</v>
      </c>
      <c r="O1356" t="s">
        <v>25</v>
      </c>
      <c r="P1356" t="s">
        <v>88</v>
      </c>
      <c r="Q1356" t="s">
        <v>285</v>
      </c>
      <c r="R1356" t="s">
        <v>2636</v>
      </c>
      <c r="S1356">
        <v>6000000</v>
      </c>
      <c r="T1356">
        <v>324000000</v>
      </c>
      <c r="U1356">
        <v>303048154.98000002</v>
      </c>
    </row>
    <row r="1357" spans="1:21" x14ac:dyDescent="0.25">
      <c r="A1357">
        <v>201302</v>
      </c>
      <c r="B1357" t="s">
        <v>5475</v>
      </c>
      <c r="C1357" t="s">
        <v>5481</v>
      </c>
      <c r="D1357" t="s">
        <v>1284</v>
      </c>
      <c r="E1357">
        <v>-14</v>
      </c>
      <c r="F1357" s="105">
        <v>15824651.460000001</v>
      </c>
      <c r="G1357" t="s">
        <v>1467</v>
      </c>
      <c r="H1357">
        <v>263744.19</v>
      </c>
      <c r="I1357">
        <v>19162167.289999999</v>
      </c>
      <c r="J1357" s="711">
        <v>42993.652268865742</v>
      </c>
      <c r="K1357" s="711">
        <v>43358</v>
      </c>
      <c r="L1357" t="s">
        <v>5482</v>
      </c>
      <c r="M1357" t="s">
        <v>1280</v>
      </c>
      <c r="N1357" t="s">
        <v>5483</v>
      </c>
      <c r="O1357" t="s">
        <v>44</v>
      </c>
      <c r="P1357" t="s">
        <v>75</v>
      </c>
      <c r="Q1357" t="s">
        <v>1442</v>
      </c>
      <c r="R1357" t="s">
        <v>2636</v>
      </c>
      <c r="S1357">
        <v>17000000</v>
      </c>
      <c r="T1357">
        <v>680000000</v>
      </c>
      <c r="U1357">
        <v>632986058.39999998</v>
      </c>
    </row>
    <row r="1358" spans="1:21" x14ac:dyDescent="0.25">
      <c r="A1358">
        <v>201303</v>
      </c>
      <c r="B1358" t="s">
        <v>3395</v>
      </c>
      <c r="C1358" t="s">
        <v>3419</v>
      </c>
      <c r="D1358" t="s">
        <v>1281</v>
      </c>
      <c r="E1358">
        <v>-14</v>
      </c>
      <c r="F1358" s="105">
        <v>27945481.52</v>
      </c>
      <c r="G1358" t="s">
        <v>2034</v>
      </c>
      <c r="H1358">
        <v>489045.93</v>
      </c>
      <c r="I1358">
        <v>34149703.259999998</v>
      </c>
      <c r="J1358" s="711">
        <v>42993.746074733797</v>
      </c>
      <c r="K1358" s="711">
        <v>43358</v>
      </c>
      <c r="L1358" t="s">
        <v>3420</v>
      </c>
      <c r="M1358" t="s">
        <v>1280</v>
      </c>
      <c r="N1358" t="s">
        <v>1280</v>
      </c>
      <c r="O1358" t="s">
        <v>25</v>
      </c>
      <c r="P1358" t="s">
        <v>88</v>
      </c>
      <c r="Q1358" t="s">
        <v>285</v>
      </c>
      <c r="R1358" t="s">
        <v>2856</v>
      </c>
      <c r="S1358">
        <v>30000000</v>
      </c>
      <c r="T1358">
        <v>1260000000</v>
      </c>
      <c r="U1358">
        <v>1173710223.8399999</v>
      </c>
    </row>
    <row r="1359" spans="1:21" x14ac:dyDescent="0.25">
      <c r="A1359">
        <v>201304</v>
      </c>
      <c r="B1359" t="s">
        <v>5496</v>
      </c>
      <c r="C1359" t="s">
        <v>5504</v>
      </c>
      <c r="D1359" t="s">
        <v>1282</v>
      </c>
      <c r="E1359">
        <v>-17</v>
      </c>
      <c r="F1359" s="105">
        <v>4593105.8899999997</v>
      </c>
      <c r="G1359" t="s">
        <v>4683</v>
      </c>
      <c r="H1359">
        <v>82675.91</v>
      </c>
      <c r="I1359">
        <v>5687047</v>
      </c>
      <c r="J1359" s="711">
        <v>42996.538668321758</v>
      </c>
      <c r="K1359" s="711">
        <v>43299</v>
      </c>
      <c r="L1359" t="s">
        <v>5505</v>
      </c>
      <c r="M1359" t="s">
        <v>1280</v>
      </c>
      <c r="N1359" t="s">
        <v>1280</v>
      </c>
      <c r="O1359" t="s">
        <v>25</v>
      </c>
      <c r="P1359" t="s">
        <v>88</v>
      </c>
      <c r="Q1359" t="s">
        <v>285</v>
      </c>
      <c r="R1359" t="s">
        <v>2636</v>
      </c>
      <c r="S1359">
        <v>5000000</v>
      </c>
      <c r="T1359">
        <v>270000000</v>
      </c>
      <c r="U1359">
        <v>248027718.06</v>
      </c>
    </row>
    <row r="1360" spans="1:21" x14ac:dyDescent="0.25">
      <c r="A1360">
        <v>201305</v>
      </c>
      <c r="B1360" t="s">
        <v>2715</v>
      </c>
      <c r="C1360" t="s">
        <v>2723</v>
      </c>
      <c r="D1360" t="s">
        <v>1282</v>
      </c>
      <c r="E1360">
        <v>-17</v>
      </c>
      <c r="F1360" s="105">
        <v>6711588.7199999997</v>
      </c>
      <c r="G1360" t="s">
        <v>2557</v>
      </c>
      <c r="H1360">
        <v>98436.63</v>
      </c>
      <c r="I1360">
        <v>8276524.1100000003</v>
      </c>
      <c r="J1360" s="711">
        <v>42996.611837037039</v>
      </c>
      <c r="K1360" s="711">
        <v>43361</v>
      </c>
      <c r="L1360" t="s">
        <v>2724</v>
      </c>
      <c r="M1360" t="s">
        <v>2725</v>
      </c>
      <c r="N1360" t="s">
        <v>1280</v>
      </c>
      <c r="O1360" t="s">
        <v>25</v>
      </c>
      <c r="P1360" t="s">
        <v>88</v>
      </c>
      <c r="Q1360" t="s">
        <v>285</v>
      </c>
      <c r="R1360" t="s">
        <v>2856</v>
      </c>
      <c r="S1360">
        <v>7200000</v>
      </c>
      <c r="T1360">
        <v>316800000</v>
      </c>
      <c r="U1360">
        <v>295309903.68000001</v>
      </c>
    </row>
    <row r="1361" spans="1:21" x14ac:dyDescent="0.25">
      <c r="A1361">
        <v>201306</v>
      </c>
      <c r="B1361" t="s">
        <v>3204</v>
      </c>
      <c r="C1361" t="s">
        <v>3213</v>
      </c>
      <c r="D1361" t="s">
        <v>1284</v>
      </c>
      <c r="E1361">
        <v>-17</v>
      </c>
      <c r="F1361" s="105">
        <v>17032201.550000001</v>
      </c>
      <c r="G1361" t="s">
        <v>546</v>
      </c>
      <c r="H1361">
        <v>204386.42</v>
      </c>
      <c r="I1361">
        <v>21109178.280000001</v>
      </c>
      <c r="J1361" s="711">
        <v>42996.697323379631</v>
      </c>
      <c r="K1361" s="711">
        <v>43452</v>
      </c>
      <c r="L1361" t="s">
        <v>3214</v>
      </c>
      <c r="M1361" t="s">
        <v>1280</v>
      </c>
      <c r="N1361" t="s">
        <v>1280</v>
      </c>
      <c r="O1361" t="s">
        <v>44</v>
      </c>
      <c r="P1361" t="s">
        <v>92</v>
      </c>
      <c r="Q1361" t="s">
        <v>92</v>
      </c>
      <c r="R1361" t="s">
        <v>2856</v>
      </c>
      <c r="S1361">
        <v>18000000</v>
      </c>
      <c r="T1361">
        <v>648000000</v>
      </c>
      <c r="U1361">
        <v>613159255.79999995</v>
      </c>
    </row>
    <row r="1362" spans="1:21" x14ac:dyDescent="0.25">
      <c r="A1362">
        <v>201307</v>
      </c>
      <c r="B1362" t="s">
        <v>4328</v>
      </c>
      <c r="C1362" t="s">
        <v>4343</v>
      </c>
      <c r="D1362" t="s">
        <v>1279</v>
      </c>
      <c r="E1362">
        <v>12</v>
      </c>
      <c r="F1362" s="105">
        <v>2914306.39</v>
      </c>
      <c r="G1362" t="s">
        <v>1667</v>
      </c>
      <c r="H1362">
        <v>40335.199999999997</v>
      </c>
      <c r="I1362">
        <v>3493034.74</v>
      </c>
      <c r="J1362" s="711">
        <v>42997.60321828704</v>
      </c>
      <c r="K1362" s="711">
        <v>43300</v>
      </c>
      <c r="L1362" t="s">
        <v>4344</v>
      </c>
      <c r="M1362" t="s">
        <v>1280</v>
      </c>
      <c r="N1362" t="s">
        <v>4345</v>
      </c>
      <c r="O1362" t="s">
        <v>25</v>
      </c>
      <c r="P1362" t="s">
        <v>88</v>
      </c>
      <c r="Q1362" t="s">
        <v>285</v>
      </c>
      <c r="R1362" t="s">
        <v>2856</v>
      </c>
      <c r="S1362">
        <v>3000000</v>
      </c>
      <c r="T1362">
        <v>144000000</v>
      </c>
      <c r="U1362">
        <v>139886706.72</v>
      </c>
    </row>
    <row r="1363" spans="1:21" x14ac:dyDescent="0.25">
      <c r="A1363">
        <v>201308</v>
      </c>
      <c r="B1363" t="s">
        <v>3022</v>
      </c>
      <c r="C1363" t="s">
        <v>3031</v>
      </c>
      <c r="D1363" t="s">
        <v>1282</v>
      </c>
      <c r="E1363">
        <v>-18</v>
      </c>
      <c r="F1363" s="105">
        <v>3733791.31</v>
      </c>
      <c r="G1363" t="s">
        <v>1448</v>
      </c>
      <c r="H1363">
        <v>54762.27</v>
      </c>
      <c r="I1363">
        <v>4688295.5999999996</v>
      </c>
      <c r="J1363" s="711">
        <v>42997.695235104169</v>
      </c>
      <c r="K1363" s="711">
        <v>43362</v>
      </c>
      <c r="L1363" t="s">
        <v>3032</v>
      </c>
      <c r="M1363" t="s">
        <v>1280</v>
      </c>
      <c r="N1363" t="s">
        <v>1280</v>
      </c>
      <c r="O1363" t="s">
        <v>44</v>
      </c>
      <c r="P1363" t="s">
        <v>92</v>
      </c>
      <c r="Q1363" t="s">
        <v>92</v>
      </c>
      <c r="R1363" t="s">
        <v>2856</v>
      </c>
      <c r="S1363">
        <v>4000000</v>
      </c>
      <c r="T1363">
        <v>192000000</v>
      </c>
      <c r="U1363">
        <v>179221982.88</v>
      </c>
    </row>
    <row r="1364" spans="1:21" x14ac:dyDescent="0.25">
      <c r="A1364">
        <v>201309</v>
      </c>
      <c r="B1364" t="s">
        <v>5509</v>
      </c>
      <c r="C1364" t="s">
        <v>5514</v>
      </c>
      <c r="D1364" t="s">
        <v>1282</v>
      </c>
      <c r="E1364">
        <v>-18</v>
      </c>
      <c r="F1364" s="105">
        <v>5612002.8700000001</v>
      </c>
      <c r="G1364" t="s">
        <v>5386</v>
      </c>
      <c r="H1364">
        <v>92598.05</v>
      </c>
      <c r="I1364">
        <v>7237968.46</v>
      </c>
      <c r="J1364" s="711">
        <v>42997.706073807873</v>
      </c>
      <c r="K1364" s="711">
        <v>43362</v>
      </c>
      <c r="L1364" t="s">
        <v>5515</v>
      </c>
      <c r="M1364" t="s">
        <v>1280</v>
      </c>
      <c r="N1364" t="s">
        <v>1280</v>
      </c>
      <c r="O1364" t="s">
        <v>44</v>
      </c>
      <c r="P1364" t="s">
        <v>92</v>
      </c>
      <c r="Q1364" t="s">
        <v>92</v>
      </c>
      <c r="R1364" t="s">
        <v>2636</v>
      </c>
      <c r="S1364">
        <v>6000000</v>
      </c>
      <c r="T1364">
        <v>324000000</v>
      </c>
      <c r="U1364">
        <v>303048154.98000002</v>
      </c>
    </row>
    <row r="1365" spans="1:21" x14ac:dyDescent="0.25">
      <c r="A1365">
        <v>201310</v>
      </c>
      <c r="B1365" t="s">
        <v>5518</v>
      </c>
      <c r="C1365" t="s">
        <v>5522</v>
      </c>
      <c r="D1365" t="s">
        <v>1282</v>
      </c>
      <c r="E1365">
        <v>-19</v>
      </c>
      <c r="F1365" s="105">
        <v>4593105.8899999997</v>
      </c>
      <c r="G1365" t="s">
        <v>2034</v>
      </c>
      <c r="H1365">
        <v>68896.59</v>
      </c>
      <c r="I1365">
        <v>5687047</v>
      </c>
      <c r="J1365" s="711">
        <v>42998.652610381941</v>
      </c>
      <c r="K1365" s="711">
        <v>43301</v>
      </c>
      <c r="L1365" t="s">
        <v>5523</v>
      </c>
      <c r="M1365" t="s">
        <v>5524</v>
      </c>
      <c r="N1365" t="s">
        <v>1280</v>
      </c>
      <c r="O1365" t="s">
        <v>25</v>
      </c>
      <c r="P1365" t="s">
        <v>88</v>
      </c>
      <c r="Q1365" t="s">
        <v>285</v>
      </c>
      <c r="R1365" t="s">
        <v>2636</v>
      </c>
      <c r="S1365">
        <v>5000000</v>
      </c>
      <c r="T1365">
        <v>270000000</v>
      </c>
      <c r="U1365">
        <v>248027718.06</v>
      </c>
    </row>
    <row r="1366" spans="1:21" x14ac:dyDescent="0.25">
      <c r="A1366">
        <v>201311</v>
      </c>
      <c r="B1366" t="s">
        <v>5531</v>
      </c>
      <c r="C1366" t="s">
        <v>5535</v>
      </c>
      <c r="D1366" t="s">
        <v>1279</v>
      </c>
      <c r="E1366">
        <v>-20</v>
      </c>
      <c r="F1366" s="105">
        <v>2123095.2400000002</v>
      </c>
      <c r="G1366" t="s">
        <v>2557</v>
      </c>
      <c r="H1366">
        <v>25477.14</v>
      </c>
      <c r="I1366">
        <v>2384523.77</v>
      </c>
      <c r="J1366" s="711">
        <v>42999.561557488429</v>
      </c>
      <c r="K1366" s="711">
        <v>43180</v>
      </c>
      <c r="L1366" t="s">
        <v>5536</v>
      </c>
      <c r="M1366" t="s">
        <v>1280</v>
      </c>
      <c r="N1366" t="s">
        <v>1280</v>
      </c>
      <c r="O1366" t="s">
        <v>25</v>
      </c>
      <c r="P1366" t="s">
        <v>88</v>
      </c>
      <c r="Q1366" t="s">
        <v>285</v>
      </c>
      <c r="R1366" t="s">
        <v>2856</v>
      </c>
      <c r="S1366">
        <v>2500000</v>
      </c>
      <c r="T1366">
        <v>120000000</v>
      </c>
      <c r="U1366">
        <v>101908571.52</v>
      </c>
    </row>
    <row r="1367" spans="1:21" x14ac:dyDescent="0.25">
      <c r="A1367">
        <v>201312</v>
      </c>
      <c r="B1367" t="s">
        <v>5517</v>
      </c>
      <c r="C1367" t="s">
        <v>5525</v>
      </c>
      <c r="D1367" t="s">
        <v>1279</v>
      </c>
      <c r="E1367">
        <v>-19</v>
      </c>
      <c r="F1367" s="105">
        <v>2338334.5299999998</v>
      </c>
      <c r="G1367" t="s">
        <v>1447</v>
      </c>
      <c r="H1367">
        <v>35075.019999999997</v>
      </c>
      <c r="I1367">
        <v>3015820.18</v>
      </c>
      <c r="J1367" s="711">
        <v>42998.651798263891</v>
      </c>
      <c r="K1367" s="711">
        <v>43363</v>
      </c>
      <c r="L1367" t="s">
        <v>5526</v>
      </c>
      <c r="M1367" t="s">
        <v>1280</v>
      </c>
      <c r="N1367" t="s">
        <v>1280</v>
      </c>
      <c r="O1367" t="s">
        <v>25</v>
      </c>
      <c r="P1367" t="s">
        <v>290</v>
      </c>
      <c r="Q1367" t="s">
        <v>1822</v>
      </c>
      <c r="R1367" t="s">
        <v>2636</v>
      </c>
      <c r="S1367">
        <v>2500000</v>
      </c>
      <c r="T1367">
        <v>135000000</v>
      </c>
      <c r="U1367">
        <v>126270064.62</v>
      </c>
    </row>
    <row r="1368" spans="1:21" x14ac:dyDescent="0.25">
      <c r="A1368">
        <v>201313</v>
      </c>
      <c r="B1368" t="s">
        <v>5516</v>
      </c>
      <c r="C1368" t="s">
        <v>5527</v>
      </c>
      <c r="D1368" t="s">
        <v>1279</v>
      </c>
      <c r="E1368">
        <v>-19</v>
      </c>
      <c r="F1368" s="105">
        <v>893390.35</v>
      </c>
      <c r="G1368" t="s">
        <v>4684</v>
      </c>
      <c r="H1368">
        <v>13400.86</v>
      </c>
      <c r="I1368">
        <v>1061267.5900000001</v>
      </c>
      <c r="J1368" s="711">
        <v>42998.715631562503</v>
      </c>
      <c r="K1368" s="711">
        <v>43240</v>
      </c>
      <c r="L1368" t="s">
        <v>5528</v>
      </c>
      <c r="M1368" t="s">
        <v>5529</v>
      </c>
      <c r="N1368" t="s">
        <v>1280</v>
      </c>
      <c r="O1368" t="s">
        <v>25</v>
      </c>
      <c r="P1368" t="s">
        <v>290</v>
      </c>
      <c r="Q1368" t="s">
        <v>297</v>
      </c>
      <c r="R1368" t="s">
        <v>2636</v>
      </c>
      <c r="S1368">
        <v>1000000</v>
      </c>
      <c r="T1368">
        <v>54000000</v>
      </c>
      <c r="U1368">
        <v>48243078.899999999</v>
      </c>
    </row>
    <row r="1369" spans="1:21" x14ac:dyDescent="0.25">
      <c r="A1369">
        <v>201314</v>
      </c>
      <c r="B1369" t="s">
        <v>5532</v>
      </c>
      <c r="C1369" t="s">
        <v>5537</v>
      </c>
      <c r="D1369" t="s">
        <v>1286</v>
      </c>
      <c r="E1369">
        <v>-20</v>
      </c>
      <c r="F1369" s="105">
        <v>252577.32</v>
      </c>
      <c r="G1369" t="s">
        <v>284</v>
      </c>
      <c r="H1369">
        <v>1578.61</v>
      </c>
      <c r="I1369">
        <v>257839.35</v>
      </c>
      <c r="J1369" s="711">
        <v>42999.545608368055</v>
      </c>
      <c r="K1369" s="711">
        <v>43060</v>
      </c>
      <c r="L1369" t="s">
        <v>5538</v>
      </c>
      <c r="M1369" t="s">
        <v>1280</v>
      </c>
      <c r="N1369" t="s">
        <v>1280</v>
      </c>
      <c r="O1369" t="s">
        <v>28</v>
      </c>
      <c r="P1369" t="s">
        <v>108</v>
      </c>
      <c r="Q1369" t="s">
        <v>26</v>
      </c>
      <c r="R1369" t="s">
        <v>2636</v>
      </c>
      <c r="S1369">
        <v>500000</v>
      </c>
      <c r="T1369">
        <v>12500000</v>
      </c>
      <c r="U1369">
        <v>6314433</v>
      </c>
    </row>
    <row r="1370" spans="1:21" x14ac:dyDescent="0.25">
      <c r="A1370">
        <v>201315</v>
      </c>
      <c r="B1370" t="s">
        <v>5541</v>
      </c>
      <c r="C1370" t="s">
        <v>5551</v>
      </c>
      <c r="D1370" t="s">
        <v>1282</v>
      </c>
      <c r="E1370">
        <v>9</v>
      </c>
      <c r="F1370" s="105">
        <v>4000000</v>
      </c>
      <c r="G1370" t="s">
        <v>2557</v>
      </c>
      <c r="H1370">
        <v>215731.41</v>
      </c>
      <c r="I1370">
        <v>4647958.87</v>
      </c>
      <c r="J1370" s="711">
        <v>43000.477500810186</v>
      </c>
      <c r="K1370" s="711">
        <v>43181</v>
      </c>
      <c r="L1370" t="s">
        <v>5552</v>
      </c>
      <c r="M1370" t="s">
        <v>5553</v>
      </c>
      <c r="N1370" t="s">
        <v>1280</v>
      </c>
      <c r="O1370" t="s">
        <v>44</v>
      </c>
      <c r="P1370" t="s">
        <v>92</v>
      </c>
      <c r="Q1370" t="s">
        <v>92</v>
      </c>
      <c r="R1370" t="s">
        <v>2636</v>
      </c>
      <c r="S1370">
        <v>4000000</v>
      </c>
      <c r="T1370">
        <v>216000000</v>
      </c>
      <c r="U1370">
        <v>216000000</v>
      </c>
    </row>
    <row r="1371" spans="1:21" x14ac:dyDescent="0.25">
      <c r="A1371">
        <v>201316</v>
      </c>
      <c r="B1371" t="s">
        <v>3038</v>
      </c>
      <c r="C1371" t="s">
        <v>3039</v>
      </c>
      <c r="D1371" t="s">
        <v>1281</v>
      </c>
      <c r="E1371">
        <v>-21</v>
      </c>
      <c r="F1371" s="105">
        <v>23287901.27</v>
      </c>
      <c r="G1371" t="s">
        <v>2538</v>
      </c>
      <c r="H1371">
        <v>1092353.75</v>
      </c>
      <c r="I1371">
        <v>28458086.039999999</v>
      </c>
      <c r="J1371" s="711">
        <v>43000.607355011576</v>
      </c>
      <c r="K1371" s="711">
        <v>43365</v>
      </c>
      <c r="L1371" t="s">
        <v>3040</v>
      </c>
      <c r="M1371" t="s">
        <v>1280</v>
      </c>
      <c r="N1371" t="s">
        <v>1280</v>
      </c>
      <c r="O1371" t="s">
        <v>29</v>
      </c>
      <c r="P1371" t="s">
        <v>96</v>
      </c>
      <c r="Q1371" t="s">
        <v>96</v>
      </c>
      <c r="R1371" t="s">
        <v>2856</v>
      </c>
      <c r="S1371">
        <v>25000000</v>
      </c>
      <c r="T1371">
        <v>1050000000</v>
      </c>
      <c r="U1371">
        <v>978091853.34000003</v>
      </c>
    </row>
    <row r="1372" spans="1:21" x14ac:dyDescent="0.25">
      <c r="A1372">
        <v>201317</v>
      </c>
      <c r="B1372" t="s">
        <v>4016</v>
      </c>
      <c r="C1372" t="s">
        <v>4034</v>
      </c>
      <c r="D1372" t="s">
        <v>1284</v>
      </c>
      <c r="E1372">
        <v>-21</v>
      </c>
      <c r="F1372" s="105">
        <v>19145826.079999998</v>
      </c>
      <c r="G1372" t="s">
        <v>2557</v>
      </c>
      <c r="H1372">
        <v>153166.60999999999</v>
      </c>
      <c r="I1372">
        <v>24720956.579999998</v>
      </c>
      <c r="J1372" s="711">
        <v>43000.692347881944</v>
      </c>
      <c r="K1372" s="711">
        <v>43546</v>
      </c>
      <c r="L1372" t="s">
        <v>4035</v>
      </c>
      <c r="M1372" t="s">
        <v>1280</v>
      </c>
      <c r="N1372" t="s">
        <v>1280</v>
      </c>
      <c r="O1372" t="s">
        <v>45</v>
      </c>
      <c r="P1372" t="s">
        <v>45</v>
      </c>
      <c r="Q1372" t="s">
        <v>1658</v>
      </c>
      <c r="R1372" t="s">
        <v>2856</v>
      </c>
      <c r="S1372">
        <v>20000000</v>
      </c>
      <c r="T1372">
        <v>720000000</v>
      </c>
      <c r="U1372">
        <v>689249738.88</v>
      </c>
    </row>
    <row r="1373" spans="1:21" x14ac:dyDescent="0.25">
      <c r="A1373">
        <v>201320</v>
      </c>
      <c r="B1373" t="s">
        <v>1948</v>
      </c>
      <c r="C1373" t="s">
        <v>917</v>
      </c>
      <c r="D1373" t="s">
        <v>1286</v>
      </c>
      <c r="E1373">
        <v>-20</v>
      </c>
      <c r="F1373" s="105">
        <v>7386021.0700000003</v>
      </c>
      <c r="G1373" t="s">
        <v>284</v>
      </c>
      <c r="H1373">
        <v>46162.63</v>
      </c>
      <c r="I1373">
        <v>7853991.8200000003</v>
      </c>
      <c r="J1373" s="711">
        <v>43000.754174571761</v>
      </c>
      <c r="K1373" s="711">
        <v>43180</v>
      </c>
      <c r="L1373" t="s">
        <v>1952</v>
      </c>
      <c r="M1373" t="s">
        <v>1280</v>
      </c>
      <c r="N1373" t="s">
        <v>1280</v>
      </c>
      <c r="O1373" t="s">
        <v>28</v>
      </c>
      <c r="P1373" t="s">
        <v>108</v>
      </c>
      <c r="Q1373" t="s">
        <v>26</v>
      </c>
      <c r="R1373" t="s">
        <v>2636</v>
      </c>
      <c r="S1373">
        <v>8780000</v>
      </c>
      <c r="T1373">
        <v>219500000</v>
      </c>
      <c r="U1373">
        <v>184650526.75</v>
      </c>
    </row>
    <row r="1374" spans="1:21" x14ac:dyDescent="0.25">
      <c r="A1374">
        <v>201321</v>
      </c>
      <c r="B1374" t="s">
        <v>5555</v>
      </c>
      <c r="C1374" t="s">
        <v>5560</v>
      </c>
      <c r="D1374" t="s">
        <v>1282</v>
      </c>
      <c r="E1374">
        <v>-22</v>
      </c>
      <c r="F1374" s="105">
        <v>1532018.9</v>
      </c>
      <c r="G1374" t="s">
        <v>4685</v>
      </c>
      <c r="H1374">
        <v>16086.2</v>
      </c>
      <c r="I1374">
        <v>1744905.48</v>
      </c>
      <c r="J1374" s="711">
        <v>43001.471149502315</v>
      </c>
      <c r="K1374" s="711">
        <v>43182</v>
      </c>
      <c r="L1374" t="s">
        <v>5561</v>
      </c>
      <c r="M1374" t="s">
        <v>1280</v>
      </c>
      <c r="N1374" t="s">
        <v>1280</v>
      </c>
      <c r="O1374" t="s">
        <v>44</v>
      </c>
      <c r="P1374" t="s">
        <v>75</v>
      </c>
      <c r="Q1374" t="s">
        <v>26</v>
      </c>
      <c r="R1374" t="s">
        <v>2636</v>
      </c>
      <c r="S1374">
        <v>1800000</v>
      </c>
      <c r="T1374">
        <v>97200000</v>
      </c>
      <c r="U1374">
        <v>82729020.599999994</v>
      </c>
    </row>
    <row r="1375" spans="1:21" x14ac:dyDescent="0.25">
      <c r="A1375">
        <v>201322</v>
      </c>
      <c r="B1375" t="s">
        <v>5554</v>
      </c>
      <c r="C1375" t="s">
        <v>5562</v>
      </c>
      <c r="D1375" t="s">
        <v>1282</v>
      </c>
      <c r="E1375">
        <v>-22</v>
      </c>
      <c r="F1375" s="105">
        <v>2755863.53</v>
      </c>
      <c r="G1375" t="s">
        <v>4686</v>
      </c>
      <c r="H1375">
        <v>28936.57</v>
      </c>
      <c r="I1375">
        <v>3412228.18</v>
      </c>
      <c r="J1375" s="711">
        <v>43001.50625864583</v>
      </c>
      <c r="K1375" s="711">
        <v>43304</v>
      </c>
      <c r="L1375" t="s">
        <v>5563</v>
      </c>
      <c r="M1375" t="s">
        <v>1280</v>
      </c>
      <c r="N1375" t="s">
        <v>1280</v>
      </c>
      <c r="O1375" t="s">
        <v>25</v>
      </c>
      <c r="P1375" t="s">
        <v>88</v>
      </c>
      <c r="Q1375" t="s">
        <v>285</v>
      </c>
      <c r="R1375" t="s">
        <v>2636</v>
      </c>
      <c r="S1375">
        <v>3000000</v>
      </c>
      <c r="T1375">
        <v>162000000</v>
      </c>
      <c r="U1375">
        <v>148816630.62</v>
      </c>
    </row>
    <row r="1376" spans="1:21" x14ac:dyDescent="0.25">
      <c r="A1376">
        <v>201323</v>
      </c>
      <c r="B1376" t="s">
        <v>3110</v>
      </c>
      <c r="C1376" t="s">
        <v>3111</v>
      </c>
      <c r="D1376" t="s">
        <v>1866</v>
      </c>
      <c r="E1376">
        <v>-24</v>
      </c>
      <c r="F1376" s="105">
        <v>5592990.5999999996</v>
      </c>
      <c r="G1376" t="s">
        <v>1447</v>
      </c>
      <c r="H1376">
        <v>34179.39</v>
      </c>
      <c r="I1376">
        <v>6897103.4199999999</v>
      </c>
      <c r="J1376" s="711">
        <v>43003.48632384259</v>
      </c>
      <c r="K1376" s="711">
        <v>43368</v>
      </c>
      <c r="L1376" t="s">
        <v>3112</v>
      </c>
      <c r="M1376" t="s">
        <v>1280</v>
      </c>
      <c r="N1376" t="s">
        <v>1280</v>
      </c>
      <c r="O1376" t="s">
        <v>44</v>
      </c>
      <c r="P1376" t="s">
        <v>75</v>
      </c>
      <c r="Q1376" t="s">
        <v>26</v>
      </c>
      <c r="R1376" t="s">
        <v>2856</v>
      </c>
      <c r="S1376">
        <v>6000000</v>
      </c>
      <c r="T1376">
        <v>264000000</v>
      </c>
      <c r="U1376">
        <v>246091586.40000001</v>
      </c>
    </row>
    <row r="1377" spans="1:21" x14ac:dyDescent="0.25">
      <c r="A1377">
        <v>201324</v>
      </c>
      <c r="B1377" t="s">
        <v>4284</v>
      </c>
      <c r="C1377" t="s">
        <v>4301</v>
      </c>
      <c r="D1377" t="s">
        <v>1286</v>
      </c>
      <c r="E1377">
        <v>-20</v>
      </c>
      <c r="F1377" s="105">
        <v>1985722.11</v>
      </c>
      <c r="G1377" t="s">
        <v>284</v>
      </c>
      <c r="H1377">
        <v>12410.76</v>
      </c>
      <c r="I1377">
        <v>2111535.4300000002</v>
      </c>
      <c r="J1377" s="711">
        <v>43003.492693749999</v>
      </c>
      <c r="K1377" s="711">
        <v>43180</v>
      </c>
      <c r="L1377" t="s">
        <v>4302</v>
      </c>
      <c r="M1377" t="s">
        <v>1280</v>
      </c>
      <c r="N1377" t="s">
        <v>1280</v>
      </c>
      <c r="O1377" t="s">
        <v>28</v>
      </c>
      <c r="P1377" t="s">
        <v>108</v>
      </c>
      <c r="Q1377" t="s">
        <v>26</v>
      </c>
      <c r="R1377" t="s">
        <v>2636</v>
      </c>
      <c r="S1377">
        <v>2365322</v>
      </c>
      <c r="T1377">
        <v>59133050</v>
      </c>
      <c r="U1377">
        <v>49643052.75</v>
      </c>
    </row>
    <row r="1378" spans="1:21" x14ac:dyDescent="0.25">
      <c r="A1378">
        <v>201325</v>
      </c>
      <c r="B1378" t="s">
        <v>5566</v>
      </c>
      <c r="C1378" t="s">
        <v>5574</v>
      </c>
      <c r="D1378" t="s">
        <v>1284</v>
      </c>
      <c r="E1378">
        <v>-24</v>
      </c>
      <c r="F1378" s="105">
        <v>9308618.5</v>
      </c>
      <c r="G1378" t="s">
        <v>1909</v>
      </c>
      <c r="H1378">
        <v>51714.55</v>
      </c>
      <c r="I1378">
        <v>11271863.09</v>
      </c>
      <c r="J1378" s="711">
        <v>43003.53083171296</v>
      </c>
      <c r="K1378" s="711">
        <v>43368</v>
      </c>
      <c r="L1378" t="s">
        <v>5575</v>
      </c>
      <c r="M1378" t="s">
        <v>5576</v>
      </c>
      <c r="N1378" t="s">
        <v>1280</v>
      </c>
      <c r="O1378" t="s">
        <v>44</v>
      </c>
      <c r="P1378" t="s">
        <v>75</v>
      </c>
      <c r="Q1378" t="s">
        <v>26</v>
      </c>
      <c r="R1378" t="s">
        <v>2636</v>
      </c>
      <c r="S1378">
        <v>10000000</v>
      </c>
      <c r="T1378">
        <v>400000000</v>
      </c>
      <c r="U1378">
        <v>372344740</v>
      </c>
    </row>
    <row r="1379" spans="1:21" x14ac:dyDescent="0.25">
      <c r="A1379">
        <v>201326</v>
      </c>
      <c r="B1379" t="s">
        <v>4192</v>
      </c>
      <c r="C1379" t="s">
        <v>4193</v>
      </c>
      <c r="D1379" t="s">
        <v>1282</v>
      </c>
      <c r="E1379">
        <v>-24</v>
      </c>
      <c r="F1379" s="105">
        <v>5500254.3300000001</v>
      </c>
      <c r="G1379" t="s">
        <v>2861</v>
      </c>
      <c r="H1379">
        <v>36668.36</v>
      </c>
      <c r="I1379">
        <v>6657710.9699999997</v>
      </c>
      <c r="J1379" s="711">
        <v>43003.575624108795</v>
      </c>
      <c r="K1379" s="711">
        <v>43306</v>
      </c>
      <c r="L1379" t="s">
        <v>4194</v>
      </c>
      <c r="M1379" t="s">
        <v>1280</v>
      </c>
      <c r="N1379" t="s">
        <v>1280</v>
      </c>
      <c r="O1379" t="s">
        <v>25</v>
      </c>
      <c r="P1379" t="s">
        <v>88</v>
      </c>
      <c r="Q1379" t="s">
        <v>285</v>
      </c>
      <c r="R1379" t="s">
        <v>2856</v>
      </c>
      <c r="S1379">
        <v>6000000</v>
      </c>
      <c r="T1379">
        <v>288000000</v>
      </c>
      <c r="U1379">
        <v>264012207.84</v>
      </c>
    </row>
    <row r="1380" spans="1:21" x14ac:dyDescent="0.25">
      <c r="A1380">
        <v>201327</v>
      </c>
      <c r="B1380" t="s">
        <v>3441</v>
      </c>
      <c r="C1380" t="s">
        <v>2160</v>
      </c>
      <c r="D1380" t="s">
        <v>1282</v>
      </c>
      <c r="E1380">
        <v>-24</v>
      </c>
      <c r="F1380" s="105">
        <v>5600686.96</v>
      </c>
      <c r="G1380" t="s">
        <v>2557</v>
      </c>
      <c r="H1380">
        <v>37337.910000000003</v>
      </c>
      <c r="I1380">
        <v>7032443.3799999999</v>
      </c>
      <c r="J1380" s="711">
        <v>43003.602945335646</v>
      </c>
      <c r="K1380" s="711">
        <v>43368</v>
      </c>
      <c r="L1380" t="s">
        <v>3443</v>
      </c>
      <c r="M1380" t="s">
        <v>1280</v>
      </c>
      <c r="N1380" t="s">
        <v>1280</v>
      </c>
      <c r="O1380" t="s">
        <v>44</v>
      </c>
      <c r="P1380" t="s">
        <v>92</v>
      </c>
      <c r="Q1380" t="s">
        <v>92</v>
      </c>
      <c r="R1380" t="s">
        <v>2856</v>
      </c>
      <c r="S1380">
        <v>6000000</v>
      </c>
      <c r="T1380">
        <v>288000000</v>
      </c>
      <c r="U1380">
        <v>268832974.07999998</v>
      </c>
    </row>
    <row r="1381" spans="1:21" x14ac:dyDescent="0.25">
      <c r="A1381">
        <v>201328</v>
      </c>
      <c r="B1381" t="s">
        <v>5567</v>
      </c>
      <c r="C1381" t="s">
        <v>5577</v>
      </c>
      <c r="D1381" t="s">
        <v>1286</v>
      </c>
      <c r="E1381">
        <v>-20</v>
      </c>
      <c r="F1381" s="105">
        <v>2938300.74</v>
      </c>
      <c r="G1381" t="s">
        <v>284</v>
      </c>
      <c r="H1381">
        <v>18364.38</v>
      </c>
      <c r="I1381">
        <v>3124468.47</v>
      </c>
      <c r="J1381" s="711">
        <v>43003.691176932873</v>
      </c>
      <c r="K1381" s="711">
        <v>43180</v>
      </c>
      <c r="L1381" t="s">
        <v>5578</v>
      </c>
      <c r="M1381" t="s">
        <v>1280</v>
      </c>
      <c r="N1381" t="s">
        <v>1280</v>
      </c>
      <c r="O1381" t="s">
        <v>28</v>
      </c>
      <c r="P1381" t="s">
        <v>108</v>
      </c>
      <c r="Q1381" t="s">
        <v>26</v>
      </c>
      <c r="R1381" t="s">
        <v>2636</v>
      </c>
      <c r="S1381">
        <v>3500000</v>
      </c>
      <c r="T1381">
        <v>87500000</v>
      </c>
      <c r="U1381">
        <v>73457518.5</v>
      </c>
    </row>
    <row r="1382" spans="1:21" x14ac:dyDescent="0.25">
      <c r="A1382">
        <v>201329</v>
      </c>
      <c r="B1382" t="s">
        <v>5580</v>
      </c>
      <c r="C1382" t="s">
        <v>5586</v>
      </c>
      <c r="D1382" t="s">
        <v>1282</v>
      </c>
      <c r="E1382">
        <v>-1</v>
      </c>
      <c r="F1382" s="105">
        <v>5000000</v>
      </c>
      <c r="G1382" t="s">
        <v>3074</v>
      </c>
      <c r="H1382">
        <v>255000</v>
      </c>
      <c r="I1382">
        <v>977740.77</v>
      </c>
      <c r="J1382" s="711">
        <v>43004.478649571756</v>
      </c>
      <c r="K1382" s="711">
        <v>43192</v>
      </c>
      <c r="L1382" t="s">
        <v>5587</v>
      </c>
      <c r="M1382" t="s">
        <v>1280</v>
      </c>
      <c r="N1382" t="s">
        <v>1280</v>
      </c>
      <c r="O1382" t="s">
        <v>37</v>
      </c>
      <c r="P1382" t="s">
        <v>686</v>
      </c>
      <c r="Q1382" t="s">
        <v>686</v>
      </c>
      <c r="R1382" t="s">
        <v>2636</v>
      </c>
      <c r="S1382">
        <v>5000000</v>
      </c>
      <c r="T1382">
        <v>270000000</v>
      </c>
      <c r="U1382">
        <v>270000000</v>
      </c>
    </row>
    <row r="1383" spans="1:21" x14ac:dyDescent="0.25">
      <c r="A1383">
        <v>201330</v>
      </c>
      <c r="B1383" t="s">
        <v>5581</v>
      </c>
      <c r="C1383" t="s">
        <v>5588</v>
      </c>
      <c r="D1383" t="s">
        <v>1281</v>
      </c>
      <c r="E1383">
        <v>-1</v>
      </c>
      <c r="F1383" s="105">
        <v>18000000</v>
      </c>
      <c r="G1383" t="s">
        <v>1667</v>
      </c>
      <c r="H1383">
        <v>816000</v>
      </c>
      <c r="I1383">
        <v>1932692.49</v>
      </c>
      <c r="J1383" s="711">
        <v>43004.653141122682</v>
      </c>
      <c r="K1383" s="711">
        <v>43375</v>
      </c>
      <c r="L1383" t="s">
        <v>5589</v>
      </c>
      <c r="M1383" t="s">
        <v>1280</v>
      </c>
      <c r="N1383" t="s">
        <v>1280</v>
      </c>
      <c r="O1383" t="s">
        <v>37</v>
      </c>
      <c r="P1383" t="s">
        <v>686</v>
      </c>
      <c r="Q1383" t="s">
        <v>686</v>
      </c>
      <c r="R1383" t="s">
        <v>2636</v>
      </c>
      <c r="S1383">
        <v>18000000</v>
      </c>
      <c r="T1383">
        <v>864000000</v>
      </c>
      <c r="U1383">
        <v>864000000</v>
      </c>
    </row>
    <row r="1384" spans="1:21" x14ac:dyDescent="0.25">
      <c r="A1384">
        <v>201331</v>
      </c>
      <c r="B1384" t="s">
        <v>5582</v>
      </c>
      <c r="C1384" t="s">
        <v>5590</v>
      </c>
      <c r="D1384" t="s">
        <v>1282</v>
      </c>
      <c r="E1384">
        <v>-1</v>
      </c>
      <c r="F1384" s="105">
        <v>2000000</v>
      </c>
      <c r="G1384" t="s">
        <v>1447</v>
      </c>
      <c r="H1384">
        <v>90666.67</v>
      </c>
      <c r="I1384">
        <v>248478.67</v>
      </c>
      <c r="J1384" s="711">
        <v>43004.57486724537</v>
      </c>
      <c r="K1384" s="711">
        <v>43314</v>
      </c>
      <c r="L1384" t="s">
        <v>5591</v>
      </c>
      <c r="M1384" t="s">
        <v>1280</v>
      </c>
      <c r="N1384" t="s">
        <v>1280</v>
      </c>
      <c r="O1384" t="s">
        <v>44</v>
      </c>
      <c r="P1384" t="s">
        <v>75</v>
      </c>
      <c r="Q1384" t="s">
        <v>26</v>
      </c>
      <c r="R1384" t="s">
        <v>2856</v>
      </c>
      <c r="S1384">
        <v>2000000</v>
      </c>
      <c r="T1384">
        <v>96000000</v>
      </c>
      <c r="U1384">
        <v>96000000</v>
      </c>
    </row>
    <row r="1385" spans="1:21" x14ac:dyDescent="0.25">
      <c r="A1385">
        <v>201332</v>
      </c>
      <c r="B1385" t="s">
        <v>5593</v>
      </c>
      <c r="C1385" t="s">
        <v>5602</v>
      </c>
      <c r="D1385" t="s">
        <v>1279</v>
      </c>
      <c r="E1385">
        <v>-1</v>
      </c>
      <c r="F1385" s="105">
        <v>1500000</v>
      </c>
      <c r="G1385" t="s">
        <v>4919</v>
      </c>
      <c r="H1385">
        <v>74250</v>
      </c>
      <c r="I1385">
        <v>190928.77</v>
      </c>
      <c r="J1385" s="711">
        <v>43005.516873611108</v>
      </c>
      <c r="K1385" s="711">
        <v>43314</v>
      </c>
      <c r="L1385" t="s">
        <v>5603</v>
      </c>
      <c r="M1385" t="s">
        <v>1280</v>
      </c>
      <c r="N1385" t="s">
        <v>1280</v>
      </c>
      <c r="O1385" t="s">
        <v>25</v>
      </c>
      <c r="P1385" t="s">
        <v>88</v>
      </c>
      <c r="Q1385" t="s">
        <v>285</v>
      </c>
      <c r="R1385" t="s">
        <v>2636</v>
      </c>
      <c r="S1385">
        <v>1500000</v>
      </c>
      <c r="T1385">
        <v>81000000</v>
      </c>
      <c r="U1385">
        <v>81000000</v>
      </c>
    </row>
    <row r="1386" spans="1:21" x14ac:dyDescent="0.25">
      <c r="A1386">
        <v>201333</v>
      </c>
      <c r="B1386" t="s">
        <v>5594</v>
      </c>
      <c r="C1386" t="s">
        <v>5604</v>
      </c>
      <c r="D1386" t="s">
        <v>1279</v>
      </c>
      <c r="E1386">
        <v>-1</v>
      </c>
      <c r="F1386" s="105">
        <v>3500000</v>
      </c>
      <c r="G1386" t="s">
        <v>4919</v>
      </c>
      <c r="H1386">
        <v>173250</v>
      </c>
      <c r="I1386">
        <v>534442.16</v>
      </c>
      <c r="J1386" s="711">
        <v>43005.514843206016</v>
      </c>
      <c r="K1386" s="711">
        <v>43253</v>
      </c>
      <c r="L1386" t="s">
        <v>5605</v>
      </c>
      <c r="M1386" t="s">
        <v>1280</v>
      </c>
      <c r="N1386" t="s">
        <v>1280</v>
      </c>
      <c r="O1386" t="s">
        <v>25</v>
      </c>
      <c r="P1386" t="s">
        <v>88</v>
      </c>
      <c r="Q1386" t="s">
        <v>285</v>
      </c>
      <c r="R1386" t="s">
        <v>2636</v>
      </c>
      <c r="S1386">
        <v>3500000</v>
      </c>
      <c r="T1386">
        <v>189000000</v>
      </c>
      <c r="U1386">
        <v>189000000</v>
      </c>
    </row>
    <row r="1387" spans="1:21" x14ac:dyDescent="0.25">
      <c r="A1387">
        <v>201334</v>
      </c>
      <c r="B1387" t="s">
        <v>3510</v>
      </c>
      <c r="C1387" t="s">
        <v>3516</v>
      </c>
      <c r="D1387" t="s">
        <v>1282</v>
      </c>
      <c r="E1387">
        <v>-1</v>
      </c>
      <c r="F1387" s="105">
        <v>3000000</v>
      </c>
      <c r="G1387" t="s">
        <v>2538</v>
      </c>
      <c r="H1387">
        <v>132000</v>
      </c>
      <c r="I1387">
        <v>372243.81</v>
      </c>
      <c r="J1387" s="711">
        <v>43005.506766550927</v>
      </c>
      <c r="K1387" s="711">
        <v>43314</v>
      </c>
      <c r="L1387" t="s">
        <v>3517</v>
      </c>
      <c r="M1387" t="s">
        <v>1280</v>
      </c>
      <c r="N1387" t="s">
        <v>3518</v>
      </c>
      <c r="O1387" t="s">
        <v>25</v>
      </c>
      <c r="P1387" t="s">
        <v>32</v>
      </c>
      <c r="Q1387" t="s">
        <v>3369</v>
      </c>
      <c r="R1387" t="s">
        <v>2856</v>
      </c>
      <c r="S1387">
        <v>3000000</v>
      </c>
      <c r="T1387">
        <v>144000000</v>
      </c>
      <c r="U1387">
        <v>144000000</v>
      </c>
    </row>
    <row r="1388" spans="1:21" x14ac:dyDescent="0.25">
      <c r="A1388">
        <v>201335</v>
      </c>
      <c r="B1388" t="s">
        <v>5596</v>
      </c>
      <c r="C1388" t="s">
        <v>5606</v>
      </c>
      <c r="D1388" t="s">
        <v>1282</v>
      </c>
      <c r="E1388">
        <v>-1</v>
      </c>
      <c r="F1388" s="105">
        <v>14000000</v>
      </c>
      <c r="G1388" t="s">
        <v>5410</v>
      </c>
      <c r="H1388">
        <v>693000</v>
      </c>
      <c r="I1388">
        <v>1546345.73</v>
      </c>
      <c r="J1388" s="711">
        <v>43005.5893125</v>
      </c>
      <c r="K1388" s="711">
        <v>43375</v>
      </c>
      <c r="L1388" t="s">
        <v>5607</v>
      </c>
      <c r="M1388" t="s">
        <v>1280</v>
      </c>
      <c r="N1388" t="s">
        <v>1280</v>
      </c>
      <c r="O1388" t="s">
        <v>44</v>
      </c>
      <c r="P1388" t="s">
        <v>75</v>
      </c>
      <c r="Q1388" t="s">
        <v>1442</v>
      </c>
      <c r="R1388" t="s">
        <v>2636</v>
      </c>
      <c r="S1388">
        <v>14000000</v>
      </c>
      <c r="T1388">
        <v>756000000</v>
      </c>
      <c r="U1388">
        <v>756000000</v>
      </c>
    </row>
    <row r="1389" spans="1:21" x14ac:dyDescent="0.25">
      <c r="A1389">
        <v>201336</v>
      </c>
      <c r="B1389" t="s">
        <v>1900</v>
      </c>
      <c r="C1389" t="s">
        <v>1904</v>
      </c>
      <c r="D1389" t="s">
        <v>1279</v>
      </c>
      <c r="E1389">
        <v>-1</v>
      </c>
      <c r="F1389" s="105">
        <v>5000000</v>
      </c>
      <c r="G1389" t="s">
        <v>1925</v>
      </c>
      <c r="H1389">
        <v>220000</v>
      </c>
      <c r="I1389">
        <v>536176</v>
      </c>
      <c r="J1389" s="711">
        <v>43005.677940277776</v>
      </c>
      <c r="K1389" s="711">
        <v>43375</v>
      </c>
      <c r="L1389" t="s">
        <v>1905</v>
      </c>
      <c r="M1389" t="s">
        <v>1280</v>
      </c>
      <c r="N1389" t="s">
        <v>1280</v>
      </c>
      <c r="O1389" t="s">
        <v>44</v>
      </c>
      <c r="P1389" t="s">
        <v>75</v>
      </c>
      <c r="Q1389" t="s">
        <v>1442</v>
      </c>
      <c r="R1389" t="s">
        <v>2856</v>
      </c>
      <c r="S1389">
        <v>5000000</v>
      </c>
      <c r="T1389">
        <v>240000000</v>
      </c>
      <c r="U1389">
        <v>240000000</v>
      </c>
    </row>
    <row r="1390" spans="1:21" x14ac:dyDescent="0.25">
      <c r="A1390">
        <v>201337</v>
      </c>
      <c r="B1390" t="s">
        <v>5612</v>
      </c>
      <c r="C1390" t="s">
        <v>5623</v>
      </c>
      <c r="D1390" t="s">
        <v>1282</v>
      </c>
      <c r="E1390">
        <v>-1</v>
      </c>
      <c r="F1390" s="105">
        <v>8000000</v>
      </c>
      <c r="G1390" t="s">
        <v>1447</v>
      </c>
      <c r="H1390">
        <v>384000</v>
      </c>
      <c r="I1390">
        <v>1219841.1100000001</v>
      </c>
      <c r="J1390" s="711">
        <v>43006.63448310185</v>
      </c>
      <c r="K1390" s="711">
        <v>43253</v>
      </c>
      <c r="L1390" t="s">
        <v>5624</v>
      </c>
      <c r="M1390" t="s">
        <v>1280</v>
      </c>
      <c r="N1390" t="s">
        <v>1280</v>
      </c>
      <c r="O1390" t="s">
        <v>25</v>
      </c>
      <c r="P1390" t="s">
        <v>88</v>
      </c>
      <c r="Q1390" t="s">
        <v>285</v>
      </c>
      <c r="R1390" t="s">
        <v>2636</v>
      </c>
      <c r="S1390">
        <v>8000000</v>
      </c>
      <c r="T1390">
        <v>432000000</v>
      </c>
      <c r="U1390">
        <v>432000000</v>
      </c>
    </row>
    <row r="1391" spans="1:21" x14ac:dyDescent="0.25">
      <c r="A1391">
        <v>201338</v>
      </c>
      <c r="B1391" t="s">
        <v>3442</v>
      </c>
      <c r="C1391" t="s">
        <v>3444</v>
      </c>
      <c r="D1391" t="s">
        <v>1281</v>
      </c>
      <c r="E1391">
        <v>-1</v>
      </c>
      <c r="F1391" s="105">
        <v>22000000</v>
      </c>
      <c r="G1391" t="s">
        <v>2557</v>
      </c>
      <c r="H1391">
        <v>821333.34</v>
      </c>
      <c r="I1391">
        <v>1675491.14</v>
      </c>
      <c r="J1391" s="711">
        <v>43006.709984027781</v>
      </c>
      <c r="K1391" s="711">
        <v>43557</v>
      </c>
      <c r="L1391" t="s">
        <v>3445</v>
      </c>
      <c r="M1391" t="s">
        <v>1280</v>
      </c>
      <c r="N1391" t="s">
        <v>1280</v>
      </c>
      <c r="O1391" t="s">
        <v>45</v>
      </c>
      <c r="P1391" t="s">
        <v>45</v>
      </c>
      <c r="Q1391" t="s">
        <v>89</v>
      </c>
      <c r="R1391" t="s">
        <v>2856</v>
      </c>
      <c r="S1391">
        <v>22000000</v>
      </c>
      <c r="T1391">
        <v>924000000</v>
      </c>
      <c r="U1391">
        <v>924000000</v>
      </c>
    </row>
    <row r="1392" spans="1:21" x14ac:dyDescent="0.25">
      <c r="A1392">
        <v>201339</v>
      </c>
      <c r="B1392" t="s">
        <v>3270</v>
      </c>
      <c r="C1392" t="s">
        <v>3278</v>
      </c>
      <c r="D1392" t="s">
        <v>1282</v>
      </c>
      <c r="E1392">
        <v>-1</v>
      </c>
      <c r="F1392" s="105">
        <v>13000000</v>
      </c>
      <c r="G1392" t="s">
        <v>468</v>
      </c>
      <c r="H1392">
        <v>554666.66</v>
      </c>
      <c r="I1392">
        <v>1392281.72</v>
      </c>
      <c r="J1392" s="711">
        <v>43006.489802777774</v>
      </c>
      <c r="K1392" s="711">
        <v>43375</v>
      </c>
      <c r="L1392" t="s">
        <v>3279</v>
      </c>
      <c r="M1392" t="s">
        <v>1280</v>
      </c>
      <c r="N1392" t="s">
        <v>1280</v>
      </c>
      <c r="O1392" t="s">
        <v>44</v>
      </c>
      <c r="P1392" t="s">
        <v>75</v>
      </c>
      <c r="Q1392" t="s">
        <v>1442</v>
      </c>
      <c r="R1392" t="s">
        <v>2856</v>
      </c>
      <c r="S1392">
        <v>13000000</v>
      </c>
      <c r="T1392">
        <v>624000000</v>
      </c>
      <c r="U1392">
        <v>624000000</v>
      </c>
    </row>
    <row r="1393" spans="1:21" x14ac:dyDescent="0.25">
      <c r="A1393">
        <v>201340</v>
      </c>
      <c r="B1393" t="s">
        <v>5614</v>
      </c>
      <c r="C1393" t="s">
        <v>5625</v>
      </c>
      <c r="D1393" t="s">
        <v>1282</v>
      </c>
      <c r="E1393">
        <v>-1</v>
      </c>
      <c r="F1393" s="105">
        <v>5000000</v>
      </c>
      <c r="G1393" t="s">
        <v>5384</v>
      </c>
      <c r="H1393">
        <v>240000</v>
      </c>
      <c r="I1393">
        <v>635522.21</v>
      </c>
      <c r="J1393" s="711">
        <v>43006.655426192126</v>
      </c>
      <c r="K1393" s="711">
        <v>43314</v>
      </c>
      <c r="L1393" t="s">
        <v>5626</v>
      </c>
      <c r="M1393" t="s">
        <v>1280</v>
      </c>
      <c r="N1393" t="s">
        <v>5627</v>
      </c>
      <c r="O1393" t="s">
        <v>44</v>
      </c>
      <c r="P1393" t="s">
        <v>75</v>
      </c>
      <c r="Q1393" t="s">
        <v>1442</v>
      </c>
      <c r="R1393" t="s">
        <v>2636</v>
      </c>
      <c r="S1393">
        <v>5000000</v>
      </c>
      <c r="T1393">
        <v>270000000</v>
      </c>
      <c r="U1393">
        <v>270000000</v>
      </c>
    </row>
    <row r="1394" spans="1:21" x14ac:dyDescent="0.25">
      <c r="A1394">
        <v>201341</v>
      </c>
      <c r="B1394" t="s">
        <v>3463</v>
      </c>
      <c r="C1394" t="s">
        <v>3480</v>
      </c>
      <c r="D1394" t="s">
        <v>1866</v>
      </c>
      <c r="E1394">
        <v>-1</v>
      </c>
      <c r="F1394" s="105">
        <v>7000000</v>
      </c>
      <c r="G1394" t="s">
        <v>1039</v>
      </c>
      <c r="H1394">
        <v>273777.78000000003</v>
      </c>
      <c r="I1394">
        <v>734960.75</v>
      </c>
      <c r="J1394" s="711">
        <v>43006.778086342594</v>
      </c>
      <c r="K1394" s="711">
        <v>43375</v>
      </c>
      <c r="L1394" t="s">
        <v>3481</v>
      </c>
      <c r="M1394" t="s">
        <v>1280</v>
      </c>
      <c r="N1394" t="s">
        <v>1280</v>
      </c>
      <c r="O1394" t="s">
        <v>25</v>
      </c>
      <c r="P1394" t="s">
        <v>88</v>
      </c>
      <c r="Q1394" t="s">
        <v>285</v>
      </c>
      <c r="R1394" t="s">
        <v>2856</v>
      </c>
      <c r="S1394">
        <v>7000000</v>
      </c>
      <c r="T1394">
        <v>308000000</v>
      </c>
      <c r="U1394">
        <v>308000000</v>
      </c>
    </row>
    <row r="1395" spans="1:21" x14ac:dyDescent="0.25">
      <c r="A1395">
        <v>201342</v>
      </c>
      <c r="B1395" t="s">
        <v>5609</v>
      </c>
      <c r="C1395" t="s">
        <v>5628</v>
      </c>
      <c r="D1395" t="s">
        <v>1279</v>
      </c>
      <c r="E1395">
        <v>-1</v>
      </c>
      <c r="F1395" s="105">
        <v>5000000</v>
      </c>
      <c r="G1395" t="s">
        <v>5384</v>
      </c>
      <c r="H1395">
        <v>240000</v>
      </c>
      <c r="I1395">
        <v>551479.25</v>
      </c>
      <c r="J1395" s="711">
        <v>43006.535467511574</v>
      </c>
      <c r="K1395" s="711">
        <v>43375</v>
      </c>
      <c r="L1395" t="s">
        <v>5629</v>
      </c>
      <c r="M1395" t="s">
        <v>1280</v>
      </c>
      <c r="N1395" t="s">
        <v>1280</v>
      </c>
      <c r="O1395" t="s">
        <v>25</v>
      </c>
      <c r="P1395" t="s">
        <v>88</v>
      </c>
      <c r="Q1395" t="s">
        <v>285</v>
      </c>
      <c r="R1395" t="s">
        <v>2636</v>
      </c>
      <c r="S1395">
        <v>5000000</v>
      </c>
      <c r="T1395">
        <v>270000000</v>
      </c>
      <c r="U1395">
        <v>270000000</v>
      </c>
    </row>
    <row r="1396" spans="1:21" x14ac:dyDescent="0.25">
      <c r="A1396">
        <v>201343</v>
      </c>
      <c r="B1396" t="s">
        <v>5611</v>
      </c>
      <c r="C1396" t="s">
        <v>5630</v>
      </c>
      <c r="D1396" t="s">
        <v>1279</v>
      </c>
      <c r="E1396">
        <v>-1</v>
      </c>
      <c r="F1396" s="105">
        <v>1000000</v>
      </c>
      <c r="G1396" t="s">
        <v>4685</v>
      </c>
      <c r="H1396">
        <v>48000</v>
      </c>
      <c r="I1396">
        <v>194991.56</v>
      </c>
      <c r="J1396" s="711">
        <v>43006.635618553242</v>
      </c>
      <c r="K1396" s="711">
        <v>43192</v>
      </c>
      <c r="L1396" t="s">
        <v>5631</v>
      </c>
      <c r="M1396" t="s">
        <v>1280</v>
      </c>
      <c r="N1396" t="s">
        <v>5632</v>
      </c>
      <c r="O1396" t="s">
        <v>25</v>
      </c>
      <c r="P1396" t="s">
        <v>88</v>
      </c>
      <c r="Q1396" t="s">
        <v>285</v>
      </c>
      <c r="R1396" t="s">
        <v>2636</v>
      </c>
      <c r="S1396">
        <v>1000000</v>
      </c>
      <c r="T1396">
        <v>54000000</v>
      </c>
      <c r="U1396">
        <v>54000000</v>
      </c>
    </row>
    <row r="1397" spans="1:21" x14ac:dyDescent="0.25">
      <c r="A1397">
        <v>201344</v>
      </c>
      <c r="B1397" t="s">
        <v>4799</v>
      </c>
      <c r="C1397" t="s">
        <v>4808</v>
      </c>
      <c r="D1397" t="s">
        <v>1279</v>
      </c>
      <c r="E1397">
        <v>-1</v>
      </c>
      <c r="F1397" s="105">
        <v>3000000</v>
      </c>
      <c r="G1397" t="s">
        <v>1467</v>
      </c>
      <c r="H1397">
        <v>128000</v>
      </c>
      <c r="I1397">
        <v>371769.62</v>
      </c>
      <c r="J1397" s="711">
        <v>43006.638989236111</v>
      </c>
      <c r="K1397" s="711">
        <v>43314</v>
      </c>
      <c r="L1397" t="s">
        <v>4809</v>
      </c>
      <c r="M1397" t="s">
        <v>1280</v>
      </c>
      <c r="N1397" t="s">
        <v>1280</v>
      </c>
      <c r="O1397" t="s">
        <v>44</v>
      </c>
      <c r="P1397" t="s">
        <v>75</v>
      </c>
      <c r="Q1397" t="s">
        <v>1442</v>
      </c>
      <c r="R1397" t="s">
        <v>2856</v>
      </c>
      <c r="S1397">
        <v>3000000</v>
      </c>
      <c r="T1397">
        <v>144000000</v>
      </c>
      <c r="U1397">
        <v>144000000</v>
      </c>
    </row>
    <row r="1398" spans="1:21" x14ac:dyDescent="0.25">
      <c r="A1398">
        <v>201345</v>
      </c>
      <c r="B1398" t="s">
        <v>1999</v>
      </c>
      <c r="C1398" t="s">
        <v>2000</v>
      </c>
      <c r="D1398" t="s">
        <v>1281</v>
      </c>
      <c r="E1398">
        <v>-1</v>
      </c>
      <c r="F1398" s="105">
        <v>27000000</v>
      </c>
      <c r="G1398" t="s">
        <v>468</v>
      </c>
      <c r="H1398">
        <v>1008000</v>
      </c>
      <c r="I1398">
        <v>2056284.58</v>
      </c>
      <c r="J1398" s="711">
        <v>43006.793217789353</v>
      </c>
      <c r="K1398" s="711">
        <v>43557</v>
      </c>
      <c r="L1398" t="s">
        <v>2001</v>
      </c>
      <c r="M1398" t="s">
        <v>1280</v>
      </c>
      <c r="N1398" t="s">
        <v>2002</v>
      </c>
      <c r="O1398" t="s">
        <v>25</v>
      </c>
      <c r="P1398" t="s">
        <v>88</v>
      </c>
      <c r="Q1398" t="s">
        <v>285</v>
      </c>
      <c r="R1398" t="s">
        <v>2856</v>
      </c>
      <c r="S1398">
        <v>27000000</v>
      </c>
      <c r="T1398">
        <v>1134000000</v>
      </c>
      <c r="U1398">
        <v>1134000000</v>
      </c>
    </row>
    <row r="1399" spans="1:21" x14ac:dyDescent="0.25">
      <c r="A1399">
        <v>201346</v>
      </c>
      <c r="B1399" t="s">
        <v>4780</v>
      </c>
      <c r="C1399" t="s">
        <v>4784</v>
      </c>
      <c r="D1399" t="s">
        <v>1284</v>
      </c>
      <c r="E1399">
        <v>-1</v>
      </c>
      <c r="F1399" s="105">
        <v>28000000</v>
      </c>
      <c r="G1399" t="s">
        <v>491</v>
      </c>
      <c r="H1399">
        <v>896000</v>
      </c>
      <c r="I1399">
        <v>2043749.67</v>
      </c>
      <c r="J1399" s="711">
        <v>43006.777691400464</v>
      </c>
      <c r="K1399" s="711">
        <v>43557</v>
      </c>
      <c r="L1399" t="s">
        <v>4785</v>
      </c>
      <c r="M1399" t="s">
        <v>1280</v>
      </c>
      <c r="N1399" t="s">
        <v>4786</v>
      </c>
      <c r="O1399" t="s">
        <v>25</v>
      </c>
      <c r="P1399" t="s">
        <v>88</v>
      </c>
      <c r="Q1399" t="s">
        <v>285</v>
      </c>
      <c r="R1399" t="s">
        <v>2856</v>
      </c>
      <c r="S1399">
        <v>28000000</v>
      </c>
      <c r="T1399">
        <v>1008000000</v>
      </c>
      <c r="U1399">
        <v>1008000000</v>
      </c>
    </row>
    <row r="1400" spans="1:21" x14ac:dyDescent="0.25">
      <c r="A1400">
        <v>201347</v>
      </c>
      <c r="B1400" t="s">
        <v>3965</v>
      </c>
      <c r="C1400" t="s">
        <v>3970</v>
      </c>
      <c r="D1400" t="s">
        <v>1284</v>
      </c>
      <c r="E1400">
        <v>-23</v>
      </c>
      <c r="F1400" s="105">
        <v>31000000</v>
      </c>
      <c r="G1400" t="s">
        <v>491</v>
      </c>
      <c r="H1400">
        <v>186000</v>
      </c>
      <c r="I1400">
        <v>3114324.65</v>
      </c>
      <c r="J1400" s="711">
        <v>43032.702154166669</v>
      </c>
      <c r="K1400" s="711">
        <v>43397</v>
      </c>
      <c r="L1400" t="s">
        <v>3971</v>
      </c>
      <c r="M1400" t="s">
        <v>1280</v>
      </c>
      <c r="N1400" t="s">
        <v>3972</v>
      </c>
      <c r="O1400" t="s">
        <v>25</v>
      </c>
      <c r="P1400" t="s">
        <v>88</v>
      </c>
      <c r="Q1400" t="s">
        <v>285</v>
      </c>
      <c r="R1400" t="s">
        <v>2856</v>
      </c>
      <c r="S1400">
        <v>31000000</v>
      </c>
      <c r="T1400">
        <v>1116000000</v>
      </c>
      <c r="U1400">
        <v>1116000000</v>
      </c>
    </row>
    <row r="1401" spans="1:21" x14ac:dyDescent="0.25">
      <c r="A1401">
        <v>201348</v>
      </c>
      <c r="B1401" t="s">
        <v>4566</v>
      </c>
      <c r="C1401" t="s">
        <v>4570</v>
      </c>
      <c r="D1401" t="s">
        <v>1282</v>
      </c>
      <c r="E1401">
        <v>-1</v>
      </c>
      <c r="F1401" s="105">
        <v>3500000</v>
      </c>
      <c r="G1401" t="s">
        <v>2538</v>
      </c>
      <c r="H1401">
        <v>144666.67000000001</v>
      </c>
      <c r="I1401">
        <v>433177.99</v>
      </c>
      <c r="J1401" s="711">
        <v>43007.558963692129</v>
      </c>
      <c r="K1401" s="711">
        <v>43314</v>
      </c>
      <c r="L1401" t="s">
        <v>4571</v>
      </c>
      <c r="M1401" t="s">
        <v>1280</v>
      </c>
      <c r="N1401" t="s">
        <v>4572</v>
      </c>
      <c r="O1401" t="s">
        <v>25</v>
      </c>
      <c r="P1401" t="s">
        <v>88</v>
      </c>
      <c r="Q1401" t="s">
        <v>285</v>
      </c>
      <c r="R1401" t="s">
        <v>2856</v>
      </c>
      <c r="S1401">
        <v>3500000</v>
      </c>
      <c r="T1401">
        <v>168000000</v>
      </c>
      <c r="U1401">
        <v>168000000</v>
      </c>
    </row>
    <row r="1402" spans="1:21" x14ac:dyDescent="0.25">
      <c r="A1402">
        <v>201349</v>
      </c>
      <c r="B1402" t="s">
        <v>5642</v>
      </c>
      <c r="C1402" t="s">
        <v>5659</v>
      </c>
      <c r="D1402" t="s">
        <v>1284</v>
      </c>
      <c r="E1402">
        <v>-1</v>
      </c>
      <c r="F1402" s="105">
        <v>9000000</v>
      </c>
      <c r="G1402" t="s">
        <v>2861</v>
      </c>
      <c r="H1402">
        <v>310000</v>
      </c>
      <c r="I1402">
        <v>925218.32</v>
      </c>
      <c r="J1402" s="711">
        <v>43007.564548726848</v>
      </c>
      <c r="K1402" s="711">
        <v>43375</v>
      </c>
      <c r="L1402" t="s">
        <v>5660</v>
      </c>
      <c r="M1402" t="s">
        <v>1280</v>
      </c>
      <c r="N1402" t="s">
        <v>1280</v>
      </c>
      <c r="O1402" t="s">
        <v>44</v>
      </c>
      <c r="P1402" t="s">
        <v>75</v>
      </c>
      <c r="Q1402" t="s">
        <v>1442</v>
      </c>
      <c r="R1402" t="s">
        <v>2636</v>
      </c>
      <c r="S1402">
        <v>9000000</v>
      </c>
      <c r="T1402">
        <v>360000000</v>
      </c>
      <c r="U1402">
        <v>360000000</v>
      </c>
    </row>
    <row r="1403" spans="1:21" x14ac:dyDescent="0.25">
      <c r="A1403">
        <v>201350</v>
      </c>
      <c r="B1403" t="s">
        <v>4421</v>
      </c>
      <c r="C1403" t="s">
        <v>4442</v>
      </c>
      <c r="D1403" t="s">
        <v>1284</v>
      </c>
      <c r="E1403">
        <v>-1</v>
      </c>
      <c r="F1403" s="105">
        <v>30000000</v>
      </c>
      <c r="G1403" t="s">
        <v>491</v>
      </c>
      <c r="H1403">
        <v>930000</v>
      </c>
      <c r="I1403">
        <v>2187614.06</v>
      </c>
      <c r="J1403" s="711">
        <v>43007.569637187502</v>
      </c>
      <c r="K1403" s="711">
        <v>43557</v>
      </c>
      <c r="L1403" t="s">
        <v>4443</v>
      </c>
      <c r="M1403" t="s">
        <v>1280</v>
      </c>
      <c r="N1403" t="s">
        <v>1280</v>
      </c>
      <c r="O1403" t="s">
        <v>29</v>
      </c>
      <c r="P1403" t="s">
        <v>96</v>
      </c>
      <c r="Q1403" t="s">
        <v>96</v>
      </c>
      <c r="R1403" t="s">
        <v>2856</v>
      </c>
      <c r="S1403">
        <v>30000000</v>
      </c>
      <c r="T1403">
        <v>1080000000</v>
      </c>
      <c r="U1403">
        <v>1080000000</v>
      </c>
    </row>
    <row r="1404" spans="1:21" x14ac:dyDescent="0.25">
      <c r="A1404">
        <v>201351</v>
      </c>
      <c r="B1404" t="s">
        <v>5018</v>
      </c>
      <c r="C1404" t="s">
        <v>5022</v>
      </c>
      <c r="D1404" t="s">
        <v>1286</v>
      </c>
      <c r="E1404">
        <v>-20</v>
      </c>
      <c r="F1404" s="105">
        <v>200962.2</v>
      </c>
      <c r="G1404" t="s">
        <v>284</v>
      </c>
      <c r="H1404">
        <v>1256.01</v>
      </c>
      <c r="I1404">
        <v>205148.91</v>
      </c>
      <c r="J1404" s="711">
        <v>43007.634598379627</v>
      </c>
      <c r="K1404" s="711">
        <v>43060</v>
      </c>
      <c r="L1404" t="s">
        <v>5023</v>
      </c>
      <c r="M1404" t="s">
        <v>1280</v>
      </c>
      <c r="N1404" t="s">
        <v>1280</v>
      </c>
      <c r="O1404" t="s">
        <v>28</v>
      </c>
      <c r="P1404" t="s">
        <v>108</v>
      </c>
      <c r="Q1404" t="s">
        <v>26</v>
      </c>
      <c r="R1404" t="s">
        <v>2636</v>
      </c>
      <c r="S1404">
        <v>400000</v>
      </c>
      <c r="T1404">
        <v>10000000</v>
      </c>
      <c r="U1404">
        <v>5024055</v>
      </c>
    </row>
    <row r="1405" spans="1:21" x14ac:dyDescent="0.25">
      <c r="A1405">
        <v>201352</v>
      </c>
      <c r="B1405" t="s">
        <v>4371</v>
      </c>
      <c r="C1405" t="s">
        <v>4383</v>
      </c>
      <c r="D1405" t="s">
        <v>1284</v>
      </c>
      <c r="E1405">
        <v>-4</v>
      </c>
      <c r="F1405" s="105">
        <v>17000000</v>
      </c>
      <c r="G1405" t="s">
        <v>1448</v>
      </c>
      <c r="H1405">
        <v>527000</v>
      </c>
      <c r="I1405">
        <v>1717804.13</v>
      </c>
      <c r="J1405" s="711">
        <v>43007.79022638889</v>
      </c>
      <c r="K1405" s="711">
        <v>43378</v>
      </c>
      <c r="L1405" t="s">
        <v>4384</v>
      </c>
      <c r="M1405" t="s">
        <v>1280</v>
      </c>
      <c r="N1405" t="s">
        <v>4385</v>
      </c>
      <c r="O1405" t="s">
        <v>25</v>
      </c>
      <c r="P1405" t="s">
        <v>289</v>
      </c>
      <c r="Q1405" t="s">
        <v>26</v>
      </c>
      <c r="R1405" t="s">
        <v>2856</v>
      </c>
      <c r="S1405">
        <v>17000000</v>
      </c>
      <c r="T1405">
        <v>612000000</v>
      </c>
      <c r="U1405">
        <v>612000000</v>
      </c>
    </row>
    <row r="1406" spans="1:21" x14ac:dyDescent="0.25">
      <c r="A1406">
        <v>201353</v>
      </c>
      <c r="B1406" t="s">
        <v>3126</v>
      </c>
      <c r="C1406" t="s">
        <v>3127</v>
      </c>
      <c r="D1406" t="s">
        <v>1282</v>
      </c>
      <c r="E1406">
        <v>-1</v>
      </c>
      <c r="F1406" s="105">
        <v>4000000</v>
      </c>
      <c r="G1406" t="s">
        <v>2034</v>
      </c>
      <c r="H1406">
        <v>165333.32999999999</v>
      </c>
      <c r="I1406">
        <v>596396.37</v>
      </c>
      <c r="J1406" s="711">
        <v>43007.766183831016</v>
      </c>
      <c r="K1406" s="711">
        <v>43253</v>
      </c>
      <c r="L1406" t="s">
        <v>3128</v>
      </c>
      <c r="M1406" t="s">
        <v>1280</v>
      </c>
      <c r="N1406" t="s">
        <v>1280</v>
      </c>
      <c r="O1406" t="s">
        <v>25</v>
      </c>
      <c r="P1406" t="s">
        <v>88</v>
      </c>
      <c r="Q1406" t="s">
        <v>285</v>
      </c>
      <c r="R1406" t="s">
        <v>2856</v>
      </c>
      <c r="S1406">
        <v>4000000</v>
      </c>
      <c r="T1406">
        <v>192000000</v>
      </c>
      <c r="U1406">
        <v>192000000</v>
      </c>
    </row>
    <row r="1407" spans="1:21" x14ac:dyDescent="0.25">
      <c r="A1407">
        <v>201354</v>
      </c>
      <c r="B1407" t="s">
        <v>5638</v>
      </c>
      <c r="C1407" t="s">
        <v>5661</v>
      </c>
      <c r="D1407" t="s">
        <v>1866</v>
      </c>
      <c r="E1407">
        <v>-1</v>
      </c>
      <c r="F1407" s="105">
        <v>6000000</v>
      </c>
      <c r="G1407" t="s">
        <v>2861</v>
      </c>
      <c r="H1407">
        <v>258333.33</v>
      </c>
      <c r="I1407">
        <v>900899.54</v>
      </c>
      <c r="J1407" s="711">
        <v>43007.787448379633</v>
      </c>
      <c r="K1407" s="711">
        <v>43253</v>
      </c>
      <c r="L1407" t="s">
        <v>5662</v>
      </c>
      <c r="M1407" t="s">
        <v>1280</v>
      </c>
      <c r="N1407" t="s">
        <v>1280</v>
      </c>
      <c r="O1407" t="s">
        <v>25</v>
      </c>
      <c r="P1407" t="s">
        <v>88</v>
      </c>
      <c r="Q1407" t="s">
        <v>285</v>
      </c>
      <c r="R1407" t="s">
        <v>2636</v>
      </c>
      <c r="S1407">
        <v>6000000</v>
      </c>
      <c r="T1407">
        <v>300000000</v>
      </c>
      <c r="U1407">
        <v>300000000</v>
      </c>
    </row>
    <row r="1408" spans="1:21" x14ac:dyDescent="0.25">
      <c r="A1408">
        <v>201355</v>
      </c>
      <c r="B1408" t="s">
        <v>5640</v>
      </c>
      <c r="C1408" t="s">
        <v>5663</v>
      </c>
      <c r="D1408" t="s">
        <v>1282</v>
      </c>
      <c r="E1408">
        <v>-1</v>
      </c>
      <c r="F1408" s="105">
        <v>5000000</v>
      </c>
      <c r="G1408" t="s">
        <v>3074</v>
      </c>
      <c r="H1408">
        <v>232500</v>
      </c>
      <c r="I1408">
        <v>634615.18000000005</v>
      </c>
      <c r="J1408" s="711">
        <v>43007.777926736111</v>
      </c>
      <c r="K1408" s="711">
        <v>43314</v>
      </c>
      <c r="L1408" t="s">
        <v>5664</v>
      </c>
      <c r="M1408" t="s">
        <v>1280</v>
      </c>
      <c r="N1408" t="s">
        <v>1280</v>
      </c>
      <c r="O1408" t="s">
        <v>25</v>
      </c>
      <c r="P1408" t="s">
        <v>88</v>
      </c>
      <c r="Q1408" t="s">
        <v>285</v>
      </c>
      <c r="R1408" t="s">
        <v>2636</v>
      </c>
      <c r="S1408">
        <v>5000000</v>
      </c>
      <c r="T1408">
        <v>270000000</v>
      </c>
      <c r="U1408">
        <v>270000000</v>
      </c>
    </row>
    <row r="1409" spans="1:21" x14ac:dyDescent="0.25">
      <c r="A1409">
        <v>201356</v>
      </c>
      <c r="B1409" t="s">
        <v>3966</v>
      </c>
      <c r="C1409" t="s">
        <v>3973</v>
      </c>
      <c r="D1409" t="s">
        <v>1282</v>
      </c>
      <c r="E1409">
        <v>-1</v>
      </c>
      <c r="F1409" s="105">
        <v>5000000</v>
      </c>
      <c r="G1409" t="s">
        <v>1467</v>
      </c>
      <c r="H1409">
        <v>200000</v>
      </c>
      <c r="I1409">
        <v>534126.92000000004</v>
      </c>
      <c r="J1409" s="711">
        <v>43008.60329097222</v>
      </c>
      <c r="K1409" s="711">
        <v>43375</v>
      </c>
      <c r="L1409" t="s">
        <v>3974</v>
      </c>
      <c r="M1409" t="s">
        <v>1280</v>
      </c>
      <c r="N1409" t="s">
        <v>3975</v>
      </c>
      <c r="O1409" t="s">
        <v>44</v>
      </c>
      <c r="P1409" t="s">
        <v>75</v>
      </c>
      <c r="Q1409" t="s">
        <v>26</v>
      </c>
      <c r="R1409" t="s">
        <v>2856</v>
      </c>
      <c r="S1409">
        <v>5000000</v>
      </c>
      <c r="T1409">
        <v>240000000</v>
      </c>
      <c r="U1409">
        <v>240000000</v>
      </c>
    </row>
    <row r="1410" spans="1:21" x14ac:dyDescent="0.25">
      <c r="A1410">
        <v>201357</v>
      </c>
      <c r="B1410" t="s">
        <v>5487</v>
      </c>
      <c r="C1410" t="s">
        <v>5694</v>
      </c>
      <c r="D1410" t="s">
        <v>1282</v>
      </c>
      <c r="E1410">
        <v>-2</v>
      </c>
      <c r="F1410" s="105">
        <v>4000000</v>
      </c>
      <c r="G1410" t="s">
        <v>3074</v>
      </c>
      <c r="H1410">
        <v>160000</v>
      </c>
      <c r="I1410">
        <v>427847.95</v>
      </c>
      <c r="J1410" s="711">
        <v>43008.662423530091</v>
      </c>
      <c r="K1410" s="711">
        <v>43376</v>
      </c>
      <c r="L1410" t="s">
        <v>5488</v>
      </c>
      <c r="M1410" t="s">
        <v>1280</v>
      </c>
      <c r="N1410" t="s">
        <v>5489</v>
      </c>
      <c r="O1410" t="s">
        <v>36</v>
      </c>
      <c r="P1410" t="s">
        <v>97</v>
      </c>
      <c r="Q1410" t="s">
        <v>98</v>
      </c>
      <c r="R1410" t="s">
        <v>2856</v>
      </c>
      <c r="S1410">
        <v>4000000</v>
      </c>
      <c r="T1410">
        <v>192000000</v>
      </c>
      <c r="U1410">
        <v>192000000</v>
      </c>
    </row>
    <row r="1411" spans="1:21" x14ac:dyDescent="0.25">
      <c r="A1411">
        <v>201358</v>
      </c>
      <c r="B1411" t="s">
        <v>5668</v>
      </c>
      <c r="C1411" t="s">
        <v>5695</v>
      </c>
      <c r="D1411" t="s">
        <v>1279</v>
      </c>
      <c r="E1411">
        <v>-1</v>
      </c>
      <c r="F1411" s="105">
        <v>5000000</v>
      </c>
      <c r="G1411" t="s">
        <v>963</v>
      </c>
      <c r="H1411">
        <v>225000</v>
      </c>
      <c r="I1411">
        <v>549905.1</v>
      </c>
      <c r="J1411" s="711">
        <v>43008.646953900461</v>
      </c>
      <c r="K1411" s="711">
        <v>43375</v>
      </c>
      <c r="L1411" t="s">
        <v>5696</v>
      </c>
      <c r="M1411" t="s">
        <v>1280</v>
      </c>
      <c r="N1411" t="s">
        <v>5697</v>
      </c>
      <c r="O1411" t="s">
        <v>25</v>
      </c>
      <c r="P1411" t="s">
        <v>88</v>
      </c>
      <c r="Q1411" t="s">
        <v>285</v>
      </c>
      <c r="R1411" t="s">
        <v>2636</v>
      </c>
      <c r="S1411">
        <v>5000000</v>
      </c>
      <c r="T1411">
        <v>270000000</v>
      </c>
      <c r="U1411">
        <v>270000000</v>
      </c>
    </row>
    <row r="1412" spans="1:21" x14ac:dyDescent="0.25">
      <c r="A1412">
        <v>201359</v>
      </c>
      <c r="B1412" t="s">
        <v>5674</v>
      </c>
      <c r="C1412" t="s">
        <v>5698</v>
      </c>
      <c r="D1412" t="s">
        <v>1282</v>
      </c>
      <c r="E1412">
        <v>-1</v>
      </c>
      <c r="F1412" s="105">
        <v>1500000</v>
      </c>
      <c r="G1412" t="s">
        <v>1448</v>
      </c>
      <c r="H1412">
        <v>67500</v>
      </c>
      <c r="I1412">
        <v>190112.45</v>
      </c>
      <c r="J1412" s="711">
        <v>43008.738874189818</v>
      </c>
      <c r="K1412" s="711">
        <v>43314</v>
      </c>
      <c r="L1412" t="s">
        <v>5699</v>
      </c>
      <c r="M1412" t="s">
        <v>1280</v>
      </c>
      <c r="N1412" t="s">
        <v>1280</v>
      </c>
      <c r="O1412" t="s">
        <v>25</v>
      </c>
      <c r="P1412" t="s">
        <v>88</v>
      </c>
      <c r="Q1412" t="s">
        <v>285</v>
      </c>
      <c r="R1412" t="s">
        <v>2636</v>
      </c>
      <c r="S1412">
        <v>1500000</v>
      </c>
      <c r="T1412">
        <v>81000000</v>
      </c>
      <c r="U1412">
        <v>81000000</v>
      </c>
    </row>
    <row r="1413" spans="1:21" x14ac:dyDescent="0.25">
      <c r="A1413">
        <v>201360</v>
      </c>
      <c r="B1413" t="s">
        <v>5672</v>
      </c>
      <c r="C1413" t="s">
        <v>5700</v>
      </c>
      <c r="D1413" t="s">
        <v>1282</v>
      </c>
      <c r="E1413">
        <v>-1</v>
      </c>
      <c r="F1413" s="105">
        <v>7000000</v>
      </c>
      <c r="G1413" t="s">
        <v>2557</v>
      </c>
      <c r="H1413">
        <v>315000</v>
      </c>
      <c r="I1413">
        <v>887191.42</v>
      </c>
      <c r="J1413" s="711">
        <v>43008.752287465279</v>
      </c>
      <c r="K1413" s="711">
        <v>43314</v>
      </c>
      <c r="L1413" t="s">
        <v>5701</v>
      </c>
      <c r="M1413" t="s">
        <v>5702</v>
      </c>
      <c r="N1413" t="s">
        <v>1280</v>
      </c>
      <c r="O1413" t="s">
        <v>25</v>
      </c>
      <c r="P1413" t="s">
        <v>88</v>
      </c>
      <c r="Q1413" t="s">
        <v>285</v>
      </c>
      <c r="R1413" t="s">
        <v>2636</v>
      </c>
      <c r="S1413">
        <v>7000000</v>
      </c>
      <c r="T1413">
        <v>378000000</v>
      </c>
      <c r="U1413">
        <v>378000000</v>
      </c>
    </row>
    <row r="1414" spans="1:21" x14ac:dyDescent="0.25">
      <c r="A1414">
        <v>201361</v>
      </c>
      <c r="B1414" t="s">
        <v>5667</v>
      </c>
      <c r="C1414" t="s">
        <v>5703</v>
      </c>
      <c r="D1414" t="s">
        <v>1866</v>
      </c>
      <c r="E1414">
        <v>-1</v>
      </c>
      <c r="F1414" s="105">
        <v>6000000</v>
      </c>
      <c r="G1414" t="s">
        <v>468</v>
      </c>
      <c r="H1414">
        <v>250000</v>
      </c>
      <c r="I1414">
        <v>647232.06999999995</v>
      </c>
      <c r="J1414" s="711">
        <v>43008.79057665509</v>
      </c>
      <c r="K1414" s="711">
        <v>43375</v>
      </c>
      <c r="L1414" t="s">
        <v>5704</v>
      </c>
      <c r="M1414" t="s">
        <v>1280</v>
      </c>
      <c r="N1414" t="s">
        <v>5705</v>
      </c>
      <c r="O1414" t="s">
        <v>25</v>
      </c>
      <c r="P1414" t="s">
        <v>88</v>
      </c>
      <c r="Q1414" t="s">
        <v>285</v>
      </c>
      <c r="R1414" t="s">
        <v>2636</v>
      </c>
      <c r="S1414">
        <v>6000000</v>
      </c>
      <c r="T1414">
        <v>300000000</v>
      </c>
      <c r="U1414">
        <v>300000000</v>
      </c>
    </row>
    <row r="1415" spans="1:21" x14ac:dyDescent="0.25">
      <c r="A1415">
        <v>201362</v>
      </c>
      <c r="B1415" t="s">
        <v>2222</v>
      </c>
      <c r="C1415" t="s">
        <v>2223</v>
      </c>
      <c r="D1415" t="s">
        <v>1282</v>
      </c>
      <c r="E1415">
        <v>-1</v>
      </c>
      <c r="F1415" s="105">
        <v>8500000</v>
      </c>
      <c r="G1415" t="s">
        <v>1448</v>
      </c>
      <c r="H1415">
        <v>340000</v>
      </c>
      <c r="I1415">
        <v>908015.76</v>
      </c>
      <c r="J1415" s="711">
        <v>43008.800173344905</v>
      </c>
      <c r="K1415" s="711">
        <v>43375</v>
      </c>
      <c r="L1415" t="s">
        <v>2224</v>
      </c>
      <c r="M1415" t="s">
        <v>1280</v>
      </c>
      <c r="N1415" t="s">
        <v>2225</v>
      </c>
      <c r="O1415" t="s">
        <v>25</v>
      </c>
      <c r="P1415" t="s">
        <v>88</v>
      </c>
      <c r="Q1415" t="s">
        <v>285</v>
      </c>
      <c r="R1415" t="s">
        <v>2856</v>
      </c>
      <c r="S1415">
        <v>8500000</v>
      </c>
      <c r="T1415">
        <v>408000000</v>
      </c>
      <c r="U1415">
        <v>408000000</v>
      </c>
    </row>
    <row r="1416" spans="1:21" x14ac:dyDescent="0.25">
      <c r="A1416">
        <v>201363</v>
      </c>
      <c r="B1416" t="s">
        <v>4548</v>
      </c>
      <c r="C1416" t="s">
        <v>4550</v>
      </c>
      <c r="D1416" t="s">
        <v>1285</v>
      </c>
      <c r="E1416">
        <v>-20</v>
      </c>
      <c r="F1416" s="105">
        <v>5838507.4100000001</v>
      </c>
      <c r="G1416" t="s">
        <v>284</v>
      </c>
      <c r="H1416">
        <v>32111.79</v>
      </c>
      <c r="I1416">
        <v>7962240.7000000002</v>
      </c>
      <c r="J1416" s="711">
        <v>43011.720706365741</v>
      </c>
      <c r="K1416" s="711">
        <v>44095</v>
      </c>
      <c r="L1416" t="s">
        <v>4551</v>
      </c>
      <c r="M1416" t="s">
        <v>1280</v>
      </c>
      <c r="N1416" t="s">
        <v>1280</v>
      </c>
      <c r="O1416" t="s">
        <v>43</v>
      </c>
      <c r="P1416" t="s">
        <v>338</v>
      </c>
      <c r="Q1416" t="s">
        <v>339</v>
      </c>
      <c r="R1416" t="s">
        <v>2636</v>
      </c>
      <c r="S1416">
        <v>6000000</v>
      </c>
      <c r="T1416">
        <v>132000000</v>
      </c>
      <c r="U1416">
        <v>128447163.02</v>
      </c>
    </row>
    <row r="1417" spans="1:21" x14ac:dyDescent="0.25">
      <c r="A1417">
        <v>201364</v>
      </c>
      <c r="B1417" t="s">
        <v>2311</v>
      </c>
      <c r="C1417" t="s">
        <v>2323</v>
      </c>
      <c r="D1417" t="s">
        <v>1281</v>
      </c>
      <c r="E1417">
        <v>-3</v>
      </c>
      <c r="F1417" s="105">
        <v>30000000</v>
      </c>
      <c r="G1417" t="s">
        <v>1191</v>
      </c>
      <c r="H1417">
        <v>910000</v>
      </c>
      <c r="I1417">
        <v>2274505.2200000002</v>
      </c>
      <c r="J1417" s="711">
        <v>43012.678501041664</v>
      </c>
      <c r="K1417" s="711">
        <v>43559</v>
      </c>
      <c r="L1417" t="s">
        <v>2324</v>
      </c>
      <c r="M1417" t="s">
        <v>1280</v>
      </c>
      <c r="N1417" t="s">
        <v>1280</v>
      </c>
      <c r="O1417" t="s">
        <v>36</v>
      </c>
      <c r="P1417" t="s">
        <v>97</v>
      </c>
      <c r="Q1417" t="s">
        <v>98</v>
      </c>
      <c r="R1417" t="s">
        <v>2856</v>
      </c>
      <c r="S1417">
        <v>30000000</v>
      </c>
      <c r="T1417">
        <v>1260000000</v>
      </c>
      <c r="U1417">
        <v>1260000000</v>
      </c>
    </row>
    <row r="1418" spans="1:21" x14ac:dyDescent="0.25">
      <c r="A1418">
        <v>201365</v>
      </c>
      <c r="B1418" t="s">
        <v>2759</v>
      </c>
      <c r="C1418" t="s">
        <v>2764</v>
      </c>
      <c r="D1418" t="s">
        <v>1281</v>
      </c>
      <c r="E1418">
        <v>-3</v>
      </c>
      <c r="F1418" s="105">
        <v>16000000</v>
      </c>
      <c r="G1418" t="s">
        <v>2557</v>
      </c>
      <c r="H1418">
        <v>485333.33</v>
      </c>
      <c r="I1418">
        <v>1389201.11</v>
      </c>
      <c r="J1418" s="711">
        <v>43012.761587731482</v>
      </c>
      <c r="K1418" s="711">
        <v>43469</v>
      </c>
      <c r="L1418" t="s">
        <v>2765</v>
      </c>
      <c r="M1418" t="s">
        <v>1280</v>
      </c>
      <c r="N1418" t="s">
        <v>1280</v>
      </c>
      <c r="O1418" t="s">
        <v>27</v>
      </c>
      <c r="P1418" t="s">
        <v>81</v>
      </c>
      <c r="Q1418" t="s">
        <v>26</v>
      </c>
      <c r="R1418" t="s">
        <v>2856</v>
      </c>
      <c r="S1418">
        <v>16000000</v>
      </c>
      <c r="T1418">
        <v>672000000</v>
      </c>
      <c r="U1418">
        <v>672000000</v>
      </c>
    </row>
    <row r="1419" spans="1:21" x14ac:dyDescent="0.25">
      <c r="A1419">
        <v>201366</v>
      </c>
      <c r="B1419" t="s">
        <v>5713</v>
      </c>
      <c r="C1419" t="s">
        <v>5718</v>
      </c>
      <c r="D1419" t="s">
        <v>1286</v>
      </c>
      <c r="E1419">
        <v>-20</v>
      </c>
      <c r="F1419" s="105">
        <v>1501849.06</v>
      </c>
      <c r="G1419" t="s">
        <v>284</v>
      </c>
      <c r="H1419">
        <v>9386.56</v>
      </c>
      <c r="I1419">
        <v>1597004.68</v>
      </c>
      <c r="J1419" s="711">
        <v>43012.759731365739</v>
      </c>
      <c r="K1419" s="711">
        <v>43180</v>
      </c>
      <c r="L1419" t="s">
        <v>5719</v>
      </c>
      <c r="M1419" t="s">
        <v>1280</v>
      </c>
      <c r="N1419" t="s">
        <v>5720</v>
      </c>
      <c r="O1419" t="s">
        <v>28</v>
      </c>
      <c r="P1419" t="s">
        <v>108</v>
      </c>
      <c r="Q1419" t="s">
        <v>26</v>
      </c>
      <c r="R1419" t="s">
        <v>2636</v>
      </c>
      <c r="S1419">
        <v>1800000</v>
      </c>
      <c r="T1419">
        <v>45000000</v>
      </c>
      <c r="U1419">
        <v>37546226.5</v>
      </c>
    </row>
    <row r="1420" spans="1:21" x14ac:dyDescent="0.25">
      <c r="A1420">
        <v>201367</v>
      </c>
      <c r="B1420" t="s">
        <v>5712</v>
      </c>
      <c r="C1420" t="s">
        <v>5721</v>
      </c>
      <c r="D1420" t="s">
        <v>1281</v>
      </c>
      <c r="E1420">
        <v>-3</v>
      </c>
      <c r="F1420" s="105">
        <v>28000000</v>
      </c>
      <c r="G1420" t="s">
        <v>1447</v>
      </c>
      <c r="H1420">
        <v>970666.67</v>
      </c>
      <c r="I1420">
        <v>2983460.84</v>
      </c>
      <c r="J1420" s="711">
        <v>43012.775329050928</v>
      </c>
      <c r="K1420" s="711">
        <v>43377</v>
      </c>
      <c r="L1420" t="s">
        <v>5722</v>
      </c>
      <c r="M1420" t="s">
        <v>1280</v>
      </c>
      <c r="N1420" t="s">
        <v>1280</v>
      </c>
      <c r="O1420" t="s">
        <v>25</v>
      </c>
      <c r="P1420" t="s">
        <v>88</v>
      </c>
      <c r="Q1420" t="s">
        <v>285</v>
      </c>
      <c r="R1420" t="s">
        <v>2636</v>
      </c>
      <c r="S1420">
        <v>28000000</v>
      </c>
      <c r="T1420">
        <v>1344000000</v>
      </c>
      <c r="U1420">
        <v>1344000000</v>
      </c>
    </row>
    <row r="1421" spans="1:21" x14ac:dyDescent="0.25">
      <c r="A1421">
        <v>201368</v>
      </c>
      <c r="B1421" t="s">
        <v>5143</v>
      </c>
      <c r="C1421" t="s">
        <v>5148</v>
      </c>
      <c r="D1421" t="s">
        <v>1286</v>
      </c>
      <c r="E1421">
        <v>-20</v>
      </c>
      <c r="F1421" s="105">
        <v>600391.1</v>
      </c>
      <c r="G1421" t="s">
        <v>284</v>
      </c>
      <c r="H1421">
        <v>3752.44</v>
      </c>
      <c r="I1421">
        <v>619217.80000000005</v>
      </c>
      <c r="J1421" s="711">
        <v>43013.442692442128</v>
      </c>
      <c r="K1421" s="711">
        <v>43090</v>
      </c>
      <c r="L1421" t="s">
        <v>5149</v>
      </c>
      <c r="M1421" t="s">
        <v>1280</v>
      </c>
      <c r="N1421" t="s">
        <v>1280</v>
      </c>
      <c r="O1421" t="s">
        <v>28</v>
      </c>
      <c r="P1421" t="s">
        <v>108</v>
      </c>
      <c r="Q1421" t="s">
        <v>26</v>
      </c>
      <c r="R1421" t="s">
        <v>2636</v>
      </c>
      <c r="S1421">
        <v>900000</v>
      </c>
      <c r="T1421">
        <v>22500000</v>
      </c>
      <c r="U1421">
        <v>15009777.5</v>
      </c>
    </row>
    <row r="1422" spans="1:21" x14ac:dyDescent="0.25">
      <c r="A1422">
        <v>201369</v>
      </c>
      <c r="B1422" t="s">
        <v>5723</v>
      </c>
      <c r="C1422" t="s">
        <v>5727</v>
      </c>
      <c r="D1422" t="s">
        <v>1286</v>
      </c>
      <c r="E1422">
        <v>-20</v>
      </c>
      <c r="F1422" s="105">
        <v>967296.77</v>
      </c>
      <c r="G1422" t="s">
        <v>284</v>
      </c>
      <c r="H1422">
        <v>6045.6</v>
      </c>
      <c r="I1422">
        <v>997628.67</v>
      </c>
      <c r="J1422" s="711">
        <v>43013.70948622685</v>
      </c>
      <c r="K1422" s="711">
        <v>43090</v>
      </c>
      <c r="L1422" t="s">
        <v>5728</v>
      </c>
      <c r="M1422" t="s">
        <v>1280</v>
      </c>
      <c r="N1422" t="s">
        <v>1280</v>
      </c>
      <c r="O1422" t="s">
        <v>28</v>
      </c>
      <c r="P1422" t="s">
        <v>108</v>
      </c>
      <c r="Q1422" t="s">
        <v>26</v>
      </c>
      <c r="R1422" t="s">
        <v>2636</v>
      </c>
      <c r="S1422">
        <v>1450000</v>
      </c>
      <c r="T1422">
        <v>36250000</v>
      </c>
      <c r="U1422">
        <v>24182419.25</v>
      </c>
    </row>
    <row r="1423" spans="1:21" x14ac:dyDescent="0.25">
      <c r="A1423">
        <v>201370</v>
      </c>
      <c r="B1423" t="s">
        <v>5731</v>
      </c>
      <c r="C1423" t="s">
        <v>5741</v>
      </c>
      <c r="D1423" t="s">
        <v>1281</v>
      </c>
      <c r="E1423">
        <v>-5</v>
      </c>
      <c r="F1423" s="105">
        <v>25000000</v>
      </c>
      <c r="G1423" t="s">
        <v>4683</v>
      </c>
      <c r="H1423">
        <v>800000</v>
      </c>
      <c r="I1423">
        <v>2663804.3199999998</v>
      </c>
      <c r="J1423" s="711">
        <v>43014.748938344906</v>
      </c>
      <c r="K1423" s="711">
        <v>43379</v>
      </c>
      <c r="L1423" t="s">
        <v>5742</v>
      </c>
      <c r="M1423" t="s">
        <v>5743</v>
      </c>
      <c r="N1423" t="s">
        <v>1280</v>
      </c>
      <c r="O1423" t="s">
        <v>25</v>
      </c>
      <c r="P1423" t="s">
        <v>88</v>
      </c>
      <c r="Q1423" t="s">
        <v>26</v>
      </c>
      <c r="R1423" t="s">
        <v>2636</v>
      </c>
      <c r="S1423">
        <v>25000000</v>
      </c>
      <c r="T1423">
        <v>1200000000</v>
      </c>
      <c r="U1423">
        <v>1200000000</v>
      </c>
    </row>
    <row r="1424" spans="1:21" x14ac:dyDescent="0.25">
      <c r="A1424">
        <v>201371</v>
      </c>
      <c r="B1424" t="s">
        <v>5732</v>
      </c>
      <c r="C1424" t="s">
        <v>5744</v>
      </c>
      <c r="D1424" t="s">
        <v>1286</v>
      </c>
      <c r="E1424">
        <v>-20</v>
      </c>
      <c r="F1424" s="105">
        <v>3070398.3</v>
      </c>
      <c r="G1424" t="s">
        <v>284</v>
      </c>
      <c r="H1424">
        <v>19189.990000000002</v>
      </c>
      <c r="I1424">
        <v>3264935.6</v>
      </c>
      <c r="J1424" s="711">
        <v>43014.766459027778</v>
      </c>
      <c r="K1424" s="711">
        <v>43180</v>
      </c>
      <c r="L1424" t="s">
        <v>5745</v>
      </c>
      <c r="M1424" t="s">
        <v>1280</v>
      </c>
      <c r="N1424" t="s">
        <v>5746</v>
      </c>
      <c r="O1424" t="s">
        <v>28</v>
      </c>
      <c r="P1424" t="s">
        <v>108</v>
      </c>
      <c r="Q1424" t="s">
        <v>26</v>
      </c>
      <c r="R1424" t="s">
        <v>2636</v>
      </c>
      <c r="S1424">
        <v>3685000</v>
      </c>
      <c r="T1424">
        <v>92125000</v>
      </c>
      <c r="U1424">
        <v>76759957.5</v>
      </c>
    </row>
    <row r="1425" spans="1:21" x14ac:dyDescent="0.25">
      <c r="A1425">
        <v>201372</v>
      </c>
      <c r="B1425" t="s">
        <v>3427</v>
      </c>
      <c r="C1425" t="s">
        <v>3435</v>
      </c>
      <c r="D1425" t="s">
        <v>1282</v>
      </c>
      <c r="E1425">
        <v>-9</v>
      </c>
      <c r="F1425" s="105">
        <v>8000000</v>
      </c>
      <c r="G1425" t="s">
        <v>1447</v>
      </c>
      <c r="H1425">
        <v>213333.33</v>
      </c>
      <c r="I1425">
        <v>986327.55</v>
      </c>
      <c r="J1425" s="711">
        <v>43018.567411145836</v>
      </c>
      <c r="K1425" s="711">
        <v>43322</v>
      </c>
      <c r="L1425" t="s">
        <v>3436</v>
      </c>
      <c r="M1425" t="s">
        <v>1280</v>
      </c>
      <c r="N1425" t="s">
        <v>3437</v>
      </c>
      <c r="O1425" t="s">
        <v>25</v>
      </c>
      <c r="P1425" t="s">
        <v>88</v>
      </c>
      <c r="Q1425" t="s">
        <v>285</v>
      </c>
      <c r="R1425" t="s">
        <v>2856</v>
      </c>
      <c r="S1425">
        <v>8000000</v>
      </c>
      <c r="T1425">
        <v>384000000</v>
      </c>
      <c r="U1425">
        <v>384000000</v>
      </c>
    </row>
    <row r="1426" spans="1:21" x14ac:dyDescent="0.25">
      <c r="A1426">
        <v>201373</v>
      </c>
      <c r="B1426" t="s">
        <v>5749</v>
      </c>
      <c r="C1426" t="s">
        <v>5756</v>
      </c>
      <c r="D1426" t="s">
        <v>1279</v>
      </c>
      <c r="E1426">
        <v>-9</v>
      </c>
      <c r="F1426" s="105">
        <v>1500000</v>
      </c>
      <c r="G1426" t="s">
        <v>3074</v>
      </c>
      <c r="H1426">
        <v>45000</v>
      </c>
      <c r="I1426">
        <v>227414.48</v>
      </c>
      <c r="J1426" s="711">
        <v>43018.709052118058</v>
      </c>
      <c r="K1426" s="711">
        <v>43261</v>
      </c>
      <c r="L1426" t="s">
        <v>5757</v>
      </c>
      <c r="M1426" t="s">
        <v>1280</v>
      </c>
      <c r="N1426" t="s">
        <v>5758</v>
      </c>
      <c r="O1426" t="s">
        <v>25</v>
      </c>
      <c r="P1426" t="s">
        <v>88</v>
      </c>
      <c r="Q1426" t="s">
        <v>285</v>
      </c>
      <c r="R1426" t="s">
        <v>2636</v>
      </c>
      <c r="S1426">
        <v>1500000</v>
      </c>
      <c r="T1426">
        <v>81000000</v>
      </c>
      <c r="U1426">
        <v>81000000</v>
      </c>
    </row>
    <row r="1427" spans="1:21" x14ac:dyDescent="0.25">
      <c r="A1427">
        <v>201374</v>
      </c>
      <c r="B1427" t="s">
        <v>5748</v>
      </c>
      <c r="C1427" t="s">
        <v>5759</v>
      </c>
      <c r="D1427" t="s">
        <v>1282</v>
      </c>
      <c r="E1427">
        <v>-9</v>
      </c>
      <c r="F1427" s="105">
        <v>4000000</v>
      </c>
      <c r="G1427" t="s">
        <v>4686</v>
      </c>
      <c r="H1427">
        <v>120000</v>
      </c>
      <c r="I1427">
        <v>775513.55</v>
      </c>
      <c r="J1427" s="711">
        <v>43018.674467094905</v>
      </c>
      <c r="K1427" s="711">
        <v>43200</v>
      </c>
      <c r="L1427" t="s">
        <v>5760</v>
      </c>
      <c r="M1427" t="s">
        <v>1280</v>
      </c>
      <c r="N1427" t="s">
        <v>5761</v>
      </c>
      <c r="O1427" t="s">
        <v>36</v>
      </c>
      <c r="P1427" t="s">
        <v>97</v>
      </c>
      <c r="Q1427" t="s">
        <v>1811</v>
      </c>
      <c r="R1427" t="s">
        <v>2636</v>
      </c>
      <c r="S1427">
        <v>4000000</v>
      </c>
      <c r="T1427">
        <v>216000000</v>
      </c>
      <c r="U1427">
        <v>216000000</v>
      </c>
    </row>
    <row r="1428" spans="1:21" x14ac:dyDescent="0.25">
      <c r="A1428">
        <v>201375</v>
      </c>
      <c r="B1428" t="s">
        <v>5750</v>
      </c>
      <c r="C1428" t="s">
        <v>5762</v>
      </c>
      <c r="D1428" t="s">
        <v>1279</v>
      </c>
      <c r="E1428">
        <v>-9</v>
      </c>
      <c r="F1428" s="105">
        <v>2200000</v>
      </c>
      <c r="G1428" t="s">
        <v>4686</v>
      </c>
      <c r="H1428">
        <v>66000</v>
      </c>
      <c r="I1428">
        <v>278033.40999999997</v>
      </c>
      <c r="J1428" s="711">
        <v>43018.682332789351</v>
      </c>
      <c r="K1428" s="711">
        <v>43322</v>
      </c>
      <c r="L1428" t="s">
        <v>5763</v>
      </c>
      <c r="M1428" t="s">
        <v>1280</v>
      </c>
      <c r="N1428" t="s">
        <v>1280</v>
      </c>
      <c r="O1428" t="s">
        <v>36</v>
      </c>
      <c r="P1428" t="s">
        <v>97</v>
      </c>
      <c r="Q1428" t="s">
        <v>98</v>
      </c>
      <c r="R1428" t="s">
        <v>2636</v>
      </c>
      <c r="S1428">
        <v>2200000</v>
      </c>
      <c r="T1428">
        <v>118800000</v>
      </c>
      <c r="U1428">
        <v>118800000</v>
      </c>
    </row>
    <row r="1429" spans="1:21" x14ac:dyDescent="0.25">
      <c r="A1429">
        <v>201376</v>
      </c>
      <c r="B1429" t="s">
        <v>3255</v>
      </c>
      <c r="C1429" t="s">
        <v>3259</v>
      </c>
      <c r="D1429" t="s">
        <v>1282</v>
      </c>
      <c r="E1429">
        <v>-11</v>
      </c>
      <c r="F1429" s="105">
        <v>5000000</v>
      </c>
      <c r="G1429" t="s">
        <v>2557</v>
      </c>
      <c r="H1429">
        <v>120000</v>
      </c>
      <c r="I1429">
        <v>532760.86</v>
      </c>
      <c r="J1429" s="711">
        <v>43020.638863460648</v>
      </c>
      <c r="K1429" s="711">
        <v>43385</v>
      </c>
      <c r="L1429" t="s">
        <v>3260</v>
      </c>
      <c r="M1429" t="s">
        <v>1280</v>
      </c>
      <c r="N1429" t="s">
        <v>1280</v>
      </c>
      <c r="O1429" t="s">
        <v>45</v>
      </c>
      <c r="P1429" t="s">
        <v>45</v>
      </c>
      <c r="Q1429" t="s">
        <v>1658</v>
      </c>
      <c r="R1429" t="s">
        <v>2856</v>
      </c>
      <c r="S1429">
        <v>5000000</v>
      </c>
      <c r="T1429">
        <v>240000000</v>
      </c>
      <c r="U1429">
        <v>240000000</v>
      </c>
    </row>
    <row r="1430" spans="1:21" x14ac:dyDescent="0.25">
      <c r="A1430">
        <v>201377</v>
      </c>
      <c r="B1430" t="s">
        <v>5775</v>
      </c>
      <c r="C1430" t="s">
        <v>5787</v>
      </c>
      <c r="D1430" t="s">
        <v>1279</v>
      </c>
      <c r="E1430">
        <v>-11</v>
      </c>
      <c r="F1430" s="105">
        <v>1000000</v>
      </c>
      <c r="G1430" t="s">
        <v>2855</v>
      </c>
      <c r="H1430">
        <v>27000</v>
      </c>
      <c r="I1430">
        <v>126378.82</v>
      </c>
      <c r="J1430" s="711">
        <v>43020.46736840278</v>
      </c>
      <c r="K1430" s="711">
        <v>43324</v>
      </c>
      <c r="L1430" t="s">
        <v>5788</v>
      </c>
      <c r="M1430" t="s">
        <v>1280</v>
      </c>
      <c r="N1430" t="s">
        <v>1280</v>
      </c>
      <c r="O1430" t="s">
        <v>25</v>
      </c>
      <c r="P1430" t="s">
        <v>94</v>
      </c>
      <c r="Q1430" t="s">
        <v>95</v>
      </c>
      <c r="R1430" t="s">
        <v>2636</v>
      </c>
      <c r="S1430">
        <v>1000000</v>
      </c>
      <c r="T1430">
        <v>54000000</v>
      </c>
      <c r="U1430">
        <v>54000000</v>
      </c>
    </row>
    <row r="1431" spans="1:21" x14ac:dyDescent="0.25">
      <c r="A1431">
        <v>201378</v>
      </c>
      <c r="B1431" t="s">
        <v>5779</v>
      </c>
      <c r="C1431" t="s">
        <v>5789</v>
      </c>
      <c r="D1431" t="s">
        <v>1279</v>
      </c>
      <c r="E1431">
        <v>-11</v>
      </c>
      <c r="F1431" s="105">
        <v>4000000</v>
      </c>
      <c r="G1431" t="s">
        <v>4686</v>
      </c>
      <c r="H1431">
        <v>108000</v>
      </c>
      <c r="I1431">
        <v>505515.29</v>
      </c>
      <c r="J1431" s="711">
        <v>43020.595618136576</v>
      </c>
      <c r="K1431" s="711">
        <v>43324</v>
      </c>
      <c r="L1431" t="s">
        <v>5790</v>
      </c>
      <c r="M1431" t="s">
        <v>1280</v>
      </c>
      <c r="N1431" t="s">
        <v>1280</v>
      </c>
      <c r="O1431" t="s">
        <v>25</v>
      </c>
      <c r="P1431" t="s">
        <v>88</v>
      </c>
      <c r="Q1431" t="s">
        <v>285</v>
      </c>
      <c r="R1431" t="s">
        <v>2636</v>
      </c>
      <c r="S1431">
        <v>4000000</v>
      </c>
      <c r="T1431">
        <v>216000000</v>
      </c>
      <c r="U1431">
        <v>216000000</v>
      </c>
    </row>
    <row r="1432" spans="1:21" x14ac:dyDescent="0.25">
      <c r="A1432">
        <v>201379</v>
      </c>
      <c r="B1432" t="s">
        <v>5780</v>
      </c>
      <c r="C1432" t="s">
        <v>5791</v>
      </c>
      <c r="D1432" t="s">
        <v>1282</v>
      </c>
      <c r="E1432">
        <v>-11</v>
      </c>
      <c r="F1432" s="105">
        <v>5000000</v>
      </c>
      <c r="G1432" t="s">
        <v>963</v>
      </c>
      <c r="H1432">
        <v>135000</v>
      </c>
      <c r="I1432">
        <v>631894.11</v>
      </c>
      <c r="J1432" s="711">
        <v>43020.558276006945</v>
      </c>
      <c r="K1432" s="711">
        <v>43324</v>
      </c>
      <c r="L1432" t="s">
        <v>5792</v>
      </c>
      <c r="M1432" t="s">
        <v>5793</v>
      </c>
      <c r="N1432" t="s">
        <v>1280</v>
      </c>
      <c r="O1432" t="s">
        <v>25</v>
      </c>
      <c r="P1432" t="s">
        <v>88</v>
      </c>
      <c r="Q1432" t="s">
        <v>285</v>
      </c>
      <c r="R1432" t="s">
        <v>2636</v>
      </c>
      <c r="S1432">
        <v>5000000</v>
      </c>
      <c r="T1432">
        <v>270000000</v>
      </c>
      <c r="U1432">
        <v>270000000</v>
      </c>
    </row>
    <row r="1433" spans="1:21" x14ac:dyDescent="0.25">
      <c r="A1433">
        <v>201380</v>
      </c>
      <c r="B1433" t="s">
        <v>5777</v>
      </c>
      <c r="C1433" t="s">
        <v>5794</v>
      </c>
      <c r="D1433" t="s">
        <v>1282</v>
      </c>
      <c r="E1433">
        <v>-11</v>
      </c>
      <c r="F1433" s="105">
        <v>3000000</v>
      </c>
      <c r="G1433" t="s">
        <v>2034</v>
      </c>
      <c r="H1433">
        <v>81000</v>
      </c>
      <c r="I1433">
        <v>379136.47</v>
      </c>
      <c r="J1433" s="711">
        <v>43020.582957754632</v>
      </c>
      <c r="K1433" s="711">
        <v>43324</v>
      </c>
      <c r="L1433" t="s">
        <v>5795</v>
      </c>
      <c r="M1433" t="s">
        <v>1280</v>
      </c>
      <c r="N1433" t="s">
        <v>1280</v>
      </c>
      <c r="O1433" t="s">
        <v>25</v>
      </c>
      <c r="P1433" t="s">
        <v>88</v>
      </c>
      <c r="Q1433" t="s">
        <v>285</v>
      </c>
      <c r="R1433" t="s">
        <v>2636</v>
      </c>
      <c r="S1433">
        <v>3000000</v>
      </c>
      <c r="T1433">
        <v>162000000</v>
      </c>
      <c r="U1433">
        <v>162000000</v>
      </c>
    </row>
    <row r="1434" spans="1:21" x14ac:dyDescent="0.25">
      <c r="A1434">
        <v>201381</v>
      </c>
      <c r="B1434" t="s">
        <v>5778</v>
      </c>
      <c r="C1434" t="s">
        <v>5796</v>
      </c>
      <c r="D1434" t="s">
        <v>1279</v>
      </c>
      <c r="E1434">
        <v>-11</v>
      </c>
      <c r="F1434" s="105">
        <v>3500000</v>
      </c>
      <c r="G1434" t="s">
        <v>2494</v>
      </c>
      <c r="H1434">
        <v>84000</v>
      </c>
      <c r="I1434">
        <v>372932.6</v>
      </c>
      <c r="J1434" s="711">
        <v>43020.633114351855</v>
      </c>
      <c r="K1434" s="711">
        <v>43385</v>
      </c>
      <c r="L1434" t="s">
        <v>5797</v>
      </c>
      <c r="M1434" t="s">
        <v>5798</v>
      </c>
      <c r="N1434" t="s">
        <v>1280</v>
      </c>
      <c r="O1434" t="s">
        <v>25</v>
      </c>
      <c r="P1434" t="s">
        <v>88</v>
      </c>
      <c r="Q1434" t="s">
        <v>285</v>
      </c>
      <c r="R1434" t="s">
        <v>2856</v>
      </c>
      <c r="S1434">
        <v>3500000</v>
      </c>
      <c r="T1434">
        <v>168000000</v>
      </c>
      <c r="U1434">
        <v>168000000</v>
      </c>
    </row>
    <row r="1435" spans="1:21" x14ac:dyDescent="0.25">
      <c r="A1435">
        <v>201382</v>
      </c>
      <c r="B1435" t="s">
        <v>5781</v>
      </c>
      <c r="C1435" t="s">
        <v>5799</v>
      </c>
      <c r="D1435" t="s">
        <v>1286</v>
      </c>
      <c r="E1435">
        <v>-20</v>
      </c>
      <c r="F1435" s="105">
        <v>630035.41</v>
      </c>
      <c r="G1435" t="s">
        <v>284</v>
      </c>
      <c r="H1435">
        <v>3937.72</v>
      </c>
      <c r="I1435">
        <v>649791.68000000005</v>
      </c>
      <c r="J1435" s="711">
        <v>43020.70151053241</v>
      </c>
      <c r="K1435" s="711">
        <v>43090</v>
      </c>
      <c r="L1435" t="s">
        <v>5800</v>
      </c>
      <c r="M1435" t="s">
        <v>1280</v>
      </c>
      <c r="N1435" t="s">
        <v>5801</v>
      </c>
      <c r="O1435" t="s">
        <v>28</v>
      </c>
      <c r="P1435" t="s">
        <v>108</v>
      </c>
      <c r="Q1435" t="s">
        <v>26</v>
      </c>
      <c r="R1435" t="s">
        <v>2636</v>
      </c>
      <c r="S1435">
        <v>949000</v>
      </c>
      <c r="T1435">
        <v>23725000</v>
      </c>
      <c r="U1435">
        <v>15750885.25</v>
      </c>
    </row>
    <row r="1436" spans="1:21" x14ac:dyDescent="0.25">
      <c r="A1436">
        <v>201383</v>
      </c>
      <c r="B1436" t="s">
        <v>1953</v>
      </c>
      <c r="C1436" t="s">
        <v>2026</v>
      </c>
      <c r="D1436" t="s">
        <v>1282</v>
      </c>
      <c r="E1436">
        <v>-13</v>
      </c>
      <c r="F1436" s="105">
        <v>9000000</v>
      </c>
      <c r="G1436" t="s">
        <v>1925</v>
      </c>
      <c r="H1436">
        <v>192000</v>
      </c>
      <c r="I1436">
        <v>958969.55</v>
      </c>
      <c r="J1436" s="711">
        <v>43022.475865972221</v>
      </c>
      <c r="K1436" s="711">
        <v>43387</v>
      </c>
      <c r="L1436" t="s">
        <v>2027</v>
      </c>
      <c r="M1436" t="s">
        <v>1280</v>
      </c>
      <c r="N1436" t="s">
        <v>1280</v>
      </c>
      <c r="O1436" t="s">
        <v>25</v>
      </c>
      <c r="P1436" t="s">
        <v>88</v>
      </c>
      <c r="Q1436" t="s">
        <v>285</v>
      </c>
      <c r="R1436" t="s">
        <v>2856</v>
      </c>
      <c r="S1436">
        <v>9000000</v>
      </c>
      <c r="T1436">
        <v>432000000</v>
      </c>
      <c r="U1436">
        <v>432000000</v>
      </c>
    </row>
    <row r="1437" spans="1:21" x14ac:dyDescent="0.25">
      <c r="A1437">
        <v>201384</v>
      </c>
      <c r="B1437" t="s">
        <v>5802</v>
      </c>
      <c r="C1437" t="s">
        <v>5815</v>
      </c>
      <c r="D1437" t="s">
        <v>1279</v>
      </c>
      <c r="E1437">
        <v>-12</v>
      </c>
      <c r="F1437" s="105">
        <v>1500000</v>
      </c>
      <c r="G1437" t="s">
        <v>2855</v>
      </c>
      <c r="H1437">
        <v>38250</v>
      </c>
      <c r="I1437">
        <v>189568.23</v>
      </c>
      <c r="J1437" s="711">
        <v>43021.516642974537</v>
      </c>
      <c r="K1437" s="711">
        <v>43325</v>
      </c>
      <c r="L1437" t="s">
        <v>5816</v>
      </c>
      <c r="M1437" t="s">
        <v>1280</v>
      </c>
      <c r="N1437" t="s">
        <v>1280</v>
      </c>
      <c r="O1437" t="s">
        <v>25</v>
      </c>
      <c r="P1437" t="s">
        <v>290</v>
      </c>
      <c r="Q1437" t="s">
        <v>26</v>
      </c>
      <c r="R1437" t="s">
        <v>2636</v>
      </c>
      <c r="S1437">
        <v>1500000</v>
      </c>
      <c r="T1437">
        <v>81000000</v>
      </c>
      <c r="U1437">
        <v>81000000</v>
      </c>
    </row>
    <row r="1438" spans="1:21" x14ac:dyDescent="0.25">
      <c r="A1438">
        <v>201385</v>
      </c>
      <c r="B1438" t="s">
        <v>5806</v>
      </c>
      <c r="C1438" t="s">
        <v>5817</v>
      </c>
      <c r="D1438" t="s">
        <v>1282</v>
      </c>
      <c r="E1438">
        <v>-12</v>
      </c>
      <c r="F1438" s="105">
        <v>1000000</v>
      </c>
      <c r="G1438" t="s">
        <v>4919</v>
      </c>
      <c r="H1438">
        <v>25500</v>
      </c>
      <c r="I1438">
        <v>169701.47</v>
      </c>
      <c r="J1438" s="711">
        <v>43021.548038657405</v>
      </c>
      <c r="K1438" s="711">
        <v>43233</v>
      </c>
      <c r="L1438" t="s">
        <v>5818</v>
      </c>
      <c r="M1438" t="s">
        <v>1280</v>
      </c>
      <c r="N1438" t="s">
        <v>5819</v>
      </c>
      <c r="O1438" t="s">
        <v>25</v>
      </c>
      <c r="P1438" t="s">
        <v>88</v>
      </c>
      <c r="Q1438" t="s">
        <v>285</v>
      </c>
      <c r="R1438" t="s">
        <v>2636</v>
      </c>
      <c r="S1438">
        <v>1000000</v>
      </c>
      <c r="T1438">
        <v>54000000</v>
      </c>
      <c r="U1438">
        <v>54000000</v>
      </c>
    </row>
    <row r="1439" spans="1:21" x14ac:dyDescent="0.25">
      <c r="A1439">
        <v>201386</v>
      </c>
      <c r="B1439" t="s">
        <v>4011</v>
      </c>
      <c r="C1439" t="s">
        <v>4030</v>
      </c>
      <c r="D1439" t="s">
        <v>1282</v>
      </c>
      <c r="E1439">
        <v>-12</v>
      </c>
      <c r="F1439" s="105">
        <v>10000000</v>
      </c>
      <c r="G1439" t="s">
        <v>1447</v>
      </c>
      <c r="H1439">
        <v>226666.67</v>
      </c>
      <c r="I1439">
        <v>1065521.73</v>
      </c>
      <c r="J1439" s="711">
        <v>43021.683898877316</v>
      </c>
      <c r="K1439" s="711">
        <v>43386</v>
      </c>
      <c r="L1439" t="s">
        <v>4031</v>
      </c>
      <c r="M1439" t="s">
        <v>1280</v>
      </c>
      <c r="N1439" t="s">
        <v>1280</v>
      </c>
      <c r="O1439" t="s">
        <v>25</v>
      </c>
      <c r="P1439" t="s">
        <v>88</v>
      </c>
      <c r="Q1439" t="s">
        <v>285</v>
      </c>
      <c r="R1439" t="s">
        <v>2856</v>
      </c>
      <c r="S1439">
        <v>10000000</v>
      </c>
      <c r="T1439">
        <v>480000000</v>
      </c>
      <c r="U1439">
        <v>480000000</v>
      </c>
    </row>
    <row r="1440" spans="1:21" x14ac:dyDescent="0.25">
      <c r="A1440">
        <v>201387</v>
      </c>
      <c r="B1440" t="s">
        <v>3466</v>
      </c>
      <c r="C1440" t="s">
        <v>3474</v>
      </c>
      <c r="D1440" t="s">
        <v>1279</v>
      </c>
      <c r="E1440">
        <v>-12</v>
      </c>
      <c r="F1440" s="105">
        <v>2000000</v>
      </c>
      <c r="G1440" t="s">
        <v>963</v>
      </c>
      <c r="H1440">
        <v>45333.33</v>
      </c>
      <c r="I1440">
        <v>381523.81</v>
      </c>
      <c r="J1440" s="711">
        <v>43021.726803240737</v>
      </c>
      <c r="K1440" s="711">
        <v>43203</v>
      </c>
      <c r="L1440" t="s">
        <v>3475</v>
      </c>
      <c r="M1440" t="s">
        <v>1280</v>
      </c>
      <c r="N1440" t="s">
        <v>3476</v>
      </c>
      <c r="O1440" t="s">
        <v>44</v>
      </c>
      <c r="P1440" t="s">
        <v>75</v>
      </c>
      <c r="Q1440" t="s">
        <v>1442</v>
      </c>
      <c r="R1440" t="s">
        <v>2856</v>
      </c>
      <c r="S1440">
        <v>2000000</v>
      </c>
      <c r="T1440">
        <v>96000000</v>
      </c>
      <c r="U1440">
        <v>96000000</v>
      </c>
    </row>
    <row r="1441" spans="1:21" x14ac:dyDescent="0.25">
      <c r="A1441">
        <v>201388</v>
      </c>
      <c r="B1441" t="s">
        <v>5821</v>
      </c>
      <c r="C1441" t="s">
        <v>5825</v>
      </c>
      <c r="D1441" t="s">
        <v>1281</v>
      </c>
      <c r="E1441">
        <v>-21</v>
      </c>
      <c r="F1441" s="105">
        <v>20000000</v>
      </c>
      <c r="G1441" t="s">
        <v>4919</v>
      </c>
      <c r="H1441">
        <v>373333.33</v>
      </c>
      <c r="I1441">
        <v>1798822.01</v>
      </c>
      <c r="J1441" s="711">
        <v>43024.580717048608</v>
      </c>
      <c r="K1441" s="711">
        <v>43487</v>
      </c>
      <c r="L1441" t="s">
        <v>5826</v>
      </c>
      <c r="M1441" t="s">
        <v>1280</v>
      </c>
      <c r="N1441" t="s">
        <v>5827</v>
      </c>
      <c r="O1441" t="s">
        <v>25</v>
      </c>
      <c r="P1441" t="s">
        <v>88</v>
      </c>
      <c r="Q1441" t="s">
        <v>285</v>
      </c>
      <c r="R1441" t="s">
        <v>2636</v>
      </c>
      <c r="S1441">
        <v>20000000</v>
      </c>
      <c r="T1441">
        <v>960000000</v>
      </c>
      <c r="U1441">
        <v>960000000</v>
      </c>
    </row>
    <row r="1442" spans="1:21" x14ac:dyDescent="0.25">
      <c r="A1442">
        <v>201389</v>
      </c>
      <c r="B1442" t="s">
        <v>5822</v>
      </c>
      <c r="C1442" t="s">
        <v>5828</v>
      </c>
      <c r="D1442" t="s">
        <v>1286</v>
      </c>
      <c r="E1442">
        <v>-20</v>
      </c>
      <c r="F1442" s="105">
        <v>1270000</v>
      </c>
      <c r="G1442" t="s">
        <v>284</v>
      </c>
      <c r="H1442">
        <v>12347.22</v>
      </c>
      <c r="I1442">
        <v>271011.86</v>
      </c>
      <c r="J1442" s="711">
        <v>43024.703599652777</v>
      </c>
      <c r="K1442" s="711">
        <v>43180</v>
      </c>
      <c r="L1442" t="s">
        <v>5829</v>
      </c>
      <c r="M1442" t="s">
        <v>1280</v>
      </c>
      <c r="N1442" t="s">
        <v>1280</v>
      </c>
      <c r="O1442" t="s">
        <v>28</v>
      </c>
      <c r="P1442" t="s">
        <v>26</v>
      </c>
      <c r="Q1442" t="s">
        <v>26</v>
      </c>
      <c r="R1442" t="s">
        <v>2636</v>
      </c>
      <c r="S1442">
        <v>1270000</v>
      </c>
      <c r="T1442">
        <v>31750000</v>
      </c>
      <c r="U1442">
        <v>31750000</v>
      </c>
    </row>
    <row r="1443" spans="1:21" x14ac:dyDescent="0.25">
      <c r="A1443">
        <v>201390</v>
      </c>
      <c r="B1443" t="s">
        <v>5848</v>
      </c>
      <c r="C1443" t="s">
        <v>5855</v>
      </c>
      <c r="D1443" t="s">
        <v>1281</v>
      </c>
      <c r="E1443">
        <v>-18</v>
      </c>
      <c r="F1443" s="105">
        <v>30000000</v>
      </c>
      <c r="G1443" t="s">
        <v>4683</v>
      </c>
      <c r="H1443">
        <v>440000</v>
      </c>
      <c r="I1443">
        <v>1967604.94</v>
      </c>
      <c r="J1443" s="711">
        <v>43027.492221956018</v>
      </c>
      <c r="K1443" s="711">
        <v>43757</v>
      </c>
      <c r="L1443" t="s">
        <v>5856</v>
      </c>
      <c r="M1443" t="s">
        <v>1280</v>
      </c>
      <c r="N1443" t="s">
        <v>1280</v>
      </c>
      <c r="O1443" t="s">
        <v>25</v>
      </c>
      <c r="P1443" t="s">
        <v>88</v>
      </c>
      <c r="Q1443" t="s">
        <v>285</v>
      </c>
      <c r="R1443" t="s">
        <v>2636</v>
      </c>
      <c r="S1443">
        <v>30000000</v>
      </c>
      <c r="T1443">
        <v>1440000000</v>
      </c>
      <c r="U1443">
        <v>1440000000</v>
      </c>
    </row>
    <row r="1444" spans="1:21" x14ac:dyDescent="0.25">
      <c r="A1444">
        <v>201391</v>
      </c>
      <c r="B1444" t="s">
        <v>4630</v>
      </c>
      <c r="C1444" t="s">
        <v>4639</v>
      </c>
      <c r="D1444" t="s">
        <v>1279</v>
      </c>
      <c r="E1444">
        <v>-16</v>
      </c>
      <c r="F1444" s="105">
        <v>2000000</v>
      </c>
      <c r="G1444" t="s">
        <v>1447</v>
      </c>
      <c r="H1444">
        <v>34666.67</v>
      </c>
      <c r="I1444">
        <v>246581.89</v>
      </c>
      <c r="J1444" s="711">
        <v>43025.653137349538</v>
      </c>
      <c r="K1444" s="711">
        <v>43329</v>
      </c>
      <c r="L1444" t="s">
        <v>4640</v>
      </c>
      <c r="M1444" t="s">
        <v>1280</v>
      </c>
      <c r="N1444" t="s">
        <v>1280</v>
      </c>
      <c r="O1444" t="s">
        <v>25</v>
      </c>
      <c r="P1444" t="s">
        <v>88</v>
      </c>
      <c r="Q1444" t="s">
        <v>285</v>
      </c>
      <c r="R1444" t="s">
        <v>2856</v>
      </c>
      <c r="S1444">
        <v>2000000</v>
      </c>
      <c r="T1444">
        <v>96000000</v>
      </c>
      <c r="U1444">
        <v>96000000</v>
      </c>
    </row>
    <row r="1445" spans="1:21" x14ac:dyDescent="0.25">
      <c r="A1445">
        <v>201392</v>
      </c>
      <c r="B1445" t="s">
        <v>5831</v>
      </c>
      <c r="C1445" t="s">
        <v>5839</v>
      </c>
      <c r="D1445" t="s">
        <v>1282</v>
      </c>
      <c r="E1445">
        <v>-16</v>
      </c>
      <c r="F1445" s="105">
        <v>9000000</v>
      </c>
      <c r="G1445" t="s">
        <v>5385</v>
      </c>
      <c r="H1445">
        <v>175500</v>
      </c>
      <c r="I1445">
        <v>986995.7</v>
      </c>
      <c r="J1445" s="711">
        <v>43025.641603854165</v>
      </c>
      <c r="K1445" s="711">
        <v>43390</v>
      </c>
      <c r="L1445" t="s">
        <v>5840</v>
      </c>
      <c r="M1445" t="s">
        <v>5841</v>
      </c>
      <c r="N1445" t="s">
        <v>1280</v>
      </c>
      <c r="O1445" t="s">
        <v>25</v>
      </c>
      <c r="P1445" t="s">
        <v>88</v>
      </c>
      <c r="Q1445" t="s">
        <v>285</v>
      </c>
      <c r="R1445" t="s">
        <v>2636</v>
      </c>
      <c r="S1445">
        <v>9000000</v>
      </c>
      <c r="T1445">
        <v>486000000</v>
      </c>
      <c r="U1445">
        <v>486000000</v>
      </c>
    </row>
    <row r="1446" spans="1:21" x14ac:dyDescent="0.25">
      <c r="A1446">
        <v>201393</v>
      </c>
      <c r="B1446" t="s">
        <v>5543</v>
      </c>
      <c r="C1446" t="s">
        <v>1547</v>
      </c>
      <c r="D1446" t="s">
        <v>1285</v>
      </c>
      <c r="E1446">
        <v>-20</v>
      </c>
      <c r="F1446" s="105">
        <v>18700000</v>
      </c>
      <c r="G1446" t="s">
        <v>284</v>
      </c>
      <c r="H1446">
        <v>148561.10999999999</v>
      </c>
      <c r="I1446">
        <v>715875.77</v>
      </c>
      <c r="J1446" s="711">
        <v>43025.633398993057</v>
      </c>
      <c r="K1446" s="711">
        <v>44125</v>
      </c>
      <c r="L1446" t="s">
        <v>1548</v>
      </c>
      <c r="M1446" t="s">
        <v>1280</v>
      </c>
      <c r="N1446" t="s">
        <v>1280</v>
      </c>
      <c r="O1446" t="s">
        <v>43</v>
      </c>
      <c r="P1446" t="s">
        <v>338</v>
      </c>
      <c r="Q1446" t="s">
        <v>339</v>
      </c>
      <c r="R1446" t="s">
        <v>2636</v>
      </c>
      <c r="S1446">
        <v>18700000</v>
      </c>
      <c r="T1446">
        <v>411400000</v>
      </c>
      <c r="U1446">
        <v>411400000</v>
      </c>
    </row>
    <row r="1447" spans="1:21" x14ac:dyDescent="0.25">
      <c r="A1447">
        <v>201394</v>
      </c>
      <c r="B1447" t="s">
        <v>4731</v>
      </c>
      <c r="C1447" t="s">
        <v>4734</v>
      </c>
      <c r="D1447" t="s">
        <v>1281</v>
      </c>
      <c r="E1447">
        <v>-17</v>
      </c>
      <c r="F1447" s="105">
        <v>28000000</v>
      </c>
      <c r="G1447" t="s">
        <v>1467</v>
      </c>
      <c r="H1447">
        <v>392000</v>
      </c>
      <c r="I1447">
        <v>2897550.58</v>
      </c>
      <c r="J1447" s="711">
        <v>43026.664325578706</v>
      </c>
      <c r="K1447" s="711">
        <v>43391</v>
      </c>
      <c r="L1447" t="s">
        <v>4735</v>
      </c>
      <c r="M1447" t="s">
        <v>1280</v>
      </c>
      <c r="N1447" t="s">
        <v>4736</v>
      </c>
      <c r="O1447" t="s">
        <v>35</v>
      </c>
      <c r="P1447" t="s">
        <v>121</v>
      </c>
      <c r="Q1447" t="s">
        <v>26</v>
      </c>
      <c r="R1447" t="s">
        <v>2856</v>
      </c>
      <c r="S1447">
        <v>28000000</v>
      </c>
      <c r="T1447">
        <v>1176000000</v>
      </c>
      <c r="U1447">
        <v>1176000000</v>
      </c>
    </row>
    <row r="1448" spans="1:21" x14ac:dyDescent="0.25">
      <c r="A1448">
        <v>201395</v>
      </c>
      <c r="B1448" t="s">
        <v>4067</v>
      </c>
      <c r="C1448" t="s">
        <v>4068</v>
      </c>
      <c r="D1448" t="s">
        <v>1282</v>
      </c>
      <c r="E1448">
        <v>-18</v>
      </c>
      <c r="F1448" s="105">
        <v>6000000</v>
      </c>
      <c r="G1448" t="s">
        <v>1039</v>
      </c>
      <c r="H1448">
        <v>88000</v>
      </c>
      <c r="I1448">
        <v>639313.04</v>
      </c>
      <c r="J1448" s="711">
        <v>43027.532977083334</v>
      </c>
      <c r="K1448" s="711">
        <v>43392</v>
      </c>
      <c r="L1448" t="s">
        <v>4069</v>
      </c>
      <c r="M1448" t="s">
        <v>1280</v>
      </c>
      <c r="N1448" t="s">
        <v>1280</v>
      </c>
      <c r="O1448" t="s">
        <v>36</v>
      </c>
      <c r="P1448" t="s">
        <v>97</v>
      </c>
      <c r="Q1448" t="s">
        <v>98</v>
      </c>
      <c r="R1448" t="s">
        <v>2856</v>
      </c>
      <c r="S1448">
        <v>6000000</v>
      </c>
      <c r="T1448">
        <v>288000000</v>
      </c>
      <c r="U1448">
        <v>288000000</v>
      </c>
    </row>
    <row r="1449" spans="1:21" x14ac:dyDescent="0.25">
      <c r="A1449">
        <v>201396</v>
      </c>
      <c r="B1449" t="s">
        <v>4309</v>
      </c>
      <c r="C1449" t="s">
        <v>4317</v>
      </c>
      <c r="D1449" t="s">
        <v>1282</v>
      </c>
      <c r="E1449">
        <v>-19</v>
      </c>
      <c r="F1449" s="105">
        <v>6000000</v>
      </c>
      <c r="G1449" t="s">
        <v>2538</v>
      </c>
      <c r="H1449">
        <v>80000</v>
      </c>
      <c r="I1449">
        <v>891166.99</v>
      </c>
      <c r="J1449" s="711">
        <v>43028.621682986108</v>
      </c>
      <c r="K1449" s="711">
        <v>43271</v>
      </c>
      <c r="L1449" t="s">
        <v>4318</v>
      </c>
      <c r="M1449" t="s">
        <v>1280</v>
      </c>
      <c r="N1449" t="s">
        <v>4319</v>
      </c>
      <c r="O1449" t="s">
        <v>25</v>
      </c>
      <c r="P1449" t="s">
        <v>88</v>
      </c>
      <c r="Q1449" t="s">
        <v>285</v>
      </c>
      <c r="R1449" t="s">
        <v>2856</v>
      </c>
      <c r="S1449">
        <v>6000000</v>
      </c>
      <c r="T1449">
        <v>288000000</v>
      </c>
      <c r="U1449">
        <v>288000000</v>
      </c>
    </row>
    <row r="1450" spans="1:21" x14ac:dyDescent="0.25">
      <c r="A1450">
        <v>201397</v>
      </c>
      <c r="B1450" t="s">
        <v>5846</v>
      </c>
      <c r="C1450" t="s">
        <v>5857</v>
      </c>
      <c r="D1450" t="s">
        <v>1279</v>
      </c>
      <c r="E1450">
        <v>-18</v>
      </c>
      <c r="F1450" s="105">
        <v>5000000</v>
      </c>
      <c r="G1450" t="s">
        <v>4683</v>
      </c>
      <c r="H1450">
        <v>82500</v>
      </c>
      <c r="I1450">
        <v>631894.11</v>
      </c>
      <c r="J1450" s="711">
        <v>43027.61984540509</v>
      </c>
      <c r="K1450" s="711">
        <v>43331</v>
      </c>
      <c r="L1450" t="s">
        <v>5858</v>
      </c>
      <c r="M1450" t="s">
        <v>1280</v>
      </c>
      <c r="N1450" t="s">
        <v>1280</v>
      </c>
      <c r="O1450" t="s">
        <v>25</v>
      </c>
      <c r="P1450" t="s">
        <v>88</v>
      </c>
      <c r="Q1450" t="s">
        <v>285</v>
      </c>
      <c r="R1450" t="s">
        <v>2636</v>
      </c>
      <c r="S1450">
        <v>5000000</v>
      </c>
      <c r="T1450">
        <v>270000000</v>
      </c>
      <c r="U1450">
        <v>270000000</v>
      </c>
    </row>
    <row r="1451" spans="1:21" x14ac:dyDescent="0.25">
      <c r="A1451">
        <v>201398</v>
      </c>
      <c r="B1451" t="s">
        <v>5849</v>
      </c>
      <c r="C1451" t="s">
        <v>5859</v>
      </c>
      <c r="D1451" t="s">
        <v>1282</v>
      </c>
      <c r="E1451">
        <v>-18</v>
      </c>
      <c r="F1451" s="105">
        <v>5000000</v>
      </c>
      <c r="G1451" t="s">
        <v>5386</v>
      </c>
      <c r="H1451">
        <v>82500</v>
      </c>
      <c r="I1451">
        <v>758048.27</v>
      </c>
      <c r="J1451" s="711">
        <v>43027.643940162037</v>
      </c>
      <c r="K1451" s="711">
        <v>43270</v>
      </c>
      <c r="L1451" t="s">
        <v>5860</v>
      </c>
      <c r="M1451" t="s">
        <v>5861</v>
      </c>
      <c r="N1451" t="s">
        <v>1280</v>
      </c>
      <c r="O1451" t="s">
        <v>25</v>
      </c>
      <c r="P1451" t="s">
        <v>88</v>
      </c>
      <c r="Q1451" t="s">
        <v>285</v>
      </c>
      <c r="R1451" t="s">
        <v>2636</v>
      </c>
      <c r="S1451">
        <v>5000000</v>
      </c>
      <c r="T1451">
        <v>270000000</v>
      </c>
      <c r="U1451">
        <v>270000000</v>
      </c>
    </row>
    <row r="1452" spans="1:21" x14ac:dyDescent="0.25">
      <c r="A1452">
        <v>201399</v>
      </c>
      <c r="B1452" t="s">
        <v>2555</v>
      </c>
      <c r="C1452" t="s">
        <v>2568</v>
      </c>
      <c r="D1452" t="s">
        <v>1282</v>
      </c>
      <c r="E1452">
        <v>-18</v>
      </c>
      <c r="F1452" s="105">
        <v>8000000</v>
      </c>
      <c r="G1452" t="s">
        <v>2855</v>
      </c>
      <c r="H1452">
        <v>117333.33</v>
      </c>
      <c r="I1452">
        <v>852417.38</v>
      </c>
      <c r="J1452" s="711">
        <v>43027.636032291666</v>
      </c>
      <c r="K1452" s="711">
        <v>43392</v>
      </c>
      <c r="L1452" t="s">
        <v>2569</v>
      </c>
      <c r="M1452" t="s">
        <v>1280</v>
      </c>
      <c r="N1452" t="s">
        <v>1280</v>
      </c>
      <c r="O1452" t="s">
        <v>25</v>
      </c>
      <c r="P1452" t="s">
        <v>94</v>
      </c>
      <c r="Q1452" t="s">
        <v>95</v>
      </c>
      <c r="R1452" t="s">
        <v>2856</v>
      </c>
      <c r="S1452">
        <v>8000000</v>
      </c>
      <c r="T1452">
        <v>384000000</v>
      </c>
      <c r="U1452">
        <v>384000000</v>
      </c>
    </row>
    <row r="1453" spans="1:21" x14ac:dyDescent="0.25">
      <c r="A1453">
        <v>201400</v>
      </c>
      <c r="B1453" t="s">
        <v>5850</v>
      </c>
      <c r="C1453" t="s">
        <v>5862</v>
      </c>
      <c r="D1453" t="s">
        <v>1282</v>
      </c>
      <c r="E1453">
        <v>-18</v>
      </c>
      <c r="F1453" s="105">
        <v>5000000</v>
      </c>
      <c r="G1453" t="s">
        <v>491</v>
      </c>
      <c r="H1453">
        <v>82500</v>
      </c>
      <c r="I1453">
        <v>631894.11</v>
      </c>
      <c r="J1453" s="711">
        <v>43027.657996145834</v>
      </c>
      <c r="K1453" s="711">
        <v>43331</v>
      </c>
      <c r="L1453" t="s">
        <v>5863</v>
      </c>
      <c r="M1453" t="s">
        <v>1280</v>
      </c>
      <c r="N1453" t="s">
        <v>1280</v>
      </c>
      <c r="O1453" t="s">
        <v>25</v>
      </c>
      <c r="P1453" t="s">
        <v>88</v>
      </c>
      <c r="Q1453" t="s">
        <v>285</v>
      </c>
      <c r="R1453" t="s">
        <v>2636</v>
      </c>
      <c r="S1453">
        <v>5000000</v>
      </c>
      <c r="T1453">
        <v>270000000</v>
      </c>
      <c r="U1453">
        <v>270000000</v>
      </c>
    </row>
    <row r="1454" spans="1:21" x14ac:dyDescent="0.25">
      <c r="A1454">
        <v>201401</v>
      </c>
      <c r="B1454" t="s">
        <v>2575</v>
      </c>
      <c r="C1454" t="s">
        <v>2579</v>
      </c>
      <c r="D1454" t="s">
        <v>1866</v>
      </c>
      <c r="E1454">
        <v>-18</v>
      </c>
      <c r="F1454" s="105">
        <v>8500000</v>
      </c>
      <c r="G1454" t="s">
        <v>1667</v>
      </c>
      <c r="H1454">
        <v>114277.78</v>
      </c>
      <c r="I1454">
        <v>888263.32</v>
      </c>
      <c r="J1454" s="711">
        <v>43027.699184224541</v>
      </c>
      <c r="K1454" s="711">
        <v>43392</v>
      </c>
      <c r="L1454" t="s">
        <v>2580</v>
      </c>
      <c r="M1454" t="s">
        <v>1280</v>
      </c>
      <c r="N1454" t="s">
        <v>1280</v>
      </c>
      <c r="O1454" t="s">
        <v>44</v>
      </c>
      <c r="P1454" t="s">
        <v>75</v>
      </c>
      <c r="Q1454" t="s">
        <v>1442</v>
      </c>
      <c r="R1454" t="s">
        <v>2856</v>
      </c>
      <c r="S1454">
        <v>8500000</v>
      </c>
      <c r="T1454">
        <v>374000000</v>
      </c>
      <c r="U1454">
        <v>374000000</v>
      </c>
    </row>
    <row r="1455" spans="1:21" x14ac:dyDescent="0.25">
      <c r="A1455">
        <v>201402</v>
      </c>
      <c r="B1455" t="s">
        <v>5851</v>
      </c>
      <c r="C1455" t="s">
        <v>5864</v>
      </c>
      <c r="D1455" t="s">
        <v>1282</v>
      </c>
      <c r="E1455">
        <v>-18</v>
      </c>
      <c r="F1455" s="105">
        <v>8500000</v>
      </c>
      <c r="G1455" t="s">
        <v>2557</v>
      </c>
      <c r="H1455">
        <v>140250</v>
      </c>
      <c r="I1455">
        <v>932162.6</v>
      </c>
      <c r="J1455" s="711">
        <v>43027.709482905091</v>
      </c>
      <c r="K1455" s="711">
        <v>43392</v>
      </c>
      <c r="L1455" t="s">
        <v>5865</v>
      </c>
      <c r="M1455" t="s">
        <v>5866</v>
      </c>
      <c r="N1455" t="s">
        <v>1280</v>
      </c>
      <c r="O1455" t="s">
        <v>25</v>
      </c>
      <c r="P1455" t="s">
        <v>88</v>
      </c>
      <c r="Q1455" t="s">
        <v>285</v>
      </c>
      <c r="R1455" t="s">
        <v>2636</v>
      </c>
      <c r="S1455">
        <v>8500000</v>
      </c>
      <c r="T1455">
        <v>459000000</v>
      </c>
      <c r="U1455">
        <v>459000000</v>
      </c>
    </row>
    <row r="1456" spans="1:21" x14ac:dyDescent="0.25">
      <c r="A1456">
        <v>201403</v>
      </c>
      <c r="B1456" t="s">
        <v>5870</v>
      </c>
      <c r="C1456" t="s">
        <v>5875</v>
      </c>
      <c r="D1456" t="s">
        <v>1282</v>
      </c>
      <c r="E1456">
        <v>-19</v>
      </c>
      <c r="F1456" s="105">
        <v>6000000</v>
      </c>
      <c r="G1456" t="s">
        <v>491</v>
      </c>
      <c r="H1456">
        <v>90000</v>
      </c>
      <c r="I1456">
        <v>657997.13</v>
      </c>
      <c r="J1456" s="711">
        <v>43028.537628506943</v>
      </c>
      <c r="K1456" s="711">
        <v>43393</v>
      </c>
      <c r="L1456" t="s">
        <v>5876</v>
      </c>
      <c r="M1456" t="s">
        <v>1280</v>
      </c>
      <c r="N1456" t="s">
        <v>1280</v>
      </c>
      <c r="O1456" t="s">
        <v>25</v>
      </c>
      <c r="P1456" t="s">
        <v>88</v>
      </c>
      <c r="Q1456" t="s">
        <v>285</v>
      </c>
      <c r="R1456" t="s">
        <v>2636</v>
      </c>
      <c r="S1456">
        <v>6000000</v>
      </c>
      <c r="T1456">
        <v>324000000</v>
      </c>
      <c r="U1456">
        <v>324000000</v>
      </c>
    </row>
    <row r="1457" spans="1:21" x14ac:dyDescent="0.25">
      <c r="A1457">
        <v>201404</v>
      </c>
      <c r="B1457" t="s">
        <v>3726</v>
      </c>
      <c r="C1457" t="s">
        <v>3732</v>
      </c>
      <c r="D1457" t="s">
        <v>1282</v>
      </c>
      <c r="E1457">
        <v>-19</v>
      </c>
      <c r="F1457" s="105">
        <v>2500000</v>
      </c>
      <c r="G1457" t="s">
        <v>2538</v>
      </c>
      <c r="H1457">
        <v>33333.33</v>
      </c>
      <c r="I1457">
        <v>308227.36</v>
      </c>
      <c r="J1457" s="711">
        <v>43028.558704976851</v>
      </c>
      <c r="K1457" s="711">
        <v>43332</v>
      </c>
      <c r="L1457" t="s">
        <v>3733</v>
      </c>
      <c r="M1457" t="s">
        <v>1280</v>
      </c>
      <c r="N1457" t="s">
        <v>3734</v>
      </c>
      <c r="O1457" t="s">
        <v>25</v>
      </c>
      <c r="P1457" t="s">
        <v>88</v>
      </c>
      <c r="Q1457" t="s">
        <v>285</v>
      </c>
      <c r="R1457" t="s">
        <v>2856</v>
      </c>
      <c r="S1457">
        <v>2500000</v>
      </c>
      <c r="T1457">
        <v>120000000</v>
      </c>
      <c r="U1457">
        <v>120000000</v>
      </c>
    </row>
    <row r="1458" spans="1:21" x14ac:dyDescent="0.25">
      <c r="A1458">
        <v>201405</v>
      </c>
      <c r="B1458" t="s">
        <v>5868</v>
      </c>
      <c r="C1458" t="s">
        <v>5877</v>
      </c>
      <c r="D1458" t="s">
        <v>1279</v>
      </c>
      <c r="E1458">
        <v>-19</v>
      </c>
      <c r="F1458" s="105">
        <v>1600000</v>
      </c>
      <c r="G1458" t="s">
        <v>1667</v>
      </c>
      <c r="H1458">
        <v>24000</v>
      </c>
      <c r="I1458">
        <v>202206.11</v>
      </c>
      <c r="J1458" s="711">
        <v>43028.582934918981</v>
      </c>
      <c r="K1458" s="711">
        <v>43332</v>
      </c>
      <c r="L1458" t="s">
        <v>5878</v>
      </c>
      <c r="M1458" t="s">
        <v>5879</v>
      </c>
      <c r="N1458" t="s">
        <v>1280</v>
      </c>
      <c r="O1458" t="s">
        <v>25</v>
      </c>
      <c r="P1458" t="s">
        <v>88</v>
      </c>
      <c r="Q1458" t="s">
        <v>285</v>
      </c>
      <c r="R1458" t="s">
        <v>2636</v>
      </c>
      <c r="S1458">
        <v>1600000</v>
      </c>
      <c r="T1458">
        <v>86400000</v>
      </c>
      <c r="U1458">
        <v>86400000</v>
      </c>
    </row>
    <row r="1459" spans="1:21" x14ac:dyDescent="0.25">
      <c r="A1459">
        <v>201406</v>
      </c>
      <c r="B1459" t="s">
        <v>5871</v>
      </c>
      <c r="C1459" t="s">
        <v>5880</v>
      </c>
      <c r="D1459" t="s">
        <v>1282</v>
      </c>
      <c r="E1459">
        <v>-19</v>
      </c>
      <c r="F1459" s="105">
        <v>4000000</v>
      </c>
      <c r="G1459" t="s">
        <v>5384</v>
      </c>
      <c r="H1459">
        <v>60000</v>
      </c>
      <c r="I1459">
        <v>606438.61</v>
      </c>
      <c r="J1459" s="711">
        <v>43028.653854745367</v>
      </c>
      <c r="K1459" s="711">
        <v>43271</v>
      </c>
      <c r="L1459" t="s">
        <v>5881</v>
      </c>
      <c r="M1459" t="s">
        <v>1280</v>
      </c>
      <c r="N1459" t="s">
        <v>1280</v>
      </c>
      <c r="O1459" t="s">
        <v>25</v>
      </c>
      <c r="P1459" t="s">
        <v>88</v>
      </c>
      <c r="Q1459" t="s">
        <v>285</v>
      </c>
      <c r="R1459" t="s">
        <v>2636</v>
      </c>
      <c r="S1459">
        <v>4000000</v>
      </c>
      <c r="T1459">
        <v>216000000</v>
      </c>
      <c r="U1459">
        <v>216000000</v>
      </c>
    </row>
    <row r="1460" spans="1:21" x14ac:dyDescent="0.25">
      <c r="A1460">
        <v>201407</v>
      </c>
      <c r="B1460" t="s">
        <v>5867</v>
      </c>
      <c r="C1460" t="s">
        <v>5882</v>
      </c>
      <c r="D1460" t="s">
        <v>1866</v>
      </c>
      <c r="E1460">
        <v>-19</v>
      </c>
      <c r="F1460" s="105">
        <v>6000000</v>
      </c>
      <c r="G1460" t="s">
        <v>1467</v>
      </c>
      <c r="H1460">
        <v>83333.33</v>
      </c>
      <c r="I1460">
        <v>745896.01</v>
      </c>
      <c r="J1460" s="711">
        <v>43028.603793946757</v>
      </c>
      <c r="K1460" s="711">
        <v>43332</v>
      </c>
      <c r="L1460" t="s">
        <v>5883</v>
      </c>
      <c r="M1460" t="s">
        <v>1280</v>
      </c>
      <c r="N1460" t="s">
        <v>1280</v>
      </c>
      <c r="O1460" t="s">
        <v>27</v>
      </c>
      <c r="P1460" t="s">
        <v>81</v>
      </c>
      <c r="Q1460" t="s">
        <v>1685</v>
      </c>
      <c r="R1460" t="s">
        <v>2636</v>
      </c>
      <c r="S1460">
        <v>6000000</v>
      </c>
      <c r="T1460">
        <v>300000000</v>
      </c>
      <c r="U1460">
        <v>300000000</v>
      </c>
    </row>
    <row r="1461" spans="1:21" x14ac:dyDescent="0.25">
      <c r="A1461">
        <v>201408</v>
      </c>
      <c r="B1461" t="s">
        <v>2270</v>
      </c>
      <c r="C1461" t="s">
        <v>2275</v>
      </c>
      <c r="D1461" t="s">
        <v>1284</v>
      </c>
      <c r="E1461">
        <v>-19</v>
      </c>
      <c r="F1461" s="105">
        <v>20000000</v>
      </c>
      <c r="G1461" t="s">
        <v>1925</v>
      </c>
      <c r="H1461">
        <v>200000</v>
      </c>
      <c r="I1461">
        <v>1454173.92</v>
      </c>
      <c r="J1461" s="711">
        <v>43028.695226076386</v>
      </c>
      <c r="K1461" s="711">
        <v>43575</v>
      </c>
      <c r="L1461" t="s">
        <v>2276</v>
      </c>
      <c r="M1461" t="s">
        <v>1280</v>
      </c>
      <c r="N1461" t="s">
        <v>2277</v>
      </c>
      <c r="O1461" t="s">
        <v>44</v>
      </c>
      <c r="P1461" t="s">
        <v>75</v>
      </c>
      <c r="Q1461" t="s">
        <v>1442</v>
      </c>
      <c r="R1461" t="s">
        <v>2856</v>
      </c>
      <c r="S1461">
        <v>20000000</v>
      </c>
      <c r="T1461">
        <v>720000000</v>
      </c>
      <c r="U1461">
        <v>720000000</v>
      </c>
    </row>
    <row r="1462" spans="1:21" x14ac:dyDescent="0.25">
      <c r="A1462">
        <v>201409</v>
      </c>
      <c r="B1462" t="s">
        <v>5872</v>
      </c>
      <c r="C1462" t="s">
        <v>5884</v>
      </c>
      <c r="D1462" t="s">
        <v>1282</v>
      </c>
      <c r="E1462">
        <v>-19</v>
      </c>
      <c r="F1462" s="105">
        <v>5000000</v>
      </c>
      <c r="G1462" t="s">
        <v>4686</v>
      </c>
      <c r="H1462">
        <v>75000</v>
      </c>
      <c r="I1462">
        <v>631894.11</v>
      </c>
      <c r="J1462" s="711">
        <v>43028.682979282406</v>
      </c>
      <c r="K1462" s="711">
        <v>43332</v>
      </c>
      <c r="L1462" t="s">
        <v>5885</v>
      </c>
      <c r="M1462" t="s">
        <v>1280</v>
      </c>
      <c r="N1462" t="s">
        <v>1280</v>
      </c>
      <c r="O1462" t="s">
        <v>44</v>
      </c>
      <c r="P1462" t="s">
        <v>75</v>
      </c>
      <c r="Q1462" t="s">
        <v>1442</v>
      </c>
      <c r="R1462" t="s">
        <v>2636</v>
      </c>
      <c r="S1462">
        <v>5000000</v>
      </c>
      <c r="T1462">
        <v>270000000</v>
      </c>
      <c r="U1462">
        <v>270000000</v>
      </c>
    </row>
    <row r="1463" spans="1:21" x14ac:dyDescent="0.25">
      <c r="A1463">
        <v>201410</v>
      </c>
      <c r="B1463" t="s">
        <v>4372</v>
      </c>
      <c r="C1463" t="s">
        <v>4386</v>
      </c>
      <c r="D1463" t="s">
        <v>1284</v>
      </c>
      <c r="E1463">
        <v>-19</v>
      </c>
      <c r="F1463" s="105">
        <v>9000000</v>
      </c>
      <c r="G1463" t="s">
        <v>2175</v>
      </c>
      <c r="H1463">
        <v>90000</v>
      </c>
      <c r="I1463">
        <v>753899.22</v>
      </c>
      <c r="J1463" s="711">
        <v>43028.716241585651</v>
      </c>
      <c r="K1463" s="711">
        <v>43485</v>
      </c>
      <c r="L1463" t="s">
        <v>4387</v>
      </c>
      <c r="M1463" t="s">
        <v>1280</v>
      </c>
      <c r="N1463" t="s">
        <v>4388</v>
      </c>
      <c r="O1463" t="s">
        <v>25</v>
      </c>
      <c r="P1463" t="s">
        <v>88</v>
      </c>
      <c r="Q1463" t="s">
        <v>285</v>
      </c>
      <c r="R1463" t="s">
        <v>2856</v>
      </c>
      <c r="S1463">
        <v>9000000</v>
      </c>
      <c r="T1463">
        <v>324000000</v>
      </c>
      <c r="U1463">
        <v>324000000</v>
      </c>
    </row>
    <row r="1464" spans="1:21" x14ac:dyDescent="0.25">
      <c r="A1464">
        <v>201411</v>
      </c>
      <c r="B1464" t="s">
        <v>5886</v>
      </c>
      <c r="C1464" t="s">
        <v>5887</v>
      </c>
      <c r="D1464" t="s">
        <v>1279</v>
      </c>
      <c r="E1464">
        <v>-20</v>
      </c>
      <c r="F1464" s="105">
        <v>3000000</v>
      </c>
      <c r="G1464" t="s">
        <v>2034</v>
      </c>
      <c r="H1464">
        <v>40500</v>
      </c>
      <c r="I1464">
        <v>328998.57</v>
      </c>
      <c r="J1464" s="711">
        <v>43029.559149537039</v>
      </c>
      <c r="K1464" s="711">
        <v>43394</v>
      </c>
      <c r="L1464" t="s">
        <v>5888</v>
      </c>
      <c r="M1464" t="s">
        <v>1280</v>
      </c>
      <c r="N1464" t="s">
        <v>1280</v>
      </c>
      <c r="O1464" t="s">
        <v>25</v>
      </c>
      <c r="P1464" t="s">
        <v>94</v>
      </c>
      <c r="Q1464" t="s">
        <v>95</v>
      </c>
      <c r="R1464" t="s">
        <v>2636</v>
      </c>
      <c r="S1464">
        <v>3000000</v>
      </c>
      <c r="T1464">
        <v>162000000</v>
      </c>
      <c r="U1464">
        <v>162000000</v>
      </c>
    </row>
    <row r="1465" spans="1:21" x14ac:dyDescent="0.25">
      <c r="A1465">
        <v>201412</v>
      </c>
      <c r="B1465" t="s">
        <v>5894</v>
      </c>
      <c r="C1465" t="s">
        <v>5909</v>
      </c>
      <c r="D1465" t="s">
        <v>1282</v>
      </c>
      <c r="E1465">
        <v>-22</v>
      </c>
      <c r="F1465" s="105">
        <v>3500000</v>
      </c>
      <c r="G1465" t="s">
        <v>5384</v>
      </c>
      <c r="H1465">
        <v>36750</v>
      </c>
      <c r="I1465">
        <v>442325.88</v>
      </c>
      <c r="J1465" s="711">
        <v>43031.60994328704</v>
      </c>
      <c r="K1465" s="711">
        <v>43335</v>
      </c>
      <c r="L1465" t="s">
        <v>5910</v>
      </c>
      <c r="M1465" t="s">
        <v>1280</v>
      </c>
      <c r="N1465" t="s">
        <v>1280</v>
      </c>
      <c r="O1465" t="s">
        <v>25</v>
      </c>
      <c r="P1465" t="s">
        <v>88</v>
      </c>
      <c r="Q1465" t="s">
        <v>285</v>
      </c>
      <c r="R1465" t="s">
        <v>2636</v>
      </c>
      <c r="S1465">
        <v>3500000</v>
      </c>
      <c r="T1465">
        <v>189000000</v>
      </c>
      <c r="U1465">
        <v>189000000</v>
      </c>
    </row>
    <row r="1466" spans="1:21" x14ac:dyDescent="0.25">
      <c r="A1466">
        <v>201413</v>
      </c>
      <c r="B1466" t="s">
        <v>5893</v>
      </c>
      <c r="C1466" t="s">
        <v>5911</v>
      </c>
      <c r="D1466" t="s">
        <v>1281</v>
      </c>
      <c r="E1466">
        <v>-22</v>
      </c>
      <c r="F1466" s="105">
        <v>17000000</v>
      </c>
      <c r="G1466" t="s">
        <v>5410</v>
      </c>
      <c r="H1466">
        <v>158666.67000000001</v>
      </c>
      <c r="I1466">
        <v>1811386.94</v>
      </c>
      <c r="J1466" s="711">
        <v>43031.470546099539</v>
      </c>
      <c r="K1466" s="711">
        <v>43396</v>
      </c>
      <c r="L1466" t="s">
        <v>5912</v>
      </c>
      <c r="M1466" t="s">
        <v>5913</v>
      </c>
      <c r="N1466" t="s">
        <v>1280</v>
      </c>
      <c r="O1466" t="s">
        <v>25</v>
      </c>
      <c r="P1466" t="s">
        <v>88</v>
      </c>
      <c r="Q1466" t="s">
        <v>285</v>
      </c>
      <c r="R1466" t="s">
        <v>2636</v>
      </c>
      <c r="S1466">
        <v>17000000</v>
      </c>
      <c r="T1466">
        <v>816000000</v>
      </c>
      <c r="U1466">
        <v>816000000</v>
      </c>
    </row>
    <row r="1467" spans="1:21" x14ac:dyDescent="0.25">
      <c r="A1467">
        <v>201415</v>
      </c>
      <c r="B1467" t="s">
        <v>4776</v>
      </c>
      <c r="C1467" t="s">
        <v>4795</v>
      </c>
      <c r="D1467" t="s">
        <v>1281</v>
      </c>
      <c r="E1467">
        <v>-22</v>
      </c>
      <c r="F1467" s="105">
        <v>28000000</v>
      </c>
      <c r="G1467" t="s">
        <v>2861</v>
      </c>
      <c r="H1467">
        <v>228666.67</v>
      </c>
      <c r="I1467">
        <v>5254709.84</v>
      </c>
      <c r="J1467" s="711">
        <v>43031.617362581019</v>
      </c>
      <c r="K1467" s="711">
        <v>43213</v>
      </c>
      <c r="L1467" t="s">
        <v>4796</v>
      </c>
      <c r="M1467" t="s">
        <v>1280</v>
      </c>
      <c r="N1467" t="s">
        <v>1280</v>
      </c>
      <c r="O1467" t="s">
        <v>45</v>
      </c>
      <c r="P1467" t="s">
        <v>45</v>
      </c>
      <c r="Q1467" t="s">
        <v>89</v>
      </c>
      <c r="R1467" t="s">
        <v>2856</v>
      </c>
      <c r="S1467">
        <v>28000000</v>
      </c>
      <c r="T1467">
        <v>1176000000</v>
      </c>
      <c r="U1467">
        <v>1176000000</v>
      </c>
    </row>
    <row r="1468" spans="1:21" x14ac:dyDescent="0.25">
      <c r="A1468">
        <v>201416</v>
      </c>
      <c r="B1468" t="s">
        <v>5895</v>
      </c>
      <c r="C1468" t="s">
        <v>5914</v>
      </c>
      <c r="D1468" t="s">
        <v>1284</v>
      </c>
      <c r="E1468">
        <v>-22</v>
      </c>
      <c r="F1468" s="105">
        <v>6000000</v>
      </c>
      <c r="G1468" t="s">
        <v>2861</v>
      </c>
      <c r="H1468">
        <v>46666.67</v>
      </c>
      <c r="I1468">
        <v>614828.9</v>
      </c>
      <c r="J1468" s="711">
        <v>43031.723029629633</v>
      </c>
      <c r="K1468" s="711">
        <v>43396</v>
      </c>
      <c r="L1468" t="s">
        <v>5915</v>
      </c>
      <c r="M1468" t="s">
        <v>1280</v>
      </c>
      <c r="N1468" t="s">
        <v>1280</v>
      </c>
      <c r="O1468" t="s">
        <v>44</v>
      </c>
      <c r="P1468" t="s">
        <v>92</v>
      </c>
      <c r="Q1468" t="s">
        <v>92</v>
      </c>
      <c r="R1468" t="s">
        <v>2856</v>
      </c>
      <c r="S1468">
        <v>6000000</v>
      </c>
      <c r="T1468">
        <v>240000000</v>
      </c>
      <c r="U1468">
        <v>240000000</v>
      </c>
    </row>
    <row r="1469" spans="1:21" x14ac:dyDescent="0.25">
      <c r="A1469">
        <v>201418</v>
      </c>
      <c r="B1469" t="s">
        <v>5919</v>
      </c>
      <c r="C1469" t="s">
        <v>5931</v>
      </c>
      <c r="D1469" t="s">
        <v>1279</v>
      </c>
      <c r="E1469">
        <v>-23</v>
      </c>
      <c r="F1469" s="105">
        <v>2000000</v>
      </c>
      <c r="G1469" t="s">
        <v>1667</v>
      </c>
      <c r="H1469">
        <v>18000</v>
      </c>
      <c r="I1469">
        <v>252757.64</v>
      </c>
      <c r="J1469" s="711">
        <v>43032.744100543983</v>
      </c>
      <c r="K1469" s="711">
        <v>43336</v>
      </c>
      <c r="L1469" t="s">
        <v>5932</v>
      </c>
      <c r="M1469" t="s">
        <v>1280</v>
      </c>
      <c r="N1469" t="s">
        <v>1280</v>
      </c>
      <c r="O1469" t="s">
        <v>25</v>
      </c>
      <c r="P1469" t="s">
        <v>88</v>
      </c>
      <c r="Q1469" t="s">
        <v>285</v>
      </c>
      <c r="R1469" t="s">
        <v>2636</v>
      </c>
      <c r="S1469">
        <v>2000000</v>
      </c>
      <c r="T1469">
        <v>108000000</v>
      </c>
      <c r="U1469">
        <v>108000000</v>
      </c>
    </row>
    <row r="1470" spans="1:21" x14ac:dyDescent="0.25">
      <c r="A1470">
        <v>201419</v>
      </c>
      <c r="B1470" t="s">
        <v>5920</v>
      </c>
      <c r="C1470" t="s">
        <v>5933</v>
      </c>
      <c r="D1470" t="s">
        <v>1279</v>
      </c>
      <c r="E1470">
        <v>-23</v>
      </c>
      <c r="F1470" s="105">
        <v>4500000</v>
      </c>
      <c r="G1470" t="s">
        <v>5047</v>
      </c>
      <c r="H1470">
        <v>40500</v>
      </c>
      <c r="I1470">
        <v>568704.69999999995</v>
      </c>
      <c r="J1470" s="711">
        <v>43032.733813692132</v>
      </c>
      <c r="K1470" s="711">
        <v>43336</v>
      </c>
      <c r="L1470" t="s">
        <v>5934</v>
      </c>
      <c r="M1470" t="s">
        <v>5935</v>
      </c>
      <c r="N1470" t="s">
        <v>1280</v>
      </c>
      <c r="O1470" t="s">
        <v>25</v>
      </c>
      <c r="P1470" t="s">
        <v>88</v>
      </c>
      <c r="Q1470" t="s">
        <v>285</v>
      </c>
      <c r="R1470" t="s">
        <v>2636</v>
      </c>
      <c r="S1470">
        <v>4500000</v>
      </c>
      <c r="T1470">
        <v>243000000</v>
      </c>
      <c r="U1470">
        <v>243000000</v>
      </c>
    </row>
    <row r="1471" spans="1:21" x14ac:dyDescent="0.25">
      <c r="A1471">
        <v>201420</v>
      </c>
      <c r="B1471" t="s">
        <v>5916</v>
      </c>
      <c r="C1471" t="s">
        <v>5936</v>
      </c>
      <c r="D1471" t="s">
        <v>1282</v>
      </c>
      <c r="E1471">
        <v>-23</v>
      </c>
      <c r="F1471" s="105">
        <v>5000000</v>
      </c>
      <c r="G1471" t="s">
        <v>5410</v>
      </c>
      <c r="H1471">
        <v>45000</v>
      </c>
      <c r="I1471">
        <v>631894.11</v>
      </c>
      <c r="J1471" s="711">
        <v>43032.650605868053</v>
      </c>
      <c r="K1471" s="711">
        <v>43336</v>
      </c>
      <c r="L1471" t="s">
        <v>5937</v>
      </c>
      <c r="M1471" t="s">
        <v>5938</v>
      </c>
      <c r="N1471" t="s">
        <v>1280</v>
      </c>
      <c r="O1471" t="s">
        <v>25</v>
      </c>
      <c r="P1471" t="s">
        <v>106</v>
      </c>
      <c r="Q1471" t="s">
        <v>107</v>
      </c>
      <c r="R1471" t="s">
        <v>2636</v>
      </c>
      <c r="S1471">
        <v>5000000</v>
      </c>
      <c r="T1471">
        <v>270000000</v>
      </c>
      <c r="U1471">
        <v>270000000</v>
      </c>
    </row>
    <row r="1472" spans="1:21" x14ac:dyDescent="0.25">
      <c r="A1472">
        <v>201421</v>
      </c>
      <c r="B1472" t="s">
        <v>5922</v>
      </c>
      <c r="C1472" t="s">
        <v>5939</v>
      </c>
      <c r="D1472" t="s">
        <v>1282</v>
      </c>
      <c r="E1472">
        <v>-23</v>
      </c>
      <c r="F1472" s="105">
        <v>2000000</v>
      </c>
      <c r="G1472" t="s">
        <v>2557</v>
      </c>
      <c r="H1472">
        <v>18000</v>
      </c>
      <c r="I1472">
        <v>252757.64</v>
      </c>
      <c r="J1472" s="711">
        <v>43032.691087037034</v>
      </c>
      <c r="K1472" s="711">
        <v>43336</v>
      </c>
      <c r="L1472" t="s">
        <v>5940</v>
      </c>
      <c r="M1472" t="s">
        <v>1280</v>
      </c>
      <c r="N1472" t="s">
        <v>1280</v>
      </c>
      <c r="O1472" t="s">
        <v>25</v>
      </c>
      <c r="P1472" t="s">
        <v>88</v>
      </c>
      <c r="Q1472" t="s">
        <v>285</v>
      </c>
      <c r="R1472" t="s">
        <v>2636</v>
      </c>
      <c r="S1472">
        <v>2000000</v>
      </c>
      <c r="T1472">
        <v>108000000</v>
      </c>
      <c r="U1472">
        <v>108000000</v>
      </c>
    </row>
    <row r="1473" spans="1:21" x14ac:dyDescent="0.25">
      <c r="A1473">
        <v>201422</v>
      </c>
      <c r="B1473" t="s">
        <v>4667</v>
      </c>
      <c r="C1473" t="s">
        <v>4669</v>
      </c>
      <c r="D1473" t="s">
        <v>1866</v>
      </c>
      <c r="E1473">
        <v>-24</v>
      </c>
      <c r="F1473" s="105">
        <v>10000000</v>
      </c>
      <c r="G1473" t="s">
        <v>2557</v>
      </c>
      <c r="H1473">
        <v>61111.11</v>
      </c>
      <c r="I1473">
        <v>1045015.67</v>
      </c>
      <c r="J1473" s="711">
        <v>43033.665487071761</v>
      </c>
      <c r="K1473" s="711">
        <v>43398</v>
      </c>
      <c r="L1473" t="s">
        <v>4670</v>
      </c>
      <c r="M1473" t="s">
        <v>1280</v>
      </c>
      <c r="N1473" t="s">
        <v>1280</v>
      </c>
      <c r="O1473" t="s">
        <v>25</v>
      </c>
      <c r="P1473" t="s">
        <v>88</v>
      </c>
      <c r="Q1473" t="s">
        <v>285</v>
      </c>
      <c r="R1473" t="s">
        <v>2856</v>
      </c>
      <c r="S1473">
        <v>10000000</v>
      </c>
      <c r="T1473">
        <v>440000000</v>
      </c>
      <c r="U1473">
        <v>440000000</v>
      </c>
    </row>
    <row r="1474" spans="1:21" x14ac:dyDescent="0.25">
      <c r="A1474">
        <v>201423</v>
      </c>
      <c r="B1474" t="s">
        <v>5941</v>
      </c>
      <c r="C1474" t="s">
        <v>5948</v>
      </c>
      <c r="D1474" t="s">
        <v>1279</v>
      </c>
      <c r="E1474">
        <v>-24</v>
      </c>
      <c r="F1474" s="105">
        <v>4000000</v>
      </c>
      <c r="G1474" t="s">
        <v>4685</v>
      </c>
      <c r="H1474">
        <v>30000</v>
      </c>
      <c r="I1474">
        <v>505515.29</v>
      </c>
      <c r="J1474" s="711">
        <v>43033.59846241898</v>
      </c>
      <c r="K1474" s="711">
        <v>43337</v>
      </c>
      <c r="L1474" t="s">
        <v>5949</v>
      </c>
      <c r="M1474" t="s">
        <v>1280</v>
      </c>
      <c r="N1474" t="s">
        <v>5950</v>
      </c>
      <c r="O1474" t="s">
        <v>25</v>
      </c>
      <c r="P1474" t="s">
        <v>88</v>
      </c>
      <c r="Q1474" t="s">
        <v>285</v>
      </c>
      <c r="R1474" t="s">
        <v>2636</v>
      </c>
      <c r="S1474">
        <v>4000000</v>
      </c>
      <c r="T1474">
        <v>216000000</v>
      </c>
      <c r="U1474">
        <v>216000000</v>
      </c>
    </row>
    <row r="1475" spans="1:21" x14ac:dyDescent="0.25">
      <c r="A1475">
        <v>201424</v>
      </c>
      <c r="B1475" t="s">
        <v>5944</v>
      </c>
      <c r="C1475" t="s">
        <v>5951</v>
      </c>
      <c r="D1475" t="s">
        <v>1281</v>
      </c>
      <c r="E1475">
        <v>-24</v>
      </c>
      <c r="F1475" s="105">
        <v>25000000</v>
      </c>
      <c r="G1475" t="s">
        <v>4686</v>
      </c>
      <c r="H1475">
        <v>166666.67000000001</v>
      </c>
      <c r="I1475">
        <v>3082273.61</v>
      </c>
      <c r="J1475" s="711">
        <v>43033.736196840277</v>
      </c>
      <c r="K1475" s="711">
        <v>43337</v>
      </c>
      <c r="L1475" t="s">
        <v>5952</v>
      </c>
      <c r="M1475" t="s">
        <v>1280</v>
      </c>
      <c r="N1475" t="s">
        <v>1280</v>
      </c>
      <c r="O1475" t="s">
        <v>44</v>
      </c>
      <c r="P1475" t="s">
        <v>75</v>
      </c>
      <c r="Q1475" t="s">
        <v>1442</v>
      </c>
      <c r="R1475" t="s">
        <v>2636</v>
      </c>
      <c r="S1475">
        <v>25000000</v>
      </c>
      <c r="T1475">
        <v>1200000000</v>
      </c>
      <c r="U1475">
        <v>1200000000</v>
      </c>
    </row>
    <row r="1476" spans="1:21" x14ac:dyDescent="0.25">
      <c r="A1476">
        <v>201425</v>
      </c>
      <c r="B1476" t="s">
        <v>3047</v>
      </c>
      <c r="C1476" t="s">
        <v>3066</v>
      </c>
      <c r="D1476" t="s">
        <v>1282</v>
      </c>
      <c r="E1476">
        <v>-24</v>
      </c>
      <c r="F1476" s="105">
        <v>10000000</v>
      </c>
      <c r="G1476" t="s">
        <v>2855</v>
      </c>
      <c r="H1476">
        <v>66666.67</v>
      </c>
      <c r="I1476">
        <v>1065521.73</v>
      </c>
      <c r="J1476" s="711">
        <v>43033.744951122688</v>
      </c>
      <c r="K1476" s="711">
        <v>43398</v>
      </c>
      <c r="L1476" t="s">
        <v>3067</v>
      </c>
      <c r="M1476" t="s">
        <v>1280</v>
      </c>
      <c r="N1476" t="s">
        <v>1280</v>
      </c>
      <c r="O1476" t="s">
        <v>25</v>
      </c>
      <c r="P1476" t="s">
        <v>88</v>
      </c>
      <c r="Q1476" t="s">
        <v>285</v>
      </c>
      <c r="R1476" t="s">
        <v>2856</v>
      </c>
      <c r="S1476">
        <v>10000000</v>
      </c>
      <c r="T1476">
        <v>480000000</v>
      </c>
      <c r="U1476">
        <v>480000000</v>
      </c>
    </row>
    <row r="1477" spans="1:21" x14ac:dyDescent="0.25">
      <c r="A1477">
        <v>201426</v>
      </c>
      <c r="B1477" t="s">
        <v>5942</v>
      </c>
      <c r="C1477" t="s">
        <v>5953</v>
      </c>
      <c r="D1477" t="s">
        <v>1279</v>
      </c>
      <c r="E1477">
        <v>-24</v>
      </c>
      <c r="F1477" s="105">
        <v>1800000</v>
      </c>
      <c r="G1477" t="s">
        <v>2855</v>
      </c>
      <c r="H1477">
        <v>13500</v>
      </c>
      <c r="I1477">
        <v>227481.88</v>
      </c>
      <c r="J1477" s="711">
        <v>43033.749620451388</v>
      </c>
      <c r="K1477" s="711">
        <v>43337</v>
      </c>
      <c r="L1477" t="s">
        <v>5954</v>
      </c>
      <c r="M1477" t="s">
        <v>1280</v>
      </c>
      <c r="N1477" t="s">
        <v>1280</v>
      </c>
      <c r="O1477" t="s">
        <v>25</v>
      </c>
      <c r="P1477" t="s">
        <v>88</v>
      </c>
      <c r="Q1477" t="s">
        <v>285</v>
      </c>
      <c r="R1477" t="s">
        <v>2636</v>
      </c>
      <c r="S1477">
        <v>1800000</v>
      </c>
      <c r="T1477">
        <v>97200000</v>
      </c>
      <c r="U1477">
        <v>97200000</v>
      </c>
    </row>
    <row r="1478" spans="1:21" x14ac:dyDescent="0.25">
      <c r="A1478">
        <v>201427</v>
      </c>
      <c r="B1478" t="s">
        <v>1738</v>
      </c>
      <c r="C1478" t="s">
        <v>2756</v>
      </c>
      <c r="D1478" t="s">
        <v>1286</v>
      </c>
      <c r="E1478">
        <v>-20</v>
      </c>
      <c r="F1478" s="105">
        <v>3685000</v>
      </c>
      <c r="G1478" t="s">
        <v>284</v>
      </c>
      <c r="H1478">
        <v>12795.14</v>
      </c>
      <c r="I1478">
        <v>657923.79</v>
      </c>
      <c r="J1478" s="711">
        <v>43033.711786307867</v>
      </c>
      <c r="K1478" s="711">
        <v>43211</v>
      </c>
      <c r="L1478" t="s">
        <v>2757</v>
      </c>
      <c r="M1478" t="s">
        <v>1280</v>
      </c>
      <c r="N1478" t="s">
        <v>1280</v>
      </c>
      <c r="O1478" t="s">
        <v>28</v>
      </c>
      <c r="P1478" t="s">
        <v>108</v>
      </c>
      <c r="Q1478" t="s">
        <v>26</v>
      </c>
      <c r="R1478" t="s">
        <v>2636</v>
      </c>
      <c r="S1478">
        <v>3685000</v>
      </c>
      <c r="T1478">
        <v>92125000</v>
      </c>
      <c r="U1478">
        <v>92125000</v>
      </c>
    </row>
    <row r="1479" spans="1:21" x14ac:dyDescent="0.25">
      <c r="A1479">
        <v>201428</v>
      </c>
      <c r="B1479" t="s">
        <v>4549</v>
      </c>
      <c r="C1479" t="s">
        <v>4558</v>
      </c>
      <c r="D1479" t="s">
        <v>1286</v>
      </c>
      <c r="E1479">
        <v>-20</v>
      </c>
      <c r="F1479" s="105">
        <v>2000000</v>
      </c>
      <c r="G1479" t="s">
        <v>284</v>
      </c>
      <c r="H1479">
        <v>5555.56</v>
      </c>
      <c r="I1479">
        <v>423896.84</v>
      </c>
      <c r="J1479" s="711">
        <v>43034.410622766205</v>
      </c>
      <c r="K1479" s="711">
        <v>43180</v>
      </c>
      <c r="L1479" t="s">
        <v>4559</v>
      </c>
      <c r="M1479" t="s">
        <v>4560</v>
      </c>
      <c r="N1479" t="s">
        <v>1280</v>
      </c>
      <c r="O1479" t="s">
        <v>28</v>
      </c>
      <c r="P1479" t="s">
        <v>108</v>
      </c>
      <c r="Q1479" t="s">
        <v>26</v>
      </c>
      <c r="R1479" t="s">
        <v>2636</v>
      </c>
      <c r="S1479">
        <v>2000000</v>
      </c>
      <c r="T1479">
        <v>50000000</v>
      </c>
      <c r="U1479">
        <v>50000000</v>
      </c>
    </row>
    <row r="1480" spans="1:21" x14ac:dyDescent="0.25">
      <c r="A1480">
        <v>201429</v>
      </c>
      <c r="B1480" t="s">
        <v>3330</v>
      </c>
      <c r="C1480" t="s">
        <v>3343</v>
      </c>
      <c r="D1480" t="s">
        <v>1284</v>
      </c>
      <c r="E1480">
        <v>-31</v>
      </c>
      <c r="F1480" s="105">
        <v>20000000</v>
      </c>
      <c r="G1480" t="s">
        <v>5167</v>
      </c>
      <c r="H1480">
        <v>80000</v>
      </c>
      <c r="I1480">
        <v>1462644.83</v>
      </c>
      <c r="J1480" s="711">
        <v>43034.539215659723</v>
      </c>
      <c r="K1480" s="711">
        <v>43587</v>
      </c>
      <c r="L1480" t="s">
        <v>3344</v>
      </c>
      <c r="M1480" t="s">
        <v>1280</v>
      </c>
      <c r="N1480" t="s">
        <v>3345</v>
      </c>
      <c r="O1480" t="s">
        <v>44</v>
      </c>
      <c r="P1480" t="s">
        <v>75</v>
      </c>
      <c r="Q1480" t="s">
        <v>1442</v>
      </c>
      <c r="R1480" t="s">
        <v>2856</v>
      </c>
      <c r="S1480">
        <v>20000000</v>
      </c>
      <c r="T1480">
        <v>720000000</v>
      </c>
      <c r="U1480">
        <v>720000000</v>
      </c>
    </row>
    <row r="1481" spans="1:21" x14ac:dyDescent="0.25">
      <c r="A1481">
        <v>201430</v>
      </c>
      <c r="B1481" t="s">
        <v>2677</v>
      </c>
      <c r="C1481" t="s">
        <v>2685</v>
      </c>
      <c r="D1481" t="s">
        <v>1284</v>
      </c>
      <c r="E1481">
        <v>-31</v>
      </c>
      <c r="F1481" s="105">
        <v>19500000</v>
      </c>
      <c r="G1481" t="s">
        <v>1925</v>
      </c>
      <c r="H1481">
        <v>78000</v>
      </c>
      <c r="I1481">
        <v>1426078.71</v>
      </c>
      <c r="J1481" s="711">
        <v>43034.727116006943</v>
      </c>
      <c r="K1481" s="711">
        <v>43587</v>
      </c>
      <c r="L1481" t="s">
        <v>2686</v>
      </c>
      <c r="M1481" t="s">
        <v>2687</v>
      </c>
      <c r="N1481" t="s">
        <v>1280</v>
      </c>
      <c r="O1481" t="s">
        <v>36</v>
      </c>
      <c r="P1481" t="s">
        <v>1023</v>
      </c>
      <c r="Q1481" t="s">
        <v>1810</v>
      </c>
      <c r="R1481" t="s">
        <v>2856</v>
      </c>
      <c r="S1481">
        <v>19500000</v>
      </c>
      <c r="T1481">
        <v>702000000</v>
      </c>
      <c r="U1481">
        <v>702000000</v>
      </c>
    </row>
    <row r="1482" spans="1:21" x14ac:dyDescent="0.25">
      <c r="A1482">
        <v>201431</v>
      </c>
      <c r="B1482" t="s">
        <v>3218</v>
      </c>
      <c r="C1482" t="s">
        <v>3221</v>
      </c>
      <c r="D1482" t="s">
        <v>1282</v>
      </c>
      <c r="E1482">
        <v>-31</v>
      </c>
      <c r="F1482" s="105">
        <v>5000000</v>
      </c>
      <c r="G1482" t="s">
        <v>2557</v>
      </c>
      <c r="I1482">
        <v>534081.29</v>
      </c>
      <c r="J1482" s="711">
        <v>43039.472468287036</v>
      </c>
      <c r="K1482" s="711">
        <v>43405</v>
      </c>
      <c r="L1482" t="s">
        <v>3222</v>
      </c>
      <c r="M1482" t="s">
        <v>1280</v>
      </c>
      <c r="N1482" t="s">
        <v>1280</v>
      </c>
      <c r="O1482" t="s">
        <v>25</v>
      </c>
      <c r="P1482" t="s">
        <v>88</v>
      </c>
      <c r="Q1482" t="s">
        <v>285</v>
      </c>
      <c r="R1482" t="s">
        <v>2856</v>
      </c>
      <c r="S1482">
        <v>5000000</v>
      </c>
      <c r="T1482">
        <v>240000000</v>
      </c>
      <c r="U1482">
        <v>240000000</v>
      </c>
    </row>
    <row r="1483" spans="1:21" x14ac:dyDescent="0.25">
      <c r="A1483">
        <v>201432</v>
      </c>
      <c r="B1483" t="s">
        <v>2248</v>
      </c>
      <c r="C1483" t="s">
        <v>2249</v>
      </c>
      <c r="D1483" t="s">
        <v>1284</v>
      </c>
      <c r="E1483">
        <v>-31</v>
      </c>
      <c r="F1483" s="105">
        <v>28000000</v>
      </c>
      <c r="G1483" t="s">
        <v>2175</v>
      </c>
      <c r="H1483">
        <v>84000</v>
      </c>
      <c r="I1483">
        <v>2826593.43</v>
      </c>
      <c r="J1483" s="711">
        <v>43035.58486909722</v>
      </c>
      <c r="K1483" s="711">
        <v>43406</v>
      </c>
      <c r="L1483" t="s">
        <v>2250</v>
      </c>
      <c r="M1483" t="s">
        <v>1280</v>
      </c>
      <c r="N1483" t="s">
        <v>2251</v>
      </c>
      <c r="O1483" t="s">
        <v>29</v>
      </c>
      <c r="P1483" t="s">
        <v>30</v>
      </c>
      <c r="Q1483" t="s">
        <v>437</v>
      </c>
      <c r="R1483" t="s">
        <v>2856</v>
      </c>
      <c r="S1483">
        <v>28000000</v>
      </c>
      <c r="T1483">
        <v>1008000000</v>
      </c>
      <c r="U1483">
        <v>1008000000</v>
      </c>
    </row>
    <row r="1484" spans="1:21" x14ac:dyDescent="0.25">
      <c r="A1484">
        <v>201433</v>
      </c>
      <c r="B1484" t="s">
        <v>4567</v>
      </c>
      <c r="C1484" t="s">
        <v>1192</v>
      </c>
      <c r="D1484" t="s">
        <v>1286</v>
      </c>
      <c r="E1484">
        <v>-20</v>
      </c>
      <c r="F1484" s="105">
        <v>2000000</v>
      </c>
      <c r="G1484" t="s">
        <v>284</v>
      </c>
      <c r="H1484">
        <v>4166.67</v>
      </c>
      <c r="I1484">
        <v>356594.96</v>
      </c>
      <c r="J1484" s="711">
        <v>43035.450085069446</v>
      </c>
      <c r="K1484" s="711">
        <v>43211</v>
      </c>
      <c r="L1484" t="s">
        <v>4573</v>
      </c>
      <c r="M1484" t="s">
        <v>1280</v>
      </c>
      <c r="N1484" t="s">
        <v>1280</v>
      </c>
      <c r="O1484" t="s">
        <v>28</v>
      </c>
      <c r="P1484" t="s">
        <v>108</v>
      </c>
      <c r="Q1484" t="s">
        <v>26</v>
      </c>
      <c r="R1484" t="s">
        <v>2636</v>
      </c>
      <c r="S1484">
        <v>2000000</v>
      </c>
      <c r="T1484">
        <v>50000000</v>
      </c>
      <c r="U1484">
        <v>50000000</v>
      </c>
    </row>
    <row r="1485" spans="1:21" x14ac:dyDescent="0.25">
      <c r="A1485">
        <v>201434</v>
      </c>
      <c r="B1485" t="s">
        <v>4373</v>
      </c>
      <c r="C1485" t="s">
        <v>4380</v>
      </c>
      <c r="D1485" t="s">
        <v>1282</v>
      </c>
      <c r="E1485">
        <v>-31</v>
      </c>
      <c r="F1485" s="105">
        <v>10000000</v>
      </c>
      <c r="G1485" t="s">
        <v>1909</v>
      </c>
      <c r="H1485">
        <v>26666.67</v>
      </c>
      <c r="I1485">
        <v>1070985.94</v>
      </c>
      <c r="J1485" s="711">
        <v>43036.471182754627</v>
      </c>
      <c r="K1485" s="711">
        <v>43406</v>
      </c>
      <c r="L1485" t="s">
        <v>4381</v>
      </c>
      <c r="M1485" t="s">
        <v>1280</v>
      </c>
      <c r="N1485" t="s">
        <v>4382</v>
      </c>
      <c r="O1485" t="s">
        <v>43</v>
      </c>
      <c r="P1485" t="s">
        <v>338</v>
      </c>
      <c r="Q1485" t="s">
        <v>26</v>
      </c>
      <c r="R1485" t="s">
        <v>2856</v>
      </c>
      <c r="S1485">
        <v>10000000</v>
      </c>
      <c r="T1485">
        <v>480000000</v>
      </c>
      <c r="U1485">
        <v>480000000</v>
      </c>
    </row>
    <row r="1486" spans="1:21" x14ac:dyDescent="0.25">
      <c r="A1486">
        <v>201435</v>
      </c>
      <c r="B1486" t="s">
        <v>5965</v>
      </c>
      <c r="C1486" t="s">
        <v>5966</v>
      </c>
      <c r="D1486" t="s">
        <v>1282</v>
      </c>
      <c r="E1486">
        <v>-31</v>
      </c>
      <c r="F1486" s="105">
        <v>10000000</v>
      </c>
      <c r="G1486" t="s">
        <v>2557</v>
      </c>
      <c r="H1486">
        <v>30000</v>
      </c>
      <c r="I1486">
        <v>1102958.51</v>
      </c>
      <c r="J1486" s="711">
        <v>43036.508972685187</v>
      </c>
      <c r="K1486" s="711">
        <v>43406</v>
      </c>
      <c r="L1486" t="s">
        <v>5967</v>
      </c>
      <c r="M1486" t="s">
        <v>1280</v>
      </c>
      <c r="N1486" t="s">
        <v>1280</v>
      </c>
      <c r="O1486" t="s">
        <v>25</v>
      </c>
      <c r="P1486" t="s">
        <v>88</v>
      </c>
      <c r="Q1486" t="s">
        <v>285</v>
      </c>
      <c r="R1486" t="s">
        <v>2636</v>
      </c>
      <c r="S1486">
        <v>10000000</v>
      </c>
      <c r="T1486">
        <v>540000000</v>
      </c>
      <c r="U1486">
        <v>540000000</v>
      </c>
    </row>
    <row r="1487" spans="1:21" x14ac:dyDescent="0.25">
      <c r="A1487">
        <v>201436</v>
      </c>
      <c r="B1487" t="s">
        <v>3114</v>
      </c>
      <c r="C1487" t="s">
        <v>3115</v>
      </c>
      <c r="D1487" t="s">
        <v>1281</v>
      </c>
      <c r="E1487">
        <v>-31</v>
      </c>
      <c r="F1487" s="105">
        <v>22000000</v>
      </c>
      <c r="G1487" t="s">
        <v>2034</v>
      </c>
      <c r="H1487">
        <v>51333.33</v>
      </c>
      <c r="I1487">
        <v>2286911.96</v>
      </c>
      <c r="J1487" s="711">
        <v>43036.492605555555</v>
      </c>
      <c r="K1487" s="711">
        <v>43406</v>
      </c>
      <c r="L1487" t="s">
        <v>3116</v>
      </c>
      <c r="M1487" t="s">
        <v>1280</v>
      </c>
      <c r="N1487" t="s">
        <v>1280</v>
      </c>
      <c r="O1487" t="s">
        <v>25</v>
      </c>
      <c r="P1487" t="s">
        <v>88</v>
      </c>
      <c r="Q1487" t="s">
        <v>285</v>
      </c>
      <c r="R1487" t="s">
        <v>2856</v>
      </c>
      <c r="S1487">
        <v>22000000</v>
      </c>
      <c r="T1487">
        <v>924000000</v>
      </c>
      <c r="U1487">
        <v>924000000</v>
      </c>
    </row>
    <row r="1488" spans="1:21" x14ac:dyDescent="0.25">
      <c r="A1488">
        <v>201437</v>
      </c>
      <c r="B1488" t="s">
        <v>4546</v>
      </c>
      <c r="C1488" t="s">
        <v>4552</v>
      </c>
      <c r="D1488" t="s">
        <v>1281</v>
      </c>
      <c r="E1488">
        <v>-31</v>
      </c>
      <c r="F1488" s="105">
        <v>17000000</v>
      </c>
      <c r="G1488" t="s">
        <v>3074</v>
      </c>
      <c r="I1488">
        <v>1763193.19</v>
      </c>
      <c r="J1488" s="711">
        <v>43039.73473827546</v>
      </c>
      <c r="K1488" s="711">
        <v>43406</v>
      </c>
      <c r="L1488" t="s">
        <v>4553</v>
      </c>
      <c r="M1488" t="s">
        <v>1280</v>
      </c>
      <c r="N1488" t="s">
        <v>4554</v>
      </c>
      <c r="O1488" t="s">
        <v>36</v>
      </c>
      <c r="P1488" t="s">
        <v>118</v>
      </c>
      <c r="Q1488" t="s">
        <v>119</v>
      </c>
      <c r="R1488" t="s">
        <v>2856</v>
      </c>
      <c r="S1488">
        <v>17000000</v>
      </c>
      <c r="T1488">
        <v>714000000</v>
      </c>
      <c r="U1488">
        <v>714000000</v>
      </c>
    </row>
    <row r="1489" spans="1:21" x14ac:dyDescent="0.25">
      <c r="A1489">
        <v>201438</v>
      </c>
      <c r="B1489" t="s">
        <v>5973</v>
      </c>
      <c r="C1489" t="s">
        <v>5983</v>
      </c>
      <c r="D1489" t="s">
        <v>1281</v>
      </c>
      <c r="E1489">
        <v>-31</v>
      </c>
      <c r="F1489" s="105">
        <v>17000000</v>
      </c>
      <c r="G1489" t="s">
        <v>1447</v>
      </c>
      <c r="I1489">
        <v>1816031.52</v>
      </c>
      <c r="J1489" s="711">
        <v>43039.714177233793</v>
      </c>
      <c r="K1489" s="711">
        <v>43406</v>
      </c>
      <c r="L1489" t="s">
        <v>5984</v>
      </c>
      <c r="M1489" t="s">
        <v>5985</v>
      </c>
      <c r="N1489" t="s">
        <v>1280</v>
      </c>
      <c r="O1489" t="s">
        <v>37</v>
      </c>
      <c r="P1489" t="s">
        <v>38</v>
      </c>
      <c r="Q1489" t="s">
        <v>39</v>
      </c>
      <c r="R1489" t="s">
        <v>2636</v>
      </c>
      <c r="S1489">
        <v>17000000</v>
      </c>
      <c r="T1489">
        <v>816000000</v>
      </c>
      <c r="U1489">
        <v>816000000</v>
      </c>
    </row>
    <row r="1490" spans="1:21" x14ac:dyDescent="0.25">
      <c r="A1490">
        <v>201439</v>
      </c>
      <c r="B1490" t="s">
        <v>5969</v>
      </c>
      <c r="C1490" t="s">
        <v>5986</v>
      </c>
      <c r="D1490" t="s">
        <v>1281</v>
      </c>
      <c r="E1490">
        <v>-31</v>
      </c>
      <c r="F1490" s="105">
        <v>20000000</v>
      </c>
      <c r="G1490" t="s">
        <v>1909</v>
      </c>
      <c r="I1490">
        <v>1583917.5</v>
      </c>
      <c r="J1490" s="711">
        <v>43039.705528240738</v>
      </c>
      <c r="K1490" s="711">
        <v>43587</v>
      </c>
      <c r="L1490" t="s">
        <v>5987</v>
      </c>
      <c r="M1490" t="s">
        <v>1280</v>
      </c>
      <c r="N1490" t="s">
        <v>5988</v>
      </c>
      <c r="O1490" t="s">
        <v>25</v>
      </c>
      <c r="P1490" t="s">
        <v>88</v>
      </c>
      <c r="Q1490" t="s">
        <v>285</v>
      </c>
      <c r="R1490" t="s">
        <v>2636</v>
      </c>
      <c r="S1490">
        <v>20000000</v>
      </c>
      <c r="T1490">
        <v>960000000</v>
      </c>
      <c r="U1490">
        <v>960000000</v>
      </c>
    </row>
    <row r="1491" spans="1:21" x14ac:dyDescent="0.25">
      <c r="A1491">
        <v>201440</v>
      </c>
      <c r="B1491" t="s">
        <v>5971</v>
      </c>
      <c r="C1491" t="s">
        <v>5989</v>
      </c>
      <c r="D1491" t="s">
        <v>1282</v>
      </c>
      <c r="E1491">
        <v>-31</v>
      </c>
      <c r="F1491" s="105">
        <v>2500000</v>
      </c>
      <c r="G1491" t="s">
        <v>4683</v>
      </c>
      <c r="I1491">
        <v>380112.24</v>
      </c>
      <c r="J1491" s="711">
        <v>43039.751634490742</v>
      </c>
      <c r="K1491" s="711">
        <v>43283</v>
      </c>
      <c r="L1491" t="s">
        <v>5990</v>
      </c>
      <c r="M1491" t="s">
        <v>1280</v>
      </c>
      <c r="N1491" t="s">
        <v>1280</v>
      </c>
      <c r="O1491" t="s">
        <v>25</v>
      </c>
      <c r="P1491" t="s">
        <v>88</v>
      </c>
      <c r="Q1491" t="s">
        <v>285</v>
      </c>
      <c r="R1491" t="s">
        <v>2636</v>
      </c>
      <c r="S1491">
        <v>2500000</v>
      </c>
      <c r="T1491">
        <v>135000000</v>
      </c>
      <c r="U1491">
        <v>135000000</v>
      </c>
    </row>
    <row r="1492" spans="1:21" x14ac:dyDescent="0.25">
      <c r="A1492">
        <v>201441</v>
      </c>
      <c r="B1492" t="s">
        <v>5970</v>
      </c>
      <c r="C1492" t="s">
        <v>5991</v>
      </c>
      <c r="D1492" t="s">
        <v>1281</v>
      </c>
      <c r="E1492">
        <v>-31</v>
      </c>
      <c r="F1492" s="105">
        <v>28000000</v>
      </c>
      <c r="G1492" t="s">
        <v>5382</v>
      </c>
      <c r="I1492">
        <v>5355029</v>
      </c>
      <c r="J1492" s="711">
        <v>43039.797131331019</v>
      </c>
      <c r="K1492" s="711">
        <v>43222</v>
      </c>
      <c r="L1492" t="s">
        <v>5992</v>
      </c>
      <c r="M1492" t="s">
        <v>1280</v>
      </c>
      <c r="N1492" t="s">
        <v>1280</v>
      </c>
      <c r="O1492" t="s">
        <v>25</v>
      </c>
      <c r="P1492" t="s">
        <v>88</v>
      </c>
      <c r="Q1492" t="s">
        <v>285</v>
      </c>
      <c r="R1492" t="s">
        <v>2636</v>
      </c>
      <c r="S1492">
        <v>28000000</v>
      </c>
      <c r="T1492">
        <v>1344000000</v>
      </c>
      <c r="U1492">
        <v>1344000000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tabColor rgb="FF0070C0"/>
    <pageSetUpPr fitToPage="1"/>
  </sheetPr>
  <dimension ref="B1:BA82"/>
  <sheetViews>
    <sheetView showGridLines="0" topLeftCell="P61" zoomScaleNormal="100" zoomScaleSheetLayoutView="100" workbookViewId="0">
      <selection activeCell="AD79" sqref="AD79"/>
    </sheetView>
  </sheetViews>
  <sheetFormatPr defaultColWidth="9.109375" defaultRowHeight="13.2" x14ac:dyDescent="0.25"/>
  <cols>
    <col min="1" max="1" width="2.33203125" style="68" customWidth="1"/>
    <col min="2" max="2" width="28.6640625" style="68" customWidth="1"/>
    <col min="3" max="5" width="14.33203125" style="68" customWidth="1"/>
    <col min="6" max="8" width="11.88671875" style="68" customWidth="1"/>
    <col min="9" max="11" width="12.88671875" style="68" bestFit="1" customWidth="1"/>
    <col min="12" max="12" width="4.44140625" style="68" customWidth="1"/>
    <col min="13" max="13" width="30.6640625" style="68" customWidth="1"/>
    <col min="14" max="14" width="10.33203125" style="68" customWidth="1"/>
    <col min="15" max="15" width="10.6640625" style="68" hidden="1" customWidth="1"/>
    <col min="16" max="16" width="10.33203125" style="68" customWidth="1"/>
    <col min="17" max="17" width="10.6640625" style="68" hidden="1" customWidth="1"/>
    <col min="18" max="18" width="11.33203125" style="68" customWidth="1"/>
    <col min="19" max="19" width="10.6640625" style="68" hidden="1" customWidth="1"/>
    <col min="20" max="20" width="10.33203125" style="68" customWidth="1"/>
    <col min="21" max="21" width="10.6640625" style="68" hidden="1" customWidth="1"/>
    <col min="22" max="22" width="10.33203125" style="68" customWidth="1"/>
    <col min="23" max="23" width="10.6640625" style="68" hidden="1" customWidth="1"/>
    <col min="24" max="24" width="11.33203125" style="68" customWidth="1"/>
    <col min="25" max="25" width="6" style="68" hidden="1" customWidth="1"/>
    <col min="26" max="26" width="4.6640625" style="68" customWidth="1"/>
    <col min="27" max="27" width="27.88671875" style="68" bestFit="1" customWidth="1"/>
    <col min="28" max="29" width="11" style="68" customWidth="1"/>
    <col min="30" max="30" width="11.33203125" style="393" customWidth="1"/>
    <col min="31" max="32" width="11" style="68" customWidth="1"/>
    <col min="33" max="33" width="11" style="393" customWidth="1"/>
    <col min="34" max="35" width="11" style="68" customWidth="1"/>
    <col min="36" max="36" width="11" style="393" customWidth="1"/>
    <col min="37" max="38" width="11" style="68" customWidth="1"/>
    <col min="39" max="39" width="11" style="393" customWidth="1"/>
    <col min="40" max="40" width="4.6640625" style="68" customWidth="1"/>
    <col min="41" max="41" width="27.88671875" style="68" bestFit="1" customWidth="1"/>
    <col min="42" max="43" width="11" style="68" customWidth="1"/>
    <col min="44" max="44" width="11.33203125" style="68" customWidth="1"/>
    <col min="45" max="53" width="11" style="68" customWidth="1"/>
    <col min="54" max="16384" width="9.109375" style="68"/>
  </cols>
  <sheetData>
    <row r="1" spans="2:53" ht="6.75" customHeight="1" x14ac:dyDescent="0.25"/>
    <row r="2" spans="2:53" ht="13.8" x14ac:dyDescent="0.25">
      <c r="D2" s="693" t="s">
        <v>3305</v>
      </c>
      <c r="E2" s="692" t="s">
        <v>65</v>
      </c>
      <c r="F2" s="698">
        <v>9</v>
      </c>
      <c r="G2" s="696" t="s">
        <v>3307</v>
      </c>
      <c r="H2" s="695">
        <f>DATE(F3,F2,1)</f>
        <v>42979</v>
      </c>
      <c r="I2" s="695"/>
    </row>
    <row r="3" spans="2:53" ht="13.8" x14ac:dyDescent="0.25">
      <c r="B3" s="693"/>
      <c r="D3" s="697" t="s">
        <v>3310</v>
      </c>
      <c r="E3" s="692" t="s">
        <v>3306</v>
      </c>
      <c r="F3" s="698">
        <v>2017</v>
      </c>
      <c r="G3" s="696" t="s">
        <v>3308</v>
      </c>
      <c r="H3" s="695">
        <f>EOMONTH(H2,0)</f>
        <v>43008</v>
      </c>
      <c r="I3" s="695"/>
    </row>
    <row r="4" spans="2:53" ht="11.25" customHeight="1" x14ac:dyDescent="0.25">
      <c r="B4" s="693"/>
      <c r="E4" s="692"/>
      <c r="F4" s="692"/>
      <c r="G4" s="696"/>
      <c r="H4" s="695"/>
      <c r="I4" s="695"/>
    </row>
    <row r="5" spans="2:53" s="421" customFormat="1" ht="25.5" customHeight="1" x14ac:dyDescent="0.5">
      <c r="B5" s="694" t="s">
        <v>3006</v>
      </c>
      <c r="M5" s="429" t="s">
        <v>3007</v>
      </c>
      <c r="AA5" s="429" t="s">
        <v>318</v>
      </c>
      <c r="AD5" s="430"/>
      <c r="AG5" s="430"/>
      <c r="AJ5" s="430"/>
      <c r="AM5" s="430"/>
    </row>
    <row r="6" spans="2:53" s="421" customFormat="1" ht="12" customHeight="1" thickBot="1" x14ac:dyDescent="0.3">
      <c r="AD6" s="430"/>
      <c r="AG6" s="430"/>
      <c r="AJ6" s="430"/>
    </row>
    <row r="7" spans="2:53" s="431" customFormat="1" ht="18" customHeight="1" thickBot="1" x14ac:dyDescent="0.3">
      <c r="B7" s="884" t="s">
        <v>2997</v>
      </c>
      <c r="C7" s="885"/>
      <c r="D7" s="885"/>
      <c r="E7" s="885"/>
      <c r="F7" s="885"/>
      <c r="G7" s="886">
        <f>H3</f>
        <v>43008</v>
      </c>
      <c r="H7" s="886"/>
      <c r="I7" s="886"/>
      <c r="J7" s="886"/>
      <c r="K7" s="887"/>
      <c r="M7" s="884" t="s">
        <v>3012</v>
      </c>
      <c r="N7" s="885"/>
      <c r="O7" s="885"/>
      <c r="P7" s="885"/>
      <c r="Q7" s="407"/>
      <c r="R7" s="886">
        <f>H3</f>
        <v>43008</v>
      </c>
      <c r="S7" s="886"/>
      <c r="T7" s="886"/>
      <c r="U7" s="886"/>
      <c r="V7" s="886"/>
      <c r="W7" s="886"/>
      <c r="X7" s="886"/>
      <c r="Y7" s="408"/>
      <c r="Z7" s="432"/>
      <c r="AA7" s="884" t="s">
        <v>3085</v>
      </c>
      <c r="AB7" s="885"/>
      <c r="AC7" s="885"/>
      <c r="AD7" s="885"/>
      <c r="AE7" s="885"/>
      <c r="AF7" s="885"/>
      <c r="AG7" s="886">
        <f>H3</f>
        <v>43008</v>
      </c>
      <c r="AH7" s="886"/>
      <c r="AI7" s="886"/>
      <c r="AJ7" s="886"/>
      <c r="AK7" s="886"/>
      <c r="AL7" s="886"/>
      <c r="AM7" s="887"/>
      <c r="AO7" s="884" t="s">
        <v>3016</v>
      </c>
      <c r="AP7" s="885"/>
      <c r="AQ7" s="885"/>
      <c r="AR7" s="885"/>
      <c r="AS7" s="885"/>
      <c r="AT7" s="885"/>
      <c r="AU7" s="886">
        <f>H3</f>
        <v>43008</v>
      </c>
      <c r="AV7" s="886"/>
      <c r="AW7" s="886"/>
      <c r="AX7" s="886"/>
      <c r="AY7" s="886"/>
      <c r="AZ7" s="886"/>
      <c r="BA7" s="887"/>
    </row>
    <row r="8" spans="2:53" s="433" customFormat="1" ht="15" customHeight="1" thickBot="1" x14ac:dyDescent="0.3">
      <c r="B8" s="890" t="s">
        <v>2902</v>
      </c>
      <c r="C8" s="875" t="s">
        <v>2998</v>
      </c>
      <c r="D8" s="876"/>
      <c r="E8" s="877"/>
      <c r="F8" s="888" t="s">
        <v>2999</v>
      </c>
      <c r="G8" s="876"/>
      <c r="H8" s="877"/>
      <c r="I8" s="888" t="s">
        <v>2908</v>
      </c>
      <c r="J8" s="876"/>
      <c r="K8" s="889"/>
      <c r="M8" s="899" t="s">
        <v>2902</v>
      </c>
      <c r="N8" s="875" t="s">
        <v>3254</v>
      </c>
      <c r="O8" s="876"/>
      <c r="P8" s="876"/>
      <c r="Q8" s="876"/>
      <c r="R8" s="876"/>
      <c r="S8" s="876"/>
      <c r="T8" s="888" t="s">
        <v>2907</v>
      </c>
      <c r="U8" s="876"/>
      <c r="V8" s="876"/>
      <c r="W8" s="876"/>
      <c r="X8" s="876"/>
      <c r="Y8" s="889"/>
      <c r="Z8" s="434"/>
      <c r="AA8" s="890" t="s">
        <v>2902</v>
      </c>
      <c r="AB8" s="901" t="s">
        <v>1202</v>
      </c>
      <c r="AC8" s="902"/>
      <c r="AD8" s="903"/>
      <c r="AE8" s="901" t="s">
        <v>1203</v>
      </c>
      <c r="AF8" s="902"/>
      <c r="AG8" s="903"/>
      <c r="AH8" s="901" t="s">
        <v>2901</v>
      </c>
      <c r="AI8" s="902"/>
      <c r="AJ8" s="903"/>
      <c r="AK8" s="904" t="s">
        <v>1204</v>
      </c>
      <c r="AL8" s="902"/>
      <c r="AM8" s="905"/>
      <c r="AO8" s="409" t="s">
        <v>3004</v>
      </c>
      <c r="AP8" s="910" t="s">
        <v>1202</v>
      </c>
      <c r="AQ8" s="907"/>
      <c r="AR8" s="909"/>
      <c r="AS8" s="906" t="s">
        <v>1203</v>
      </c>
      <c r="AT8" s="907"/>
      <c r="AU8" s="909"/>
      <c r="AV8" s="906" t="s">
        <v>2901</v>
      </c>
      <c r="AW8" s="907"/>
      <c r="AX8" s="909"/>
      <c r="AY8" s="906" t="s">
        <v>1204</v>
      </c>
      <c r="AZ8" s="907"/>
      <c r="BA8" s="908"/>
    </row>
    <row r="9" spans="2:53" s="430" customFormat="1" ht="15" customHeight="1" thickBot="1" x14ac:dyDescent="0.3">
      <c r="B9" s="891"/>
      <c r="C9" s="435" t="s">
        <v>2636</v>
      </c>
      <c r="D9" s="436" t="s">
        <v>2856</v>
      </c>
      <c r="E9" s="437" t="s">
        <v>2900</v>
      </c>
      <c r="F9" s="438" t="s">
        <v>2636</v>
      </c>
      <c r="G9" s="436" t="s">
        <v>2856</v>
      </c>
      <c r="H9" s="437" t="s">
        <v>2900</v>
      </c>
      <c r="I9" s="435" t="s">
        <v>2636</v>
      </c>
      <c r="J9" s="436" t="s">
        <v>2856</v>
      </c>
      <c r="K9" s="439" t="s">
        <v>2900</v>
      </c>
      <c r="M9" s="900"/>
      <c r="N9" s="440" t="s">
        <v>2636</v>
      </c>
      <c r="O9" s="441"/>
      <c r="P9" s="436" t="s">
        <v>2856</v>
      </c>
      <c r="Q9" s="441"/>
      <c r="R9" s="442" t="s">
        <v>2906</v>
      </c>
      <c r="S9" s="443"/>
      <c r="T9" s="438" t="s">
        <v>2636</v>
      </c>
      <c r="U9" s="441"/>
      <c r="V9" s="436" t="s">
        <v>2856</v>
      </c>
      <c r="W9" s="444"/>
      <c r="X9" s="442" t="s">
        <v>2906</v>
      </c>
      <c r="Y9" s="442"/>
      <c r="AA9" s="891"/>
      <c r="AB9" s="440" t="s">
        <v>2636</v>
      </c>
      <c r="AC9" s="436" t="s">
        <v>2856</v>
      </c>
      <c r="AD9" s="437" t="s">
        <v>2900</v>
      </c>
      <c r="AE9" s="440" t="s">
        <v>2636</v>
      </c>
      <c r="AF9" s="436" t="s">
        <v>2856</v>
      </c>
      <c r="AG9" s="437" t="s">
        <v>2900</v>
      </c>
      <c r="AH9" s="440" t="s">
        <v>2636</v>
      </c>
      <c r="AI9" s="436" t="s">
        <v>2856</v>
      </c>
      <c r="AJ9" s="437" t="s">
        <v>2900</v>
      </c>
      <c r="AK9" s="438" t="s">
        <v>2636</v>
      </c>
      <c r="AL9" s="436" t="s">
        <v>2856</v>
      </c>
      <c r="AM9" s="442" t="s">
        <v>2900</v>
      </c>
      <c r="AO9" s="485" t="s">
        <v>3005</v>
      </c>
      <c r="AP9" s="416" t="s">
        <v>2636</v>
      </c>
      <c r="AQ9" s="417" t="s">
        <v>2856</v>
      </c>
      <c r="AR9" s="418" t="s">
        <v>2900</v>
      </c>
      <c r="AS9" s="416" t="s">
        <v>2636</v>
      </c>
      <c r="AT9" s="417" t="s">
        <v>2856</v>
      </c>
      <c r="AU9" s="418" t="s">
        <v>2900</v>
      </c>
      <c r="AV9" s="416" t="s">
        <v>2636</v>
      </c>
      <c r="AW9" s="417" t="s">
        <v>2856</v>
      </c>
      <c r="AX9" s="418" t="s">
        <v>2900</v>
      </c>
      <c r="AY9" s="419" t="s">
        <v>2636</v>
      </c>
      <c r="AZ9" s="417" t="s">
        <v>2856</v>
      </c>
      <c r="BA9" s="420" t="s">
        <v>2900</v>
      </c>
    </row>
    <row r="10" spans="2:53" s="451" customFormat="1" ht="12" x14ac:dyDescent="0.25">
      <c r="B10" s="445" t="s">
        <v>1282</v>
      </c>
      <c r="C10" s="446">
        <f>SUMIFS('Analysis Data'!$S:$S,'Analysis Data'!$D:$D,B10,'Analysis Data'!$R:$R,$C$9,'Analysis Data'!$J:$J,"&gt;="&amp;H2)</f>
        <v>331500000</v>
      </c>
      <c r="D10" s="447">
        <f>SUMIFS('Analysis Data'!$S:$S,'Analysis Data'!$D:$D,B10,'Analysis Data'!$R:$R,$D$9,'Analysis Data'!$J:$J,"&gt;="&amp;H2)</f>
        <v>316200000</v>
      </c>
      <c r="E10" s="448">
        <f t="shared" ref="E10:E20" si="0">C10+D10</f>
        <v>647700000</v>
      </c>
      <c r="F10" s="493">
        <f>COUNTIFS('Analysis Data'!$D:$D,B44,'Analysis Data'!$R:$R,$F$9,'Analysis Data'!$J:$J,"&gt;="&amp;H2)</f>
        <v>64</v>
      </c>
      <c r="G10" s="494">
        <f>COUNTIFS('Analysis Data'!$D:$D,B44,'Analysis Data'!$R:$R,$G$9,'Analysis Data'!$J:$J,"&gt;="&amp;H2)</f>
        <v>46</v>
      </c>
      <c r="H10" s="495">
        <f t="shared" ref="H10:H20" si="1">F10+G10</f>
        <v>110</v>
      </c>
      <c r="I10" s="449">
        <f>IFERROR(C10/F10,0)</f>
        <v>5179687.5</v>
      </c>
      <c r="J10" s="450">
        <f t="shared" ref="J10:K21" si="2">IFERROR(D10/G10,0)</f>
        <v>6873913.0434782607</v>
      </c>
      <c r="K10" s="669">
        <f t="shared" si="2"/>
        <v>5888181.8181818184</v>
      </c>
      <c r="M10" s="452" t="s">
        <v>1282</v>
      </c>
      <c r="N10" s="630">
        <f>IFERROR((SUMIFS('Analysis Data'!$T:$T,'Analysis Data'!$D:$D,B10,'Analysis Data'!$R:$R,$N$9,'Analysis Data'!$J:$J,"&gt;="&amp;H2))/C10,0)</f>
        <v>54</v>
      </c>
      <c r="O10" s="631">
        <f t="shared" ref="O10:O20" si="3">N10*C10/$C$21</f>
        <v>15.775724528515928</v>
      </c>
      <c r="P10" s="632">
        <f>IFERROR((SUMIFS('Analysis Data'!$T:$T,'Analysis Data'!$D:$D,B10,'Analysis Data'!$R:$R,$P$9,'Analysis Data'!$J:$J,"&gt;="&amp;H2))/D10,0)</f>
        <v>48.022770398481974</v>
      </c>
      <c r="Q10" s="633">
        <f t="shared" ref="Q10:Q20" si="4">P10*D10/$D$21</f>
        <v>11.819724449287772</v>
      </c>
      <c r="R10" s="634">
        <f>IFERROR((SUMIFS('Analysis Data'!$T:$T,'Analysis Data'!$D:$D,B10,'Analysis Data'!$J:$J,"&gt;="&amp;H2))/E10,0)</f>
        <v>51.081982399258919</v>
      </c>
      <c r="S10" s="635">
        <f t="shared" ref="S10:S20" si="5">R10*E10/$E$21</f>
        <v>13.675106481761299</v>
      </c>
      <c r="T10" s="636">
        <f>IFERROR((SUMIFS('Analysis Data'!$U:$U,'Analysis Data'!$D:$D,B10,'Analysis Data'!$R:$R,$T$9))/C44,0)</f>
        <v>53.889610942187616</v>
      </c>
      <c r="U10" s="637">
        <f t="shared" ref="U10:U20" si="6">T10*C44/$C$55</f>
        <v>7.5617204850065596</v>
      </c>
      <c r="V10" s="638">
        <f>IFERROR((SUMIFS('Analysis Data'!$U:$U,'Analysis Data'!$D:$D,B10,'Analysis Data'!$R:$R,$V$9))/D44,0)</f>
        <v>47.810528600911802</v>
      </c>
      <c r="W10" s="633">
        <f t="shared" ref="W10:W20" si="7">V10*D44/$D$55</f>
        <v>4.0588736651141648</v>
      </c>
      <c r="X10" s="634">
        <f>IFERROR((SUMIFS('Analysis Data'!$U:$U,'Analysis Data'!$D:$D,B10))/E44,0)</f>
        <v>50.976098663835707</v>
      </c>
      <c r="Y10" s="453">
        <f t="shared" ref="Y10:Y20" si="8">X10*E44/$E$55</f>
        <v>5.4482071184592762</v>
      </c>
      <c r="AA10" s="454" t="s">
        <v>1282</v>
      </c>
      <c r="AB10" s="498">
        <f>IFERROR(SUMIFS('Analysis Data'!$F:$F,'Analysis Data'!$D:$D,AA10,'Analysis Data'!$R:$R,$AB$9,'Analysis Data'!$E:$E,"&gt;=2")/E64,0)</f>
        <v>9.2855431344692121E-3</v>
      </c>
      <c r="AC10" s="499">
        <f>IFERROR(SUMIFS('Analysis Data'!$F:$F,'Analysis Data'!$D:$D,AA10,'Analysis Data'!$R:$R,$AC$9,'Analysis Data'!$E:$E,"&gt;=2")/E64,0)</f>
        <v>5.739387693843908E-3</v>
      </c>
      <c r="AD10" s="500">
        <f>IFERROR(SUMIFS('Analysis Data'!$F:$F,'Analysis Data'!$D:$D,AA10,'Analysis Data'!$E:$E,"&gt;=2")/E64,0)</f>
        <v>1.5024930828313127E-2</v>
      </c>
      <c r="AE10" s="498">
        <f>IFERROR(SUMIFS('Analysis Data'!$F:$F,'Analysis Data'!$D:$D,AA10,'Analysis Data'!$R:$R,$AB$9,'Analysis Data'!$E:$E,"&gt;30")/C44,0)</f>
        <v>7.796946337439771E-2</v>
      </c>
      <c r="AF10" s="499">
        <f>IFERROR(SUMIFS('Analysis Data'!$F:$F,'Analysis Data'!$D:$D,AA10,'Analysis Data'!$R:$R,$AC$9,'Analysis Data'!$E:$E,"&gt;30")/D44,0)</f>
        <v>6.8714524347261385E-2</v>
      </c>
      <c r="AG10" s="500">
        <f>IFERROR(SUMIFS('Analysis Data'!$F:$F,'Analysis Data'!$D:$D,AA10,'Analysis Data'!$E:$E,"&gt;30")/E44,0)</f>
        <v>7.3533863233258473E-2</v>
      </c>
      <c r="AH10" s="498">
        <f>IFERROR(SUMIFS('Analysis Data'!$F:$F,'Analysis Data'!$D:$D,AA10,'Analysis Data'!$R:$R,$AB$9,'Analysis Data'!$E:$E,"&gt;60")/C44,0)</f>
        <v>5.2672209577900163E-2</v>
      </c>
      <c r="AI10" s="499">
        <f>IFERROR(SUMIFS('Analysis Data'!$F:$F,'Analysis Data'!$D:$D,AA10,'Analysis Data'!$R:$R,$AC$9,'Analysis Data'!$E:$E,"&gt;60")/D44,0)</f>
        <v>4.2009194238875829E-2</v>
      </c>
      <c r="AJ10" s="500">
        <f>IFERROR(SUMIFS('Analysis Data'!$F:$F,'Analysis Data'!$D:$D,AA10,'Analysis Data'!$E:$E,"&gt;60")/E44,0)</f>
        <v>4.7561762906769493E-2</v>
      </c>
      <c r="AK10" s="498">
        <f>IFERROR(SUMIFS('Analysis Data'!$F:$F,'Analysis Data'!$D:$D,AA10,'Analysis Data'!$R:$R,$AB$9,'Analysis Data'!$E:$E,"&gt;90")/C44,0)</f>
        <v>3.672660690920667E-2</v>
      </c>
      <c r="AL10" s="499">
        <f>IFERROR(SUMIFS('Analysis Data'!$F:$F,'Analysis Data'!$D:$D,AA10,'Analysis Data'!$R:$R,$AC$9,'Analysis Data'!$E:$E,"&gt;90")/D44,0)</f>
        <v>2.5106799479999362E-2</v>
      </c>
      <c r="AM10" s="534">
        <f>IFERROR(SUMIFS('Analysis Data'!$F:$F,'Analysis Data'!$D:$D,AA10,'Analysis Data'!$E:$E,"&gt;90")/E44,0)</f>
        <v>3.1157599990643492E-2</v>
      </c>
      <c r="AO10" s="620" t="s">
        <v>3001</v>
      </c>
      <c r="AP10" s="606">
        <f>IFERROR(SUMIFS('Analysis Data'!$F:$F,'Analysis Data'!$R:$R,$AP$9,'Analysis Data'!$E:$E,"&gt;2",'Analysis Data'!$S:$S,"&lt;=15000000")/E64,0)</f>
        <v>1.8599116255274276E-2</v>
      </c>
      <c r="AQ10" s="607">
        <f>IFERROR(SUMIFS('Analysis Data'!$F:$F,'Analysis Data'!$R:$R,$AQ$9,'Analysis Data'!$E:$E,"&gt;2",'Analysis Data'!$S:$S,"&lt;=15000000")/E64,0)</f>
        <v>8.0766122513959236E-3</v>
      </c>
      <c r="AR10" s="608">
        <f>IFERROR(SUMIFS('Analysis Data'!$F:$F,'Analysis Data'!$E:$E,"&gt;2",'Analysis Data'!$S:$S,"&lt;=15000000")/$E$64,0)</f>
        <v>2.6675728506670198E-2</v>
      </c>
      <c r="AS10" s="609">
        <f>IFERROR(SUMIFS('Analysis Data'!$F:$F,'Analysis Data'!$R:$R,$AP$9,'Analysis Data'!$E:$E,"&gt;31",'Analysis Data'!$S:$S,"&lt;=15000000")/$E$64,0)</f>
        <v>9.3135839932755107E-3</v>
      </c>
      <c r="AT10" s="607">
        <f>IFERROR(SUMIFS('Analysis Data'!$F:$F,'Analysis Data'!$R:$R,$AQ$9,'Analysis Data'!$E:$E,"&gt;32",'Analysis Data'!$S:$S,"&lt;=15000000")/$E$64,0)</f>
        <v>3.9439601437808742E-3</v>
      </c>
      <c r="AU10" s="608">
        <f>IFERROR(SUMIFS('Analysis Data'!$F:$F,'Analysis Data'!$E:$E,"&gt;32",'Analysis Data'!$S:$S,"&lt;=15000000")/$E$64,0)</f>
        <v>1.325754413705639E-2</v>
      </c>
      <c r="AV10" s="609">
        <f>IFERROR(SUMIFS('Analysis Data'!$F:$F,'Analysis Data'!$R:$R,$AP$9,'Analysis Data'!$E:$E,"&gt;62",'Analysis Data'!$S:$S,"&lt;=15000000")/$C$61,0)</f>
        <v>5.9008687783762531E-2</v>
      </c>
      <c r="AW10" s="607">
        <f>IFERROR(SUMIFS('Analysis Data'!$F:$F,'Analysis Data'!$R:$R,$AQ$9,'Analysis Data'!$E:$E,"&gt;62",'Analysis Data'!$S:$S,"&lt;=15000000")/$D$61,0)</f>
        <v>2.7843761003484811E-2</v>
      </c>
      <c r="AX10" s="608">
        <f>IFERROR(SUMIFS('Analysis Data'!$F:$F,'Analysis Data'!$E:$E,"&gt;62",'Analysis Data'!$S:$S,"&lt;=15000000")/$E$61,0)</f>
        <v>4.5592196910018513E-2</v>
      </c>
      <c r="AY10" s="609">
        <f>IFERROR(SUMIFS('Analysis Data'!$F:$F,'Analysis Data'!$R:$R,$AP$9,'Analysis Data'!$E:$E,"&gt;92",'Analysis Data'!$S:$S,"&lt;=15000000")/$C$61,0)</f>
        <v>4.2804220944441883E-2</v>
      </c>
      <c r="AZ10" s="607">
        <f>IFERROR(SUMIFS('Analysis Data'!$F:$F,'Analysis Data'!$R:$R,$AQ$9,'Analysis Data'!$E:$E,"&gt;92",'Analysis Data'!$S:$S,"&lt;=15000000")/$D$61,0)</f>
        <v>1.6916316595189069E-2</v>
      </c>
      <c r="BA10" s="619">
        <f>IFERROR(SUMIFS('Analysis Data'!$F:$F,'Analysis Data'!$E:$E,"&gt;92",'Analysis Data'!$S:$S,"&lt;=15000000")/$E$61,0)</f>
        <v>3.1659486516190057E-2</v>
      </c>
    </row>
    <row r="11" spans="2:53" s="451" customFormat="1" ht="12" x14ac:dyDescent="0.25">
      <c r="B11" s="412" t="s">
        <v>1281</v>
      </c>
      <c r="C11" s="446">
        <f>SUMIFS('Analysis Data'!$S:$S,'Analysis Data'!$D:$D,B11,'Analysis Data'!$R:$R,$C$9,'Analysis Data'!$J:$J,"&gt;="&amp;H2)</f>
        <v>365000000</v>
      </c>
      <c r="D11" s="447">
        <f>SUMIFS('Analysis Data'!$S:$S,'Analysis Data'!$D:$D,B11,'Analysis Data'!$R:$R,$D$9,'Analysis Data'!$J:$J,"&gt;="&amp;H2)</f>
        <v>427000000</v>
      </c>
      <c r="E11" s="455">
        <f t="shared" si="0"/>
        <v>792000000</v>
      </c>
      <c r="F11" s="493">
        <f>COUNTIFS('Analysis Data'!$D:$D,B45,'Analysis Data'!$R:$R,$F$9,'Analysis Data'!$J:$J,"&gt;="&amp;H2)</f>
        <v>16</v>
      </c>
      <c r="G11" s="494">
        <f>COUNTIFS('Analysis Data'!$D:$D,B45,'Analysis Data'!$R:$R,$G$9,'Analysis Data'!$J:$J,"&gt;="&amp;H2)</f>
        <v>19</v>
      </c>
      <c r="H11" s="495">
        <f t="shared" si="1"/>
        <v>35</v>
      </c>
      <c r="I11" s="449">
        <f t="shared" ref="I11:I20" si="9">IFERROR(C11/F11,0)</f>
        <v>22812500</v>
      </c>
      <c r="J11" s="450">
        <f t="shared" si="2"/>
        <v>22473684.210526317</v>
      </c>
      <c r="K11" s="670">
        <f t="shared" si="2"/>
        <v>22628571.428571429</v>
      </c>
      <c r="M11" s="452" t="s">
        <v>1281</v>
      </c>
      <c r="N11" s="630">
        <f>IFERROR((SUMIFS('Analysis Data'!$T:$T,'Analysis Data'!$D:$D,B11,'Analysis Data'!$R:$R,$N$9,'Analysis Data'!$J:$J,"&gt;="&amp;H2))/C11,0)</f>
        <v>48</v>
      </c>
      <c r="O11" s="633">
        <f t="shared" si="3"/>
        <v>15.439958311803759</v>
      </c>
      <c r="P11" s="632">
        <f>IFERROR((SUMIFS('Analysis Data'!$T:$T,'Analysis Data'!$D:$D,B11,'Analysis Data'!$R:$R,$P$9,'Analysis Data'!$J:$J,"&gt;="&amp;H2))/D11,0)</f>
        <v>42.28103044496487</v>
      </c>
      <c r="Q11" s="633">
        <f t="shared" si="4"/>
        <v>14.053086323655329</v>
      </c>
      <c r="R11" s="634">
        <f>IFERROR((SUMIFS('Analysis Data'!$T:$T,'Analysis Data'!$D:$D,B11,'Analysis Data'!$J:$J,"&gt;="&amp;H2))/E11,0)</f>
        <v>44.916666666666664</v>
      </c>
      <c r="S11" s="635">
        <f t="shared" si="5"/>
        <v>14.703535594792219</v>
      </c>
      <c r="T11" s="636">
        <f>IFERROR((SUMIFS('Analysis Data'!$U:$U,'Analysis Data'!$D:$D,B11,'Analysis Data'!$R:$R,$T$9))/C45,0)</f>
        <v>47.314181114714984</v>
      </c>
      <c r="U11" s="637">
        <f t="shared" si="6"/>
        <v>8.9741032190938625</v>
      </c>
      <c r="V11" s="638">
        <f>IFERROR((SUMIFS('Analysis Data'!$U:$U,'Analysis Data'!$D:$D,B11,'Analysis Data'!$R:$R,$V$9))/D45,0)</f>
        <v>42.508999506113319</v>
      </c>
      <c r="W11" s="633">
        <f t="shared" si="7"/>
        <v>6.0843123774107415</v>
      </c>
      <c r="X11" s="634">
        <f>IFERROR((SUMIFS('Analysis Data'!$U:$U,'Analysis Data'!$D:$D,B11))/E45,0)</f>
        <v>44.74608307045132</v>
      </c>
      <c r="Y11" s="453">
        <f t="shared" si="8"/>
        <v>7.230489557274983</v>
      </c>
      <c r="AA11" s="454" t="s">
        <v>1281</v>
      </c>
      <c r="AB11" s="498">
        <f>IFERROR(SUMIFS('Analysis Data'!$F:$F,'Analysis Data'!$D:$D,AA11,'Analysis Data'!$R:$R,$AB$9,'Analysis Data'!$E:$E,"&gt;=2")/E64,0)</f>
        <v>1.9712431991280883E-2</v>
      </c>
      <c r="AC11" s="499">
        <f>IFERROR(SUMIFS('Analysis Data'!$F:$F,'Analysis Data'!$D:$D,AA11,'Analysis Data'!$R:$R,$AC$9,'Analysis Data'!$E:$E,"&gt;=2")/E64,0)</f>
        <v>1.7182450817958848E-2</v>
      </c>
      <c r="AD11" s="500">
        <f>IFERROR(SUMIFS('Analysis Data'!$F:$F,'Analysis Data'!$D:$D,AA11,'Analysis Data'!$E:$E,"&gt;=2")/E64,0)</f>
        <v>3.6894882809239728E-2</v>
      </c>
      <c r="AE11" s="498">
        <f>IFERROR(SUMIFS('Analysis Data'!$F:$F,'Analysis Data'!$D:$D,AA11,'Analysis Data'!$R:$R,$AB$9,'Analysis Data'!$E:$E,"&gt;30")/C45,0)</f>
        <v>0.10642924299012579</v>
      </c>
      <c r="AF11" s="499">
        <f>IFERROR(SUMIFS('Analysis Data'!$F:$F,'Analysis Data'!$D:$D,AA11,'Analysis Data'!$R:$R,$AC$9,'Analysis Data'!$E:$E,"&gt;30")/D45,0)</f>
        <v>7.2505671022543405E-2</v>
      </c>
      <c r="AG11" s="500">
        <f>IFERROR(SUMIFS('Analysis Data'!$F:$F,'Analysis Data'!$D:$D,AA11,'Analysis Data'!$E:$E,"&gt;30")/E45,0)</f>
        <v>8.8299010686639881E-2</v>
      </c>
      <c r="AH11" s="498">
        <f>IFERROR(SUMIFS('Analysis Data'!$F:$F,'Analysis Data'!$D:$D,AA11,'Analysis Data'!$R:$R,$AB$9,'Analysis Data'!$E:$E,"&gt;60")/C45,0)</f>
        <v>9.7105736624743075E-2</v>
      </c>
      <c r="AI11" s="499">
        <f>IFERROR(SUMIFS('Analysis Data'!$F:$F,'Analysis Data'!$D:$D,AA11,'Analysis Data'!$R:$R,$AC$9,'Analysis Data'!$E:$E,"&gt;60")/D45,0)</f>
        <v>4.699691323023486E-2</v>
      </c>
      <c r="AJ11" s="500">
        <f>IFERROR(SUMIFS('Analysis Data'!$F:$F,'Analysis Data'!$D:$D,AA11,'Analysis Data'!$E:$E,"&gt;60")/E45,0)</f>
        <v>7.0325402010660051E-2</v>
      </c>
      <c r="AK11" s="498">
        <f>IFERROR(SUMIFS('Analysis Data'!$F:$F,'Analysis Data'!$D:$D,AA11,'Analysis Data'!$R:$R,$AB$9,'Analysis Data'!$E:$E,"&gt;90")/C45,0)</f>
        <v>5.1478624272161246E-2</v>
      </c>
      <c r="AL11" s="499">
        <f>IFERROR(SUMIFS('Analysis Data'!$F:$F,'Analysis Data'!$D:$D,AA11,'Analysis Data'!$R:$R,$AC$9,'Analysis Data'!$E:$E,"&gt;90")/D45,0)</f>
        <v>1.7951077155384392E-2</v>
      </c>
      <c r="AM11" s="534">
        <f>IFERROR(SUMIFS('Analysis Data'!$F:$F,'Analysis Data'!$D:$D,AA11,'Analysis Data'!$E:$E,"&gt;90")/E45,0)</f>
        <v>3.3560044873325798E-2</v>
      </c>
      <c r="AO11" s="621" t="s">
        <v>3002</v>
      </c>
      <c r="AP11" s="604">
        <f>IFERROR(SUMIFS('Analysis Data'!$F:$F,'Analysis Data'!$R:$R,$AP$9,'Analysis Data'!$E:$E,"&gt;2",'Analysis Data'!$S:$S,"&gt;15000000",'Analysis Data'!$S:$S,"&lt;=30000000")/E64,0)</f>
        <v>2.5594595184300937E-2</v>
      </c>
      <c r="AQ11" s="603">
        <f>IFERROR(SUMIFS('Analysis Data'!$F:$F,'Analysis Data'!$R:$R,$AQ$9,'Analysis Data'!$E:$E,"&gt;2",'Analysis Data'!$S:$S,"&gt;15000000",'Analysis Data'!$S:$S,"&lt;=30000000")/E64,0)</f>
        <v>1.9178527826775153E-2</v>
      </c>
      <c r="AR11" s="601">
        <f>IFERROR(SUMIFS('Analysis Data'!$F:$F,'Analysis Data'!$E:$E,"&gt;2",'Analysis Data'!$S:$S,"&gt;15000000",'Analysis Data'!$S:$S,"&lt;=30000000")/$E$64,0)</f>
        <v>4.4773123011076076E-2</v>
      </c>
      <c r="AS11" s="602">
        <f>IFERROR(SUMIFS('Analysis Data'!$F:$F,'Analysis Data'!$R:$R,$AP$9,'Analysis Data'!$E:$E,"&gt;31",'Analysis Data'!$S:$S,"&gt;15000000",'Analysis Data'!$S:$S,"&lt;=30000000")/$E$64,0)</f>
        <v>8.0065616619509929E-3</v>
      </c>
      <c r="AT11" s="603">
        <f>IFERROR(SUMIFS('Analysis Data'!$F:$F,'Analysis Data'!$R:$R,$AQ$9,'Analysis Data'!$E:$E,"&gt;32",'Analysis Data'!$S:$S,"&gt;15000000",'Analysis Data'!$S:$S,"&lt;=30000000")/$E$64,0)</f>
        <v>7.0055591952008119E-3</v>
      </c>
      <c r="AU11" s="601">
        <f>IFERROR(SUMIFS('Analysis Data'!$F:$F,'Analysis Data'!$E:$E,"&gt;32",'Analysis Data'!$S:$S,"&gt;15000000",'Analysis Data'!$S:$S,"&lt;=30000000")/$E$64,0)</f>
        <v>1.5012120857151803E-2</v>
      </c>
      <c r="AV11" s="602">
        <f>IFERROR(SUMIFS('Analysis Data'!$F:$F,'Analysis Data'!$R:$R,$AP$9,'Analysis Data'!$E:$E,"&gt;62",'Analysis Data'!$S:$S,"&gt;15000000",'Analysis Data'!$S:$S,"&lt;=30000000")/$C$62,0)</f>
        <v>6.3140380006104488E-2</v>
      </c>
      <c r="AW11" s="603">
        <f>IFERROR(SUMIFS('Analysis Data'!$F:$F,'Analysis Data'!$R:$R,$AQ$9,'Analysis Data'!$E:$E,"&gt;62",'Analysis Data'!$S:$S,"&gt;15000000",'Analysis Data'!$S:$S,"&lt;=30000000")/$D$62,0)</f>
        <v>2.9941745423558631E-2</v>
      </c>
      <c r="AX11" s="601">
        <f>IFERROR(SUMIFS('Analysis Data'!$F:$F,'Analysis Data'!$E:$E,"&gt;62",'Analysis Data'!$S:$S,"&gt;15000000",'Analysis Data'!$S:$S,"&lt;=30000000")/$E$62,0)</f>
        <v>4.4821982022477017E-2</v>
      </c>
      <c r="AY11" s="602">
        <f>IFERROR(SUMIFS('Analysis Data'!$F:$F,'Analysis Data'!$R:$R,$AP$9,'Analysis Data'!$E:$E,"&gt;92",'Analysis Data'!$S:$S,"&gt;15000000",'Analysis Data'!$S:$S,"&lt;=30000000")/$C$62,0)</f>
        <v>3.3472583718679304E-2</v>
      </c>
      <c r="AZ11" s="603">
        <f>IFERROR(SUMIFS('Analysis Data'!$F:$F,'Analysis Data'!$R:$R,$AQ$9,'Analysis Data'!$E:$E,"&gt;92",'Analysis Data'!$S:$S,"&gt;15000000",'Analysis Data'!$S:$S,"&lt;=30000000")/$D$62,0)</f>
        <v>1.0884401593855167E-2</v>
      </c>
      <c r="BA11" s="618">
        <f>IFERROR(SUMIFS('Analysis Data'!$F:$F,'Analysis Data'!$E:$E,"&gt;92",'Analysis Data'!$S:$S,"&gt;15000000",'Analysis Data'!$S:$S,"&lt;=30000000")/$E$62,0)</f>
        <v>2.1008838896272277E-2</v>
      </c>
    </row>
    <row r="12" spans="2:53" s="451" customFormat="1" ht="12.6" thickBot="1" x14ac:dyDescent="0.3">
      <c r="B12" s="412" t="s">
        <v>1283</v>
      </c>
      <c r="C12" s="446">
        <f>SUMIFS('Analysis Data'!$S:$S,'Analysis Data'!$D:$D,B12,'Analysis Data'!$R:$R,$C$9,'Analysis Data'!$J:$J,"&gt;="&amp;H2)</f>
        <v>0</v>
      </c>
      <c r="D12" s="447">
        <f>SUMIFS('Analysis Data'!$S:$S,'Analysis Data'!$D:$D,B12,'Analysis Data'!$R:$R,$D$9,'Analysis Data'!$J:$J,"&gt;="&amp;H2)</f>
        <v>31500000</v>
      </c>
      <c r="E12" s="455">
        <f t="shared" si="0"/>
        <v>31500000</v>
      </c>
      <c r="F12" s="493">
        <f>COUNTIFS('Analysis Data'!$D:$D,B46,'Analysis Data'!$R:$R,$F$9,'Analysis Data'!$J:$J,"&gt;="&amp;H2)</f>
        <v>0</v>
      </c>
      <c r="G12" s="494">
        <f>COUNTIFS('Analysis Data'!$D:$D,B46,'Analysis Data'!$R:$R,$G$9,'Analysis Data'!$J:$J,"&gt;="&amp;H2)</f>
        <v>1</v>
      </c>
      <c r="H12" s="495">
        <f t="shared" si="1"/>
        <v>1</v>
      </c>
      <c r="I12" s="449">
        <f t="shared" si="9"/>
        <v>0</v>
      </c>
      <c r="J12" s="450">
        <f t="shared" si="2"/>
        <v>31500000</v>
      </c>
      <c r="K12" s="670">
        <f t="shared" si="2"/>
        <v>31500000</v>
      </c>
      <c r="M12" s="452" t="s">
        <v>1283</v>
      </c>
      <c r="N12" s="630">
        <f>IFERROR((SUMIFS('Analysis Data'!$T:$T,'Analysis Data'!$D:$D,B12,'Analysis Data'!$R:$R,$N$9,'Analysis Data'!$J:$J,"&gt;="&amp;H2))/C12,0)</f>
        <v>0</v>
      </c>
      <c r="O12" s="633">
        <f t="shared" si="3"/>
        <v>0</v>
      </c>
      <c r="P12" s="632">
        <f>IFERROR((SUMIFS('Analysis Data'!$T:$T,'Analysis Data'!$D:$D,B12,'Analysis Data'!$R:$R,$P$9,'Analysis Data'!$J:$J,"&gt;="&amp;H2))/D12,0)</f>
        <v>36</v>
      </c>
      <c r="Q12" s="633">
        <f t="shared" si="4"/>
        <v>0.88269634934225893</v>
      </c>
      <c r="R12" s="634">
        <f>IFERROR((SUMIFS('Analysis Data'!$T:$T,'Analysis Data'!$D:$D,B12,'Analysis Data'!$J:$J,"&gt;="&amp;H2))/E12,0)</f>
        <v>36</v>
      </c>
      <c r="S12" s="635">
        <f t="shared" si="5"/>
        <v>0.46870774623304595</v>
      </c>
      <c r="T12" s="636">
        <f>IFERROR((SUMIFS('Analysis Data'!$U:$U,'Analysis Data'!$D:$D,B12,'Analysis Data'!$R:$R,$T$9))/C46,0)</f>
        <v>39.05108316708823</v>
      </c>
      <c r="U12" s="637">
        <f t="shared" si="6"/>
        <v>10.58096306662036</v>
      </c>
      <c r="V12" s="638">
        <f>IFERROR((SUMIFS('Analysis Data'!$U:$U,'Analysis Data'!$D:$D,B12,'Analysis Data'!$R:$R,$V$9))/D46,0)</f>
        <v>36.216229159410197</v>
      </c>
      <c r="W12" s="633">
        <f t="shared" si="7"/>
        <v>13.669669928294256</v>
      </c>
      <c r="X12" s="634">
        <f>IFERROR((SUMIFS('Analysis Data'!$U:$U,'Analysis Data'!$D:$D,B12))/E46,0)</f>
        <v>37.125084540325268</v>
      </c>
      <c r="Y12" s="453">
        <f t="shared" si="8"/>
        <v>12.444596726083264</v>
      </c>
      <c r="AA12" s="454" t="s">
        <v>1283</v>
      </c>
      <c r="AB12" s="498">
        <f>IFERROR(SUMIFS('Analysis Data'!$F:$F,'Analysis Data'!$D:$D,AA12,'Analysis Data'!$R:$R,$AB$9,'Analysis Data'!$E:$E,"&gt;=2")/E64,0)</f>
        <v>2.4849233963988245E-2</v>
      </c>
      <c r="AC12" s="499">
        <f>IFERROR(SUMIFS('Analysis Data'!$F:$F,'Analysis Data'!$D:$D,AA12,'Analysis Data'!$R:$R,$AC$9,'Analysis Data'!$E:$E,"&gt;=2")/E64,0)</f>
        <v>6.553863124188905E-2</v>
      </c>
      <c r="AD12" s="500">
        <f>IFERROR(SUMIFS('Analysis Data'!$F:$F,'Analysis Data'!$D:$D,AA12,'Analysis Data'!$E:$E,"&gt;=2")/E64,0)</f>
        <v>9.0387865205877313E-2</v>
      </c>
      <c r="AE12" s="498">
        <f>IFERROR(SUMIFS('Analysis Data'!$F:$F,'Analysis Data'!$D:$D,AA12,'Analysis Data'!$R:$R,$AB$9,'Analysis Data'!$E:$E,"&gt;30")/C46,0)</f>
        <v>0.10110803420431907</v>
      </c>
      <c r="AF12" s="499">
        <f>IFERROR(SUMIFS('Analysis Data'!$F:$F,'Analysis Data'!$D:$D,AA12,'Analysis Data'!$R:$R,$AC$9,'Analysis Data'!$E:$E,"&gt;30")/D46,0)</f>
        <v>0.12022748637674678</v>
      </c>
      <c r="AG12" s="500">
        <f>IFERROR(SUMIFS('Analysis Data'!$F:$F,'Analysis Data'!$D:$D,AA12,'Analysis Data'!$E:$E,"&gt;30")/E46,0)</f>
        <v>0.11409778201102079</v>
      </c>
      <c r="AH12" s="498">
        <f>IFERROR(SUMIFS('Analysis Data'!$F:$F,'Analysis Data'!$D:$D,AA12,'Analysis Data'!$R:$R,$AB$9,'Analysis Data'!$E:$E,"&gt;60")/C46,0)</f>
        <v>9.1868387587652159E-2</v>
      </c>
      <c r="AI12" s="499">
        <f>IFERROR(SUMIFS('Analysis Data'!$F:$F,'Analysis Data'!$D:$D,AA12,'Analysis Data'!$R:$R,$AC$9,'Analysis Data'!$E:$E,"&gt;60")/D46,0)</f>
        <v>7.7881473936589826E-2</v>
      </c>
      <c r="AJ12" s="500">
        <f>IFERROR(SUMIFS('Analysis Data'!$F:$F,'Analysis Data'!$D:$D,AA12,'Analysis Data'!$E:$E,"&gt;60")/E46,0)</f>
        <v>8.2365684305001421E-2</v>
      </c>
      <c r="AK12" s="498">
        <f>IFERROR(SUMIFS('Analysis Data'!$F:$F,'Analysis Data'!$D:$D,AA12,'Analysis Data'!$R:$R,$AB$9,'Analysis Data'!$E:$E,"&gt;90")/C46,0)</f>
        <v>7.7430219373192166E-2</v>
      </c>
      <c r="AL12" s="499">
        <f>IFERROR(SUMIFS('Analysis Data'!$F:$F,'Analysis Data'!$D:$D,AA12,'Analysis Data'!$R:$R,$AC$9,'Analysis Data'!$E:$E,"&gt;90")/D46,0)</f>
        <v>3.2518087697444263E-2</v>
      </c>
      <c r="AM12" s="534">
        <f>IFERROR(SUMIFS('Analysis Data'!$F:$F,'Analysis Data'!$D:$D,AA12,'Analysis Data'!$E:$E,"&gt;90")/E46,0)</f>
        <v>4.6916935903142526E-2</v>
      </c>
      <c r="AO12" s="621" t="s">
        <v>3003</v>
      </c>
      <c r="AP12" s="604">
        <f>IFERROR(SUMIFS('Analysis Data'!$F:$F,'Analysis Data'!$R:$R,$AP$9,'Analysis Data'!$E:$E,"&gt;2",'Analysis Data'!$S:$S,"&gt;30000000")/E64,0)</f>
        <v>3.366189277283934E-2</v>
      </c>
      <c r="AQ12" s="603">
        <f>IFERROR(SUMIFS('Analysis Data'!$F:$F,'Analysis Data'!$R:$R,$AQ$9,'Analysis Data'!$E:$E,"&gt;2",'Analysis Data'!$S:$S,"&gt;30000000")/E64,0)</f>
        <v>0.10670433348077552</v>
      </c>
      <c r="AR12" s="601">
        <f>IFERROR(SUMIFS('Analysis Data'!$F:$F,'Analysis Data'!$E:$E,"&gt;2",'Analysis Data'!$S:$S,"&gt;30000000")/$E$64,0)</f>
        <v>0.14036622625361492</v>
      </c>
      <c r="AS12" s="602">
        <f>IFERROR(SUMIFS('Analysis Data'!$F:$F,'Analysis Data'!$R:$R,$AP$9,'Analysis Data'!$E:$E,"&gt;31",'Analysis Data'!$S:$S,"&gt;30000000")/$E$64,0)</f>
        <v>1.4401300935421598E-2</v>
      </c>
      <c r="AT12" s="603">
        <f>IFERROR(SUMIFS('Analysis Data'!$F:$F,'Analysis Data'!$R:$R,$AQ$9,'Analysis Data'!$E:$E,"&gt;32",'Analysis Data'!$S:$S,"&gt;30000000")/$E$64,0)</f>
        <v>3.8066647814902668E-2</v>
      </c>
      <c r="AU12" s="601">
        <f>IFERROR(SUMIFS('Analysis Data'!$F:$F,'Analysis Data'!$E:$E,"&gt;32",'Analysis Data'!$S:$S,"&gt;30000000")/$E$64,0)</f>
        <v>5.2467948750324261E-2</v>
      </c>
      <c r="AV12" s="602">
        <f>IFERROR(SUMIFS('Analysis Data'!$F:$F,'Analysis Data'!$R:$R,$AP$9,'Analysis Data'!$E:$E,"&gt;62",'Analysis Data'!$S:$S,"&gt;30000000")/$C$63,0)</f>
        <v>6.5614864101691733E-2</v>
      </c>
      <c r="AW12" s="603">
        <f>IFERROR(SUMIFS('Analysis Data'!$F:$F,'Analysis Data'!$R:$R,$AQ$9,'Analysis Data'!$E:$E,"&gt;62",'Analysis Data'!$S:$S,"&gt;30000000")/$D$63,0)</f>
        <v>5.8224291131512437E-2</v>
      </c>
      <c r="AX12" s="601">
        <f>IFERROR(SUMIFS('Analysis Data'!$F:$F,'Analysis Data'!$E:$E,"&gt;62",'Analysis Data'!$S:$S,"&gt;30000000")/$E$63,0)</f>
        <v>6.0537114651671206E-2</v>
      </c>
      <c r="AY12" s="602">
        <f>IFERROR(SUMIFS('Analysis Data'!$F:$F,'Analysis Data'!$R:$R,$AP$9,'Analysis Data'!$E:$E,"&gt;92",'Analysis Data'!$S:$S,"&gt;30000000")/$C$63,0)</f>
        <v>4.8189789664680807E-2</v>
      </c>
      <c r="AZ12" s="603">
        <f>IFERROR(SUMIFS('Analysis Data'!$F:$F,'Analysis Data'!$R:$R,$AQ$9,'Analysis Data'!$E:$E,"&gt;92",'Analysis Data'!$S:$S,"&gt;30000000")/$D$63,0)</f>
        <v>3.0973292329515213E-2</v>
      </c>
      <c r="BA12" s="618">
        <f>IFERROR(SUMIFS('Analysis Data'!$F:$F,'Analysis Data'!$E:$E,"&gt;92",'Analysis Data'!$S:$S,"&gt;30000000")/$E$63,0)</f>
        <v>3.6361064039799239E-2</v>
      </c>
    </row>
    <row r="13" spans="2:53" s="451" customFormat="1" ht="13.8" thickBot="1" x14ac:dyDescent="0.3">
      <c r="B13" s="412" t="s">
        <v>1279</v>
      </c>
      <c r="C13" s="446">
        <f>SUMIFS('Analysis Data'!$S:$S,'Analysis Data'!$D:$D,B13,'Analysis Data'!$R:$R,$C$9,'Analysis Data'!$J:$J,"&gt;="&amp;H2)</f>
        <v>120200000</v>
      </c>
      <c r="D13" s="447">
        <f>SUMIFS('Analysis Data'!$S:$S,'Analysis Data'!$D:$D,B13,'Analysis Data'!$R:$R,$D$9,'Analysis Data'!$J:$J,"&gt;="&amp;H2)</f>
        <v>48500000</v>
      </c>
      <c r="E13" s="455">
        <f t="shared" si="0"/>
        <v>168700000</v>
      </c>
      <c r="F13" s="493">
        <f>COUNTIFS('Analysis Data'!$D:$D,B47,'Analysis Data'!$R:$R,$F$9,'Analysis Data'!$J:$J,"&gt;="&amp;H2)</f>
        <v>41</v>
      </c>
      <c r="G13" s="494">
        <f>COUNTIFS('Analysis Data'!$D:$D,B47,'Analysis Data'!$R:$R,$G$9,'Analysis Data'!$J:$J,"&gt;="&amp;H2)</f>
        <v>16</v>
      </c>
      <c r="H13" s="495">
        <f t="shared" si="1"/>
        <v>57</v>
      </c>
      <c r="I13" s="449">
        <f t="shared" si="9"/>
        <v>2931707.3170731706</v>
      </c>
      <c r="J13" s="450">
        <f t="shared" si="2"/>
        <v>3031250</v>
      </c>
      <c r="K13" s="670">
        <f t="shared" si="2"/>
        <v>2959649.1228070175</v>
      </c>
      <c r="M13" s="452" t="s">
        <v>1279</v>
      </c>
      <c r="N13" s="630">
        <f>IFERROR((SUMIFS('Analysis Data'!$T:$T,'Analysis Data'!$D:$D,B13,'Analysis Data'!$R:$R,$N$9,'Analysis Data'!$J:$J,"&gt;="&amp;H2))/C13,0)</f>
        <v>54</v>
      </c>
      <c r="O13" s="633">
        <f t="shared" si="3"/>
        <v>5.7201872951059265</v>
      </c>
      <c r="P13" s="632">
        <f>IFERROR((SUMIFS('Analysis Data'!$T:$T,'Analysis Data'!$D:$D,B13,'Analysis Data'!$R:$R,$P$9,'Analysis Data'!$J:$J,"&gt;="&amp;H2))/D13,0)</f>
        <v>48</v>
      </c>
      <c r="Q13" s="633">
        <f t="shared" si="4"/>
        <v>1.8120962092317272</v>
      </c>
      <c r="R13" s="634">
        <f>IFERROR((SUMIFS('Analysis Data'!$T:$T,'Analysis Data'!$D:$D,B13,'Analysis Data'!$J:$J,"&gt;="&amp;H2))/E13,0)</f>
        <v>52.275044457617071</v>
      </c>
      <c r="S13" s="635">
        <f t="shared" si="5"/>
        <v>3.64500870589064</v>
      </c>
      <c r="T13" s="636">
        <f>IFERROR((SUMIFS('Analysis Data'!$U:$U,'Analysis Data'!$D:$D,B13,'Analysis Data'!$R:$R,$T$9))/C47,0)</f>
        <v>53.897757749374946</v>
      </c>
      <c r="U13" s="637">
        <f t="shared" si="6"/>
        <v>1.8387864581332205</v>
      </c>
      <c r="V13" s="638">
        <f>IFERROR((SUMIFS('Analysis Data'!$U:$U,'Analysis Data'!$D:$D,B13,'Analysis Data'!$R:$R,$V$9))/D47,0)</f>
        <v>48.089741974872645</v>
      </c>
      <c r="W13" s="633">
        <f t="shared" si="7"/>
        <v>0.58158709266637321</v>
      </c>
      <c r="X13" s="634">
        <f>IFERROR((SUMIFS('Analysis Data'!$U:$U,'Analysis Data'!$D:$D,B13))/E47,0)</f>
        <v>51.862987785287203</v>
      </c>
      <c r="Y13" s="453">
        <f t="shared" si="8"/>
        <v>1.080229832636656</v>
      </c>
      <c r="AA13" s="454" t="s">
        <v>1279</v>
      </c>
      <c r="AB13" s="498">
        <f>IFERROR(SUMIFS('Analysis Data'!$F:$F,'Analysis Data'!$D:$D,AA13,'Analysis Data'!$R:$R,$AB$9,'Analysis Data'!$E:$E,"&gt;=2")/E64,0)</f>
        <v>2.256710922437797E-3</v>
      </c>
      <c r="AC13" s="499">
        <f>IFERROR(SUMIFS('Analysis Data'!$F:$F,'Analysis Data'!$D:$D,AA13,'Analysis Data'!$R:$R,$AC$9,'Analysis Data'!$E:$E,"&gt;=2")/E64,0)</f>
        <v>5.5130072699101688E-4</v>
      </c>
      <c r="AD13" s="500">
        <f>IFERROR(SUMIFS('Analysis Data'!$F:$F,'Analysis Data'!$D:$D,AA13,'Analysis Data'!$E:$E,"&gt;=2")/E64,0)</f>
        <v>2.8080116494288137E-3</v>
      </c>
      <c r="AE13" s="498">
        <f>IFERROR(SUMIFS('Analysis Data'!$F:$F,'Analysis Data'!$D:$D,AA13,'Analysis Data'!$R:$R,$AB$9,'Analysis Data'!$E:$E,"&gt;30")/C47,0)</f>
        <v>0.1017548648347925</v>
      </c>
      <c r="AF13" s="499">
        <f>IFERROR(SUMIFS('Analysis Data'!$F:$F,'Analysis Data'!$D:$D,AA13,'Analysis Data'!$R:$R,$AC$9,'Analysis Data'!$E:$E,"&gt;30")/D47,0)</f>
        <v>2.1198297354830163E-2</v>
      </c>
      <c r="AG13" s="500">
        <f>IFERROR(SUMIFS('Analysis Data'!$F:$F,'Analysis Data'!$D:$D,AA13,'Analysis Data'!$E:$E,"&gt;30")/E47,0)</f>
        <v>7.3532819598994326E-2</v>
      </c>
      <c r="AH13" s="498">
        <f>IFERROR(SUMIFS('Analysis Data'!$F:$F,'Analysis Data'!$D:$D,AA13,'Analysis Data'!$R:$R,$AB$9,'Analysis Data'!$E:$E,"&gt;60")/C47,0)</f>
        <v>8.3237697892195789E-2</v>
      </c>
      <c r="AI13" s="499">
        <f>IFERROR(SUMIFS('Analysis Data'!$F:$F,'Analysis Data'!$D:$D,AA13,'Analysis Data'!$R:$R,$AC$9,'Analysis Data'!$E:$E,"&gt;60")/D47,0)</f>
        <v>1.0309277399907021E-2</v>
      </c>
      <c r="AJ13" s="500">
        <f>IFERROR(SUMIFS('Analysis Data'!$F:$F,'Analysis Data'!$D:$D,AA13,'Analysis Data'!$E:$E,"&gt;60")/E47,0)</f>
        <v>5.7688084167397534E-2</v>
      </c>
      <c r="AK13" s="498">
        <f>IFERROR(SUMIFS('Analysis Data'!$F:$F,'Analysis Data'!$D:$D,AA13,'Analysis Data'!$R:$R,$AB$9,'Analysis Data'!$E:$E,"&gt;90")/C47,0)</f>
        <v>7.4580338068018684E-2</v>
      </c>
      <c r="AL13" s="499">
        <f>IFERROR(SUMIFS('Analysis Data'!$F:$F,'Analysis Data'!$D:$D,AA13,'Analysis Data'!$R:$R,$AC$9,'Analysis Data'!$E:$E,"&gt;90")/D47,0)</f>
        <v>6.4118752215935456E-3</v>
      </c>
      <c r="AM13" s="534">
        <f>IFERROR(SUMIFS('Analysis Data'!$F:$F,'Analysis Data'!$D:$D,AA13,'Analysis Data'!$E:$E,"&gt;90")/E47,0)</f>
        <v>5.0698319477974159E-2</v>
      </c>
      <c r="AO13" s="622" t="s">
        <v>2900</v>
      </c>
      <c r="AP13" s="605">
        <f>IFERROR(SUMIFS('Analysis Data'!$F:$F,'Analysis Data'!$R:$R,$AP$9,'Analysis Data'!$E:$E,"&gt;2")/E64,0)</f>
        <v>7.7855604212414539E-2</v>
      </c>
      <c r="AQ13" s="600">
        <f>IFERROR(SUMIFS('Analysis Data'!$F:$F,'Analysis Data'!$R:$R,$AQ$9,'Analysis Data'!$E:$E,"&gt;2")/E64,0)</f>
        <v>0.13395947355894666</v>
      </c>
      <c r="AR13" s="598">
        <f>IFERROR(SUMIFS('Analysis Data'!$F:$F,'Analysis Data'!$E:$E,"&gt;2")/$E$64,0)</f>
        <v>0.21181507777136105</v>
      </c>
      <c r="AS13" s="599">
        <f>IFERROR(SUMIFS('Analysis Data'!$F:$F,'Analysis Data'!$R:$R,$AP$9,'Analysis Data'!$E:$E,"&gt;31")/$E$64,0)</f>
        <v>3.1721446590648107E-2</v>
      </c>
      <c r="AT13" s="600">
        <f>IFERROR(SUMIFS('Analysis Data'!$F:$F,'Analysis Data'!$R:$R,$AQ$9,'Analysis Data'!$E:$E,"&gt;32")/$E$64,0)</f>
        <v>4.9016167153884335E-2</v>
      </c>
      <c r="AU13" s="598">
        <f>IFERROR(SUMIFS('Analysis Data'!$F:$F,'Analysis Data'!$E:$E,"&gt;32")/$E$64,0)</f>
        <v>8.0737613744532477E-2</v>
      </c>
      <c r="AV13" s="599">
        <f>IFERROR(SUMIFS('Analysis Data'!$F:$F,'Analysis Data'!$R:$R,$AP$9,'Analysis Data'!$E:$E,"&gt;62")/$C$64,0)</f>
        <v>6.3089963798174387E-2</v>
      </c>
      <c r="AW13" s="600">
        <f>IFERROR(SUMIFS('Analysis Data'!$F:$F,'Analysis Data'!$R:$R,$AQ$9,'Analysis Data'!$E:$E,"&gt;62")/$D$64,0)</f>
        <v>4.7427565452551654E-2</v>
      </c>
      <c r="AX13" s="598">
        <f>IFERROR(SUMIFS('Analysis Data'!$F:$F,'Analysis Data'!$E:$E,"&gt;62")/$E$64,0)</f>
        <v>5.3639739464162915E-2</v>
      </c>
      <c r="AY13" s="599">
        <f>IFERROR(SUMIFS('Analysis Data'!$F:$F,'Analysis Data'!$R:$R,$AP$9,'Analysis Data'!$E:$E,"&gt;92")/$C$64,0)</f>
        <v>4.2426832164993517E-2</v>
      </c>
      <c r="AZ13" s="600">
        <f>IFERROR(SUMIFS('Analysis Data'!$F:$F,'Analysis Data'!$R:$R,$AQ$9,'Analysis Data'!$E:$E,"&gt;90")/$D$64,0)</f>
        <v>2.4324658928736722E-2</v>
      </c>
      <c r="BA13" s="617">
        <f>IFERROR(SUMIFS('Analysis Data'!$F:$F,'Analysis Data'!$E:$E,"&gt;92")/$E$64,0)</f>
        <v>3.1504520381014728E-2</v>
      </c>
    </row>
    <row r="14" spans="2:53" s="451" customFormat="1" ht="12" x14ac:dyDescent="0.25">
      <c r="B14" s="412" t="s">
        <v>1866</v>
      </c>
      <c r="C14" s="446">
        <f>SUMIFS('Analysis Data'!$S:$S,'Analysis Data'!$D:$D,B14,'Analysis Data'!$R:$R,$C$9,'Analysis Data'!$J:$J,"&gt;="&amp;H2)</f>
        <v>58500000</v>
      </c>
      <c r="D14" s="447">
        <f>SUMIFS('Analysis Data'!$S:$S,'Analysis Data'!$D:$D,B14,'Analysis Data'!$R:$R,$D$9,'Analysis Data'!$J:$J,"&gt;="&amp;H2)</f>
        <v>70500000</v>
      </c>
      <c r="E14" s="455">
        <f t="shared" si="0"/>
        <v>129000000</v>
      </c>
      <c r="F14" s="493">
        <f>COUNTIFS('Analysis Data'!$D:$D,B48,'Analysis Data'!$R:$R,$F$9,'Analysis Data'!$J:$J,"&gt;="&amp;H2)</f>
        <v>9</v>
      </c>
      <c r="G14" s="494">
        <f>COUNTIFS('Analysis Data'!$D:$D,B48,'Analysis Data'!$R:$R,$G$9,'Analysis Data'!$J:$J,"&gt;="&amp;H2)</f>
        <v>9</v>
      </c>
      <c r="H14" s="495">
        <f t="shared" si="1"/>
        <v>18</v>
      </c>
      <c r="I14" s="449">
        <f t="shared" si="9"/>
        <v>6500000</v>
      </c>
      <c r="J14" s="450">
        <f t="shared" si="2"/>
        <v>7833333.333333333</v>
      </c>
      <c r="K14" s="670">
        <f t="shared" si="2"/>
        <v>7166666.666666667</v>
      </c>
      <c r="M14" s="452" t="s">
        <v>1866</v>
      </c>
      <c r="N14" s="630">
        <f>IFERROR((SUMIFS('Analysis Data'!$T:$T,'Analysis Data'!$D:$D,B14,'Analysis Data'!$R:$R,$N$9,'Analysis Data'!$J:$J,"&gt;="&amp;H2))/C14,0)</f>
        <v>50</v>
      </c>
      <c r="O14" s="633">
        <f t="shared" si="3"/>
        <v>2.5777327660973741</v>
      </c>
      <c r="P14" s="632">
        <f>IFERROR((SUMIFS('Analysis Data'!$T:$T,'Analysis Data'!$D:$D,B14,'Analysis Data'!$R:$R,$P$9,'Analysis Data'!$J:$J,"&gt;="&amp;H2))/D14,0)</f>
        <v>44</v>
      </c>
      <c r="Q14" s="633">
        <f t="shared" si="4"/>
        <v>2.4145714952907293</v>
      </c>
      <c r="R14" s="634">
        <f>IFERROR((SUMIFS('Analysis Data'!$T:$T,'Analysis Data'!$D:$D,B14,'Analysis Data'!$J:$J,"&gt;="&amp;H2))/E14,0)</f>
        <v>46.720930232558139</v>
      </c>
      <c r="S14" s="635">
        <f t="shared" si="5"/>
        <v>2.4910948734978553</v>
      </c>
      <c r="T14" s="636">
        <f>IFERROR((SUMIFS('Analysis Data'!$U:$U,'Analysis Data'!$D:$D,B14,'Analysis Data'!$R:$R,$T$9))/C48,0)</f>
        <v>49.993735810980354</v>
      </c>
      <c r="U14" s="637">
        <f t="shared" si="6"/>
        <v>1.4076668599123834</v>
      </c>
      <c r="V14" s="638">
        <f>IFERROR((SUMIFS('Analysis Data'!$U:$U,'Analysis Data'!$D:$D,B14,'Analysis Data'!$R:$R,$V$9))/D48,0)</f>
        <v>44.09575455879645</v>
      </c>
      <c r="W14" s="633">
        <f t="shared" si="7"/>
        <v>0.92451225352346111</v>
      </c>
      <c r="X14" s="634">
        <f>IFERROR((SUMIFS('Analysis Data'!$U:$U,'Analysis Data'!$D:$D,B14))/E48,0)</f>
        <v>46.861202862369495</v>
      </c>
      <c r="Y14" s="453">
        <f t="shared" si="8"/>
        <v>1.1161457711474319</v>
      </c>
      <c r="AA14" s="454" t="s">
        <v>1866</v>
      </c>
      <c r="AB14" s="498">
        <f>IFERROR(SUMIFS('Analysis Data'!$F:$F,'Analysis Data'!$D:$D,AA14,'Analysis Data'!$R:$R,$AB$9,'Analysis Data'!$E:$E,"&gt;=2")/E64,0)</f>
        <v>1.3893427145019815E-3</v>
      </c>
      <c r="AC14" s="499">
        <f>IFERROR(SUMIFS('Analysis Data'!$F:$F,'Analysis Data'!$D:$D,AA14,'Analysis Data'!$R:$R,$AC$9,'Analysis Data'!$E:$E,"&gt;=2")/E64,0)</f>
        <v>1.2136229433844243E-3</v>
      </c>
      <c r="AD14" s="500">
        <f>IFERROR(SUMIFS('Analysis Data'!$F:$F,'Analysis Data'!$D:$D,AA14,'Analysis Data'!$E:$E,"&gt;=2")/E64,0)</f>
        <v>2.6029656578864056E-3</v>
      </c>
      <c r="AE14" s="498">
        <f>IFERROR(SUMIFS('Analysis Data'!$F:$F,'Analysis Data'!$D:$D,AA14,'Analysis Data'!$R:$R,$AB$9,'Analysis Data'!$E:$E,"&gt;30")/C48,0)</f>
        <v>0.10802195329430064</v>
      </c>
      <c r="AF14" s="499">
        <f>IFERROR(SUMIFS('Analysis Data'!$F:$F,'Analysis Data'!$D:$D,AA14,'Analysis Data'!$R:$R,$AC$9,'Analysis Data'!$E:$E,"&gt;30")/D48,0)</f>
        <v>2.2594653404592224E-3</v>
      </c>
      <c r="AG14" s="500">
        <f>IFERROR(SUMIFS('Analysis Data'!$F:$F,'Analysis Data'!$D:$D,AA14,'Analysis Data'!$E:$E,"&gt;30")/E48,0)</f>
        <v>5.1849431871009953E-2</v>
      </c>
      <c r="AH14" s="498">
        <f>IFERROR(SUMIFS('Analysis Data'!$F:$F,'Analysis Data'!$D:$D,AA14,'Analysis Data'!$R:$R,$AB$9,'Analysis Data'!$E:$E,"&gt;60")/C48,0)</f>
        <v>0.10802195329430064</v>
      </c>
      <c r="AI14" s="499">
        <f>IFERROR(SUMIFS('Analysis Data'!$F:$F,'Analysis Data'!$D:$D,AA14,'Analysis Data'!$R:$R,$AC$9,'Analysis Data'!$E:$E,"&gt;60")/D48,0)</f>
        <v>0</v>
      </c>
      <c r="AJ14" s="500">
        <f>IFERROR(SUMIFS('Analysis Data'!$F:$F,'Analysis Data'!$D:$D,AA14,'Analysis Data'!$E:$E,"&gt;60")/E48,0)</f>
        <v>5.0649385732746632E-2</v>
      </c>
      <c r="AK14" s="498">
        <f>IFERROR(SUMIFS('Analysis Data'!$F:$F,'Analysis Data'!$D:$D,AA14,'Analysis Data'!$R:$R,$AB$9,'Analysis Data'!$E:$E,"&gt;90")/C48,0)</f>
        <v>7.9177643434560949E-2</v>
      </c>
      <c r="AL14" s="499">
        <f>IFERROR(SUMIFS('Analysis Data'!$F:$F,'Analysis Data'!$D:$D,AA14,'Analysis Data'!$R:$R,$AC$9,'Analysis Data'!$E:$E,"&gt;90")/D48,0)</f>
        <v>0</v>
      </c>
      <c r="AM14" s="534">
        <f>IFERROR(SUMIFS('Analysis Data'!$F:$F,'Analysis Data'!$D:$D,AA14,'Analysis Data'!$E:$E,"&gt;90")/E48,0)</f>
        <v>3.712485176787244E-2</v>
      </c>
      <c r="AO14" s="897" t="s">
        <v>3088</v>
      </c>
      <c r="AP14" s="897"/>
      <c r="AQ14" s="897"/>
      <c r="AR14" s="897"/>
      <c r="AS14" s="897"/>
      <c r="AT14" s="897"/>
      <c r="AU14" s="897"/>
      <c r="AV14" s="897"/>
      <c r="AW14" s="897"/>
      <c r="AX14" s="897"/>
      <c r="AY14" s="897"/>
      <c r="AZ14" s="897"/>
      <c r="BA14" s="897"/>
    </row>
    <row r="15" spans="2:53" s="451" customFormat="1" ht="12" x14ac:dyDescent="0.25">
      <c r="B15" s="412" t="s">
        <v>1867</v>
      </c>
      <c r="C15" s="446">
        <f>SUMIFS('Analysis Data'!$S:$S,'Analysis Data'!$D:$D,B15,'Analysis Data'!$R:$R,$C$9,'Analysis Data'!$J:$J,"&gt;="&amp;H2)</f>
        <v>40000000</v>
      </c>
      <c r="D15" s="447">
        <f>SUMIFS('Analysis Data'!$S:$S,'Analysis Data'!$D:$D,B15,'Analysis Data'!$R:$R,$D$9,'Analysis Data'!$J:$J,"&gt;="&amp;H2)</f>
        <v>15000000</v>
      </c>
      <c r="E15" s="455">
        <f t="shared" si="0"/>
        <v>55000000</v>
      </c>
      <c r="F15" s="493">
        <f>COUNTIFS('Analysis Data'!$D:$D,B49,'Analysis Data'!$R:$R,$F$9,'Analysis Data'!$J:$J,"&gt;="&amp;H2)</f>
        <v>3</v>
      </c>
      <c r="G15" s="494">
        <f>COUNTIFS('Analysis Data'!$D:$D,B49,'Analysis Data'!$R:$R,$G$9,'Analysis Data'!$J:$J,"&gt;="&amp;H2)</f>
        <v>1</v>
      </c>
      <c r="H15" s="495">
        <f t="shared" si="1"/>
        <v>4</v>
      </c>
      <c r="I15" s="449">
        <f t="shared" si="9"/>
        <v>13333333.333333334</v>
      </c>
      <c r="J15" s="450">
        <f t="shared" si="2"/>
        <v>15000000</v>
      </c>
      <c r="K15" s="670">
        <f t="shared" si="2"/>
        <v>13750000</v>
      </c>
      <c r="M15" s="452" t="s">
        <v>1867</v>
      </c>
      <c r="N15" s="630">
        <f>IFERROR((SUMIFS('Analysis Data'!$T:$T,'Analysis Data'!$D:$D,B15,'Analysis Data'!$R:$R,$N$9,'Analysis Data'!$J:$J,"&gt;="&amp;H2))/C15,0)</f>
        <v>48</v>
      </c>
      <c r="O15" s="633">
        <f t="shared" si="3"/>
        <v>1.6920502259510968</v>
      </c>
      <c r="P15" s="632">
        <f>IFERROR((SUMIFS('Analysis Data'!$T:$T,'Analysis Data'!$D:$D,B15,'Analysis Data'!$R:$R,$P$9,'Analysis Data'!$J:$J,"&gt;="&amp;H2))/D15,0)</f>
        <v>42</v>
      </c>
      <c r="Q15" s="633">
        <f t="shared" si="4"/>
        <v>0.49038686074569937</v>
      </c>
      <c r="R15" s="634">
        <f>IFERROR((SUMIFS('Analysis Data'!$T:$T,'Analysis Data'!$D:$D,B15,'Analysis Data'!$J:$J,"&gt;="&amp;H2))/E15,0)</f>
        <v>46.363636363636367</v>
      </c>
      <c r="S15" s="635">
        <f t="shared" si="5"/>
        <v>1.0539724452330399</v>
      </c>
      <c r="T15" s="636">
        <f>IFERROR((SUMIFS('Analysis Data'!$U:$U,'Analysis Data'!$D:$D,B15,'Analysis Data'!$R:$R,$T$9))/C49,0)</f>
        <v>48</v>
      </c>
      <c r="U15" s="637">
        <f t="shared" si="6"/>
        <v>0.39603567785681704</v>
      </c>
      <c r="V15" s="638">
        <f>IFERROR((SUMIFS('Analysis Data'!$U:$U,'Analysis Data'!$D:$D,B15,'Analysis Data'!$R:$R,$V$9))/D49,0)</f>
        <v>42</v>
      </c>
      <c r="W15" s="633">
        <f t="shared" si="7"/>
        <v>0.14223739728487211</v>
      </c>
      <c r="X15" s="634">
        <f>IFERROR((SUMIFS('Analysis Data'!$U:$U,'Analysis Data'!$D:$D,B15))/E49,0)</f>
        <v>45.693648484596736</v>
      </c>
      <c r="Y15" s="453">
        <f t="shared" si="8"/>
        <v>0.24290135997876564</v>
      </c>
      <c r="AA15" s="454" t="s">
        <v>1867</v>
      </c>
      <c r="AB15" s="498">
        <f>IFERROR(SUMIFS('Analysis Data'!$F:$F,'Analysis Data'!$D:$D,AA15,'Analysis Data'!$R:$R,$AB$9,'Analysis Data'!$E:$E,"&gt;=2")/E64,0)</f>
        <v>2.7305185641373297E-4</v>
      </c>
      <c r="AC15" s="499">
        <f>IFERROR(SUMIFS('Analysis Data'!$F:$F,'Analysis Data'!$D:$D,AA15,'Analysis Data'!$R:$R,$AC$9,'Analysis Data'!$E:$E,"&gt;=2")/E64,0)</f>
        <v>0</v>
      </c>
      <c r="AD15" s="500">
        <f>IFERROR(SUMIFS('Analysis Data'!$F:$F,'Analysis Data'!$D:$D,AA15,'Analysis Data'!$E:$E,"&gt;=2")/E64,0)</f>
        <v>2.7305185641373297E-4</v>
      </c>
      <c r="AE15" s="498">
        <f>IFERROR(SUMIFS('Analysis Data'!$F:$F,'Analysis Data'!$D:$D,AA15,'Analysis Data'!$R:$R,$AB$9,'Analysis Data'!$E:$E,"&gt;30")/C49,0)</f>
        <v>8.3438542952834135E-2</v>
      </c>
      <c r="AF15" s="499">
        <f>IFERROR(SUMIFS('Analysis Data'!$F:$F,'Analysis Data'!$D:$D,AA15,'Analysis Data'!$R:$R,$AC$9,'Analysis Data'!$E:$E,"&gt;30")/D49,0)</f>
        <v>0</v>
      </c>
      <c r="AG15" s="500">
        <f>IFERROR(SUMIFS('Analysis Data'!$F:$F,'Analysis Data'!$D:$D,AA15,'Analysis Data'!$E:$E,"&gt;30")/E49,0)</f>
        <v>5.136544128911591E-2</v>
      </c>
      <c r="AH15" s="498">
        <f>IFERROR(SUMIFS('Analysis Data'!$F:$F,'Analysis Data'!$D:$D,AA15,'Analysis Data'!$R:$R,$AB$9,'Analysis Data'!$E:$E,"&gt;60")/C49,0)</f>
        <v>8.3438542952834135E-2</v>
      </c>
      <c r="AI15" s="499">
        <f>IFERROR(SUMIFS('Analysis Data'!$F:$F,'Analysis Data'!$D:$D,AA15,'Analysis Data'!$R:$R,$AC$9,'Analysis Data'!$E:$E,"&gt;60")/D49,0)</f>
        <v>0</v>
      </c>
      <c r="AJ15" s="500">
        <f>IFERROR(SUMIFS('Analysis Data'!$F:$F,'Analysis Data'!$D:$D,AA15,'Analysis Data'!$E:$E,"&gt;60")/E49,0)</f>
        <v>5.136544128911591E-2</v>
      </c>
      <c r="AK15" s="498">
        <f>IFERROR(SUMIFS('Analysis Data'!$F:$F,'Analysis Data'!$D:$D,AA15,'Analysis Data'!$R:$R,$AB$9,'Analysis Data'!$E:$E,"&gt;90")/C49,0)</f>
        <v>8.3438542952834135E-2</v>
      </c>
      <c r="AL15" s="499">
        <f>IFERROR(SUMIFS('Analysis Data'!$F:$F,'Analysis Data'!$D:$D,AA15,'Analysis Data'!$R:$R,$AC$9,'Analysis Data'!$E:$E,"&gt;90")/D49,0)</f>
        <v>0</v>
      </c>
      <c r="AM15" s="534">
        <f>IFERROR(SUMIFS('Analysis Data'!$F:$F,'Analysis Data'!$D:$D,AA15,'Analysis Data'!$E:$E,"&gt;90")/E49,0)</f>
        <v>5.136544128911591E-2</v>
      </c>
      <c r="AO15" s="913"/>
      <c r="AP15" s="913"/>
      <c r="AQ15" s="913"/>
      <c r="AR15" s="913"/>
      <c r="AS15" s="913"/>
      <c r="AT15" s="913"/>
      <c r="AU15" s="913"/>
      <c r="AV15" s="913"/>
      <c r="AW15" s="913"/>
      <c r="AX15" s="913"/>
      <c r="AY15" s="913"/>
      <c r="AZ15" s="913"/>
      <c r="BA15" s="913"/>
    </row>
    <row r="16" spans="2:53" s="451" customFormat="1" ht="12" customHeight="1" x14ac:dyDescent="0.25">
      <c r="B16" s="412" t="s">
        <v>1841</v>
      </c>
      <c r="C16" s="446">
        <f>SUMIFS('Analysis Data'!$S:$S,'Analysis Data'!$D:$D,B16,'Analysis Data'!$R:$R,$C$9,'Analysis Data'!$J:$J,"&gt;="&amp;H2)</f>
        <v>0</v>
      </c>
      <c r="D16" s="447">
        <f>SUMIFS('Analysis Data'!$S:$S,'Analysis Data'!$D:$D,B16,'Analysis Data'!$R:$R,$D$9,'Analysis Data'!$J:$J,"&gt;="&amp;H2)</f>
        <v>0</v>
      </c>
      <c r="E16" s="455">
        <f t="shared" si="0"/>
        <v>0</v>
      </c>
      <c r="F16" s="493">
        <f>COUNTIFS('Analysis Data'!$D:$D,B50,'Analysis Data'!$R:$R,$F$9,'Analysis Data'!$J:$J,"&gt;="&amp;H2)</f>
        <v>0</v>
      </c>
      <c r="G16" s="494">
        <f>COUNTIFS('Analysis Data'!$D:$D,B50,'Analysis Data'!$R:$R,$G$9,'Analysis Data'!$J:$J,"&gt;="&amp;H2)</f>
        <v>0</v>
      </c>
      <c r="H16" s="495">
        <f t="shared" si="1"/>
        <v>0</v>
      </c>
      <c r="I16" s="449">
        <f t="shared" si="9"/>
        <v>0</v>
      </c>
      <c r="J16" s="450">
        <f t="shared" si="2"/>
        <v>0</v>
      </c>
      <c r="K16" s="670">
        <f t="shared" si="2"/>
        <v>0</v>
      </c>
      <c r="M16" s="452" t="s">
        <v>1841</v>
      </c>
      <c r="N16" s="630">
        <f>IFERROR((SUMIFS('Analysis Data'!$T:$T,'Analysis Data'!$D:$D,B16,'Analysis Data'!$R:$R,$N$9,'Analysis Data'!$J:$J,"&gt;="&amp;H2))/C16,0)</f>
        <v>0</v>
      </c>
      <c r="O16" s="633">
        <f t="shared" si="3"/>
        <v>0</v>
      </c>
      <c r="P16" s="632">
        <f>IFERROR((SUMIFS('Analysis Data'!$T:$T,'Analysis Data'!$D:$D,B16,'Analysis Data'!$R:$R,$P$9,'Analysis Data'!$J:$J,"&gt;="&amp;H2))/D16,0)</f>
        <v>0</v>
      </c>
      <c r="Q16" s="633">
        <f t="shared" si="4"/>
        <v>0</v>
      </c>
      <c r="R16" s="634">
        <f>IFERROR((SUMIFS('Analysis Data'!$T:$T,'Analysis Data'!$D:$D,B16,'Analysis Data'!$J:$J,"&gt;="&amp;H2))/E16,0)</f>
        <v>0</v>
      </c>
      <c r="S16" s="635">
        <f t="shared" si="5"/>
        <v>0</v>
      </c>
      <c r="T16" s="636">
        <f>IFERROR((SUMIFS('Analysis Data'!$U:$U,'Analysis Data'!$D:$D,B16,'Analysis Data'!$R:$R,$T$9))/C50,0)</f>
        <v>0</v>
      </c>
      <c r="U16" s="637">
        <f t="shared" si="6"/>
        <v>0</v>
      </c>
      <c r="V16" s="638">
        <f>IFERROR((SUMIFS('Analysis Data'!$U:$U,'Analysis Data'!$D:$D,B16,'Analysis Data'!$R:$R,$V$9))/D50,0)</f>
        <v>38.591094434166557</v>
      </c>
      <c r="W16" s="633">
        <f t="shared" si="7"/>
        <v>0.67747677082323676</v>
      </c>
      <c r="X16" s="634">
        <f>IFERROR((SUMIFS('Analysis Data'!$U:$U,'Analysis Data'!$D:$D,B16))/E50,0)</f>
        <v>38.591094434166557</v>
      </c>
      <c r="Y16" s="453">
        <f t="shared" si="8"/>
        <v>0.40876929088899994</v>
      </c>
      <c r="AA16" s="454" t="s">
        <v>1841</v>
      </c>
      <c r="AB16" s="498">
        <f>IFERROR(SUMIFS('Analysis Data'!$F:$F,'Analysis Data'!$D:$D,AA16,'Analysis Data'!$R:$R,$AB$9,'Analysis Data'!$E:$E,"&gt;=2")/E64,0)</f>
        <v>0</v>
      </c>
      <c r="AC16" s="499">
        <f>IFERROR(SUMIFS('Analysis Data'!$F:$F,'Analysis Data'!$D:$D,AA16,'Analysis Data'!$R:$R,$AC$9,'Analysis Data'!$E:$E,"&gt;=2")/E64,0)</f>
        <v>6.9910000713142859E-3</v>
      </c>
      <c r="AD16" s="500">
        <f>IFERROR(SUMIFS('Analysis Data'!$F:$F,'Analysis Data'!$D:$D,AA16,'Analysis Data'!$E:$E,"&gt;=2")/E64,0)</f>
        <v>6.9910000713142859E-3</v>
      </c>
      <c r="AE16" s="498">
        <f>IFERROR(SUMIFS('Analysis Data'!$F:$F,'Analysis Data'!$D:$D,AA16,'Analysis Data'!$R:$R,$AB$9,'Analysis Data'!$E:$E,"&gt;30")/C50,0)</f>
        <v>0</v>
      </c>
      <c r="AF16" s="499">
        <f>IFERROR(SUMIFS('Analysis Data'!$F:$F,'Analysis Data'!$D:$D,AA16,'Analysis Data'!$R:$R,$AC$9,'Analysis Data'!$E:$E,"&gt;30")/D50,0)</f>
        <v>0.23029703251230998</v>
      </c>
      <c r="AG16" s="500">
        <f>IFERROR(SUMIFS('Analysis Data'!$F:$F,'Analysis Data'!$D:$D,AA16,'Analysis Data'!$E:$E,"&gt;30")/E50,0)</f>
        <v>0.23029703251230998</v>
      </c>
      <c r="AH16" s="498">
        <f>IFERROR(SUMIFS('Analysis Data'!$F:$F,'Analysis Data'!$D:$D,AA16,'Analysis Data'!$R:$R,$AB$9,'Analysis Data'!$E:$E,"&gt;60")/C50,0)</f>
        <v>0</v>
      </c>
      <c r="AI16" s="499">
        <f>IFERROR(SUMIFS('Analysis Data'!$F:$F,'Analysis Data'!$D:$D,AA16,'Analysis Data'!$R:$R,$AC$9,'Analysis Data'!$E:$E,"&gt;60")/D50,0)</f>
        <v>0.17950354084966816</v>
      </c>
      <c r="AJ16" s="500">
        <f>IFERROR(SUMIFS('Analysis Data'!$F:$F,'Analysis Data'!$D:$D,AA16,'Analysis Data'!$E:$E,"&gt;60")/E50,0)</f>
        <v>0.17950354084966816</v>
      </c>
      <c r="AK16" s="498">
        <f>IFERROR(SUMIFS('Analysis Data'!$F:$F,'Analysis Data'!$D:$D,AA16,'Analysis Data'!$R:$R,$AB$9,'Analysis Data'!$E:$E,"&gt;90")/C50,0)</f>
        <v>0</v>
      </c>
      <c r="AL16" s="499">
        <f>IFERROR(SUMIFS('Analysis Data'!$F:$F,'Analysis Data'!$D:$D,AA16,'Analysis Data'!$R:$R,$AC$9,'Analysis Data'!$E:$E,"&gt;90")/D50,0)</f>
        <v>0.17950354084966816</v>
      </c>
      <c r="AM16" s="534">
        <f>IFERROR(SUMIFS('Analysis Data'!$F:$F,'Analysis Data'!$D:$D,AA16,'Analysis Data'!$E:$E,"&gt;90")/E50,0)</f>
        <v>0.17950354084966816</v>
      </c>
    </row>
    <row r="17" spans="2:53" s="451" customFormat="1" ht="12.75" customHeight="1" x14ac:dyDescent="0.25">
      <c r="B17" s="412" t="s">
        <v>1284</v>
      </c>
      <c r="C17" s="446">
        <f>SUMIFS('Analysis Data'!$S:$S,'Analysis Data'!$D:$D,B17,'Analysis Data'!$R:$R,$C$9,'Analysis Data'!$J:$J,"&gt;="&amp;H2)</f>
        <v>140000000</v>
      </c>
      <c r="D17" s="447">
        <f>SUMIFS('Analysis Data'!$S:$S,'Analysis Data'!$D:$D,B17,'Analysis Data'!$R:$R,$D$9,'Analysis Data'!$J:$J,"&gt;="&amp;H2)</f>
        <v>376000000</v>
      </c>
      <c r="E17" s="455">
        <f t="shared" si="0"/>
        <v>516000000</v>
      </c>
      <c r="F17" s="493">
        <f>COUNTIFS('Analysis Data'!$D:$D,B51,'Analysis Data'!$R:$R,$F$9,'Analysis Data'!$J:$J,"&gt;="&amp;H2)</f>
        <v>8</v>
      </c>
      <c r="G17" s="494">
        <f>COUNTIFS('Analysis Data'!$D:$D,B51,'Analysis Data'!$R:$R,$G$9,'Analysis Data'!$J:$J,"&gt;="&amp;H2)</f>
        <v>19</v>
      </c>
      <c r="H17" s="495">
        <f t="shared" si="1"/>
        <v>27</v>
      </c>
      <c r="I17" s="449">
        <f t="shared" si="9"/>
        <v>17500000</v>
      </c>
      <c r="J17" s="450">
        <f t="shared" si="2"/>
        <v>19789473.684210528</v>
      </c>
      <c r="K17" s="670">
        <f t="shared" si="2"/>
        <v>19111111.111111112</v>
      </c>
      <c r="M17" s="452" t="s">
        <v>1284</v>
      </c>
      <c r="N17" s="630">
        <f>IFERROR((SUMIFS('Analysis Data'!$T:$T,'Analysis Data'!$D:$D,B17,'Analysis Data'!$R:$R,$N$9,'Analysis Data'!$J:$J,"&gt;="&amp;H2))/C17,0)</f>
        <v>40</v>
      </c>
      <c r="O17" s="633">
        <f t="shared" si="3"/>
        <v>4.9351464923573651</v>
      </c>
      <c r="P17" s="632">
        <f>IFERROR((SUMIFS('Analysis Data'!$T:$T,'Analysis Data'!$D:$D,B17,'Analysis Data'!$R:$R,$P$9,'Analysis Data'!$J:$J,"&gt;="&amp;H2))/D17,0)</f>
        <v>36.063829787234042</v>
      </c>
      <c r="Q17" s="633">
        <f t="shared" si="4"/>
        <v>10.554993383669339</v>
      </c>
      <c r="R17" s="634">
        <f>IFERROR((SUMIFS('Analysis Data'!$T:$T,'Analysis Data'!$D:$D,B17,'Analysis Data'!$J:$J,"&gt;="&amp;H2))/E17,0)</f>
        <v>37.131782945736433</v>
      </c>
      <c r="S17" s="635">
        <f t="shared" si="5"/>
        <v>7.9192596277117815</v>
      </c>
      <c r="T17" s="636">
        <f>IFERROR((SUMIFS('Analysis Data'!$U:$U,'Analysis Data'!$D:$D,B17,'Analysis Data'!$R:$R,$T$9))/C51,0)</f>
        <v>39.258732967849149</v>
      </c>
      <c r="U17" s="637">
        <f t="shared" si="6"/>
        <v>10.893659181344384</v>
      </c>
      <c r="V17" s="638">
        <f>IFERROR((SUMIFS('Analysis Data'!$U:$U,'Analysis Data'!$D:$D,B17,'Analysis Data'!$R:$R,$V$9))/D51,0)</f>
        <v>36.207519942809441</v>
      </c>
      <c r="W17" s="633">
        <f t="shared" si="7"/>
        <v>11.7380013156038</v>
      </c>
      <c r="X17" s="634">
        <f>IFERROR((SUMIFS('Analysis Data'!$U:$U,'Analysis Data'!$D:$D,B17))/E51,0)</f>
        <v>37.30615266101934</v>
      </c>
      <c r="Y17" s="453">
        <f t="shared" si="8"/>
        <v>11.403110059002568</v>
      </c>
      <c r="AA17" s="454" t="s">
        <v>1284</v>
      </c>
      <c r="AB17" s="498">
        <f>IFERROR(SUMIFS('Analysis Data'!$F:$F,'Analysis Data'!$D:$D,AA17,'Analysis Data'!$R:$R,$AB$9,'Analysis Data'!$E:$E,"&gt;=2")/E64,0)</f>
        <v>2.0089289629322698E-2</v>
      </c>
      <c r="AC17" s="499">
        <f>IFERROR(SUMIFS('Analysis Data'!$F:$F,'Analysis Data'!$D:$D,AA17,'Analysis Data'!$R:$R,$AC$9,'Analysis Data'!$E:$E,"&gt;=2")/E64,0)</f>
        <v>3.0797333011935948E-2</v>
      </c>
      <c r="AD17" s="500">
        <f>IFERROR(SUMIFS('Analysis Data'!$F:$F,'Analysis Data'!$D:$D,AA17,'Analysis Data'!$E:$E,"&gt;=2")/E64,0)</f>
        <v>5.0886622641258643E-2</v>
      </c>
      <c r="AE17" s="498">
        <f>IFERROR(SUMIFS('Analysis Data'!$F:$F,'Analysis Data'!$D:$D,AA17,'Analysis Data'!$R:$R,$AB$9,'Analysis Data'!$E:$E,"&gt;30")/C51,0)</f>
        <v>5.1367047214472022E-2</v>
      </c>
      <c r="AF17" s="499">
        <f>IFERROR(SUMIFS('Analysis Data'!$F:$F,'Analysis Data'!$D:$D,AA17,'Analysis Data'!$R:$R,$AC$9,'Analysis Data'!$E:$E,"&gt;30")/D51,0)</f>
        <v>4.6226567165796852E-2</v>
      </c>
      <c r="AG17" s="500">
        <f>IFERROR(SUMIFS('Analysis Data'!$F:$F,'Analysis Data'!$D:$D,AA17,'Analysis Data'!$E:$E,"&gt;30")/E51,0)</f>
        <v>4.8077470240224518E-2</v>
      </c>
      <c r="AH17" s="498">
        <f>IFERROR(SUMIFS('Analysis Data'!$F:$F,'Analysis Data'!$D:$D,AA17,'Analysis Data'!$R:$R,$AB$9,'Analysis Data'!$E:$E,"&gt;60")/C51,0)</f>
        <v>2.0971767279159607E-2</v>
      </c>
      <c r="AI17" s="499">
        <f>IFERROR(SUMIFS('Analysis Data'!$F:$F,'Analysis Data'!$D:$D,AA17,'Analysis Data'!$R:$R,$AC$9,'Analysis Data'!$E:$E,"&gt;60")/D51,0)</f>
        <v>1.3765425657049492E-2</v>
      </c>
      <c r="AJ17" s="500">
        <f>IFERROR(SUMIFS('Analysis Data'!$F:$F,'Analysis Data'!$D:$D,AA17,'Analysis Data'!$E:$E,"&gt;60")/E51,0)</f>
        <v>1.6360171621908795E-2</v>
      </c>
      <c r="AK17" s="498">
        <f>IFERROR(SUMIFS('Analysis Data'!$F:$F,'Analysis Data'!$D:$D,AA17,'Analysis Data'!$R:$R,$AB$9,'Analysis Data'!$E:$E,"&gt;90")/C51,0)</f>
        <v>3.8465124906805785E-3</v>
      </c>
      <c r="AL17" s="499">
        <f>IFERROR(SUMIFS('Analysis Data'!$F:$F,'Analysis Data'!$D:$D,AA17,'Analysis Data'!$R:$R,$AC$9,'Analysis Data'!$E:$E,"&gt;90")/D51,0)</f>
        <v>1.2712680244351024E-2</v>
      </c>
      <c r="AM17" s="534">
        <f>IFERROR(SUMIFS('Analysis Data'!$F:$F,'Analysis Data'!$D:$D,AA17,'Analysis Data'!$E:$E,"&gt;90")/E51,0)</f>
        <v>9.5202902344161712E-3</v>
      </c>
    </row>
    <row r="18" spans="2:53" s="451" customFormat="1" ht="12" x14ac:dyDescent="0.25">
      <c r="B18" s="412" t="s">
        <v>1850</v>
      </c>
      <c r="C18" s="446">
        <f>SUMIFS('Analysis Data'!$S:$S,'Analysis Data'!$D:$D,B18,'Analysis Data'!$R:$R,$C$9,'Analysis Data'!$J:$J,"&gt;="&amp;H2)</f>
        <v>0</v>
      </c>
      <c r="D18" s="447">
        <f>SUMIFS('Analysis Data'!$S:$S,'Analysis Data'!$D:$D,B18,'Analysis Data'!$R:$R,$D$9,'Analysis Data'!$J:$J,"&gt;="&amp;H2)</f>
        <v>0</v>
      </c>
      <c r="E18" s="455">
        <f t="shared" si="0"/>
        <v>0</v>
      </c>
      <c r="F18" s="493">
        <f>COUNTIFS('Analysis Data'!$D:$D,B52,'Analysis Data'!$R:$R,$F$9,'Analysis Data'!$J:$J,"&gt;="&amp;H2)</f>
        <v>0</v>
      </c>
      <c r="G18" s="494">
        <f>COUNTIFS('Analysis Data'!$D:$D,B52,'Analysis Data'!$R:$R,$G$9,'Analysis Data'!$J:$J,"&gt;="&amp;H2)</f>
        <v>0</v>
      </c>
      <c r="H18" s="495">
        <f t="shared" si="1"/>
        <v>0</v>
      </c>
      <c r="I18" s="449">
        <f t="shared" si="9"/>
        <v>0</v>
      </c>
      <c r="J18" s="450">
        <f t="shared" si="2"/>
        <v>0</v>
      </c>
      <c r="K18" s="670">
        <f t="shared" si="2"/>
        <v>0</v>
      </c>
      <c r="M18" s="452" t="s">
        <v>1850</v>
      </c>
      <c r="N18" s="630">
        <f>IFERROR((SUMIFS('Analysis Data'!$T:$T,'Analysis Data'!$D:$D,B18,'Analysis Data'!$R:$R,$N$9,'Analysis Data'!$J:$J,"&gt;="&amp;H2))/C18,0)</f>
        <v>0</v>
      </c>
      <c r="O18" s="633">
        <f t="shared" si="3"/>
        <v>0</v>
      </c>
      <c r="P18" s="632">
        <f>IFERROR((SUMIFS('Analysis Data'!$T:$T,'Analysis Data'!$D:$D,B18,'Analysis Data'!$R:$R,$P$9,'Analysis Data'!$J:$J,"&gt;="&amp;H2))/D18,0)</f>
        <v>0</v>
      </c>
      <c r="Q18" s="633">
        <f t="shared" si="4"/>
        <v>0</v>
      </c>
      <c r="R18" s="634">
        <f>IFERROR((SUMIFS('Analysis Data'!$T:$T,'Analysis Data'!$D:$D,B18,'Analysis Data'!$J:$J,"&gt;="&amp;H2))/E18,0)</f>
        <v>0</v>
      </c>
      <c r="S18" s="635">
        <f t="shared" si="5"/>
        <v>0</v>
      </c>
      <c r="T18" s="636">
        <f>IFERROR((SUMIFS('Analysis Data'!$U:$U,'Analysis Data'!$D:$D,B18,'Analysis Data'!$R:$R,$T$9))/C52,0)</f>
        <v>0</v>
      </c>
      <c r="U18" s="637">
        <f t="shared" si="6"/>
        <v>0</v>
      </c>
      <c r="V18" s="638">
        <f>IFERROR((SUMIFS('Analysis Data'!$U:$U,'Analysis Data'!$D:$D,B18,'Analysis Data'!$R:$R,$V$9))/D52,0)</f>
        <v>36</v>
      </c>
      <c r="W18" s="633">
        <f t="shared" si="7"/>
        <v>0.58826023140160544</v>
      </c>
      <c r="X18" s="634">
        <f>IFERROR((SUMIFS('Analysis Data'!$U:$U,'Analysis Data'!$D:$D,B18))/E52,0)</f>
        <v>36</v>
      </c>
      <c r="Y18" s="453">
        <f t="shared" si="8"/>
        <v>0.35493869015764878</v>
      </c>
      <c r="AA18" s="454" t="s">
        <v>1850</v>
      </c>
      <c r="AB18" s="498">
        <f>IFERROR(SUMIFS('Analysis Data'!$F:$F,'Analysis Data'!$D:$D,AA18,'Analysis Data'!$R:$R,$AB$9,'Analysis Data'!$E:$E,"&gt;=2")/E64,0)</f>
        <v>0</v>
      </c>
      <c r="AC18" s="499">
        <f>IFERROR(SUMIFS('Analysis Data'!$F:$F,'Analysis Data'!$D:$D,AA18,'Analysis Data'!$R:$R,$AC$9,'Analysis Data'!$E:$E,"&gt;=2")/E64,0)</f>
        <v>5.9457470516291128E-3</v>
      </c>
      <c r="AD18" s="500">
        <f>IFERROR(SUMIFS('Analysis Data'!$F:$F,'Analysis Data'!$D:$D,AA18,'Analysis Data'!$E:$E,"&gt;=2")/E64,0)</f>
        <v>5.9457470516291128E-3</v>
      </c>
      <c r="AE18" s="498">
        <f>IFERROR(SUMIFS('Analysis Data'!$F:$F,'Analysis Data'!$D:$D,AA18,'Analysis Data'!$R:$R,$AB$9,'Analysis Data'!$E:$E,"&gt;30")/C52,0)</f>
        <v>0</v>
      </c>
      <c r="AF18" s="499">
        <f>IFERROR(SUMIFS('Analysis Data'!$F:$F,'Analysis Data'!$D:$D,AA18,'Analysis Data'!$R:$R,$AC$9,'Analysis Data'!$E:$E,"&gt;30")/D52,0)</f>
        <v>1.9213516641100374E-2</v>
      </c>
      <c r="AG18" s="500">
        <f>IFERROR(SUMIFS('Analysis Data'!$F:$F,'Analysis Data'!$D:$D,AA18,'Analysis Data'!$E:$E,"&gt;30")/E52,0)</f>
        <v>1.9213516641100374E-2</v>
      </c>
      <c r="AH18" s="498">
        <f>IFERROR(SUMIFS('Analysis Data'!$F:$F,'Analysis Data'!$D:$D,AA18,'Analysis Data'!$R:$R,$AB$9,'Analysis Data'!$E:$E,"&gt;60")/C52,0)</f>
        <v>0</v>
      </c>
      <c r="AI18" s="499">
        <f>IFERROR(SUMIFS('Analysis Data'!$F:$F,'Analysis Data'!$D:$D,AA18,'Analysis Data'!$R:$R,$AC$9,'Analysis Data'!$E:$E,"&gt;60")/D52,0)</f>
        <v>0</v>
      </c>
      <c r="AJ18" s="500">
        <f>IFERROR(SUMIFS('Analysis Data'!$F:$F,'Analysis Data'!$D:$D,AA18,'Analysis Data'!$E:$E,"&gt;60")/E52,0)</f>
        <v>0</v>
      </c>
      <c r="AK18" s="498">
        <f>IFERROR(SUMIFS('Analysis Data'!$F:$F,'Analysis Data'!$D:$D,AA18,'Analysis Data'!$R:$R,$AB$9,'Analysis Data'!$E:$E,"&gt;90")/C52,0)</f>
        <v>0</v>
      </c>
      <c r="AL18" s="499">
        <f>IFERROR(SUMIFS('Analysis Data'!$F:$F,'Analysis Data'!$D:$D,AA18,'Analysis Data'!$R:$R,$AC$9,'Analysis Data'!$E:$E,"&gt;90")/D52,0)</f>
        <v>0</v>
      </c>
      <c r="AM18" s="534">
        <f>IFERROR(SUMIFS('Analysis Data'!$F:$F,'Analysis Data'!$D:$D,AA18,'Analysis Data'!$E:$E,"&gt;90")/E52,0)</f>
        <v>0</v>
      </c>
    </row>
    <row r="19" spans="2:53" s="451" customFormat="1" ht="12" x14ac:dyDescent="0.25">
      <c r="B19" s="412" t="s">
        <v>1286</v>
      </c>
      <c r="C19" s="446">
        <f>SUMIFS('Analysis Data'!$S:$S,'Analysis Data'!$D:$D,B19,'Analysis Data'!$R:$R,$C$9,'Analysis Data'!$J:$J,"&gt;="&amp;H2)</f>
        <v>38584322</v>
      </c>
      <c r="D19" s="447">
        <f>SUMIFS('Analysis Data'!$S:$S,'Analysis Data'!$D:$D,B19,'Analysis Data'!$R:$R,$D$9,'Analysis Data'!$J:$J,"&gt;="&amp;H2)</f>
        <v>0</v>
      </c>
      <c r="E19" s="455">
        <f t="shared" si="0"/>
        <v>38584322</v>
      </c>
      <c r="F19" s="493">
        <f>COUNTIFS('Analysis Data'!$D:$D,B53,'Analysis Data'!$R:$R,$F$9,'Analysis Data'!$J:$J,"&gt;="&amp;H2)</f>
        <v>17</v>
      </c>
      <c r="G19" s="494">
        <f>COUNTIFS('Analysis Data'!$D:$D,B53,'Analysis Data'!$R:$R,$G$9,'Analysis Data'!$J:$J,"&gt;="&amp;H2)</f>
        <v>0</v>
      </c>
      <c r="H19" s="495">
        <f t="shared" si="1"/>
        <v>17</v>
      </c>
      <c r="I19" s="449">
        <f t="shared" si="9"/>
        <v>2269666</v>
      </c>
      <c r="J19" s="450">
        <f t="shared" si="2"/>
        <v>0</v>
      </c>
      <c r="K19" s="670">
        <f t="shared" si="2"/>
        <v>2269666</v>
      </c>
      <c r="M19" s="452" t="s">
        <v>1286</v>
      </c>
      <c r="N19" s="630">
        <f>IFERROR((SUMIFS('Analysis Data'!$T:$T,'Analysis Data'!$D:$D,B19,'Analysis Data'!$R:$R,$N$9,'Analysis Data'!$J:$J,"&gt;="&amp;H2))/C19,0)</f>
        <v>25</v>
      </c>
      <c r="O19" s="633">
        <f t="shared" si="3"/>
        <v>0.85008607758163901</v>
      </c>
      <c r="P19" s="632">
        <f>IFERROR((SUMIFS('Analysis Data'!$T:$T,'Analysis Data'!$D:$D,B19,'Analysis Data'!$R:$R,$P$9,'Analysis Data'!$J:$J,"&gt;="&amp;H2))/D19,0)</f>
        <v>0</v>
      </c>
      <c r="Q19" s="633">
        <f t="shared" si="4"/>
        <v>0</v>
      </c>
      <c r="R19" s="634">
        <f>IFERROR((SUMIFS('Analysis Data'!$T:$T,'Analysis Data'!$D:$D,B19,'Analysis Data'!$J:$J,"&gt;="&amp;H2))/E19,0)</f>
        <v>25</v>
      </c>
      <c r="S19" s="635">
        <f t="shared" si="5"/>
        <v>0.39869423731371545</v>
      </c>
      <c r="T19" s="636">
        <f>IFERROR((SUMIFS('Analysis Data'!$U:$U,'Analysis Data'!$D:$D,B19,'Analysis Data'!$R:$R,$T$9))/C53,0)</f>
        <v>25</v>
      </c>
      <c r="U19" s="637">
        <f t="shared" si="6"/>
        <v>0.17358136646457806</v>
      </c>
      <c r="V19" s="638">
        <f>IFERROR((SUMIFS('Analysis Data'!$U:$U,'Analysis Data'!$D:$D,B19,'Analysis Data'!$R:$R,$V$9))/D53,0)</f>
        <v>0</v>
      </c>
      <c r="W19" s="633">
        <f t="shared" si="7"/>
        <v>0</v>
      </c>
      <c r="X19" s="634">
        <f>IFERROR((SUMIFS('Analysis Data'!$U:$U,'Analysis Data'!$D:$D,B19))/E53,0)</f>
        <v>25</v>
      </c>
      <c r="Y19" s="453">
        <f t="shared" si="8"/>
        <v>6.8847543642803002E-2</v>
      </c>
      <c r="AA19" s="454" t="s">
        <v>1286</v>
      </c>
      <c r="AB19" s="498">
        <f>IFERROR(SUMIFS('Analysis Data'!$F:$F,'Analysis Data'!$D:$D,AA19,'Analysis Data'!$R:$R,$AB$9,'Analysis Data'!$E:$E,"&gt;=2")/E64,0)</f>
        <v>0</v>
      </c>
      <c r="AC19" s="499">
        <f>IFERROR(SUMIFS('Analysis Data'!$F:$F,'Analysis Data'!$D:$D,AA19,'Analysis Data'!$R:$R,$AC$9,'Analysis Data'!$E:$E,"&gt;=2")/E64,0)</f>
        <v>0</v>
      </c>
      <c r="AD19" s="500">
        <f>IFERROR(SUMIFS('Analysis Data'!$F:$F,'Analysis Data'!$D:$D,AA19,'Analysis Data'!$E:$E,"&gt;=2")/E64,0)</f>
        <v>0</v>
      </c>
      <c r="AE19" s="498">
        <f>IFERROR(SUMIFS('Analysis Data'!$F:$F,'Analysis Data'!$D:$D,AA19,'Analysis Data'!$R:$R,$AB$9,'Analysis Data'!$E:$E,"&gt;30")/C53,0)</f>
        <v>0</v>
      </c>
      <c r="AF19" s="499">
        <f>IFERROR(SUMIFS('Analysis Data'!$F:$F,'Analysis Data'!$D:$D,AA19,'Analysis Data'!$R:$R,$AC$9,'Analysis Data'!$E:$E,"&gt;30")/D53,0)</f>
        <v>0</v>
      </c>
      <c r="AG19" s="500">
        <f>IFERROR(SUMIFS('Analysis Data'!$F:$F,'Analysis Data'!$D:$D,AA19,'Analysis Data'!$E:$E,"&gt;30")/E53,0)</f>
        <v>0</v>
      </c>
      <c r="AH19" s="498">
        <f>IFERROR(SUMIFS('Analysis Data'!$F:$F,'Analysis Data'!$D:$D,AA19,'Analysis Data'!$R:$R,$AB$9,'Analysis Data'!$E:$E,"&gt;60")/C53,0)</f>
        <v>0</v>
      </c>
      <c r="AI19" s="499">
        <f>IFERROR(SUMIFS('Analysis Data'!$F:$F,'Analysis Data'!$D:$D,AA19,'Analysis Data'!$R:$R,$AC$9,'Analysis Data'!$E:$E,"&gt;60")/D53,0)</f>
        <v>0</v>
      </c>
      <c r="AJ19" s="500">
        <f>IFERROR(SUMIFS('Analysis Data'!$F:$F,'Analysis Data'!$D:$D,AA19,'Analysis Data'!$E:$E,"&gt;60")/E53,0)</f>
        <v>0</v>
      </c>
      <c r="AK19" s="498">
        <f>IFERROR(SUMIFS('Analysis Data'!$F:$F,'Analysis Data'!$D:$D,AA19,'Analysis Data'!$R:$R,$AB$9,'Analysis Data'!$E:$E,"&gt;90")/C53,0)</f>
        <v>0</v>
      </c>
      <c r="AL19" s="499">
        <f>IFERROR(SUMIFS('Analysis Data'!$F:$F,'Analysis Data'!$D:$D,AA19,'Analysis Data'!$R:$R,$AC$9,'Analysis Data'!$E:$E,"&gt;90")/D53,0)</f>
        <v>0</v>
      </c>
      <c r="AM19" s="534">
        <f>IFERROR(SUMIFS('Analysis Data'!$F:$F,'Analysis Data'!$D:$D,AA19,'Analysis Data'!$E:$E,"&gt;90")/E53,0)</f>
        <v>0</v>
      </c>
    </row>
    <row r="20" spans="2:53" s="451" customFormat="1" ht="12.6" thickBot="1" x14ac:dyDescent="0.3">
      <c r="B20" s="456" t="s">
        <v>1285</v>
      </c>
      <c r="C20" s="446">
        <f>SUMIFS('Analysis Data'!$S:$S,'Analysis Data'!$D:$D,B20,'Analysis Data'!$R:$R,$C$9,'Analysis Data'!$J:$J,"&gt;="&amp;H2)</f>
        <v>40933767.659999996</v>
      </c>
      <c r="D20" s="447">
        <f>SUMIFS('Analysis Data'!$S:$S,'Analysis Data'!$D:$D,B20,'Analysis Data'!$R:$R,$D$9,'Analysis Data'!$J:$J,"&gt;="&amp;H2)</f>
        <v>0</v>
      </c>
      <c r="E20" s="455">
        <f t="shared" si="0"/>
        <v>40933767.659999996</v>
      </c>
      <c r="F20" s="493">
        <f>COUNTIFS('Analysis Data'!$D:$D,B54,'Analysis Data'!$R:$R,$F$9,'Analysis Data'!$J:$J,"&gt;="&amp;H2)</f>
        <v>4</v>
      </c>
      <c r="G20" s="494">
        <f>COUNTIFS('Analysis Data'!$D:$D,B54,'Analysis Data'!$R:$R,$G$9,'Analysis Data'!$J:$J,"&gt;="&amp;H2)</f>
        <v>0</v>
      </c>
      <c r="H20" s="495">
        <f t="shared" si="1"/>
        <v>4</v>
      </c>
      <c r="I20" s="449">
        <f t="shared" si="9"/>
        <v>10233441.914999999</v>
      </c>
      <c r="J20" s="450">
        <f t="shared" si="2"/>
        <v>0</v>
      </c>
      <c r="K20" s="670">
        <f t="shared" si="2"/>
        <v>10233441.914999999</v>
      </c>
      <c r="M20" s="457" t="s">
        <v>1285</v>
      </c>
      <c r="N20" s="630">
        <f>IFERROR((SUMIFS('Analysis Data'!$T:$T,'Analysis Data'!$D:$D,B20,'Analysis Data'!$R:$R,$N$9,'Analysis Data'!$J:$J,"&gt;="&amp;H2))/C20,0)</f>
        <v>22</v>
      </c>
      <c r="O20" s="633">
        <f t="shared" si="3"/>
        <v>0.79362697812443717</v>
      </c>
      <c r="P20" s="632">
        <f>IFERROR((SUMIFS('Analysis Data'!$T:$T,'Analysis Data'!$D:$D,B20,'Analysis Data'!$R:$R,$P$9,'Analysis Data'!$J:$J,"&gt;="&amp;H2))/D20,0)</f>
        <v>0</v>
      </c>
      <c r="Q20" s="633">
        <f t="shared" si="4"/>
        <v>0</v>
      </c>
      <c r="R20" s="634">
        <f>IFERROR((SUMIFS('Analysis Data'!$T:$T,'Analysis Data'!$D:$D,B20,'Analysis Data'!$J:$J,"&gt;="&amp;H2))/E20,0)</f>
        <v>22</v>
      </c>
      <c r="S20" s="635">
        <f t="shared" si="5"/>
        <v>0.37221466284339183</v>
      </c>
      <c r="T20" s="636">
        <f>IFERROR((SUMIFS('Analysis Data'!$U:$U,'Analysis Data'!$D:$D,B20,'Analysis Data'!$R:$R,$T$9))/C54,0)</f>
        <v>22.327036387822723</v>
      </c>
      <c r="U20" s="639">
        <f t="shared" si="6"/>
        <v>0.98480530315070702</v>
      </c>
      <c r="V20" s="638">
        <f>IFERROR((SUMIFS('Analysis Data'!$U:$U,'Analysis Data'!$D:$D,B20,'Analysis Data'!$R:$R,$V$9))/D54,0)</f>
        <v>0</v>
      </c>
      <c r="W20" s="633">
        <f t="shared" si="7"/>
        <v>0</v>
      </c>
      <c r="X20" s="634">
        <f>IFERROR((SUMIFS('Analysis Data'!$U:$U,'Analysis Data'!$D:$D,B20))/E54,0)</f>
        <v>22.327036387822723</v>
      </c>
      <c r="Y20" s="453">
        <f t="shared" si="8"/>
        <v>0.39060313597754787</v>
      </c>
      <c r="AA20" s="458" t="s">
        <v>1285</v>
      </c>
      <c r="AB20" s="498">
        <f>IFERROR(SUMIFS('Analysis Data'!$F:$F,'Analysis Data'!$D:$D,AA20,'Analysis Data'!$R:$R,$AB$9,'Analysis Data'!$E:$E,"&gt;=2")/E64,0)</f>
        <v>0</v>
      </c>
      <c r="AC20" s="499">
        <f>IFERROR(SUMIFS('Analysis Data'!$F:$F,'Analysis Data'!$D:$D,AA20,'Analysis Data'!$R:$R,$AC$9,'Analysis Data'!$E:$E,"&gt;=2")/D54,0)</f>
        <v>0</v>
      </c>
      <c r="AD20" s="500">
        <f>IFERROR(SUMIFS('Analysis Data'!$F:$F,'Analysis Data'!$D:$D,AA20,'Analysis Data'!$E:$E,"&gt;=2")/E64,0)</f>
        <v>0</v>
      </c>
      <c r="AE20" s="498">
        <f>IFERROR(SUMIFS('Analysis Data'!$F:$F,'Analysis Data'!$D:$D,AA20,'Analysis Data'!$R:$R,$AB$9,'Analysis Data'!$E:$E,"&gt;30")/C54,0)</f>
        <v>0</v>
      </c>
      <c r="AF20" s="499">
        <f>IFERROR(SUMIFS('Analysis Data'!$F:$F,'Analysis Data'!$D:$D,AA20,'Analysis Data'!$R:$R,$AC$9,'Analysis Data'!$E:$E,"&gt;30")/D54,0)</f>
        <v>0</v>
      </c>
      <c r="AG20" s="500">
        <f>IFERROR(SUMIFS('Analysis Data'!$F:$F,'Analysis Data'!$D:$D,AA20,'Analysis Data'!$E:$E,"&gt;30")/E54,0)</f>
        <v>0</v>
      </c>
      <c r="AH20" s="498">
        <f>IFERROR(SUMIFS('Analysis Data'!$F:$F,'Analysis Data'!$D:$D,AA20,'Analysis Data'!$R:$R,$AB$9,'Analysis Data'!$E:$E,"&gt;60")/C54,0)</f>
        <v>0</v>
      </c>
      <c r="AI20" s="499">
        <f>IFERROR(SUMIFS('Analysis Data'!$F:$F,'Analysis Data'!$D:$D,AA20,'Analysis Data'!$R:$R,$AC$9,'Analysis Data'!$E:$E,"&gt;60")/D54,0)</f>
        <v>0</v>
      </c>
      <c r="AJ20" s="500">
        <f>IFERROR(SUMIFS('Analysis Data'!$F:$F,'Analysis Data'!$D:$D,AA20,'Analysis Data'!$E:$E,"&gt;60")/E54,0)</f>
        <v>0</v>
      </c>
      <c r="AK20" s="498">
        <f>IFERROR(SUMIFS('Analysis Data'!$F:$F,'Analysis Data'!$D:$D,AA20,'Analysis Data'!$R:$R,$AB$9,'Analysis Data'!$E:$E,"&gt;90")/C54,0)</f>
        <v>0</v>
      </c>
      <c r="AL20" s="499">
        <f>IFERROR(SUMIFS('Analysis Data'!$F:$F,'Analysis Data'!$D:$D,AA20,'Analysis Data'!$R:$R,$AC$9,'Analysis Data'!$E:$E,"&gt;90")/D54,0)</f>
        <v>0</v>
      </c>
      <c r="AM20" s="534">
        <f>IFERROR(SUMIFS('Analysis Data'!$F:$F,'Analysis Data'!$D:$D,AA20,'Analysis Data'!$E:$E,"&gt;90")/E54,0)</f>
        <v>0</v>
      </c>
    </row>
    <row r="21" spans="2:53" s="465" customFormat="1" ht="15" customHeight="1" thickBot="1" x14ac:dyDescent="0.3">
      <c r="B21" s="459" t="s">
        <v>2900</v>
      </c>
      <c r="C21" s="460">
        <f>SUM(C10:C20)</f>
        <v>1134718089.6600001</v>
      </c>
      <c r="D21" s="461">
        <f t="shared" ref="D21:H21" si="10">SUM(D10:D20)</f>
        <v>1284700000</v>
      </c>
      <c r="E21" s="462">
        <f t="shared" si="10"/>
        <v>2419418089.6599998</v>
      </c>
      <c r="F21" s="657">
        <f t="shared" si="10"/>
        <v>162</v>
      </c>
      <c r="G21" s="496">
        <f t="shared" si="10"/>
        <v>111</v>
      </c>
      <c r="H21" s="659">
        <f t="shared" si="10"/>
        <v>273</v>
      </c>
      <c r="I21" s="463">
        <f>IFERROR(C21/F21,0)</f>
        <v>7004432.6522222226</v>
      </c>
      <c r="J21" s="464">
        <f t="shared" si="2"/>
        <v>11573873.873873875</v>
      </c>
      <c r="K21" s="671">
        <f t="shared" si="2"/>
        <v>8862337.3247619048</v>
      </c>
      <c r="M21" s="466" t="s">
        <v>3035</v>
      </c>
      <c r="N21" s="640">
        <f>SUM(O10:O20)</f>
        <v>47.784512675537528</v>
      </c>
      <c r="O21" s="641"/>
      <c r="P21" s="642">
        <f>SUM(Q10:Q20)</f>
        <v>42.027555071222849</v>
      </c>
      <c r="Q21" s="643"/>
      <c r="R21" s="644">
        <f>SUM(S10:S20)</f>
        <v>44.727594375276993</v>
      </c>
      <c r="S21" s="643"/>
      <c r="T21" s="645">
        <f>SUM(U10:U20)</f>
        <v>42.81132161758287</v>
      </c>
      <c r="U21" s="646"/>
      <c r="V21" s="642">
        <f>SUM(W10:W20)</f>
        <v>38.464931032122514</v>
      </c>
      <c r="W21" s="643"/>
      <c r="X21" s="644">
        <f>SUM(Y10:Y20)</f>
        <v>40.188839085249946</v>
      </c>
      <c r="Y21" s="467"/>
      <c r="AA21" s="467" t="s">
        <v>2900</v>
      </c>
      <c r="AB21" s="501">
        <f>IFERROR(SUMIFS('Analysis Data'!$F:$F,'Analysis Data'!$R:$R,$AB$9,'Analysis Data'!$E:$E,"&gt;=2")/E64,0)</f>
        <v>7.7855604212414539E-2</v>
      </c>
      <c r="AC21" s="502">
        <f>IFERROR(SUMIFS('Analysis Data'!$F:$F,'Analysis Data'!$R:$R,$AC$9,'Analysis Data'!$E:$E,"&gt;=2")/E64,0)</f>
        <v>0.13395947355894666</v>
      </c>
      <c r="AD21" s="503">
        <f>IFERROR(SUMIFS('Analysis Data'!$F:$F,'Analysis Data'!$E:$E,"&gt;=2")/E64,0)</f>
        <v>0.21181507777136105</v>
      </c>
      <c r="AE21" s="501">
        <f>IFERROR(SUMIFS('Analysis Data'!$F:$F,'Analysis Data'!$R:$R,$AB$9,'Analysis Data'!$E:$E,"&gt;32")/E64,0)</f>
        <v>3.1721446590648107E-2</v>
      </c>
      <c r="AF21" s="502">
        <f>IFERROR(SUMIFS('Analysis Data'!$F:$F,'Analysis Data'!$R:$R,$AC$9,'Analysis Data'!$E:$E,"&gt;32")/E64,0)</f>
        <v>4.9016167153884335E-2</v>
      </c>
      <c r="AG21" s="503">
        <f>IFERROR(SUMIFS('Analysis Data'!$F:$F,'Analysis Data'!$E:$E,"&gt;=32")/E64,0)</f>
        <v>8.0737613744532477E-2</v>
      </c>
      <c r="AH21" s="501">
        <f>IFERROR(SUMIFS('Analysis Data'!$F:$F,'Analysis Data'!$R:$R,$AB$9,'Analysis Data'!$E:$E,"&gt;60")/C55,0)</f>
        <v>6.3089963798174387E-2</v>
      </c>
      <c r="AI21" s="502">
        <f>IFERROR(SUMIFS('Analysis Data'!$F:$F,'Analysis Data'!$R:$R,$AC$9,'Analysis Data'!$E:$E,"&gt;60")/D55,0)</f>
        <v>4.7427565452551633E-2</v>
      </c>
      <c r="AJ21" s="503">
        <f>IFERROR(SUMIFS('Analysis Data'!$F:$F,'Analysis Data'!$E:$E,"&gt;60")/E55,0)</f>
        <v>5.3639739464162915E-2</v>
      </c>
      <c r="AK21" s="501">
        <f>IFERROR(SUMIFS('Analysis Data'!$F:$F,'Analysis Data'!$R:$R,$AB$9,'Analysis Data'!$E:$E,"&gt;90")/C55,0)</f>
        <v>4.2426832164993517E-2</v>
      </c>
      <c r="AL21" s="502">
        <f>IFERROR(SUMIFS('Analysis Data'!$F:$F,'Analysis Data'!$R:$R,$AC$9,'Analysis Data'!$E:$E,"&gt;90")/D55,0)</f>
        <v>2.4324658928736712E-2</v>
      </c>
      <c r="AM21" s="535">
        <f>IFERROR(SUMIFS('Analysis Data'!$F:$F,'Analysis Data'!$E:$E,"&gt;90")/E55,0)</f>
        <v>3.1504520381014728E-2</v>
      </c>
    </row>
    <row r="22" spans="2:53" s="451" customFormat="1" ht="12.6" thickBot="1" x14ac:dyDescent="0.3">
      <c r="B22" s="423" t="s">
        <v>315</v>
      </c>
      <c r="C22" s="487">
        <f>C21/E21</f>
        <v>0.4690045488663192</v>
      </c>
      <c r="D22" s="488">
        <f>D21/E21</f>
        <v>0.53099545113368085</v>
      </c>
      <c r="E22" s="489">
        <f>C22+D22</f>
        <v>1</v>
      </c>
      <c r="F22" s="487">
        <f>F21/H21</f>
        <v>0.59340659340659341</v>
      </c>
      <c r="G22" s="488">
        <f>G21/H21</f>
        <v>0.40659340659340659</v>
      </c>
      <c r="H22" s="489">
        <f>F22+G22</f>
        <v>1</v>
      </c>
      <c r="I22" s="487" t="s">
        <v>2903</v>
      </c>
      <c r="J22" s="488" t="s">
        <v>2903</v>
      </c>
      <c r="K22" s="508" t="s">
        <v>2903</v>
      </c>
      <c r="AA22" s="897" t="s">
        <v>3013</v>
      </c>
      <c r="AB22" s="897"/>
      <c r="AC22" s="897"/>
      <c r="AD22" s="897"/>
      <c r="AE22" s="897"/>
      <c r="AF22" s="897"/>
      <c r="AG22" s="897"/>
      <c r="AH22" s="897"/>
      <c r="AI22" s="897"/>
      <c r="AJ22" s="897"/>
      <c r="AK22" s="897"/>
      <c r="AL22" s="897"/>
      <c r="AM22" s="897"/>
      <c r="AN22" s="469"/>
    </row>
    <row r="23" spans="2:53" s="421" customFormat="1" ht="18" customHeight="1" thickBot="1" x14ac:dyDescent="0.3">
      <c r="AA23" s="898"/>
      <c r="AB23" s="898"/>
      <c r="AC23" s="898"/>
      <c r="AD23" s="898"/>
      <c r="AE23" s="898"/>
      <c r="AF23" s="898"/>
      <c r="AG23" s="898"/>
      <c r="AH23" s="898"/>
      <c r="AI23" s="898"/>
      <c r="AJ23" s="898"/>
      <c r="AK23" s="898"/>
      <c r="AL23" s="898"/>
      <c r="AM23" s="898"/>
    </row>
    <row r="24" spans="2:53" s="421" customFormat="1" ht="18" customHeight="1" thickBot="1" x14ac:dyDescent="0.3">
      <c r="B24" s="884" t="s">
        <v>3009</v>
      </c>
      <c r="C24" s="885"/>
      <c r="D24" s="885"/>
      <c r="E24" s="885"/>
      <c r="F24" s="885">
        <f>EOMONTH(Parameters!B20,0)</f>
        <v>31</v>
      </c>
      <c r="G24" s="886">
        <f>H3</f>
        <v>43008</v>
      </c>
      <c r="H24" s="886"/>
      <c r="I24" s="886"/>
      <c r="J24" s="886"/>
      <c r="K24" s="887"/>
      <c r="N24" s="470"/>
      <c r="AA24" s="884" t="s">
        <v>3086</v>
      </c>
      <c r="AB24" s="885"/>
      <c r="AC24" s="885"/>
      <c r="AD24" s="885"/>
      <c r="AE24" s="885"/>
      <c r="AF24" s="885"/>
      <c r="AG24" s="885"/>
      <c r="AH24" s="886">
        <f>H3</f>
        <v>43008</v>
      </c>
      <c r="AI24" s="886"/>
      <c r="AJ24" s="886"/>
      <c r="AK24" s="886"/>
      <c r="AL24" s="886"/>
      <c r="AM24" s="887"/>
      <c r="AO24" s="884" t="s">
        <v>3017</v>
      </c>
      <c r="AP24" s="885"/>
      <c r="AQ24" s="885"/>
      <c r="AR24" s="885"/>
      <c r="AS24" s="885"/>
      <c r="AT24" s="885"/>
      <c r="AU24" s="885"/>
      <c r="AV24" s="886">
        <f>H3</f>
        <v>43008</v>
      </c>
      <c r="AW24" s="886"/>
      <c r="AX24" s="886"/>
      <c r="AY24" s="886"/>
      <c r="AZ24" s="886"/>
      <c r="BA24" s="887"/>
    </row>
    <row r="25" spans="2:53" s="471" customFormat="1" ht="15" customHeight="1" thickBot="1" x14ac:dyDescent="0.3">
      <c r="B25" s="409" t="s">
        <v>3004</v>
      </c>
      <c r="C25" s="875" t="s">
        <v>2998</v>
      </c>
      <c r="D25" s="876"/>
      <c r="E25" s="877"/>
      <c r="F25" s="878" t="s">
        <v>2999</v>
      </c>
      <c r="G25" s="879"/>
      <c r="H25" s="880"/>
      <c r="I25" s="881" t="s">
        <v>3008</v>
      </c>
      <c r="J25" s="882"/>
      <c r="K25" s="883"/>
      <c r="AA25" s="890" t="s">
        <v>2902</v>
      </c>
      <c r="AB25" s="902" t="s">
        <v>1202</v>
      </c>
      <c r="AC25" s="902"/>
      <c r="AD25" s="903"/>
      <c r="AE25" s="904" t="s">
        <v>1203</v>
      </c>
      <c r="AF25" s="902"/>
      <c r="AG25" s="903"/>
      <c r="AH25" s="902" t="s">
        <v>2901</v>
      </c>
      <c r="AI25" s="902"/>
      <c r="AJ25" s="902"/>
      <c r="AK25" s="904" t="s">
        <v>1204</v>
      </c>
      <c r="AL25" s="902"/>
      <c r="AM25" s="905"/>
      <c r="AO25" s="409" t="s">
        <v>3004</v>
      </c>
      <c r="AP25" s="910" t="s">
        <v>1202</v>
      </c>
      <c r="AQ25" s="907"/>
      <c r="AR25" s="909"/>
      <c r="AS25" s="906" t="s">
        <v>1203</v>
      </c>
      <c r="AT25" s="907"/>
      <c r="AU25" s="909"/>
      <c r="AV25" s="906" t="s">
        <v>2901</v>
      </c>
      <c r="AW25" s="907"/>
      <c r="AX25" s="909"/>
      <c r="AY25" s="906" t="s">
        <v>1204</v>
      </c>
      <c r="AZ25" s="907"/>
      <c r="BA25" s="908"/>
    </row>
    <row r="26" spans="2:53" s="472" customFormat="1" ht="15" customHeight="1" thickBot="1" x14ac:dyDescent="0.3">
      <c r="B26" s="410" t="s">
        <v>3005</v>
      </c>
      <c r="C26" s="435" t="s">
        <v>2636</v>
      </c>
      <c r="D26" s="436" t="s">
        <v>2856</v>
      </c>
      <c r="E26" s="437" t="s">
        <v>2900</v>
      </c>
      <c r="F26" s="438" t="s">
        <v>2636</v>
      </c>
      <c r="G26" s="436" t="s">
        <v>2856</v>
      </c>
      <c r="H26" s="437" t="s">
        <v>2900</v>
      </c>
      <c r="I26" s="438" t="s">
        <v>2636</v>
      </c>
      <c r="J26" s="436" t="s">
        <v>2856</v>
      </c>
      <c r="K26" s="442" t="s">
        <v>2900</v>
      </c>
      <c r="M26" s="421"/>
      <c r="N26" s="421"/>
      <c r="O26" s="421"/>
      <c r="P26" s="421"/>
      <c r="Q26" s="421"/>
      <c r="R26" s="421"/>
      <c r="AA26" s="891"/>
      <c r="AB26" s="440" t="s">
        <v>2636</v>
      </c>
      <c r="AC26" s="436" t="s">
        <v>2856</v>
      </c>
      <c r="AD26" s="437" t="s">
        <v>2900</v>
      </c>
      <c r="AE26" s="438" t="s">
        <v>2636</v>
      </c>
      <c r="AF26" s="436" t="s">
        <v>2856</v>
      </c>
      <c r="AG26" s="437" t="s">
        <v>2900</v>
      </c>
      <c r="AH26" s="438" t="s">
        <v>2636</v>
      </c>
      <c r="AI26" s="439" t="s">
        <v>2856</v>
      </c>
      <c r="AJ26" s="441" t="s">
        <v>2900</v>
      </c>
      <c r="AK26" s="438" t="s">
        <v>2636</v>
      </c>
      <c r="AL26" s="436" t="s">
        <v>2856</v>
      </c>
      <c r="AM26" s="442" t="s">
        <v>2900</v>
      </c>
      <c r="AO26" s="485" t="s">
        <v>3005</v>
      </c>
      <c r="AP26" s="416" t="s">
        <v>2636</v>
      </c>
      <c r="AQ26" s="417" t="s">
        <v>2856</v>
      </c>
      <c r="AR26" s="418" t="s">
        <v>2900</v>
      </c>
      <c r="AS26" s="416" t="s">
        <v>2636</v>
      </c>
      <c r="AT26" s="417" t="s">
        <v>2856</v>
      </c>
      <c r="AU26" s="418" t="s">
        <v>2900</v>
      </c>
      <c r="AV26" s="416" t="s">
        <v>2636</v>
      </c>
      <c r="AW26" s="417" t="s">
        <v>2856</v>
      </c>
      <c r="AX26" s="418" t="s">
        <v>2900</v>
      </c>
      <c r="AY26" s="419" t="s">
        <v>2636</v>
      </c>
      <c r="AZ26" s="417" t="s">
        <v>2856</v>
      </c>
      <c r="BA26" s="420" t="s">
        <v>2900</v>
      </c>
    </row>
    <row r="27" spans="2:53" s="421" customFormat="1" ht="12.75" customHeight="1" x14ac:dyDescent="0.25">
      <c r="B27" s="672" t="s">
        <v>3001</v>
      </c>
      <c r="C27" s="673">
        <f>SUMIFS('Analysis Data'!$S:$S,'Analysis Data'!$R:$R,$C$26,'Analysis Data'!$S:$S,"&lt;=15000000",'Analysis Data'!$J:$J,"&gt;="&amp;H2)</f>
        <v>642018089.66000009</v>
      </c>
      <c r="D27" s="674">
        <f>SUMIFS('Analysis Data'!$S:$S,'Analysis Data'!$R:$R,$D$26,'Analysis Data'!$S:$S,"&lt;=15000000",'Analysis Data'!$J:$J,"&gt;="&amp;H2)</f>
        <v>494700000</v>
      </c>
      <c r="E27" s="675">
        <f>C27+D27</f>
        <v>1136718089.6600001</v>
      </c>
      <c r="F27" s="663">
        <f>COUNTIFS('Analysis Data'!$R:$R,$F$9,'Analysis Data'!$J:$J,"&gt;="&amp;H2,'Analysis Data'!$S:$S,"&lt;=15000000")</f>
        <v>140</v>
      </c>
      <c r="G27" s="664">
        <f>COUNTIFS('Analysis Data'!$R:$R,$G$9,'Analysis Data'!$J:$J,"&gt;="&amp;H2,'Analysis Data'!$S:$S,"&lt;=15000000")</f>
        <v>77</v>
      </c>
      <c r="H27" s="665">
        <f>SUM(F27:G27)</f>
        <v>217</v>
      </c>
      <c r="I27" s="666">
        <f t="shared" ref="I27:K29" si="11">C27/$E$30</f>
        <v>0.26536053954619421</v>
      </c>
      <c r="J27" s="667">
        <f t="shared" si="11"/>
        <v>0.20447065437520973</v>
      </c>
      <c r="K27" s="662">
        <f t="shared" si="11"/>
        <v>0.46983119392140393</v>
      </c>
      <c r="AA27" s="412" t="s">
        <v>1282</v>
      </c>
      <c r="AB27" s="509">
        <f>IFERROR(SUMIFS('Analysis Data'!$F:$F,'Analysis Data'!$D:$D,AA27,'Analysis Data'!$R:$R,$AB$9,'Analysis Data'!$E:$E,"&gt;=2"),0)</f>
        <v>163395257.90000001</v>
      </c>
      <c r="AC27" s="510">
        <f>IFERROR(SUMIFS('Analysis Data'!$F:$F,'Analysis Data'!$D:$D,AA27,'Analysis Data'!$R:$R,$AC$9,'Analysis Data'!$E:$E,"&gt;=2"),0)</f>
        <v>100994494.22</v>
      </c>
      <c r="AD27" s="511">
        <f>SUM(AB27:AC27)</f>
        <v>264389752.12</v>
      </c>
      <c r="AE27" s="509">
        <f>IFERROR(SUMIFS('Analysis Data'!$F:$F,'Analysis Data'!$D:$D,AA27,'Analysis Data'!$R:$R,$AE$26,'Analysis Data'!$E:$E,"&gt;32"),0)</f>
        <v>76358537.260000005</v>
      </c>
      <c r="AF27" s="510">
        <f>IFERROR(SUMIFS('Analysis Data'!$F:$F,'Analysis Data'!$D:$D,AA27,'Analysis Data'!$R:$R,$AF$26,'Analysis Data'!$E:$E,"&gt;32"),0)</f>
        <v>61936480.370000005</v>
      </c>
      <c r="AG27" s="511">
        <f>SUM(AE27:AF27)</f>
        <v>138295017.63</v>
      </c>
      <c r="AH27" s="509">
        <f>IFERROR(SUMIFS('Analysis Data'!$F:$F,'Analysis Data'!$D:$D,AA27,'Analysis Data'!$R:$R,$AH$26,'Analysis Data'!$E:$E,"&gt;62"),0)</f>
        <v>51583949.710000001</v>
      </c>
      <c r="AI27" s="510">
        <f>IFERROR(SUMIFS('Analysis Data'!$F:$F,'Analysis Data'!$D:$D,AA27,'Analysis Data'!$R:$R,$AI$26,'Analysis Data'!$E:$E,"&gt;60"),0)</f>
        <v>37865380.850000001</v>
      </c>
      <c r="AJ27" s="511">
        <f>SUM(AH27:AI27)</f>
        <v>89449330.560000002</v>
      </c>
      <c r="AK27" s="509">
        <f>IFERROR(SUMIFS('Analysis Data'!$F:$F,'Analysis Data'!$D:$D,AA27,'Analysis Data'!$R:$R,$AK$26,'Analysis Data'!$E:$E,"&gt;90"),0)</f>
        <v>35967798.940000005</v>
      </c>
      <c r="AL27" s="510">
        <f>IFERROR(SUMIFS('Analysis Data'!$F:$F,'Analysis Data'!$D:$D,AA27,'Analysis Data'!$R:$R,$AL$26,'Analysis Data'!$E:$E,"&gt;90"),0)</f>
        <v>22630248.960000001</v>
      </c>
      <c r="AM27" s="512">
        <f>SUM(AK27:AL27)</f>
        <v>58598047.900000006</v>
      </c>
      <c r="AO27" s="412" t="s">
        <v>3001</v>
      </c>
      <c r="AP27" s="509">
        <f>IFERROR(SUMIFS('Analysis Data'!$F:$F,'Analysis Data'!$R:$R,$AP$9,'Analysis Data'!$E:$E,"&gt;=2",'Analysis Data'!$S:$S,"&lt;=15000000"),0)</f>
        <v>327283752.08999991</v>
      </c>
      <c r="AQ27" s="510">
        <f>IFERROR(SUMIFS('Analysis Data'!$F:$F,'Analysis Data'!$R:$R,$AQ$9,'Analysis Data'!$E:$E,"&gt;=2",'Analysis Data'!$S:$S,"&lt;=15000000"),0)</f>
        <v>142122019.43000001</v>
      </c>
      <c r="AR27" s="511">
        <f>SUM(AP27:AQ27)</f>
        <v>469405771.51999992</v>
      </c>
      <c r="AS27" s="509">
        <f>IFERROR(SUMIFS('Analysis Data'!$F:$F,'Analysis Data'!$R:$R,$AP$9,'Analysis Data'!$E:$E,"&gt;32",'Analysis Data'!$S:$S,"&lt;=15000000"),0)</f>
        <v>163888685.50999996</v>
      </c>
      <c r="AT27" s="510">
        <f>IFERROR(SUMIFS('Analysis Data'!$F:$F,'Analysis Data'!$R:$R,$AQ$9,'Analysis Data'!$E:$E,"&gt;32",'Analysis Data'!$S:$S,"&lt;=15000000"),0)</f>
        <v>69400828.310000002</v>
      </c>
      <c r="AU27" s="511">
        <f>SUM(AS27:AT27)</f>
        <v>233289513.81999996</v>
      </c>
      <c r="AV27" s="509">
        <f>IFERROR(SUMIFS('Analysis Data'!$F:$F,'Analysis Data'!$R:$R,$AP$9,'Analysis Data'!$E:$E,"&gt;62",'Analysis Data'!$S:$S,"&lt;=15000000"),0)</f>
        <v>112408998.3</v>
      </c>
      <c r="AW27" s="510">
        <f>IFERROR(SUMIFS('Analysis Data'!$F:$F,'Analysis Data'!$R:$R,$AQ$9,'Analysis Data'!$E:$E,"&gt;62",'Analysis Data'!$S:$S,"&lt;=15000000"),0)</f>
        <v>40095152.629999995</v>
      </c>
      <c r="AX27" s="511">
        <f>SUM(AV27:AW27)</f>
        <v>152504150.93000001</v>
      </c>
      <c r="AY27" s="509">
        <f>IFERROR(SUMIFS('Analysis Data'!$F:$F,'Analysis Data'!$R:$R,$AP$9,'Analysis Data'!$E:$E,"&gt;92",'Analysis Data'!$S:$S,"&lt;=15000000"),0)</f>
        <v>81540189.76000002</v>
      </c>
      <c r="AZ27" s="510">
        <f>IFERROR(SUMIFS('Analysis Data'!$F:$F,'Analysis Data'!$R:$R,$AQ$9,'Analysis Data'!$E:$E,"&gt;92",'Analysis Data'!$S:$S,"&lt;=15000000"),0)</f>
        <v>24359579</v>
      </c>
      <c r="BA27" s="512">
        <f>SUM(AY27:AZ27)</f>
        <v>105899768.76000002</v>
      </c>
    </row>
    <row r="28" spans="2:53" s="421" customFormat="1" ht="12.75" customHeight="1" x14ac:dyDescent="0.25">
      <c r="B28" s="678" t="s">
        <v>3002</v>
      </c>
      <c r="C28" s="676">
        <f>SUMIFS('Analysis Data'!$S:$S,'Analysis Data'!$R:$R,$C$26,'Analysis Data'!$S:$S,"&gt;15000000",'Analysis Data'!$S:$S,"&lt;=30000000",'Analysis Data'!$J:$J,"&gt;="&amp;H2)</f>
        <v>492700000</v>
      </c>
      <c r="D28" s="677">
        <f>SUMIFS('Analysis Data'!$S:$S,'Analysis Data'!$R:$R,$D$26,'Analysis Data'!$S:$S,"&gt;15000000",'Analysis Data'!$S:$S,"&lt;=30000000",'Analysis Data'!$J:$J,"&gt;="&amp;H2)</f>
        <v>692500000</v>
      </c>
      <c r="E28" s="455">
        <f t="shared" ref="E28" si="12">C28+D28</f>
        <v>1185200000</v>
      </c>
      <c r="F28" s="652">
        <f>COUNTIFS('Analysis Data'!$R:$R,$F$9,'Analysis Data'!$J:$J,"&gt;="&amp;H2,'Analysis Data'!$S:$S,"&gt;15000000",'Analysis Data'!$S:$S,"&lt;=30000000")</f>
        <v>22</v>
      </c>
      <c r="G28" s="653">
        <f>COUNTIFS('Analysis Data'!$R:$R,$G$9,'Analysis Data'!$J:$J,"&gt;="&amp;H2,'Analysis Data'!$S:$S,"&gt;15000000",'Analysis Data'!$S:$S,"&lt;=30000000")</f>
        <v>31</v>
      </c>
      <c r="H28" s="654">
        <f>SUM(F28:G28)</f>
        <v>53</v>
      </c>
      <c r="I28" s="655">
        <f t="shared" si="11"/>
        <v>0.203644009320125</v>
      </c>
      <c r="J28" s="656">
        <f t="shared" si="11"/>
        <v>0.28622585032309023</v>
      </c>
      <c r="K28" s="651">
        <f t="shared" si="11"/>
        <v>0.48986985964321522</v>
      </c>
      <c r="AA28" s="412" t="s">
        <v>1281</v>
      </c>
      <c r="AB28" s="509">
        <f>IFERROR(SUMIFS('Analysis Data'!$F:$F,'Analysis Data'!$D:$D,AA28,'Analysis Data'!$R:$R,$AB$9,'Analysis Data'!$E:$E,"&gt;=2"),0)</f>
        <v>346874475.99000001</v>
      </c>
      <c r="AC28" s="510">
        <f>IFERROR(SUMIFS('Analysis Data'!$F:$F,'Analysis Data'!$D:$D,AA28,'Analysis Data'!$R:$R,$AC$9,'Analysis Data'!$E:$E,"&gt;=2"),0)</f>
        <v>302355063.36000001</v>
      </c>
      <c r="AD28" s="511">
        <f t="shared" ref="AD28:AD37" si="13">SUM(AB28:AC28)</f>
        <v>649229539.35000002</v>
      </c>
      <c r="AE28" s="509">
        <f>IFERROR(SUMIFS('Analysis Data'!$F:$F,'Analysis Data'!$D:$D,AA28,'Analysis Data'!$R:$R,$AE$26,'Analysis Data'!$E:$E,"&gt;32"),0)</f>
        <v>140889357.65000001</v>
      </c>
      <c r="AF28" s="510">
        <f>IFERROR(SUMIFS('Analysis Data'!$F:$F,'Analysis Data'!$D:$D,AA28,'Analysis Data'!$R:$R,$AF$26,'Analysis Data'!$E:$E,"&gt;32"),0)</f>
        <v>110184012.85999998</v>
      </c>
      <c r="AG28" s="511">
        <f t="shared" ref="AG28:AG37" si="14">SUM(AE28:AF28)</f>
        <v>251073370.50999999</v>
      </c>
      <c r="AH28" s="509">
        <f>IFERROR(SUMIFS('Analysis Data'!$F:$F,'Analysis Data'!$D:$D,AA28,'Analysis Data'!$R:$R,$AH$26,'Analysis Data'!$E:$E,"&gt;60"),0)</f>
        <v>128547046.59</v>
      </c>
      <c r="AI28" s="510">
        <f>IFERROR(SUMIFS('Analysis Data'!$F:$F,'Analysis Data'!$D:$D,AA28,'Analysis Data'!$R:$R,$AI$26,'Analysis Data'!$E:$E,"&gt;60"),0)</f>
        <v>71419358.219999999</v>
      </c>
      <c r="AJ28" s="511">
        <f t="shared" ref="AJ28:AJ37" si="15">SUM(AH28:AI28)</f>
        <v>199966404.81</v>
      </c>
      <c r="AK28" s="509">
        <f>IFERROR(SUMIFS('Analysis Data'!$F:$F,'Analysis Data'!$D:$D,AA28,'Analysis Data'!$R:$R,$AK$26,'Analysis Data'!$E:$E,"&gt;90"),0)</f>
        <v>68146593.00999999</v>
      </c>
      <c r="AL28" s="510">
        <f>IFERROR(SUMIFS('Analysis Data'!$F:$F,'Analysis Data'!$D:$D,AA28,'Analysis Data'!$R:$R,$AL$26,'Analysis Data'!$E:$E,"&gt;90"),0)</f>
        <v>27279545.010000002</v>
      </c>
      <c r="AM28" s="512">
        <f t="shared" ref="AM28:AM37" si="16">SUM(AK28:AL28)</f>
        <v>95426138.019999996</v>
      </c>
      <c r="AO28" s="412" t="s">
        <v>3002</v>
      </c>
      <c r="AP28" s="509">
        <f>IFERROR(SUMIFS('Analysis Data'!$F:$F,'Analysis Data'!$R:$R,$AP$9,'Analysis Data'!$E:$E,"&gt;=2",'Analysis Data'!$S:$S,"&gt;15000000",'Analysis Data'!$S:$S,"&lt;=30000000"),0)</f>
        <v>450381353.08000016</v>
      </c>
      <c r="AQ28" s="510">
        <f>IFERROR(SUMIFS('Analysis Data'!$F:$F,'Analysis Data'!$R:$R,$AQ$9,'Analysis Data'!$E:$E,"&gt;=2",'Analysis Data'!$S:$S,"&gt;15000000",'Analysis Data'!$S:$S,"&lt;=30000000"),0)</f>
        <v>337479504.97000009</v>
      </c>
      <c r="AR28" s="511">
        <f t="shared" ref="AR28:AR29" si="17">SUM(AP28:AQ28)</f>
        <v>787860858.05000019</v>
      </c>
      <c r="AS28" s="509">
        <f>IFERROR(SUMIFS('Analysis Data'!$F:$F,'Analysis Data'!$R:$R,$AP$9,'Analysis Data'!$E:$E,"&gt;32",'Analysis Data'!$S:$S,"&gt;15000000",'Analysis Data'!$S:$S,"&lt;=30000000"),0)</f>
        <v>140889357.65000001</v>
      </c>
      <c r="AT28" s="510">
        <f>IFERROR(SUMIFS('Analysis Data'!$F:$F,'Analysis Data'!$R:$R,$AQ$9,'Analysis Data'!$E:$E,"&gt;32",'Analysis Data'!$S:$S,"&gt;15000000",'Analysis Data'!$S:$S,"&lt;=30000000"),0)</f>
        <v>123274980.78</v>
      </c>
      <c r="AU28" s="511">
        <f t="shared" ref="AU28:AU29" si="18">SUM(AS28:AT28)</f>
        <v>264164338.43000001</v>
      </c>
      <c r="AV28" s="509">
        <f>IFERROR(SUMIFS('Analysis Data'!$F:$F,'Analysis Data'!$R:$R,$AP$9,'Analysis Data'!$E:$E,"&gt;62",'Analysis Data'!$S:$S,"&gt;15000000",'Analysis Data'!$S:$S,"&lt;=30000000"),0)</f>
        <v>128547046.59</v>
      </c>
      <c r="AW28" s="510">
        <f>IFERROR(SUMIFS('Analysis Data'!$F:$F,'Analysis Data'!$R:$R,$AQ$9,'Analysis Data'!$E:$E,"&gt;62",'Analysis Data'!$S:$S,"&gt;15000000",'Analysis Data'!$S:$S,"&lt;=30000000"),0)</f>
        <v>75042912.090000004</v>
      </c>
      <c r="AX28" s="511">
        <f t="shared" ref="AX28:AX29" si="19">SUM(AV28:AW28)</f>
        <v>203589958.68000001</v>
      </c>
      <c r="AY28" s="509">
        <f>IFERROR(SUMIFS('Analysis Data'!$F:$F,'Analysis Data'!$R:$R,$AP$9,'Analysis Data'!$E:$E,"&gt;92",'Analysis Data'!$S:$S,"&gt;15000000",'Analysis Data'!$S:$S,"&lt;=30000000"),0)</f>
        <v>68146593.00999999</v>
      </c>
      <c r="AZ28" s="510">
        <f>IFERROR(SUMIFS('Analysis Data'!$F:$F,'Analysis Data'!$R:$R,$AQ$9,'Analysis Data'!$E:$E,"&gt;9",'Analysis Data'!$S:$S,"&gt;15000000",'Analysis Data'!$S:$S,"&lt;=30000000"),0)</f>
        <v>321734036.09000009</v>
      </c>
      <c r="BA28" s="512">
        <f t="shared" ref="BA28:BA29" si="20">SUM(AY28:AZ28)</f>
        <v>389880629.10000008</v>
      </c>
    </row>
    <row r="29" spans="2:53" s="421" customFormat="1" ht="13.8" thickBot="1" x14ac:dyDescent="0.3">
      <c r="B29" s="678" t="s">
        <v>3003</v>
      </c>
      <c r="C29" s="676">
        <f>SUMIFS('Analysis Data'!$S:$S,'Analysis Data'!$R:$R,$C$26,'Analysis Data'!$S:$S,"&gt;30000000",'Analysis Data'!$J:$J,"&gt;="&amp;H2)</f>
        <v>0</v>
      </c>
      <c r="D29" s="677">
        <f>SUMIFS('Analysis Data'!$S:$S,'Analysis Data'!$R:$R,$D$26,'Analysis Data'!$S:$S,"&gt;30000000",'Analysis Data'!$J:$J,"&gt;="&amp;H2)</f>
        <v>97500000</v>
      </c>
      <c r="E29" s="455">
        <f t="shared" ref="E29" si="21">C29+D29</f>
        <v>97500000</v>
      </c>
      <c r="F29" s="652">
        <f>COUNTIFS('Analysis Data'!$R:$R,$F$9,'Analysis Data'!$J:$J,"&gt;="&amp;H2,'Analysis Data'!$S:$S,"&gt;30000000")</f>
        <v>0</v>
      </c>
      <c r="G29" s="653">
        <f>COUNTIFS('Analysis Data'!$R:$R,$G$9,'Analysis Data'!$J:$J,"&gt;="&amp;H2,'Analysis Data'!$S:$S,"&gt;30000000")</f>
        <v>3</v>
      </c>
      <c r="H29" s="654">
        <f>SUM(F29:G29)</f>
        <v>3</v>
      </c>
      <c r="I29" s="655">
        <f t="shared" si="11"/>
        <v>0</v>
      </c>
      <c r="J29" s="656">
        <f t="shared" si="11"/>
        <v>4.0298946435380935E-2</v>
      </c>
      <c r="K29" s="651">
        <f t="shared" si="11"/>
        <v>4.0298946435380935E-2</v>
      </c>
      <c r="AA29" s="412" t="s">
        <v>1283</v>
      </c>
      <c r="AB29" s="509">
        <f>IFERROR(SUMIFS('Analysis Data'!$F:$F,'Analysis Data'!$D:$D,AA29,'Analysis Data'!$R:$R,$AB$9,'Analysis Data'!$E:$E,"&gt;=2"),0)</f>
        <v>437265427.92000002</v>
      </c>
      <c r="AC29" s="510">
        <f>IFERROR(SUMIFS('Analysis Data'!$F:$F,'Analysis Data'!$D:$D,AA29,'Analysis Data'!$R:$R,$AC$9,'Analysis Data'!$E:$E,"&gt;=2"),0)</f>
        <v>1153266039.3799999</v>
      </c>
      <c r="AD29" s="511">
        <f t="shared" si="13"/>
        <v>1590531467.3</v>
      </c>
      <c r="AE29" s="509">
        <f>IFERROR(SUMIFS('Analysis Data'!$F:$F,'Analysis Data'!$D:$D,AA29,'Analysis Data'!$R:$R,$AE$26,'Analysis Data'!$E:$E,"&gt;32"),0)</f>
        <v>191203247.44999999</v>
      </c>
      <c r="AF29" s="510">
        <f>IFERROR(SUMIFS('Analysis Data'!$F:$F,'Analysis Data'!$D:$D,AA29,'Analysis Data'!$R:$R,$AF$26,'Analysis Data'!$E:$E,"&gt;32"),0)</f>
        <v>481808608.30999994</v>
      </c>
      <c r="AG29" s="511">
        <f t="shared" si="14"/>
        <v>673011855.75999999</v>
      </c>
      <c r="AH29" s="509">
        <f>IFERROR(SUMIFS('Analysis Data'!$F:$F,'Analysis Data'!$D:$D,AA29,'Analysis Data'!$R:$R,$AH$26,'Analysis Data'!$E:$E,"&gt;60"),0)</f>
        <v>173730348.75999999</v>
      </c>
      <c r="AI29" s="510">
        <f>IFERROR(SUMIFS('Analysis Data'!$F:$F,'Analysis Data'!$D:$D,AA29,'Analysis Data'!$R:$R,$AI$26,'Analysis Data'!$E:$E,"&gt;60"),0)</f>
        <v>312108035.37</v>
      </c>
      <c r="AJ29" s="511">
        <f t="shared" si="15"/>
        <v>485838384.13</v>
      </c>
      <c r="AK29" s="509">
        <f>IFERROR(SUMIFS('Analysis Data'!$F:$F,'Analysis Data'!$D:$D,AA29,'Analysis Data'!$R:$R,$AK$26,'Analysis Data'!$E:$E,"&gt;90"),0)</f>
        <v>146426636.72999999</v>
      </c>
      <c r="AL29" s="510">
        <f>IFERROR(SUMIFS('Analysis Data'!$F:$F,'Analysis Data'!$D:$D,AA29,'Analysis Data'!$R:$R,$AL$26,'Analysis Data'!$E:$E,"&gt;90"),0)</f>
        <v>130315413.31</v>
      </c>
      <c r="AM29" s="512">
        <f t="shared" si="16"/>
        <v>276742050.03999996</v>
      </c>
      <c r="AO29" s="413" t="s">
        <v>3003</v>
      </c>
      <c r="AP29" s="509">
        <f>IFERROR(SUMIFS('Analysis Data'!$F:$F,'Analysis Data'!$R:$R,$AP$9,'Analysis Data'!$E:$E,"&gt;=2",'Analysis Data'!$S:$S,"&gt;30000000"),0)</f>
        <v>592339464.84000003</v>
      </c>
      <c r="AQ29" s="510">
        <f>IFERROR(SUMIFS('Analysis Data'!$F:$F,'Analysis Data'!$R:$R,$AQ$9,'Analysis Data'!$E:$E,"&gt;=2",'Analysis Data'!$S:$S,"&gt;30000000"),0)</f>
        <v>1877648063.8399999</v>
      </c>
      <c r="AR29" s="511">
        <f t="shared" si="17"/>
        <v>2469987528.6799998</v>
      </c>
      <c r="AS29" s="509">
        <f>IFERROR(SUMIFS('Analysis Data'!$F:$F,'Analysis Data'!$R:$R,$AP$9,'Analysis Data'!$E:$E,"&gt;32",'Analysis Data'!$S:$S,"&gt;30000000"),0)</f>
        <v>253415901.08000001</v>
      </c>
      <c r="AT29" s="510">
        <f>IFERROR(SUMIFS('Analysis Data'!$F:$F,'Analysis Data'!$R:$R,$AQ$9,'Analysis Data'!$E:$E,"&gt;32",'Analysis Data'!$S:$S,"&gt;30000000"),0)</f>
        <v>669848779.65999997</v>
      </c>
      <c r="AU29" s="511">
        <f t="shared" si="18"/>
        <v>923264680.74000001</v>
      </c>
      <c r="AV29" s="509">
        <f>IFERROR(SUMIFS('Analysis Data'!$F:$F,'Analysis Data'!$R:$R,$AP$9,'Analysis Data'!$E:$E,"&gt;62",'Analysis Data'!$S:$S,"&gt;30000000"),0)</f>
        <v>199373434.43000001</v>
      </c>
      <c r="AW29" s="510">
        <f>IFERROR(SUMIFS('Analysis Data'!$F:$F,'Analysis Data'!$R:$R,$AQ$9,'Analysis Data'!$E:$E,"&gt;62",'Analysis Data'!$S:$S,"&gt;30000000"),0)</f>
        <v>388416829.38999999</v>
      </c>
      <c r="AX29" s="511">
        <f t="shared" si="19"/>
        <v>587790263.81999993</v>
      </c>
      <c r="AY29" s="509">
        <f>IFERROR(SUMIFS('Analysis Data'!$F:$F,'Analysis Data'!$R:$R,$AP$9,'Analysis Data'!$E:$E,"&gt;92",'Analysis Data'!$S:$S,"&gt;30000000"),0)</f>
        <v>146426636.72999999</v>
      </c>
      <c r="AZ29" s="510">
        <f>IFERROR(SUMIFS('Analysis Data'!$F:$F,'Analysis Data'!$R:$R,$AQ$9,'Analysis Data'!$E:$E,"&gt;92",'Analysis Data'!$S:$S,"&gt;30000000"),0)</f>
        <v>206624207.33000001</v>
      </c>
      <c r="BA29" s="512">
        <f t="shared" si="20"/>
        <v>353050844.06</v>
      </c>
    </row>
    <row r="30" spans="2:53" s="421" customFormat="1" ht="12.75" customHeight="1" thickBot="1" x14ac:dyDescent="0.3">
      <c r="B30" s="459" t="s">
        <v>2900</v>
      </c>
      <c r="C30" s="679">
        <f t="shared" ref="C30:H30" si="22">SUM(C27:C29)</f>
        <v>1134718089.6600001</v>
      </c>
      <c r="D30" s="461">
        <f t="shared" si="22"/>
        <v>1284700000</v>
      </c>
      <c r="E30" s="462">
        <f t="shared" si="22"/>
        <v>2419418089.6599998</v>
      </c>
      <c r="F30" s="657">
        <f t="shared" si="22"/>
        <v>162</v>
      </c>
      <c r="G30" s="658">
        <f t="shared" si="22"/>
        <v>111</v>
      </c>
      <c r="H30" s="659">
        <f t="shared" si="22"/>
        <v>273</v>
      </c>
      <c r="I30" s="660">
        <f>C30/$E$30</f>
        <v>0.4690045488663192</v>
      </c>
      <c r="J30" s="661">
        <f>D30/$E$30</f>
        <v>0.53099545113368085</v>
      </c>
      <c r="K30" s="668">
        <f>SUM(K27:K29)</f>
        <v>1</v>
      </c>
      <c r="AA30" s="412" t="s">
        <v>1279</v>
      </c>
      <c r="AB30" s="509">
        <f>IFERROR(SUMIFS('Analysis Data'!$F:$F,'Analysis Data'!$D:$D,AA30,'Analysis Data'!$R:$R,$AB$9,'Analysis Data'!$E:$E,"&gt;=2"),0)</f>
        <v>39710747.969999999</v>
      </c>
      <c r="AC30" s="510">
        <f>IFERROR(SUMIFS('Analysis Data'!$F:$F,'Analysis Data'!$D:$D,AA30,'Analysis Data'!$R:$R,$AC$9,'Analysis Data'!$E:$E,"&gt;=2"),0)</f>
        <v>9701093.75</v>
      </c>
      <c r="AD30" s="511">
        <f t="shared" si="13"/>
        <v>49411841.719999999</v>
      </c>
      <c r="AE30" s="509">
        <f>IFERROR(SUMIFS('Analysis Data'!$F:$F,'Analysis Data'!$D:$D,AA30,'Analysis Data'!$R:$R,$AE$26,'Analysis Data'!$E:$E,"&gt;32"),0)</f>
        <v>24228875.810000002</v>
      </c>
      <c r="AF30" s="510">
        <f>IFERROR(SUMIFS('Analysis Data'!$F:$F,'Analysis Data'!$D:$D,AA30,'Analysis Data'!$R:$R,$AF$26,'Analysis Data'!$E:$E,"&gt;32"),0)</f>
        <v>2721944.5999999996</v>
      </c>
      <c r="AG30" s="511">
        <f t="shared" si="14"/>
        <v>26950820.410000004</v>
      </c>
      <c r="AH30" s="509">
        <f>IFERROR(SUMIFS('Analysis Data'!$F:$F,'Analysis Data'!$D:$D,AA30,'Analysis Data'!$R:$R,$AH$26,'Analysis Data'!$E:$E,"&gt;60"),0)</f>
        <v>19819748.649999999</v>
      </c>
      <c r="AI30" s="510">
        <f>IFERROR(SUMIFS('Analysis Data'!$F:$F,'Analysis Data'!$D:$D,AA30,'Analysis Data'!$R:$R,$AI$26,'Analysis Data'!$E:$E,"&gt;60"),0)</f>
        <v>1323751.69</v>
      </c>
      <c r="AJ30" s="511">
        <f t="shared" si="15"/>
        <v>21143500.34</v>
      </c>
      <c r="AK30" s="509">
        <f>IFERROR(SUMIFS('Analysis Data'!$F:$F,'Analysis Data'!$D:$D,AA30,'Analysis Data'!$R:$R,$AK$26,'Analysis Data'!$E:$E,"&gt;90"),0)</f>
        <v>17758342.579999998</v>
      </c>
      <c r="AL30" s="510">
        <f>IFERROR(SUMIFS('Analysis Data'!$F:$F,'Analysis Data'!$D:$D,AA30,'Analysis Data'!$R:$R,$AL$26,'Analysis Data'!$E:$E,"&gt;90"),0)</f>
        <v>823309.95</v>
      </c>
      <c r="AM30" s="512">
        <f t="shared" si="16"/>
        <v>18581652.529999997</v>
      </c>
      <c r="AO30" s="459" t="s">
        <v>2900</v>
      </c>
      <c r="AP30" s="504">
        <f>SUM(AP27:AP29)</f>
        <v>1370004570.0100002</v>
      </c>
      <c r="AQ30" s="505">
        <f t="shared" ref="AQ30:BA30" si="23">SUM(AQ27:AQ29)</f>
        <v>2357249588.2399998</v>
      </c>
      <c r="AR30" s="506">
        <f t="shared" si="23"/>
        <v>3727254158.25</v>
      </c>
      <c r="AS30" s="504">
        <f t="shared" si="23"/>
        <v>558193944.24000001</v>
      </c>
      <c r="AT30" s="505">
        <f t="shared" si="23"/>
        <v>862524588.75</v>
      </c>
      <c r="AU30" s="506">
        <f t="shared" si="23"/>
        <v>1420718532.99</v>
      </c>
      <c r="AV30" s="504">
        <f t="shared" si="23"/>
        <v>440329479.31999999</v>
      </c>
      <c r="AW30" s="505">
        <f t="shared" si="23"/>
        <v>503554894.11000001</v>
      </c>
      <c r="AX30" s="506">
        <f t="shared" si="23"/>
        <v>943884373.42999995</v>
      </c>
      <c r="AY30" s="504">
        <f t="shared" si="23"/>
        <v>296113419.5</v>
      </c>
      <c r="AZ30" s="505">
        <f t="shared" si="23"/>
        <v>552717822.42000008</v>
      </c>
      <c r="BA30" s="507">
        <f t="shared" si="23"/>
        <v>848831241.92000008</v>
      </c>
    </row>
    <row r="31" spans="2:53" s="421" customFormat="1" ht="12.75" customHeight="1" thickBot="1" x14ac:dyDescent="0.3">
      <c r="B31" s="423" t="s">
        <v>315</v>
      </c>
      <c r="C31" s="487">
        <f>C30/E30</f>
        <v>0.4690045488663192</v>
      </c>
      <c r="D31" s="488">
        <f>D30/E30</f>
        <v>0.53099545113368085</v>
      </c>
      <c r="E31" s="489">
        <f>C31+D31</f>
        <v>1</v>
      </c>
      <c r="F31" s="487">
        <f>F30/H30</f>
        <v>0.59340659340659341</v>
      </c>
      <c r="G31" s="488">
        <f>G30/H30</f>
        <v>0.40659340659340659</v>
      </c>
      <c r="H31" s="489">
        <f>F31+G31</f>
        <v>1</v>
      </c>
      <c r="I31" s="490" t="s">
        <v>2903</v>
      </c>
      <c r="J31" s="491" t="s">
        <v>2903</v>
      </c>
      <c r="K31" s="492" t="s">
        <v>2903</v>
      </c>
      <c r="AA31" s="412" t="s">
        <v>1866</v>
      </c>
      <c r="AB31" s="509">
        <f>IFERROR(SUMIFS('Analysis Data'!$F:$F,'Analysis Data'!$D:$D,AA31,'Analysis Data'!$R:$R,$AB$9,'Analysis Data'!$E:$E,"&gt;=2"),0)</f>
        <v>24447897.970000003</v>
      </c>
      <c r="AC31" s="510">
        <f>IFERROR(SUMIFS('Analysis Data'!$F:$F,'Analysis Data'!$D:$D,AA31,'Analysis Data'!$R:$R,$AC$9,'Analysis Data'!$E:$E,"&gt;=2"),0)</f>
        <v>21355803.419999998</v>
      </c>
      <c r="AD31" s="511">
        <f t="shared" si="13"/>
        <v>45803701.390000001</v>
      </c>
      <c r="AE31" s="509">
        <f>IFERROR(SUMIFS('Analysis Data'!$F:$F,'Analysis Data'!$D:$D,AA31,'Analysis Data'!$R:$R,$AE$26,'Analysis Data'!$E:$E,"&gt;32"),0)</f>
        <v>21228231.010000002</v>
      </c>
      <c r="AF31" s="510">
        <f>IFERROR(SUMIFS('Analysis Data'!$F:$F,'Analysis Data'!$D:$D,AA31,'Analysis Data'!$R:$R,$AF$26,'Analysis Data'!$E:$E,"&gt;32"),0)</f>
        <v>502964.77</v>
      </c>
      <c r="AG31" s="511">
        <f t="shared" si="14"/>
        <v>21731195.780000001</v>
      </c>
      <c r="AH31" s="509">
        <f>IFERROR(SUMIFS('Analysis Data'!$F:$F,'Analysis Data'!$D:$D,AA31,'Analysis Data'!$R:$R,$AH$26,'Analysis Data'!$E:$E,"&gt;60"),0)</f>
        <v>21228231.010000002</v>
      </c>
      <c r="AI31" s="510">
        <f>IFERROR(SUMIFS('Analysis Data'!$F:$F,'Analysis Data'!$D:$D,AA31,'Analysis Data'!$R:$R,$AI$26,'Analysis Data'!$E:$E,"&gt;60"),0)</f>
        <v>0</v>
      </c>
      <c r="AJ31" s="511">
        <f t="shared" si="15"/>
        <v>21228231.010000002</v>
      </c>
      <c r="AK31" s="509">
        <f>IFERROR(SUMIFS('Analysis Data'!$F:$F,'Analysis Data'!$D:$D,AA31,'Analysis Data'!$R:$R,$AK$26,'Analysis Data'!$E:$E,"&gt;90"),0)</f>
        <v>15559812.189999999</v>
      </c>
      <c r="AL31" s="510">
        <f>IFERROR(SUMIFS('Analysis Data'!$F:$F,'Analysis Data'!$D:$D,AA31,'Analysis Data'!$R:$R,$AL$26,'Analysis Data'!$E:$E,"&gt;90"),0)</f>
        <v>0</v>
      </c>
      <c r="AM31" s="512">
        <f t="shared" si="16"/>
        <v>15559812.189999999</v>
      </c>
      <c r="AO31" s="423" t="s">
        <v>315</v>
      </c>
      <c r="AP31" s="487">
        <f>AP30/AR30</f>
        <v>0.36756403288935824</v>
      </c>
      <c r="AQ31" s="488">
        <f>AQ30/AR30</f>
        <v>0.63243596711064176</v>
      </c>
      <c r="AR31" s="489">
        <f>AP31+AQ31</f>
        <v>1</v>
      </c>
      <c r="AS31" s="487">
        <f>AS30/AU30</f>
        <v>0.39289551820320273</v>
      </c>
      <c r="AT31" s="488">
        <f>AT30/AU30</f>
        <v>0.60710448179679732</v>
      </c>
      <c r="AU31" s="489">
        <f>AS31+AT31</f>
        <v>1</v>
      </c>
      <c r="AV31" s="487">
        <f>AV30/AX30</f>
        <v>0.4665078601946529</v>
      </c>
      <c r="AW31" s="488">
        <f>AW30/AX30</f>
        <v>0.53349213980534715</v>
      </c>
      <c r="AX31" s="489">
        <f>AV31+AW31</f>
        <v>1</v>
      </c>
      <c r="AY31" s="487">
        <f>AY30/BA30</f>
        <v>0.34884839868783701</v>
      </c>
      <c r="AZ31" s="488">
        <f>AZ30/BA30</f>
        <v>0.65115160131216299</v>
      </c>
      <c r="BA31" s="508">
        <f>AY31+AZ31</f>
        <v>1</v>
      </c>
    </row>
    <row r="32" spans="2:53" s="421" customFormat="1" ht="12.75" customHeight="1" x14ac:dyDescent="0.25">
      <c r="AA32" s="412" t="s">
        <v>1867</v>
      </c>
      <c r="AB32" s="509">
        <f>IFERROR(SUMIFS('Analysis Data'!$F:$F,'Analysis Data'!$D:$D,AA32,'Analysis Data'!$R:$R,$AB$9,'Analysis Data'!$E:$E,"&gt;=2"),0)</f>
        <v>4804821.63</v>
      </c>
      <c r="AC32" s="510">
        <f>IFERROR(SUMIFS('Analysis Data'!$F:$F,'Analysis Data'!$D:$D,AA32,'Analysis Data'!$R:$R,$AC$9,'Analysis Data'!$E:$E,"&gt;=2"),0)</f>
        <v>0</v>
      </c>
      <c r="AD32" s="511">
        <f t="shared" si="13"/>
        <v>4804821.63</v>
      </c>
      <c r="AE32" s="509">
        <f>IFERROR(SUMIFS('Analysis Data'!$F:$F,'Analysis Data'!$D:$D,AA32,'Analysis Data'!$R:$R,$AE$26,'Analysis Data'!$E:$E,"&gt;32"),0)</f>
        <v>4804821.63</v>
      </c>
      <c r="AF32" s="510">
        <f>IFERROR(SUMIFS('Analysis Data'!$F:$F,'Analysis Data'!$D:$D,AA32,'Analysis Data'!$R:$R,$AF$26,'Analysis Data'!$E:$E,"&gt;32"),0)</f>
        <v>0</v>
      </c>
      <c r="AG32" s="511">
        <f t="shared" si="14"/>
        <v>4804821.63</v>
      </c>
      <c r="AH32" s="509">
        <f>IFERROR(SUMIFS('Analysis Data'!$F:$F,'Analysis Data'!$D:$D,AA32,'Analysis Data'!$R:$R,$AH$26,'Analysis Data'!$E:$E,"&gt;60"),0)</f>
        <v>4804821.63</v>
      </c>
      <c r="AI32" s="510">
        <f>IFERROR(SUMIFS('Analysis Data'!$F:$F,'Analysis Data'!$D:$D,AA32,'Analysis Data'!$R:$R,$AI$26,'Analysis Data'!$E:$E,"&gt;60"),0)</f>
        <v>0</v>
      </c>
      <c r="AJ32" s="511">
        <f t="shared" si="15"/>
        <v>4804821.63</v>
      </c>
      <c r="AK32" s="509">
        <f>IFERROR(SUMIFS('Analysis Data'!$F:$F,'Analysis Data'!$D:$D,AA32,'Analysis Data'!$R:$R,$AK$26,'Analysis Data'!$E:$E,"&gt;90"),0)</f>
        <v>4804821.63</v>
      </c>
      <c r="AL32" s="510">
        <f>IFERROR(SUMIFS('Analysis Data'!$F:$F,'Analysis Data'!$D:$D,AA32,'Analysis Data'!$R:$R,$AL$26,'Analysis Data'!$E:$E,"&gt;90"),0)</f>
        <v>0</v>
      </c>
      <c r="AM32" s="512">
        <f t="shared" si="16"/>
        <v>4804821.63</v>
      </c>
    </row>
    <row r="33" spans="2:53" s="421" customFormat="1" ht="12.75" customHeight="1" x14ac:dyDescent="0.25">
      <c r="AA33" s="412" t="s">
        <v>1841</v>
      </c>
      <c r="AB33" s="509">
        <f>IFERROR(SUMIFS('Analysis Data'!$F:$F,'Analysis Data'!$D:$D,AA33,'Analysis Data'!$R:$R,$AB$9,'Analysis Data'!$E:$E,"&gt;=2"),0)</f>
        <v>0</v>
      </c>
      <c r="AC33" s="510">
        <f>IFERROR(SUMIFS('Analysis Data'!$F:$F,'Analysis Data'!$D:$D,AA33,'Analysis Data'!$R:$R,$AC$9,'Analysis Data'!$E:$E,"&gt;=2"),0)</f>
        <v>123018787.71000001</v>
      </c>
      <c r="AD33" s="511">
        <f t="shared" si="13"/>
        <v>123018787.71000001</v>
      </c>
      <c r="AE33" s="509">
        <f>IFERROR(SUMIFS('Analysis Data'!$F:$F,'Analysis Data'!$D:$D,AA33,'Analysis Data'!$R:$R,$AE$26,'Analysis Data'!$E:$E,"&gt;32"),0)</f>
        <v>0</v>
      </c>
      <c r="AF33" s="510">
        <f>IFERROR(SUMIFS('Analysis Data'!$F:$F,'Analysis Data'!$D:$D,AA33,'Analysis Data'!$R:$R,$AF$26,'Analysis Data'!$E:$E,"&gt;32"),0)</f>
        <v>42925132.530000001</v>
      </c>
      <c r="AG33" s="511">
        <f t="shared" si="14"/>
        <v>42925132.530000001</v>
      </c>
      <c r="AH33" s="509">
        <f>IFERROR(SUMIFS('Analysis Data'!$F:$F,'Analysis Data'!$D:$D,AA33,'Analysis Data'!$R:$R,$AH$26,'Analysis Data'!$E:$E,"&gt;60"),0)</f>
        <v>0</v>
      </c>
      <c r="AI33" s="510">
        <f>IFERROR(SUMIFS('Analysis Data'!$F:$F,'Analysis Data'!$D:$D,AA33,'Analysis Data'!$R:$R,$AI$26,'Analysis Data'!$E:$E,"&gt;60"),0)</f>
        <v>33457718.48</v>
      </c>
      <c r="AJ33" s="511">
        <f t="shared" si="15"/>
        <v>33457718.48</v>
      </c>
      <c r="AK33" s="509">
        <f>IFERROR(SUMIFS('Analysis Data'!$F:$F,'Analysis Data'!$D:$D,AA33,'Analysis Data'!$R:$R,$AK$26,'Analysis Data'!$E:$E,"&gt;90"),0)</f>
        <v>0</v>
      </c>
      <c r="AL33" s="510">
        <f>IFERROR(SUMIFS('Analysis Data'!$F:$F,'Analysis Data'!$D:$D,AA33,'Analysis Data'!$R:$R,$AL$26,'Analysis Data'!$E:$E,"&gt;90"),0)</f>
        <v>33457718.48</v>
      </c>
      <c r="AM33" s="512">
        <f t="shared" si="16"/>
        <v>33457718.48</v>
      </c>
    </row>
    <row r="34" spans="2:53" s="421" customFormat="1" ht="12.75" customHeight="1" x14ac:dyDescent="0.25">
      <c r="AA34" s="412" t="s">
        <v>1284</v>
      </c>
      <c r="AB34" s="509">
        <f>IFERROR(SUMIFS('Analysis Data'!$F:$F,'Analysis Data'!$D:$D,AA34,'Analysis Data'!$R:$R,$AB$9,'Analysis Data'!$E:$E,"&gt;=2"),0)</f>
        <v>353505940.63</v>
      </c>
      <c r="AC34" s="510">
        <f>IFERROR(SUMIFS('Analysis Data'!$F:$F,'Analysis Data'!$D:$D,AA34,'Analysis Data'!$R:$R,$AC$9,'Analysis Data'!$E:$E,"&gt;=2"),0)</f>
        <v>541932560.88999999</v>
      </c>
      <c r="AD34" s="511">
        <f t="shared" si="13"/>
        <v>895438501.51999998</v>
      </c>
      <c r="AE34" s="509">
        <f>IFERROR(SUMIFS('Analysis Data'!$F:$F,'Analysis Data'!$D:$D,AA34,'Analysis Data'!$R:$R,$AE$26,'Analysis Data'!$E:$E,"&gt;32"),0)</f>
        <v>99480873.430000007</v>
      </c>
      <c r="AF34" s="510">
        <f>IFERROR(SUMIFS('Analysis Data'!$F:$F,'Analysis Data'!$D:$D,AA34,'Analysis Data'!$R:$R,$AF$26,'Analysis Data'!$E:$E,"&gt;32"),0)</f>
        <v>159112026.82999998</v>
      </c>
      <c r="AG34" s="511">
        <f t="shared" si="14"/>
        <v>258592900.25999999</v>
      </c>
      <c r="AH34" s="509">
        <f>IFERROR(SUMIFS('Analysis Data'!$F:$F,'Analysis Data'!$D:$D,AA34,'Analysis Data'!$R:$R,$AH$26,'Analysis Data'!$E:$E,"&gt;60"),0)</f>
        <v>40615332.970000006</v>
      </c>
      <c r="AI34" s="510">
        <f>IFERROR(SUMIFS('Analysis Data'!$F:$F,'Analysis Data'!$D:$D,AA34,'Analysis Data'!$R:$R,$AI$26,'Analysis Data'!$E:$E,"&gt;60"),0)</f>
        <v>47380649.5</v>
      </c>
      <c r="AJ34" s="511">
        <f t="shared" si="15"/>
        <v>87995982.469999999</v>
      </c>
      <c r="AK34" s="509">
        <f>IFERROR(SUMIFS('Analysis Data'!$F:$F,'Analysis Data'!$D:$D,AA34,'Analysis Data'!$R:$R,$AK$26,'Analysis Data'!$E:$E,"&gt;90"),0)</f>
        <v>7449414.4199999999</v>
      </c>
      <c r="AL34" s="510">
        <f>IFERROR(SUMIFS('Analysis Data'!$F:$F,'Analysis Data'!$D:$D,AA34,'Analysis Data'!$R:$R,$AL$26,'Analysis Data'!$E:$E,"&gt;90"),0)</f>
        <v>43757095.630000003</v>
      </c>
      <c r="AM34" s="512">
        <f t="shared" si="16"/>
        <v>51206510.050000004</v>
      </c>
    </row>
    <row r="35" spans="2:53" s="421" customFormat="1" ht="12.75" customHeight="1" x14ac:dyDescent="0.25">
      <c r="AA35" s="412" t="s">
        <v>1850</v>
      </c>
      <c r="AB35" s="509">
        <f>IFERROR(SUMIFS('Analysis Data'!$F:$F,'Analysis Data'!$D:$D,AA35,'Analysis Data'!$R:$R,$AB$9,'Analysis Data'!$E:$E,"&gt;=2"),0)</f>
        <v>0</v>
      </c>
      <c r="AC35" s="510">
        <f>IFERROR(SUMIFS('Analysis Data'!$F:$F,'Analysis Data'!$D:$D,AA35,'Analysis Data'!$R:$R,$AC$9,'Analysis Data'!$E:$E,"&gt;=2"),0)</f>
        <v>104625745.50999999</v>
      </c>
      <c r="AD35" s="511">
        <f t="shared" si="13"/>
        <v>104625745.50999999</v>
      </c>
      <c r="AE35" s="509">
        <f>IFERROR(SUMIFS('Analysis Data'!$F:$F,'Analysis Data'!$D:$D,AA35,'Analysis Data'!$R:$R,$AE$26,'Analysis Data'!$E:$E,"&gt;32"),0)</f>
        <v>0</v>
      </c>
      <c r="AF35" s="510">
        <f>IFERROR(SUMIFS('Analysis Data'!$F:$F,'Analysis Data'!$D:$D,AA35,'Analysis Data'!$R:$R,$AF$26,'Analysis Data'!$E:$E,"&gt;32"),0)</f>
        <v>3333418.48</v>
      </c>
      <c r="AG35" s="511">
        <f t="shared" si="14"/>
        <v>3333418.48</v>
      </c>
      <c r="AH35" s="509">
        <f>IFERROR(SUMIFS('Analysis Data'!$F:$F,'Analysis Data'!$D:$D,AA35,'Analysis Data'!$R:$R,$AH$26,'Analysis Data'!$E:$E,"&gt;60"),0)</f>
        <v>0</v>
      </c>
      <c r="AI35" s="510">
        <f>IFERROR(SUMIFS('Analysis Data'!$F:$F,'Analysis Data'!$D:$D,AA35,'Analysis Data'!$R:$R,$AI$26,'Analysis Data'!$E:$E,"&gt;60"),0)</f>
        <v>0</v>
      </c>
      <c r="AJ35" s="511">
        <f t="shared" si="15"/>
        <v>0</v>
      </c>
      <c r="AK35" s="509">
        <f>IFERROR(SUMIFS('Analysis Data'!$F:$F,'Analysis Data'!$D:$D,AA35,'Analysis Data'!$R:$R,$AK$26,'Analysis Data'!$E:$E,"&gt;90"),0)</f>
        <v>0</v>
      </c>
      <c r="AL35" s="510">
        <f>IFERROR(SUMIFS('Analysis Data'!$F:$F,'Analysis Data'!$D:$D,AA35,'Analysis Data'!$R:$R,$AL$26,'Analysis Data'!$E:$E,"&gt;90"),0)</f>
        <v>0</v>
      </c>
      <c r="AM35" s="512">
        <f t="shared" si="16"/>
        <v>0</v>
      </c>
    </row>
    <row r="36" spans="2:53" s="421" customFormat="1" ht="12.75" customHeight="1" x14ac:dyDescent="0.25">
      <c r="AA36" s="412" t="s">
        <v>1286</v>
      </c>
      <c r="AB36" s="509">
        <f>IFERROR(SUMIFS('Analysis Data'!$F:$F,'Analysis Data'!$D:$D,AA36,'Analysis Data'!$R:$R,$AB$9,'Analysis Data'!$E:$E,"&gt;=2"),0)</f>
        <v>0</v>
      </c>
      <c r="AC36" s="510">
        <f>IFERROR(SUMIFS('Analysis Data'!$F:$F,'Analysis Data'!$D:$D,AA36,'Analysis Data'!$R:$R,$AC$9,'Analysis Data'!$E:$E,"&gt;=2"),0)</f>
        <v>0</v>
      </c>
      <c r="AD36" s="511">
        <f t="shared" si="13"/>
        <v>0</v>
      </c>
      <c r="AE36" s="509">
        <f>IFERROR(SUMIFS('Analysis Data'!$F:$F,'Analysis Data'!$D:$D,AA36,'Analysis Data'!$R:$R,$AE$26,'Analysis Data'!$E:$E,"&gt;32"),0)</f>
        <v>0</v>
      </c>
      <c r="AF36" s="510">
        <f>IFERROR(SUMIFS('Analysis Data'!$F:$F,'Analysis Data'!$D:$D,AA36,'Analysis Data'!$R:$R,$AF$26,'Analysis Data'!$E:$E,"&gt;32"),0)</f>
        <v>0</v>
      </c>
      <c r="AG36" s="511">
        <f t="shared" si="14"/>
        <v>0</v>
      </c>
      <c r="AH36" s="509">
        <f>IFERROR(SUMIFS('Analysis Data'!$F:$F,'Analysis Data'!$D:$D,AA36,'Analysis Data'!$R:$R,$AH$26,'Analysis Data'!$E:$E,"&gt;60"),0)</f>
        <v>0</v>
      </c>
      <c r="AI36" s="510">
        <f>IFERROR(SUMIFS('Analysis Data'!$F:$F,'Analysis Data'!$D:$D,AA36,'Analysis Data'!$R:$R,$AI$26,'Analysis Data'!$E:$E,"&gt;60"),0)</f>
        <v>0</v>
      </c>
      <c r="AJ36" s="511">
        <f t="shared" si="15"/>
        <v>0</v>
      </c>
      <c r="AK36" s="509">
        <f>IFERROR(SUMIFS('Analysis Data'!$F:$F,'Analysis Data'!$D:$D,AA36,'Analysis Data'!$R:$R,$AK$26,'Analysis Data'!$E:$E,"&gt;90"),0)</f>
        <v>0</v>
      </c>
      <c r="AL36" s="510">
        <f>IFERROR(SUMIFS('Analysis Data'!$F:$F,'Analysis Data'!$D:$D,AA36,'Analysis Data'!$R:$R,$AL$26,'Analysis Data'!$E:$E,"&gt;90"),0)</f>
        <v>0</v>
      </c>
      <c r="AM36" s="512">
        <f t="shared" si="16"/>
        <v>0</v>
      </c>
    </row>
    <row r="37" spans="2:53" s="421" customFormat="1" ht="12.75" customHeight="1" thickBot="1" x14ac:dyDescent="0.3">
      <c r="K37" s="451"/>
      <c r="L37" s="451"/>
      <c r="M37" s="451"/>
      <c r="AA37" s="413" t="s">
        <v>1285</v>
      </c>
      <c r="AB37" s="509">
        <f>IFERROR(SUMIFS('Analysis Data'!$F:$F,'Analysis Data'!$D:$D,AA37,'Analysis Data'!$R:$R,$AB$9,'Analysis Data'!$E:$E,"&gt;=2"),0)</f>
        <v>0</v>
      </c>
      <c r="AC37" s="510">
        <f>IFERROR(SUMIFS('Analysis Data'!$F:$F,'Analysis Data'!$D:$D,AA37,'Analysis Data'!$R:$R,$AC$9,'Analysis Data'!$E:$E,"&gt;=2"),0)</f>
        <v>0</v>
      </c>
      <c r="AD37" s="511">
        <f t="shared" si="13"/>
        <v>0</v>
      </c>
      <c r="AE37" s="509">
        <f>IFERROR(SUMIFS('Analysis Data'!$F:$F,'Analysis Data'!$D:$D,AA37,'Analysis Data'!$R:$R,$AE$26,'Analysis Data'!$E:$E,"&gt;32"),0)</f>
        <v>0</v>
      </c>
      <c r="AF37" s="510">
        <f>IFERROR(SUMIFS('Analysis Data'!$F:$F,'Analysis Data'!$D:$D,AA37,'Analysis Data'!$R:$R,$AF$26,'Analysis Data'!$E:$E,"&gt;32"),0)</f>
        <v>0</v>
      </c>
      <c r="AG37" s="511">
        <f t="shared" si="14"/>
        <v>0</v>
      </c>
      <c r="AH37" s="509">
        <f>IFERROR(SUMIFS('Analysis Data'!$F:$F,'Analysis Data'!$D:$D,AA37,'Analysis Data'!$R:$R,$AH$26,'Analysis Data'!$E:$E,"&gt;60"),0)</f>
        <v>0</v>
      </c>
      <c r="AI37" s="510">
        <f>IFERROR(SUMIFS('Analysis Data'!$F:$F,'Analysis Data'!$D:$D,AA37,'Analysis Data'!$R:$R,$AI$26,'Analysis Data'!$E:$E,"&gt;60"),0)</f>
        <v>0</v>
      </c>
      <c r="AJ37" s="511">
        <f t="shared" si="15"/>
        <v>0</v>
      </c>
      <c r="AK37" s="509">
        <f>IFERROR(SUMIFS('Analysis Data'!$F:$F,'Analysis Data'!$D:$D,AA37,'Analysis Data'!$R:$R,$AK$26,'Analysis Data'!$E:$E,"&gt;90"),0)</f>
        <v>0</v>
      </c>
      <c r="AL37" s="510">
        <f>IFERROR(SUMIFS('Analysis Data'!$F:$F,'Analysis Data'!$D:$D,AA37,'Analysis Data'!$R:$R,$AL$26,'Analysis Data'!$E:$E,"&gt;90"),0)</f>
        <v>0</v>
      </c>
      <c r="AM37" s="512">
        <f t="shared" si="16"/>
        <v>0</v>
      </c>
    </row>
    <row r="38" spans="2:53" s="465" customFormat="1" ht="15.75" customHeight="1" thickBot="1" x14ac:dyDescent="0.3">
      <c r="B38" s="896" t="s">
        <v>2907</v>
      </c>
      <c r="C38" s="896"/>
      <c r="K38" s="451"/>
      <c r="L38" s="451"/>
      <c r="M38" s="451"/>
      <c r="AA38" s="459" t="s">
        <v>2900</v>
      </c>
      <c r="AB38" s="504">
        <f t="shared" ref="AB38:AH38" si="24">SUM(AB27:AB37)</f>
        <v>1370004570.01</v>
      </c>
      <c r="AC38" s="505">
        <f t="shared" si="24"/>
        <v>2357249588.2399998</v>
      </c>
      <c r="AD38" s="506">
        <f t="shared" si="24"/>
        <v>3727254158.25</v>
      </c>
      <c r="AE38" s="504">
        <f t="shared" si="24"/>
        <v>558193944.24000001</v>
      </c>
      <c r="AF38" s="505">
        <f t="shared" si="24"/>
        <v>862524588.75</v>
      </c>
      <c r="AG38" s="506">
        <f t="shared" si="24"/>
        <v>1420718532.99</v>
      </c>
      <c r="AH38" s="504">
        <f t="shared" si="24"/>
        <v>440329479.31999999</v>
      </c>
      <c r="AI38" s="505">
        <f t="shared" ref="AI38:AJ38" si="25">SUM(AI27:AI37)</f>
        <v>503554894.11000001</v>
      </c>
      <c r="AJ38" s="506">
        <f t="shared" si="25"/>
        <v>943884373.43000007</v>
      </c>
      <c r="AK38" s="504">
        <f>SUM(AK27:AK37)</f>
        <v>296113419.5</v>
      </c>
      <c r="AL38" s="505">
        <f t="shared" ref="AL38:AM38" si="26">SUM(AL27:AL37)</f>
        <v>258263331.33999997</v>
      </c>
      <c r="AM38" s="507">
        <f t="shared" si="26"/>
        <v>554376750.83999991</v>
      </c>
      <c r="AN38" s="473"/>
    </row>
    <row r="39" spans="2:53" s="451" customFormat="1" ht="13.8" thickBot="1" x14ac:dyDescent="0.3">
      <c r="B39" s="896"/>
      <c r="C39" s="896"/>
      <c r="M39" s="421"/>
      <c r="AA39" s="423" t="s">
        <v>315</v>
      </c>
      <c r="AB39" s="487">
        <f>AB38/AD38</f>
        <v>0.36756403288935818</v>
      </c>
      <c r="AC39" s="488">
        <f>AC38/AD38</f>
        <v>0.63243596711064176</v>
      </c>
      <c r="AD39" s="489">
        <f>AB39+AC39</f>
        <v>1</v>
      </c>
      <c r="AE39" s="487">
        <f>AE38/AG38</f>
        <v>0.39289551820320273</v>
      </c>
      <c r="AF39" s="488">
        <f>AF38/AG38</f>
        <v>0.60710448179679732</v>
      </c>
      <c r="AG39" s="489">
        <f>AE39+AF39</f>
        <v>1</v>
      </c>
      <c r="AH39" s="487">
        <f>AH38/AJ38</f>
        <v>0.46650786019465285</v>
      </c>
      <c r="AI39" s="488">
        <f>AI38/AJ38</f>
        <v>0.53349213980534704</v>
      </c>
      <c r="AJ39" s="489">
        <f>AH39+AI39</f>
        <v>0.99999999999999989</v>
      </c>
      <c r="AK39" s="487">
        <f>AK38/AM38</f>
        <v>0.53413751397641507</v>
      </c>
      <c r="AL39" s="488">
        <f>AL38/AM38</f>
        <v>0.4658624860235851</v>
      </c>
      <c r="AM39" s="508">
        <f>AK39+AL39</f>
        <v>1.0000000000000002</v>
      </c>
    </row>
    <row r="40" spans="2:53" s="421" customFormat="1" ht="15" customHeight="1" thickBot="1" x14ac:dyDescent="0.3">
      <c r="AB40" s="475"/>
      <c r="AC40" s="475"/>
      <c r="AD40" s="475"/>
      <c r="AE40" s="475"/>
      <c r="AF40" s="475"/>
      <c r="AG40" s="475"/>
      <c r="AH40" s="475"/>
      <c r="AI40" s="475"/>
      <c r="AJ40" s="475"/>
      <c r="AK40" s="475"/>
      <c r="AL40" s="475"/>
      <c r="AM40" s="475"/>
    </row>
    <row r="41" spans="2:53" s="421" customFormat="1" ht="18" customHeight="1" thickBot="1" x14ac:dyDescent="0.3">
      <c r="B41" s="884" t="s">
        <v>3015</v>
      </c>
      <c r="C41" s="885"/>
      <c r="D41" s="885"/>
      <c r="E41" s="885"/>
      <c r="F41" s="885"/>
      <c r="G41" s="886">
        <f>H3</f>
        <v>43008</v>
      </c>
      <c r="H41" s="886"/>
      <c r="I41" s="886"/>
      <c r="J41" s="886"/>
      <c r="K41" s="887"/>
      <c r="AA41" s="884" t="s">
        <v>3084</v>
      </c>
      <c r="AB41" s="885"/>
      <c r="AC41" s="885"/>
      <c r="AD41" s="885"/>
      <c r="AE41" s="885"/>
      <c r="AF41" s="885"/>
      <c r="AG41" s="885"/>
      <c r="AH41" s="886">
        <f>H3</f>
        <v>43008</v>
      </c>
      <c r="AI41" s="886"/>
      <c r="AJ41" s="886"/>
      <c r="AK41" s="886"/>
      <c r="AL41" s="886"/>
      <c r="AM41" s="887"/>
      <c r="AO41" s="884" t="s">
        <v>3018</v>
      </c>
      <c r="AP41" s="885"/>
      <c r="AQ41" s="885"/>
      <c r="AR41" s="885"/>
      <c r="AS41" s="885"/>
      <c r="AT41" s="885"/>
      <c r="AU41" s="885"/>
      <c r="AV41" s="886">
        <f>H3</f>
        <v>43008</v>
      </c>
      <c r="AW41" s="886"/>
      <c r="AX41" s="886"/>
      <c r="AY41" s="886"/>
      <c r="AZ41" s="886"/>
      <c r="BA41" s="887"/>
    </row>
    <row r="42" spans="2:53" s="421" customFormat="1" ht="15" customHeight="1" thickBot="1" x14ac:dyDescent="0.3">
      <c r="B42" s="476" t="s">
        <v>2902</v>
      </c>
      <c r="C42" s="892" t="s">
        <v>3000</v>
      </c>
      <c r="D42" s="893"/>
      <c r="E42" s="894"/>
      <c r="F42" s="895" t="s">
        <v>2905</v>
      </c>
      <c r="G42" s="893"/>
      <c r="H42" s="894"/>
      <c r="I42" s="888" t="s">
        <v>2904</v>
      </c>
      <c r="J42" s="876"/>
      <c r="K42" s="889"/>
      <c r="AA42" s="890" t="s">
        <v>2902</v>
      </c>
      <c r="AB42" s="901" t="s">
        <v>1202</v>
      </c>
      <c r="AC42" s="902"/>
      <c r="AD42" s="903"/>
      <c r="AE42" s="904" t="s">
        <v>1203</v>
      </c>
      <c r="AF42" s="902"/>
      <c r="AG42" s="903"/>
      <c r="AH42" s="902" t="s">
        <v>2901</v>
      </c>
      <c r="AI42" s="902"/>
      <c r="AJ42" s="902"/>
      <c r="AK42" s="904" t="s">
        <v>1204</v>
      </c>
      <c r="AL42" s="902"/>
      <c r="AM42" s="905"/>
      <c r="AO42" s="409" t="s">
        <v>3004</v>
      </c>
      <c r="AP42" s="910" t="s">
        <v>1202</v>
      </c>
      <c r="AQ42" s="907"/>
      <c r="AR42" s="909"/>
      <c r="AS42" s="906" t="s">
        <v>1203</v>
      </c>
      <c r="AT42" s="907"/>
      <c r="AU42" s="909"/>
      <c r="AV42" s="906" t="s">
        <v>2901</v>
      </c>
      <c r="AW42" s="907"/>
      <c r="AX42" s="909"/>
      <c r="AY42" s="906" t="s">
        <v>1204</v>
      </c>
      <c r="AZ42" s="907"/>
      <c r="BA42" s="908"/>
    </row>
    <row r="43" spans="2:53" s="421" customFormat="1" ht="15" customHeight="1" thickBot="1" x14ac:dyDescent="0.3">
      <c r="B43" s="477"/>
      <c r="C43" s="435" t="s">
        <v>2636</v>
      </c>
      <c r="D43" s="436" t="s">
        <v>2856</v>
      </c>
      <c r="E43" s="437" t="s">
        <v>2900</v>
      </c>
      <c r="F43" s="438" t="s">
        <v>2636</v>
      </c>
      <c r="G43" s="436" t="s">
        <v>2856</v>
      </c>
      <c r="H43" s="437" t="s">
        <v>2900</v>
      </c>
      <c r="I43" s="435" t="s">
        <v>2636</v>
      </c>
      <c r="J43" s="436" t="s">
        <v>2856</v>
      </c>
      <c r="K43" s="439" t="s">
        <v>2900</v>
      </c>
      <c r="AA43" s="891"/>
      <c r="AB43" s="440" t="s">
        <v>2636</v>
      </c>
      <c r="AC43" s="439" t="s">
        <v>2856</v>
      </c>
      <c r="AD43" s="437" t="s">
        <v>2900</v>
      </c>
      <c r="AE43" s="438" t="s">
        <v>2636</v>
      </c>
      <c r="AF43" s="439" t="s">
        <v>2856</v>
      </c>
      <c r="AG43" s="437" t="s">
        <v>2900</v>
      </c>
      <c r="AH43" s="438" t="s">
        <v>2636</v>
      </c>
      <c r="AI43" s="439" t="s">
        <v>2856</v>
      </c>
      <c r="AJ43" s="441" t="s">
        <v>2900</v>
      </c>
      <c r="AK43" s="438" t="s">
        <v>2636</v>
      </c>
      <c r="AL43" s="478" t="s">
        <v>2856</v>
      </c>
      <c r="AM43" s="442" t="s">
        <v>2900</v>
      </c>
      <c r="AO43" s="485" t="s">
        <v>3005</v>
      </c>
      <c r="AP43" s="416" t="s">
        <v>2636</v>
      </c>
      <c r="AQ43" s="417" t="s">
        <v>2856</v>
      </c>
      <c r="AR43" s="418" t="s">
        <v>2900</v>
      </c>
      <c r="AS43" s="416" t="s">
        <v>2636</v>
      </c>
      <c r="AT43" s="417" t="s">
        <v>2856</v>
      </c>
      <c r="AU43" s="418" t="s">
        <v>2900</v>
      </c>
      <c r="AV43" s="416" t="s">
        <v>2636</v>
      </c>
      <c r="AW43" s="417" t="s">
        <v>2856</v>
      </c>
      <c r="AX43" s="418" t="s">
        <v>2900</v>
      </c>
      <c r="AY43" s="419" t="s">
        <v>2636</v>
      </c>
      <c r="AZ43" s="417" t="s">
        <v>2856</v>
      </c>
      <c r="BA43" s="420" t="s">
        <v>2900</v>
      </c>
    </row>
    <row r="44" spans="2:53" s="421" customFormat="1" ht="12.75" customHeight="1" x14ac:dyDescent="0.25">
      <c r="B44" s="445" t="s">
        <v>1282</v>
      </c>
      <c r="C44" s="446">
        <f>SUMIFS('Analysis Data'!$F:$F,'Analysis Data'!$D:$D,$B44,'Analysis Data'!$R:$R,$I$43)</f>
        <v>979339012.41999984</v>
      </c>
      <c r="D44" s="447">
        <f>SUMIFS('Analysis Data'!$F:$F,'Analysis Data'!$D:$D,$B44,'Analysis Data'!$R:$R,$J$43)</f>
        <v>901359369.91999972</v>
      </c>
      <c r="E44" s="448">
        <f t="shared" ref="E44:E54" si="27">SUM(C44:D44)</f>
        <v>1880698382.3399997</v>
      </c>
      <c r="F44" s="493">
        <f>COUNTIFS('Analysis Data'!$D:$D,B44,'Analysis Data'!$R:$R,$F$43)</f>
        <v>272</v>
      </c>
      <c r="G44" s="494">
        <f>COUNTIFS('Analysis Data'!$D:$D,B44,'Analysis Data'!$R:$R,$G$43)</f>
        <v>180</v>
      </c>
      <c r="H44" s="495">
        <f t="shared" ref="H44:H54" si="28">SUM(F44:G44)</f>
        <v>452</v>
      </c>
      <c r="I44" s="449">
        <f>IFERROR(C44/F44,0)</f>
        <v>3600511.075073529</v>
      </c>
      <c r="J44" s="450">
        <f t="shared" ref="J44:J55" si="29">IFERROR(D44/G44,0)</f>
        <v>5007552.0551111093</v>
      </c>
      <c r="K44" s="669">
        <f t="shared" ref="K44:K55" si="30">IFERROR(E44/H44,0)</f>
        <v>4160837.1290707956</v>
      </c>
      <c r="AA44" s="454" t="s">
        <v>1282</v>
      </c>
      <c r="AB44" s="514">
        <f>COUNTIFS('Analysis Data'!$D:$D,AA44,'Analysis Data'!$R:$R,$AB$43,'Analysis Data'!$E:$E,"&gt;=2")</f>
        <v>61</v>
      </c>
      <c r="AC44" s="515">
        <f>COUNTIFS('Analysis Data'!$D:$D,AA44,'Analysis Data'!$R:$R,$AC$43,'Analysis Data'!$E:$E,"&gt;=2")</f>
        <v>27</v>
      </c>
      <c r="AD44" s="516">
        <f>SUM(AB44:AC44)</f>
        <v>88</v>
      </c>
      <c r="AE44" s="514">
        <f>COUNTIFS('Analysis Data'!$D:$D,AA44,'Analysis Data'!$R:$R,$AE$43,'Analysis Data'!$E:$E,"&gt;32")</f>
        <v>33</v>
      </c>
      <c r="AF44" s="515">
        <f>COUNTIFS('Analysis Data'!$D:$D,AA44,'Analysis Data'!$R:$R,$AF$43,'Analysis Data'!$E:$E,"&gt;32")</f>
        <v>15</v>
      </c>
      <c r="AG44" s="516">
        <f>SUM(AE44:AF44)</f>
        <v>48</v>
      </c>
      <c r="AH44" s="514">
        <f>COUNTIFS('Analysis Data'!$D:$D,AA44,'Analysis Data'!$R:$R,$AH$43,'Analysis Data'!$E:$E,"&gt;60")</f>
        <v>22</v>
      </c>
      <c r="AI44" s="515">
        <f>COUNTIFS('Analysis Data'!$D:$D,AA44,'Analysis Data'!$R:$R,$AI$43,'Analysis Data'!$E:$E,"&gt;60")</f>
        <v>9</v>
      </c>
      <c r="AJ44" s="517">
        <f>SUM(AH44:AI44)</f>
        <v>31</v>
      </c>
      <c r="AK44" s="514">
        <f>COUNTIFS('Analysis Data'!$D:$D,AA44,'Analysis Data'!$R:$R,$AK$43,'Analysis Data'!$E:$E,"&gt;90")</f>
        <v>16</v>
      </c>
      <c r="AL44" s="518">
        <f>COUNTIFS('Analysis Data'!$D:$D,AA44,'Analysis Data'!$R:$R,$AL$43,'Analysis Data'!$E:$E,"&gt;90")</f>
        <v>6</v>
      </c>
      <c r="AM44" s="519">
        <f>SUM(AK44:AL44)</f>
        <v>22</v>
      </c>
      <c r="AO44" s="624" t="s">
        <v>3001</v>
      </c>
      <c r="AP44" s="614">
        <f>COUNTIFS('Analysis Data'!$R:$R,$AP$43,'Analysis Data'!$S:$S,"&lt;=15000000",'Analysis Data'!$E:$E,"&gt;=2")</f>
        <v>121</v>
      </c>
      <c r="AQ44" s="615">
        <f>COUNTIFS('Analysis Data'!$R:$R,$AQ$43,'Analysis Data'!$S:$S,"&lt;=15000000",'Analysis Data'!$E:$E,"&gt;=2")</f>
        <v>44</v>
      </c>
      <c r="AR44" s="627">
        <f>SUM(AP44:AQ44)</f>
        <v>165</v>
      </c>
      <c r="AS44" s="614">
        <f>COUNTIFS('Analysis Data'!$R:$R,$AP$43,'Analysis Data'!$S:$S,"&lt;=15000000",'Analysis Data'!$E:$E,"&gt;32")</f>
        <v>71</v>
      </c>
      <c r="AT44" s="615">
        <f>COUNTIFS('Analysis Data'!$R:$R,$AQ$43,'Analysis Data'!$S:$S,"&lt;=15000000",'Analysis Data'!$E:$E,"&gt;32")</f>
        <v>22</v>
      </c>
      <c r="AU44" s="627">
        <f>SUM(AS44:AT44)</f>
        <v>93</v>
      </c>
      <c r="AV44" s="614">
        <f>COUNTIFS('Analysis Data'!$R:$R,$AP$43,'Analysis Data'!$S:$S,"&lt;=15000000",'Analysis Data'!$E:$E,"&gt;62")</f>
        <v>51</v>
      </c>
      <c r="AW44" s="615">
        <f>COUNTIFS('Analysis Data'!$R:$R,$AQ$43,'Analysis Data'!$S:$S,"&lt;=15000000",'Analysis Data'!$E:$E,"&gt;62")</f>
        <v>13</v>
      </c>
      <c r="AX44" s="627">
        <f>SUM(AV44:AW44)</f>
        <v>64</v>
      </c>
      <c r="AY44" s="614">
        <f>COUNTIFS('Analysis Data'!$R:$R,$AP$43,'Analysis Data'!$S:$S,"&lt;=15000000",'Analysis Data'!$E:$E,"&gt;92")</f>
        <v>39</v>
      </c>
      <c r="AZ44" s="615">
        <f>COUNTIFS('Analysis Data'!$R:$R,$AQ$43,'Analysis Data'!$S:$S,"&lt;=15000000",'Analysis Data'!$E:$E,"&gt;92")</f>
        <v>9</v>
      </c>
      <c r="BA44" s="616">
        <f>SUM(AY44:AZ44)</f>
        <v>48</v>
      </c>
    </row>
    <row r="45" spans="2:53" s="421" customFormat="1" ht="12.75" customHeight="1" x14ac:dyDescent="0.25">
      <c r="B45" s="412" t="s">
        <v>1281</v>
      </c>
      <c r="C45" s="446">
        <f>SUMIFS('Analysis Data'!$F:$F,'Analysis Data'!$D:$D,$B45,'Analysis Data'!$R:$R,$I$43)</f>
        <v>1323784269.1699998</v>
      </c>
      <c r="D45" s="447">
        <f>SUMIFS('Analysis Data'!$F:$F,'Analysis Data'!$D:$D,$B45,'Analysis Data'!$R:$R,$J$43)</f>
        <v>1519660618.3499999</v>
      </c>
      <c r="E45" s="455">
        <f t="shared" si="27"/>
        <v>2843444887.5199995</v>
      </c>
      <c r="F45" s="493">
        <f>COUNTIFS('Analysis Data'!$D:$D,B45,'Analysis Data'!$R:$R,$F$43)</f>
        <v>102</v>
      </c>
      <c r="G45" s="494">
        <f>COUNTIFS('Analysis Data'!$D:$D,B45,'Analysis Data'!$R:$R,$G$43)</f>
        <v>102</v>
      </c>
      <c r="H45" s="495">
        <f t="shared" si="28"/>
        <v>204</v>
      </c>
      <c r="I45" s="449">
        <f t="shared" ref="I45:I54" si="31">IFERROR(C45/F45,0)</f>
        <v>12978277.148725489</v>
      </c>
      <c r="J45" s="450">
        <f t="shared" si="29"/>
        <v>14898633.513235293</v>
      </c>
      <c r="K45" s="670">
        <f t="shared" si="30"/>
        <v>13938455.33098039</v>
      </c>
      <c r="AA45" s="454" t="s">
        <v>1281</v>
      </c>
      <c r="AB45" s="520">
        <f>COUNTIFS('Analysis Data'!$D:$D,AA45,'Analysis Data'!$R:$R,$AB$43,'Analysis Data'!$E:$E,"&gt;=2")</f>
        <v>32</v>
      </c>
      <c r="AC45" s="515">
        <f>COUNTIFS('Analysis Data'!$D:$D,AA45,'Analysis Data'!$R:$R,$AC$43,'Analysis Data'!$E:$E,"&gt;=2")</f>
        <v>22</v>
      </c>
      <c r="AD45" s="516">
        <f t="shared" ref="AD45:AD54" si="32">SUM(AB45:AC45)</f>
        <v>54</v>
      </c>
      <c r="AE45" s="520">
        <f>COUNTIFS('Analysis Data'!$D:$D,AA45,'Analysis Data'!$R:$R,$AE$43,'Analysis Data'!$E:$E,"&gt;32")</f>
        <v>14</v>
      </c>
      <c r="AF45" s="515">
        <f>COUNTIFS('Analysis Data'!$D:$D,AA45,'Analysis Data'!$R:$R,$AF$43,'Analysis Data'!$E:$E,"&gt;32")</f>
        <v>8</v>
      </c>
      <c r="AG45" s="516">
        <f t="shared" ref="AG45:AG54" si="33">SUM(AE45:AF45)</f>
        <v>22</v>
      </c>
      <c r="AH45" s="520">
        <f>COUNTIFS('Analysis Data'!$D:$D,AA45,'Analysis Data'!$R:$R,$AH$43,'Analysis Data'!$E:$E,"&gt;60")</f>
        <v>13</v>
      </c>
      <c r="AI45" s="515">
        <f>COUNTIFS('Analysis Data'!$D:$D,AA45,'Analysis Data'!$R:$R,$AI$43,'Analysis Data'!$E:$E,"&gt;60")</f>
        <v>5</v>
      </c>
      <c r="AJ45" s="517">
        <f t="shared" ref="AJ45:AJ54" si="34">SUM(AH45:AI45)</f>
        <v>18</v>
      </c>
      <c r="AK45" s="520">
        <f>COUNTIFS('Analysis Data'!$D:$D,AA45,'Analysis Data'!$R:$R,$AK$43,'Analysis Data'!$E:$E,"&gt;90")</f>
        <v>6</v>
      </c>
      <c r="AL45" s="518">
        <f>COUNTIFS('Analysis Data'!$D:$D,AA45,'Analysis Data'!$R:$R,$AL$43,'Analysis Data'!$E:$E,"&gt;90")</f>
        <v>2</v>
      </c>
      <c r="AM45" s="519">
        <f t="shared" ref="AM45:AM54" si="35">SUM(AK45:AL45)</f>
        <v>8</v>
      </c>
      <c r="AO45" s="625" t="s">
        <v>3002</v>
      </c>
      <c r="AP45" s="611">
        <f>COUNTIFS('Analysis Data'!$R:$R,$AP$43,'Analysis Data'!$S:$S,"&gt;15000000",'Analysis Data'!$S:$S,"&lt;=30000000",'Analysis Data'!$E:$E,"&gt;=2")</f>
        <v>38</v>
      </c>
      <c r="AQ45" s="612">
        <f>COUNTIFS('Analysis Data'!$R:$R,$AQ$43,'Analysis Data'!$S:$S,"&gt;15000000",'Analysis Data'!$S:$S,"&lt;=30000000",'Analysis Data'!$E:$E,"&gt;=2")</f>
        <v>26</v>
      </c>
      <c r="AR45" s="610">
        <f t="shared" ref="AR45:AR46" si="36">SUM(AP45:AQ45)</f>
        <v>64</v>
      </c>
      <c r="AS45" s="611">
        <f>COUNTIFS('Analysis Data'!$R:$R,$AP$43,'Analysis Data'!$S:$S,"&gt;15000000",'Analysis Data'!$S:$S,"&lt;=30000000",'Analysis Data'!$E:$E,"&gt;32")</f>
        <v>14</v>
      </c>
      <c r="AT45" s="612">
        <f>COUNTIFS('Analysis Data'!$R:$R,$AQ$43,'Analysis Data'!$S:$S,"&gt;15000000",'Analysis Data'!$S:$S,"&lt;=30000000",'Analysis Data'!$E:$E,"&gt;32")</f>
        <v>10</v>
      </c>
      <c r="AU45" s="610">
        <f t="shared" ref="AU45:AU46" si="37">SUM(AS45:AT45)</f>
        <v>24</v>
      </c>
      <c r="AV45" s="611">
        <f>COUNTIFS('Analysis Data'!$R:$R,$AP$43,'Analysis Data'!$S:$S,"&gt;15000000",'Analysis Data'!$S:$S,"&lt;=30000000",'Analysis Data'!$E:$E,"&gt;62")</f>
        <v>13</v>
      </c>
      <c r="AW45" s="612">
        <f>COUNTIFS('Analysis Data'!$R:$R,$AQ$43,'Analysis Data'!$S:$S,"&gt;15000000",'Analysis Data'!$S:$S,"&lt;=30000000",'Analysis Data'!$E:$E,"&gt;62")</f>
        <v>6</v>
      </c>
      <c r="AX45" s="610">
        <f t="shared" ref="AX45:AX46" si="38">SUM(AV45:AW45)</f>
        <v>19</v>
      </c>
      <c r="AY45" s="611">
        <f>COUNTIFS('Analysis Data'!$R:$R,$AP$43,'Analysis Data'!$S:$S,"&gt;15000000",'Analysis Data'!$S:$S,"&lt;=30000000",'Analysis Data'!$E:$E,"&gt;92")</f>
        <v>6</v>
      </c>
      <c r="AZ45" s="612">
        <f>COUNTIFS('Analysis Data'!$R:$R,$AQ$43,'Analysis Data'!$S:$S,"&gt;15000000",'Analysis Data'!$S:$S,"&lt;=30000000",'Analysis Data'!$E:$E,"&gt;92")</f>
        <v>2</v>
      </c>
      <c r="BA45" s="613">
        <f t="shared" ref="BA45:BA46" si="39">SUM(AY45:AZ45)</f>
        <v>8</v>
      </c>
    </row>
    <row r="46" spans="2:53" s="421" customFormat="1" ht="12.75" customHeight="1" thickBot="1" x14ac:dyDescent="0.3">
      <c r="B46" s="412" t="s">
        <v>1283</v>
      </c>
      <c r="C46" s="446">
        <f>SUMIFS('Analysis Data'!$F:$F,'Analysis Data'!$D:$D,$B46,'Analysis Data'!$R:$R,$I$43)</f>
        <v>1891078675.9400003</v>
      </c>
      <c r="D46" s="447">
        <f>SUMIFS('Analysis Data'!$F:$F,'Analysis Data'!$D:$D,$B46,'Analysis Data'!$R:$R,$J$43)</f>
        <v>4007474686.7799993</v>
      </c>
      <c r="E46" s="455">
        <f t="shared" si="27"/>
        <v>5898553362.7199993</v>
      </c>
      <c r="F46" s="493">
        <f>COUNTIFS('Analysis Data'!$D:$D,B46,'Analysis Data'!$R:$R,$F$43)</f>
        <v>77</v>
      </c>
      <c r="G46" s="494">
        <f>COUNTIFS('Analysis Data'!$D:$D,B46,'Analysis Data'!$R:$R,$G$43)</f>
        <v>131</v>
      </c>
      <c r="H46" s="495">
        <f t="shared" si="28"/>
        <v>208</v>
      </c>
      <c r="I46" s="449">
        <f t="shared" si="31"/>
        <v>24559463.323896106</v>
      </c>
      <c r="J46" s="450">
        <f t="shared" si="29"/>
        <v>30591409.822748087</v>
      </c>
      <c r="K46" s="670">
        <f t="shared" si="30"/>
        <v>28358429.628461536</v>
      </c>
      <c r="AA46" s="454" t="s">
        <v>1283</v>
      </c>
      <c r="AB46" s="520">
        <f>COUNTIFS('Analysis Data'!$D:$D,AA46,'Analysis Data'!$R:$R,$AB$43,'Analysis Data'!$E:$E,"&gt;=2")</f>
        <v>15</v>
      </c>
      <c r="AC46" s="515">
        <f>COUNTIFS('Analysis Data'!$D:$D,AA46,'Analysis Data'!$R:$R,$AC$43,'Analysis Data'!$E:$E,"&gt;=2")</f>
        <v>39</v>
      </c>
      <c r="AD46" s="516">
        <f t="shared" si="32"/>
        <v>54</v>
      </c>
      <c r="AE46" s="611">
        <f>COUNTIFS('Analysis Data'!$D:$D,AA46,'Analysis Data'!$R:$R,$AE$43,'Analysis Data'!$E:$E,"&gt;32")</f>
        <v>7</v>
      </c>
      <c r="AF46" s="515">
        <f>COUNTIFS('Analysis Data'!$D:$D,AA46,'Analysis Data'!$R:$R,$AF$43,'Analysis Data'!$E:$E,"&gt;32")</f>
        <v>17</v>
      </c>
      <c r="AG46" s="516">
        <f t="shared" si="33"/>
        <v>24</v>
      </c>
      <c r="AH46" s="520">
        <f>COUNTIFS('Analysis Data'!$D:$D,AA46,'Analysis Data'!$R:$R,$AH$43,'Analysis Data'!$E:$E,"&gt;60")</f>
        <v>6</v>
      </c>
      <c r="AI46" s="515">
        <f>COUNTIFS('Analysis Data'!$D:$D,AA46,'Analysis Data'!$R:$R,$AI$43,'Analysis Data'!$E:$E,"&gt;60")</f>
        <v>10</v>
      </c>
      <c r="AJ46" s="517">
        <f t="shared" si="34"/>
        <v>16</v>
      </c>
      <c r="AK46" s="520">
        <f>COUNTIFS('Analysis Data'!$D:$D,AA46,'Analysis Data'!$R:$R,$AK$43,'Analysis Data'!$E:$E,"&gt;90")</f>
        <v>5</v>
      </c>
      <c r="AL46" s="518">
        <f>COUNTIFS('Analysis Data'!$D:$D,AA46,'Analysis Data'!$R:$R,$AL$43,'Analysis Data'!$E:$E,"&gt;90")</f>
        <v>6</v>
      </c>
      <c r="AM46" s="519">
        <f t="shared" si="35"/>
        <v>11</v>
      </c>
      <c r="AO46" s="625" t="s">
        <v>3003</v>
      </c>
      <c r="AP46" s="611">
        <f>COUNTIFS('Analysis Data'!$R:$R,$AP$43,'Analysis Data'!$S:$S,"&gt;30000000",'Analysis Data'!$E:$E,"&gt;=2")</f>
        <v>20</v>
      </c>
      <c r="AQ46" s="612">
        <f>COUNTIFS('Analysis Data'!$R:$R,$AQ$43,'Analysis Data'!$S:$S,"&gt;30000000",'Analysis Data'!$E:$E,"&gt;=2")</f>
        <v>63</v>
      </c>
      <c r="AR46" s="610">
        <f t="shared" si="36"/>
        <v>83</v>
      </c>
      <c r="AS46" s="611">
        <f>COUNTIFS('Analysis Data'!$R:$R,$AP$43,'Analysis Data'!$S:$S,"&gt;30000000",'Analysis Data'!$E:$E,"&gt;32")</f>
        <v>9</v>
      </c>
      <c r="AT46" s="612">
        <f>COUNTIFS('Analysis Data'!$R:$R,$AQ$43,'Analysis Data'!$S:$S,"&gt;30000000",'Analysis Data'!$E:$E,"&gt;32")</f>
        <v>23</v>
      </c>
      <c r="AU46" s="610">
        <f t="shared" si="37"/>
        <v>32</v>
      </c>
      <c r="AV46" s="611">
        <f>COUNTIFS('Analysis Data'!$R:$R,$AP$43,'Analysis Data'!$S:$S,"&gt;30000000",'Analysis Data'!$E:$E,"&gt;62")</f>
        <v>7</v>
      </c>
      <c r="AW46" s="612">
        <f>COUNTIFS('Analysis Data'!$R:$R,$AQ$43,'Analysis Data'!$S:$S,"&gt;30000000",'Analysis Data'!$E:$E,"&gt;62")</f>
        <v>12</v>
      </c>
      <c r="AX46" s="610">
        <f t="shared" si="38"/>
        <v>19</v>
      </c>
      <c r="AY46" s="611">
        <f>COUNTIFS('Analysis Data'!$R:$R,$AP$43,'Analysis Data'!$S:$S,"&gt;30000000",'Analysis Data'!$E:$E,"&gt;92")</f>
        <v>5</v>
      </c>
      <c r="AZ46" s="612">
        <f>COUNTIFS('Analysis Data'!$R:$R,$AQ$43,'Analysis Data'!$S:$S,"&gt;30000000",'Analysis Data'!$E:$E,"&gt;92")</f>
        <v>8</v>
      </c>
      <c r="BA46" s="613">
        <f t="shared" si="39"/>
        <v>13</v>
      </c>
    </row>
    <row r="47" spans="2:53" s="421" customFormat="1" ht="12.75" customHeight="1" thickBot="1" x14ac:dyDescent="0.3">
      <c r="B47" s="412" t="s">
        <v>1279</v>
      </c>
      <c r="C47" s="446">
        <f>SUMIFS('Analysis Data'!$F:$F,'Analysis Data'!$D:$D,$B47,'Analysis Data'!$R:$R,$I$43)</f>
        <v>238110245.13999996</v>
      </c>
      <c r="D47" s="447">
        <f>SUMIFS('Analysis Data'!$F:$F,'Analysis Data'!$D:$D,$B47,'Analysis Data'!$R:$R,$J$43)</f>
        <v>128403925.77000001</v>
      </c>
      <c r="E47" s="455">
        <f t="shared" si="27"/>
        <v>366514170.90999997</v>
      </c>
      <c r="F47" s="493">
        <f>COUNTIFS('Analysis Data'!$D:$D,B47,'Analysis Data'!$R:$R,$F$43)</f>
        <v>131</v>
      </c>
      <c r="G47" s="494">
        <f>COUNTIFS('Analysis Data'!$D:$D,B47,'Analysis Data'!$R:$R,$G$43)</f>
        <v>56</v>
      </c>
      <c r="H47" s="495">
        <f t="shared" si="28"/>
        <v>187</v>
      </c>
      <c r="I47" s="449">
        <f t="shared" si="31"/>
        <v>1817635.4590839692</v>
      </c>
      <c r="J47" s="450">
        <f t="shared" si="29"/>
        <v>2292927.2458928572</v>
      </c>
      <c r="K47" s="670">
        <f t="shared" si="30"/>
        <v>1959968.8283957217</v>
      </c>
      <c r="AA47" s="454" t="s">
        <v>1279</v>
      </c>
      <c r="AB47" s="611">
        <f>COUNTIFS('Analysis Data'!$D:$D,AA47,'Analysis Data'!$R:$R,$AB$43,'Analysis Data'!$E:$E,"&gt;=2")</f>
        <v>36</v>
      </c>
      <c r="AC47" s="515">
        <f>COUNTIFS('Analysis Data'!$D:$D,AA47,'Analysis Data'!$R:$R,$AC$43,'Analysis Data'!$E:$E,"&gt;=2")</f>
        <v>8</v>
      </c>
      <c r="AD47" s="516">
        <f t="shared" si="32"/>
        <v>44</v>
      </c>
      <c r="AE47" s="611">
        <f>COUNTIFS('Analysis Data'!$D:$D,AA47,'Analysis Data'!$R:$R,$AE$43,'Analysis Data'!$E:$E,"&gt;32")</f>
        <v>24</v>
      </c>
      <c r="AF47" s="515">
        <f>COUNTIFS('Analysis Data'!$D:$D,AA47,'Analysis Data'!$R:$R,$AF$43,'Analysis Data'!$E:$E,"&gt;32")</f>
        <v>4</v>
      </c>
      <c r="AG47" s="516">
        <f t="shared" si="33"/>
        <v>28</v>
      </c>
      <c r="AH47" s="520">
        <f>COUNTIFS('Analysis Data'!$D:$D,AA47,'Analysis Data'!$R:$R,$AH$43,'Analysis Data'!$E:$E,"&gt;60")</f>
        <v>18</v>
      </c>
      <c r="AI47" s="515">
        <f>COUNTIFS('Analysis Data'!$D:$D,AA47,'Analysis Data'!$R:$R,$AI$43,'Analysis Data'!$E:$E,"&gt;60")</f>
        <v>3</v>
      </c>
      <c r="AJ47" s="517">
        <f t="shared" si="34"/>
        <v>21</v>
      </c>
      <c r="AK47" s="520">
        <f>COUNTIFS('Analysis Data'!$D:$D,AA47,'Analysis Data'!$R:$R,$AK$43,'Analysis Data'!$E:$E,"&gt;90")</f>
        <v>15</v>
      </c>
      <c r="AL47" s="518">
        <f>COUNTIFS('Analysis Data'!$D:$D,AA47,'Analysis Data'!$R:$R,$AL$43,'Analysis Data'!$E:$E,"&gt;90")</f>
        <v>2</v>
      </c>
      <c r="AM47" s="519">
        <f t="shared" si="35"/>
        <v>17</v>
      </c>
      <c r="AO47" s="626" t="s">
        <v>2900</v>
      </c>
      <c r="AP47" s="522">
        <f t="shared" ref="AP47:BA47" si="40">SUM(AP44:AP46)</f>
        <v>179</v>
      </c>
      <c r="AQ47" s="628">
        <f t="shared" si="40"/>
        <v>133</v>
      </c>
      <c r="AR47" s="629">
        <f t="shared" si="40"/>
        <v>312</v>
      </c>
      <c r="AS47" s="522">
        <f t="shared" si="40"/>
        <v>94</v>
      </c>
      <c r="AT47" s="628">
        <f t="shared" si="40"/>
        <v>55</v>
      </c>
      <c r="AU47" s="629">
        <f t="shared" si="40"/>
        <v>149</v>
      </c>
      <c r="AV47" s="522">
        <f t="shared" si="40"/>
        <v>71</v>
      </c>
      <c r="AW47" s="628">
        <f t="shared" si="40"/>
        <v>31</v>
      </c>
      <c r="AX47" s="629">
        <f t="shared" si="40"/>
        <v>102</v>
      </c>
      <c r="AY47" s="522">
        <f t="shared" si="40"/>
        <v>50</v>
      </c>
      <c r="AZ47" s="628">
        <f t="shared" si="40"/>
        <v>19</v>
      </c>
      <c r="BA47" s="527">
        <f t="shared" si="40"/>
        <v>69</v>
      </c>
    </row>
    <row r="48" spans="2:53" s="421" customFormat="1" ht="12.75" customHeight="1" thickBot="1" x14ac:dyDescent="0.3">
      <c r="B48" s="412" t="s">
        <v>1866</v>
      </c>
      <c r="C48" s="446">
        <f>SUMIFS('Analysis Data'!$F:$F,'Analysis Data'!$D:$D,$B48,'Analysis Data'!$R:$R,$I$43)</f>
        <v>196517748.13000003</v>
      </c>
      <c r="D48" s="447">
        <f>SUMIFS('Analysis Data'!$F:$F,'Analysis Data'!$D:$D,$B48,'Analysis Data'!$R:$R,$J$43)</f>
        <v>222603445.60000002</v>
      </c>
      <c r="E48" s="455">
        <f t="shared" si="27"/>
        <v>419121193.73000002</v>
      </c>
      <c r="F48" s="493">
        <f>COUNTIFS('Analysis Data'!$D:$D,B48,'Analysis Data'!$R:$R,$F$43)</f>
        <v>49</v>
      </c>
      <c r="G48" s="494">
        <f>COUNTIFS('Analysis Data'!$D:$D,B48,'Analysis Data'!$R:$R,$G$43)</f>
        <v>43</v>
      </c>
      <c r="H48" s="495">
        <f t="shared" si="28"/>
        <v>92</v>
      </c>
      <c r="I48" s="449">
        <f t="shared" si="31"/>
        <v>4010566.2883673473</v>
      </c>
      <c r="J48" s="450">
        <f t="shared" si="29"/>
        <v>5176824.3162790705</v>
      </c>
      <c r="K48" s="670">
        <f t="shared" si="30"/>
        <v>4555665.1492391303</v>
      </c>
      <c r="AA48" s="454" t="s">
        <v>1866</v>
      </c>
      <c r="AB48" s="611">
        <f>COUNTIFS('Analysis Data'!$D:$D,AA48,'Analysis Data'!$R:$R,$AB$43,'Analysis Data'!$E:$E,"&gt;=2")</f>
        <v>9</v>
      </c>
      <c r="AC48" s="515">
        <f>COUNTIFS('Analysis Data'!$D:$D,AA48,'Analysis Data'!$R:$R,$AC$43,'Analysis Data'!$E:$E,"&gt;=2")</f>
        <v>5</v>
      </c>
      <c r="AD48" s="516">
        <f t="shared" si="32"/>
        <v>14</v>
      </c>
      <c r="AE48" s="611">
        <f>COUNTIFS('Analysis Data'!$D:$D,AA48,'Analysis Data'!$R:$R,$AE$43,'Analysis Data'!$E:$E,"&gt;32")</f>
        <v>7</v>
      </c>
      <c r="AF48" s="515">
        <f>COUNTIFS('Analysis Data'!$D:$D,AA48,'Analysis Data'!$R:$R,$AF$43,'Analysis Data'!$E:$E,"&gt;32")</f>
        <v>1</v>
      </c>
      <c r="AG48" s="516">
        <f t="shared" si="33"/>
        <v>8</v>
      </c>
      <c r="AH48" s="520">
        <f>COUNTIFS('Analysis Data'!$D:$D,AA48,'Analysis Data'!$R:$R,$AH$43,'Analysis Data'!$E:$E,"&gt;60")</f>
        <v>7</v>
      </c>
      <c r="AI48" s="515">
        <f>COUNTIFS('Analysis Data'!$D:$D,AA48,'Analysis Data'!$R:$R,$AI$43,'Analysis Data'!$E:$E,"&gt;60")</f>
        <v>0</v>
      </c>
      <c r="AJ48" s="517">
        <f t="shared" si="34"/>
        <v>7</v>
      </c>
      <c r="AK48" s="520">
        <f>COUNTIFS('Analysis Data'!$D:$D,AA48,'Analysis Data'!$R:$R,$AK$43,'Analysis Data'!$E:$E,"&gt;90")</f>
        <v>5</v>
      </c>
      <c r="AL48" s="518">
        <f>COUNTIFS('Analysis Data'!$D:$D,AA48,'Analysis Data'!$R:$R,$AL$43,'Analysis Data'!$E:$E,"&gt;90")</f>
        <v>0</v>
      </c>
      <c r="AM48" s="519">
        <f t="shared" si="35"/>
        <v>5</v>
      </c>
      <c r="AO48" s="486" t="s">
        <v>315</v>
      </c>
      <c r="AP48" s="396">
        <f>AP47/AR47</f>
        <v>0.57371794871794868</v>
      </c>
      <c r="AQ48" s="394">
        <f>AQ47/AR47</f>
        <v>0.42628205128205127</v>
      </c>
      <c r="AR48" s="395">
        <f>AP48+AQ48</f>
        <v>1</v>
      </c>
      <c r="AS48" s="396">
        <f>AS47/AU47</f>
        <v>0.63087248322147649</v>
      </c>
      <c r="AT48" s="394">
        <f>AT47/AU47</f>
        <v>0.36912751677852351</v>
      </c>
      <c r="AU48" s="395">
        <f>AS48+AT48</f>
        <v>1</v>
      </c>
      <c r="AV48" s="396">
        <f>AV47/AX47</f>
        <v>0.69607843137254899</v>
      </c>
      <c r="AW48" s="394">
        <f>AW47/AX47</f>
        <v>0.30392156862745096</v>
      </c>
      <c r="AX48" s="395">
        <f>AV48+AW48</f>
        <v>1</v>
      </c>
      <c r="AY48" s="396">
        <f>AY47/BA47</f>
        <v>0.72463768115942029</v>
      </c>
      <c r="AZ48" s="394">
        <f>AZ47/BA47</f>
        <v>0.27536231884057971</v>
      </c>
      <c r="BA48" s="411">
        <f>AY48+AZ48</f>
        <v>1</v>
      </c>
    </row>
    <row r="49" spans="2:53" s="421" customFormat="1" ht="12.75" customHeight="1" x14ac:dyDescent="0.25">
      <c r="B49" s="412" t="s">
        <v>1867</v>
      </c>
      <c r="C49" s="446">
        <f>SUMIFS('Analysis Data'!$F:$F,'Analysis Data'!$D:$D,$B49,'Analysis Data'!$R:$R,$I$43)</f>
        <v>57585157.409999996</v>
      </c>
      <c r="D49" s="447">
        <f>SUMIFS('Analysis Data'!$F:$F,'Analysis Data'!$D:$D,$B49,'Analysis Data'!$R:$R,$J$43)</f>
        <v>35956755.390000001</v>
      </c>
      <c r="E49" s="455">
        <f t="shared" si="27"/>
        <v>93541912.799999997</v>
      </c>
      <c r="F49" s="493">
        <f>COUNTIFS('Analysis Data'!$D:$D,B49,'Analysis Data'!$R:$R,$F$43)</f>
        <v>6</v>
      </c>
      <c r="G49" s="494">
        <f>COUNTIFS('Analysis Data'!$D:$D,B49,'Analysis Data'!$R:$R,$G$43)</f>
        <v>3</v>
      </c>
      <c r="H49" s="495">
        <f t="shared" si="28"/>
        <v>9</v>
      </c>
      <c r="I49" s="449">
        <f t="shared" si="31"/>
        <v>9597526.2349999994</v>
      </c>
      <c r="J49" s="450">
        <f t="shared" si="29"/>
        <v>11985585.130000001</v>
      </c>
      <c r="K49" s="670">
        <f t="shared" si="30"/>
        <v>10393545.866666667</v>
      </c>
      <c r="AA49" s="454" t="s">
        <v>1867</v>
      </c>
      <c r="AB49" s="611">
        <f>COUNTIFS('Analysis Data'!$D:$D,AA49,'Analysis Data'!$R:$R,$AB$43,'Analysis Data'!$E:$E,"&gt;=2")</f>
        <v>1</v>
      </c>
      <c r="AC49" s="515">
        <f>COUNTIFS('Analysis Data'!$D:$D,AA49,'Analysis Data'!$R:$R,$AC$43,'Analysis Data'!$E:$E,"&gt;=2")</f>
        <v>0</v>
      </c>
      <c r="AD49" s="516">
        <f t="shared" si="32"/>
        <v>1</v>
      </c>
      <c r="AE49" s="611">
        <f>COUNTIFS('Analysis Data'!$D:$D,AA49,'Analysis Data'!$R:$R,$AE$43,'Analysis Data'!$E:$E,"&gt;32")</f>
        <v>1</v>
      </c>
      <c r="AF49" s="515">
        <f>COUNTIFS('Analysis Data'!$D:$D,AA49,'Analysis Data'!$R:$R,$AF$43,'Analysis Data'!$E:$E,"&gt;32")</f>
        <v>0</v>
      </c>
      <c r="AG49" s="516">
        <f t="shared" si="33"/>
        <v>1</v>
      </c>
      <c r="AH49" s="520">
        <f>COUNTIFS('Analysis Data'!$D:$D,AA49,'Analysis Data'!$R:$R,$AH$43,'Analysis Data'!$E:$E,"&gt;60")</f>
        <v>1</v>
      </c>
      <c r="AI49" s="515">
        <f>COUNTIFS('Analysis Data'!$D:$D,AA49,'Analysis Data'!$R:$R,$AI$43,'Analysis Data'!$E:$E,"&gt;60")</f>
        <v>0</v>
      </c>
      <c r="AJ49" s="517">
        <f t="shared" si="34"/>
        <v>1</v>
      </c>
      <c r="AK49" s="520">
        <f>COUNTIFS('Analysis Data'!$D:$D,AA49,'Analysis Data'!$R:$R,$AK$43,'Analysis Data'!$E:$E,"&gt;90")</f>
        <v>1</v>
      </c>
      <c r="AL49" s="518">
        <f>COUNTIFS('Analysis Data'!$D:$D,AA49,'Analysis Data'!$R:$R,$AL$43,'Analysis Data'!$E:$E,"&gt;90")</f>
        <v>0</v>
      </c>
      <c r="AM49" s="519">
        <f t="shared" si="35"/>
        <v>1</v>
      </c>
    </row>
    <row r="50" spans="2:53" s="421" customFormat="1" ht="12.75" customHeight="1" x14ac:dyDescent="0.25">
      <c r="B50" s="412" t="s">
        <v>1841</v>
      </c>
      <c r="C50" s="446">
        <f>SUMIFS('Analysis Data'!$F:$F,'Analysis Data'!$D:$D,$B50,'Analysis Data'!$R:$R,$I$43)</f>
        <v>0</v>
      </c>
      <c r="D50" s="447">
        <f>SUMIFS('Analysis Data'!$F:$F,'Analysis Data'!$D:$D,$B50,'Analysis Data'!$R:$R,$J$43)</f>
        <v>186390298.05000001</v>
      </c>
      <c r="E50" s="455">
        <f t="shared" si="27"/>
        <v>186390298.05000001</v>
      </c>
      <c r="F50" s="493">
        <f>COUNTIFS('Analysis Data'!$D:$D,B50,'Analysis Data'!$R:$R,$F$43)</f>
        <v>0</v>
      </c>
      <c r="G50" s="494">
        <f>COUNTIFS('Analysis Data'!$D:$D,B50,'Analysis Data'!$R:$R,$G$43)</f>
        <v>10</v>
      </c>
      <c r="H50" s="495">
        <f t="shared" si="28"/>
        <v>10</v>
      </c>
      <c r="I50" s="449">
        <f t="shared" si="31"/>
        <v>0</v>
      </c>
      <c r="J50" s="450">
        <f t="shared" si="29"/>
        <v>18639029.805</v>
      </c>
      <c r="K50" s="670">
        <f t="shared" si="30"/>
        <v>18639029.805</v>
      </c>
      <c r="AA50" s="454" t="s">
        <v>1841</v>
      </c>
      <c r="AB50" s="611">
        <f>COUNTIFS('Analysis Data'!$D:$D,AA50,'Analysis Data'!$R:$R,$AB$43,'Analysis Data'!$E:$E,"&gt;=2")</f>
        <v>0</v>
      </c>
      <c r="AC50" s="515">
        <f>COUNTIFS('Analysis Data'!$D:$D,AA50,'Analysis Data'!$R:$R,$AC$43,'Analysis Data'!$E:$E,"&gt;=2")</f>
        <v>6</v>
      </c>
      <c r="AD50" s="516">
        <f t="shared" si="32"/>
        <v>6</v>
      </c>
      <c r="AE50" s="611">
        <f>COUNTIFS('Analysis Data'!$D:$D,AA50,'Analysis Data'!$R:$R,$AE$43,'Analysis Data'!$E:$E,"&gt;32")</f>
        <v>0</v>
      </c>
      <c r="AF50" s="515">
        <f>COUNTIFS('Analysis Data'!$D:$D,AA50,'Analysis Data'!$R:$R,$AF$43,'Analysis Data'!$E:$E,"&gt;32")</f>
        <v>2</v>
      </c>
      <c r="AG50" s="516">
        <f t="shared" si="33"/>
        <v>2</v>
      </c>
      <c r="AH50" s="520">
        <f>COUNTIFS('Analysis Data'!$D:$D,AA50,'Analysis Data'!$R:$R,$AH$43,'Analysis Data'!$E:$E,"&gt;60")</f>
        <v>0</v>
      </c>
      <c r="AI50" s="515">
        <f>COUNTIFS('Analysis Data'!$D:$D,AA50,'Analysis Data'!$R:$R,$AI$43,'Analysis Data'!$E:$E,"&gt;60")</f>
        <v>1</v>
      </c>
      <c r="AJ50" s="517">
        <f t="shared" si="34"/>
        <v>1</v>
      </c>
      <c r="AK50" s="520">
        <f>COUNTIFS('Analysis Data'!$D:$D,AA50,'Analysis Data'!$R:$R,$AK$43,'Analysis Data'!$E:$E,"&gt;90")</f>
        <v>0</v>
      </c>
      <c r="AL50" s="518">
        <f>COUNTIFS('Analysis Data'!$D:$D,AA50,'Analysis Data'!$R:$R,$AL$43,'Analysis Data'!$E:$E,"&gt;90")</f>
        <v>1</v>
      </c>
      <c r="AM50" s="519">
        <f t="shared" si="35"/>
        <v>1</v>
      </c>
    </row>
    <row r="51" spans="2:53" s="421" customFormat="1" ht="12.75" customHeight="1" x14ac:dyDescent="0.25">
      <c r="B51" s="412" t="s">
        <v>1284</v>
      </c>
      <c r="C51" s="446">
        <f>SUMIFS('Analysis Data'!$F:$F,'Analysis Data'!$D:$D,$B51,'Analysis Data'!$R:$R,$I$43)</f>
        <v>1936667159.6800003</v>
      </c>
      <c r="D51" s="447">
        <f>SUMIFS('Analysis Data'!$F:$F,'Analysis Data'!$D:$D,$B51,'Analysis Data'!$R:$R,$J$43)</f>
        <v>3442003951.0899992</v>
      </c>
      <c r="E51" s="455">
        <f t="shared" si="27"/>
        <v>5378671110.7699995</v>
      </c>
      <c r="F51" s="493">
        <f>COUNTIFS('Analysis Data'!$D:$D,B51,'Analysis Data'!$R:$R,$F$43)</f>
        <v>122</v>
      </c>
      <c r="G51" s="494">
        <f>COUNTIFS('Analysis Data'!$D:$D,B51,'Analysis Data'!$R:$R,$G$43)</f>
        <v>148</v>
      </c>
      <c r="H51" s="495">
        <f t="shared" si="28"/>
        <v>270</v>
      </c>
      <c r="I51" s="449">
        <f t="shared" si="31"/>
        <v>15874320.980983609</v>
      </c>
      <c r="J51" s="450">
        <f t="shared" si="29"/>
        <v>23256783.453310806</v>
      </c>
      <c r="K51" s="670">
        <f t="shared" si="30"/>
        <v>19921004.113962959</v>
      </c>
      <c r="AA51" s="454" t="s">
        <v>1284</v>
      </c>
      <c r="AB51" s="611">
        <f>COUNTIFS('Analysis Data'!$D:$D,AA51,'Analysis Data'!$R:$R,$AB$43,'Analysis Data'!$E:$E,"&gt;=2")</f>
        <v>25</v>
      </c>
      <c r="AC51" s="515">
        <f>COUNTIFS('Analysis Data'!$D:$D,AA51,'Analysis Data'!$R:$R,$AC$43,'Analysis Data'!$E:$E,"&gt;=2")</f>
        <v>21</v>
      </c>
      <c r="AD51" s="516">
        <f t="shared" si="32"/>
        <v>46</v>
      </c>
      <c r="AE51" s="611">
        <f>COUNTIFS('Analysis Data'!$D:$D,AA51,'Analysis Data'!$R:$R,$AE$43,'Analysis Data'!$E:$E,"&gt;32")</f>
        <v>8</v>
      </c>
      <c r="AF51" s="515">
        <f>COUNTIFS('Analysis Data'!$D:$D,AA51,'Analysis Data'!$R:$R,$AF$43,'Analysis Data'!$E:$E,"&gt;32")</f>
        <v>7</v>
      </c>
      <c r="AG51" s="516">
        <f t="shared" si="33"/>
        <v>15</v>
      </c>
      <c r="AH51" s="520">
        <f>COUNTIFS('Analysis Data'!$D:$D,AA51,'Analysis Data'!$R:$R,$AH$43,'Analysis Data'!$E:$E,"&gt;60")</f>
        <v>4</v>
      </c>
      <c r="AI51" s="515">
        <f>COUNTIFS('Analysis Data'!$D:$D,AA51,'Analysis Data'!$R:$R,$AI$43,'Analysis Data'!$E:$E,"&gt;60")</f>
        <v>3</v>
      </c>
      <c r="AJ51" s="517">
        <f t="shared" si="34"/>
        <v>7</v>
      </c>
      <c r="AK51" s="520">
        <f>COUNTIFS('Analysis Data'!$D:$D,AA51,'Analysis Data'!$R:$R,$AK$43,'Analysis Data'!$E:$E,"&gt;90")</f>
        <v>2</v>
      </c>
      <c r="AL51" s="518">
        <f>COUNTIFS('Analysis Data'!$D:$D,AA51,'Analysis Data'!$R:$R,$AL$43,'Analysis Data'!$E:$E,"&gt;90")</f>
        <v>2</v>
      </c>
      <c r="AM51" s="519">
        <f t="shared" si="35"/>
        <v>4</v>
      </c>
    </row>
    <row r="52" spans="2:53" s="421" customFormat="1" ht="12.75" customHeight="1" x14ac:dyDescent="0.25">
      <c r="B52" s="412" t="s">
        <v>1850</v>
      </c>
      <c r="C52" s="446">
        <f>SUMIFS('Analysis Data'!$F:$F,'Analysis Data'!$D:$D,$B52,'Analysis Data'!$R:$R,$I$43)</f>
        <v>0</v>
      </c>
      <c r="D52" s="447">
        <f>SUMIFS('Analysis Data'!$F:$F,'Analysis Data'!$D:$D,$B52,'Analysis Data'!$R:$R,$J$43)</f>
        <v>173493407.91</v>
      </c>
      <c r="E52" s="455">
        <f t="shared" si="27"/>
        <v>173493407.91</v>
      </c>
      <c r="F52" s="493">
        <f>COUNTIFS('Analysis Data'!$D:$D,B52,'Analysis Data'!$R:$R,$F$43)</f>
        <v>0</v>
      </c>
      <c r="G52" s="494">
        <f>COUNTIFS('Analysis Data'!$D:$D,B52,'Analysis Data'!$R:$R,$G$43)</f>
        <v>7</v>
      </c>
      <c r="H52" s="495">
        <f t="shared" si="28"/>
        <v>7</v>
      </c>
      <c r="I52" s="449">
        <f t="shared" si="31"/>
        <v>0</v>
      </c>
      <c r="J52" s="450">
        <f t="shared" si="29"/>
        <v>24784772.558571428</v>
      </c>
      <c r="K52" s="670">
        <f t="shared" si="30"/>
        <v>24784772.558571428</v>
      </c>
      <c r="AA52" s="454" t="s">
        <v>1850</v>
      </c>
      <c r="AB52" s="611">
        <f>COUNTIFS('Analysis Data'!$D:$D,AA52,'Analysis Data'!$R:$R,$AB$43,'Analysis Data'!$E:$E,"&gt;=2")</f>
        <v>0</v>
      </c>
      <c r="AC52" s="515">
        <f>COUNTIFS('Analysis Data'!$D:$D,AA52,'Analysis Data'!$R:$R,$AC$43,'Analysis Data'!$E:$E,"&gt;=2")</f>
        <v>5</v>
      </c>
      <c r="AD52" s="516">
        <f t="shared" si="32"/>
        <v>5</v>
      </c>
      <c r="AE52" s="611">
        <f>COUNTIFS('Analysis Data'!$D:$D,AA52,'Analysis Data'!$R:$R,$AE$43,'Analysis Data'!$E:$E,"&gt;32")</f>
        <v>0</v>
      </c>
      <c r="AF52" s="515">
        <f>COUNTIFS('Analysis Data'!$D:$D,AA52,'Analysis Data'!$R:$R,$AF$43,'Analysis Data'!$E:$E,"&gt;32")</f>
        <v>1</v>
      </c>
      <c r="AG52" s="516">
        <f t="shared" si="33"/>
        <v>1</v>
      </c>
      <c r="AH52" s="520">
        <f>COUNTIFS('Analysis Data'!$D:$D,AA52,'Analysis Data'!$R:$R,$AH$43,'Analysis Data'!$E:$E,"&gt;60")</f>
        <v>0</v>
      </c>
      <c r="AI52" s="515">
        <f>COUNTIFS('Analysis Data'!$D:$D,AA52,'Analysis Data'!$R:$R,$AI$43,'Analysis Data'!$E:$E,"&gt;60")</f>
        <v>0</v>
      </c>
      <c r="AJ52" s="517">
        <f t="shared" si="34"/>
        <v>0</v>
      </c>
      <c r="AK52" s="520">
        <f>COUNTIFS('Analysis Data'!$D:$D,AA52,'Analysis Data'!$R:$R,$AK$43,'Analysis Data'!$E:$E,"&gt;90")</f>
        <v>0</v>
      </c>
      <c r="AL52" s="518">
        <f>COUNTIFS('Analysis Data'!$D:$D,AA52,'Analysis Data'!$R:$R,$AL$43,'Analysis Data'!$E:$E,"&gt;90")</f>
        <v>0</v>
      </c>
      <c r="AM52" s="519">
        <f t="shared" si="35"/>
        <v>0</v>
      </c>
    </row>
    <row r="53" spans="2:53" s="421" customFormat="1" ht="12.75" customHeight="1" x14ac:dyDescent="0.25">
      <c r="B53" s="412" t="s">
        <v>1286</v>
      </c>
      <c r="C53" s="446">
        <f>SUMIFS('Analysis Data'!$F:$F,'Analysis Data'!$D:$D,$B53,'Analysis Data'!$R:$R,$I$43)</f>
        <v>48459683.990000002</v>
      </c>
      <c r="D53" s="447">
        <f>SUMIFS('Analysis Data'!$F:$F,'Analysis Data'!$D:$D,$B53,'Analysis Data'!$R:$R,$J$43)</f>
        <v>0</v>
      </c>
      <c r="E53" s="455">
        <f t="shared" si="27"/>
        <v>48459683.990000002</v>
      </c>
      <c r="F53" s="493">
        <f>COUNTIFS('Analysis Data'!$D:$D,B53,'Analysis Data'!$R:$R,$F$43)</f>
        <v>29</v>
      </c>
      <c r="G53" s="494">
        <f>COUNTIFS('Analysis Data'!$D:$D,B53,'Analysis Data'!$R:$R,$G$43)</f>
        <v>0</v>
      </c>
      <c r="H53" s="495">
        <f t="shared" si="28"/>
        <v>29</v>
      </c>
      <c r="I53" s="449">
        <f t="shared" si="31"/>
        <v>1671023.5858620689</v>
      </c>
      <c r="J53" s="450">
        <f t="shared" si="29"/>
        <v>0</v>
      </c>
      <c r="K53" s="670">
        <f t="shared" si="30"/>
        <v>1671023.5858620689</v>
      </c>
      <c r="AA53" s="454" t="s">
        <v>1286</v>
      </c>
      <c r="AB53" s="611">
        <f>COUNTIFS('Analysis Data'!$D:$D,AA53,'Analysis Data'!$R:$R,$AB$43,'Analysis Data'!$E:$E,"&gt;=2")</f>
        <v>0</v>
      </c>
      <c r="AC53" s="515">
        <f>COUNTIFS('Analysis Data'!$D:$D,AA53,'Analysis Data'!$R:$R,$AC$43,'Analysis Data'!$E:$E,"&gt;=2")</f>
        <v>0</v>
      </c>
      <c r="AD53" s="516">
        <f t="shared" si="32"/>
        <v>0</v>
      </c>
      <c r="AE53" s="611">
        <f>COUNTIFS('Analysis Data'!$D:$D,AA53,'Analysis Data'!$R:$R,$AE$43,'Analysis Data'!$E:$E,"&gt;32")</f>
        <v>0</v>
      </c>
      <c r="AF53" s="515">
        <f>COUNTIFS('Analysis Data'!$D:$D,AA53,'Analysis Data'!$R:$R,$AF$43,'Analysis Data'!$E:$E,"&gt;32")</f>
        <v>0</v>
      </c>
      <c r="AG53" s="516">
        <f t="shared" si="33"/>
        <v>0</v>
      </c>
      <c r="AH53" s="520">
        <f>COUNTIFS('Analysis Data'!$D:$D,AA53,'Analysis Data'!$R:$R,$AH$43,'Analysis Data'!$E:$E,"&gt;60")</f>
        <v>0</v>
      </c>
      <c r="AI53" s="515">
        <f>COUNTIFS('Analysis Data'!$D:$D,AA53,'Analysis Data'!$R:$R,$AI$43,'Analysis Data'!$E:$E,"&gt;60")</f>
        <v>0</v>
      </c>
      <c r="AJ53" s="517">
        <f t="shared" si="34"/>
        <v>0</v>
      </c>
      <c r="AK53" s="520">
        <f>COUNTIFS('Analysis Data'!$D:$D,AA53,'Analysis Data'!$R:$R,$AK$43,'Analysis Data'!$E:$E,"&gt;90")</f>
        <v>0</v>
      </c>
      <c r="AL53" s="518">
        <f>COUNTIFS('Analysis Data'!$D:$D,AA53,'Analysis Data'!$R:$R,$AL$43,'Analysis Data'!$E:$E,"&gt;90")</f>
        <v>0</v>
      </c>
      <c r="AM53" s="519">
        <f t="shared" si="35"/>
        <v>0</v>
      </c>
    </row>
    <row r="54" spans="2:53" s="421" customFormat="1" ht="13.8" thickBot="1" x14ac:dyDescent="0.3">
      <c r="B54" s="456" t="s">
        <v>1285</v>
      </c>
      <c r="C54" s="446">
        <f>SUMIFS('Analysis Data'!$F:$F,'Analysis Data'!$D:$D,$B54,'Analysis Data'!$R:$R,$I$43)</f>
        <v>307848315.78000003</v>
      </c>
      <c r="D54" s="447">
        <f>SUMIFS('Analysis Data'!$F:$F,'Analysis Data'!$D:$D,$B54,'Analysis Data'!$R:$R,$J$43)</f>
        <v>0</v>
      </c>
      <c r="E54" s="455">
        <f t="shared" si="27"/>
        <v>307848315.78000003</v>
      </c>
      <c r="F54" s="493">
        <f>COUNTIFS('Analysis Data'!$D:$D,B54,'Analysis Data'!$R:$R,$F$43)</f>
        <v>23</v>
      </c>
      <c r="G54" s="494">
        <f>COUNTIFS('Analysis Data'!$D:$D,B54,'Analysis Data'!$R:$R,$G$43)</f>
        <v>0</v>
      </c>
      <c r="H54" s="495">
        <f t="shared" si="28"/>
        <v>23</v>
      </c>
      <c r="I54" s="449">
        <f t="shared" si="31"/>
        <v>13384709.381739132</v>
      </c>
      <c r="J54" s="450">
        <f t="shared" si="29"/>
        <v>0</v>
      </c>
      <c r="K54" s="670">
        <f t="shared" si="30"/>
        <v>13384709.381739132</v>
      </c>
      <c r="AA54" s="458" t="s">
        <v>1285</v>
      </c>
      <c r="AB54" s="611">
        <f>COUNTIFS('Analysis Data'!$D:$D,AA54,'Analysis Data'!$R:$R,$AB$43,'Analysis Data'!$E:$E,"&gt;=2")</f>
        <v>0</v>
      </c>
      <c r="AC54" s="515">
        <f>COUNTIFS('Analysis Data'!$D:$D,AA54,'Analysis Data'!$R:$R,$AC$43,'Analysis Data'!$E:$E,"&gt;=2")</f>
        <v>0</v>
      </c>
      <c r="AD54" s="516">
        <f t="shared" si="32"/>
        <v>0</v>
      </c>
      <c r="AE54" s="611">
        <f>COUNTIFS('Analysis Data'!$D:$D,AA54,'Analysis Data'!$R:$R,$AE$43,'Analysis Data'!$E:$E,"&gt;32")</f>
        <v>0</v>
      </c>
      <c r="AF54" s="515">
        <f>COUNTIFS('Analysis Data'!$D:$D,AA54,'Analysis Data'!$R:$R,$AF$43,'Analysis Data'!$E:$E,"&gt;30")</f>
        <v>0</v>
      </c>
      <c r="AG54" s="516">
        <f t="shared" si="33"/>
        <v>0</v>
      </c>
      <c r="AH54" s="521">
        <f>COUNTIFS('Analysis Data'!$D:$D,AA54,'Analysis Data'!$R:$R,$AH$43,'Analysis Data'!$E:$E,"&gt;60")</f>
        <v>0</v>
      </c>
      <c r="AI54" s="515">
        <f>COUNTIFS('Analysis Data'!$D:$D,AA54,'Analysis Data'!$R:$R,$AI$43,'Analysis Data'!$E:$E,"&gt;60")</f>
        <v>0</v>
      </c>
      <c r="AJ54" s="517">
        <f t="shared" si="34"/>
        <v>0</v>
      </c>
      <c r="AK54" s="521">
        <f>COUNTIFS('Analysis Data'!$D:$D,AA54,'Analysis Data'!$R:$R,$AK$43,'Analysis Data'!$E:$E,"&gt;90")</f>
        <v>0</v>
      </c>
      <c r="AL54" s="518">
        <f>COUNTIFS('Analysis Data'!$D:$D,AA54,'Analysis Data'!$R:$R,$AL$43,'Analysis Data'!$E:$E,"&gt;90")</f>
        <v>0</v>
      </c>
      <c r="AM54" s="519">
        <f t="shared" si="35"/>
        <v>0</v>
      </c>
    </row>
    <row r="55" spans="2:53" s="421" customFormat="1" ht="15" customHeight="1" thickBot="1" x14ac:dyDescent="0.3">
      <c r="B55" s="459" t="s">
        <v>2900</v>
      </c>
      <c r="C55" s="460">
        <f t="shared" ref="C55:H55" si="41">SUM(C44:C54)</f>
        <v>6979390267.6599998</v>
      </c>
      <c r="D55" s="461">
        <f t="shared" si="41"/>
        <v>10617346458.860001</v>
      </c>
      <c r="E55" s="462">
        <f t="shared" si="41"/>
        <v>17596736726.519997</v>
      </c>
      <c r="F55" s="415">
        <f t="shared" si="41"/>
        <v>811</v>
      </c>
      <c r="G55" s="496">
        <f t="shared" si="41"/>
        <v>680</v>
      </c>
      <c r="H55" s="414">
        <f t="shared" si="41"/>
        <v>1491</v>
      </c>
      <c r="I55" s="463">
        <f>IFERROR(C55/F55,0)</f>
        <v>8605906.6185696665</v>
      </c>
      <c r="J55" s="464">
        <f t="shared" si="29"/>
        <v>15613744.792441178</v>
      </c>
      <c r="K55" s="671">
        <f t="shared" si="30"/>
        <v>11801969.635492956</v>
      </c>
      <c r="AA55" s="459" t="s">
        <v>2900</v>
      </c>
      <c r="AB55" s="522">
        <f>SUM(AB44:AB54)</f>
        <v>179</v>
      </c>
      <c r="AC55" s="523">
        <f t="shared" ref="AC55:AM55" si="42">SUM(AC44:AC54)</f>
        <v>133</v>
      </c>
      <c r="AD55" s="524">
        <f t="shared" si="42"/>
        <v>312</v>
      </c>
      <c r="AE55" s="525">
        <f t="shared" si="42"/>
        <v>94</v>
      </c>
      <c r="AF55" s="523">
        <f t="shared" si="42"/>
        <v>55</v>
      </c>
      <c r="AG55" s="524">
        <f t="shared" si="42"/>
        <v>149</v>
      </c>
      <c r="AH55" s="525">
        <f t="shared" si="42"/>
        <v>71</v>
      </c>
      <c r="AI55" s="523">
        <f t="shared" si="42"/>
        <v>31</v>
      </c>
      <c r="AJ55" s="524">
        <f t="shared" si="42"/>
        <v>102</v>
      </c>
      <c r="AK55" s="525">
        <f t="shared" si="42"/>
        <v>50</v>
      </c>
      <c r="AL55" s="526">
        <f t="shared" si="42"/>
        <v>19</v>
      </c>
      <c r="AM55" s="527">
        <f t="shared" si="42"/>
        <v>69</v>
      </c>
    </row>
    <row r="56" spans="2:53" s="421" customFormat="1" ht="13.8" thickBot="1" x14ac:dyDescent="0.3">
      <c r="B56" s="423" t="s">
        <v>315</v>
      </c>
      <c r="C56" s="497">
        <f>C55/E55</f>
        <v>0.39662980563557437</v>
      </c>
      <c r="D56" s="488">
        <f>D55/E55</f>
        <v>0.60337019436442585</v>
      </c>
      <c r="E56" s="489">
        <f>C56+D56</f>
        <v>1.0000000000000002</v>
      </c>
      <c r="F56" s="497">
        <f>F55/H55</f>
        <v>0.54393024815560032</v>
      </c>
      <c r="G56" s="488">
        <f>G55/H55</f>
        <v>0.45606975184439974</v>
      </c>
      <c r="H56" s="489">
        <f>F56+G56</f>
        <v>1</v>
      </c>
      <c r="I56" s="468" t="s">
        <v>2903</v>
      </c>
      <c r="J56" s="424" t="s">
        <v>2903</v>
      </c>
      <c r="K56" s="474" t="s">
        <v>2903</v>
      </c>
      <c r="AA56" s="423" t="s">
        <v>315</v>
      </c>
      <c r="AB56" s="487">
        <f>AB55/AD55</f>
        <v>0.57371794871794868</v>
      </c>
      <c r="AC56" s="528">
        <f>AC55/AD55</f>
        <v>0.42628205128205127</v>
      </c>
      <c r="AD56" s="489">
        <f>AB56+AC56</f>
        <v>1</v>
      </c>
      <c r="AE56" s="529">
        <f>AE55/AG55</f>
        <v>0.63087248322147649</v>
      </c>
      <c r="AF56" s="528">
        <f>AF55/AG55</f>
        <v>0.36912751677852351</v>
      </c>
      <c r="AG56" s="489">
        <f>AE56+AF56</f>
        <v>1</v>
      </c>
      <c r="AH56" s="529">
        <f>AH55/AJ55</f>
        <v>0.69607843137254899</v>
      </c>
      <c r="AI56" s="528">
        <f>AI55/AJ55</f>
        <v>0.30392156862745096</v>
      </c>
      <c r="AJ56" s="489">
        <f>AH56+AI56</f>
        <v>1</v>
      </c>
      <c r="AK56" s="529">
        <f>AK55/AM55</f>
        <v>0.72463768115942029</v>
      </c>
      <c r="AL56" s="530">
        <f>AL55/AM55</f>
        <v>0.27536231884057971</v>
      </c>
      <c r="AM56" s="508">
        <f>AK56+AL56</f>
        <v>1</v>
      </c>
    </row>
    <row r="57" spans="2:53" s="421" customFormat="1" ht="18" customHeight="1" thickBot="1" x14ac:dyDescent="0.3">
      <c r="AD57" s="513"/>
      <c r="AG57" s="430"/>
      <c r="AJ57" s="430"/>
      <c r="AM57" s="430"/>
    </row>
    <row r="58" spans="2:53" s="421" customFormat="1" ht="18" customHeight="1" thickBot="1" x14ac:dyDescent="0.3">
      <c r="B58" s="884" t="s">
        <v>3011</v>
      </c>
      <c r="C58" s="885"/>
      <c r="D58" s="885"/>
      <c r="E58" s="885"/>
      <c r="F58" s="885">
        <f>EOMONTH(Parameters!B54,0)</f>
        <v>31</v>
      </c>
      <c r="G58" s="886">
        <f>H3</f>
        <v>43008</v>
      </c>
      <c r="H58" s="886"/>
      <c r="I58" s="886"/>
      <c r="J58" s="886"/>
      <c r="K58" s="887"/>
      <c r="AA58" s="884" t="s">
        <v>3083</v>
      </c>
      <c r="AB58" s="885"/>
      <c r="AC58" s="885"/>
      <c r="AD58" s="885"/>
      <c r="AE58" s="885"/>
      <c r="AF58" s="885"/>
      <c r="AG58" s="885"/>
      <c r="AH58" s="886">
        <f>H3</f>
        <v>43008</v>
      </c>
      <c r="AI58" s="886"/>
      <c r="AJ58" s="886"/>
      <c r="AK58" s="886"/>
      <c r="AL58" s="886"/>
      <c r="AM58" s="887"/>
      <c r="AO58" s="884" t="s">
        <v>3019</v>
      </c>
      <c r="AP58" s="885"/>
      <c r="AQ58" s="885"/>
      <c r="AR58" s="885"/>
      <c r="AS58" s="885"/>
      <c r="AT58" s="885"/>
      <c r="AU58" s="885"/>
      <c r="AV58" s="886">
        <f>H3</f>
        <v>43008</v>
      </c>
      <c r="AW58" s="886"/>
      <c r="AX58" s="886"/>
      <c r="AY58" s="886"/>
      <c r="AZ58" s="886"/>
      <c r="BA58" s="887"/>
    </row>
    <row r="59" spans="2:53" s="421" customFormat="1" ht="15" customHeight="1" thickBot="1" x14ac:dyDescent="0.3">
      <c r="B59" s="409" t="s">
        <v>3004</v>
      </c>
      <c r="C59" s="892" t="s">
        <v>3000</v>
      </c>
      <c r="D59" s="893"/>
      <c r="E59" s="894"/>
      <c r="F59" s="895" t="s">
        <v>2905</v>
      </c>
      <c r="G59" s="893"/>
      <c r="H59" s="894"/>
      <c r="I59" s="881" t="s">
        <v>3010</v>
      </c>
      <c r="J59" s="882"/>
      <c r="K59" s="883"/>
      <c r="AA59" s="914" t="s">
        <v>2902</v>
      </c>
      <c r="AB59" s="916" t="s">
        <v>1202</v>
      </c>
      <c r="AC59" s="917"/>
      <c r="AD59" s="918"/>
      <c r="AE59" s="916" t="s">
        <v>1203</v>
      </c>
      <c r="AF59" s="917"/>
      <c r="AG59" s="918"/>
      <c r="AH59" s="916" t="s">
        <v>2901</v>
      </c>
      <c r="AI59" s="917"/>
      <c r="AJ59" s="918"/>
      <c r="AK59" s="919" t="s">
        <v>1204</v>
      </c>
      <c r="AL59" s="917"/>
      <c r="AM59" s="920"/>
      <c r="AO59" s="409" t="s">
        <v>3004</v>
      </c>
      <c r="AP59" s="910" t="s">
        <v>1202</v>
      </c>
      <c r="AQ59" s="907"/>
      <c r="AR59" s="909"/>
      <c r="AS59" s="906" t="s">
        <v>1203</v>
      </c>
      <c r="AT59" s="907"/>
      <c r="AU59" s="909"/>
      <c r="AV59" s="906" t="s">
        <v>2901</v>
      </c>
      <c r="AW59" s="907"/>
      <c r="AX59" s="909"/>
      <c r="AY59" s="906" t="s">
        <v>1204</v>
      </c>
      <c r="AZ59" s="907"/>
      <c r="BA59" s="908"/>
    </row>
    <row r="60" spans="2:53" s="421" customFormat="1" ht="15" customHeight="1" thickBot="1" x14ac:dyDescent="0.3">
      <c r="B60" s="410" t="s">
        <v>3005</v>
      </c>
      <c r="C60" s="435" t="s">
        <v>2636</v>
      </c>
      <c r="D60" s="436" t="s">
        <v>2856</v>
      </c>
      <c r="E60" s="437" t="s">
        <v>2900</v>
      </c>
      <c r="F60" s="438" t="s">
        <v>2636</v>
      </c>
      <c r="G60" s="436" t="s">
        <v>2856</v>
      </c>
      <c r="H60" s="437" t="s">
        <v>2900</v>
      </c>
      <c r="I60" s="438" t="s">
        <v>2636</v>
      </c>
      <c r="J60" s="436" t="s">
        <v>2856</v>
      </c>
      <c r="K60" s="442" t="s">
        <v>2900</v>
      </c>
      <c r="AA60" s="915"/>
      <c r="AB60" s="479" t="s">
        <v>2636</v>
      </c>
      <c r="AC60" s="480" t="s">
        <v>2856</v>
      </c>
      <c r="AD60" s="481" t="s">
        <v>2900</v>
      </c>
      <c r="AE60" s="479" t="s">
        <v>2636</v>
      </c>
      <c r="AF60" s="480" t="s">
        <v>2856</v>
      </c>
      <c r="AG60" s="481" t="s">
        <v>2900</v>
      </c>
      <c r="AH60" s="479" t="s">
        <v>2636</v>
      </c>
      <c r="AI60" s="480" t="s">
        <v>2856</v>
      </c>
      <c r="AJ60" s="481" t="s">
        <v>2900</v>
      </c>
      <c r="AK60" s="482" t="s">
        <v>2636</v>
      </c>
      <c r="AL60" s="480" t="s">
        <v>2856</v>
      </c>
      <c r="AM60" s="483" t="s">
        <v>2900</v>
      </c>
      <c r="AN60" s="430"/>
      <c r="AO60" s="485" t="s">
        <v>3005</v>
      </c>
      <c r="AP60" s="416" t="s">
        <v>2636</v>
      </c>
      <c r="AQ60" s="417" t="s">
        <v>2856</v>
      </c>
      <c r="AR60" s="418" t="s">
        <v>2900</v>
      </c>
      <c r="AS60" s="416" t="s">
        <v>2636</v>
      </c>
      <c r="AT60" s="417" t="s">
        <v>2856</v>
      </c>
      <c r="AU60" s="418" t="s">
        <v>2900</v>
      </c>
      <c r="AV60" s="416" t="s">
        <v>2636</v>
      </c>
      <c r="AW60" s="417" t="s">
        <v>2856</v>
      </c>
      <c r="AX60" s="418" t="s">
        <v>2900</v>
      </c>
      <c r="AY60" s="419" t="s">
        <v>2636</v>
      </c>
      <c r="AZ60" s="417" t="s">
        <v>2856</v>
      </c>
      <c r="BA60" s="420" t="s">
        <v>2900</v>
      </c>
    </row>
    <row r="61" spans="2:53" s="421" customFormat="1" ht="12.75" customHeight="1" x14ac:dyDescent="0.25">
      <c r="B61" s="672" t="s">
        <v>3001</v>
      </c>
      <c r="C61" s="673">
        <f>SUMIFS('Analysis Data'!$F:$F,'Analysis Data'!$R:$R,$C$60,'Analysis Data'!$S:$S,"&lt;=15000000")</f>
        <v>1904956753.3499987</v>
      </c>
      <c r="D61" s="674">
        <f>SUMIFS('Analysis Data'!$F:$F,'Analysis Data'!$R:$R,$D$60,'Analysis Data'!$S:$S,"&lt;=15000000")</f>
        <v>1440004912.5899999</v>
      </c>
      <c r="E61" s="675">
        <f>C61+D61</f>
        <v>3344961665.9399986</v>
      </c>
      <c r="F61" s="663">
        <f>COUNTIFS('Analysis Data'!$R:$R,$F$9,'Analysis Data'!$S:$S,"&lt;=15000000")</f>
        <v>544</v>
      </c>
      <c r="G61" s="664">
        <f>COUNTIFS('Analysis Data'!$R:$R,$G$9,'Analysis Data'!$S:$S,"&lt;=15000000")</f>
        <v>305</v>
      </c>
      <c r="H61" s="665">
        <f>SUM(F61:G61)</f>
        <v>849</v>
      </c>
      <c r="I61" s="666">
        <f t="shared" ref="I61:K63" si="43">C61/$E$64</f>
        <v>0.10825625131272455</v>
      </c>
      <c r="J61" s="667">
        <f t="shared" si="43"/>
        <v>8.1833633983951826E-2</v>
      </c>
      <c r="K61" s="662">
        <f t="shared" si="43"/>
        <v>0.19008988529667636</v>
      </c>
      <c r="AA61" s="422" t="s">
        <v>1282</v>
      </c>
      <c r="AB61" s="498">
        <f>AB27/$E$55</f>
        <v>9.2855431344692121E-3</v>
      </c>
      <c r="AC61" s="499">
        <f>AC27/$E$55</f>
        <v>5.739387693843908E-3</v>
      </c>
      <c r="AD61" s="500">
        <f>SUM(AB61:AC61)</f>
        <v>1.502493082831312E-2</v>
      </c>
      <c r="AE61" s="498">
        <f>AE27/$E$55</f>
        <v>4.3393578279159141E-3</v>
      </c>
      <c r="AF61" s="499">
        <f>AF27/$E$55</f>
        <v>3.5197708150429786E-3</v>
      </c>
      <c r="AG61" s="500">
        <f>SUM(AE61:AF61)</f>
        <v>7.8591286429588927E-3</v>
      </c>
      <c r="AH61" s="498">
        <f>AH27/$E$55</f>
        <v>2.9314497631971709E-3</v>
      </c>
      <c r="AI61" s="499">
        <f>AI27/$E$55</f>
        <v>2.15184107363118E-3</v>
      </c>
      <c r="AJ61" s="500">
        <f>SUM(AH61:AI61)</f>
        <v>5.0832908368283504E-3</v>
      </c>
      <c r="AK61" s="531">
        <f>AK27/$E$55</f>
        <v>2.0440039252160331E-3</v>
      </c>
      <c r="AL61" s="499">
        <f>AL27/$E$55</f>
        <v>1.2860480503691352E-3</v>
      </c>
      <c r="AM61" s="532">
        <f>SUM(AK61:AL61)</f>
        <v>3.3300519755851683E-3</v>
      </c>
      <c r="AO61" s="624" t="s">
        <v>3001</v>
      </c>
      <c r="AP61" s="606">
        <f>AP27/$E$55</f>
        <v>1.8599116255274276E-2</v>
      </c>
      <c r="AQ61" s="607">
        <f t="shared" ref="AQ61:BA61" si="44">AQ27/$E$55</f>
        <v>8.0766122513959236E-3</v>
      </c>
      <c r="AR61" s="608">
        <f t="shared" si="44"/>
        <v>2.6675728506670198E-2</v>
      </c>
      <c r="AS61" s="609">
        <f t="shared" si="44"/>
        <v>9.3135839932755107E-3</v>
      </c>
      <c r="AT61" s="607">
        <f t="shared" si="44"/>
        <v>3.9439601437808742E-3</v>
      </c>
      <c r="AU61" s="608">
        <f t="shared" si="44"/>
        <v>1.3257544137056387E-2</v>
      </c>
      <c r="AV61" s="609">
        <f t="shared" si="44"/>
        <v>6.3880593343530953E-3</v>
      </c>
      <c r="AW61" s="607">
        <f t="shared" si="44"/>
        <v>2.2785561466958071E-3</v>
      </c>
      <c r="AX61" s="608">
        <f t="shared" si="44"/>
        <v>8.6666154810489029E-3</v>
      </c>
      <c r="AY61" s="609">
        <f t="shared" si="44"/>
        <v>4.6338244998068876E-3</v>
      </c>
      <c r="AZ61" s="607">
        <f t="shared" si="44"/>
        <v>1.3843236606073523E-3</v>
      </c>
      <c r="BA61" s="619">
        <f t="shared" si="44"/>
        <v>6.0181481604142401E-3</v>
      </c>
    </row>
    <row r="62" spans="2:53" s="421" customFormat="1" ht="12.75" customHeight="1" x14ac:dyDescent="0.25">
      <c r="B62" s="678" t="s">
        <v>3002</v>
      </c>
      <c r="C62" s="680">
        <f>SUMIFS('Analysis Data'!$F:$F,'Analysis Data'!$R:$R,$C$60,'Analysis Data'!$S:$S,"&gt;15000000",'Analysis Data'!$S:$S,"&lt;=30000000")</f>
        <v>2035892824.49</v>
      </c>
      <c r="D62" s="677">
        <f>SUMIFS('Analysis Data'!$F:$F,'Analysis Data'!$R:$R,$D$60,'Analysis Data'!$S:$S,"&gt;15000000",'Analysis Data'!$S:$S,"&lt;=30000000")</f>
        <v>2506297179.0200005</v>
      </c>
      <c r="E62" s="455">
        <f t="shared" ref="E62" si="45">C62+D62</f>
        <v>4542190003.5100002</v>
      </c>
      <c r="F62" s="652">
        <f>COUNTIFS('Analysis Data'!$R:$R,$F$9,'Analysis Data'!$S:$S,"&gt;15000000",'Analysis Data'!$S:$S,"&lt;=30000000")</f>
        <v>149</v>
      </c>
      <c r="G62" s="653">
        <f>COUNTIFS('Analysis Data'!$R:$R,$G$9,'Analysis Data'!$S:$S,"&gt;15000000",'Analysis Data'!$S:$S,"&lt;=30000000")</f>
        <v>163</v>
      </c>
      <c r="H62" s="654">
        <f>SUM(F62:G62)</f>
        <v>312</v>
      </c>
      <c r="I62" s="655">
        <f t="shared" si="43"/>
        <v>0.11569718045628945</v>
      </c>
      <c r="J62" s="656">
        <f t="shared" si="43"/>
        <v>0.14242965715585018</v>
      </c>
      <c r="K62" s="651">
        <f t="shared" si="43"/>
        <v>0.25812683761213961</v>
      </c>
      <c r="AA62" s="422" t="s">
        <v>1281</v>
      </c>
      <c r="AB62" s="498">
        <f t="shared" ref="AB62:AC71" si="46">AB28/$E$55</f>
        <v>1.9712431991280883E-2</v>
      </c>
      <c r="AC62" s="499">
        <f t="shared" si="46"/>
        <v>1.7182450817958848E-2</v>
      </c>
      <c r="AD62" s="500">
        <f t="shared" ref="AD62:AD71" si="47">SUM(AB62:AC62)</f>
        <v>3.6894882809239735E-2</v>
      </c>
      <c r="AE62" s="498">
        <f t="shared" ref="AE62:AF62" si="48">AE28/$E$55</f>
        <v>8.0065616619509929E-3</v>
      </c>
      <c r="AF62" s="499">
        <f t="shared" si="48"/>
        <v>6.2616162628575302E-3</v>
      </c>
      <c r="AG62" s="500">
        <f t="shared" ref="AG62:AG71" si="49">SUM(AE62:AF62)</f>
        <v>1.4268177924808523E-2</v>
      </c>
      <c r="AH62" s="498">
        <f t="shared" ref="AH62:AI62" si="50">AH28/$E$55</f>
        <v>7.3051639396449616E-3</v>
      </c>
      <c r="AI62" s="499">
        <f t="shared" si="50"/>
        <v>4.0586706120552497E-3</v>
      </c>
      <c r="AJ62" s="500">
        <f t="shared" ref="AJ62:AJ71" si="51">SUM(AH62:AI62)</f>
        <v>1.1363834551700211E-2</v>
      </c>
      <c r="AK62" s="531">
        <f t="shared" ref="AK62:AL62" si="52">AK28/$E$55</f>
        <v>3.8726835588382951E-3</v>
      </c>
      <c r="AL62" s="499">
        <f t="shared" si="52"/>
        <v>1.5502615873593806E-3</v>
      </c>
      <c r="AM62" s="532">
        <f t="shared" ref="AM62:AM71" si="53">SUM(AK62:AL62)</f>
        <v>5.4229451461976757E-3</v>
      </c>
      <c r="AO62" s="625" t="s">
        <v>3002</v>
      </c>
      <c r="AP62" s="604">
        <f>AP28/$E$55</f>
        <v>2.5594595184300937E-2</v>
      </c>
      <c r="AQ62" s="603">
        <f t="shared" ref="AQ62:BA62" si="54">AQ28/$E$55</f>
        <v>1.9178527826775153E-2</v>
      </c>
      <c r="AR62" s="601">
        <f t="shared" si="54"/>
        <v>4.4773123011076089E-2</v>
      </c>
      <c r="AS62" s="602">
        <f t="shared" si="54"/>
        <v>8.0065616619509929E-3</v>
      </c>
      <c r="AT62" s="603">
        <f t="shared" si="54"/>
        <v>7.0055591952008119E-3</v>
      </c>
      <c r="AU62" s="601">
        <f t="shared" si="54"/>
        <v>1.5012120857151805E-2</v>
      </c>
      <c r="AV62" s="602">
        <f t="shared" si="54"/>
        <v>7.3051639396449616E-3</v>
      </c>
      <c r="AW62" s="603">
        <f t="shared" si="54"/>
        <v>4.2645925353252019E-3</v>
      </c>
      <c r="AX62" s="601">
        <f t="shared" si="54"/>
        <v>1.1569756474970163E-2</v>
      </c>
      <c r="AY62" s="602">
        <f t="shared" si="54"/>
        <v>3.8726835588382951E-3</v>
      </c>
      <c r="AZ62" s="603">
        <f t="shared" si="54"/>
        <v>1.8283733006308808E-2</v>
      </c>
      <c r="BA62" s="618">
        <f t="shared" si="54"/>
        <v>2.2156416565147104E-2</v>
      </c>
    </row>
    <row r="63" spans="2:53" s="421" customFormat="1" ht="12.75" customHeight="1" thickBot="1" x14ac:dyDescent="0.3">
      <c r="B63" s="678" t="s">
        <v>3003</v>
      </c>
      <c r="C63" s="680">
        <f>SUMIFS('Analysis Data'!$F:$F,'Analysis Data'!$R:$R,$C$60,'Analysis Data'!$S:$S,"&gt;30000000")</f>
        <v>3038540689.8200011</v>
      </c>
      <c r="D63" s="677">
        <f>SUMIFS('Analysis Data'!$F:$F,'Analysis Data'!$R:$R,$D$60,'Analysis Data'!$S:$S,"&gt;30000000")</f>
        <v>6671044367.2499971</v>
      </c>
      <c r="E63" s="455">
        <f t="shared" ref="E63" si="55">C63+D63</f>
        <v>9709585057.0699978</v>
      </c>
      <c r="F63" s="652">
        <f>COUNTIFS('Analysis Data'!$R:$R,$F$9,'Analysis Data'!$S:$S,"&gt;30000000")</f>
        <v>118</v>
      </c>
      <c r="G63" s="653">
        <f>COUNTIFS('Analysis Data'!$R:$R,$G$9,'Analysis Data'!$S:$S,"&gt;30000000")</f>
        <v>212</v>
      </c>
      <c r="H63" s="654">
        <f>SUM(F63:G63)</f>
        <v>330</v>
      </c>
      <c r="I63" s="655">
        <f t="shared" si="43"/>
        <v>0.1726763738665604</v>
      </c>
      <c r="J63" s="656">
        <f t="shared" si="43"/>
        <v>0.37910690322462365</v>
      </c>
      <c r="K63" s="651">
        <f t="shared" si="43"/>
        <v>0.55178327709118402</v>
      </c>
      <c r="AA63" s="422" t="s">
        <v>1283</v>
      </c>
      <c r="AB63" s="498">
        <f t="shared" si="46"/>
        <v>2.4849233963988245E-2</v>
      </c>
      <c r="AC63" s="499">
        <f t="shared" si="46"/>
        <v>6.553863124188905E-2</v>
      </c>
      <c r="AD63" s="500">
        <f t="shared" si="47"/>
        <v>9.0387865205877299E-2</v>
      </c>
      <c r="AE63" s="498">
        <f t="shared" ref="AE63:AF63" si="56">AE29/$E$55</f>
        <v>1.0865835547896677E-2</v>
      </c>
      <c r="AF63" s="499">
        <f t="shared" si="56"/>
        <v>2.7380565828655459E-2</v>
      </c>
      <c r="AG63" s="500">
        <f t="shared" si="49"/>
        <v>3.8246401376552136E-2</v>
      </c>
      <c r="AH63" s="498">
        <f t="shared" ref="AH63:AI63" si="57">AH29/$E$55</f>
        <v>9.8728731048280914E-3</v>
      </c>
      <c r="AI63" s="499">
        <f t="shared" si="57"/>
        <v>1.7736699719989719E-2</v>
      </c>
      <c r="AJ63" s="500">
        <f t="shared" si="51"/>
        <v>2.760957282481781E-2</v>
      </c>
      <c r="AK63" s="531">
        <f t="shared" ref="AK63:AL63" si="58">AK29/$E$55</f>
        <v>8.3212381366893316E-3</v>
      </c>
      <c r="AL63" s="499">
        <f t="shared" si="58"/>
        <v>7.4056579543866213E-3</v>
      </c>
      <c r="AM63" s="532">
        <f t="shared" si="53"/>
        <v>1.5726896091075953E-2</v>
      </c>
      <c r="AO63" s="625" t="s">
        <v>3003</v>
      </c>
      <c r="AP63" s="604">
        <f t="shared" ref="AP63:BA63" si="59">AP29/$E$55</f>
        <v>3.366189277283934E-2</v>
      </c>
      <c r="AQ63" s="603">
        <f t="shared" si="59"/>
        <v>0.10670433348077552</v>
      </c>
      <c r="AR63" s="601">
        <f t="shared" si="59"/>
        <v>0.14036622625361486</v>
      </c>
      <c r="AS63" s="602">
        <f t="shared" si="59"/>
        <v>1.4401300935421598E-2</v>
      </c>
      <c r="AT63" s="603">
        <f t="shared" si="59"/>
        <v>3.8066647814902668E-2</v>
      </c>
      <c r="AU63" s="601">
        <f t="shared" si="59"/>
        <v>5.2467948750324268E-2</v>
      </c>
      <c r="AV63" s="602">
        <f t="shared" si="59"/>
        <v>1.1330136804827274E-2</v>
      </c>
      <c r="AW63" s="603">
        <f t="shared" si="59"/>
        <v>2.2073230703316599E-2</v>
      </c>
      <c r="AX63" s="601">
        <f t="shared" si="59"/>
        <v>3.3403367508143871E-2</v>
      </c>
      <c r="AY63" s="602">
        <f t="shared" si="59"/>
        <v>8.3212381366893316E-3</v>
      </c>
      <c r="AZ63" s="603">
        <f t="shared" si="59"/>
        <v>1.1742188937713503E-2</v>
      </c>
      <c r="BA63" s="618">
        <f t="shared" si="59"/>
        <v>2.0063427074402833E-2</v>
      </c>
    </row>
    <row r="64" spans="2:53" s="421" customFormat="1" ht="12.75" customHeight="1" thickBot="1" x14ac:dyDescent="0.3">
      <c r="B64" s="459" t="s">
        <v>2900</v>
      </c>
      <c r="C64" s="679">
        <f t="shared" ref="C64:H64" si="60">SUM(C61:C63)</f>
        <v>6979390267.6599998</v>
      </c>
      <c r="D64" s="461">
        <f t="shared" si="60"/>
        <v>10617346458.859997</v>
      </c>
      <c r="E64" s="462">
        <f t="shared" si="60"/>
        <v>17596736726.519997</v>
      </c>
      <c r="F64" s="657">
        <f t="shared" si="60"/>
        <v>811</v>
      </c>
      <c r="G64" s="658">
        <f t="shared" si="60"/>
        <v>680</v>
      </c>
      <c r="H64" s="659">
        <f t="shared" si="60"/>
        <v>1491</v>
      </c>
      <c r="I64" s="660">
        <f>C64/$E$64</f>
        <v>0.39662980563557437</v>
      </c>
      <c r="J64" s="661">
        <f>D64/$E$64</f>
        <v>0.60337019436442563</v>
      </c>
      <c r="K64" s="668">
        <f>SUM(K61:K63)</f>
        <v>1</v>
      </c>
      <c r="AA64" s="422" t="s">
        <v>1279</v>
      </c>
      <c r="AB64" s="498">
        <f t="shared" si="46"/>
        <v>2.256710922437797E-3</v>
      </c>
      <c r="AC64" s="499">
        <f t="shared" si="46"/>
        <v>5.5130072699101688E-4</v>
      </c>
      <c r="AD64" s="500">
        <f t="shared" si="47"/>
        <v>2.8080116494288137E-3</v>
      </c>
      <c r="AE64" s="498">
        <f t="shared" ref="AE64:AF64" si="61">AE30/$E$55</f>
        <v>1.3768959658005638E-3</v>
      </c>
      <c r="AF64" s="499">
        <f t="shared" si="61"/>
        <v>1.5468462376309604E-4</v>
      </c>
      <c r="AG64" s="500">
        <f t="shared" si="49"/>
        <v>1.5315805895636599E-3</v>
      </c>
      <c r="AH64" s="498">
        <f t="shared" ref="AH64:AI64" si="62">AH30/$E$55</f>
        <v>1.1263309190805649E-3</v>
      </c>
      <c r="AI64" s="499">
        <f t="shared" si="62"/>
        <v>7.5227112309123606E-5</v>
      </c>
      <c r="AJ64" s="500">
        <f t="shared" si="51"/>
        <v>1.2015580313896885E-3</v>
      </c>
      <c r="AK64" s="531">
        <f t="shared" ref="AK64:AL64" si="63">AK30/$E$55</f>
        <v>1.0091838535741941E-3</v>
      </c>
      <c r="AL64" s="499">
        <f t="shared" si="63"/>
        <v>4.678764948271299E-5</v>
      </c>
      <c r="AM64" s="532">
        <f t="shared" si="53"/>
        <v>1.0559715030569071E-3</v>
      </c>
      <c r="AO64" s="626" t="s">
        <v>2900</v>
      </c>
      <c r="AP64" s="605">
        <f t="shared" ref="AP64:BA64" si="64">AP30/$E$55</f>
        <v>7.7855604212414553E-2</v>
      </c>
      <c r="AQ64" s="600">
        <f t="shared" si="64"/>
        <v>0.13395947355894658</v>
      </c>
      <c r="AR64" s="598">
        <f t="shared" si="64"/>
        <v>0.21181507777136113</v>
      </c>
      <c r="AS64" s="599">
        <f t="shared" si="64"/>
        <v>3.17214465906481E-2</v>
      </c>
      <c r="AT64" s="600">
        <f t="shared" si="64"/>
        <v>4.9016167153884356E-2</v>
      </c>
      <c r="AU64" s="598">
        <f t="shared" si="64"/>
        <v>8.0737613744532463E-2</v>
      </c>
      <c r="AV64" s="599">
        <f t="shared" si="64"/>
        <v>2.502336007882533E-2</v>
      </c>
      <c r="AW64" s="600">
        <f t="shared" si="64"/>
        <v>2.8616379385337606E-2</v>
      </c>
      <c r="AX64" s="598">
        <f t="shared" si="64"/>
        <v>5.3639739464162936E-2</v>
      </c>
      <c r="AY64" s="599">
        <f t="shared" si="64"/>
        <v>1.6827746195334514E-2</v>
      </c>
      <c r="AZ64" s="600">
        <f t="shared" si="64"/>
        <v>3.1410245604629662E-2</v>
      </c>
      <c r="BA64" s="535">
        <f t="shared" si="64"/>
        <v>4.8237991799964179E-2</v>
      </c>
    </row>
    <row r="65" spans="2:53" s="421" customFormat="1" ht="12.75" customHeight="1" thickBot="1" x14ac:dyDescent="0.3">
      <c r="B65" s="423" t="s">
        <v>315</v>
      </c>
      <c r="C65" s="487">
        <f>C64/E64</f>
        <v>0.39662980563557437</v>
      </c>
      <c r="D65" s="488">
        <f>D64/E64</f>
        <v>0.60337019436442563</v>
      </c>
      <c r="E65" s="489">
        <f>C65+D65</f>
        <v>1</v>
      </c>
      <c r="F65" s="487">
        <f>F64/H64</f>
        <v>0.54393024815560032</v>
      </c>
      <c r="G65" s="488">
        <f>G64/H64</f>
        <v>0.45606975184439974</v>
      </c>
      <c r="H65" s="489">
        <f>F65+G65</f>
        <v>1</v>
      </c>
      <c r="I65" s="425" t="s">
        <v>2903</v>
      </c>
      <c r="J65" s="426" t="s">
        <v>2903</v>
      </c>
      <c r="K65" s="427" t="s">
        <v>2903</v>
      </c>
      <c r="AA65" s="422" t="s">
        <v>1866</v>
      </c>
      <c r="AB65" s="498">
        <f t="shared" si="46"/>
        <v>1.3893427145019815E-3</v>
      </c>
      <c r="AC65" s="499">
        <f t="shared" si="46"/>
        <v>1.2136229433844243E-3</v>
      </c>
      <c r="AD65" s="500">
        <f t="shared" si="47"/>
        <v>2.6029656578864056E-3</v>
      </c>
      <c r="AE65" s="498">
        <f t="shared" ref="AE65:AF65" si="65">AE31/$E$55</f>
        <v>1.2063731667933061E-3</v>
      </c>
      <c r="AF65" s="499">
        <f t="shared" si="65"/>
        <v>2.8582843388341605E-5</v>
      </c>
      <c r="AG65" s="500">
        <f t="shared" si="49"/>
        <v>1.2349560101816478E-3</v>
      </c>
      <c r="AH65" s="498">
        <f t="shared" ref="AH65:AI65" si="66">AH31/$E$55</f>
        <v>1.2063731667933061E-3</v>
      </c>
      <c r="AI65" s="499">
        <f t="shared" si="66"/>
        <v>0</v>
      </c>
      <c r="AJ65" s="500">
        <f t="shared" si="51"/>
        <v>1.2063731667933061E-3</v>
      </c>
      <c r="AK65" s="531">
        <f t="shared" ref="AK65:AL65" si="67">AK31/$E$55</f>
        <v>8.8424418867106462E-4</v>
      </c>
      <c r="AL65" s="499">
        <f t="shared" si="67"/>
        <v>0</v>
      </c>
      <c r="AM65" s="532">
        <f t="shared" si="53"/>
        <v>8.8424418867106462E-4</v>
      </c>
      <c r="AO65" s="911" t="s">
        <v>3087</v>
      </c>
      <c r="AP65" s="911"/>
      <c r="AQ65" s="911"/>
      <c r="AR65" s="911"/>
      <c r="AS65" s="911"/>
      <c r="AT65" s="911"/>
      <c r="AU65" s="911"/>
      <c r="AV65" s="911"/>
      <c r="AW65" s="911"/>
      <c r="AX65" s="911"/>
      <c r="AY65" s="911"/>
      <c r="AZ65" s="911"/>
      <c r="BA65" s="911"/>
    </row>
    <row r="66" spans="2:53" s="421" customFormat="1" ht="12.75" customHeight="1" x14ac:dyDescent="0.25">
      <c r="AA66" s="422" t="s">
        <v>1867</v>
      </c>
      <c r="AB66" s="498">
        <f t="shared" si="46"/>
        <v>2.7305185641373297E-4</v>
      </c>
      <c r="AC66" s="499">
        <f t="shared" si="46"/>
        <v>0</v>
      </c>
      <c r="AD66" s="500">
        <f t="shared" si="47"/>
        <v>2.7305185641373297E-4</v>
      </c>
      <c r="AE66" s="498">
        <f t="shared" ref="AE66:AF66" si="68">AE32/$E$55</f>
        <v>2.7305185641373297E-4</v>
      </c>
      <c r="AF66" s="499">
        <f t="shared" si="68"/>
        <v>0</v>
      </c>
      <c r="AG66" s="500">
        <f t="shared" si="49"/>
        <v>2.7305185641373297E-4</v>
      </c>
      <c r="AH66" s="498">
        <f t="shared" ref="AH66:AI66" si="69">AH32/$E$55</f>
        <v>2.7305185641373297E-4</v>
      </c>
      <c r="AI66" s="499">
        <f t="shared" si="69"/>
        <v>0</v>
      </c>
      <c r="AJ66" s="500">
        <f t="shared" si="51"/>
        <v>2.7305185641373297E-4</v>
      </c>
      <c r="AK66" s="531">
        <f t="shared" ref="AK66:AL66" si="70">AK32/$E$55</f>
        <v>2.7305185641373297E-4</v>
      </c>
      <c r="AL66" s="499">
        <f t="shared" si="70"/>
        <v>0</v>
      </c>
      <c r="AM66" s="532">
        <f t="shared" si="53"/>
        <v>2.7305185641373297E-4</v>
      </c>
      <c r="AO66" s="912"/>
      <c r="AP66" s="912"/>
      <c r="AQ66" s="912"/>
      <c r="AR66" s="912"/>
      <c r="AS66" s="912"/>
      <c r="AT66" s="912"/>
      <c r="AU66" s="912"/>
      <c r="AV66" s="912"/>
      <c r="AW66" s="912"/>
      <c r="AX66" s="912"/>
      <c r="AY66" s="912"/>
      <c r="AZ66" s="912"/>
      <c r="BA66" s="912"/>
    </row>
    <row r="67" spans="2:53" s="421" customFormat="1" ht="12.75" customHeight="1" x14ac:dyDescent="0.25">
      <c r="AA67" s="422" t="s">
        <v>1841</v>
      </c>
      <c r="AB67" s="498">
        <f t="shared" si="46"/>
        <v>0</v>
      </c>
      <c r="AC67" s="499">
        <f t="shared" si="46"/>
        <v>6.9910000713142859E-3</v>
      </c>
      <c r="AD67" s="500">
        <f t="shared" si="47"/>
        <v>6.9910000713142859E-3</v>
      </c>
      <c r="AE67" s="498">
        <f t="shared" ref="AE67:AF67" si="71">AE33/$E$55</f>
        <v>0</v>
      </c>
      <c r="AF67" s="499">
        <f t="shared" si="71"/>
        <v>2.4393802781232524E-3</v>
      </c>
      <c r="AG67" s="500">
        <f t="shared" si="49"/>
        <v>2.4393802781232524E-3</v>
      </c>
      <c r="AH67" s="498">
        <f t="shared" ref="AH67:AI67" si="72">AH33/$E$55</f>
        <v>0</v>
      </c>
      <c r="AI67" s="499">
        <f t="shared" si="72"/>
        <v>1.9013592690499232E-3</v>
      </c>
      <c r="AJ67" s="500">
        <f t="shared" si="51"/>
        <v>1.9013592690499232E-3</v>
      </c>
      <c r="AK67" s="531">
        <f t="shared" ref="AK67:AL67" si="73">AK33/$E$55</f>
        <v>0</v>
      </c>
      <c r="AL67" s="499">
        <f t="shared" si="73"/>
        <v>1.9013592690499232E-3</v>
      </c>
      <c r="AM67" s="532">
        <f t="shared" si="53"/>
        <v>1.9013592690499232E-3</v>
      </c>
    </row>
    <row r="68" spans="2:53" s="421" customFormat="1" ht="12.75" customHeight="1" x14ac:dyDescent="0.25">
      <c r="AA68" s="422" t="s">
        <v>1284</v>
      </c>
      <c r="AB68" s="498">
        <f t="shared" si="46"/>
        <v>2.0089289629322698E-2</v>
      </c>
      <c r="AC68" s="499">
        <f t="shared" si="46"/>
        <v>3.0797333011935948E-2</v>
      </c>
      <c r="AD68" s="500">
        <f t="shared" si="47"/>
        <v>5.088662264125865E-2</v>
      </c>
      <c r="AE68" s="498">
        <f t="shared" ref="AE68:AF68" si="74">AE34/$E$55</f>
        <v>5.653370563876917E-3</v>
      </c>
      <c r="AF68" s="499">
        <f t="shared" si="74"/>
        <v>9.0421326012227396E-3</v>
      </c>
      <c r="AG68" s="500">
        <f t="shared" si="49"/>
        <v>1.4695503165099657E-2</v>
      </c>
      <c r="AH68" s="498">
        <f t="shared" ref="AH68:AI68" si="75">AH34/$E$55</f>
        <v>2.308117328867502E-3</v>
      </c>
      <c r="AI68" s="499">
        <f t="shared" si="75"/>
        <v>2.692581598302414E-3</v>
      </c>
      <c r="AJ68" s="500">
        <f t="shared" si="51"/>
        <v>5.000698927169916E-3</v>
      </c>
      <c r="AK68" s="531">
        <f t="shared" ref="AK68:AL68" si="76">AK34/$E$55</f>
        <v>4.2334067593186221E-4</v>
      </c>
      <c r="AL68" s="499">
        <f t="shared" si="76"/>
        <v>2.4866596750324618E-3</v>
      </c>
      <c r="AM68" s="532">
        <f t="shared" si="53"/>
        <v>2.9100003509643238E-3</v>
      </c>
    </row>
    <row r="69" spans="2:53" s="421" customFormat="1" ht="12.75" customHeight="1" x14ac:dyDescent="0.25">
      <c r="AA69" s="422" t="s">
        <v>1850</v>
      </c>
      <c r="AB69" s="498">
        <f t="shared" si="46"/>
        <v>0</v>
      </c>
      <c r="AC69" s="499">
        <f t="shared" si="46"/>
        <v>5.9457470516291128E-3</v>
      </c>
      <c r="AD69" s="500">
        <f t="shared" si="47"/>
        <v>5.9457470516291128E-3</v>
      </c>
      <c r="AE69" s="498">
        <f t="shared" ref="AE69:AF69" si="77">AE35/$E$55</f>
        <v>0</v>
      </c>
      <c r="AF69" s="499">
        <f t="shared" si="77"/>
        <v>1.8943390083095427E-4</v>
      </c>
      <c r="AG69" s="500">
        <f t="shared" si="49"/>
        <v>1.8943390083095427E-4</v>
      </c>
      <c r="AH69" s="498">
        <f t="shared" ref="AH69:AI69" si="78">AH35/$E$55</f>
        <v>0</v>
      </c>
      <c r="AI69" s="499">
        <f t="shared" si="78"/>
        <v>0</v>
      </c>
      <c r="AJ69" s="500">
        <f t="shared" si="51"/>
        <v>0</v>
      </c>
      <c r="AK69" s="531">
        <f t="shared" ref="AK69:AL69" si="79">AK35/$E$55</f>
        <v>0</v>
      </c>
      <c r="AL69" s="499">
        <f t="shared" si="79"/>
        <v>0</v>
      </c>
      <c r="AM69" s="532">
        <f t="shared" si="53"/>
        <v>0</v>
      </c>
    </row>
    <row r="70" spans="2:53" s="421" customFormat="1" ht="12.75" customHeight="1" x14ac:dyDescent="0.25">
      <c r="AA70" s="422" t="s">
        <v>1286</v>
      </c>
      <c r="AB70" s="498">
        <f t="shared" si="46"/>
        <v>0</v>
      </c>
      <c r="AC70" s="499">
        <f t="shared" si="46"/>
        <v>0</v>
      </c>
      <c r="AD70" s="500">
        <f t="shared" si="47"/>
        <v>0</v>
      </c>
      <c r="AE70" s="498">
        <f t="shared" ref="AE70:AF70" si="80">AE36/$E$55</f>
        <v>0</v>
      </c>
      <c r="AF70" s="499">
        <f t="shared" si="80"/>
        <v>0</v>
      </c>
      <c r="AG70" s="500">
        <f t="shared" si="49"/>
        <v>0</v>
      </c>
      <c r="AH70" s="498">
        <f t="shared" ref="AH70:AI70" si="81">AH36/$E$55</f>
        <v>0</v>
      </c>
      <c r="AI70" s="499">
        <f t="shared" si="81"/>
        <v>0</v>
      </c>
      <c r="AJ70" s="500">
        <f t="shared" si="51"/>
        <v>0</v>
      </c>
      <c r="AK70" s="531">
        <f t="shared" ref="AK70:AL70" si="82">AK36/$E$55</f>
        <v>0</v>
      </c>
      <c r="AL70" s="499">
        <f t="shared" si="82"/>
        <v>0</v>
      </c>
      <c r="AM70" s="532">
        <f t="shared" si="53"/>
        <v>0</v>
      </c>
    </row>
    <row r="71" spans="2:53" s="421" customFormat="1" ht="12.75" customHeight="1" thickBot="1" x14ac:dyDescent="0.3">
      <c r="AA71" s="428" t="s">
        <v>1285</v>
      </c>
      <c r="AB71" s="498">
        <f t="shared" si="46"/>
        <v>0</v>
      </c>
      <c r="AC71" s="499">
        <f t="shared" si="46"/>
        <v>0</v>
      </c>
      <c r="AD71" s="500">
        <f t="shared" si="47"/>
        <v>0</v>
      </c>
      <c r="AE71" s="498">
        <f t="shared" ref="AE71:AF71" si="83">AE37/$E$55</f>
        <v>0</v>
      </c>
      <c r="AF71" s="499">
        <f t="shared" si="83"/>
        <v>0</v>
      </c>
      <c r="AG71" s="500">
        <f t="shared" si="49"/>
        <v>0</v>
      </c>
      <c r="AH71" s="498">
        <f t="shared" ref="AH71:AI71" si="84">AH37/$E$55</f>
        <v>0</v>
      </c>
      <c r="AI71" s="499">
        <f t="shared" si="84"/>
        <v>0</v>
      </c>
      <c r="AJ71" s="500">
        <f t="shared" si="51"/>
        <v>0</v>
      </c>
      <c r="AK71" s="531">
        <f t="shared" ref="AK71:AL71" si="85">AK37/$E$55</f>
        <v>0</v>
      </c>
      <c r="AL71" s="499">
        <f t="shared" si="85"/>
        <v>0</v>
      </c>
      <c r="AM71" s="532">
        <f t="shared" si="53"/>
        <v>0</v>
      </c>
    </row>
    <row r="72" spans="2:53" s="421" customFormat="1" ht="13.8" thickBot="1" x14ac:dyDescent="0.3">
      <c r="AA72" s="484" t="s">
        <v>2900</v>
      </c>
      <c r="AB72" s="501">
        <f t="shared" ref="AB72:AM72" si="86">SUM(AB61:AB71)</f>
        <v>7.7855604212414539E-2</v>
      </c>
      <c r="AC72" s="502">
        <f t="shared" si="86"/>
        <v>0.13395947355894658</v>
      </c>
      <c r="AD72" s="503">
        <f t="shared" si="86"/>
        <v>0.21181507777136116</v>
      </c>
      <c r="AE72" s="501">
        <f t="shared" si="86"/>
        <v>3.17214465906481E-2</v>
      </c>
      <c r="AF72" s="502">
        <f t="shared" si="86"/>
        <v>4.9016167153884356E-2</v>
      </c>
      <c r="AG72" s="503">
        <f>SUM(AG61:AG71)</f>
        <v>8.0737613744532449E-2</v>
      </c>
      <c r="AH72" s="501">
        <f t="shared" si="86"/>
        <v>2.5023360078825326E-2</v>
      </c>
      <c r="AI72" s="502">
        <f t="shared" si="86"/>
        <v>2.861637938533761E-2</v>
      </c>
      <c r="AJ72" s="503">
        <f t="shared" si="86"/>
        <v>5.3639739464162943E-2</v>
      </c>
      <c r="AK72" s="501">
        <f t="shared" si="86"/>
        <v>1.6827746195334514E-2</v>
      </c>
      <c r="AL72" s="502">
        <f t="shared" si="86"/>
        <v>1.4676774185680235E-2</v>
      </c>
      <c r="AM72" s="533">
        <f t="shared" si="86"/>
        <v>3.1504520381014749E-2</v>
      </c>
    </row>
    <row r="73" spans="2:53" s="421" customFormat="1" x14ac:dyDescent="0.25">
      <c r="AA73" s="921" t="s">
        <v>3014</v>
      </c>
      <c r="AB73" s="921"/>
      <c r="AC73" s="921"/>
      <c r="AD73" s="921"/>
      <c r="AE73" s="921"/>
      <c r="AF73" s="921"/>
      <c r="AG73" s="921"/>
      <c r="AH73" s="921"/>
      <c r="AI73" s="921"/>
      <c r="AJ73" s="921"/>
      <c r="AK73" s="921"/>
      <c r="AL73" s="921"/>
      <c r="AM73" s="921"/>
    </row>
    <row r="74" spans="2:53" ht="13.8" thickBot="1" x14ac:dyDescent="0.3">
      <c r="AA74" s="922"/>
      <c r="AB74" s="922"/>
      <c r="AC74" s="922"/>
      <c r="AD74" s="922"/>
      <c r="AE74" s="922"/>
      <c r="AF74" s="922"/>
      <c r="AG74" s="922"/>
      <c r="AH74" s="922"/>
      <c r="AI74" s="922"/>
      <c r="AJ74" s="922"/>
      <c r="AK74" s="922"/>
      <c r="AL74" s="922"/>
      <c r="AM74" s="922"/>
    </row>
    <row r="75" spans="2:53" ht="16.2" thickBot="1" x14ac:dyDescent="0.3">
      <c r="AA75" s="884" t="s">
        <v>3082</v>
      </c>
      <c r="AB75" s="885"/>
      <c r="AC75" s="885"/>
      <c r="AD75" s="885"/>
      <c r="AE75" s="885"/>
      <c r="AF75" s="885"/>
      <c r="AG75" s="885"/>
      <c r="AH75" s="886">
        <f>H3</f>
        <v>43008</v>
      </c>
      <c r="AI75" s="886"/>
      <c r="AJ75" s="886"/>
      <c r="AK75" s="886"/>
      <c r="AL75" s="886"/>
      <c r="AM75" s="887"/>
    </row>
    <row r="76" spans="2:53" ht="13.8" thickBot="1" x14ac:dyDescent="0.3">
      <c r="AA76" s="914" t="s">
        <v>2902</v>
      </c>
      <c r="AB76" s="916" t="s">
        <v>1202</v>
      </c>
      <c r="AC76" s="917"/>
      <c r="AD76" s="918"/>
      <c r="AE76" s="916" t="s">
        <v>1203</v>
      </c>
      <c r="AF76" s="917"/>
      <c r="AG76" s="918"/>
      <c r="AH76" s="916" t="s">
        <v>2901</v>
      </c>
      <c r="AI76" s="917"/>
      <c r="AJ76" s="918"/>
      <c r="AK76" s="919" t="s">
        <v>1204</v>
      </c>
      <c r="AL76" s="917"/>
      <c r="AM76" s="920"/>
    </row>
    <row r="77" spans="2:53" ht="13.8" thickBot="1" x14ac:dyDescent="0.3">
      <c r="AA77" s="915"/>
      <c r="AB77" s="479" t="s">
        <v>2636</v>
      </c>
      <c r="AC77" s="480" t="s">
        <v>2856</v>
      </c>
      <c r="AD77" s="481" t="s">
        <v>2900</v>
      </c>
      <c r="AE77" s="479" t="s">
        <v>2636</v>
      </c>
      <c r="AF77" s="480" t="s">
        <v>2856</v>
      </c>
      <c r="AG77" s="481" t="s">
        <v>2900</v>
      </c>
      <c r="AH77" s="479" t="s">
        <v>2636</v>
      </c>
      <c r="AI77" s="480" t="s">
        <v>2856</v>
      </c>
      <c r="AJ77" s="481" t="s">
        <v>2900</v>
      </c>
      <c r="AK77" s="482" t="s">
        <v>2636</v>
      </c>
      <c r="AL77" s="480" t="s">
        <v>2856</v>
      </c>
      <c r="AM77" s="483" t="s">
        <v>2900</v>
      </c>
    </row>
    <row r="78" spans="2:53" x14ac:dyDescent="0.25">
      <c r="AA78" s="422" t="s">
        <v>3079</v>
      </c>
      <c r="AB78" s="498">
        <f>IFERROR((SUM(AB27:AB29)+AB33)/E64,0)</f>
        <v>5.3847209089738335E-2</v>
      </c>
      <c r="AC78" s="499">
        <f>IFERROR((SUM(AC27:AC29)+AC33)/E64,0)</f>
        <v>9.5451469825006102E-2</v>
      </c>
      <c r="AD78" s="500">
        <f>IFERROR((SUM(AD27:AD29)+AD33)/E64,0)</f>
        <v>0.14929867891474444</v>
      </c>
      <c r="AE78" s="498">
        <f>IFERROR((SUM(AE27:AE29)+AE33)/E64,0)</f>
        <v>2.3211755037763585E-2</v>
      </c>
      <c r="AF78" s="499">
        <f>IFERROR((SUM(AF27:AF29)+AF33)/E64,0)</f>
        <v>3.9601333184679219E-2</v>
      </c>
      <c r="AG78" s="500">
        <f>IFERROR((SUM(AG27:AG29)+AG33)/E64,0)</f>
        <v>6.2813088222442817E-2</v>
      </c>
      <c r="AH78" s="498">
        <f>IFERROR((SUM(AH27:AH29)+AH33)/E64,0)</f>
        <v>2.0109486807670225E-2</v>
      </c>
      <c r="AI78" s="499">
        <f>IFERROR((SUM(AI27:AI29)+AI33)/(SUM($D$44:$D$46)+$D$50),0)</f>
        <v>6.8761663244287508E-2</v>
      </c>
      <c r="AJ78" s="500">
        <f>IFERROR((SUM(AJ27:AJ29)+AJ33)/(SUM($E$44:$E$46)+$E$50),0)</f>
        <v>7.4817775374563023E-2</v>
      </c>
      <c r="AK78" s="498">
        <f>IFERROR((SUM(AK27:AK29)+AK33)/(SUM($C$44:$C$46)+$C$50),0)</f>
        <v>5.9735089348808008E-2</v>
      </c>
      <c r="AL78" s="499">
        <f>IFERROR((SUM(AL27:AL29)+AL33)/(SUM($D$44:$D$46)+$D$50),0)</f>
        <v>3.2303347167631793E-2</v>
      </c>
      <c r="AM78" s="623">
        <f>IFERROR((SUM(AM27:AM29)+AM33)/(SUM($E$44:$E$46)+$E$50),0)</f>
        <v>4.2947564157756586E-2</v>
      </c>
    </row>
    <row r="79" spans="2:53" x14ac:dyDescent="0.25">
      <c r="AA79" s="422" t="s">
        <v>961</v>
      </c>
      <c r="AB79" s="498">
        <f>IFERROR(SUM(AB30:AB32)/E64,0)</f>
        <v>3.9191054933535108E-3</v>
      </c>
      <c r="AC79" s="499">
        <f>IFERROR(SUM(AC30:AC32)/E64,0)</f>
        <v>1.7649236703754412E-3</v>
      </c>
      <c r="AD79" s="500">
        <f>IFERROR(SUM(AD30:AD32)/E64,0)</f>
        <v>5.6840291637289524E-3</v>
      </c>
      <c r="AE79" s="498">
        <f>IFERROR(SUM(AE30:AE32)/E64,0)</f>
        <v>2.8563209890076031E-3</v>
      </c>
      <c r="AF79" s="499">
        <f>IFERROR(SUM(AF30:AF32)/E64,0)</f>
        <v>1.8326746715143763E-4</v>
      </c>
      <c r="AG79" s="500">
        <f>IFERROR(SUM(AG30:AG32)/E64,0)</f>
        <v>3.0395884561590408E-3</v>
      </c>
      <c r="AH79" s="498">
        <f>IFERROR(SUM(AH30:AH32)/E64,0)</f>
        <v>2.6057559422876038E-3</v>
      </c>
      <c r="AI79" s="499">
        <f>IFERROR(SUM(AI30:AI32)/SUM($D$47:$D$49),0)</f>
        <v>3.420864102012762E-3</v>
      </c>
      <c r="AJ79" s="500">
        <f>IFERROR(SUM(AJ30:AJ32)/SUM($E$47:$E$49),0)</f>
        <v>5.3659886567324983E-2</v>
      </c>
      <c r="AK79" s="498">
        <f>IFERROR(SUM(AK30:AK32)/SUM($C$47:$C$49),0)</f>
        <v>7.7452169547547703E-2</v>
      </c>
      <c r="AL79" s="499">
        <f>IFERROR(SUM(AL30:AL32)/SUM($D$47:$D$49),0)</f>
        <v>2.1276131120821625E-3</v>
      </c>
      <c r="AM79" s="534">
        <f>IFERROR(SUM(AM30:AM32)/SUM($E$47:$E$49),0)</f>
        <v>4.4298558833781865E-2</v>
      </c>
    </row>
    <row r="80" spans="2:53" x14ac:dyDescent="0.25">
      <c r="AA80" s="422" t="s">
        <v>3080</v>
      </c>
      <c r="AB80" s="498">
        <f>IFERROR((AB34+AB35)/E64,0)</f>
        <v>2.0089289629322698E-2</v>
      </c>
      <c r="AC80" s="499">
        <f>IFERROR((AC34+AC35)/E64,0)</f>
        <v>3.674308006356506E-2</v>
      </c>
      <c r="AD80" s="500">
        <f>IFERROR((AD34+AD35)/E64,0)</f>
        <v>5.6832369692887755E-2</v>
      </c>
      <c r="AE80" s="498">
        <f>IFERROR((AE34+AE35)/E64,0)</f>
        <v>5.653370563876917E-3</v>
      </c>
      <c r="AF80" s="499">
        <f>IFERROR((AF34+AF35)/E64,0)</f>
        <v>9.2315665020536938E-3</v>
      </c>
      <c r="AG80" s="500">
        <f>IFERROR((AG34+AG35)/E64,0)</f>
        <v>1.4884937065930611E-2</v>
      </c>
      <c r="AH80" s="498">
        <f>IFERROR((AH34+AH35)/E64,0)</f>
        <v>2.308117328867502E-3</v>
      </c>
      <c r="AI80" s="499">
        <f>IFERROR((AI34+AI35)/($D$51+$D$52),0)</f>
        <v>1.3104877364121458E-2</v>
      </c>
      <c r="AJ80" s="500">
        <f>IFERROR((AJ34+AJ35)/($E$51+$E$52),0)</f>
        <v>1.5848950832408084E-2</v>
      </c>
      <c r="AK80" s="498">
        <f>IFERROR((AK34+AK35)/($C$51+$C$52),0)</f>
        <v>3.8465124906805785E-3</v>
      </c>
      <c r="AL80" s="499">
        <f>IFERROR((AL34+AL35)/($D$51+$D$52),0)</f>
        <v>1.2102649036950939E-2</v>
      </c>
      <c r="AM80" s="534">
        <f>IFERROR((AM34+AM35)/($E$51+$E$52),0)</f>
        <v>9.2228012836647905E-3</v>
      </c>
    </row>
    <row r="81" spans="27:39" ht="13.8" thickBot="1" x14ac:dyDescent="0.3">
      <c r="AA81" s="422" t="s">
        <v>3081</v>
      </c>
      <c r="AB81" s="498">
        <f>IFERROR((AB36+AB37)/($C$53+$C$54),0)</f>
        <v>0</v>
      </c>
      <c r="AC81" s="499">
        <f>IFERROR((AC36+AC37)/E64,0)</f>
        <v>0</v>
      </c>
      <c r="AD81" s="500">
        <f>IFERROR((AD36+AD37)/($E$53+$E$54),0)</f>
        <v>0</v>
      </c>
      <c r="AE81" s="498">
        <f>IFERROR((AE36+AE37)/E64,0)</f>
        <v>0</v>
      </c>
      <c r="AF81" s="499">
        <f>IFERROR((AF36+AF37)/E64,0)</f>
        <v>0</v>
      </c>
      <c r="AG81" s="500">
        <f>IFERROR((AG36+AG37)/E64,0)</f>
        <v>0</v>
      </c>
      <c r="AH81" s="498">
        <f>IFERROR((AH36+AH37)/E64,0)</f>
        <v>0</v>
      </c>
      <c r="AI81" s="499">
        <f>IFERROR((AI36+AI37)/($D$53+$D$54),0)</f>
        <v>0</v>
      </c>
      <c r="AJ81" s="500">
        <f>IFERROR((AJ36+AJ37)/($E$53+$E$54),0)</f>
        <v>0</v>
      </c>
      <c r="AK81" s="498">
        <f>IFERROR((AK36+AK37)/($C$53+$C$54),0)</f>
        <v>0</v>
      </c>
      <c r="AL81" s="499">
        <f>IFERROR((AL36+AL37)/($D$53+$D$54),0)</f>
        <v>0</v>
      </c>
      <c r="AM81" s="534">
        <f>IFERROR((AM36+AM37)/($E$53+$E$54),0)</f>
        <v>0</v>
      </c>
    </row>
    <row r="82" spans="27:39" ht="13.8" thickBot="1" x14ac:dyDescent="0.3">
      <c r="AA82" s="484" t="s">
        <v>2900</v>
      </c>
      <c r="AB82" s="501">
        <f>AB21</f>
        <v>7.7855604212414539E-2</v>
      </c>
      <c r="AC82" s="502">
        <f t="shared" ref="AC82:AD82" si="87">AC21</f>
        <v>0.13395947355894666</v>
      </c>
      <c r="AD82" s="503">
        <f t="shared" si="87"/>
        <v>0.21181507777136105</v>
      </c>
      <c r="AE82" s="501">
        <f>AE21</f>
        <v>3.1721446590648107E-2</v>
      </c>
      <c r="AF82" s="502">
        <f t="shared" ref="AF82:AG82" si="88">AF21</f>
        <v>4.9016167153884335E-2</v>
      </c>
      <c r="AG82" s="503">
        <f t="shared" si="88"/>
        <v>8.0737613744532477E-2</v>
      </c>
      <c r="AH82" s="501">
        <f>AH21</f>
        <v>6.3089963798174387E-2</v>
      </c>
      <c r="AI82" s="502">
        <f t="shared" ref="AI82:AJ82" si="89">AI21</f>
        <v>4.7427565452551633E-2</v>
      </c>
      <c r="AJ82" s="503">
        <f t="shared" si="89"/>
        <v>5.3639739464162915E-2</v>
      </c>
      <c r="AK82" s="501">
        <f>AK21</f>
        <v>4.2426832164993517E-2</v>
      </c>
      <c r="AL82" s="502">
        <f t="shared" ref="AL82:AM82" si="90">AL21</f>
        <v>2.4324658928736712E-2</v>
      </c>
      <c r="AM82" s="535">
        <f t="shared" si="90"/>
        <v>3.1504520381014728E-2</v>
      </c>
    </row>
  </sheetData>
  <sheetProtection formatColumns="0"/>
  <mergeCells count="90">
    <mergeCell ref="AA73:AM74"/>
    <mergeCell ref="AH58:AM58"/>
    <mergeCell ref="AA58:AG58"/>
    <mergeCell ref="AA59:AA60"/>
    <mergeCell ref="AB59:AD59"/>
    <mergeCell ref="AE59:AG59"/>
    <mergeCell ref="AH59:AJ59"/>
    <mergeCell ref="AK59:AM59"/>
    <mergeCell ref="AA75:AG75"/>
    <mergeCell ref="AH75:AM75"/>
    <mergeCell ref="AA76:AA77"/>
    <mergeCell ref="AB76:AD76"/>
    <mergeCell ref="AE76:AG76"/>
    <mergeCell ref="AH76:AJ76"/>
    <mergeCell ref="AK76:AM76"/>
    <mergeCell ref="AY42:BA42"/>
    <mergeCell ref="AS25:AU25"/>
    <mergeCell ref="AV25:AX25"/>
    <mergeCell ref="AY25:BA25"/>
    <mergeCell ref="AO14:BA15"/>
    <mergeCell ref="AP25:AR25"/>
    <mergeCell ref="AS42:AU42"/>
    <mergeCell ref="AV42:AX42"/>
    <mergeCell ref="AO65:BA66"/>
    <mergeCell ref="AA7:AF7"/>
    <mergeCell ref="AG7:AM7"/>
    <mergeCell ref="AO7:AT7"/>
    <mergeCell ref="AU7:BA7"/>
    <mergeCell ref="AO41:AU41"/>
    <mergeCell ref="AV41:BA41"/>
    <mergeCell ref="AO24:AU24"/>
    <mergeCell ref="AV24:BA24"/>
    <mergeCell ref="AP59:AR59"/>
    <mergeCell ref="AS59:AU59"/>
    <mergeCell ref="AV59:AX59"/>
    <mergeCell ref="AY59:BA59"/>
    <mergeCell ref="AO58:AU58"/>
    <mergeCell ref="AV58:BA58"/>
    <mergeCell ref="AP42:AR42"/>
    <mergeCell ref="AY8:BA8"/>
    <mergeCell ref="AK25:AM25"/>
    <mergeCell ref="AE8:AG8"/>
    <mergeCell ref="AE25:AG25"/>
    <mergeCell ref="AH24:AM24"/>
    <mergeCell ref="AA24:AG24"/>
    <mergeCell ref="AH25:AJ25"/>
    <mergeCell ref="AK8:AM8"/>
    <mergeCell ref="AH8:AJ8"/>
    <mergeCell ref="AA8:AA9"/>
    <mergeCell ref="AA25:AA26"/>
    <mergeCell ref="AB25:AD25"/>
    <mergeCell ref="AB8:AD8"/>
    <mergeCell ref="AV8:AX8"/>
    <mergeCell ref="AP8:AR8"/>
    <mergeCell ref="AS8:AU8"/>
    <mergeCell ref="AA42:AA43"/>
    <mergeCell ref="AB42:AD42"/>
    <mergeCell ref="AE42:AG42"/>
    <mergeCell ref="AH42:AJ42"/>
    <mergeCell ref="AK42:AM42"/>
    <mergeCell ref="AH41:AM41"/>
    <mergeCell ref="AA41:AG41"/>
    <mergeCell ref="M7:P7"/>
    <mergeCell ref="R7:X7"/>
    <mergeCell ref="AA22:AM23"/>
    <mergeCell ref="T8:Y8"/>
    <mergeCell ref="N8:S8"/>
    <mergeCell ref="M8:M9"/>
    <mergeCell ref="B38:C39"/>
    <mergeCell ref="B41:F41"/>
    <mergeCell ref="G41:K41"/>
    <mergeCell ref="C42:E42"/>
    <mergeCell ref="I42:K42"/>
    <mergeCell ref="F42:H42"/>
    <mergeCell ref="B58:F58"/>
    <mergeCell ref="G58:K58"/>
    <mergeCell ref="C59:E59"/>
    <mergeCell ref="F59:H59"/>
    <mergeCell ref="I59:K59"/>
    <mergeCell ref="C25:E25"/>
    <mergeCell ref="F25:H25"/>
    <mergeCell ref="I25:K25"/>
    <mergeCell ref="B7:F7"/>
    <mergeCell ref="G7:K7"/>
    <mergeCell ref="B24:F24"/>
    <mergeCell ref="G24:K24"/>
    <mergeCell ref="F8:H8"/>
    <mergeCell ref="I8:K8"/>
    <mergeCell ref="B8:B9"/>
    <mergeCell ref="C8:E8"/>
  </mergeCells>
  <conditionalFormatting sqref="AB10:AD20">
    <cfRule type="cellIs" dxfId="15" priority="57" operator="greaterThan">
      <formula>$AD$21</formula>
    </cfRule>
  </conditionalFormatting>
  <conditionalFormatting sqref="AE10:AG20">
    <cfRule type="cellIs" dxfId="14" priority="56" operator="greaterThan">
      <formula>$AG$21</formula>
    </cfRule>
  </conditionalFormatting>
  <conditionalFormatting sqref="AH10:AJ20">
    <cfRule type="cellIs" dxfId="13" priority="55" operator="greaterThan">
      <formula>$AJ$21</formula>
    </cfRule>
  </conditionalFormatting>
  <conditionalFormatting sqref="AB61:AD71">
    <cfRule type="cellIs" dxfId="12" priority="30" operator="greaterThan">
      <formula>$AD$21</formula>
    </cfRule>
  </conditionalFormatting>
  <conditionalFormatting sqref="AE61:AG71">
    <cfRule type="cellIs" dxfId="11" priority="29" operator="greaterThan">
      <formula>$AG$21</formula>
    </cfRule>
  </conditionalFormatting>
  <conditionalFormatting sqref="AH61:AJ71">
    <cfRule type="cellIs" dxfId="10" priority="28" operator="greaterThan">
      <formula>$AJ$21</formula>
    </cfRule>
  </conditionalFormatting>
  <conditionalFormatting sqref="AK61:AM71">
    <cfRule type="cellIs" dxfId="9" priority="27" operator="greaterThan">
      <formula>$AM$21</formula>
    </cfRule>
  </conditionalFormatting>
  <conditionalFormatting sqref="AK10:AM20">
    <cfRule type="cellIs" dxfId="8" priority="7" operator="greaterThan">
      <formula>$AJ$21</formula>
    </cfRule>
  </conditionalFormatting>
  <conditionalFormatting sqref="AB78:AD81">
    <cfRule type="cellIs" dxfId="7" priority="4" operator="greaterThan">
      <formula>$AD$82</formula>
    </cfRule>
  </conditionalFormatting>
  <conditionalFormatting sqref="AE78:AG81">
    <cfRule type="cellIs" dxfId="6" priority="3" operator="greaterThan">
      <formula>$AG$82</formula>
    </cfRule>
  </conditionalFormatting>
  <conditionalFormatting sqref="AH78:AJ81">
    <cfRule type="cellIs" dxfId="5" priority="2" operator="greaterThan">
      <formula>$AJ$82</formula>
    </cfRule>
  </conditionalFormatting>
  <conditionalFormatting sqref="AK78:AM81">
    <cfRule type="cellIs" dxfId="4" priority="1" operator="greaterThan">
      <formula>$AM$82</formula>
    </cfRule>
  </conditionalFormatting>
  <conditionalFormatting sqref="AP10:AR12">
    <cfRule type="cellIs" dxfId="3" priority="73" operator="greaterThan">
      <formula>$AR$13</formula>
    </cfRule>
  </conditionalFormatting>
  <conditionalFormatting sqref="AS10:AU12">
    <cfRule type="cellIs" dxfId="2" priority="76" operator="greaterThan">
      <formula>$AU$13</formula>
    </cfRule>
  </conditionalFormatting>
  <conditionalFormatting sqref="AY10:BA12">
    <cfRule type="cellIs" dxfId="1" priority="79" operator="greaterThan">
      <formula>$BA$13</formula>
    </cfRule>
  </conditionalFormatting>
  <conditionalFormatting sqref="AV10:AX12">
    <cfRule type="cellIs" dxfId="0" priority="82" operator="greaterThan">
      <formula>$AX$13</formula>
    </cfRule>
  </conditionalFormatting>
  <pageMargins left="0.7" right="0.7" top="0.75" bottom="0.75" header="0.3" footer="0.3"/>
  <pageSetup scale="63"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0000000}">
          <x14:formula1>
            <xm:f>Dates!$B$2:$B$13</xm:f>
          </x14:formula1>
          <xm:sqref>F2</xm:sqref>
        </x14:dataValidation>
        <x14:dataValidation type="list" allowBlank="1" showInputMessage="1" showErrorMessage="1" xr:uid="{00000000-0002-0000-1500-000001000000}">
          <x14:formula1>
            <xm:f>Dates!$D$2:$D$13</xm:f>
          </x14:formula1>
          <xm:sqref>F3:F4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B2:D13"/>
  <sheetViews>
    <sheetView workbookViewId="0">
      <selection activeCell="B2" sqref="B2:B13"/>
    </sheetView>
  </sheetViews>
  <sheetFormatPr defaultRowHeight="13.2" x14ac:dyDescent="0.25"/>
  <sheetData>
    <row r="2" spans="2:4" x14ac:dyDescent="0.25">
      <c r="B2" s="47">
        <v>1</v>
      </c>
      <c r="D2">
        <v>2016</v>
      </c>
    </row>
    <row r="3" spans="2:4" x14ac:dyDescent="0.25">
      <c r="B3" s="47">
        <v>2</v>
      </c>
      <c r="D3">
        <v>2017</v>
      </c>
    </row>
    <row r="4" spans="2:4" x14ac:dyDescent="0.25">
      <c r="B4" s="47">
        <v>3</v>
      </c>
      <c r="D4">
        <v>2018</v>
      </c>
    </row>
    <row r="5" spans="2:4" x14ac:dyDescent="0.25">
      <c r="B5" s="47">
        <v>4</v>
      </c>
      <c r="D5">
        <v>2019</v>
      </c>
    </row>
    <row r="6" spans="2:4" x14ac:dyDescent="0.25">
      <c r="B6" s="47">
        <v>5</v>
      </c>
      <c r="D6">
        <v>2020</v>
      </c>
    </row>
    <row r="7" spans="2:4" x14ac:dyDescent="0.25">
      <c r="B7" s="47">
        <v>6</v>
      </c>
      <c r="D7">
        <v>2021</v>
      </c>
    </row>
    <row r="8" spans="2:4" x14ac:dyDescent="0.25">
      <c r="B8" s="47">
        <v>7</v>
      </c>
      <c r="D8">
        <v>2022</v>
      </c>
    </row>
    <row r="9" spans="2:4" x14ac:dyDescent="0.25">
      <c r="B9" s="47">
        <v>8</v>
      </c>
      <c r="D9">
        <v>2023</v>
      </c>
    </row>
    <row r="10" spans="2:4" x14ac:dyDescent="0.25">
      <c r="B10" s="47">
        <v>9</v>
      </c>
      <c r="D10">
        <v>2024</v>
      </c>
    </row>
    <row r="11" spans="2:4" x14ac:dyDescent="0.25">
      <c r="B11" s="47">
        <v>10</v>
      </c>
      <c r="D11">
        <v>2025</v>
      </c>
    </row>
    <row r="12" spans="2:4" x14ac:dyDescent="0.25">
      <c r="B12" s="47">
        <v>11</v>
      </c>
      <c r="D12">
        <v>2026</v>
      </c>
    </row>
    <row r="13" spans="2:4" x14ac:dyDescent="0.25">
      <c r="B13" s="47">
        <v>12</v>
      </c>
      <c r="D13">
        <v>2027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Parameters</vt:lpstr>
      <vt:lpstr>Disbursement</vt:lpstr>
      <vt:lpstr>General Porfolio</vt:lpstr>
      <vt:lpstr>Loans Port Progression</vt:lpstr>
      <vt:lpstr>Data</vt:lpstr>
      <vt:lpstr>Global Portfolio</vt:lpstr>
      <vt:lpstr>Delinquency</vt:lpstr>
      <vt:lpstr>Data-graph</vt:lpstr>
      <vt:lpstr>DelinquencyPerSector</vt:lpstr>
      <vt:lpstr>DelinquencyPerSector_Dashboard</vt:lpstr>
      <vt:lpstr>Sheet4</vt:lpstr>
      <vt:lpstr>Sheet5</vt:lpstr>
      <vt:lpstr>Sheet1</vt:lpstr>
      <vt:lpstr>Sheet6</vt:lpstr>
      <vt:lpstr>Delinquency With Sectors</vt:lpstr>
      <vt:lpstr>C</vt:lpstr>
      <vt:lpstr>Sheet2</vt:lpstr>
      <vt:lpstr>Sheet3</vt:lpstr>
      <vt:lpstr>PIVOT TABLE GLOBAL</vt:lpstr>
      <vt:lpstr>Delinquency With Sector EOM</vt:lpstr>
      <vt:lpstr>Analysis Data</vt:lpstr>
      <vt:lpstr>EOM Analysis</vt:lpstr>
      <vt:lpstr>Dates</vt:lpstr>
      <vt:lpstr>Branches_OLP</vt:lpstr>
      <vt:lpstr>credit_officers_list</vt:lpstr>
      <vt:lpstr>DB_NAME</vt:lpstr>
      <vt:lpstr>DB_SERVER</vt:lpstr>
      <vt:lpstr>FindCreditOffier</vt:lpstr>
      <vt:lpstr>FROM_DATE</vt:lpstr>
      <vt:lpstr>NM_DOCUMENT_NAME</vt:lpstr>
      <vt:lpstr>NM_FROM_DATE</vt:lpstr>
      <vt:lpstr>NM_TO_DATE</vt:lpstr>
      <vt:lpstr>Disbursement!Print_Area</vt:lpstr>
      <vt:lpstr>'EOM Analysis'!Print_Area</vt:lpstr>
      <vt:lpstr>'General Porfolio'!Print_Area</vt:lpstr>
      <vt:lpstr>'Loans Port Progression'!Print_Area</vt:lpstr>
      <vt:lpstr>TO_DATE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joyce litu</dc:creator>
  <cp:lastModifiedBy>Ian Mujjukizi</cp:lastModifiedBy>
  <cp:lastPrinted>2017-11-17T06:01:41Z</cp:lastPrinted>
  <dcterms:created xsi:type="dcterms:W3CDTF">2007-02-16T13:46:42Z</dcterms:created>
  <dcterms:modified xsi:type="dcterms:W3CDTF">2022-01-11T11:05:53Z</dcterms:modified>
</cp:coreProperties>
</file>